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hidePivotFieldList="1"/>
  <mc:AlternateContent xmlns:mc="http://schemas.openxmlformats.org/markup-compatibility/2006">
    <mc:Choice Requires="x15">
      <x15ac:absPath xmlns:x15ac="http://schemas.microsoft.com/office/spreadsheetml/2010/11/ac" url="C:\Users\profi\Downloads\"/>
    </mc:Choice>
  </mc:AlternateContent>
  <xr:revisionPtr revIDLastSave="0" documentId="13_ncr:1_{634EF5CB-793E-48C5-80FB-4E0E614AB38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 Result Trend" sheetId="1" r:id="rId1"/>
    <sheet name="Industry Dashboard" sheetId="200" r:id="rId2"/>
    <sheet name="BSE ALL CAP" sheetId="3" r:id="rId3"/>
    <sheet name="BASIC INDUSTRY" sheetId="4" r:id="rId4"/>
    <sheet name="MacroEconomic Data" sheetId="13" r:id="rId5"/>
    <sheet name="IFRF FUND" sheetId="16" r:id="rId6"/>
    <sheet name="Plastic Products - Industrial" sheetId="12" r:id="rId7"/>
    <sheet name="Zinc" sheetId="17" r:id="rId8"/>
    <sheet name="Wellness" sheetId="18" r:id="rId9"/>
    <sheet name="Web based media and service" sheetId="19" r:id="rId10"/>
    <sheet name="Water Supply &amp; Management" sheetId="20" r:id="rId11"/>
    <sheet name="Waste Management" sheetId="21" r:id="rId12"/>
    <sheet name="Tyres &amp; Rubber Products" sheetId="22" r:id="rId13"/>
    <sheet name="TV Broadcasting &amp; Software Prod" sheetId="23" r:id="rId14"/>
    <sheet name="Trading Coal" sheetId="24" r:id="rId15"/>
    <sheet name="Trading - Textile Products" sheetId="25" r:id="rId16"/>
    <sheet name="Trading - Minerals" sheetId="26" r:id="rId17"/>
    <sheet name="Trading - Metals" sheetId="27" r:id="rId18"/>
    <sheet name="Trading - Chemicals" sheetId="28" r:id="rId19"/>
    <sheet name="Tractors" sheetId="29" r:id="rId20"/>
    <sheet name="Tour, Travel Related Services" sheetId="30" r:id="rId21"/>
    <sheet name="Telecom - Infrastructure" sheetId="31" r:id="rId22"/>
    <sheet name="Telecom - Equipment &amp; Accessori" sheetId="32" r:id="rId23"/>
    <sheet name="Tea &amp; Coffee" sheetId="33" r:id="rId24"/>
    <sheet name="Sugar" sheetId="34" r:id="rId25"/>
    <sheet name="Stockbroking &amp; Allied" sheetId="35" r:id="rId26"/>
    <sheet name="Stationary" sheetId="36" r:id="rId27"/>
    <sheet name="Sponge Iron" sheetId="37" r:id="rId28"/>
    <sheet name="Specialty Chemicals" sheetId="38" r:id="rId29"/>
    <sheet name="Speciality Retail" sheetId="39" r:id="rId30"/>
    <sheet name="Software Products" sheetId="40" r:id="rId31"/>
    <sheet name="Shipping" sheetId="41" r:id="rId32"/>
    <sheet name="Ship Building &amp; Allied Services" sheetId="42" r:id="rId33"/>
    <sheet name="Seafood" sheetId="43" r:id="rId34"/>
    <sheet name="Sanitary Ware" sheetId="44" r:id="rId35"/>
    <sheet name="Rubber" sheetId="45" r:id="rId36"/>
    <sheet name="Road Transport" sheetId="46" r:id="rId37"/>
    <sheet name="Road Assets–Toll, Annuity, Hybr" sheetId="47" r:id="rId38"/>
    <sheet name="Restaurants" sheetId="48" r:id="rId39"/>
    <sheet name="Residential, Commercial Project" sheetId="49" r:id="rId40"/>
    <sheet name="Refineries &amp; Marketing" sheetId="50" r:id="rId41"/>
    <sheet name="Real Estate related services" sheetId="51" r:id="rId42"/>
    <sheet name="Printing &amp; Publication" sheetId="52" r:id="rId43"/>
    <sheet name="Print Media" sheetId="53" r:id="rId44"/>
    <sheet name="Precious Metals" sheetId="54" r:id="rId45"/>
    <sheet name="Power Trading" sheetId="55" r:id="rId46"/>
    <sheet name="Power Generation" sheetId="56" r:id="rId47"/>
    <sheet name="Power Distribution" sheetId="57" r:id="rId48"/>
    <sheet name="Real Estate Investment Trusts (" sheetId="58" r:id="rId49"/>
    <sheet name="Railway Wagons" sheetId="59" r:id="rId50"/>
    <sheet name="Power - Transmission" sheetId="60" r:id="rId51"/>
    <sheet name="Port &amp; Port services" sheetId="61" r:id="rId52"/>
    <sheet name="Ratings" sheetId="62" r:id="rId53"/>
    <sheet name="Plywood Boards Laminates" sheetId="63" r:id="rId54"/>
    <sheet name="Plastic Products - Consumer" sheetId="64" r:id="rId55"/>
    <sheet name="Pig Iron" sheetId="65" r:id="rId56"/>
    <sheet name="Pharmacy Retail" sheetId="66" r:id="rId57"/>
    <sheet name="Petrochemicals" sheetId="67" r:id="rId58"/>
    <sheet name="Pesticides &amp; Agrochemicals" sheetId="68" r:id="rId59"/>
    <sheet name="Personal Care" sheetId="69" r:id="rId60"/>
    <sheet name="Passenger Cars &amp; Utility Vehicl" sheetId="70" r:id="rId61"/>
    <sheet name="Paper &amp; Paper Products" sheetId="71" r:id="rId62"/>
    <sheet name="Paints" sheetId="72" r:id="rId63"/>
    <sheet name="Packaging" sheetId="73" r:id="rId64"/>
    <sheet name="Packaged Foods" sheetId="74" r:id="rId65"/>
    <sheet name="Other Utilities" sheetId="75" r:id="rId66"/>
    <sheet name="Other Textile Products" sheetId="76" r:id="rId67"/>
    <sheet name="Other Telecom Services" sheetId="77" r:id="rId68"/>
    <sheet name="Other Industrial Products" sheetId="78" r:id="rId69"/>
    <sheet name="Other Food Products" sheetId="79" r:id="rId70"/>
    <sheet name="Other Electrical Equipment" sheetId="80" r:id="rId71"/>
    <sheet name="Other Consumer Services" sheetId="81" r:id="rId72"/>
    <sheet name="Other Construction Materials" sheetId="82" r:id="rId73"/>
    <sheet name="Other Capital Market related Se" sheetId="83" r:id="rId74"/>
    <sheet name="Other Beverages" sheetId="84" r:id="rId75"/>
    <sheet name="Other Bank" sheetId="85" r:id="rId76"/>
    <sheet name="Other Agricultural Products" sheetId="86" r:id="rId77"/>
    <sheet name="Oil Storage &amp; Transportation" sheetId="87" r:id="rId78"/>
    <sheet name="Oil Exploration &amp; Production" sheetId="88" r:id="rId79"/>
    <sheet name="Oil Equipment &amp; Services" sheetId="89" r:id="rId80"/>
    <sheet name="Trading &amp; Distributors" sheetId="90" r:id="rId81"/>
    <sheet name="Transport Related Services" sheetId="91" r:id="rId82"/>
    <sheet name="Pharmaceuticals" sheetId="92" r:id="rId83"/>
    <sheet name="Telecom - Cellular &amp; Fixed line" sheetId="93" r:id="rId84"/>
    <sheet name="Offshore Support Solution Drill" sheetId="94" r:id="rId85"/>
    <sheet name="Mutual Fund Scheme - ETF" sheetId="95" r:id="rId86"/>
    <sheet name="Microfinance Institutions" sheetId="96" r:id="rId87"/>
    <sheet name="Medical Equipment &amp; Supplies" sheetId="97" r:id="rId88"/>
    <sheet name="Media &amp; Entertainment" sheetId="98" r:id="rId89"/>
    <sheet name="Meat Products including Poultry" sheetId="99" r:id="rId90"/>
    <sheet name="Lubricants" sheetId="100" r:id="rId91"/>
    <sheet name="LPGCNGPNGLNG Supplier" sheetId="101" r:id="rId92"/>
    <sheet name="Logistics Solution Provider" sheetId="102" r:id="rId93"/>
    <sheet name="Life Insurance" sheetId="103" r:id="rId94"/>
    <sheet name="Leisure Products" sheetId="104" r:id="rId95"/>
    <sheet name="Leather And Leather Products" sheetId="105" r:id="rId96"/>
    <sheet name="Jute &amp; Jute Products" sheetId="106" r:id="rId97"/>
    <sheet name="IT Enabled Services" sheetId="107" r:id="rId98"/>
    <sheet name="Iron &amp; Steel Products" sheetId="108" r:id="rId99"/>
    <sheet name="Iron &amp; Steel" sheetId="109" r:id="rId100"/>
    <sheet name="Investment Company" sheetId="110" r:id="rId101"/>
    <sheet name="Internet &amp; Catalogue Retail" sheetId="111" r:id="rId102"/>
    <sheet name="Integrated Power Utilities" sheetId="112" r:id="rId103"/>
    <sheet name="Industrial Products" sheetId="113" r:id="rId104"/>
    <sheet name="Industrial Minerals" sheetId="114" r:id="rId105"/>
    <sheet name="Industrial Gases" sheetId="115" r:id="rId106"/>
    <sheet name="Housing Finance Company" sheetId="116" r:id="rId107"/>
    <sheet name="Houseware" sheetId="117" r:id="rId108"/>
    <sheet name="Household Products" sheetId="118" r:id="rId109"/>
    <sheet name="Hotels &amp; Resorts" sheetId="119" r:id="rId110"/>
    <sheet name="Hospital" sheetId="120" r:id="rId111"/>
    <sheet name="Holding Company" sheetId="121" r:id="rId112"/>
    <sheet name="Household Appliances" sheetId="122" r:id="rId113"/>
    <sheet name="Heavy Electrical Equipment" sheetId="123" r:id="rId114"/>
    <sheet name="Healthcare Service Provider" sheetId="124" r:id="rId115"/>
    <sheet name="Healthcare Research, Analytics " sheetId="125" r:id="rId116"/>
    <sheet name="Granites &amp; Marbles" sheetId="126" r:id="rId117"/>
    <sheet name="Glass - Industrial" sheetId="127" r:id="rId118"/>
    <sheet name="General Insurance" sheetId="128" r:id="rId119"/>
    <sheet name="Gems, Jewellery And Watches" sheetId="129" r:id="rId120"/>
    <sheet name="Gas TransmissionMarketing" sheetId="130" r:id="rId121"/>
    <sheet name="Garments &amp; Apparels" sheetId="131" r:id="rId122"/>
    <sheet name="Furniture, Home Furnishing" sheetId="132" r:id="rId123"/>
    <sheet name="Forest Products" sheetId="133" r:id="rId124"/>
    <sheet name="Footwear" sheetId="134" r:id="rId125"/>
    <sheet name="Financial Technology (Fintech)" sheetId="135" r:id="rId126"/>
    <sheet name="Financial Products Distributor" sheetId="136" r:id="rId127"/>
    <sheet name="Film Production, Distribution &amp;" sheetId="137" r:id="rId128"/>
    <sheet name="Financial Institution" sheetId="138" r:id="rId129"/>
    <sheet name="Fertilizers" sheetId="139" r:id="rId130"/>
    <sheet name="Ferro &amp; Silica Manganese" sheetId="140" r:id="rId131"/>
    <sheet name="Explosives" sheetId="141" r:id="rId132"/>
    <sheet name="Exchange and Data Platform" sheetId="142" r:id="rId133"/>
    <sheet name="E-Retail E-Commerce" sheetId="143" r:id="rId134"/>
    <sheet name="Electronic Media" sheetId="144" r:id="rId135"/>
    <sheet name="Electrodes &amp; Refractories" sheetId="145" r:id="rId136"/>
    <sheet name="E-Learning" sheetId="146" r:id="rId137"/>
    <sheet name="Education" sheetId="147" r:id="rId138"/>
    <sheet name="Edible Oil" sheetId="148" r:id="rId139"/>
    <sheet name="Dyes And Pigments" sheetId="149" r:id="rId140"/>
    <sheet name="Dredging" sheetId="150" r:id="rId141"/>
    <sheet name="Diversified Retail" sheetId="151" r:id="rId142"/>
    <sheet name="Diversified Metals" sheetId="152" r:id="rId143"/>
    <sheet name="Diversified FMCG" sheetId="153" r:id="rId144"/>
    <sheet name="Diversified consumer products" sheetId="154" r:id="rId145"/>
    <sheet name="Diversified Commercial Services" sheetId="155" r:id="rId146"/>
    <sheet name="Diversified" sheetId="156" r:id="rId147"/>
    <sheet name="Distributors" sheetId="157" r:id="rId148"/>
    <sheet name="Digital Entertainment" sheetId="158" r:id="rId149"/>
    <sheet name="Depositories, Clearing Houses a" sheetId="159" r:id="rId150"/>
    <sheet name="Data Processing Services" sheetId="160" r:id="rId151"/>
    <sheet name="Dairy Products" sheetId="161" r:id="rId152"/>
    <sheet name="Copper" sheetId="162" r:id="rId153"/>
    <sheet name="Consumer Electronics" sheetId="163" r:id="rId154"/>
    <sheet name="Consulting Services" sheetId="164" r:id="rId155"/>
    <sheet name="Construction Vehicles" sheetId="165" r:id="rId156"/>
    <sheet name="Computers Hardware &amp; Equipments" sheetId="166" r:id="rId157"/>
    <sheet name="Computers - Software &amp; Consulti" sheetId="167" r:id="rId158"/>
    <sheet name="Non Banking Financial Company (" sheetId="168" r:id="rId159"/>
    <sheet name="Compressors, Pumps &amp; Diesel Eng" sheetId="169" r:id="rId160"/>
    <sheet name="Other Financial Services" sheetId="170" r:id="rId161"/>
    <sheet name="Private Sector Bank" sheetId="171" r:id="rId162"/>
    <sheet name="Commodity Chemicals" sheetId="172" r:id="rId163"/>
    <sheet name="Public Sector Bank" sheetId="173" r:id="rId164"/>
    <sheet name="23 Wheelers" sheetId="174" r:id="rId165"/>
    <sheet name="Abrasives &amp; Bearings" sheetId="175" r:id="rId166"/>
    <sheet name="Advertising &amp; Media Agencies" sheetId="176" r:id="rId167"/>
    <sheet name="Aerospace &amp; Defense" sheetId="177" r:id="rId168"/>
    <sheet name="Airline" sheetId="178" r:id="rId169"/>
    <sheet name="Airport &amp; Airport services" sheetId="179" r:id="rId170"/>
    <sheet name="Aluminium" sheetId="180" r:id="rId171"/>
    <sheet name="Aluminium, Copper &amp; Zinc Produc" sheetId="181" r:id="rId172"/>
    <sheet name="Amusement Parks Other Recreatio" sheetId="182" r:id="rId173"/>
    <sheet name="Animal Feed" sheetId="183" r:id="rId174"/>
    <sheet name="Asset Management Company" sheetId="184" r:id="rId175"/>
    <sheet name="Auto Components &amp; Equipments" sheetId="185" r:id="rId176"/>
    <sheet name="Auto -Dealer" sheetId="186" r:id="rId177"/>
    <sheet name="Biotechnology" sheetId="187" r:id="rId178"/>
    <sheet name="Breweries &amp; Distilleries" sheetId="188" r:id="rId179"/>
    <sheet name="Business Process Outsourcing (B" sheetId="189" r:id="rId180"/>
    <sheet name="Cables - Electricals" sheetId="190" r:id="rId181"/>
    <sheet name="Carbon Black" sheetId="191" r:id="rId182"/>
    <sheet name="Castings &amp; Forgings" sheetId="192" r:id="rId183"/>
    <sheet name="Cement &amp; Cement Products" sheetId="193" r:id="rId184"/>
    <sheet name="Ceramics" sheetId="194" r:id="rId185"/>
    <sheet name="Cigarettes &amp; Tobacco Products" sheetId="195" r:id="rId186"/>
    <sheet name="Civil Construction" sheetId="196" r:id="rId187"/>
    <sheet name="Coal" sheetId="197" r:id="rId188"/>
    <sheet name="Commercial Vehicles" sheetId="198" r:id="rId189"/>
  </sheets>
  <definedNames>
    <definedName name="_xlnm._FilterDatabase" localSheetId="0" hidden="1">' Result Trend'!$I$19:$M$25</definedName>
    <definedName name="_xlnm._FilterDatabase" localSheetId="164" hidden="1">'23 Wheelers'!$A$1:$Y$10</definedName>
    <definedName name="_xlnm._FilterDatabase" localSheetId="165" hidden="1">'Abrasives &amp; Bearings'!$A$1:$Y$8</definedName>
    <definedName name="_xlnm._FilterDatabase" localSheetId="166" hidden="1">'Advertising &amp; Media Agencies'!$A$1:$Y$14</definedName>
    <definedName name="_xlnm._FilterDatabase" localSheetId="167" hidden="1">'Aerospace &amp; Defense'!$A$1:$Y$25</definedName>
    <definedName name="_xlnm._FilterDatabase" localSheetId="168" hidden="1">Airline!$A$1:$Y$5</definedName>
    <definedName name="_xlnm._FilterDatabase" localSheetId="169" hidden="1">'Airport &amp; Airport services'!$A$1:$Y$3</definedName>
    <definedName name="_xlnm._FilterDatabase" localSheetId="170" hidden="1">Aluminium!$A$1:$Y$14</definedName>
    <definedName name="_xlnm._FilterDatabase" localSheetId="171" hidden="1">'Aluminium, Copper &amp; Zinc Produc'!$A$1:$Y$17</definedName>
    <definedName name="_xlnm._FilterDatabase" localSheetId="172" hidden="1">'Amusement Parks Other Recreatio'!$A$1:$Y$7</definedName>
    <definedName name="_xlnm._FilterDatabase" localSheetId="173" hidden="1">'Animal Feed'!$A$1:$Y$8</definedName>
    <definedName name="_xlnm._FilterDatabase" localSheetId="174" hidden="1">'Asset Management Company'!$A$1:$Y$9</definedName>
    <definedName name="_xlnm._FilterDatabase" localSheetId="175" hidden="1">'Auto Components &amp; Equipments'!$A$1:$Y$134</definedName>
    <definedName name="_xlnm._FilterDatabase" localSheetId="176" hidden="1">'Auto -Dealer'!$A$1:$Y$6</definedName>
    <definedName name="_xlnm._FilterDatabase" localSheetId="3" hidden="1">'BASIC INDUSTRY'!$A$1:$V$186</definedName>
    <definedName name="_xlnm._FilterDatabase" localSheetId="177" hidden="1">Biotechnology!$A$1:$Y$7</definedName>
    <definedName name="_xlnm._FilterDatabase" localSheetId="178" hidden="1">'Breweries &amp; Distilleries'!$A$1:$Y$28</definedName>
    <definedName name="_xlnm._FilterDatabase" localSheetId="2" hidden="1">'BSE ALL CAP'!$A$4:$Y$1038</definedName>
    <definedName name="_xlnm._FilterDatabase" localSheetId="179" hidden="1">'Business Process Outsourcing (B'!$A$1:$Y$11</definedName>
    <definedName name="_xlnm._FilterDatabase" localSheetId="180" hidden="1">'Cables - Electricals'!$A$1:$Y$15</definedName>
    <definedName name="_xlnm._FilterDatabase" localSheetId="181" hidden="1">'Carbon Black'!$A$1:$Y$3</definedName>
    <definedName name="_xlnm._FilterDatabase" localSheetId="182" hidden="1">'Castings &amp; Forgings'!$A$1:$Y$22</definedName>
    <definedName name="_xlnm._FilterDatabase" localSheetId="183" hidden="1">'Cement &amp; Cement Products'!$A$1:$Y$42</definedName>
    <definedName name="_xlnm._FilterDatabase" localSheetId="184" hidden="1">Ceramics!$A$1:$Y$11</definedName>
    <definedName name="_xlnm._FilterDatabase" localSheetId="185" hidden="1">'Cigarettes &amp; Tobacco Products'!$A$1:$Y$7</definedName>
    <definedName name="_xlnm._FilterDatabase" localSheetId="186" hidden="1">'Civil Construction'!$A$1:$Y$123</definedName>
    <definedName name="_xlnm._FilterDatabase" localSheetId="187" hidden="1">Coal!$A$1:$Y$5</definedName>
    <definedName name="_xlnm._FilterDatabase" localSheetId="188" hidden="1">'Commercial Vehicles'!$A$1:$Y$5</definedName>
    <definedName name="_xlnm._FilterDatabase" localSheetId="162" hidden="1">'Commodity Chemicals'!$A$1:$Y$75</definedName>
    <definedName name="_xlnm._FilterDatabase" localSheetId="159" hidden="1">'Compressors, Pumps &amp; Diesel Eng'!$A$1:$Y$14</definedName>
    <definedName name="_xlnm._FilterDatabase" localSheetId="157" hidden="1">'Computers - Software &amp; Consulti'!$A$1:$Y$93</definedName>
    <definedName name="_xlnm._FilterDatabase" localSheetId="156" hidden="1">'Computers Hardware &amp; Equipments'!$A$1:$Y$24</definedName>
    <definedName name="_xlnm._FilterDatabase" localSheetId="155" hidden="1">'Construction Vehicles'!$A$1:$Y$6</definedName>
    <definedName name="_xlnm._FilterDatabase" localSheetId="154" hidden="1">'Consulting Services'!$A$1:$Y$28</definedName>
    <definedName name="_xlnm._FilterDatabase" localSheetId="153" hidden="1">'Consumer Electronics'!$A$1:$Y$16</definedName>
    <definedName name="_xlnm._FilterDatabase" localSheetId="152" hidden="1">Copper!$A$1:$Y$3</definedName>
    <definedName name="_xlnm._FilterDatabase" localSheetId="151" hidden="1">'Dairy Products'!$A$1:$Y$15</definedName>
    <definedName name="_xlnm._FilterDatabase" localSheetId="150" hidden="1">'Data Processing Services'!$A$1:$Y$3</definedName>
    <definedName name="_xlnm._FilterDatabase" localSheetId="149" hidden="1">'Depositories, Clearing Houses a'!$A$1:$Y$5</definedName>
    <definedName name="_xlnm._FilterDatabase" localSheetId="148" hidden="1">'Digital Entertainment'!$A$1:$Y$4</definedName>
    <definedName name="_xlnm._FilterDatabase" localSheetId="147" hidden="1">Distributors!$A$1:$Y$8</definedName>
    <definedName name="_xlnm._FilterDatabase" localSheetId="146" hidden="1">Diversified!$A$1:$Y$15</definedName>
    <definedName name="_xlnm._FilterDatabase" localSheetId="145" hidden="1">'Diversified Commercial Services'!$A$1:$Y$126</definedName>
    <definedName name="_xlnm._FilterDatabase" localSheetId="144" hidden="1">'Diversified consumer products'!$A$1:$Y$3</definedName>
    <definedName name="_xlnm._FilterDatabase" localSheetId="143" hidden="1">'Diversified FMCG'!$A$1:$Y$6</definedName>
    <definedName name="_xlnm._FilterDatabase" localSheetId="142" hidden="1">'Diversified Metals'!$A$1:$Y$5</definedName>
    <definedName name="_xlnm._FilterDatabase" localSheetId="141" hidden="1">'Diversified Retail'!$A$1:$Y$15</definedName>
    <definedName name="_xlnm._FilterDatabase" localSheetId="140" hidden="1">Dredging!$A$1:$Y$3</definedName>
    <definedName name="_xlnm._FilterDatabase" localSheetId="139" hidden="1">'Dyes And Pigments'!$A$1:$Y$12</definedName>
    <definedName name="_xlnm._FilterDatabase" localSheetId="138" hidden="1">'Edible Oil'!$A$1:$Y$31</definedName>
    <definedName name="_xlnm._FilterDatabase" localSheetId="137" hidden="1">Education!$A$1:$Y$21</definedName>
    <definedName name="_xlnm._FilterDatabase" localSheetId="136" hidden="1">'E-Learning'!$A$1:$Y$8</definedName>
    <definedName name="_xlnm._FilterDatabase" localSheetId="135" hidden="1">'Electrodes &amp; Refractories'!$A$1:$Y$12</definedName>
    <definedName name="_xlnm._FilterDatabase" localSheetId="134" hidden="1">'Electronic Media'!$A$1:$Y$6</definedName>
    <definedName name="_xlnm._FilterDatabase" localSheetId="133" hidden="1">'E-Retail E-Commerce'!$A$1:$Y$17</definedName>
    <definedName name="_xlnm._FilterDatabase" localSheetId="132" hidden="1">'Exchange and Data Platform'!$A$1:$Y$3</definedName>
    <definedName name="_xlnm._FilterDatabase" localSheetId="131" hidden="1">Explosives!$A$1:$Y$7</definedName>
    <definedName name="_xlnm._FilterDatabase" localSheetId="130" hidden="1">'Ferro &amp; Silica Manganese'!$A$1:$Y$11</definedName>
    <definedName name="_xlnm._FilterDatabase" localSheetId="129" hidden="1">Fertilizers!$A$1:$Y$23</definedName>
    <definedName name="_xlnm._FilterDatabase" localSheetId="127" hidden="1">'Film Production, Distribution &amp;'!$A$1:$Y$29</definedName>
    <definedName name="_xlnm._FilterDatabase" localSheetId="128" hidden="1">'Financial Institution'!$A$1:$Y$10</definedName>
    <definedName name="_xlnm._FilterDatabase" localSheetId="126" hidden="1">'Financial Products Distributor'!$A$1:$Y$6</definedName>
    <definedName name="_xlnm._FilterDatabase" localSheetId="125" hidden="1">'Financial Technology (Fintech)'!$A$1:$Y$10</definedName>
    <definedName name="_xlnm._FilterDatabase" localSheetId="124" hidden="1">Footwear!$A$1:$Y$13</definedName>
    <definedName name="_xlnm._FilterDatabase" localSheetId="123" hidden="1">'Forest Products'!$A$1:$Y$4</definedName>
    <definedName name="_xlnm._FilterDatabase" localSheetId="122" hidden="1">'Furniture, Home Furnishing'!$A$1:$Y$13</definedName>
    <definedName name="_xlnm._FilterDatabase" localSheetId="121" hidden="1">'Garments &amp; Apparels'!$A$1:$Y$40</definedName>
    <definedName name="_xlnm._FilterDatabase" localSheetId="120" hidden="1">'Gas TransmissionMarketing'!$A$1:$Y$4</definedName>
    <definedName name="_xlnm._FilterDatabase" localSheetId="119" hidden="1">'Gems, Jewellery And Watches'!$A$1:$Y$84</definedName>
    <definedName name="_xlnm._FilterDatabase" localSheetId="118" hidden="1">'General Insurance'!$A$1:$Y$7</definedName>
    <definedName name="_xlnm._FilterDatabase" localSheetId="117" hidden="1">'Glass - Industrial'!$A$1:$Y$5</definedName>
    <definedName name="_xlnm._FilterDatabase" localSheetId="116" hidden="1">'Granites &amp; Marbles'!$A$1:$Y$10</definedName>
    <definedName name="_xlnm._FilterDatabase" localSheetId="115" hidden="1">'Healthcare Research, Analytics '!$A$1:$Y$12</definedName>
    <definedName name="_xlnm._FilterDatabase" localSheetId="114" hidden="1">'Healthcare Service Provider'!$A$1:$Y$32</definedName>
    <definedName name="_xlnm._FilterDatabase" localSheetId="113" hidden="1">'Heavy Electrical Equipment'!$A$1:$Y$38</definedName>
    <definedName name="_xlnm._FilterDatabase" localSheetId="111" hidden="1">'Holding Company'!$A$1:$Y$17</definedName>
    <definedName name="_xlnm._FilterDatabase" localSheetId="110" hidden="1">Hospital!$A$1:$Y$34</definedName>
    <definedName name="_xlnm._FilterDatabase" localSheetId="109" hidden="1">'Hotels &amp; Resorts'!$A$1:$Y$70</definedName>
    <definedName name="_xlnm._FilterDatabase" localSheetId="112" hidden="1">'Household Appliances'!$A$1:$Y$25</definedName>
    <definedName name="_xlnm._FilterDatabase" localSheetId="108" hidden="1">'Household Products'!$A$1:$Y$11</definedName>
    <definedName name="_xlnm._FilterDatabase" localSheetId="107" hidden="1">Houseware!$A$1:$Y$10</definedName>
    <definedName name="_xlnm._FilterDatabase" localSheetId="106" hidden="1">'Housing Finance Company'!$A$1:$Y$21</definedName>
    <definedName name="_xlnm._FilterDatabase" localSheetId="105" hidden="1">'Industrial Gases'!$A$1:$Y$8</definedName>
    <definedName name="_xlnm._FilterDatabase" localSheetId="104" hidden="1">'Industrial Minerals'!$A$1:$Y$15</definedName>
    <definedName name="_xlnm._FilterDatabase" localSheetId="103" hidden="1">'Industrial Products'!$A$1:$Y$154</definedName>
    <definedName name="_xlnm._FilterDatabase" localSheetId="102" hidden="1">'Integrated Power Utilities'!$A$1:$Y$6</definedName>
    <definedName name="_xlnm._FilterDatabase" localSheetId="101" hidden="1">'Internet &amp; Catalogue Retail'!$A$1:$Y$9</definedName>
    <definedName name="_xlnm._FilterDatabase" localSheetId="100" hidden="1">'Investment Company'!$A$1:$Y$68</definedName>
    <definedName name="_xlnm._FilterDatabase" localSheetId="99" hidden="1">'Iron &amp; Steel'!$A$1:$Y$15</definedName>
    <definedName name="_xlnm._FilterDatabase" localSheetId="98" hidden="1">'Iron &amp; Steel Products'!$A$1:$Y$123</definedName>
    <definedName name="_xlnm._FilterDatabase" localSheetId="97" hidden="1">'IT Enabled Services'!$A$1:$Y$88</definedName>
    <definedName name="_xlnm._FilterDatabase" localSheetId="96" hidden="1">'Jute &amp; Jute Products'!$A$1:$Y$6</definedName>
    <definedName name="_xlnm._FilterDatabase" localSheetId="95" hidden="1">'Leather And Leather Products'!$A$1:$Y$13</definedName>
    <definedName name="_xlnm._FilterDatabase" localSheetId="94" hidden="1">'Leisure Products'!$A$1:$Y$6</definedName>
    <definedName name="_xlnm._FilterDatabase" localSheetId="93" hidden="1">'Life Insurance'!$A$1:$Y$7</definedName>
    <definedName name="_xlnm._FilterDatabase" localSheetId="92" hidden="1">'Logistics Solution Provider'!$A$1:$Y$59</definedName>
    <definedName name="_xlnm._FilterDatabase" localSheetId="91" hidden="1">'LPGCNGPNGLNG Supplier'!$A$1:$Y$8</definedName>
    <definedName name="_xlnm._FilterDatabase" localSheetId="90" hidden="1">Lubricants!$A$1:$Y$9</definedName>
    <definedName name="_xlnm._FilterDatabase" localSheetId="89" hidden="1">'Meat Products including Poultry'!$A$1:$Y$7</definedName>
    <definedName name="_xlnm._FilterDatabase" localSheetId="88" hidden="1">'Media &amp; Entertainment'!$A$1:$Y$15</definedName>
    <definedName name="_xlnm._FilterDatabase" localSheetId="87" hidden="1">'Medical Equipment &amp; Supplies'!$A$1:$Y$19</definedName>
    <definedName name="_xlnm._FilterDatabase" localSheetId="86" hidden="1">'Microfinance Institutions'!$A$1:$Y$6</definedName>
    <definedName name="_xlnm._FilterDatabase" localSheetId="85" hidden="1">'Mutual Fund Scheme - ETF'!$A$1:$Y$31</definedName>
    <definedName name="_xlnm._FilterDatabase" localSheetId="158" hidden="1">'Non Banking Financial Company ('!$A$1:$Y$300</definedName>
    <definedName name="_xlnm._FilterDatabase" localSheetId="84" hidden="1">'Offshore Support Solution Drill'!$A$1:$Y$5</definedName>
    <definedName name="_xlnm._FilterDatabase" localSheetId="79" hidden="1">'Oil Equipment &amp; Services'!$A$1:$Y$6</definedName>
    <definedName name="_xlnm._FilterDatabase" localSheetId="78" hidden="1">'Oil Exploration &amp; Production'!$A$1:$Y$7</definedName>
    <definedName name="_xlnm._FilterDatabase" localSheetId="77" hidden="1">'Oil Storage &amp; Transportation'!$A$1:$Y$4</definedName>
    <definedName name="_xlnm._FilterDatabase" localSheetId="76" hidden="1">'Other Agricultural Products'!$A$1:$Y$65</definedName>
    <definedName name="_xlnm._FilterDatabase" localSheetId="75" hidden="1">'Other Bank'!$A$1:$Y$10</definedName>
    <definedName name="_xlnm._FilterDatabase" localSheetId="74" hidden="1">'Other Beverages'!$A$1:$Y$6</definedName>
    <definedName name="_xlnm._FilterDatabase" localSheetId="73" hidden="1">'Other Capital Market related Se'!$A$1:$Y$6</definedName>
    <definedName name="_xlnm._FilterDatabase" localSheetId="72" hidden="1">'Other Construction Materials'!$A$1:$Y$22</definedName>
    <definedName name="_xlnm._FilterDatabase" localSheetId="71" hidden="1">'Other Consumer Services'!$A$1:$Y$6</definedName>
    <definedName name="_xlnm._FilterDatabase" localSheetId="70" hidden="1">'Other Electrical Equipment'!$A$1:$Y$59</definedName>
    <definedName name="_xlnm._FilterDatabase" localSheetId="160" hidden="1">'Other Financial Services'!$A$1:$Y$128</definedName>
    <definedName name="_xlnm._FilterDatabase" localSheetId="69" hidden="1">'Other Food Products'!$A$1:$Y$32</definedName>
    <definedName name="_xlnm._FilterDatabase" localSheetId="68" hidden="1">'Other Industrial Products'!$A$1:$Y$34</definedName>
    <definedName name="_xlnm._FilterDatabase" localSheetId="67" hidden="1">'Other Telecom Services'!$A$1:$Y$8</definedName>
    <definedName name="_xlnm._FilterDatabase" localSheetId="66" hidden="1">'Other Textile Products'!$A$1:$Y$257</definedName>
    <definedName name="_xlnm._FilterDatabase" localSheetId="64" hidden="1">'Packaged Foods'!$A$1:$Y$46</definedName>
    <definedName name="_xlnm._FilterDatabase" localSheetId="63" hidden="1">Packaging!$A$1:$Y$76</definedName>
    <definedName name="_xlnm._FilterDatabase" localSheetId="62" hidden="1">Paints!$A$1:$Y$10</definedName>
    <definedName name="_xlnm._FilterDatabase" localSheetId="61" hidden="1">'Paper &amp; Paper Products'!$A$1:$Y$54</definedName>
    <definedName name="_xlnm._FilterDatabase" localSheetId="60" hidden="1">'Passenger Cars &amp; Utility Vehicl'!$A$1:$Y$9</definedName>
    <definedName name="_xlnm._FilterDatabase" localSheetId="59" hidden="1">'Personal Care'!$A$1:$Y$17</definedName>
    <definedName name="_xlnm._FilterDatabase" localSheetId="58" hidden="1">'Pesticides &amp; Agrochemicals'!$A$1:$Y$30</definedName>
    <definedName name="_xlnm._FilterDatabase" localSheetId="57" hidden="1">Petrochemicals!$A$1:$Y$14</definedName>
    <definedName name="_xlnm._FilterDatabase" localSheetId="82" hidden="1">Pharmaceuticals!$A$1:$Y$189</definedName>
    <definedName name="_xlnm._FilterDatabase" localSheetId="56" hidden="1">'Pharmacy Retail'!$A$1:$Y$3</definedName>
    <definedName name="_xlnm._FilterDatabase" localSheetId="55" hidden="1">'Pig Iron'!$A$1:$Y$2</definedName>
    <definedName name="_xlnm._FilterDatabase" localSheetId="54" hidden="1">'Plastic Products - Consumer'!$A$1:$Y$12</definedName>
    <definedName name="_xlnm._FilterDatabase" localSheetId="6" hidden="1">'Plastic Products - Industrial'!$A$1:$Y$63</definedName>
    <definedName name="_xlnm._FilterDatabase" localSheetId="53" hidden="1">'Plywood Boards Laminates'!$A$1:$Y$12</definedName>
    <definedName name="_xlnm._FilterDatabase" localSheetId="51" hidden="1">'Port &amp; Port services'!$A$1:$Y$7</definedName>
    <definedName name="_xlnm._FilterDatabase" localSheetId="50" hidden="1">'Power - Transmission'!$A$1:$Y$5</definedName>
    <definedName name="_xlnm._FilterDatabase" localSheetId="47" hidden="1">'Power Distribution'!$A$1:$Y$10</definedName>
    <definedName name="_xlnm._FilterDatabase" localSheetId="46" hidden="1">'Power Generation'!$A$1:$Y$34</definedName>
    <definedName name="_xlnm._FilterDatabase" localSheetId="44" hidden="1">'Precious Metals'!$A$1:$Y$5</definedName>
    <definedName name="_xlnm._FilterDatabase" localSheetId="43" hidden="1">'Print Media'!$A$1:$Y$7</definedName>
    <definedName name="_xlnm._FilterDatabase" localSheetId="42" hidden="1">'Printing &amp; Publication'!$A$1:$Y$9</definedName>
    <definedName name="_xlnm._FilterDatabase" localSheetId="161" hidden="1">'Private Sector Bank'!$A$1:$Y$21</definedName>
    <definedName name="_xlnm._FilterDatabase" localSheetId="163" hidden="1">'Public Sector Bank'!$A$1:$Y$13</definedName>
    <definedName name="_xlnm._FilterDatabase" localSheetId="49" hidden="1">'Railway Wagons'!$A$1:$Y$4</definedName>
    <definedName name="_xlnm._FilterDatabase" localSheetId="52" hidden="1">Ratings!$A$1:$Y$3</definedName>
    <definedName name="_xlnm._FilterDatabase" localSheetId="48" hidden="1">'Real Estate Investment Trusts ('!$A$1:$Y$8</definedName>
    <definedName name="_xlnm._FilterDatabase" localSheetId="41" hidden="1">'Real Estate related services'!$A$1:$Y$7</definedName>
    <definedName name="_xlnm._FilterDatabase" localSheetId="40" hidden="1">'Refineries &amp; Marketing'!$A$1:$Y$13</definedName>
    <definedName name="_xlnm._FilterDatabase" localSheetId="39" hidden="1">'Residential, Commercial Project'!$A$1:$Y$160</definedName>
    <definedName name="_xlnm._FilterDatabase" localSheetId="38" hidden="1">Restaurants!$A$1:$Y$14</definedName>
    <definedName name="_xlnm._FilterDatabase" localSheetId="37" hidden="1">'Road Assets–Toll, Annuity, Hybr'!$A$1:$Y$15</definedName>
    <definedName name="_xlnm._FilterDatabase" localSheetId="36" hidden="1">'Road Transport'!$A$1:$Y$9</definedName>
    <definedName name="_xlnm._FilterDatabase" localSheetId="34" hidden="1">'Sanitary Ware'!$A$1:$Y$3</definedName>
    <definedName name="_xlnm._FilterDatabase" localSheetId="33" hidden="1">Seafood!$A$1:$Y$10</definedName>
    <definedName name="_xlnm._FilterDatabase" localSheetId="32" hidden="1">'Ship Building &amp; Allied Services'!$A$1:$Y$6</definedName>
    <definedName name="_xlnm._FilterDatabase" localSheetId="31" hidden="1">Shipping!$A$1:$Y$11</definedName>
    <definedName name="_xlnm._FilterDatabase" localSheetId="30" hidden="1">'Software Products'!$A$1:$Y$51</definedName>
    <definedName name="_xlnm._FilterDatabase" localSheetId="29" hidden="1">'Speciality Retail'!$A$1:$Y$24</definedName>
    <definedName name="_xlnm._FilterDatabase" localSheetId="28" hidden="1">'Specialty Chemicals'!$A$1:$Y$111</definedName>
    <definedName name="_xlnm._FilterDatabase" localSheetId="27" hidden="1">'Sponge Iron'!$A$1:$Y$6</definedName>
    <definedName name="_xlnm._FilterDatabase" localSheetId="26" hidden="1">Stationary!$A$1:$Y$8</definedName>
    <definedName name="_xlnm._FilterDatabase" localSheetId="25" hidden="1">'Stockbroking &amp; Allied'!$A$1:$Y$41</definedName>
    <definedName name="_xlnm._FilterDatabase" localSheetId="24" hidden="1">Sugar!$A$1:$Y$36</definedName>
    <definedName name="_xlnm._FilterDatabase" localSheetId="23" hidden="1">'Tea &amp; Coffee'!$A$1:$Y$26</definedName>
    <definedName name="_xlnm._FilterDatabase" localSheetId="83" hidden="1">'Telecom - Cellular &amp; Fixed line'!$A$1:$Y$9</definedName>
    <definedName name="_xlnm._FilterDatabase" localSheetId="22" hidden="1">'Telecom - Equipment &amp; Accessori'!$A$1:$Y$15</definedName>
    <definedName name="_xlnm._FilterDatabase" localSheetId="21" hidden="1">'Telecom - Infrastructure'!$A$1:$Y$9</definedName>
    <definedName name="_xlnm._FilterDatabase" localSheetId="20" hidden="1">'Tour, Travel Related Services'!$A$1:$Y$18</definedName>
    <definedName name="_xlnm._FilterDatabase" localSheetId="19" hidden="1">Tractors!$A$1:$Y$4</definedName>
    <definedName name="_xlnm._FilterDatabase" localSheetId="17" hidden="1">'Trading - Metals'!$A$1:$Y$11</definedName>
    <definedName name="_xlnm._FilterDatabase" localSheetId="16" hidden="1">'Trading - Minerals'!$A$1:$Y$4</definedName>
    <definedName name="_xlnm._FilterDatabase" localSheetId="15" hidden="1">'Trading - Textile Products'!$A$1:$Y$11</definedName>
    <definedName name="_xlnm._FilterDatabase" localSheetId="80" hidden="1">'Trading &amp; Distributors'!$A$1:$Y$192</definedName>
    <definedName name="_xlnm._FilterDatabase" localSheetId="14" hidden="1">'Trading Coal'!$A$1:$Y$4</definedName>
    <definedName name="_xlnm._FilterDatabase" localSheetId="81" hidden="1">'Transport Related Services'!$A$1:$Y$4</definedName>
    <definedName name="_xlnm._FilterDatabase" localSheetId="13" hidden="1">'TV Broadcasting &amp; Software Prod'!$A$1:$Y$22</definedName>
    <definedName name="_xlnm._FilterDatabase" localSheetId="12" hidden="1">'Tyres &amp; Rubber Products'!$A$1:$Y$18</definedName>
    <definedName name="_xlnm._FilterDatabase" localSheetId="11" hidden="1">'Waste Management'!$A$1:$Y$10</definedName>
    <definedName name="_xlnm._FilterDatabase" localSheetId="10" hidden="1">'Water Supply &amp; Management'!$A$1:$Y$6</definedName>
    <definedName name="_xlnm._FilterDatabase" localSheetId="9" hidden="1">'Web based media and service'!$A$1:$Y$3</definedName>
    <definedName name="_xlnm._FilterDatabase" localSheetId="7" hidden="1">Zinc!$A$1:$Y$3</definedName>
  </definedNames>
  <calcPr calcId="191029"/>
  <pivotCaches>
    <pivotCache cacheId="5" r:id="rId190"/>
    <pivotCache cacheId="18" r:id="rId191"/>
  </pivotCaches>
</workbook>
</file>

<file path=xl/calcChain.xml><?xml version="1.0" encoding="utf-8"?>
<calcChain xmlns="http://schemas.openxmlformats.org/spreadsheetml/2006/main">
  <c r="Y5" i="198" l="1"/>
  <c r="X5" i="198"/>
  <c r="W5" i="198"/>
  <c r="V5" i="198"/>
  <c r="U5" i="198"/>
  <c r="T5" i="198"/>
  <c r="S5" i="198"/>
  <c r="R5" i="198"/>
  <c r="Q5" i="198"/>
  <c r="P5" i="198"/>
  <c r="F5" i="198"/>
  <c r="E5" i="198"/>
  <c r="O4" i="198"/>
  <c r="N4" i="198"/>
  <c r="M4" i="198"/>
  <c r="L4" i="198"/>
  <c r="K4" i="198"/>
  <c r="J4" i="198"/>
  <c r="I4" i="198"/>
  <c r="H4" i="198"/>
  <c r="F4" i="198"/>
  <c r="E4" i="198"/>
  <c r="D4" i="198"/>
  <c r="C4" i="198"/>
  <c r="O3" i="198"/>
  <c r="N3" i="198"/>
  <c r="M3" i="198"/>
  <c r="L3" i="198"/>
  <c r="K3" i="198"/>
  <c r="J3" i="198"/>
  <c r="I3" i="198"/>
  <c r="H3" i="198"/>
  <c r="F3" i="198"/>
  <c r="E3" i="198"/>
  <c r="D3" i="198"/>
  <c r="C3" i="198"/>
  <c r="O2" i="198"/>
  <c r="O7" i="198" s="1"/>
  <c r="N2" i="198"/>
  <c r="M2" i="198"/>
  <c r="M7" i="198" s="1"/>
  <c r="L2" i="198"/>
  <c r="L7" i="198" s="1"/>
  <c r="K2" i="198"/>
  <c r="K7" i="198" s="1"/>
  <c r="J2" i="198"/>
  <c r="J7" i="198" s="1"/>
  <c r="I2" i="198"/>
  <c r="H2" i="198"/>
  <c r="F2" i="198"/>
  <c r="E2" i="198"/>
  <c r="D2" i="198"/>
  <c r="C2" i="198"/>
  <c r="Y5" i="197"/>
  <c r="X5" i="197"/>
  <c r="W5" i="197"/>
  <c r="V5" i="197"/>
  <c r="U5" i="197"/>
  <c r="T5" i="197"/>
  <c r="S5" i="197"/>
  <c r="R5" i="197"/>
  <c r="Q5" i="197"/>
  <c r="P5" i="197"/>
  <c r="F5" i="197"/>
  <c r="E5" i="197"/>
  <c r="O4" i="197"/>
  <c r="N4" i="197"/>
  <c r="M4" i="197"/>
  <c r="L4" i="197"/>
  <c r="K4" i="197"/>
  <c r="J4" i="197"/>
  <c r="I4" i="197"/>
  <c r="H4" i="197"/>
  <c r="F4" i="197"/>
  <c r="E4" i="197"/>
  <c r="D4" i="197"/>
  <c r="C4" i="197"/>
  <c r="O3" i="197"/>
  <c r="N3" i="197"/>
  <c r="M3" i="197"/>
  <c r="L3" i="197"/>
  <c r="K3" i="197"/>
  <c r="J3" i="197"/>
  <c r="I3" i="197"/>
  <c r="H3" i="197"/>
  <c r="F3" i="197"/>
  <c r="E3" i="197"/>
  <c r="D3" i="197"/>
  <c r="C3" i="197"/>
  <c r="O2" i="197"/>
  <c r="N2" i="197"/>
  <c r="M2" i="197"/>
  <c r="M7" i="197" s="1"/>
  <c r="L2" i="197"/>
  <c r="L7" i="197" s="1"/>
  <c r="K2" i="197"/>
  <c r="K7" i="197" s="1"/>
  <c r="J2" i="197"/>
  <c r="J7" i="197" s="1"/>
  <c r="I2" i="197"/>
  <c r="H2" i="197"/>
  <c r="F2" i="197"/>
  <c r="E2" i="197"/>
  <c r="D2" i="197"/>
  <c r="C2" i="197"/>
  <c r="F123" i="196"/>
  <c r="E123" i="196"/>
  <c r="F122" i="196"/>
  <c r="E122" i="196"/>
  <c r="F121" i="196"/>
  <c r="E121" i="196"/>
  <c r="F120" i="196"/>
  <c r="E120" i="196"/>
  <c r="F119" i="196"/>
  <c r="E119" i="196"/>
  <c r="F118" i="196"/>
  <c r="E118" i="196"/>
  <c r="F117" i="196"/>
  <c r="E117" i="196"/>
  <c r="F116" i="196"/>
  <c r="E116" i="196"/>
  <c r="F115" i="196"/>
  <c r="E115" i="196"/>
  <c r="F114" i="196"/>
  <c r="E114" i="196"/>
  <c r="F113" i="196"/>
  <c r="E113" i="196"/>
  <c r="F112" i="196"/>
  <c r="E112" i="196"/>
  <c r="F111" i="196"/>
  <c r="E111" i="196"/>
  <c r="F110" i="196"/>
  <c r="E110" i="196"/>
  <c r="F109" i="196"/>
  <c r="E109" i="196"/>
  <c r="F108" i="196"/>
  <c r="E108" i="196"/>
  <c r="F107" i="196"/>
  <c r="E107" i="196"/>
  <c r="F106" i="196"/>
  <c r="E106" i="196"/>
  <c r="F105" i="196"/>
  <c r="E105" i="196"/>
  <c r="F104" i="196"/>
  <c r="E104" i="196"/>
  <c r="F103" i="196"/>
  <c r="E103" i="196"/>
  <c r="F102" i="196"/>
  <c r="E102" i="196"/>
  <c r="F101" i="196"/>
  <c r="E101" i="196"/>
  <c r="F100" i="196"/>
  <c r="E100" i="196"/>
  <c r="F99" i="196"/>
  <c r="E99" i="196"/>
  <c r="F98" i="196"/>
  <c r="E98" i="196"/>
  <c r="F97" i="196"/>
  <c r="E97" i="196"/>
  <c r="F96" i="196"/>
  <c r="E96" i="196"/>
  <c r="F95" i="196"/>
  <c r="E95" i="196"/>
  <c r="F94" i="196"/>
  <c r="E94" i="196"/>
  <c r="F93" i="196"/>
  <c r="E93" i="196"/>
  <c r="F92" i="196"/>
  <c r="E92" i="196"/>
  <c r="F91" i="196"/>
  <c r="E91" i="196"/>
  <c r="F90" i="196"/>
  <c r="E90" i="196"/>
  <c r="F89" i="196"/>
  <c r="E89" i="196"/>
  <c r="F88" i="196"/>
  <c r="E88" i="196"/>
  <c r="F87" i="196"/>
  <c r="E87" i="196"/>
  <c r="F86" i="196"/>
  <c r="E86" i="196"/>
  <c r="F85" i="196"/>
  <c r="E85" i="196"/>
  <c r="F84" i="196"/>
  <c r="E84" i="196"/>
  <c r="F83" i="196"/>
  <c r="E83" i="196"/>
  <c r="E82" i="196"/>
  <c r="F81" i="196"/>
  <c r="E81" i="196"/>
  <c r="F80" i="196"/>
  <c r="E80" i="196"/>
  <c r="F79" i="196"/>
  <c r="E79" i="196"/>
  <c r="F78" i="196"/>
  <c r="E78" i="196"/>
  <c r="F77" i="196"/>
  <c r="E77" i="196"/>
  <c r="F76" i="196"/>
  <c r="E76" i="196"/>
  <c r="F75" i="196"/>
  <c r="E75" i="196"/>
  <c r="F74" i="196"/>
  <c r="E74" i="196"/>
  <c r="F73" i="196"/>
  <c r="E73" i="196"/>
  <c r="F72" i="196"/>
  <c r="E72" i="196"/>
  <c r="F71" i="196"/>
  <c r="E71" i="196"/>
  <c r="F70" i="196"/>
  <c r="E70" i="196"/>
  <c r="F69" i="196"/>
  <c r="E69" i="196"/>
  <c r="F68" i="196"/>
  <c r="E68" i="196"/>
  <c r="F67" i="196"/>
  <c r="E67" i="196"/>
  <c r="F66" i="196"/>
  <c r="E66" i="196"/>
  <c r="F65" i="196"/>
  <c r="E65" i="196"/>
  <c r="F64" i="196"/>
  <c r="E64" i="196"/>
  <c r="F63" i="196"/>
  <c r="E63" i="196"/>
  <c r="F62" i="196"/>
  <c r="E62" i="196"/>
  <c r="F61" i="196"/>
  <c r="E61" i="196"/>
  <c r="F60" i="196"/>
  <c r="E60" i="196"/>
  <c r="F59" i="196"/>
  <c r="E59" i="196"/>
  <c r="F58" i="196"/>
  <c r="E58" i="196"/>
  <c r="F57" i="196"/>
  <c r="E57" i="196"/>
  <c r="F56" i="196"/>
  <c r="E56" i="196"/>
  <c r="F55" i="196"/>
  <c r="E55" i="196"/>
  <c r="F54" i="196"/>
  <c r="E54" i="196"/>
  <c r="F53" i="196"/>
  <c r="E53" i="196"/>
  <c r="F52" i="196"/>
  <c r="E52" i="196"/>
  <c r="F51" i="196"/>
  <c r="E51" i="196"/>
  <c r="F50" i="196"/>
  <c r="E50" i="196"/>
  <c r="F49" i="196"/>
  <c r="E49" i="196"/>
  <c r="F48" i="196"/>
  <c r="E48" i="196"/>
  <c r="F47" i="196"/>
  <c r="E47" i="196"/>
  <c r="F46" i="196"/>
  <c r="E46" i="196"/>
  <c r="F45" i="196"/>
  <c r="E45" i="196"/>
  <c r="F44" i="196"/>
  <c r="E44" i="196"/>
  <c r="F43" i="196"/>
  <c r="E43" i="196"/>
  <c r="F42" i="196"/>
  <c r="E42" i="196"/>
  <c r="F41" i="196"/>
  <c r="E41" i="196"/>
  <c r="F40" i="196"/>
  <c r="E40" i="196"/>
  <c r="F39" i="196"/>
  <c r="E39" i="196"/>
  <c r="F38" i="196"/>
  <c r="E38" i="196"/>
  <c r="F37" i="196"/>
  <c r="E37" i="196"/>
  <c r="F36" i="196"/>
  <c r="E36" i="196"/>
  <c r="F35" i="196"/>
  <c r="E35" i="196"/>
  <c r="O34" i="196"/>
  <c r="N34" i="196"/>
  <c r="M34" i="196"/>
  <c r="L34" i="196"/>
  <c r="K34" i="196"/>
  <c r="J34" i="196"/>
  <c r="I34" i="196"/>
  <c r="H34" i="196"/>
  <c r="F34" i="196"/>
  <c r="E34" i="196"/>
  <c r="D34" i="196"/>
  <c r="C34" i="196"/>
  <c r="O33" i="196"/>
  <c r="N33" i="196"/>
  <c r="M33" i="196"/>
  <c r="L33" i="196"/>
  <c r="K33" i="196"/>
  <c r="J33" i="196"/>
  <c r="I33" i="196"/>
  <c r="H33" i="196"/>
  <c r="F33" i="196"/>
  <c r="E33" i="196"/>
  <c r="D33" i="196"/>
  <c r="C33" i="196"/>
  <c r="O32" i="196"/>
  <c r="N32" i="196"/>
  <c r="M32" i="196"/>
  <c r="L32" i="196"/>
  <c r="K32" i="196"/>
  <c r="J32" i="196"/>
  <c r="I32" i="196"/>
  <c r="H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F31" i="196"/>
  <c r="E31" i="196"/>
  <c r="D31" i="196"/>
  <c r="C31" i="196"/>
  <c r="Y30" i="196"/>
  <c r="X30" i="196"/>
  <c r="W30" i="196"/>
  <c r="V30" i="196"/>
  <c r="U30" i="196"/>
  <c r="T30" i="196"/>
  <c r="S30" i="196"/>
  <c r="R30" i="196"/>
  <c r="Q30" i="196"/>
  <c r="P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F28" i="196"/>
  <c r="E28" i="196"/>
  <c r="D28" i="196"/>
  <c r="C28" i="196"/>
  <c r="O27" i="196"/>
  <c r="N27" i="196"/>
  <c r="M27" i="196"/>
  <c r="L27" i="196"/>
  <c r="K27" i="196"/>
  <c r="J27" i="196"/>
  <c r="I27" i="196"/>
  <c r="H27" i="196"/>
  <c r="F27" i="196"/>
  <c r="E27" i="196"/>
  <c r="D27" i="196"/>
  <c r="C27" i="196"/>
  <c r="O26" i="196"/>
  <c r="N26" i="196"/>
  <c r="M26" i="196"/>
  <c r="L26" i="196"/>
  <c r="K26" i="196"/>
  <c r="J26" i="196"/>
  <c r="I26" i="196"/>
  <c r="H26" i="196"/>
  <c r="F26" i="196"/>
  <c r="E26" i="196"/>
  <c r="D26" i="196"/>
  <c r="C26" i="196"/>
  <c r="O25" i="196"/>
  <c r="N25" i="196"/>
  <c r="M25" i="196"/>
  <c r="L25" i="196"/>
  <c r="K25" i="196"/>
  <c r="J25" i="196"/>
  <c r="I25" i="196"/>
  <c r="H25" i="196"/>
  <c r="F25" i="196"/>
  <c r="E25" i="196"/>
  <c r="D25" i="196"/>
  <c r="C25" i="196"/>
  <c r="O24" i="196"/>
  <c r="N24" i="196"/>
  <c r="M24" i="196"/>
  <c r="L24" i="196"/>
  <c r="K24" i="196"/>
  <c r="J24" i="196"/>
  <c r="I24" i="196"/>
  <c r="H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F15" i="196"/>
  <c r="E15" i="196"/>
  <c r="D15" i="196"/>
  <c r="C15" i="196"/>
  <c r="O14" i="196"/>
  <c r="N14" i="196"/>
  <c r="M14" i="196"/>
  <c r="L14" i="196"/>
  <c r="K14" i="196"/>
  <c r="J14" i="196"/>
  <c r="I14" i="196"/>
  <c r="H14" i="196"/>
  <c r="F14" i="196"/>
  <c r="E14" i="196"/>
  <c r="D14" i="196"/>
  <c r="C14" i="196"/>
  <c r="O13" i="196"/>
  <c r="N13" i="196"/>
  <c r="M13" i="196"/>
  <c r="L13" i="196"/>
  <c r="K13" i="196"/>
  <c r="J13" i="196"/>
  <c r="I13" i="196"/>
  <c r="H13" i="196"/>
  <c r="F13" i="196"/>
  <c r="E13" i="196"/>
  <c r="D13" i="196"/>
  <c r="C13" i="196"/>
  <c r="O12" i="196"/>
  <c r="N12" i="196"/>
  <c r="M12" i="196"/>
  <c r="L12" i="196"/>
  <c r="K12" i="196"/>
  <c r="J12" i="196"/>
  <c r="I12" i="196"/>
  <c r="H12" i="196"/>
  <c r="F12" i="196"/>
  <c r="E12" i="196"/>
  <c r="D12" i="196"/>
  <c r="C12" i="196"/>
  <c r="O11" i="196"/>
  <c r="N11" i="196"/>
  <c r="M11" i="196"/>
  <c r="L11" i="196"/>
  <c r="K11" i="196"/>
  <c r="J11" i="196"/>
  <c r="I11" i="196"/>
  <c r="H11" i="196"/>
  <c r="F11" i="196"/>
  <c r="E11" i="196"/>
  <c r="D11" i="196"/>
  <c r="C11" i="196"/>
  <c r="O10" i="196"/>
  <c r="N10" i="196"/>
  <c r="M10" i="196"/>
  <c r="L10" i="196"/>
  <c r="K10" i="196"/>
  <c r="J10" i="196"/>
  <c r="I10" i="196"/>
  <c r="H10" i="196"/>
  <c r="F10" i="196"/>
  <c r="E10" i="196"/>
  <c r="D10" i="196"/>
  <c r="C10" i="196"/>
  <c r="O9" i="196"/>
  <c r="N9" i="196"/>
  <c r="M9" i="196"/>
  <c r="L9" i="196"/>
  <c r="K9" i="196"/>
  <c r="J9" i="196"/>
  <c r="I9" i="196"/>
  <c r="H9" i="196"/>
  <c r="F9" i="196"/>
  <c r="E9" i="196"/>
  <c r="D9" i="196"/>
  <c r="C9" i="196"/>
  <c r="O8" i="196"/>
  <c r="N8" i="196"/>
  <c r="M8" i="196"/>
  <c r="L8" i="196"/>
  <c r="K8" i="196"/>
  <c r="J8" i="196"/>
  <c r="I8" i="196"/>
  <c r="H8" i="196"/>
  <c r="F8" i="196"/>
  <c r="E8" i="196"/>
  <c r="D8" i="196"/>
  <c r="C8" i="196"/>
  <c r="O7" i="196"/>
  <c r="N7" i="196"/>
  <c r="M7" i="196"/>
  <c r="L7" i="196"/>
  <c r="K7" i="196"/>
  <c r="J7" i="196"/>
  <c r="I7" i="196"/>
  <c r="H7" i="196"/>
  <c r="F7" i="196"/>
  <c r="E7" i="196"/>
  <c r="D7" i="196"/>
  <c r="C7" i="196"/>
  <c r="O6" i="196"/>
  <c r="N6" i="196"/>
  <c r="M6" i="196"/>
  <c r="L6" i="196"/>
  <c r="K6" i="196"/>
  <c r="J6" i="196"/>
  <c r="I6" i="196"/>
  <c r="H6" i="196"/>
  <c r="F6" i="196"/>
  <c r="E6" i="196"/>
  <c r="D6" i="196"/>
  <c r="C6" i="196"/>
  <c r="O5" i="196"/>
  <c r="N5" i="196"/>
  <c r="M5" i="196"/>
  <c r="L5" i="196"/>
  <c r="K5" i="196"/>
  <c r="J5" i="196"/>
  <c r="I5" i="196"/>
  <c r="H5" i="196"/>
  <c r="F5" i="196"/>
  <c r="E5" i="196"/>
  <c r="D5" i="196"/>
  <c r="C5" i="196"/>
  <c r="O4" i="196"/>
  <c r="N4" i="196"/>
  <c r="M4" i="196"/>
  <c r="L4" i="196"/>
  <c r="K4" i="196"/>
  <c r="J4" i="196"/>
  <c r="I4" i="196"/>
  <c r="H4" i="196"/>
  <c r="F4" i="196"/>
  <c r="E4" i="196"/>
  <c r="D4" i="196"/>
  <c r="C4" i="196"/>
  <c r="O3" i="196"/>
  <c r="N3" i="196"/>
  <c r="M3" i="196"/>
  <c r="L3" i="196"/>
  <c r="K3" i="196"/>
  <c r="J3" i="196"/>
  <c r="I3" i="196"/>
  <c r="H3" i="196"/>
  <c r="H125" i="196" s="1"/>
  <c r="F3" i="196"/>
  <c r="E3" i="196"/>
  <c r="D3" i="196"/>
  <c r="C3" i="196"/>
  <c r="O2" i="196"/>
  <c r="N2" i="196"/>
  <c r="M2" i="196"/>
  <c r="L2" i="196"/>
  <c r="L125" i="196" s="1"/>
  <c r="K2" i="196"/>
  <c r="J2" i="196"/>
  <c r="I2" i="196"/>
  <c r="H2" i="196"/>
  <c r="F2" i="196"/>
  <c r="E2" i="196"/>
  <c r="D2" i="196"/>
  <c r="C2" i="196"/>
  <c r="H9" i="195"/>
  <c r="Y7" i="195"/>
  <c r="X7" i="195"/>
  <c r="W7" i="195"/>
  <c r="V7" i="195"/>
  <c r="U7" i="195"/>
  <c r="T7" i="195"/>
  <c r="S7" i="195"/>
  <c r="R7" i="195"/>
  <c r="Q7" i="195"/>
  <c r="P7" i="195"/>
  <c r="F7" i="195"/>
  <c r="E7" i="195"/>
  <c r="D7" i="195"/>
  <c r="C7" i="195"/>
  <c r="Y6" i="195"/>
  <c r="X6" i="195"/>
  <c r="W6" i="195"/>
  <c r="V6" i="195"/>
  <c r="U6" i="195"/>
  <c r="T6" i="195"/>
  <c r="S6" i="195"/>
  <c r="R6" i="195"/>
  <c r="Q6" i="195"/>
  <c r="P6" i="195"/>
  <c r="F6" i="195"/>
  <c r="E6" i="195"/>
  <c r="D6" i="195"/>
  <c r="C6" i="195"/>
  <c r="Y5" i="195"/>
  <c r="X5" i="195"/>
  <c r="W5" i="195"/>
  <c r="V5" i="195"/>
  <c r="U5" i="195"/>
  <c r="T5" i="195"/>
  <c r="S5" i="195"/>
  <c r="R5" i="195"/>
  <c r="Q5" i="195"/>
  <c r="P5" i="195"/>
  <c r="F5" i="195"/>
  <c r="E5" i="195"/>
  <c r="D5" i="195"/>
  <c r="C5" i="195"/>
  <c r="O4" i="195"/>
  <c r="N4" i="195"/>
  <c r="M4" i="195"/>
  <c r="L4" i="195"/>
  <c r="K4" i="195"/>
  <c r="J4" i="195"/>
  <c r="I4" i="195"/>
  <c r="H4" i="195"/>
  <c r="F4" i="195"/>
  <c r="E4" i="195"/>
  <c r="D4" i="195"/>
  <c r="C4" i="195"/>
  <c r="O3" i="195"/>
  <c r="N3" i="195"/>
  <c r="M3" i="195"/>
  <c r="L3" i="195"/>
  <c r="K3" i="195"/>
  <c r="J3" i="195"/>
  <c r="I3" i="195"/>
  <c r="H3" i="195"/>
  <c r="F3" i="195"/>
  <c r="E3" i="195"/>
  <c r="D3" i="195"/>
  <c r="C3" i="195"/>
  <c r="O2" i="195"/>
  <c r="N2" i="195"/>
  <c r="M2" i="195"/>
  <c r="M9" i="195" s="1"/>
  <c r="L2" i="195"/>
  <c r="K2" i="195"/>
  <c r="K9" i="195" s="1"/>
  <c r="J2" i="195"/>
  <c r="J9" i="195" s="1"/>
  <c r="I2" i="195"/>
  <c r="H2" i="195"/>
  <c r="F2" i="195"/>
  <c r="E2" i="195"/>
  <c r="D2" i="195"/>
  <c r="C2" i="195"/>
  <c r="F11" i="194"/>
  <c r="E11" i="194"/>
  <c r="F10" i="194"/>
  <c r="E10" i="194"/>
  <c r="Y9" i="194"/>
  <c r="X9" i="194"/>
  <c r="W9" i="194"/>
  <c r="V9" i="194"/>
  <c r="U9" i="194"/>
  <c r="T9" i="194"/>
  <c r="S9" i="194"/>
  <c r="R9" i="194"/>
  <c r="Q9" i="194"/>
  <c r="P9" i="194"/>
  <c r="F9" i="194"/>
  <c r="E9" i="194"/>
  <c r="Y8" i="194"/>
  <c r="X8" i="194"/>
  <c r="W8" i="194"/>
  <c r="V8" i="194"/>
  <c r="U8" i="194"/>
  <c r="T8" i="194"/>
  <c r="S8" i="194"/>
  <c r="R8" i="194"/>
  <c r="Q8" i="194"/>
  <c r="P8" i="194"/>
  <c r="F8" i="194"/>
  <c r="E8" i="194"/>
  <c r="Y7" i="194"/>
  <c r="X7" i="194"/>
  <c r="W7" i="194"/>
  <c r="V7" i="194"/>
  <c r="U7" i="194"/>
  <c r="T7" i="194"/>
  <c r="S7" i="194"/>
  <c r="R7" i="194"/>
  <c r="Q7" i="194"/>
  <c r="P7" i="194"/>
  <c r="F7" i="194"/>
  <c r="E7" i="194"/>
  <c r="Y6" i="194"/>
  <c r="X6" i="194"/>
  <c r="W6" i="194"/>
  <c r="V6" i="194"/>
  <c r="U6" i="194"/>
  <c r="T6" i="194"/>
  <c r="S6" i="194"/>
  <c r="R6" i="194"/>
  <c r="Q6" i="194"/>
  <c r="P6" i="194"/>
  <c r="F6" i="194"/>
  <c r="E6" i="194"/>
  <c r="Y5" i="194"/>
  <c r="X5" i="194"/>
  <c r="W5" i="194"/>
  <c r="V5" i="194"/>
  <c r="U5" i="194"/>
  <c r="T5" i="194"/>
  <c r="S5" i="194"/>
  <c r="R5" i="194"/>
  <c r="Q5" i="194"/>
  <c r="P5" i="194"/>
  <c r="F5" i="194"/>
  <c r="E5" i="194"/>
  <c r="Y4" i="194"/>
  <c r="X4" i="194"/>
  <c r="W4" i="194"/>
  <c r="V4" i="194"/>
  <c r="U4" i="194"/>
  <c r="T4" i="194"/>
  <c r="S4" i="194"/>
  <c r="R4" i="194"/>
  <c r="Q4" i="194"/>
  <c r="P4" i="194"/>
  <c r="F4" i="194"/>
  <c r="E4" i="194"/>
  <c r="D4" i="194"/>
  <c r="C4" i="194"/>
  <c r="O3" i="194"/>
  <c r="N3" i="194"/>
  <c r="M3" i="194"/>
  <c r="L3" i="194"/>
  <c r="K3" i="194"/>
  <c r="J3" i="194"/>
  <c r="I3" i="194"/>
  <c r="H3" i="194"/>
  <c r="F3" i="194"/>
  <c r="E3" i="194"/>
  <c r="D3" i="194"/>
  <c r="C3" i="194"/>
  <c r="O2" i="194"/>
  <c r="N2" i="194"/>
  <c r="N13" i="194" s="1"/>
  <c r="M2" i="194"/>
  <c r="L2" i="194"/>
  <c r="K2" i="194"/>
  <c r="K13" i="194" s="1"/>
  <c r="J2" i="194"/>
  <c r="I2" i="194"/>
  <c r="H2" i="194"/>
  <c r="F2" i="194"/>
  <c r="E2" i="194"/>
  <c r="D2" i="194"/>
  <c r="C2" i="194"/>
  <c r="E42" i="193"/>
  <c r="F41" i="193"/>
  <c r="E41" i="193"/>
  <c r="F40" i="193"/>
  <c r="E40" i="193"/>
  <c r="F39" i="193"/>
  <c r="E39" i="193"/>
  <c r="F38" i="193"/>
  <c r="E38" i="193"/>
  <c r="F37" i="193"/>
  <c r="E37" i="193"/>
  <c r="F36" i="193"/>
  <c r="E36" i="193"/>
  <c r="F35" i="193"/>
  <c r="E35" i="193"/>
  <c r="F34" i="193"/>
  <c r="E34" i="193"/>
  <c r="F33" i="193"/>
  <c r="E33" i="193"/>
  <c r="F32" i="193"/>
  <c r="E32" i="193"/>
  <c r="F31" i="193"/>
  <c r="E31" i="193"/>
  <c r="F30" i="193"/>
  <c r="E30" i="193"/>
  <c r="F29" i="193"/>
  <c r="E29" i="193"/>
  <c r="F28" i="193"/>
  <c r="E28" i="193"/>
  <c r="F27" i="193"/>
  <c r="E27" i="193"/>
  <c r="F26" i="193"/>
  <c r="E26" i="193"/>
  <c r="F25" i="193"/>
  <c r="E25" i="193"/>
  <c r="F24" i="193"/>
  <c r="E24" i="193"/>
  <c r="F23" i="193"/>
  <c r="E23" i="193"/>
  <c r="F22" i="193"/>
  <c r="E22" i="193"/>
  <c r="F21" i="193"/>
  <c r="E21" i="193"/>
  <c r="F20" i="193"/>
  <c r="E20" i="193"/>
  <c r="O19" i="193"/>
  <c r="N19" i="193"/>
  <c r="M19" i="193"/>
  <c r="L19" i="193"/>
  <c r="K19" i="193"/>
  <c r="J19" i="193"/>
  <c r="I19" i="193"/>
  <c r="H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F15" i="193"/>
  <c r="E15" i="193"/>
  <c r="D15" i="193"/>
  <c r="C15" i="193"/>
  <c r="O14" i="193"/>
  <c r="N14" i="193"/>
  <c r="M14" i="193"/>
  <c r="L14" i="193"/>
  <c r="K14" i="193"/>
  <c r="J14" i="193"/>
  <c r="I14" i="193"/>
  <c r="H14" i="193"/>
  <c r="F14" i="193"/>
  <c r="E14" i="193"/>
  <c r="D14" i="193"/>
  <c r="C14" i="193"/>
  <c r="O13" i="193"/>
  <c r="N13" i="193"/>
  <c r="M13" i="193"/>
  <c r="L13" i="193"/>
  <c r="K13" i="193"/>
  <c r="J13" i="193"/>
  <c r="I13" i="193"/>
  <c r="H13" i="193"/>
  <c r="F13" i="193"/>
  <c r="E13" i="193"/>
  <c r="D13" i="193"/>
  <c r="C13" i="193"/>
  <c r="O12" i="193"/>
  <c r="N12" i="193"/>
  <c r="M12" i="193"/>
  <c r="L12" i="193"/>
  <c r="K12" i="193"/>
  <c r="J12" i="193"/>
  <c r="I12" i="193"/>
  <c r="H12" i="193"/>
  <c r="F12" i="193"/>
  <c r="E12" i="193"/>
  <c r="D12" i="193"/>
  <c r="C12" i="193"/>
  <c r="O11" i="193"/>
  <c r="N11" i="193"/>
  <c r="M11" i="193"/>
  <c r="L11" i="193"/>
  <c r="K11" i="193"/>
  <c r="J11" i="193"/>
  <c r="I11" i="193"/>
  <c r="H11" i="193"/>
  <c r="F11" i="193"/>
  <c r="E11" i="193"/>
  <c r="D11" i="193"/>
  <c r="C11" i="193"/>
  <c r="O10" i="193"/>
  <c r="N10" i="193"/>
  <c r="M10" i="193"/>
  <c r="L10" i="193"/>
  <c r="K10" i="193"/>
  <c r="J10" i="193"/>
  <c r="I10" i="193"/>
  <c r="H10" i="193"/>
  <c r="F10" i="193"/>
  <c r="E10" i="193"/>
  <c r="D10" i="193"/>
  <c r="C10" i="193"/>
  <c r="O9" i="193"/>
  <c r="N9" i="193"/>
  <c r="M9" i="193"/>
  <c r="L9" i="193"/>
  <c r="K9" i="193"/>
  <c r="J9" i="193"/>
  <c r="I9" i="193"/>
  <c r="H9" i="193"/>
  <c r="F9" i="193"/>
  <c r="E9" i="193"/>
  <c r="D9" i="193"/>
  <c r="C9" i="193"/>
  <c r="O8" i="193"/>
  <c r="N8" i="193"/>
  <c r="M8" i="193"/>
  <c r="L8" i="193"/>
  <c r="K8" i="193"/>
  <c r="J8" i="193"/>
  <c r="I8" i="193"/>
  <c r="H8" i="193"/>
  <c r="F8" i="193"/>
  <c r="E8" i="193"/>
  <c r="D8" i="193"/>
  <c r="C8" i="193"/>
  <c r="O7" i="193"/>
  <c r="N7" i="193"/>
  <c r="M7" i="193"/>
  <c r="L7" i="193"/>
  <c r="K7" i="193"/>
  <c r="J7" i="193"/>
  <c r="I7" i="193"/>
  <c r="H7" i="193"/>
  <c r="F7" i="193"/>
  <c r="E7" i="193"/>
  <c r="D7" i="193"/>
  <c r="C7" i="193"/>
  <c r="O6" i="193"/>
  <c r="N6" i="193"/>
  <c r="M6" i="193"/>
  <c r="L6" i="193"/>
  <c r="K6" i="193"/>
  <c r="J6" i="193"/>
  <c r="I6" i="193"/>
  <c r="H6" i="193"/>
  <c r="F6" i="193"/>
  <c r="E6" i="193"/>
  <c r="D6" i="193"/>
  <c r="C6" i="193"/>
  <c r="O5" i="193"/>
  <c r="N5" i="193"/>
  <c r="M5" i="193"/>
  <c r="L5" i="193"/>
  <c r="K5" i="193"/>
  <c r="J5" i="193"/>
  <c r="I5" i="193"/>
  <c r="H5" i="193"/>
  <c r="F5" i="193"/>
  <c r="E5" i="193"/>
  <c r="D5" i="193"/>
  <c r="C5" i="193"/>
  <c r="O4" i="193"/>
  <c r="N4" i="193"/>
  <c r="M4" i="193"/>
  <c r="L4" i="193"/>
  <c r="K4" i="193"/>
  <c r="J4" i="193"/>
  <c r="I4" i="193"/>
  <c r="H4" i="193"/>
  <c r="F4" i="193"/>
  <c r="E4" i="193"/>
  <c r="D4" i="193"/>
  <c r="C4" i="193"/>
  <c r="O3" i="193"/>
  <c r="N3" i="193"/>
  <c r="M3" i="193"/>
  <c r="L3" i="193"/>
  <c r="K3" i="193"/>
  <c r="J3" i="193"/>
  <c r="I3" i="193"/>
  <c r="H3" i="193"/>
  <c r="F3" i="193"/>
  <c r="E3" i="193"/>
  <c r="D3" i="193"/>
  <c r="C3" i="193"/>
  <c r="O2" i="193"/>
  <c r="N2" i="193"/>
  <c r="M2" i="193"/>
  <c r="L2" i="193"/>
  <c r="K2" i="193"/>
  <c r="J2" i="193"/>
  <c r="I2" i="193"/>
  <c r="H2" i="193"/>
  <c r="H44" i="193" s="1"/>
  <c r="F2" i="193"/>
  <c r="E2" i="193"/>
  <c r="D2" i="193"/>
  <c r="C2" i="193"/>
  <c r="F21" i="192"/>
  <c r="E21" i="192"/>
  <c r="D21" i="192"/>
  <c r="C21" i="192"/>
  <c r="F20" i="192"/>
  <c r="E20" i="192"/>
  <c r="D20" i="192"/>
  <c r="C20" i="192"/>
  <c r="F19" i="192"/>
  <c r="E19" i="192"/>
  <c r="D19" i="192"/>
  <c r="C19" i="192"/>
  <c r="F18" i="192"/>
  <c r="E18" i="192"/>
  <c r="D18" i="192"/>
  <c r="C18" i="192"/>
  <c r="F17" i="192"/>
  <c r="E17" i="192"/>
  <c r="D17" i="192"/>
  <c r="C17" i="192"/>
  <c r="F16" i="192"/>
  <c r="E16" i="192"/>
  <c r="D16" i="192"/>
  <c r="C16" i="192"/>
  <c r="F15" i="192"/>
  <c r="E15" i="192"/>
  <c r="D15" i="192"/>
  <c r="C15" i="192"/>
  <c r="F14" i="192"/>
  <c r="E14" i="192"/>
  <c r="D14" i="192"/>
  <c r="C14" i="192"/>
  <c r="F13" i="192"/>
  <c r="E13" i="192"/>
  <c r="D13" i="192"/>
  <c r="C13" i="192"/>
  <c r="F12" i="192"/>
  <c r="E12" i="192"/>
  <c r="D12" i="192"/>
  <c r="C12" i="192"/>
  <c r="F11" i="192"/>
  <c r="E11" i="192"/>
  <c r="D11" i="192"/>
  <c r="C11" i="192"/>
  <c r="F10" i="192"/>
  <c r="E10" i="192"/>
  <c r="D10" i="192"/>
  <c r="C10" i="192"/>
  <c r="F9" i="192"/>
  <c r="E9" i="192"/>
  <c r="D9" i="192"/>
  <c r="C9" i="192"/>
  <c r="F8" i="192"/>
  <c r="E8" i="192"/>
  <c r="D8" i="192"/>
  <c r="C8" i="192"/>
  <c r="Y7" i="192"/>
  <c r="X7" i="192"/>
  <c r="W7" i="192"/>
  <c r="V7" i="192"/>
  <c r="U7" i="192"/>
  <c r="T7" i="192"/>
  <c r="S7" i="192"/>
  <c r="R7" i="192"/>
  <c r="Q7" i="192"/>
  <c r="P7" i="192"/>
  <c r="F7" i="192"/>
  <c r="E7" i="192"/>
  <c r="D7" i="192"/>
  <c r="C7" i="192"/>
  <c r="Y6" i="192"/>
  <c r="X6" i="192"/>
  <c r="W6" i="192"/>
  <c r="V6" i="192"/>
  <c r="U6" i="192"/>
  <c r="T6" i="192"/>
  <c r="S6" i="192"/>
  <c r="R6" i="192"/>
  <c r="Q6" i="192"/>
  <c r="P6" i="192"/>
  <c r="F6" i="192"/>
  <c r="E6" i="192"/>
  <c r="D6" i="192"/>
  <c r="C6" i="192"/>
  <c r="Y5" i="192"/>
  <c r="X5" i="192"/>
  <c r="W5" i="192"/>
  <c r="V5" i="192"/>
  <c r="U5" i="192"/>
  <c r="T5" i="192"/>
  <c r="S5" i="192"/>
  <c r="R5" i="192"/>
  <c r="Q5" i="192"/>
  <c r="P5" i="192"/>
  <c r="F5" i="192"/>
  <c r="E5" i="192"/>
  <c r="D5" i="192"/>
  <c r="C5" i="192"/>
  <c r="O4" i="192"/>
  <c r="N4" i="192"/>
  <c r="M4" i="192"/>
  <c r="L4" i="192"/>
  <c r="K4" i="192"/>
  <c r="J4" i="192"/>
  <c r="I4" i="192"/>
  <c r="H4" i="192"/>
  <c r="F4" i="192"/>
  <c r="E4" i="192"/>
  <c r="D4" i="192"/>
  <c r="C4" i="192"/>
  <c r="O3" i="192"/>
  <c r="N3" i="192"/>
  <c r="M3" i="192"/>
  <c r="L3" i="192"/>
  <c r="K3" i="192"/>
  <c r="J3" i="192"/>
  <c r="I3" i="192"/>
  <c r="H3" i="192"/>
  <c r="F3" i="192"/>
  <c r="E3" i="192"/>
  <c r="D3" i="192"/>
  <c r="C3" i="192"/>
  <c r="O2" i="192"/>
  <c r="N2" i="192"/>
  <c r="M2" i="192"/>
  <c r="L2" i="192"/>
  <c r="K2" i="192"/>
  <c r="J2" i="192"/>
  <c r="I2" i="192"/>
  <c r="H2" i="192"/>
  <c r="F2" i="192"/>
  <c r="E2" i="192"/>
  <c r="D2" i="192"/>
  <c r="C2" i="192"/>
  <c r="J5" i="191"/>
  <c r="O3" i="191"/>
  <c r="N3" i="191"/>
  <c r="M3" i="191"/>
  <c r="L3" i="191"/>
  <c r="K3" i="191"/>
  <c r="J3" i="191"/>
  <c r="I3" i="191"/>
  <c r="H3" i="191"/>
  <c r="F3" i="191"/>
  <c r="E3" i="191"/>
  <c r="D3" i="191"/>
  <c r="C3" i="191"/>
  <c r="O2" i="191"/>
  <c r="N2" i="191"/>
  <c r="M2" i="191"/>
  <c r="L2" i="191"/>
  <c r="L5" i="191" s="1"/>
  <c r="K2" i="191"/>
  <c r="J2" i="191"/>
  <c r="I2" i="191"/>
  <c r="H2" i="191"/>
  <c r="F2" i="191"/>
  <c r="E2" i="191"/>
  <c r="D2" i="191"/>
  <c r="C2" i="191"/>
  <c r="F15" i="190"/>
  <c r="E15" i="190"/>
  <c r="F14" i="190"/>
  <c r="E14" i="190"/>
  <c r="F13" i="190"/>
  <c r="E13" i="190"/>
  <c r="F12" i="190"/>
  <c r="E12" i="190"/>
  <c r="F11" i="190"/>
  <c r="E11" i="190"/>
  <c r="F10" i="190"/>
  <c r="E10" i="190"/>
  <c r="F9" i="190"/>
  <c r="E9" i="190"/>
  <c r="F8" i="190"/>
  <c r="E8" i="190"/>
  <c r="F7" i="190"/>
  <c r="E7" i="190"/>
  <c r="O6" i="190"/>
  <c r="N6" i="190"/>
  <c r="M6" i="190"/>
  <c r="L6" i="190"/>
  <c r="K6" i="190"/>
  <c r="J6" i="190"/>
  <c r="I6" i="190"/>
  <c r="H6" i="190"/>
  <c r="F6" i="190"/>
  <c r="E6" i="190"/>
  <c r="D6" i="190"/>
  <c r="C6" i="190"/>
  <c r="O5" i="190"/>
  <c r="N5" i="190"/>
  <c r="M5" i="190"/>
  <c r="L5" i="190"/>
  <c r="K5" i="190"/>
  <c r="J5" i="190"/>
  <c r="I5" i="190"/>
  <c r="H5" i="190"/>
  <c r="F5" i="190"/>
  <c r="E5" i="190"/>
  <c r="D5" i="190"/>
  <c r="C5" i="190"/>
  <c r="O4" i="190"/>
  <c r="N4" i="190"/>
  <c r="M4" i="190"/>
  <c r="L4" i="190"/>
  <c r="K4" i="190"/>
  <c r="J4" i="190"/>
  <c r="I4" i="190"/>
  <c r="H4" i="190"/>
  <c r="F4" i="190"/>
  <c r="E4" i="190"/>
  <c r="D4" i="190"/>
  <c r="C4" i="190"/>
  <c r="O3" i="190"/>
  <c r="N3" i="190"/>
  <c r="M3" i="190"/>
  <c r="L3" i="190"/>
  <c r="K3" i="190"/>
  <c r="J3" i="190"/>
  <c r="I3" i="190"/>
  <c r="H3" i="190"/>
  <c r="F3" i="190"/>
  <c r="E3" i="190"/>
  <c r="D3" i="190"/>
  <c r="C3" i="190"/>
  <c r="O2" i="190"/>
  <c r="O17" i="190" s="1"/>
  <c r="N2" i="190"/>
  <c r="M2" i="190"/>
  <c r="L2" i="190"/>
  <c r="L17" i="190" s="1"/>
  <c r="K2" i="190"/>
  <c r="J2" i="190"/>
  <c r="I2" i="190"/>
  <c r="H2" i="190"/>
  <c r="F2" i="190"/>
  <c r="E2" i="190"/>
  <c r="D2" i="190"/>
  <c r="C2" i="190"/>
  <c r="O13" i="189"/>
  <c r="F11" i="189"/>
  <c r="E11" i="189"/>
  <c r="D11" i="189"/>
  <c r="C11" i="189"/>
  <c r="F10" i="189"/>
  <c r="E10" i="189"/>
  <c r="D10" i="189"/>
  <c r="C10" i="189"/>
  <c r="F9" i="189"/>
  <c r="E9" i="189"/>
  <c r="D9" i="189"/>
  <c r="C9" i="189"/>
  <c r="F8" i="189"/>
  <c r="E8" i="189"/>
  <c r="D8" i="189"/>
  <c r="C8" i="189"/>
  <c r="F7" i="189"/>
  <c r="E7" i="189"/>
  <c r="D7" i="189"/>
  <c r="C7" i="189"/>
  <c r="F6" i="189"/>
  <c r="E6" i="189"/>
  <c r="D6" i="189"/>
  <c r="C6" i="189"/>
  <c r="F5" i="189"/>
  <c r="E5" i="189"/>
  <c r="D5" i="189"/>
  <c r="C5" i="189"/>
  <c r="O4" i="189"/>
  <c r="N4" i="189"/>
  <c r="M4" i="189"/>
  <c r="L4" i="189"/>
  <c r="K4" i="189"/>
  <c r="J4" i="189"/>
  <c r="I4" i="189"/>
  <c r="H4" i="189"/>
  <c r="F4" i="189"/>
  <c r="E4" i="189"/>
  <c r="D4" i="189"/>
  <c r="C4" i="189"/>
  <c r="O3" i="189"/>
  <c r="N3" i="189"/>
  <c r="M3" i="189"/>
  <c r="L3" i="189"/>
  <c r="K3" i="189"/>
  <c r="J3" i="189"/>
  <c r="I3" i="189"/>
  <c r="I13" i="189" s="1"/>
  <c r="H3" i="189"/>
  <c r="F3" i="189"/>
  <c r="E3" i="189"/>
  <c r="D3" i="189"/>
  <c r="C3" i="189"/>
  <c r="O2" i="189"/>
  <c r="N2" i="189"/>
  <c r="M2" i="189"/>
  <c r="L2" i="189"/>
  <c r="L13" i="189" s="1"/>
  <c r="K2" i="189"/>
  <c r="J2" i="189"/>
  <c r="J13" i="189" s="1"/>
  <c r="I2" i="189"/>
  <c r="H2" i="189"/>
  <c r="F2" i="189"/>
  <c r="E2" i="189"/>
  <c r="D2" i="189"/>
  <c r="C2" i="189"/>
  <c r="Y28" i="188"/>
  <c r="X28" i="188"/>
  <c r="W28" i="188"/>
  <c r="V28" i="188"/>
  <c r="U28" i="188"/>
  <c r="T28" i="188"/>
  <c r="S28" i="188"/>
  <c r="R28" i="188"/>
  <c r="Q28" i="188"/>
  <c r="P28" i="188"/>
  <c r="F28" i="188"/>
  <c r="E28" i="188"/>
  <c r="D28" i="188"/>
  <c r="C28" i="188"/>
  <c r="Y27" i="188"/>
  <c r="X27" i="188"/>
  <c r="W27" i="188"/>
  <c r="V27" i="188"/>
  <c r="U27" i="188"/>
  <c r="T27" i="188"/>
  <c r="S27" i="188"/>
  <c r="R27" i="188"/>
  <c r="Q27" i="188"/>
  <c r="P27" i="188"/>
  <c r="F27" i="188"/>
  <c r="E27" i="188"/>
  <c r="D27" i="188"/>
  <c r="C27" i="188"/>
  <c r="Y26" i="188"/>
  <c r="X26" i="188"/>
  <c r="W26" i="188"/>
  <c r="V26" i="188"/>
  <c r="U26" i="188"/>
  <c r="T26" i="188"/>
  <c r="S26" i="188"/>
  <c r="R26" i="188"/>
  <c r="Q26" i="188"/>
  <c r="P26" i="188"/>
  <c r="F26" i="188"/>
  <c r="E26" i="188"/>
  <c r="D26" i="188"/>
  <c r="C26" i="188"/>
  <c r="Y25" i="188"/>
  <c r="X25" i="188"/>
  <c r="W25" i="188"/>
  <c r="V25" i="188"/>
  <c r="U25" i="188"/>
  <c r="T25" i="188"/>
  <c r="S25" i="188"/>
  <c r="R25" i="188"/>
  <c r="Q25" i="188"/>
  <c r="P25" i="188"/>
  <c r="F25" i="188"/>
  <c r="E25" i="188"/>
  <c r="D25" i="188"/>
  <c r="C25" i="188"/>
  <c r="Y24" i="188"/>
  <c r="X24" i="188"/>
  <c r="W24" i="188"/>
  <c r="V24" i="188"/>
  <c r="U24" i="188"/>
  <c r="T24" i="188"/>
  <c r="S24" i="188"/>
  <c r="R24" i="188"/>
  <c r="Q24" i="188"/>
  <c r="P24" i="188"/>
  <c r="F24" i="188"/>
  <c r="E24" i="188"/>
  <c r="D24" i="188"/>
  <c r="C24" i="188"/>
  <c r="Y23" i="188"/>
  <c r="X23" i="188"/>
  <c r="W23" i="188"/>
  <c r="V23" i="188"/>
  <c r="U23" i="188"/>
  <c r="T23" i="188"/>
  <c r="S23" i="188"/>
  <c r="R23" i="188"/>
  <c r="Q23" i="188"/>
  <c r="P23" i="188"/>
  <c r="F23" i="188"/>
  <c r="E23" i="188"/>
  <c r="D23" i="188"/>
  <c r="C23" i="188"/>
  <c r="Y22" i="188"/>
  <c r="X22" i="188"/>
  <c r="W22" i="188"/>
  <c r="V22" i="188"/>
  <c r="U22" i="188"/>
  <c r="T22" i="188"/>
  <c r="S22" i="188"/>
  <c r="R22" i="188"/>
  <c r="Q22" i="188"/>
  <c r="P22" i="188"/>
  <c r="F22" i="188"/>
  <c r="E22" i="188"/>
  <c r="D22" i="188"/>
  <c r="C22" i="188"/>
  <c r="Y21" i="188"/>
  <c r="X21" i="188"/>
  <c r="W21" i="188"/>
  <c r="V21" i="188"/>
  <c r="U21" i="188"/>
  <c r="T21" i="188"/>
  <c r="S21" i="188"/>
  <c r="R21" i="188"/>
  <c r="Q21" i="188"/>
  <c r="P21" i="188"/>
  <c r="F21" i="188"/>
  <c r="E21" i="188"/>
  <c r="D21" i="188"/>
  <c r="C21" i="188"/>
  <c r="Y20" i="188"/>
  <c r="X20" i="188"/>
  <c r="W20" i="188"/>
  <c r="V20" i="188"/>
  <c r="U20" i="188"/>
  <c r="T20" i="188"/>
  <c r="S20" i="188"/>
  <c r="R20" i="188"/>
  <c r="Q20" i="188"/>
  <c r="P20" i="188"/>
  <c r="F20" i="188"/>
  <c r="E20" i="188"/>
  <c r="D20" i="188"/>
  <c r="C20" i="188"/>
  <c r="Y19" i="188"/>
  <c r="X19" i="188"/>
  <c r="W19" i="188"/>
  <c r="V19" i="188"/>
  <c r="U19" i="188"/>
  <c r="T19" i="188"/>
  <c r="S19" i="188"/>
  <c r="R19" i="188"/>
  <c r="Q19" i="188"/>
  <c r="P19" i="188"/>
  <c r="F19" i="188"/>
  <c r="E19" i="188"/>
  <c r="D19" i="188"/>
  <c r="C19" i="188"/>
  <c r="Y18" i="188"/>
  <c r="X18" i="188"/>
  <c r="W18" i="188"/>
  <c r="V18" i="188"/>
  <c r="U18" i="188"/>
  <c r="T18" i="188"/>
  <c r="S18" i="188"/>
  <c r="R18" i="188"/>
  <c r="Q18" i="188"/>
  <c r="P18" i="188"/>
  <c r="F18" i="188"/>
  <c r="E18" i="188"/>
  <c r="D18" i="188"/>
  <c r="C18" i="188"/>
  <c r="Y17" i="188"/>
  <c r="X17" i="188"/>
  <c r="W17" i="188"/>
  <c r="V17" i="188"/>
  <c r="U17" i="188"/>
  <c r="T17" i="188"/>
  <c r="S17" i="188"/>
  <c r="R17" i="188"/>
  <c r="Q17" i="188"/>
  <c r="P17" i="188"/>
  <c r="F17" i="188"/>
  <c r="E17" i="188"/>
  <c r="D17" i="188"/>
  <c r="C17" i="188"/>
  <c r="Y16" i="188"/>
  <c r="X16" i="188"/>
  <c r="W16" i="188"/>
  <c r="V16" i="188"/>
  <c r="U16" i="188"/>
  <c r="T16" i="188"/>
  <c r="S16" i="188"/>
  <c r="R16" i="188"/>
  <c r="Q16" i="188"/>
  <c r="P16" i="188"/>
  <c r="F16" i="188"/>
  <c r="E16" i="188"/>
  <c r="D16" i="188"/>
  <c r="C16" i="188"/>
  <c r="Y15" i="188"/>
  <c r="X15" i="188"/>
  <c r="W15" i="188"/>
  <c r="V15" i="188"/>
  <c r="U15" i="188"/>
  <c r="T15" i="188"/>
  <c r="S15" i="188"/>
  <c r="R15" i="188"/>
  <c r="Q15" i="188"/>
  <c r="P15" i="188"/>
  <c r="F15" i="188"/>
  <c r="E15" i="188"/>
  <c r="D15" i="188"/>
  <c r="C15" i="188"/>
  <c r="Y14" i="188"/>
  <c r="X14" i="188"/>
  <c r="W14" i="188"/>
  <c r="V14" i="188"/>
  <c r="U14" i="188"/>
  <c r="T14" i="188"/>
  <c r="S14" i="188"/>
  <c r="R14" i="188"/>
  <c r="Q14" i="188"/>
  <c r="P14" i="188"/>
  <c r="F14" i="188"/>
  <c r="E14" i="188"/>
  <c r="D14" i="188"/>
  <c r="C14" i="188"/>
  <c r="Y13" i="188"/>
  <c r="X13" i="188"/>
  <c r="W13" i="188"/>
  <c r="V13" i="188"/>
  <c r="U13" i="188"/>
  <c r="T13" i="188"/>
  <c r="S13" i="188"/>
  <c r="R13" i="188"/>
  <c r="Q13" i="188"/>
  <c r="P13" i="188"/>
  <c r="F13" i="188"/>
  <c r="E13" i="188"/>
  <c r="D13" i="188"/>
  <c r="C13" i="188"/>
  <c r="Y12" i="188"/>
  <c r="X12" i="188"/>
  <c r="W12" i="188"/>
  <c r="V12" i="188"/>
  <c r="U12" i="188"/>
  <c r="T12" i="188"/>
  <c r="S12" i="188"/>
  <c r="R12" i="188"/>
  <c r="Q12" i="188"/>
  <c r="P12" i="188"/>
  <c r="F12" i="188"/>
  <c r="E12" i="188"/>
  <c r="D12" i="188"/>
  <c r="C12" i="188"/>
  <c r="Y11" i="188"/>
  <c r="X11" i="188"/>
  <c r="W11" i="188"/>
  <c r="V11" i="188"/>
  <c r="U11" i="188"/>
  <c r="T11" i="188"/>
  <c r="S11" i="188"/>
  <c r="R11" i="188"/>
  <c r="Q11" i="188"/>
  <c r="P11" i="188"/>
  <c r="F11" i="188"/>
  <c r="E11" i="188"/>
  <c r="D11" i="188"/>
  <c r="C11" i="188"/>
  <c r="O10" i="188"/>
  <c r="N10" i="188"/>
  <c r="M10" i="188"/>
  <c r="L10" i="188"/>
  <c r="K10" i="188"/>
  <c r="J10" i="188"/>
  <c r="I10" i="188"/>
  <c r="H10" i="188"/>
  <c r="F10" i="188"/>
  <c r="E10" i="188"/>
  <c r="D10" i="188"/>
  <c r="C10" i="188"/>
  <c r="O9" i="188"/>
  <c r="N9" i="188"/>
  <c r="M9" i="188"/>
  <c r="L9" i="188"/>
  <c r="K9" i="188"/>
  <c r="J9" i="188"/>
  <c r="I9" i="188"/>
  <c r="H9" i="188"/>
  <c r="F9" i="188"/>
  <c r="E9" i="188"/>
  <c r="D9" i="188"/>
  <c r="C9" i="188"/>
  <c r="O8" i="188"/>
  <c r="N8" i="188"/>
  <c r="M8" i="188"/>
  <c r="L8" i="188"/>
  <c r="K8" i="188"/>
  <c r="J8" i="188"/>
  <c r="I8" i="188"/>
  <c r="H8" i="188"/>
  <c r="F8" i="188"/>
  <c r="E8" i="188"/>
  <c r="D8" i="188"/>
  <c r="C8" i="188"/>
  <c r="O7" i="188"/>
  <c r="N7" i="188"/>
  <c r="M7" i="188"/>
  <c r="L7" i="188"/>
  <c r="K7" i="188"/>
  <c r="J7" i="188"/>
  <c r="I7" i="188"/>
  <c r="H7" i="188"/>
  <c r="F7" i="188"/>
  <c r="E7" i="188"/>
  <c r="D7" i="188"/>
  <c r="C7" i="188"/>
  <c r="O6" i="188"/>
  <c r="N6" i="188"/>
  <c r="M6" i="188"/>
  <c r="L6" i="188"/>
  <c r="K6" i="188"/>
  <c r="J6" i="188"/>
  <c r="I6" i="188"/>
  <c r="H6" i="188"/>
  <c r="F6" i="188"/>
  <c r="E6" i="188"/>
  <c r="D6" i="188"/>
  <c r="C6" i="188"/>
  <c r="O5" i="188"/>
  <c r="N5" i="188"/>
  <c r="M5" i="188"/>
  <c r="L5" i="188"/>
  <c r="K5" i="188"/>
  <c r="J5" i="188"/>
  <c r="I5" i="188"/>
  <c r="H5" i="188"/>
  <c r="F5" i="188"/>
  <c r="E5" i="188"/>
  <c r="D5" i="188"/>
  <c r="C5" i="188"/>
  <c r="O4" i="188"/>
  <c r="N4" i="188"/>
  <c r="M4" i="188"/>
  <c r="L4" i="188"/>
  <c r="K4" i="188"/>
  <c r="J4" i="188"/>
  <c r="I4" i="188"/>
  <c r="H4" i="188"/>
  <c r="F4" i="188"/>
  <c r="E4" i="188"/>
  <c r="D4" i="188"/>
  <c r="C4" i="188"/>
  <c r="O3" i="188"/>
  <c r="N3" i="188"/>
  <c r="M3" i="188"/>
  <c r="L3" i="188"/>
  <c r="K3" i="188"/>
  <c r="J3" i="188"/>
  <c r="I3" i="188"/>
  <c r="H3" i="188"/>
  <c r="F3" i="188"/>
  <c r="E3" i="188"/>
  <c r="D3" i="188"/>
  <c r="C3" i="188"/>
  <c r="O2" i="188"/>
  <c r="N2" i="188"/>
  <c r="M2" i="188"/>
  <c r="M30" i="188" s="1"/>
  <c r="L2" i="188"/>
  <c r="K2" i="188"/>
  <c r="J2" i="188"/>
  <c r="J30" i="188" s="1"/>
  <c r="I2" i="188"/>
  <c r="H2" i="188"/>
  <c r="F2" i="188"/>
  <c r="E2" i="188"/>
  <c r="D2" i="188"/>
  <c r="C2" i="188"/>
  <c r="Y7" i="187"/>
  <c r="X7" i="187"/>
  <c r="W7" i="187"/>
  <c r="V7" i="187"/>
  <c r="U7" i="187"/>
  <c r="T7" i="187"/>
  <c r="S7" i="187"/>
  <c r="R7" i="187"/>
  <c r="Q7" i="187"/>
  <c r="P7" i="187"/>
  <c r="E7" i="187"/>
  <c r="D7" i="187"/>
  <c r="C7" i="187"/>
  <c r="Y6" i="187"/>
  <c r="X6" i="187"/>
  <c r="W6" i="187"/>
  <c r="V6" i="187"/>
  <c r="U6" i="187"/>
  <c r="T6" i="187"/>
  <c r="S6" i="187"/>
  <c r="R6" i="187"/>
  <c r="Q6" i="187"/>
  <c r="P6" i="187"/>
  <c r="F6" i="187"/>
  <c r="E6" i="187"/>
  <c r="D6" i="187"/>
  <c r="C6" i="187"/>
  <c r="Y5" i="187"/>
  <c r="X5" i="187"/>
  <c r="W5" i="187"/>
  <c r="V5" i="187"/>
  <c r="U5" i="187"/>
  <c r="T5" i="187"/>
  <c r="S5" i="187"/>
  <c r="R5" i="187"/>
  <c r="Q5" i="187"/>
  <c r="P5" i="187"/>
  <c r="F5" i="187"/>
  <c r="E5" i="187"/>
  <c r="D5" i="187"/>
  <c r="C5" i="187"/>
  <c r="Y4" i="187"/>
  <c r="X4" i="187"/>
  <c r="W4" i="187"/>
  <c r="V4" i="187"/>
  <c r="U4" i="187"/>
  <c r="T4" i="187"/>
  <c r="S4" i="187"/>
  <c r="R4" i="187"/>
  <c r="Q4" i="187"/>
  <c r="P4" i="187"/>
  <c r="F4" i="187"/>
  <c r="E4" i="187"/>
  <c r="D4" i="187"/>
  <c r="C4" i="187"/>
  <c r="O3" i="187"/>
  <c r="N3" i="187"/>
  <c r="M3" i="187"/>
  <c r="L3" i="187"/>
  <c r="K3" i="187"/>
  <c r="J3" i="187"/>
  <c r="I3" i="187"/>
  <c r="H3" i="187"/>
  <c r="F3" i="187"/>
  <c r="E3" i="187"/>
  <c r="D3" i="187"/>
  <c r="C3" i="187"/>
  <c r="O2" i="187"/>
  <c r="O9" i="187" s="1"/>
  <c r="N2" i="187"/>
  <c r="N9" i="187" s="1"/>
  <c r="M2" i="187"/>
  <c r="M9" i="187" s="1"/>
  <c r="L2" i="187"/>
  <c r="L9" i="187" s="1"/>
  <c r="K2" i="187"/>
  <c r="J2" i="187"/>
  <c r="J9" i="187" s="1"/>
  <c r="I2" i="187"/>
  <c r="H2" i="187"/>
  <c r="F2" i="187"/>
  <c r="E2" i="187"/>
  <c r="D2" i="187"/>
  <c r="C2" i="187"/>
  <c r="Y6" i="186"/>
  <c r="X6" i="186"/>
  <c r="W6" i="186"/>
  <c r="V6" i="186"/>
  <c r="U6" i="186"/>
  <c r="T6" i="186"/>
  <c r="S6" i="186"/>
  <c r="R6" i="186"/>
  <c r="Q6" i="186"/>
  <c r="P6" i="186"/>
  <c r="O6" i="186"/>
  <c r="N6" i="186"/>
  <c r="M6" i="186"/>
  <c r="L6" i="186"/>
  <c r="K6" i="186"/>
  <c r="J6" i="186"/>
  <c r="I6" i="186"/>
  <c r="H6" i="186"/>
  <c r="F6" i="186"/>
  <c r="E6" i="186"/>
  <c r="D6" i="186"/>
  <c r="C6" i="186"/>
  <c r="Y5" i="186"/>
  <c r="X5" i="186"/>
  <c r="W5" i="186"/>
  <c r="V5" i="186"/>
  <c r="U5" i="186"/>
  <c r="T5" i="186"/>
  <c r="S5" i="186"/>
  <c r="R5" i="186"/>
  <c r="Q5" i="186"/>
  <c r="P5" i="186"/>
  <c r="O5" i="186"/>
  <c r="N5" i="186"/>
  <c r="M5" i="186"/>
  <c r="L5" i="186"/>
  <c r="K5" i="186"/>
  <c r="J5" i="186"/>
  <c r="I5" i="186"/>
  <c r="H5" i="186"/>
  <c r="F5" i="186"/>
  <c r="E5" i="186"/>
  <c r="D5" i="186"/>
  <c r="C5" i="186"/>
  <c r="Y4" i="186"/>
  <c r="X4" i="186"/>
  <c r="W4" i="186"/>
  <c r="V4" i="186"/>
  <c r="U4" i="186"/>
  <c r="T4" i="186"/>
  <c r="S4" i="186"/>
  <c r="R4" i="186"/>
  <c r="Q4" i="186"/>
  <c r="P4" i="186"/>
  <c r="O4" i="186"/>
  <c r="N4" i="186"/>
  <c r="M4" i="186"/>
  <c r="L4" i="186"/>
  <c r="K4" i="186"/>
  <c r="J4" i="186"/>
  <c r="I4" i="186"/>
  <c r="H4" i="186"/>
  <c r="F4" i="186"/>
  <c r="E4" i="186"/>
  <c r="D4" i="186"/>
  <c r="C4" i="186"/>
  <c r="Y3" i="186"/>
  <c r="X3" i="186"/>
  <c r="W3" i="186"/>
  <c r="V3" i="186"/>
  <c r="U3" i="186"/>
  <c r="T3" i="186"/>
  <c r="S3" i="186"/>
  <c r="R3" i="186"/>
  <c r="Q3" i="186"/>
  <c r="P3" i="186"/>
  <c r="O3" i="186"/>
  <c r="N3" i="186"/>
  <c r="M3" i="186"/>
  <c r="L3" i="186"/>
  <c r="K3" i="186"/>
  <c r="J3" i="186"/>
  <c r="I3" i="186"/>
  <c r="H3" i="186"/>
  <c r="F3" i="186"/>
  <c r="E3" i="186"/>
  <c r="D3" i="186"/>
  <c r="C3" i="186"/>
  <c r="Y2" i="186"/>
  <c r="X2" i="186"/>
  <c r="W2" i="186"/>
  <c r="V2" i="186"/>
  <c r="U2" i="186"/>
  <c r="T2" i="186"/>
  <c r="S2" i="186"/>
  <c r="R2" i="186"/>
  <c r="Q2" i="186"/>
  <c r="P2" i="186"/>
  <c r="O2" i="186"/>
  <c r="N2" i="186"/>
  <c r="M2" i="186"/>
  <c r="L2" i="186"/>
  <c r="K2" i="186"/>
  <c r="J2" i="186"/>
  <c r="I2" i="186"/>
  <c r="H2" i="186"/>
  <c r="F2" i="186"/>
  <c r="E2" i="186"/>
  <c r="D2" i="186"/>
  <c r="C2" i="186"/>
  <c r="D134" i="185"/>
  <c r="C134" i="185"/>
  <c r="D133" i="185"/>
  <c r="C133" i="185"/>
  <c r="F132" i="185"/>
  <c r="E132" i="185"/>
  <c r="D132" i="185"/>
  <c r="C132" i="185"/>
  <c r="F131" i="185"/>
  <c r="E131" i="185"/>
  <c r="D131" i="185"/>
  <c r="C131" i="185"/>
  <c r="F130" i="185"/>
  <c r="E130" i="185"/>
  <c r="D130" i="185"/>
  <c r="C130" i="185"/>
  <c r="F129" i="185"/>
  <c r="E129" i="185"/>
  <c r="D129" i="185"/>
  <c r="C129" i="185"/>
  <c r="F128" i="185"/>
  <c r="E128" i="185"/>
  <c r="D128" i="185"/>
  <c r="C128" i="185"/>
  <c r="F127" i="185"/>
  <c r="E127" i="185"/>
  <c r="D127" i="185"/>
  <c r="C127" i="185"/>
  <c r="F126" i="185"/>
  <c r="E126" i="185"/>
  <c r="D126" i="185"/>
  <c r="C126" i="185"/>
  <c r="F125" i="185"/>
  <c r="E125" i="185"/>
  <c r="D125" i="185"/>
  <c r="C125" i="185"/>
  <c r="F124" i="185"/>
  <c r="E124" i="185"/>
  <c r="D124" i="185"/>
  <c r="C124" i="185"/>
  <c r="F123" i="185"/>
  <c r="E123" i="185"/>
  <c r="D123" i="185"/>
  <c r="C123" i="185"/>
  <c r="F122" i="185"/>
  <c r="E122" i="185"/>
  <c r="D122" i="185"/>
  <c r="C122" i="185"/>
  <c r="F121" i="185"/>
  <c r="E121" i="185"/>
  <c r="D121" i="185"/>
  <c r="C121" i="185"/>
  <c r="F120" i="185"/>
  <c r="E120" i="185"/>
  <c r="D120" i="185"/>
  <c r="C120" i="185"/>
  <c r="F119" i="185"/>
  <c r="E119" i="185"/>
  <c r="D119" i="185"/>
  <c r="C119" i="185"/>
  <c r="F118" i="185"/>
  <c r="E118" i="185"/>
  <c r="D118" i="185"/>
  <c r="C118" i="185"/>
  <c r="F117" i="185"/>
  <c r="E117" i="185"/>
  <c r="D117" i="185"/>
  <c r="C117" i="185"/>
  <c r="F116" i="185"/>
  <c r="E116" i="185"/>
  <c r="D116" i="185"/>
  <c r="C116" i="185"/>
  <c r="F115" i="185"/>
  <c r="E115" i="185"/>
  <c r="D115" i="185"/>
  <c r="C115" i="185"/>
  <c r="F114" i="185"/>
  <c r="E114" i="185"/>
  <c r="D114" i="185"/>
  <c r="C114" i="185"/>
  <c r="F113" i="185"/>
  <c r="E113" i="185"/>
  <c r="D113" i="185"/>
  <c r="C113" i="185"/>
  <c r="F112" i="185"/>
  <c r="E112" i="185"/>
  <c r="D112" i="185"/>
  <c r="C112" i="185"/>
  <c r="F111" i="185"/>
  <c r="E111" i="185"/>
  <c r="D111" i="185"/>
  <c r="C111" i="185"/>
  <c r="F110" i="185"/>
  <c r="E110" i="185"/>
  <c r="D110" i="185"/>
  <c r="C110" i="185"/>
  <c r="F109" i="185"/>
  <c r="E109" i="185"/>
  <c r="D109" i="185"/>
  <c r="C109" i="185"/>
  <c r="F108" i="185"/>
  <c r="E108" i="185"/>
  <c r="D108" i="185"/>
  <c r="C108" i="185"/>
  <c r="F107" i="185"/>
  <c r="E107" i="185"/>
  <c r="D107" i="185"/>
  <c r="C107" i="185"/>
  <c r="F106" i="185"/>
  <c r="E106" i="185"/>
  <c r="D106" i="185"/>
  <c r="C106" i="185"/>
  <c r="F105" i="185"/>
  <c r="E105" i="185"/>
  <c r="D105" i="185"/>
  <c r="C105" i="185"/>
  <c r="F104" i="185"/>
  <c r="E104" i="185"/>
  <c r="D104" i="185"/>
  <c r="C104" i="185"/>
  <c r="F103" i="185"/>
  <c r="E103" i="185"/>
  <c r="D103" i="185"/>
  <c r="C103" i="185"/>
  <c r="F102" i="185"/>
  <c r="E102" i="185"/>
  <c r="D102" i="185"/>
  <c r="C102" i="185"/>
  <c r="F101" i="185"/>
  <c r="E101" i="185"/>
  <c r="D101" i="185"/>
  <c r="C101" i="185"/>
  <c r="F100" i="185"/>
  <c r="E100" i="185"/>
  <c r="D100" i="185"/>
  <c r="C100" i="185"/>
  <c r="F99" i="185"/>
  <c r="E99" i="185"/>
  <c r="D99" i="185"/>
  <c r="C99" i="185"/>
  <c r="F98" i="185"/>
  <c r="E98" i="185"/>
  <c r="D98" i="185"/>
  <c r="C98" i="185"/>
  <c r="F97" i="185"/>
  <c r="E97" i="185"/>
  <c r="D97" i="185"/>
  <c r="C97" i="185"/>
  <c r="F96" i="185"/>
  <c r="E96" i="185"/>
  <c r="D96" i="185"/>
  <c r="C96" i="185"/>
  <c r="F95" i="185"/>
  <c r="E95" i="185"/>
  <c r="D95" i="185"/>
  <c r="C95" i="185"/>
  <c r="F94" i="185"/>
  <c r="E94" i="185"/>
  <c r="D94" i="185"/>
  <c r="C94" i="185"/>
  <c r="F93" i="185"/>
  <c r="E93" i="185"/>
  <c r="D93" i="185"/>
  <c r="C93" i="185"/>
  <c r="F92" i="185"/>
  <c r="E92" i="185"/>
  <c r="D92" i="185"/>
  <c r="C92" i="185"/>
  <c r="F91" i="185"/>
  <c r="E91" i="185"/>
  <c r="D91" i="185"/>
  <c r="C91" i="185"/>
  <c r="F90" i="185"/>
  <c r="E90" i="185"/>
  <c r="D90" i="185"/>
  <c r="C90" i="185"/>
  <c r="F89" i="185"/>
  <c r="E89" i="185"/>
  <c r="D89" i="185"/>
  <c r="C89" i="185"/>
  <c r="F88" i="185"/>
  <c r="E88" i="185"/>
  <c r="D88" i="185"/>
  <c r="C88" i="185"/>
  <c r="F87" i="185"/>
  <c r="E87" i="185"/>
  <c r="D87" i="185"/>
  <c r="C87" i="185"/>
  <c r="F86" i="185"/>
  <c r="E86" i="185"/>
  <c r="D86" i="185"/>
  <c r="C86" i="185"/>
  <c r="F85" i="185"/>
  <c r="E85" i="185"/>
  <c r="D85" i="185"/>
  <c r="C85" i="185"/>
  <c r="F84" i="185"/>
  <c r="E84" i="185"/>
  <c r="D84" i="185"/>
  <c r="C84" i="185"/>
  <c r="F83" i="185"/>
  <c r="E83" i="185"/>
  <c r="D83" i="185"/>
  <c r="C83" i="185"/>
  <c r="F82" i="185"/>
  <c r="E82" i="185"/>
  <c r="D82" i="185"/>
  <c r="C82" i="185"/>
  <c r="F81" i="185"/>
  <c r="E81" i="185"/>
  <c r="D81" i="185"/>
  <c r="C81" i="185"/>
  <c r="F80" i="185"/>
  <c r="E80" i="185"/>
  <c r="D80" i="185"/>
  <c r="C80" i="185"/>
  <c r="F79" i="185"/>
  <c r="E79" i="185"/>
  <c r="D79" i="185"/>
  <c r="C79" i="185"/>
  <c r="F78" i="185"/>
  <c r="E78" i="185"/>
  <c r="D78" i="185"/>
  <c r="C78" i="185"/>
  <c r="F77" i="185"/>
  <c r="E77" i="185"/>
  <c r="D77" i="185"/>
  <c r="C77" i="185"/>
  <c r="F76" i="185"/>
  <c r="E76" i="185"/>
  <c r="D76" i="185"/>
  <c r="C76" i="185"/>
  <c r="F75" i="185"/>
  <c r="E75" i="185"/>
  <c r="D75" i="185"/>
  <c r="C75" i="185"/>
  <c r="F74" i="185"/>
  <c r="E74" i="185"/>
  <c r="D74" i="185"/>
  <c r="C74" i="185"/>
  <c r="F73" i="185"/>
  <c r="E73" i="185"/>
  <c r="D73" i="185"/>
  <c r="C73" i="185"/>
  <c r="F72" i="185"/>
  <c r="E72" i="185"/>
  <c r="D72" i="185"/>
  <c r="C72" i="185"/>
  <c r="F71" i="185"/>
  <c r="E71" i="185"/>
  <c r="D71" i="185"/>
  <c r="C71" i="185"/>
  <c r="F70" i="185"/>
  <c r="E70" i="185"/>
  <c r="D70" i="185"/>
  <c r="C70" i="185"/>
  <c r="F69" i="185"/>
  <c r="E69" i="185"/>
  <c r="D69" i="185"/>
  <c r="C69" i="185"/>
  <c r="F68" i="185"/>
  <c r="E68" i="185"/>
  <c r="D68" i="185"/>
  <c r="C68" i="185"/>
  <c r="F67" i="185"/>
  <c r="E67" i="185"/>
  <c r="D67" i="185"/>
  <c r="C67" i="185"/>
  <c r="F66" i="185"/>
  <c r="E66" i="185"/>
  <c r="D66" i="185"/>
  <c r="C66" i="185"/>
  <c r="F65" i="185"/>
  <c r="E65" i="185"/>
  <c r="D65" i="185"/>
  <c r="C65" i="185"/>
  <c r="F64" i="185"/>
  <c r="E64" i="185"/>
  <c r="D64" i="185"/>
  <c r="C64" i="185"/>
  <c r="F63" i="185"/>
  <c r="E63" i="185"/>
  <c r="D63" i="185"/>
  <c r="C63" i="185"/>
  <c r="F62" i="185"/>
  <c r="E62" i="185"/>
  <c r="D62" i="185"/>
  <c r="C62" i="185"/>
  <c r="F61" i="185"/>
  <c r="E61" i="185"/>
  <c r="D61" i="185"/>
  <c r="C61" i="185"/>
  <c r="F60" i="185"/>
  <c r="E60" i="185"/>
  <c r="D60" i="185"/>
  <c r="C60" i="185"/>
  <c r="F59" i="185"/>
  <c r="E59" i="185"/>
  <c r="D59" i="185"/>
  <c r="C59" i="185"/>
  <c r="F58" i="185"/>
  <c r="E58" i="185"/>
  <c r="D58" i="185"/>
  <c r="C58" i="185"/>
  <c r="F57" i="185"/>
  <c r="E57" i="185"/>
  <c r="D57" i="185"/>
  <c r="C57" i="185"/>
  <c r="F56" i="185"/>
  <c r="E56" i="185"/>
  <c r="D56" i="185"/>
  <c r="C56" i="185"/>
  <c r="F55" i="185"/>
  <c r="E55" i="185"/>
  <c r="D55" i="185"/>
  <c r="C55" i="185"/>
  <c r="F54" i="185"/>
  <c r="E54" i="185"/>
  <c r="D54" i="185"/>
  <c r="C54" i="185"/>
  <c r="O53" i="185"/>
  <c r="N53" i="185"/>
  <c r="M53" i="185"/>
  <c r="L53" i="185"/>
  <c r="K53" i="185"/>
  <c r="J53" i="185"/>
  <c r="I53" i="185"/>
  <c r="H53" i="185"/>
  <c r="F53" i="185"/>
  <c r="E53" i="185"/>
  <c r="D53" i="185"/>
  <c r="C53" i="185"/>
  <c r="O52" i="185"/>
  <c r="N52" i="185"/>
  <c r="M52" i="185"/>
  <c r="L52" i="185"/>
  <c r="K52" i="185"/>
  <c r="J52" i="185"/>
  <c r="I52" i="185"/>
  <c r="H52" i="185"/>
  <c r="F52" i="185"/>
  <c r="E52" i="185"/>
  <c r="D52" i="185"/>
  <c r="C52" i="185"/>
  <c r="F51" i="185"/>
  <c r="E51" i="185"/>
  <c r="D51" i="185"/>
  <c r="C51" i="185"/>
  <c r="F50" i="185"/>
  <c r="E50" i="185"/>
  <c r="D50" i="185"/>
  <c r="C50" i="185"/>
  <c r="F49" i="185"/>
  <c r="E49" i="185"/>
  <c r="D49" i="185"/>
  <c r="C49" i="185"/>
  <c r="O48" i="185"/>
  <c r="N48" i="185"/>
  <c r="M48" i="185"/>
  <c r="L48" i="185"/>
  <c r="K48" i="185"/>
  <c r="J48" i="185"/>
  <c r="I48" i="185"/>
  <c r="H48" i="185"/>
  <c r="F48" i="185"/>
  <c r="E48" i="185"/>
  <c r="D48" i="185"/>
  <c r="C48" i="185"/>
  <c r="O47" i="185"/>
  <c r="N47" i="185"/>
  <c r="M47" i="185"/>
  <c r="L47" i="185"/>
  <c r="K47" i="185"/>
  <c r="J47" i="185"/>
  <c r="I47" i="185"/>
  <c r="H47" i="185"/>
  <c r="F47" i="185"/>
  <c r="E47" i="185"/>
  <c r="D47" i="185"/>
  <c r="C47" i="185"/>
  <c r="O46" i="185"/>
  <c r="N46" i="185"/>
  <c r="M46" i="185"/>
  <c r="L46" i="185"/>
  <c r="K46" i="185"/>
  <c r="J46" i="185"/>
  <c r="I46" i="185"/>
  <c r="H46" i="185"/>
  <c r="F46" i="185"/>
  <c r="E46" i="185"/>
  <c r="D46" i="185"/>
  <c r="C46" i="185"/>
  <c r="F45" i="185"/>
  <c r="E45" i="185"/>
  <c r="D45" i="185"/>
  <c r="C45" i="185"/>
  <c r="O44" i="185"/>
  <c r="N44" i="185"/>
  <c r="M44" i="185"/>
  <c r="L44" i="185"/>
  <c r="K44" i="185"/>
  <c r="J44" i="185"/>
  <c r="I44" i="185"/>
  <c r="H44" i="185"/>
  <c r="F44" i="185"/>
  <c r="E44" i="185"/>
  <c r="D44" i="185"/>
  <c r="C44" i="185"/>
  <c r="O43" i="185"/>
  <c r="N43" i="185"/>
  <c r="M43" i="185"/>
  <c r="L43" i="185"/>
  <c r="K43" i="185"/>
  <c r="J43" i="185"/>
  <c r="I43" i="185"/>
  <c r="H43" i="185"/>
  <c r="F43" i="185"/>
  <c r="E43" i="185"/>
  <c r="D43" i="185"/>
  <c r="C43" i="185"/>
  <c r="O42" i="185"/>
  <c r="N42" i="185"/>
  <c r="M42" i="185"/>
  <c r="L42" i="185"/>
  <c r="K42" i="185"/>
  <c r="J42" i="185"/>
  <c r="I42" i="185"/>
  <c r="H42" i="185"/>
  <c r="F42" i="185"/>
  <c r="E42" i="185"/>
  <c r="D42" i="185"/>
  <c r="C42" i="185"/>
  <c r="O41" i="185"/>
  <c r="N41" i="185"/>
  <c r="M41" i="185"/>
  <c r="L41" i="185"/>
  <c r="K41" i="185"/>
  <c r="J41" i="185"/>
  <c r="I41" i="185"/>
  <c r="H41" i="185"/>
  <c r="F41" i="185"/>
  <c r="E41" i="185"/>
  <c r="D41" i="185"/>
  <c r="C41" i="185"/>
  <c r="O40" i="185"/>
  <c r="N40" i="185"/>
  <c r="M40" i="185"/>
  <c r="L40" i="185"/>
  <c r="K40" i="185"/>
  <c r="J40" i="185"/>
  <c r="I40" i="185"/>
  <c r="H40" i="185"/>
  <c r="F40" i="185"/>
  <c r="E40" i="185"/>
  <c r="D40" i="185"/>
  <c r="C40" i="185"/>
  <c r="O39" i="185"/>
  <c r="N39" i="185"/>
  <c r="M39" i="185"/>
  <c r="L39" i="185"/>
  <c r="K39" i="185"/>
  <c r="J39" i="185"/>
  <c r="I39" i="185"/>
  <c r="H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F37" i="185"/>
  <c r="E37" i="185"/>
  <c r="D37" i="185"/>
  <c r="C37" i="185"/>
  <c r="O36" i="185"/>
  <c r="N36" i="185"/>
  <c r="M36" i="185"/>
  <c r="L36" i="185"/>
  <c r="K36" i="185"/>
  <c r="J36" i="185"/>
  <c r="I36" i="185"/>
  <c r="H36" i="185"/>
  <c r="F36" i="185"/>
  <c r="E36" i="185"/>
  <c r="D36" i="185"/>
  <c r="C36" i="185"/>
  <c r="O35" i="185"/>
  <c r="N35" i="185"/>
  <c r="M35" i="185"/>
  <c r="L35" i="185"/>
  <c r="K35" i="185"/>
  <c r="J35" i="185"/>
  <c r="I35" i="185"/>
  <c r="H35" i="185"/>
  <c r="F35" i="185"/>
  <c r="E35" i="185"/>
  <c r="D35" i="185"/>
  <c r="C35" i="185"/>
  <c r="O34" i="185"/>
  <c r="N34" i="185"/>
  <c r="M34" i="185"/>
  <c r="L34" i="185"/>
  <c r="K34" i="185"/>
  <c r="J34" i="185"/>
  <c r="I34" i="185"/>
  <c r="H34" i="185"/>
  <c r="F34" i="185"/>
  <c r="E34" i="185"/>
  <c r="D34" i="185"/>
  <c r="C34" i="185"/>
  <c r="O33" i="185"/>
  <c r="N33" i="185"/>
  <c r="M33" i="185"/>
  <c r="L33" i="185"/>
  <c r="K33" i="185"/>
  <c r="J33" i="185"/>
  <c r="I33" i="185"/>
  <c r="H33" i="185"/>
  <c r="F33" i="185"/>
  <c r="E33" i="185"/>
  <c r="D33" i="185"/>
  <c r="C33" i="185"/>
  <c r="O32" i="185"/>
  <c r="N32" i="185"/>
  <c r="M32" i="185"/>
  <c r="L32" i="185"/>
  <c r="K32" i="185"/>
  <c r="J32" i="185"/>
  <c r="I32" i="185"/>
  <c r="H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F28" i="185"/>
  <c r="E28" i="185"/>
  <c r="D28" i="185"/>
  <c r="C28" i="185"/>
  <c r="O27" i="185"/>
  <c r="N27" i="185"/>
  <c r="M27" i="185"/>
  <c r="L27" i="185"/>
  <c r="K27" i="185"/>
  <c r="J27" i="185"/>
  <c r="I27" i="185"/>
  <c r="H27" i="185"/>
  <c r="F27" i="185"/>
  <c r="E27" i="185"/>
  <c r="D27" i="185"/>
  <c r="C27" i="185"/>
  <c r="O26" i="185"/>
  <c r="N26" i="185"/>
  <c r="M26" i="185"/>
  <c r="L26" i="185"/>
  <c r="K26" i="185"/>
  <c r="J26" i="185"/>
  <c r="I26" i="185"/>
  <c r="H26" i="185"/>
  <c r="F26" i="185"/>
  <c r="E26" i="185"/>
  <c r="D26" i="185"/>
  <c r="C26" i="185"/>
  <c r="O25" i="185"/>
  <c r="N25" i="185"/>
  <c r="M25" i="185"/>
  <c r="L25" i="185"/>
  <c r="K25" i="185"/>
  <c r="J25" i="185"/>
  <c r="I25" i="185"/>
  <c r="H25" i="185"/>
  <c r="F25" i="185"/>
  <c r="E25" i="185"/>
  <c r="D25" i="185"/>
  <c r="C25" i="185"/>
  <c r="O24" i="185"/>
  <c r="N24" i="185"/>
  <c r="M24" i="185"/>
  <c r="L24" i="185"/>
  <c r="K24" i="185"/>
  <c r="J24" i="185"/>
  <c r="I24" i="185"/>
  <c r="H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F15" i="185"/>
  <c r="E15" i="185"/>
  <c r="D15" i="185"/>
  <c r="C15" i="185"/>
  <c r="O14" i="185"/>
  <c r="N14" i="185"/>
  <c r="M14" i="185"/>
  <c r="L14" i="185"/>
  <c r="K14" i="185"/>
  <c r="J14" i="185"/>
  <c r="I14" i="185"/>
  <c r="H14" i="185"/>
  <c r="F14" i="185"/>
  <c r="E14" i="185"/>
  <c r="D14" i="185"/>
  <c r="C14" i="185"/>
  <c r="F13" i="185"/>
  <c r="E13" i="185"/>
  <c r="D13" i="185"/>
  <c r="C13" i="185"/>
  <c r="O12" i="185"/>
  <c r="N12" i="185"/>
  <c r="M12" i="185"/>
  <c r="L12" i="185"/>
  <c r="K12" i="185"/>
  <c r="J12" i="185"/>
  <c r="I12" i="185"/>
  <c r="H12" i="185"/>
  <c r="F12" i="185"/>
  <c r="E12" i="185"/>
  <c r="D12" i="185"/>
  <c r="C12" i="185"/>
  <c r="O11" i="185"/>
  <c r="N11" i="185"/>
  <c r="M11" i="185"/>
  <c r="L11" i="185"/>
  <c r="K11" i="185"/>
  <c r="J11" i="185"/>
  <c r="I11" i="185"/>
  <c r="H11" i="185"/>
  <c r="F11" i="185"/>
  <c r="E11" i="185"/>
  <c r="D11" i="185"/>
  <c r="C11" i="185"/>
  <c r="O10" i="185"/>
  <c r="N10" i="185"/>
  <c r="M10" i="185"/>
  <c r="L10" i="185"/>
  <c r="K10" i="185"/>
  <c r="J10" i="185"/>
  <c r="I10" i="185"/>
  <c r="H10" i="185"/>
  <c r="F10" i="185"/>
  <c r="E10" i="185"/>
  <c r="D10" i="185"/>
  <c r="C10" i="185"/>
  <c r="O9" i="185"/>
  <c r="N9" i="185"/>
  <c r="M9" i="185"/>
  <c r="L9" i="185"/>
  <c r="K9" i="185"/>
  <c r="J9" i="185"/>
  <c r="I9" i="185"/>
  <c r="H9" i="185"/>
  <c r="F9" i="185"/>
  <c r="E9" i="185"/>
  <c r="D9" i="185"/>
  <c r="C9" i="185"/>
  <c r="O8" i="185"/>
  <c r="N8" i="185"/>
  <c r="M8" i="185"/>
  <c r="L8" i="185"/>
  <c r="K8" i="185"/>
  <c r="J8" i="185"/>
  <c r="I8" i="185"/>
  <c r="H8" i="185"/>
  <c r="F8" i="185"/>
  <c r="E8" i="185"/>
  <c r="D8" i="185"/>
  <c r="C8" i="185"/>
  <c r="O7" i="185"/>
  <c r="N7" i="185"/>
  <c r="M7" i="185"/>
  <c r="L7" i="185"/>
  <c r="K7" i="185"/>
  <c r="J7" i="185"/>
  <c r="I7" i="185"/>
  <c r="H7" i="185"/>
  <c r="F7" i="185"/>
  <c r="E7" i="185"/>
  <c r="D7" i="185"/>
  <c r="C7" i="185"/>
  <c r="O6" i="185"/>
  <c r="N6" i="185"/>
  <c r="M6" i="185"/>
  <c r="L6" i="185"/>
  <c r="K6" i="185"/>
  <c r="J6" i="185"/>
  <c r="I6" i="185"/>
  <c r="H6" i="185"/>
  <c r="F6" i="185"/>
  <c r="E6" i="185"/>
  <c r="D6" i="185"/>
  <c r="C6" i="185"/>
  <c r="O5" i="185"/>
  <c r="N5" i="185"/>
  <c r="M5" i="185"/>
  <c r="L5" i="185"/>
  <c r="K5" i="185"/>
  <c r="J5" i="185"/>
  <c r="I5" i="185"/>
  <c r="H5" i="185"/>
  <c r="F5" i="185"/>
  <c r="E5" i="185"/>
  <c r="D5" i="185"/>
  <c r="C5" i="185"/>
  <c r="O4" i="185"/>
  <c r="N4" i="185"/>
  <c r="M4" i="185"/>
  <c r="L4" i="185"/>
  <c r="K4" i="185"/>
  <c r="J4" i="185"/>
  <c r="I4" i="185"/>
  <c r="H4" i="185"/>
  <c r="F4" i="185"/>
  <c r="E4" i="185"/>
  <c r="D4" i="185"/>
  <c r="C4" i="185"/>
  <c r="O3" i="185"/>
  <c r="N3" i="185"/>
  <c r="M3" i="185"/>
  <c r="L3" i="185"/>
  <c r="K3" i="185"/>
  <c r="J3" i="185"/>
  <c r="I3" i="185"/>
  <c r="H3" i="185"/>
  <c r="F3" i="185"/>
  <c r="E3" i="185"/>
  <c r="D3" i="185"/>
  <c r="C3" i="185"/>
  <c r="O2" i="185"/>
  <c r="N2" i="185"/>
  <c r="M2" i="185"/>
  <c r="L2" i="185"/>
  <c r="K2" i="185"/>
  <c r="J2" i="185"/>
  <c r="I2" i="185"/>
  <c r="H2" i="185"/>
  <c r="F2" i="185"/>
  <c r="E2" i="185"/>
  <c r="D2" i="185"/>
  <c r="C2" i="185"/>
  <c r="F9" i="184"/>
  <c r="E9" i="184"/>
  <c r="F8" i="184"/>
  <c r="E8" i="184"/>
  <c r="F7" i="184"/>
  <c r="E7" i="184"/>
  <c r="O6" i="184"/>
  <c r="N6" i="184"/>
  <c r="M6" i="184"/>
  <c r="L6" i="184"/>
  <c r="K6" i="184"/>
  <c r="J6" i="184"/>
  <c r="I6" i="184"/>
  <c r="H6" i="184"/>
  <c r="F6" i="184"/>
  <c r="E6" i="184"/>
  <c r="D6" i="184"/>
  <c r="C6" i="184"/>
  <c r="O5" i="184"/>
  <c r="N5" i="184"/>
  <c r="M5" i="184"/>
  <c r="L5" i="184"/>
  <c r="K5" i="184"/>
  <c r="J5" i="184"/>
  <c r="I5" i="184"/>
  <c r="H5" i="184"/>
  <c r="F5" i="184"/>
  <c r="E5" i="184"/>
  <c r="D5" i="184"/>
  <c r="C5" i="184"/>
  <c r="O4" i="184"/>
  <c r="N4" i="184"/>
  <c r="M4" i="184"/>
  <c r="L4" i="184"/>
  <c r="K4" i="184"/>
  <c r="J4" i="184"/>
  <c r="I4" i="184"/>
  <c r="H4" i="184"/>
  <c r="F4" i="184"/>
  <c r="E4" i="184"/>
  <c r="D4" i="184"/>
  <c r="C4" i="184"/>
  <c r="O3" i="184"/>
  <c r="N3" i="184"/>
  <c r="M3" i="184"/>
  <c r="L3" i="184"/>
  <c r="K3" i="184"/>
  <c r="K11" i="184" s="1"/>
  <c r="J3" i="184"/>
  <c r="I3" i="184"/>
  <c r="H3" i="184"/>
  <c r="F3" i="184"/>
  <c r="E3" i="184"/>
  <c r="D3" i="184"/>
  <c r="C3" i="184"/>
  <c r="O2" i="184"/>
  <c r="N2" i="184"/>
  <c r="M2" i="184"/>
  <c r="L2" i="184"/>
  <c r="K2" i="184"/>
  <c r="J2" i="184"/>
  <c r="I2" i="184"/>
  <c r="H2" i="184"/>
  <c r="F2" i="184"/>
  <c r="E2" i="184"/>
  <c r="D2" i="184"/>
  <c r="C2" i="184"/>
  <c r="F8" i="183"/>
  <c r="E8" i="183"/>
  <c r="D8" i="183"/>
  <c r="C8" i="183"/>
  <c r="F7" i="183"/>
  <c r="E7" i="183"/>
  <c r="D7" i="183"/>
  <c r="C7" i="183"/>
  <c r="F6" i="183"/>
  <c r="E6" i="183"/>
  <c r="D6" i="183"/>
  <c r="C6" i="183"/>
  <c r="F5" i="183"/>
  <c r="E5" i="183"/>
  <c r="D5" i="183"/>
  <c r="C5" i="183"/>
  <c r="F4" i="183"/>
  <c r="E4" i="183"/>
  <c r="D4" i="183"/>
  <c r="C4" i="183"/>
  <c r="O3" i="183"/>
  <c r="N3" i="183"/>
  <c r="M3" i="183"/>
  <c r="L3" i="183"/>
  <c r="K3" i="183"/>
  <c r="J3" i="183"/>
  <c r="I3" i="183"/>
  <c r="H3" i="183"/>
  <c r="F3" i="183"/>
  <c r="E3" i="183"/>
  <c r="D3" i="183"/>
  <c r="C3" i="183"/>
  <c r="O2" i="183"/>
  <c r="N2" i="183"/>
  <c r="M2" i="183"/>
  <c r="L2" i="183"/>
  <c r="K2" i="183"/>
  <c r="K10" i="183" s="1"/>
  <c r="J2" i="183"/>
  <c r="I2" i="183"/>
  <c r="H2" i="183"/>
  <c r="H10" i="183" s="1"/>
  <c r="F2" i="183"/>
  <c r="E2" i="183"/>
  <c r="D2" i="183"/>
  <c r="C2" i="183"/>
  <c r="F7" i="182"/>
  <c r="E7" i="182"/>
  <c r="F6" i="182"/>
  <c r="E6" i="182"/>
  <c r="F5" i="182"/>
  <c r="E5" i="182"/>
  <c r="F4" i="182"/>
  <c r="E4" i="182"/>
  <c r="D4" i="182"/>
  <c r="C4" i="182"/>
  <c r="O3" i="182"/>
  <c r="N3" i="182"/>
  <c r="M3" i="182"/>
  <c r="L3" i="182"/>
  <c r="K3" i="182"/>
  <c r="J3" i="182"/>
  <c r="I3" i="182"/>
  <c r="H3" i="182"/>
  <c r="F3" i="182"/>
  <c r="E3" i="182"/>
  <c r="D3" i="182"/>
  <c r="C3" i="182"/>
  <c r="O2" i="182"/>
  <c r="N2" i="182"/>
  <c r="M2" i="182"/>
  <c r="M9" i="182" s="1"/>
  <c r="L2" i="182"/>
  <c r="K2" i="182"/>
  <c r="K9" i="182" s="1"/>
  <c r="J2" i="182"/>
  <c r="I2" i="182"/>
  <c r="H2" i="182"/>
  <c r="H9" i="182" s="1"/>
  <c r="F2" i="182"/>
  <c r="E2" i="182"/>
  <c r="D2" i="182"/>
  <c r="C2" i="182"/>
  <c r="F17" i="181"/>
  <c r="E17" i="181"/>
  <c r="D17" i="181"/>
  <c r="C17" i="181"/>
  <c r="F16" i="181"/>
  <c r="E16" i="181"/>
  <c r="D16" i="181"/>
  <c r="C16" i="181"/>
  <c r="F15" i="181"/>
  <c r="E15" i="181"/>
  <c r="D15" i="181"/>
  <c r="C15" i="181"/>
  <c r="F14" i="181"/>
  <c r="E14" i="181"/>
  <c r="D14" i="181"/>
  <c r="C14" i="181"/>
  <c r="F13" i="181"/>
  <c r="E13" i="181"/>
  <c r="D13" i="181"/>
  <c r="C13" i="181"/>
  <c r="F12" i="181"/>
  <c r="E12" i="181"/>
  <c r="D12" i="181"/>
  <c r="C12" i="181"/>
  <c r="F11" i="181"/>
  <c r="E11" i="181"/>
  <c r="D11" i="181"/>
  <c r="C11" i="181"/>
  <c r="F10" i="181"/>
  <c r="E10" i="181"/>
  <c r="D10" i="181"/>
  <c r="C10" i="181"/>
  <c r="F9" i="181"/>
  <c r="E9" i="181"/>
  <c r="D9" i="181"/>
  <c r="C9" i="181"/>
  <c r="F8" i="181"/>
  <c r="E8" i="181"/>
  <c r="D8" i="181"/>
  <c r="C8" i="181"/>
  <c r="F7" i="181"/>
  <c r="E7" i="181"/>
  <c r="D7" i="181"/>
  <c r="C7" i="181"/>
  <c r="F6" i="181"/>
  <c r="E6" i="181"/>
  <c r="D6" i="181"/>
  <c r="C6" i="181"/>
  <c r="O5" i="181"/>
  <c r="N5" i="181"/>
  <c r="M5" i="181"/>
  <c r="L5" i="181"/>
  <c r="K5" i="181"/>
  <c r="J5" i="181"/>
  <c r="I5" i="181"/>
  <c r="H5" i="181"/>
  <c r="F5" i="181"/>
  <c r="E5" i="181"/>
  <c r="D5" i="181"/>
  <c r="C5" i="181"/>
  <c r="O4" i="181"/>
  <c r="N4" i="181"/>
  <c r="M4" i="181"/>
  <c r="L4" i="181"/>
  <c r="K4" i="181"/>
  <c r="J4" i="181"/>
  <c r="I4" i="181"/>
  <c r="H4" i="181"/>
  <c r="F4" i="181"/>
  <c r="E4" i="181"/>
  <c r="D4" i="181"/>
  <c r="C4" i="181"/>
  <c r="O3" i="181"/>
  <c r="N3" i="181"/>
  <c r="M3" i="181"/>
  <c r="L3" i="181"/>
  <c r="K3" i="181"/>
  <c r="J3" i="181"/>
  <c r="I3" i="181"/>
  <c r="H3" i="181"/>
  <c r="F3" i="181"/>
  <c r="E3" i="181"/>
  <c r="D3" i="181"/>
  <c r="C3" i="181"/>
  <c r="O2" i="181"/>
  <c r="N2" i="181"/>
  <c r="M2" i="181"/>
  <c r="L2" i="181"/>
  <c r="K2" i="181"/>
  <c r="J2" i="181"/>
  <c r="I2" i="181"/>
  <c r="H2" i="181"/>
  <c r="F2" i="181"/>
  <c r="E2" i="181"/>
  <c r="D2" i="181"/>
  <c r="C2" i="181"/>
  <c r="F14" i="180"/>
  <c r="E14" i="180"/>
  <c r="F13" i="180"/>
  <c r="E13" i="180"/>
  <c r="F12" i="180"/>
  <c r="E12" i="180"/>
  <c r="F11" i="180"/>
  <c r="E11" i="180"/>
  <c r="F10" i="180"/>
  <c r="E10" i="180"/>
  <c r="F9" i="180"/>
  <c r="E9" i="180"/>
  <c r="F8" i="180"/>
  <c r="E8" i="180"/>
  <c r="F7" i="180"/>
  <c r="E7" i="180"/>
  <c r="F6" i="180"/>
  <c r="E6" i="180"/>
  <c r="F5" i="180"/>
  <c r="E5" i="180"/>
  <c r="F4" i="180"/>
  <c r="E4" i="180"/>
  <c r="O3" i="180"/>
  <c r="N3" i="180"/>
  <c r="M3" i="180"/>
  <c r="L3" i="180"/>
  <c r="K3" i="180"/>
  <c r="J3" i="180"/>
  <c r="I3" i="180"/>
  <c r="H3" i="180"/>
  <c r="F3" i="180"/>
  <c r="E3" i="180"/>
  <c r="D3" i="180"/>
  <c r="C3" i="180"/>
  <c r="O2" i="180"/>
  <c r="N2" i="180"/>
  <c r="N16" i="180" s="1"/>
  <c r="M2" i="180"/>
  <c r="L2" i="180"/>
  <c r="K2" i="180"/>
  <c r="K16" i="180" s="1"/>
  <c r="J2" i="180"/>
  <c r="I2" i="180"/>
  <c r="I16" i="180" s="1"/>
  <c r="H2" i="180"/>
  <c r="H16" i="180" s="1"/>
  <c r="F2" i="180"/>
  <c r="E2" i="180"/>
  <c r="D2" i="180"/>
  <c r="C2" i="180"/>
  <c r="D1" i="180"/>
  <c r="C1" i="180"/>
  <c r="M5" i="179"/>
  <c r="I5" i="179"/>
  <c r="F3" i="179"/>
  <c r="E3" i="179"/>
  <c r="O2" i="179"/>
  <c r="O5" i="179" s="1"/>
  <c r="N2" i="179"/>
  <c r="N5" i="179" s="1"/>
  <c r="Y5" i="179" s="1"/>
  <c r="M2" i="179"/>
  <c r="L2" i="179"/>
  <c r="L5" i="179" s="1"/>
  <c r="K2" i="179"/>
  <c r="K5" i="179" s="1"/>
  <c r="Q5" i="179" s="1"/>
  <c r="J2" i="179"/>
  <c r="J5" i="179" s="1"/>
  <c r="I2" i="179"/>
  <c r="H2" i="179"/>
  <c r="H5" i="179" s="1"/>
  <c r="F2" i="179"/>
  <c r="E2" i="179"/>
  <c r="D2" i="179"/>
  <c r="C2" i="179"/>
  <c r="F5" i="178"/>
  <c r="E5" i="178"/>
  <c r="F4" i="178"/>
  <c r="E4" i="178"/>
  <c r="O3" i="178"/>
  <c r="N3" i="178"/>
  <c r="M3" i="178"/>
  <c r="L3" i="178"/>
  <c r="K3" i="178"/>
  <c r="J3" i="178"/>
  <c r="I3" i="178"/>
  <c r="H3" i="178"/>
  <c r="F3" i="178"/>
  <c r="E3" i="178"/>
  <c r="D3" i="178"/>
  <c r="C3" i="178"/>
  <c r="O2" i="178"/>
  <c r="O7" i="178" s="1"/>
  <c r="Y7" i="178" s="1"/>
  <c r="N2" i="178"/>
  <c r="N7" i="178" s="1"/>
  <c r="M2" i="178"/>
  <c r="L2" i="178"/>
  <c r="L7" i="178" s="1"/>
  <c r="K2" i="178"/>
  <c r="J2" i="178"/>
  <c r="I2" i="178"/>
  <c r="I7" i="178" s="1"/>
  <c r="H2" i="178"/>
  <c r="F2" i="178"/>
  <c r="E2" i="178"/>
  <c r="D2" i="178"/>
  <c r="C2" i="178"/>
  <c r="F24" i="177"/>
  <c r="E24" i="177"/>
  <c r="F23" i="177"/>
  <c r="E23" i="177"/>
  <c r="F22" i="177"/>
  <c r="E22" i="177"/>
  <c r="F21" i="177"/>
  <c r="E21" i="177"/>
  <c r="F20" i="177"/>
  <c r="E20" i="177"/>
  <c r="F19" i="177"/>
  <c r="E19" i="177"/>
  <c r="O18" i="177"/>
  <c r="N18" i="177"/>
  <c r="M18" i="177"/>
  <c r="L18" i="177"/>
  <c r="K18" i="177"/>
  <c r="J18" i="177"/>
  <c r="I18" i="177"/>
  <c r="H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F15" i="177"/>
  <c r="E15" i="177"/>
  <c r="D15" i="177"/>
  <c r="C15" i="177"/>
  <c r="O14" i="177"/>
  <c r="N14" i="177"/>
  <c r="M14" i="177"/>
  <c r="L14" i="177"/>
  <c r="K14" i="177"/>
  <c r="J14" i="177"/>
  <c r="I14" i="177"/>
  <c r="H14" i="177"/>
  <c r="F14" i="177"/>
  <c r="E14" i="177"/>
  <c r="D14" i="177"/>
  <c r="C14" i="177"/>
  <c r="O13" i="177"/>
  <c r="N13" i="177"/>
  <c r="M13" i="177"/>
  <c r="L13" i="177"/>
  <c r="K13" i="177"/>
  <c r="J13" i="177"/>
  <c r="I13" i="177"/>
  <c r="H13" i="177"/>
  <c r="F13" i="177"/>
  <c r="E13" i="177"/>
  <c r="D13" i="177"/>
  <c r="C13" i="177"/>
  <c r="O12" i="177"/>
  <c r="N12" i="177"/>
  <c r="M12" i="177"/>
  <c r="L12" i="177"/>
  <c r="K12" i="177"/>
  <c r="J12" i="177"/>
  <c r="I12" i="177"/>
  <c r="H12" i="177"/>
  <c r="F12" i="177"/>
  <c r="E12" i="177"/>
  <c r="D12" i="177"/>
  <c r="C12" i="177"/>
  <c r="O11" i="177"/>
  <c r="N11" i="177"/>
  <c r="M11" i="177"/>
  <c r="L11" i="177"/>
  <c r="K11" i="177"/>
  <c r="J11" i="177"/>
  <c r="I11" i="177"/>
  <c r="H11" i="177"/>
  <c r="F11" i="177"/>
  <c r="E11" i="177"/>
  <c r="D11" i="177"/>
  <c r="C11" i="177"/>
  <c r="O10" i="177"/>
  <c r="N10" i="177"/>
  <c r="M10" i="177"/>
  <c r="L10" i="177"/>
  <c r="K10" i="177"/>
  <c r="J10" i="177"/>
  <c r="I10" i="177"/>
  <c r="H10" i="177"/>
  <c r="F10" i="177"/>
  <c r="E10" i="177"/>
  <c r="D10" i="177"/>
  <c r="C10" i="177"/>
  <c r="F9" i="177"/>
  <c r="E9" i="177"/>
  <c r="O8" i="177"/>
  <c r="N8" i="177"/>
  <c r="M8" i="177"/>
  <c r="L8" i="177"/>
  <c r="K8" i="177"/>
  <c r="J8" i="177"/>
  <c r="I8" i="177"/>
  <c r="H8" i="177"/>
  <c r="F8" i="177"/>
  <c r="E8" i="177"/>
  <c r="D8" i="177"/>
  <c r="C8" i="177"/>
  <c r="O7" i="177"/>
  <c r="N7" i="177"/>
  <c r="M7" i="177"/>
  <c r="L7" i="177"/>
  <c r="K7" i="177"/>
  <c r="J7" i="177"/>
  <c r="I7" i="177"/>
  <c r="H7" i="177"/>
  <c r="F7" i="177"/>
  <c r="E7" i="177"/>
  <c r="D7" i="177"/>
  <c r="C7" i="177"/>
  <c r="O6" i="177"/>
  <c r="N6" i="177"/>
  <c r="M6" i="177"/>
  <c r="L6" i="177"/>
  <c r="K6" i="177"/>
  <c r="J6" i="177"/>
  <c r="I6" i="177"/>
  <c r="H6" i="177"/>
  <c r="F6" i="177"/>
  <c r="E6" i="177"/>
  <c r="D6" i="177"/>
  <c r="C6" i="177"/>
  <c r="O5" i="177"/>
  <c r="N5" i="177"/>
  <c r="M5" i="177"/>
  <c r="L5" i="177"/>
  <c r="K5" i="177"/>
  <c r="J5" i="177"/>
  <c r="I5" i="177"/>
  <c r="H5" i="177"/>
  <c r="F5" i="177"/>
  <c r="E5" i="177"/>
  <c r="D5" i="177"/>
  <c r="C5" i="177"/>
  <c r="O4" i="177"/>
  <c r="N4" i="177"/>
  <c r="M4" i="177"/>
  <c r="L4" i="177"/>
  <c r="K4" i="177"/>
  <c r="J4" i="177"/>
  <c r="I4" i="177"/>
  <c r="H4" i="177"/>
  <c r="F4" i="177"/>
  <c r="E4" i="177"/>
  <c r="D4" i="177"/>
  <c r="C4" i="177"/>
  <c r="O3" i="177"/>
  <c r="N3" i="177"/>
  <c r="M3" i="177"/>
  <c r="L3" i="177"/>
  <c r="K3" i="177"/>
  <c r="J3" i="177"/>
  <c r="I3" i="177"/>
  <c r="H3" i="177"/>
  <c r="F3" i="177"/>
  <c r="E3" i="177"/>
  <c r="D3" i="177"/>
  <c r="C3" i="177"/>
  <c r="O2" i="177"/>
  <c r="N2" i="177"/>
  <c r="M2" i="177"/>
  <c r="L2" i="177"/>
  <c r="K2" i="177"/>
  <c r="J2" i="177"/>
  <c r="I2" i="177"/>
  <c r="H2" i="177"/>
  <c r="F2" i="177"/>
  <c r="E2" i="177"/>
  <c r="D2" i="177"/>
  <c r="C2" i="177"/>
  <c r="F14" i="176"/>
  <c r="E14" i="176"/>
  <c r="D14" i="176"/>
  <c r="C14" i="176"/>
  <c r="F13" i="176"/>
  <c r="E13" i="176"/>
  <c r="D13" i="176"/>
  <c r="C13" i="176"/>
  <c r="F12" i="176"/>
  <c r="E12" i="176"/>
  <c r="D12" i="176"/>
  <c r="C12" i="176"/>
  <c r="F11" i="176"/>
  <c r="E11" i="176"/>
  <c r="D11" i="176"/>
  <c r="C11" i="176"/>
  <c r="F10" i="176"/>
  <c r="E10" i="176"/>
  <c r="D10" i="176"/>
  <c r="C10" i="176"/>
  <c r="F9" i="176"/>
  <c r="E9" i="176"/>
  <c r="D9" i="176"/>
  <c r="C9" i="176"/>
  <c r="F8" i="176"/>
  <c r="E8" i="176"/>
  <c r="D8" i="176"/>
  <c r="C8" i="176"/>
  <c r="F7" i="176"/>
  <c r="E7" i="176"/>
  <c r="D7" i="176"/>
  <c r="C7" i="176"/>
  <c r="F6" i="176"/>
  <c r="E6" i="176"/>
  <c r="D6" i="176"/>
  <c r="C6" i="176"/>
  <c r="F5" i="176"/>
  <c r="E5" i="176"/>
  <c r="D5" i="176"/>
  <c r="C5" i="176"/>
  <c r="F4" i="176"/>
  <c r="E4" i="176"/>
  <c r="D4" i="176"/>
  <c r="C4" i="176"/>
  <c r="F3" i="176"/>
  <c r="E3" i="176"/>
  <c r="D3" i="176"/>
  <c r="C3" i="176"/>
  <c r="F2" i="176"/>
  <c r="E2" i="176"/>
  <c r="D2" i="176"/>
  <c r="C2" i="176"/>
  <c r="F8" i="175"/>
  <c r="E8" i="175"/>
  <c r="F7" i="175"/>
  <c r="E7" i="175"/>
  <c r="F6" i="175"/>
  <c r="E6" i="175"/>
  <c r="F5" i="175"/>
  <c r="E5" i="175"/>
  <c r="O4" i="175"/>
  <c r="N4" i="175"/>
  <c r="M4" i="175"/>
  <c r="L4" i="175"/>
  <c r="K4" i="175"/>
  <c r="J4" i="175"/>
  <c r="I4" i="175"/>
  <c r="H4" i="175"/>
  <c r="F4" i="175"/>
  <c r="E4" i="175"/>
  <c r="D4" i="175"/>
  <c r="C4" i="175"/>
  <c r="O3" i="175"/>
  <c r="N3" i="175"/>
  <c r="M3" i="175"/>
  <c r="L3" i="175"/>
  <c r="K3" i="175"/>
  <c r="K10" i="175" s="1"/>
  <c r="J3" i="175"/>
  <c r="I3" i="175"/>
  <c r="H3" i="175"/>
  <c r="F3" i="175"/>
  <c r="E3" i="175"/>
  <c r="D3" i="175"/>
  <c r="C3" i="175"/>
  <c r="O2" i="175"/>
  <c r="O10" i="175" s="1"/>
  <c r="N2" i="175"/>
  <c r="M2" i="175"/>
  <c r="L2" i="175"/>
  <c r="K2" i="175"/>
  <c r="J2" i="175"/>
  <c r="J10" i="175" s="1"/>
  <c r="I2" i="175"/>
  <c r="H2" i="175"/>
  <c r="F2" i="175"/>
  <c r="E2" i="175"/>
  <c r="D2" i="175"/>
  <c r="C2" i="175"/>
  <c r="F10" i="174"/>
  <c r="E10" i="174"/>
  <c r="F9" i="174"/>
  <c r="E9" i="174"/>
  <c r="F8" i="174"/>
  <c r="E8" i="174"/>
  <c r="F7" i="174"/>
  <c r="E7" i="174"/>
  <c r="D7" i="174"/>
  <c r="O6" i="174"/>
  <c r="N6" i="174"/>
  <c r="M6" i="174"/>
  <c r="L6" i="174"/>
  <c r="K6" i="174"/>
  <c r="J6" i="174"/>
  <c r="I6" i="174"/>
  <c r="H6" i="174"/>
  <c r="F6" i="174"/>
  <c r="E6" i="174"/>
  <c r="D6" i="174"/>
  <c r="C6" i="174"/>
  <c r="O5" i="174"/>
  <c r="N5" i="174"/>
  <c r="M5" i="174"/>
  <c r="L5" i="174"/>
  <c r="K5" i="174"/>
  <c r="J5" i="174"/>
  <c r="I5" i="174"/>
  <c r="H5" i="174"/>
  <c r="F5" i="174"/>
  <c r="E5" i="174"/>
  <c r="D5" i="174"/>
  <c r="C5" i="174"/>
  <c r="O4" i="174"/>
  <c r="N4" i="174"/>
  <c r="M4" i="174"/>
  <c r="L4" i="174"/>
  <c r="K4" i="174"/>
  <c r="J4" i="174"/>
  <c r="I4" i="174"/>
  <c r="H4" i="174"/>
  <c r="F4" i="174"/>
  <c r="E4" i="174"/>
  <c r="D4" i="174"/>
  <c r="C4" i="174"/>
  <c r="O3" i="174"/>
  <c r="N3" i="174"/>
  <c r="N12" i="174" s="1"/>
  <c r="M3" i="174"/>
  <c r="L3" i="174"/>
  <c r="K3" i="174"/>
  <c r="J3" i="174"/>
  <c r="I3" i="174"/>
  <c r="H3" i="174"/>
  <c r="F3" i="174"/>
  <c r="E3" i="174"/>
  <c r="D3" i="174"/>
  <c r="C3" i="174"/>
  <c r="O2" i="174"/>
  <c r="O12" i="174" s="1"/>
  <c r="N2" i="174"/>
  <c r="M2" i="174"/>
  <c r="L2" i="174"/>
  <c r="K2" i="174"/>
  <c r="J2" i="174"/>
  <c r="I2" i="174"/>
  <c r="I12" i="174" s="1"/>
  <c r="H2" i="174"/>
  <c r="F2" i="174"/>
  <c r="E2" i="174"/>
  <c r="D2" i="174"/>
  <c r="C2" i="174"/>
  <c r="O13" i="173"/>
  <c r="N13" i="173"/>
  <c r="M13" i="173"/>
  <c r="L13" i="173"/>
  <c r="K13" i="173"/>
  <c r="J13" i="173"/>
  <c r="I13" i="173"/>
  <c r="H13" i="173"/>
  <c r="F13" i="173"/>
  <c r="E13" i="173"/>
  <c r="D13" i="173"/>
  <c r="C13" i="173"/>
  <c r="O12" i="173"/>
  <c r="N12" i="173"/>
  <c r="M12" i="173"/>
  <c r="L12" i="173"/>
  <c r="K12" i="173"/>
  <c r="J12" i="173"/>
  <c r="I12" i="173"/>
  <c r="H12" i="173"/>
  <c r="F12" i="173"/>
  <c r="E12" i="173"/>
  <c r="D12" i="173"/>
  <c r="C12" i="173"/>
  <c r="O11" i="173"/>
  <c r="N11" i="173"/>
  <c r="M11" i="173"/>
  <c r="L11" i="173"/>
  <c r="K11" i="173"/>
  <c r="J11" i="173"/>
  <c r="I11" i="173"/>
  <c r="H11" i="173"/>
  <c r="F11" i="173"/>
  <c r="E11" i="173"/>
  <c r="D11" i="173"/>
  <c r="C11" i="173"/>
  <c r="O10" i="173"/>
  <c r="N10" i="173"/>
  <c r="M10" i="173"/>
  <c r="L10" i="173"/>
  <c r="K10" i="173"/>
  <c r="J10" i="173"/>
  <c r="I10" i="173"/>
  <c r="H10" i="173"/>
  <c r="F10" i="173"/>
  <c r="E10" i="173"/>
  <c r="D10" i="173"/>
  <c r="C10" i="173"/>
  <c r="O9" i="173"/>
  <c r="N9" i="173"/>
  <c r="M9" i="173"/>
  <c r="L9" i="173"/>
  <c r="K9" i="173"/>
  <c r="J9" i="173"/>
  <c r="I9" i="173"/>
  <c r="H9" i="173"/>
  <c r="F9" i="173"/>
  <c r="E9" i="173"/>
  <c r="D9" i="173"/>
  <c r="C9" i="173"/>
  <c r="O8" i="173"/>
  <c r="N8" i="173"/>
  <c r="M8" i="173"/>
  <c r="L8" i="173"/>
  <c r="K8" i="173"/>
  <c r="J8" i="173"/>
  <c r="I8" i="173"/>
  <c r="H8" i="173"/>
  <c r="F8" i="173"/>
  <c r="E8" i="173"/>
  <c r="D8" i="173"/>
  <c r="C8" i="173"/>
  <c r="O7" i="173"/>
  <c r="N7" i="173"/>
  <c r="M7" i="173"/>
  <c r="L7" i="173"/>
  <c r="K7" i="173"/>
  <c r="J7" i="173"/>
  <c r="I7" i="173"/>
  <c r="H7" i="173"/>
  <c r="F7" i="173"/>
  <c r="E7" i="173"/>
  <c r="D7" i="173"/>
  <c r="C7" i="173"/>
  <c r="O6" i="173"/>
  <c r="N6" i="173"/>
  <c r="M6" i="173"/>
  <c r="L6" i="173"/>
  <c r="K6" i="173"/>
  <c r="J6" i="173"/>
  <c r="I6" i="173"/>
  <c r="H6" i="173"/>
  <c r="F6" i="173"/>
  <c r="E6" i="173"/>
  <c r="D6" i="173"/>
  <c r="C6" i="173"/>
  <c r="O5" i="173"/>
  <c r="N5" i="173"/>
  <c r="M5" i="173"/>
  <c r="L5" i="173"/>
  <c r="K5" i="173"/>
  <c r="J5" i="173"/>
  <c r="I5" i="173"/>
  <c r="H5" i="173"/>
  <c r="F5" i="173"/>
  <c r="E5" i="173"/>
  <c r="D5" i="173"/>
  <c r="C5" i="173"/>
  <c r="O4" i="173"/>
  <c r="N4" i="173"/>
  <c r="M4" i="173"/>
  <c r="L4" i="173"/>
  <c r="K4" i="173"/>
  <c r="J4" i="173"/>
  <c r="I4" i="173"/>
  <c r="H4" i="173"/>
  <c r="F4" i="173"/>
  <c r="E4" i="173"/>
  <c r="D4" i="173"/>
  <c r="C4" i="173"/>
  <c r="O3" i="173"/>
  <c r="N3" i="173"/>
  <c r="N15" i="173" s="1"/>
  <c r="M3" i="173"/>
  <c r="L3" i="173"/>
  <c r="K3" i="173"/>
  <c r="J3" i="173"/>
  <c r="I3" i="173"/>
  <c r="H3" i="173"/>
  <c r="F3" i="173"/>
  <c r="E3" i="173"/>
  <c r="D3" i="173"/>
  <c r="C3" i="173"/>
  <c r="O2" i="173"/>
  <c r="N2" i="173"/>
  <c r="M2" i="173"/>
  <c r="L2" i="173"/>
  <c r="K2" i="173"/>
  <c r="J2" i="173"/>
  <c r="I2" i="173"/>
  <c r="H2" i="173"/>
  <c r="F2" i="173"/>
  <c r="E2" i="173"/>
  <c r="D2" i="173"/>
  <c r="C2" i="173"/>
  <c r="E75" i="172"/>
  <c r="E74" i="172"/>
  <c r="F73" i="172"/>
  <c r="E73" i="172"/>
  <c r="F72" i="172"/>
  <c r="E72" i="172"/>
  <c r="F71" i="172"/>
  <c r="E71" i="172"/>
  <c r="F70" i="172"/>
  <c r="E70" i="172"/>
  <c r="F69" i="172"/>
  <c r="E69" i="172"/>
  <c r="F68" i="172"/>
  <c r="E68" i="172"/>
  <c r="F67" i="172"/>
  <c r="E67" i="172"/>
  <c r="F66" i="172"/>
  <c r="E66" i="172"/>
  <c r="F65" i="172"/>
  <c r="E65" i="172"/>
  <c r="F64" i="172"/>
  <c r="E64" i="172"/>
  <c r="F63" i="172"/>
  <c r="E63" i="172"/>
  <c r="F62" i="172"/>
  <c r="E62" i="172"/>
  <c r="F61" i="172"/>
  <c r="E61" i="172"/>
  <c r="F60" i="172"/>
  <c r="E60" i="172"/>
  <c r="F59" i="172"/>
  <c r="E59" i="172"/>
  <c r="F58" i="172"/>
  <c r="E58" i="172"/>
  <c r="F57" i="172"/>
  <c r="E57" i="172"/>
  <c r="F56" i="172"/>
  <c r="E56" i="172"/>
  <c r="F55" i="172"/>
  <c r="E55" i="172"/>
  <c r="F54" i="172"/>
  <c r="E54" i="172"/>
  <c r="F53" i="172"/>
  <c r="E53" i="172"/>
  <c r="F52" i="172"/>
  <c r="E52" i="172"/>
  <c r="F51" i="172"/>
  <c r="E51" i="172"/>
  <c r="F50" i="172"/>
  <c r="E50" i="172"/>
  <c r="F49" i="172"/>
  <c r="E49" i="172"/>
  <c r="F48" i="172"/>
  <c r="E48" i="172"/>
  <c r="F47" i="172"/>
  <c r="E47" i="172"/>
  <c r="F46" i="172"/>
  <c r="E46" i="172"/>
  <c r="F45" i="172"/>
  <c r="E45" i="172"/>
  <c r="F44" i="172"/>
  <c r="E44" i="172"/>
  <c r="F43" i="172"/>
  <c r="E43" i="172"/>
  <c r="F42" i="172"/>
  <c r="E42" i="172"/>
  <c r="F41" i="172"/>
  <c r="E41" i="172"/>
  <c r="F40" i="172"/>
  <c r="E40" i="172"/>
  <c r="F39" i="172"/>
  <c r="E39" i="172"/>
  <c r="F38" i="172"/>
  <c r="E38" i="172"/>
  <c r="F37" i="172"/>
  <c r="E37" i="172"/>
  <c r="F36" i="172"/>
  <c r="E36" i="172"/>
  <c r="F35" i="172"/>
  <c r="E35" i="172"/>
  <c r="F34" i="172"/>
  <c r="E34" i="172"/>
  <c r="F33" i="172"/>
  <c r="E33" i="172"/>
  <c r="F32" i="172"/>
  <c r="E32" i="172"/>
  <c r="F31" i="172"/>
  <c r="E31" i="172"/>
  <c r="F30" i="172"/>
  <c r="E30" i="172"/>
  <c r="F29" i="172"/>
  <c r="E29" i="172"/>
  <c r="F28" i="172"/>
  <c r="E28" i="172"/>
  <c r="F27" i="172"/>
  <c r="E27" i="172"/>
  <c r="F26" i="172"/>
  <c r="E26" i="172"/>
  <c r="F25" i="172"/>
  <c r="E25" i="172"/>
  <c r="F24" i="172"/>
  <c r="E24" i="172"/>
  <c r="F23" i="172"/>
  <c r="E23" i="172"/>
  <c r="F22" i="172"/>
  <c r="E22" i="172"/>
  <c r="F21" i="172"/>
  <c r="E21" i="172"/>
  <c r="F20" i="172"/>
  <c r="E20" i="172"/>
  <c r="F19" i="172"/>
  <c r="E19" i="172"/>
  <c r="F18" i="172"/>
  <c r="E18" i="172"/>
  <c r="F17" i="172"/>
  <c r="E17" i="172"/>
  <c r="F16" i="172"/>
  <c r="E16" i="172"/>
  <c r="F15" i="172"/>
  <c r="E15" i="172"/>
  <c r="F14" i="172"/>
  <c r="E14" i="172"/>
  <c r="F13" i="172"/>
  <c r="E13" i="172"/>
  <c r="Y12" i="172"/>
  <c r="X12" i="172"/>
  <c r="W12" i="172"/>
  <c r="V12" i="172"/>
  <c r="U12" i="172"/>
  <c r="T12" i="172"/>
  <c r="S12" i="172"/>
  <c r="R12" i="172"/>
  <c r="Q12" i="172"/>
  <c r="P12" i="172"/>
  <c r="F12" i="172"/>
  <c r="E12" i="172"/>
  <c r="D12" i="172"/>
  <c r="C12" i="172"/>
  <c r="O11" i="172"/>
  <c r="N11" i="172"/>
  <c r="M11" i="172"/>
  <c r="L11" i="172"/>
  <c r="K11" i="172"/>
  <c r="J11" i="172"/>
  <c r="I11" i="172"/>
  <c r="H11" i="172"/>
  <c r="F11" i="172"/>
  <c r="E11" i="172"/>
  <c r="D11" i="172"/>
  <c r="C11" i="172"/>
  <c r="O10" i="172"/>
  <c r="N10" i="172"/>
  <c r="M10" i="172"/>
  <c r="L10" i="172"/>
  <c r="K10" i="172"/>
  <c r="J10" i="172"/>
  <c r="I10" i="172"/>
  <c r="H10" i="172"/>
  <c r="F10" i="172"/>
  <c r="E10" i="172"/>
  <c r="D10" i="172"/>
  <c r="C10" i="172"/>
  <c r="O9" i="172"/>
  <c r="N9" i="172"/>
  <c r="M9" i="172"/>
  <c r="L9" i="172"/>
  <c r="K9" i="172"/>
  <c r="J9" i="172"/>
  <c r="I9" i="172"/>
  <c r="H9" i="172"/>
  <c r="F9" i="172"/>
  <c r="E9" i="172"/>
  <c r="D9" i="172"/>
  <c r="C9" i="172"/>
  <c r="O8" i="172"/>
  <c r="N8" i="172"/>
  <c r="M8" i="172"/>
  <c r="L8" i="172"/>
  <c r="K8" i="172"/>
  <c r="J8" i="172"/>
  <c r="I8" i="172"/>
  <c r="H8" i="172"/>
  <c r="F8" i="172"/>
  <c r="E8" i="172"/>
  <c r="D8" i="172"/>
  <c r="C8" i="172"/>
  <c r="O7" i="172"/>
  <c r="N7" i="172"/>
  <c r="M7" i="172"/>
  <c r="L7" i="172"/>
  <c r="K7" i="172"/>
  <c r="J7" i="172"/>
  <c r="I7" i="172"/>
  <c r="H7" i="172"/>
  <c r="F7" i="172"/>
  <c r="E7" i="172"/>
  <c r="D7" i="172"/>
  <c r="C7" i="172"/>
  <c r="O6" i="172"/>
  <c r="N6" i="172"/>
  <c r="M6" i="172"/>
  <c r="L6" i="172"/>
  <c r="K6" i="172"/>
  <c r="J6" i="172"/>
  <c r="I6" i="172"/>
  <c r="H6" i="172"/>
  <c r="F6" i="172"/>
  <c r="E6" i="172"/>
  <c r="D6" i="172"/>
  <c r="C6" i="172"/>
  <c r="O5" i="172"/>
  <c r="N5" i="172"/>
  <c r="M5" i="172"/>
  <c r="L5" i="172"/>
  <c r="K5" i="172"/>
  <c r="J5" i="172"/>
  <c r="I5" i="172"/>
  <c r="H5" i="172"/>
  <c r="F5" i="172"/>
  <c r="E5" i="172"/>
  <c r="D5" i="172"/>
  <c r="C5" i="172"/>
  <c r="O4" i="172"/>
  <c r="N4" i="172"/>
  <c r="M4" i="172"/>
  <c r="L4" i="172"/>
  <c r="K4" i="172"/>
  <c r="J4" i="172"/>
  <c r="I4" i="172"/>
  <c r="H4" i="172"/>
  <c r="F4" i="172"/>
  <c r="E4" i="172"/>
  <c r="D4" i="172"/>
  <c r="C4" i="172"/>
  <c r="O3" i="172"/>
  <c r="N3" i="172"/>
  <c r="M3" i="172"/>
  <c r="L3" i="172"/>
  <c r="K3" i="172"/>
  <c r="J3" i="172"/>
  <c r="I3" i="172"/>
  <c r="H3" i="172"/>
  <c r="F3" i="172"/>
  <c r="E3" i="172"/>
  <c r="D3" i="172"/>
  <c r="C3" i="172"/>
  <c r="O2" i="172"/>
  <c r="N2" i="172"/>
  <c r="N77" i="172" s="1"/>
  <c r="M2" i="172"/>
  <c r="L2" i="172"/>
  <c r="K2" i="172"/>
  <c r="J2" i="172"/>
  <c r="I2" i="172"/>
  <c r="H2" i="172"/>
  <c r="F2" i="172"/>
  <c r="E2" i="172"/>
  <c r="D2" i="172"/>
  <c r="C2" i="172"/>
  <c r="Y21" i="171"/>
  <c r="X21" i="171"/>
  <c r="W21" i="171"/>
  <c r="V21" i="171"/>
  <c r="U21" i="171"/>
  <c r="T21" i="171"/>
  <c r="S21" i="171"/>
  <c r="R21" i="171"/>
  <c r="Q21" i="171"/>
  <c r="P21" i="171"/>
  <c r="F21" i="171"/>
  <c r="E21" i="171"/>
  <c r="O20" i="171"/>
  <c r="N20" i="171"/>
  <c r="M20" i="171"/>
  <c r="L20" i="171"/>
  <c r="K20" i="171"/>
  <c r="J20" i="171"/>
  <c r="I20" i="171"/>
  <c r="H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F15" i="171"/>
  <c r="E15" i="171"/>
  <c r="D15" i="171"/>
  <c r="C15" i="171"/>
  <c r="O14" i="171"/>
  <c r="N14" i="171"/>
  <c r="M14" i="171"/>
  <c r="L14" i="171"/>
  <c r="K14" i="171"/>
  <c r="J14" i="171"/>
  <c r="I14" i="171"/>
  <c r="H14" i="171"/>
  <c r="F14" i="171"/>
  <c r="E14" i="171"/>
  <c r="D14" i="171"/>
  <c r="C14" i="171"/>
  <c r="O13" i="171"/>
  <c r="N13" i="171"/>
  <c r="M13" i="171"/>
  <c r="L13" i="171"/>
  <c r="K13" i="171"/>
  <c r="J13" i="171"/>
  <c r="I13" i="171"/>
  <c r="H13" i="171"/>
  <c r="F13" i="171"/>
  <c r="E13" i="171"/>
  <c r="D13" i="171"/>
  <c r="C13" i="171"/>
  <c r="O12" i="171"/>
  <c r="N12" i="171"/>
  <c r="M12" i="171"/>
  <c r="L12" i="171"/>
  <c r="K12" i="171"/>
  <c r="J12" i="171"/>
  <c r="I12" i="171"/>
  <c r="H12" i="171"/>
  <c r="F12" i="171"/>
  <c r="E12" i="171"/>
  <c r="D12" i="171"/>
  <c r="C12" i="171"/>
  <c r="O11" i="171"/>
  <c r="N11" i="171"/>
  <c r="M11" i="171"/>
  <c r="L11" i="171"/>
  <c r="K11" i="171"/>
  <c r="J11" i="171"/>
  <c r="I11" i="171"/>
  <c r="H11" i="171"/>
  <c r="F11" i="171"/>
  <c r="E11" i="171"/>
  <c r="D11" i="171"/>
  <c r="C11" i="171"/>
  <c r="O10" i="171"/>
  <c r="N10" i="171"/>
  <c r="M10" i="171"/>
  <c r="L10" i="171"/>
  <c r="K10" i="171"/>
  <c r="J10" i="171"/>
  <c r="I10" i="171"/>
  <c r="H10" i="171"/>
  <c r="F10" i="171"/>
  <c r="E10" i="171"/>
  <c r="D10" i="171"/>
  <c r="C10" i="171"/>
  <c r="O9" i="171"/>
  <c r="N9" i="171"/>
  <c r="M9" i="171"/>
  <c r="L9" i="171"/>
  <c r="K9" i="171"/>
  <c r="J9" i="171"/>
  <c r="I9" i="171"/>
  <c r="H9" i="171"/>
  <c r="F9" i="171"/>
  <c r="E9" i="171"/>
  <c r="D9" i="171"/>
  <c r="C9" i="171"/>
  <c r="O8" i="171"/>
  <c r="N8" i="171"/>
  <c r="M8" i="171"/>
  <c r="L8" i="171"/>
  <c r="K8" i="171"/>
  <c r="J8" i="171"/>
  <c r="I8" i="171"/>
  <c r="H8" i="171"/>
  <c r="F8" i="171"/>
  <c r="E8" i="171"/>
  <c r="D8" i="171"/>
  <c r="C8" i="171"/>
  <c r="O7" i="171"/>
  <c r="N7" i="171"/>
  <c r="M7" i="171"/>
  <c r="L7" i="171"/>
  <c r="K7" i="171"/>
  <c r="J7" i="171"/>
  <c r="I7" i="171"/>
  <c r="H7" i="171"/>
  <c r="F7" i="171"/>
  <c r="E7" i="171"/>
  <c r="D7" i="171"/>
  <c r="C7" i="171"/>
  <c r="O6" i="171"/>
  <c r="N6" i="171"/>
  <c r="M6" i="171"/>
  <c r="L6" i="171"/>
  <c r="K6" i="171"/>
  <c r="J6" i="171"/>
  <c r="I6" i="171"/>
  <c r="H6" i="171"/>
  <c r="F6" i="171"/>
  <c r="E6" i="171"/>
  <c r="D6" i="171"/>
  <c r="C6" i="171"/>
  <c r="O5" i="171"/>
  <c r="N5" i="171"/>
  <c r="M5" i="171"/>
  <c r="L5" i="171"/>
  <c r="K5" i="171"/>
  <c r="J5" i="171"/>
  <c r="I5" i="171"/>
  <c r="H5" i="171"/>
  <c r="F5" i="171"/>
  <c r="E5" i="171"/>
  <c r="D5" i="171"/>
  <c r="C5" i="171"/>
  <c r="O4" i="171"/>
  <c r="N4" i="171"/>
  <c r="M4" i="171"/>
  <c r="L4" i="171"/>
  <c r="K4" i="171"/>
  <c r="J4" i="171"/>
  <c r="I4" i="171"/>
  <c r="H4" i="171"/>
  <c r="F4" i="171"/>
  <c r="E4" i="171"/>
  <c r="D4" i="171"/>
  <c r="C4" i="171"/>
  <c r="O3" i="171"/>
  <c r="N3" i="171"/>
  <c r="M3" i="171"/>
  <c r="L3" i="171"/>
  <c r="K3" i="171"/>
  <c r="J3" i="171"/>
  <c r="I3" i="171"/>
  <c r="H3" i="171"/>
  <c r="F3" i="171"/>
  <c r="E3" i="171"/>
  <c r="D3" i="171"/>
  <c r="C3" i="171"/>
  <c r="O2" i="171"/>
  <c r="N2" i="171"/>
  <c r="M2" i="171"/>
  <c r="L2" i="171"/>
  <c r="K2" i="171"/>
  <c r="K23" i="171" s="1"/>
  <c r="J2" i="171"/>
  <c r="I2" i="171"/>
  <c r="H2" i="171"/>
  <c r="F2" i="171"/>
  <c r="E2" i="171"/>
  <c r="D2" i="171"/>
  <c r="C2" i="171"/>
  <c r="E128" i="170"/>
  <c r="E127" i="170"/>
  <c r="E126" i="170"/>
  <c r="E125" i="170"/>
  <c r="E124" i="170"/>
  <c r="E123" i="170"/>
  <c r="E122" i="170"/>
  <c r="E121" i="170"/>
  <c r="E120" i="170"/>
  <c r="E119" i="170"/>
  <c r="E118" i="170"/>
  <c r="E117" i="170"/>
  <c r="E116" i="170"/>
  <c r="F115" i="170"/>
  <c r="E115" i="170"/>
  <c r="F114" i="170"/>
  <c r="E114" i="170"/>
  <c r="F113" i="170"/>
  <c r="E113" i="170"/>
  <c r="F112" i="170"/>
  <c r="E112" i="170"/>
  <c r="F111" i="170"/>
  <c r="E111" i="170"/>
  <c r="F110" i="170"/>
  <c r="E110" i="170"/>
  <c r="F109" i="170"/>
  <c r="E109" i="170"/>
  <c r="F108" i="170"/>
  <c r="E108" i="170"/>
  <c r="F107" i="170"/>
  <c r="E107" i="170"/>
  <c r="F106" i="170"/>
  <c r="E106" i="170"/>
  <c r="F105" i="170"/>
  <c r="E105" i="170"/>
  <c r="F104" i="170"/>
  <c r="E104" i="170"/>
  <c r="F103" i="170"/>
  <c r="E103" i="170"/>
  <c r="F102" i="170"/>
  <c r="E102" i="170"/>
  <c r="F101" i="170"/>
  <c r="E101" i="170"/>
  <c r="F100" i="170"/>
  <c r="E100" i="170"/>
  <c r="F99" i="170"/>
  <c r="E99" i="170"/>
  <c r="F98" i="170"/>
  <c r="E98" i="170"/>
  <c r="F97" i="170"/>
  <c r="E97" i="170"/>
  <c r="F96" i="170"/>
  <c r="E96" i="170"/>
  <c r="F95" i="170"/>
  <c r="E95" i="170"/>
  <c r="F94" i="170"/>
  <c r="E94" i="170"/>
  <c r="F93" i="170"/>
  <c r="E93" i="170"/>
  <c r="F92" i="170"/>
  <c r="E92" i="170"/>
  <c r="F91" i="170"/>
  <c r="E91" i="170"/>
  <c r="F90" i="170"/>
  <c r="E90" i="170"/>
  <c r="F89" i="170"/>
  <c r="E89" i="170"/>
  <c r="F88" i="170"/>
  <c r="E88" i="170"/>
  <c r="F87" i="170"/>
  <c r="E87" i="170"/>
  <c r="F86" i="170"/>
  <c r="E86" i="170"/>
  <c r="F85" i="170"/>
  <c r="E85" i="170"/>
  <c r="F84" i="170"/>
  <c r="E84" i="170"/>
  <c r="F83" i="170"/>
  <c r="E83" i="170"/>
  <c r="F82" i="170"/>
  <c r="E82" i="170"/>
  <c r="F81" i="170"/>
  <c r="E81" i="170"/>
  <c r="F80" i="170"/>
  <c r="E80" i="170"/>
  <c r="F79" i="170"/>
  <c r="E79" i="170"/>
  <c r="F78" i="170"/>
  <c r="E78" i="170"/>
  <c r="F77" i="170"/>
  <c r="E77" i="170"/>
  <c r="F76" i="170"/>
  <c r="E76" i="170"/>
  <c r="F75" i="170"/>
  <c r="E75" i="170"/>
  <c r="F74" i="170"/>
  <c r="E74" i="170"/>
  <c r="F73" i="170"/>
  <c r="E73" i="170"/>
  <c r="F72" i="170"/>
  <c r="E72" i="170"/>
  <c r="F71" i="170"/>
  <c r="E71" i="170"/>
  <c r="F70" i="170"/>
  <c r="E70" i="170"/>
  <c r="F69" i="170"/>
  <c r="E69" i="170"/>
  <c r="F68" i="170"/>
  <c r="E68" i="170"/>
  <c r="F67" i="170"/>
  <c r="E67" i="170"/>
  <c r="F66" i="170"/>
  <c r="E66" i="170"/>
  <c r="F65" i="170"/>
  <c r="E65" i="170"/>
  <c r="F64" i="170"/>
  <c r="E64" i="170"/>
  <c r="F63" i="170"/>
  <c r="E63" i="170"/>
  <c r="F62" i="170"/>
  <c r="E62" i="170"/>
  <c r="F61" i="170"/>
  <c r="E61" i="170"/>
  <c r="F60" i="170"/>
  <c r="E60" i="170"/>
  <c r="F59" i="170"/>
  <c r="E59" i="170"/>
  <c r="F58" i="170"/>
  <c r="E58" i="170"/>
  <c r="F57" i="170"/>
  <c r="E57" i="170"/>
  <c r="F56" i="170"/>
  <c r="E56" i="170"/>
  <c r="F55" i="170"/>
  <c r="E55" i="170"/>
  <c r="F54" i="170"/>
  <c r="E54" i="170"/>
  <c r="F53" i="170"/>
  <c r="E53" i="170"/>
  <c r="F52" i="170"/>
  <c r="E52" i="170"/>
  <c r="F51" i="170"/>
  <c r="E51" i="170"/>
  <c r="F50" i="170"/>
  <c r="E50" i="170"/>
  <c r="F49" i="170"/>
  <c r="E49" i="170"/>
  <c r="F48" i="170"/>
  <c r="E48" i="170"/>
  <c r="F47" i="170"/>
  <c r="E47" i="170"/>
  <c r="F46" i="170"/>
  <c r="E46" i="170"/>
  <c r="F45" i="170"/>
  <c r="E45" i="170"/>
  <c r="F44" i="170"/>
  <c r="E44" i="170"/>
  <c r="F43" i="170"/>
  <c r="E43" i="170"/>
  <c r="F42" i="170"/>
  <c r="E42" i="170"/>
  <c r="F41" i="170"/>
  <c r="E41" i="170"/>
  <c r="F40" i="170"/>
  <c r="E40" i="170"/>
  <c r="F39" i="170"/>
  <c r="E39" i="170"/>
  <c r="F38" i="170"/>
  <c r="E38" i="170"/>
  <c r="F37" i="170"/>
  <c r="E37" i="170"/>
  <c r="F36" i="170"/>
  <c r="E36" i="170"/>
  <c r="F35" i="170"/>
  <c r="E35" i="170"/>
  <c r="F34" i="170"/>
  <c r="E34" i="170"/>
  <c r="F33" i="170"/>
  <c r="E33" i="170"/>
  <c r="F32" i="170"/>
  <c r="E32" i="170"/>
  <c r="F31" i="170"/>
  <c r="E31" i="170"/>
  <c r="F30" i="170"/>
  <c r="E30" i="170"/>
  <c r="F29" i="170"/>
  <c r="E29" i="170"/>
  <c r="E28" i="170"/>
  <c r="F27" i="170"/>
  <c r="E27" i="170"/>
  <c r="F26" i="170"/>
  <c r="E26" i="170"/>
  <c r="F25" i="170"/>
  <c r="E25" i="170"/>
  <c r="F24" i="170"/>
  <c r="E24" i="170"/>
  <c r="F23" i="170"/>
  <c r="E23" i="170"/>
  <c r="F22" i="170"/>
  <c r="E22" i="170"/>
  <c r="F21" i="170"/>
  <c r="E21" i="170"/>
  <c r="F20" i="170"/>
  <c r="E20" i="170"/>
  <c r="F19" i="170"/>
  <c r="E19" i="170"/>
  <c r="F18" i="170"/>
  <c r="E18" i="170"/>
  <c r="F17" i="170"/>
  <c r="E17" i="170"/>
  <c r="F16" i="170"/>
  <c r="E16" i="170"/>
  <c r="F15" i="170"/>
  <c r="E15" i="170"/>
  <c r="F14" i="170"/>
  <c r="E14" i="170"/>
  <c r="F13" i="170"/>
  <c r="E13" i="170"/>
  <c r="F12" i="170"/>
  <c r="E12" i="170"/>
  <c r="F11" i="170"/>
  <c r="E11" i="170"/>
  <c r="F10" i="170"/>
  <c r="E10" i="170"/>
  <c r="F9" i="170"/>
  <c r="E9" i="170"/>
  <c r="F8" i="170"/>
  <c r="E8" i="170"/>
  <c r="F7" i="170"/>
  <c r="E7" i="170"/>
  <c r="F6" i="170"/>
  <c r="E6" i="170"/>
  <c r="F5" i="170"/>
  <c r="E5" i="170"/>
  <c r="F4" i="170"/>
  <c r="E4" i="170"/>
  <c r="F3" i="170"/>
  <c r="E3" i="170"/>
  <c r="O2" i="170"/>
  <c r="O130" i="170" s="1"/>
  <c r="N2" i="170"/>
  <c r="N130" i="170" s="1"/>
  <c r="M2" i="170"/>
  <c r="M130" i="170" s="1"/>
  <c r="L2" i="170"/>
  <c r="L130" i="170" s="1"/>
  <c r="K2" i="170"/>
  <c r="K130" i="170" s="1"/>
  <c r="Q130" i="170" s="1"/>
  <c r="J2" i="170"/>
  <c r="J130" i="170" s="1"/>
  <c r="I2" i="170"/>
  <c r="I130" i="170" s="1"/>
  <c r="H2" i="170"/>
  <c r="H130" i="170" s="1"/>
  <c r="F2" i="170"/>
  <c r="E2" i="170"/>
  <c r="D2" i="170"/>
  <c r="C2" i="170"/>
  <c r="F14" i="169"/>
  <c r="E14" i="169"/>
  <c r="F13" i="169"/>
  <c r="E13" i="169"/>
  <c r="O12" i="169"/>
  <c r="N12" i="169"/>
  <c r="M12" i="169"/>
  <c r="L12" i="169"/>
  <c r="K12" i="169"/>
  <c r="J12" i="169"/>
  <c r="I12" i="169"/>
  <c r="H12" i="169"/>
  <c r="F12" i="169"/>
  <c r="E12" i="169"/>
  <c r="D12" i="169"/>
  <c r="C12" i="169"/>
  <c r="O11" i="169"/>
  <c r="N11" i="169"/>
  <c r="M11" i="169"/>
  <c r="L11" i="169"/>
  <c r="K11" i="169"/>
  <c r="J11" i="169"/>
  <c r="I11" i="169"/>
  <c r="H11" i="169"/>
  <c r="F11" i="169"/>
  <c r="E11" i="169"/>
  <c r="D11" i="169"/>
  <c r="C11" i="169"/>
  <c r="O10" i="169"/>
  <c r="N10" i="169"/>
  <c r="M10" i="169"/>
  <c r="L10" i="169"/>
  <c r="K10" i="169"/>
  <c r="J10" i="169"/>
  <c r="I10" i="169"/>
  <c r="H10" i="169"/>
  <c r="F10" i="169"/>
  <c r="E10" i="169"/>
  <c r="D10" i="169"/>
  <c r="C10" i="169"/>
  <c r="O9" i="169"/>
  <c r="N9" i="169"/>
  <c r="M9" i="169"/>
  <c r="L9" i="169"/>
  <c r="K9" i="169"/>
  <c r="J9" i="169"/>
  <c r="I9" i="169"/>
  <c r="H9" i="169"/>
  <c r="F9" i="169"/>
  <c r="E9" i="169"/>
  <c r="D9" i="169"/>
  <c r="C9" i="169"/>
  <c r="O8" i="169"/>
  <c r="N8" i="169"/>
  <c r="M8" i="169"/>
  <c r="L8" i="169"/>
  <c r="K8" i="169"/>
  <c r="J8" i="169"/>
  <c r="I8" i="169"/>
  <c r="H8" i="169"/>
  <c r="F8" i="169"/>
  <c r="E8" i="169"/>
  <c r="D8" i="169"/>
  <c r="C8" i="169"/>
  <c r="O7" i="169"/>
  <c r="N7" i="169"/>
  <c r="M7" i="169"/>
  <c r="L7" i="169"/>
  <c r="K7" i="169"/>
  <c r="J7" i="169"/>
  <c r="I7" i="169"/>
  <c r="H7" i="169"/>
  <c r="F7" i="169"/>
  <c r="E7" i="169"/>
  <c r="D7" i="169"/>
  <c r="C7" i="169"/>
  <c r="O6" i="169"/>
  <c r="N6" i="169"/>
  <c r="M6" i="169"/>
  <c r="L6" i="169"/>
  <c r="K6" i="169"/>
  <c r="J6" i="169"/>
  <c r="I6" i="169"/>
  <c r="H6" i="169"/>
  <c r="F6" i="169"/>
  <c r="E6" i="169"/>
  <c r="D6" i="169"/>
  <c r="C6" i="169"/>
  <c r="O5" i="169"/>
  <c r="N5" i="169"/>
  <c r="M5" i="169"/>
  <c r="L5" i="169"/>
  <c r="K5" i="169"/>
  <c r="J5" i="169"/>
  <c r="I5" i="169"/>
  <c r="H5" i="169"/>
  <c r="F5" i="169"/>
  <c r="E5" i="169"/>
  <c r="D5" i="169"/>
  <c r="C5" i="169"/>
  <c r="O4" i="169"/>
  <c r="N4" i="169"/>
  <c r="M4" i="169"/>
  <c r="L4" i="169"/>
  <c r="K4" i="169"/>
  <c r="J4" i="169"/>
  <c r="I4" i="169"/>
  <c r="H4" i="169"/>
  <c r="F4" i="169"/>
  <c r="E4" i="169"/>
  <c r="D4" i="169"/>
  <c r="C4" i="169"/>
  <c r="O3" i="169"/>
  <c r="N3" i="169"/>
  <c r="M3" i="169"/>
  <c r="L3" i="169"/>
  <c r="K3" i="169"/>
  <c r="J3" i="169"/>
  <c r="I3" i="169"/>
  <c r="H3" i="169"/>
  <c r="F3" i="169"/>
  <c r="E3" i="169"/>
  <c r="D3" i="169"/>
  <c r="C3" i="169"/>
  <c r="O2" i="169"/>
  <c r="N2" i="169"/>
  <c r="M2" i="169"/>
  <c r="L2" i="169"/>
  <c r="K2" i="169"/>
  <c r="J2" i="169"/>
  <c r="I2" i="169"/>
  <c r="H2" i="169"/>
  <c r="F2" i="169"/>
  <c r="E2" i="169"/>
  <c r="D2" i="169"/>
  <c r="C2" i="169"/>
  <c r="E300" i="168"/>
  <c r="E299" i="168"/>
  <c r="E298" i="168"/>
  <c r="E297" i="168"/>
  <c r="E296" i="168"/>
  <c r="E295" i="168"/>
  <c r="E294" i="168"/>
  <c r="E293" i="168"/>
  <c r="E292" i="168"/>
  <c r="E291" i="168"/>
  <c r="E290" i="168"/>
  <c r="E289" i="168"/>
  <c r="E288" i="168"/>
  <c r="E287" i="168"/>
  <c r="E286" i="168"/>
  <c r="E285" i="168"/>
  <c r="E284" i="168"/>
  <c r="E283" i="168"/>
  <c r="E282" i="168"/>
  <c r="E281" i="168"/>
  <c r="E280" i="168"/>
  <c r="E279" i="168"/>
  <c r="F278" i="168"/>
  <c r="E278" i="168"/>
  <c r="F277" i="168"/>
  <c r="E277" i="168"/>
  <c r="F276" i="168"/>
  <c r="E276" i="168"/>
  <c r="F275" i="168"/>
  <c r="E275" i="168"/>
  <c r="F274" i="168"/>
  <c r="E274" i="168"/>
  <c r="F273" i="168"/>
  <c r="E273" i="168"/>
  <c r="F272" i="168"/>
  <c r="E272" i="168"/>
  <c r="F271" i="168"/>
  <c r="E271" i="168"/>
  <c r="F270" i="168"/>
  <c r="E270" i="168"/>
  <c r="F269" i="168"/>
  <c r="E269" i="168"/>
  <c r="F268" i="168"/>
  <c r="E268" i="168"/>
  <c r="F267" i="168"/>
  <c r="E267" i="168"/>
  <c r="F266" i="168"/>
  <c r="E266" i="168"/>
  <c r="F265" i="168"/>
  <c r="E265" i="168"/>
  <c r="F264" i="168"/>
  <c r="E264" i="168"/>
  <c r="F263" i="168"/>
  <c r="E263" i="168"/>
  <c r="F262" i="168"/>
  <c r="E262" i="168"/>
  <c r="F261" i="168"/>
  <c r="E261" i="168"/>
  <c r="F260" i="168"/>
  <c r="E260" i="168"/>
  <c r="F259" i="168"/>
  <c r="E259" i="168"/>
  <c r="F258" i="168"/>
  <c r="E258" i="168"/>
  <c r="F257" i="168"/>
  <c r="E257" i="168"/>
  <c r="F256" i="168"/>
  <c r="E256" i="168"/>
  <c r="F255" i="168"/>
  <c r="E255" i="168"/>
  <c r="F254" i="168"/>
  <c r="E254" i="168"/>
  <c r="F253" i="168"/>
  <c r="E253" i="168"/>
  <c r="F252" i="168"/>
  <c r="E252" i="168"/>
  <c r="F251" i="168"/>
  <c r="E251" i="168"/>
  <c r="F250" i="168"/>
  <c r="E250" i="168"/>
  <c r="F249" i="168"/>
  <c r="E249" i="168"/>
  <c r="F248" i="168"/>
  <c r="E248" i="168"/>
  <c r="F247" i="168"/>
  <c r="E247" i="168"/>
  <c r="F246" i="168"/>
  <c r="E246" i="168"/>
  <c r="F245" i="168"/>
  <c r="E245" i="168"/>
  <c r="F244" i="168"/>
  <c r="E244" i="168"/>
  <c r="F243" i="168"/>
  <c r="E243" i="168"/>
  <c r="F242" i="168"/>
  <c r="E242" i="168"/>
  <c r="F241" i="168"/>
  <c r="E241" i="168"/>
  <c r="F240" i="168"/>
  <c r="E240" i="168"/>
  <c r="F239" i="168"/>
  <c r="E239" i="168"/>
  <c r="F238" i="168"/>
  <c r="E238" i="168"/>
  <c r="F237" i="168"/>
  <c r="E237" i="168"/>
  <c r="F236" i="168"/>
  <c r="E236" i="168"/>
  <c r="F235" i="168"/>
  <c r="E235" i="168"/>
  <c r="F234" i="168"/>
  <c r="E234" i="168"/>
  <c r="F233" i="168"/>
  <c r="E233" i="168"/>
  <c r="F232" i="168"/>
  <c r="E232" i="168"/>
  <c r="F231" i="168"/>
  <c r="E231" i="168"/>
  <c r="F230" i="168"/>
  <c r="E230" i="168"/>
  <c r="F229" i="168"/>
  <c r="E229" i="168"/>
  <c r="F228" i="168"/>
  <c r="E228" i="168"/>
  <c r="F227" i="168"/>
  <c r="E227" i="168"/>
  <c r="F226" i="168"/>
  <c r="E226" i="168"/>
  <c r="F225" i="168"/>
  <c r="E225" i="168"/>
  <c r="F224" i="168"/>
  <c r="E224" i="168"/>
  <c r="F223" i="168"/>
  <c r="E223" i="168"/>
  <c r="F222" i="168"/>
  <c r="E222" i="168"/>
  <c r="F221" i="168"/>
  <c r="E221" i="168"/>
  <c r="F220" i="168"/>
  <c r="E220" i="168"/>
  <c r="F219" i="168"/>
  <c r="E219" i="168"/>
  <c r="F218" i="168"/>
  <c r="E218" i="168"/>
  <c r="F217" i="168"/>
  <c r="E217" i="168"/>
  <c r="F216" i="168"/>
  <c r="E216" i="168"/>
  <c r="F215" i="168"/>
  <c r="E215" i="168"/>
  <c r="F214" i="168"/>
  <c r="E214" i="168"/>
  <c r="F213" i="168"/>
  <c r="E213" i="168"/>
  <c r="F212" i="168"/>
  <c r="E212" i="168"/>
  <c r="F211" i="168"/>
  <c r="E211" i="168"/>
  <c r="F210" i="168"/>
  <c r="E210" i="168"/>
  <c r="F209" i="168"/>
  <c r="E209" i="168"/>
  <c r="F208" i="168"/>
  <c r="E208" i="168"/>
  <c r="F207" i="168"/>
  <c r="E207" i="168"/>
  <c r="F206" i="168"/>
  <c r="E206" i="168"/>
  <c r="F205" i="168"/>
  <c r="E205" i="168"/>
  <c r="F204" i="168"/>
  <c r="E204" i="168"/>
  <c r="F203" i="168"/>
  <c r="E203" i="168"/>
  <c r="F202" i="168"/>
  <c r="E202" i="168"/>
  <c r="F201" i="168"/>
  <c r="E201" i="168"/>
  <c r="F200" i="168"/>
  <c r="E200" i="168"/>
  <c r="F199" i="168"/>
  <c r="E199" i="168"/>
  <c r="F198" i="168"/>
  <c r="E198" i="168"/>
  <c r="F197" i="168"/>
  <c r="E197" i="168"/>
  <c r="F196" i="168"/>
  <c r="E196" i="168"/>
  <c r="F195" i="168"/>
  <c r="E195" i="168"/>
  <c r="F194" i="168"/>
  <c r="E194" i="168"/>
  <c r="F193" i="168"/>
  <c r="E193" i="168"/>
  <c r="F192" i="168"/>
  <c r="E192" i="168"/>
  <c r="F191" i="168"/>
  <c r="E191" i="168"/>
  <c r="F190" i="168"/>
  <c r="E190" i="168"/>
  <c r="F189" i="168"/>
  <c r="E189" i="168"/>
  <c r="F188" i="168"/>
  <c r="E188" i="168"/>
  <c r="F187" i="168"/>
  <c r="E187" i="168"/>
  <c r="F186" i="168"/>
  <c r="E186" i="168"/>
  <c r="F185" i="168"/>
  <c r="E185" i="168"/>
  <c r="F184" i="168"/>
  <c r="E184" i="168"/>
  <c r="F183" i="168"/>
  <c r="E183" i="168"/>
  <c r="F182" i="168"/>
  <c r="E182" i="168"/>
  <c r="F181" i="168"/>
  <c r="E181" i="168"/>
  <c r="F180" i="168"/>
  <c r="E180" i="168"/>
  <c r="F179" i="168"/>
  <c r="E179" i="168"/>
  <c r="F178" i="168"/>
  <c r="E178" i="168"/>
  <c r="F177" i="168"/>
  <c r="E177" i="168"/>
  <c r="F176" i="168"/>
  <c r="E176" i="168"/>
  <c r="F175" i="168"/>
  <c r="E175" i="168"/>
  <c r="F174" i="168"/>
  <c r="E174" i="168"/>
  <c r="F173" i="168"/>
  <c r="E173" i="168"/>
  <c r="F172" i="168"/>
  <c r="E172" i="168"/>
  <c r="F171" i="168"/>
  <c r="E171" i="168"/>
  <c r="F170" i="168"/>
  <c r="E170" i="168"/>
  <c r="F169" i="168"/>
  <c r="E169" i="168"/>
  <c r="F168" i="168"/>
  <c r="E168" i="168"/>
  <c r="F167" i="168"/>
  <c r="E167" i="168"/>
  <c r="F166" i="168"/>
  <c r="E166" i="168"/>
  <c r="F165" i="168"/>
  <c r="E165" i="168"/>
  <c r="F164" i="168"/>
  <c r="E164" i="168"/>
  <c r="F163" i="168"/>
  <c r="E163" i="168"/>
  <c r="F162" i="168"/>
  <c r="E162" i="168"/>
  <c r="F161" i="168"/>
  <c r="E161" i="168"/>
  <c r="F160" i="168"/>
  <c r="E160" i="168"/>
  <c r="F159" i="168"/>
  <c r="E159" i="168"/>
  <c r="F158" i="168"/>
  <c r="E158" i="168"/>
  <c r="F157" i="168"/>
  <c r="E157" i="168"/>
  <c r="F156" i="168"/>
  <c r="E156" i="168"/>
  <c r="F155" i="168"/>
  <c r="E155" i="168"/>
  <c r="F154" i="168"/>
  <c r="E154" i="168"/>
  <c r="F153" i="168"/>
  <c r="E153" i="168"/>
  <c r="F152" i="168"/>
  <c r="E152" i="168"/>
  <c r="F151" i="168"/>
  <c r="E151" i="168"/>
  <c r="F150" i="168"/>
  <c r="E150" i="168"/>
  <c r="F149" i="168"/>
  <c r="E149" i="168"/>
  <c r="F148" i="168"/>
  <c r="E148" i="168"/>
  <c r="F147" i="168"/>
  <c r="E147" i="168"/>
  <c r="F146" i="168"/>
  <c r="E146" i="168"/>
  <c r="F145" i="168"/>
  <c r="E145" i="168"/>
  <c r="F144" i="168"/>
  <c r="E144" i="168"/>
  <c r="F143" i="168"/>
  <c r="E143" i="168"/>
  <c r="F142" i="168"/>
  <c r="E142" i="168"/>
  <c r="F141" i="168"/>
  <c r="E141" i="168"/>
  <c r="F140" i="168"/>
  <c r="E140" i="168"/>
  <c r="F139" i="168"/>
  <c r="E139" i="168"/>
  <c r="F138" i="168"/>
  <c r="E138" i="168"/>
  <c r="F137" i="168"/>
  <c r="E137" i="168"/>
  <c r="F136" i="168"/>
  <c r="E136" i="168"/>
  <c r="F135" i="168"/>
  <c r="E135" i="168"/>
  <c r="F134" i="168"/>
  <c r="E134" i="168"/>
  <c r="F133" i="168"/>
  <c r="E133" i="168"/>
  <c r="F132" i="168"/>
  <c r="E132" i="168"/>
  <c r="F131" i="168"/>
  <c r="E131" i="168"/>
  <c r="F130" i="168"/>
  <c r="E130" i="168"/>
  <c r="F129" i="168"/>
  <c r="E129" i="168"/>
  <c r="F128" i="168"/>
  <c r="E128" i="168"/>
  <c r="F127" i="168"/>
  <c r="E127" i="168"/>
  <c r="F126" i="168"/>
  <c r="E126" i="168"/>
  <c r="F125" i="168"/>
  <c r="E125" i="168"/>
  <c r="F124" i="168"/>
  <c r="E124" i="168"/>
  <c r="F123" i="168"/>
  <c r="E123" i="168"/>
  <c r="F122" i="168"/>
  <c r="E122" i="168"/>
  <c r="F121" i="168"/>
  <c r="E121" i="168"/>
  <c r="F120" i="168"/>
  <c r="E120" i="168"/>
  <c r="F119" i="168"/>
  <c r="E119" i="168"/>
  <c r="F118" i="168"/>
  <c r="E118" i="168"/>
  <c r="F117" i="168"/>
  <c r="E117" i="168"/>
  <c r="F116" i="168"/>
  <c r="E116" i="168"/>
  <c r="F115" i="168"/>
  <c r="E115" i="168"/>
  <c r="F114" i="168"/>
  <c r="E114" i="168"/>
  <c r="F113" i="168"/>
  <c r="E113" i="168"/>
  <c r="F112" i="168"/>
  <c r="E112" i="168"/>
  <c r="F111" i="168"/>
  <c r="E111" i="168"/>
  <c r="F110" i="168"/>
  <c r="E110" i="168"/>
  <c r="F109" i="168"/>
  <c r="E109" i="168"/>
  <c r="F108" i="168"/>
  <c r="E108" i="168"/>
  <c r="F107" i="168"/>
  <c r="E107" i="168"/>
  <c r="F106" i="168"/>
  <c r="E106" i="168"/>
  <c r="F105" i="168"/>
  <c r="E105" i="168"/>
  <c r="F104" i="168"/>
  <c r="E104" i="168"/>
  <c r="F103" i="168"/>
  <c r="E103" i="168"/>
  <c r="F102" i="168"/>
  <c r="E102" i="168"/>
  <c r="F101" i="168"/>
  <c r="E101" i="168"/>
  <c r="F100" i="168"/>
  <c r="E100" i="168"/>
  <c r="F99" i="168"/>
  <c r="E99" i="168"/>
  <c r="F98" i="168"/>
  <c r="E98" i="168"/>
  <c r="F97" i="168"/>
  <c r="E97" i="168"/>
  <c r="F96" i="168"/>
  <c r="E96" i="168"/>
  <c r="F95" i="168"/>
  <c r="E95" i="168"/>
  <c r="F94" i="168"/>
  <c r="E94" i="168"/>
  <c r="F93" i="168"/>
  <c r="E93" i="168"/>
  <c r="F92" i="168"/>
  <c r="E92" i="168"/>
  <c r="F91" i="168"/>
  <c r="E91" i="168"/>
  <c r="F90" i="168"/>
  <c r="E90" i="168"/>
  <c r="F89" i="168"/>
  <c r="E89" i="168"/>
  <c r="F88" i="168"/>
  <c r="E88" i="168"/>
  <c r="F87" i="168"/>
  <c r="E87" i="168"/>
  <c r="F86" i="168"/>
  <c r="E86" i="168"/>
  <c r="F85" i="168"/>
  <c r="E85" i="168"/>
  <c r="F84" i="168"/>
  <c r="E84" i="168"/>
  <c r="F83" i="168"/>
  <c r="E83" i="168"/>
  <c r="F82" i="168"/>
  <c r="E82" i="168"/>
  <c r="F81" i="168"/>
  <c r="E81" i="168"/>
  <c r="F80" i="168"/>
  <c r="E80" i="168"/>
  <c r="F79" i="168"/>
  <c r="E79" i="168"/>
  <c r="F78" i="168"/>
  <c r="E78" i="168"/>
  <c r="F77" i="168"/>
  <c r="E77" i="168"/>
  <c r="F76" i="168"/>
  <c r="E76" i="168"/>
  <c r="F75" i="168"/>
  <c r="E75" i="168"/>
  <c r="F74" i="168"/>
  <c r="E74" i="168"/>
  <c r="F73" i="168"/>
  <c r="E73" i="168"/>
  <c r="F72" i="168"/>
  <c r="E72" i="168"/>
  <c r="F71" i="168"/>
  <c r="E71" i="168"/>
  <c r="F70" i="168"/>
  <c r="E70" i="168"/>
  <c r="F69" i="168"/>
  <c r="E69" i="168"/>
  <c r="F68" i="168"/>
  <c r="E68" i="168"/>
  <c r="F67" i="168"/>
  <c r="E67" i="168"/>
  <c r="F66" i="168"/>
  <c r="E66" i="168"/>
  <c r="F65" i="168"/>
  <c r="E65" i="168"/>
  <c r="F64" i="168"/>
  <c r="E64" i="168"/>
  <c r="F63" i="168"/>
  <c r="E63" i="168"/>
  <c r="F62" i="168"/>
  <c r="E62" i="168"/>
  <c r="F61" i="168"/>
  <c r="E61" i="168"/>
  <c r="F60" i="168"/>
  <c r="E60" i="168"/>
  <c r="F59" i="168"/>
  <c r="E59" i="168"/>
  <c r="F58" i="168"/>
  <c r="E58" i="168"/>
  <c r="F57" i="168"/>
  <c r="E57" i="168"/>
  <c r="F56" i="168"/>
  <c r="E56" i="168"/>
  <c r="F55" i="168"/>
  <c r="E55" i="168"/>
  <c r="F54" i="168"/>
  <c r="E54" i="168"/>
  <c r="F53" i="168"/>
  <c r="E53" i="168"/>
  <c r="F52" i="168"/>
  <c r="E52" i="168"/>
  <c r="F51" i="168"/>
  <c r="E51" i="168"/>
  <c r="F50" i="168"/>
  <c r="E50" i="168"/>
  <c r="F49" i="168"/>
  <c r="E49" i="168"/>
  <c r="F48" i="168"/>
  <c r="E48" i="168"/>
  <c r="F47" i="168"/>
  <c r="E47" i="168"/>
  <c r="F46" i="168"/>
  <c r="E46" i="168"/>
  <c r="F45" i="168"/>
  <c r="E45" i="168"/>
  <c r="F44" i="168"/>
  <c r="E44" i="168"/>
  <c r="F43" i="168"/>
  <c r="E43" i="168"/>
  <c r="F42" i="168"/>
  <c r="E42" i="168"/>
  <c r="F41" i="168"/>
  <c r="E41" i="168"/>
  <c r="F40" i="168"/>
  <c r="E40" i="168"/>
  <c r="F39" i="168"/>
  <c r="E39" i="168"/>
  <c r="F38" i="168"/>
  <c r="E38" i="168"/>
  <c r="F37" i="168"/>
  <c r="E37" i="168"/>
  <c r="F36" i="168"/>
  <c r="E36" i="168"/>
  <c r="F35" i="168"/>
  <c r="E35" i="168"/>
  <c r="F34" i="168"/>
  <c r="E34" i="168"/>
  <c r="F33" i="168"/>
  <c r="E33" i="168"/>
  <c r="F32" i="168"/>
  <c r="E32" i="168"/>
  <c r="F31" i="168"/>
  <c r="E31" i="168"/>
  <c r="F30" i="168"/>
  <c r="E30" i="168"/>
  <c r="F29" i="168"/>
  <c r="E29" i="168"/>
  <c r="F28" i="168"/>
  <c r="E28" i="168"/>
  <c r="O27" i="168"/>
  <c r="N27" i="168"/>
  <c r="M27" i="168"/>
  <c r="L27" i="168"/>
  <c r="K27" i="168"/>
  <c r="J27" i="168"/>
  <c r="I27" i="168"/>
  <c r="H27" i="168"/>
  <c r="F27" i="168"/>
  <c r="E27" i="168"/>
  <c r="D27" i="168"/>
  <c r="C27" i="168"/>
  <c r="O26" i="168"/>
  <c r="N26" i="168"/>
  <c r="M26" i="168"/>
  <c r="L26" i="168"/>
  <c r="K26" i="168"/>
  <c r="J26" i="168"/>
  <c r="I26" i="168"/>
  <c r="H26" i="168"/>
  <c r="F26" i="168"/>
  <c r="E26" i="168"/>
  <c r="D26" i="168"/>
  <c r="C26" i="168"/>
  <c r="O25" i="168"/>
  <c r="N25" i="168"/>
  <c r="M25" i="168"/>
  <c r="L25" i="168"/>
  <c r="K25" i="168"/>
  <c r="J25" i="168"/>
  <c r="I25" i="168"/>
  <c r="H25" i="168"/>
  <c r="F25" i="168"/>
  <c r="E25" i="168"/>
  <c r="D25" i="168"/>
  <c r="C25" i="168"/>
  <c r="O24" i="168"/>
  <c r="N24" i="168"/>
  <c r="M24" i="168"/>
  <c r="L24" i="168"/>
  <c r="K24" i="168"/>
  <c r="J24" i="168"/>
  <c r="I24" i="168"/>
  <c r="H24" i="168"/>
  <c r="F24" i="168"/>
  <c r="E24" i="168"/>
  <c r="D24" i="168"/>
  <c r="C24" i="168"/>
  <c r="F23" i="168"/>
  <c r="E23" i="168"/>
  <c r="O22" i="168"/>
  <c r="N22" i="168"/>
  <c r="M22" i="168"/>
  <c r="L22" i="168"/>
  <c r="K22" i="168"/>
  <c r="J22" i="168"/>
  <c r="I22" i="168"/>
  <c r="H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F15" i="168"/>
  <c r="E15" i="168"/>
  <c r="D15" i="168"/>
  <c r="C15" i="168"/>
  <c r="O14" i="168"/>
  <c r="N14" i="168"/>
  <c r="M14" i="168"/>
  <c r="L14" i="168"/>
  <c r="K14" i="168"/>
  <c r="J14" i="168"/>
  <c r="I14" i="168"/>
  <c r="H14" i="168"/>
  <c r="F14" i="168"/>
  <c r="E14" i="168"/>
  <c r="D14" i="168"/>
  <c r="C14" i="168"/>
  <c r="O13" i="168"/>
  <c r="N13" i="168"/>
  <c r="M13" i="168"/>
  <c r="L13" i="168"/>
  <c r="K13" i="168"/>
  <c r="J13" i="168"/>
  <c r="I13" i="168"/>
  <c r="H13" i="168"/>
  <c r="F13" i="168"/>
  <c r="E13" i="168"/>
  <c r="D13" i="168"/>
  <c r="C13" i="168"/>
  <c r="O12" i="168"/>
  <c r="N12" i="168"/>
  <c r="M12" i="168"/>
  <c r="L12" i="168"/>
  <c r="K12" i="168"/>
  <c r="J12" i="168"/>
  <c r="I12" i="168"/>
  <c r="H12" i="168"/>
  <c r="F12" i="168"/>
  <c r="E12" i="168"/>
  <c r="D12" i="168"/>
  <c r="C12" i="168"/>
  <c r="O11" i="168"/>
  <c r="N11" i="168"/>
  <c r="M11" i="168"/>
  <c r="L11" i="168"/>
  <c r="K11" i="168"/>
  <c r="J11" i="168"/>
  <c r="I11" i="168"/>
  <c r="H11" i="168"/>
  <c r="F11" i="168"/>
  <c r="E11" i="168"/>
  <c r="D11" i="168"/>
  <c r="C11" i="168"/>
  <c r="O10" i="168"/>
  <c r="N10" i="168"/>
  <c r="M10" i="168"/>
  <c r="L10" i="168"/>
  <c r="K10" i="168"/>
  <c r="J10" i="168"/>
  <c r="I10" i="168"/>
  <c r="H10" i="168"/>
  <c r="F10" i="168"/>
  <c r="E10" i="168"/>
  <c r="D10" i="168"/>
  <c r="C10" i="168"/>
  <c r="O9" i="168"/>
  <c r="N9" i="168"/>
  <c r="M9" i="168"/>
  <c r="L9" i="168"/>
  <c r="K9" i="168"/>
  <c r="J9" i="168"/>
  <c r="I9" i="168"/>
  <c r="H9" i="168"/>
  <c r="F9" i="168"/>
  <c r="E9" i="168"/>
  <c r="D9" i="168"/>
  <c r="C9" i="168"/>
  <c r="O8" i="168"/>
  <c r="N8" i="168"/>
  <c r="M8" i="168"/>
  <c r="L8" i="168"/>
  <c r="K8" i="168"/>
  <c r="J8" i="168"/>
  <c r="I8" i="168"/>
  <c r="H8" i="168"/>
  <c r="F8" i="168"/>
  <c r="E8" i="168"/>
  <c r="D8" i="168"/>
  <c r="C8" i="168"/>
  <c r="O7" i="168"/>
  <c r="N7" i="168"/>
  <c r="M7" i="168"/>
  <c r="L7" i="168"/>
  <c r="K7" i="168"/>
  <c r="J7" i="168"/>
  <c r="I7" i="168"/>
  <c r="H7" i="168"/>
  <c r="F7" i="168"/>
  <c r="E7" i="168"/>
  <c r="D7" i="168"/>
  <c r="C7" i="168"/>
  <c r="O6" i="168"/>
  <c r="N6" i="168"/>
  <c r="M6" i="168"/>
  <c r="L6" i="168"/>
  <c r="K6" i="168"/>
  <c r="J6" i="168"/>
  <c r="I6" i="168"/>
  <c r="H6" i="168"/>
  <c r="F6" i="168"/>
  <c r="E6" i="168"/>
  <c r="D6" i="168"/>
  <c r="C6" i="168"/>
  <c r="O5" i="168"/>
  <c r="N5" i="168"/>
  <c r="M5" i="168"/>
  <c r="L5" i="168"/>
  <c r="K5" i="168"/>
  <c r="J5" i="168"/>
  <c r="I5" i="168"/>
  <c r="H5" i="168"/>
  <c r="F5" i="168"/>
  <c r="E5" i="168"/>
  <c r="D5" i="168"/>
  <c r="C5" i="168"/>
  <c r="O4" i="168"/>
  <c r="N4" i="168"/>
  <c r="M4" i="168"/>
  <c r="L4" i="168"/>
  <c r="K4" i="168"/>
  <c r="J4" i="168"/>
  <c r="I4" i="168"/>
  <c r="H4" i="168"/>
  <c r="F4" i="168"/>
  <c r="E4" i="168"/>
  <c r="D4" i="168"/>
  <c r="C4" i="168"/>
  <c r="O3" i="168"/>
  <c r="N3" i="168"/>
  <c r="M3" i="168"/>
  <c r="L3" i="168"/>
  <c r="K3" i="168"/>
  <c r="J3" i="168"/>
  <c r="I3" i="168"/>
  <c r="H3" i="168"/>
  <c r="F3" i="168"/>
  <c r="E3" i="168"/>
  <c r="D3" i="168"/>
  <c r="C3" i="168"/>
  <c r="O2" i="168"/>
  <c r="N2" i="168"/>
  <c r="M2" i="168"/>
  <c r="L2" i="168"/>
  <c r="K2" i="168"/>
  <c r="J2" i="168"/>
  <c r="I2" i="168"/>
  <c r="H2" i="168"/>
  <c r="F2" i="168"/>
  <c r="E2" i="168"/>
  <c r="D2" i="168"/>
  <c r="C2" i="168"/>
  <c r="E93" i="167"/>
  <c r="E92" i="167"/>
  <c r="F91" i="167"/>
  <c r="E91" i="167"/>
  <c r="F90" i="167"/>
  <c r="E90" i="167"/>
  <c r="F89" i="167"/>
  <c r="E89" i="167"/>
  <c r="F88" i="167"/>
  <c r="E88" i="167"/>
  <c r="F87" i="167"/>
  <c r="E87" i="167"/>
  <c r="F86" i="167"/>
  <c r="E86" i="167"/>
  <c r="F85" i="167"/>
  <c r="E85" i="167"/>
  <c r="F84" i="167"/>
  <c r="E84" i="167"/>
  <c r="F83" i="167"/>
  <c r="E83" i="167"/>
  <c r="F82" i="167"/>
  <c r="E82" i="167"/>
  <c r="F81" i="167"/>
  <c r="E81" i="167"/>
  <c r="F80" i="167"/>
  <c r="E80" i="167"/>
  <c r="F79" i="167"/>
  <c r="E79" i="167"/>
  <c r="F78" i="167"/>
  <c r="E78" i="167"/>
  <c r="F77" i="167"/>
  <c r="E77" i="167"/>
  <c r="F76" i="167"/>
  <c r="E76" i="167"/>
  <c r="F75" i="167"/>
  <c r="E75" i="167"/>
  <c r="F74" i="167"/>
  <c r="E74" i="167"/>
  <c r="F73" i="167"/>
  <c r="E73" i="167"/>
  <c r="F72" i="167"/>
  <c r="E72" i="167"/>
  <c r="F71" i="167"/>
  <c r="E71" i="167"/>
  <c r="F70" i="167"/>
  <c r="E70" i="167"/>
  <c r="F69" i="167"/>
  <c r="E69" i="167"/>
  <c r="F68" i="167"/>
  <c r="E68" i="167"/>
  <c r="F67" i="167"/>
  <c r="E67" i="167"/>
  <c r="F66" i="167"/>
  <c r="E66" i="167"/>
  <c r="F65" i="167"/>
  <c r="E65" i="167"/>
  <c r="F64" i="167"/>
  <c r="E64" i="167"/>
  <c r="F63" i="167"/>
  <c r="E63" i="167"/>
  <c r="F62" i="167"/>
  <c r="E62" i="167"/>
  <c r="F61" i="167"/>
  <c r="E61" i="167"/>
  <c r="F60" i="167"/>
  <c r="E60" i="167"/>
  <c r="F59" i="167"/>
  <c r="E59" i="167"/>
  <c r="F58" i="167"/>
  <c r="E58" i="167"/>
  <c r="F57" i="167"/>
  <c r="E57" i="167"/>
  <c r="F56" i="167"/>
  <c r="E56" i="167"/>
  <c r="F55" i="167"/>
  <c r="E55" i="167"/>
  <c r="F54" i="167"/>
  <c r="E54" i="167"/>
  <c r="F53" i="167"/>
  <c r="E53" i="167"/>
  <c r="F52" i="167"/>
  <c r="E52" i="167"/>
  <c r="F51" i="167"/>
  <c r="E51" i="167"/>
  <c r="F50" i="167"/>
  <c r="E50" i="167"/>
  <c r="F49" i="167"/>
  <c r="E49" i="167"/>
  <c r="F48" i="167"/>
  <c r="E48" i="167"/>
  <c r="F47" i="167"/>
  <c r="E47" i="167"/>
  <c r="F46" i="167"/>
  <c r="E46" i="167"/>
  <c r="F45" i="167"/>
  <c r="E45" i="167"/>
  <c r="F44" i="167"/>
  <c r="E44" i="167"/>
  <c r="F43" i="167"/>
  <c r="E43" i="167"/>
  <c r="F42" i="167"/>
  <c r="E42" i="167"/>
  <c r="F41" i="167"/>
  <c r="E41" i="167"/>
  <c r="F40" i="167"/>
  <c r="E40" i="167"/>
  <c r="F39" i="167"/>
  <c r="E39" i="167"/>
  <c r="F38" i="167"/>
  <c r="E38" i="167"/>
  <c r="F37" i="167"/>
  <c r="E37" i="167"/>
  <c r="F36" i="167"/>
  <c r="E36" i="167"/>
  <c r="F35" i="167"/>
  <c r="E35" i="167"/>
  <c r="F34" i="167"/>
  <c r="E34" i="167"/>
  <c r="F33" i="167"/>
  <c r="E33" i="167"/>
  <c r="F32" i="167"/>
  <c r="E32" i="167"/>
  <c r="F31" i="167"/>
  <c r="E31" i="167"/>
  <c r="F30" i="167"/>
  <c r="E30" i="167"/>
  <c r="F28" i="167"/>
  <c r="E28" i="167"/>
  <c r="Y27" i="167"/>
  <c r="X27" i="167"/>
  <c r="W27" i="167"/>
  <c r="V27" i="167"/>
  <c r="U27" i="167"/>
  <c r="T27" i="167"/>
  <c r="S27" i="167"/>
  <c r="R27" i="167"/>
  <c r="Q27" i="167"/>
  <c r="P27" i="167"/>
  <c r="F27" i="167"/>
  <c r="E27" i="167"/>
  <c r="Y26" i="167"/>
  <c r="X26" i="167"/>
  <c r="W26" i="167"/>
  <c r="V26" i="167"/>
  <c r="U26" i="167"/>
  <c r="T26" i="167"/>
  <c r="S26" i="167"/>
  <c r="R26" i="167"/>
  <c r="Q26" i="167"/>
  <c r="P26" i="167"/>
  <c r="F26" i="167"/>
  <c r="E26" i="167"/>
  <c r="O25" i="167"/>
  <c r="N25" i="167"/>
  <c r="M25" i="167"/>
  <c r="L25" i="167"/>
  <c r="K25" i="167"/>
  <c r="J25" i="167"/>
  <c r="I25" i="167"/>
  <c r="H25" i="167"/>
  <c r="F25" i="167"/>
  <c r="E25" i="167"/>
  <c r="D25" i="167"/>
  <c r="C25" i="167"/>
  <c r="O24" i="167"/>
  <c r="N24" i="167"/>
  <c r="M24" i="167"/>
  <c r="L24" i="167"/>
  <c r="K24" i="167"/>
  <c r="J24" i="167"/>
  <c r="I24" i="167"/>
  <c r="H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F15" i="167"/>
  <c r="E15" i="167"/>
  <c r="D15" i="167"/>
  <c r="C15" i="167"/>
  <c r="O14" i="167"/>
  <c r="N14" i="167"/>
  <c r="M14" i="167"/>
  <c r="L14" i="167"/>
  <c r="K14" i="167"/>
  <c r="J14" i="167"/>
  <c r="I14" i="167"/>
  <c r="H14" i="167"/>
  <c r="F14" i="167"/>
  <c r="E14" i="167"/>
  <c r="D14" i="167"/>
  <c r="C14" i="167"/>
  <c r="O13" i="167"/>
  <c r="N13" i="167"/>
  <c r="M13" i="167"/>
  <c r="L13" i="167"/>
  <c r="K13" i="167"/>
  <c r="J13" i="167"/>
  <c r="I13" i="167"/>
  <c r="H13" i="167"/>
  <c r="F13" i="167"/>
  <c r="E13" i="167"/>
  <c r="D13" i="167"/>
  <c r="C13" i="167"/>
  <c r="O12" i="167"/>
  <c r="N12" i="167"/>
  <c r="M12" i="167"/>
  <c r="L12" i="167"/>
  <c r="K12" i="167"/>
  <c r="J12" i="167"/>
  <c r="I12" i="167"/>
  <c r="H12" i="167"/>
  <c r="F12" i="167"/>
  <c r="E12" i="167"/>
  <c r="D12" i="167"/>
  <c r="C12" i="167"/>
  <c r="O11" i="167"/>
  <c r="N11" i="167"/>
  <c r="M11" i="167"/>
  <c r="L11" i="167"/>
  <c r="K11" i="167"/>
  <c r="J11" i="167"/>
  <c r="I11" i="167"/>
  <c r="H11" i="167"/>
  <c r="F11" i="167"/>
  <c r="E11" i="167"/>
  <c r="D11" i="167"/>
  <c r="C11" i="167"/>
  <c r="O10" i="167"/>
  <c r="N10" i="167"/>
  <c r="M10" i="167"/>
  <c r="L10" i="167"/>
  <c r="K10" i="167"/>
  <c r="J10" i="167"/>
  <c r="I10" i="167"/>
  <c r="H10" i="167"/>
  <c r="F10" i="167"/>
  <c r="E10" i="167"/>
  <c r="D10" i="167"/>
  <c r="C10" i="167"/>
  <c r="O9" i="167"/>
  <c r="N9" i="167"/>
  <c r="M9" i="167"/>
  <c r="L9" i="167"/>
  <c r="K9" i="167"/>
  <c r="J9" i="167"/>
  <c r="I9" i="167"/>
  <c r="H9" i="167"/>
  <c r="F9" i="167"/>
  <c r="E9" i="167"/>
  <c r="D9" i="167"/>
  <c r="C9" i="167"/>
  <c r="O8" i="167"/>
  <c r="N8" i="167"/>
  <c r="M8" i="167"/>
  <c r="L8" i="167"/>
  <c r="K8" i="167"/>
  <c r="J8" i="167"/>
  <c r="I8" i="167"/>
  <c r="H8" i="167"/>
  <c r="F8" i="167"/>
  <c r="E8" i="167"/>
  <c r="D8" i="167"/>
  <c r="C8" i="167"/>
  <c r="O7" i="167"/>
  <c r="N7" i="167"/>
  <c r="M7" i="167"/>
  <c r="L7" i="167"/>
  <c r="K7" i="167"/>
  <c r="J7" i="167"/>
  <c r="I7" i="167"/>
  <c r="H7" i="167"/>
  <c r="F7" i="167"/>
  <c r="E7" i="167"/>
  <c r="D7" i="167"/>
  <c r="C7" i="167"/>
  <c r="O6" i="167"/>
  <c r="N6" i="167"/>
  <c r="M6" i="167"/>
  <c r="L6" i="167"/>
  <c r="K6" i="167"/>
  <c r="J6" i="167"/>
  <c r="I6" i="167"/>
  <c r="H6" i="167"/>
  <c r="F6" i="167"/>
  <c r="E6" i="167"/>
  <c r="D6" i="167"/>
  <c r="C6" i="167"/>
  <c r="O5" i="167"/>
  <c r="N5" i="167"/>
  <c r="M5" i="167"/>
  <c r="L5" i="167"/>
  <c r="K5" i="167"/>
  <c r="J5" i="167"/>
  <c r="I5" i="167"/>
  <c r="H5" i="167"/>
  <c r="F5" i="167"/>
  <c r="E5" i="167"/>
  <c r="D5" i="167"/>
  <c r="C5" i="167"/>
  <c r="O4" i="167"/>
  <c r="N4" i="167"/>
  <c r="M4" i="167"/>
  <c r="L4" i="167"/>
  <c r="K4" i="167"/>
  <c r="J4" i="167"/>
  <c r="I4" i="167"/>
  <c r="H4" i="167"/>
  <c r="F4" i="167"/>
  <c r="E4" i="167"/>
  <c r="D4" i="167"/>
  <c r="C4" i="167"/>
  <c r="O3" i="167"/>
  <c r="N3" i="167"/>
  <c r="M3" i="167"/>
  <c r="L3" i="167"/>
  <c r="K3" i="167"/>
  <c r="J3" i="167"/>
  <c r="I3" i="167"/>
  <c r="H3" i="167"/>
  <c r="F3" i="167"/>
  <c r="E3" i="167"/>
  <c r="D3" i="167"/>
  <c r="C3" i="167"/>
  <c r="O2" i="167"/>
  <c r="O95" i="167" s="1"/>
  <c r="N2" i="167"/>
  <c r="M2" i="167"/>
  <c r="L2" i="167"/>
  <c r="K2" i="167"/>
  <c r="J2" i="167"/>
  <c r="I2" i="167"/>
  <c r="H2" i="167"/>
  <c r="F2" i="167"/>
  <c r="E2" i="167"/>
  <c r="D2" i="167"/>
  <c r="C2" i="167"/>
  <c r="F24" i="166"/>
  <c r="E24" i="166"/>
  <c r="D24" i="166"/>
  <c r="C24" i="166"/>
  <c r="F23" i="166"/>
  <c r="E23" i="166"/>
  <c r="D23" i="166"/>
  <c r="C23" i="166"/>
  <c r="F22" i="166"/>
  <c r="E22" i="166"/>
  <c r="D22" i="166"/>
  <c r="C22" i="166"/>
  <c r="F21" i="166"/>
  <c r="E21" i="166"/>
  <c r="D21" i="166"/>
  <c r="C21" i="166"/>
  <c r="F20" i="166"/>
  <c r="E20" i="166"/>
  <c r="D20" i="166"/>
  <c r="C20" i="166"/>
  <c r="F19" i="166"/>
  <c r="E19" i="166"/>
  <c r="D19" i="166"/>
  <c r="C19" i="166"/>
  <c r="F18" i="166"/>
  <c r="E18" i="166"/>
  <c r="D18" i="166"/>
  <c r="C18" i="166"/>
  <c r="F17" i="166"/>
  <c r="E17" i="166"/>
  <c r="D17" i="166"/>
  <c r="C17" i="166"/>
  <c r="F16" i="166"/>
  <c r="E16" i="166"/>
  <c r="D16" i="166"/>
  <c r="C16" i="166"/>
  <c r="F15" i="166"/>
  <c r="E15" i="166"/>
  <c r="D15" i="166"/>
  <c r="C15" i="166"/>
  <c r="F14" i="166"/>
  <c r="E14" i="166"/>
  <c r="D14" i="166"/>
  <c r="C14" i="166"/>
  <c r="F13" i="166"/>
  <c r="E13" i="166"/>
  <c r="D13" i="166"/>
  <c r="C13" i="166"/>
  <c r="F12" i="166"/>
  <c r="E12" i="166"/>
  <c r="D12" i="166"/>
  <c r="C12" i="166"/>
  <c r="F11" i="166"/>
  <c r="E11" i="166"/>
  <c r="D11" i="166"/>
  <c r="C11" i="166"/>
  <c r="F10" i="166"/>
  <c r="E10" i="166"/>
  <c r="D10" i="166"/>
  <c r="C10" i="166"/>
  <c r="F9" i="166"/>
  <c r="E9" i="166"/>
  <c r="D9" i="166"/>
  <c r="C9" i="166"/>
  <c r="F8" i="166"/>
  <c r="E8" i="166"/>
  <c r="D8" i="166"/>
  <c r="C8" i="166"/>
  <c r="F7" i="166"/>
  <c r="E7" i="166"/>
  <c r="D7" i="166"/>
  <c r="C7" i="166"/>
  <c r="F6" i="166"/>
  <c r="E6" i="166"/>
  <c r="D6" i="166"/>
  <c r="C6" i="166"/>
  <c r="F5" i="166"/>
  <c r="E5" i="166"/>
  <c r="D5" i="166"/>
  <c r="C5" i="166"/>
  <c r="O4" i="166"/>
  <c r="N4" i="166"/>
  <c r="M4" i="166"/>
  <c r="L4" i="166"/>
  <c r="K4" i="166"/>
  <c r="J4" i="166"/>
  <c r="I4" i="166"/>
  <c r="H4" i="166"/>
  <c r="F4" i="166"/>
  <c r="E4" i="166"/>
  <c r="D4" i="166"/>
  <c r="C4" i="166"/>
  <c r="O3" i="166"/>
  <c r="N3" i="166"/>
  <c r="M3" i="166"/>
  <c r="L3" i="166"/>
  <c r="K3" i="166"/>
  <c r="J3" i="166"/>
  <c r="I3" i="166"/>
  <c r="H3" i="166"/>
  <c r="F3" i="166"/>
  <c r="E3" i="166"/>
  <c r="D3" i="166"/>
  <c r="C3" i="166"/>
  <c r="O2" i="166"/>
  <c r="N2" i="166"/>
  <c r="M2" i="166"/>
  <c r="L2" i="166"/>
  <c r="K2" i="166"/>
  <c r="J2" i="166"/>
  <c r="I2" i="166"/>
  <c r="H2" i="166"/>
  <c r="F2" i="166"/>
  <c r="E2" i="166"/>
  <c r="D2" i="166"/>
  <c r="C2" i="166"/>
  <c r="F6" i="165"/>
  <c r="E6" i="165"/>
  <c r="F5" i="165"/>
  <c r="E5" i="165"/>
  <c r="O4" i="165"/>
  <c r="N4" i="165"/>
  <c r="M4" i="165"/>
  <c r="L4" i="165"/>
  <c r="K4" i="165"/>
  <c r="J4" i="165"/>
  <c r="I4" i="165"/>
  <c r="H4" i="165"/>
  <c r="F4" i="165"/>
  <c r="E4" i="165"/>
  <c r="D4" i="165"/>
  <c r="C4" i="165"/>
  <c r="O3" i="165"/>
  <c r="N3" i="165"/>
  <c r="M3" i="165"/>
  <c r="L3" i="165"/>
  <c r="K3" i="165"/>
  <c r="J3" i="165"/>
  <c r="I3" i="165"/>
  <c r="H3" i="165"/>
  <c r="F3" i="165"/>
  <c r="E3" i="165"/>
  <c r="D3" i="165"/>
  <c r="C3" i="165"/>
  <c r="O2" i="165"/>
  <c r="N2" i="165"/>
  <c r="M2" i="165"/>
  <c r="L2" i="165"/>
  <c r="L8" i="165" s="1"/>
  <c r="K2" i="165"/>
  <c r="J2" i="165"/>
  <c r="I2" i="165"/>
  <c r="H2" i="165"/>
  <c r="F2" i="165"/>
  <c r="E2" i="165"/>
  <c r="D2" i="165"/>
  <c r="C2" i="165"/>
  <c r="F28" i="164"/>
  <c r="E28" i="164"/>
  <c r="D28" i="164"/>
  <c r="C28" i="164"/>
  <c r="F27" i="164"/>
  <c r="E27" i="164"/>
  <c r="D27" i="164"/>
  <c r="C27" i="164"/>
  <c r="F26" i="164"/>
  <c r="E26" i="164"/>
  <c r="D26" i="164"/>
  <c r="C26" i="164"/>
  <c r="F25" i="164"/>
  <c r="E25" i="164"/>
  <c r="D25" i="164"/>
  <c r="C25" i="164"/>
  <c r="F24" i="164"/>
  <c r="E24" i="164"/>
  <c r="D24" i="164"/>
  <c r="C24" i="164"/>
  <c r="F23" i="164"/>
  <c r="E23" i="164"/>
  <c r="D23" i="164"/>
  <c r="C23" i="164"/>
  <c r="F22" i="164"/>
  <c r="E22" i="164"/>
  <c r="D22" i="164"/>
  <c r="C22" i="164"/>
  <c r="F21" i="164"/>
  <c r="E21" i="164"/>
  <c r="D21" i="164"/>
  <c r="C21" i="164"/>
  <c r="F20" i="164"/>
  <c r="E20" i="164"/>
  <c r="D20" i="164"/>
  <c r="C20" i="164"/>
  <c r="F19" i="164"/>
  <c r="E19" i="164"/>
  <c r="D19" i="164"/>
  <c r="C19" i="164"/>
  <c r="F18" i="164"/>
  <c r="E18" i="164"/>
  <c r="D18" i="164"/>
  <c r="C18" i="164"/>
  <c r="F17" i="164"/>
  <c r="E17" i="164"/>
  <c r="D17" i="164"/>
  <c r="C17" i="164"/>
  <c r="F16" i="164"/>
  <c r="E16" i="164"/>
  <c r="D16" i="164"/>
  <c r="C16" i="164"/>
  <c r="F15" i="164"/>
  <c r="E15" i="164"/>
  <c r="D15" i="164"/>
  <c r="C15" i="164"/>
  <c r="F14" i="164"/>
  <c r="E14" i="164"/>
  <c r="D14" i="164"/>
  <c r="C14" i="164"/>
  <c r="F13" i="164"/>
  <c r="E13" i="164"/>
  <c r="D13" i="164"/>
  <c r="C13" i="164"/>
  <c r="F12" i="164"/>
  <c r="E12" i="164"/>
  <c r="D12" i="164"/>
  <c r="C12" i="164"/>
  <c r="F11" i="164"/>
  <c r="E11" i="164"/>
  <c r="D11" i="164"/>
  <c r="C11" i="164"/>
  <c r="F10" i="164"/>
  <c r="E10" i="164"/>
  <c r="D10" i="164"/>
  <c r="C10" i="164"/>
  <c r="F9" i="164"/>
  <c r="E9" i="164"/>
  <c r="D9" i="164"/>
  <c r="C9" i="164"/>
  <c r="F8" i="164"/>
  <c r="E8" i="164"/>
  <c r="D8" i="164"/>
  <c r="C8" i="164"/>
  <c r="F7" i="164"/>
  <c r="E7" i="164"/>
  <c r="D7" i="164"/>
  <c r="C7" i="164"/>
  <c r="F6" i="164"/>
  <c r="E6" i="164"/>
  <c r="D6" i="164"/>
  <c r="C6" i="164"/>
  <c r="F5" i="164"/>
  <c r="E5" i="164"/>
  <c r="D5" i="164"/>
  <c r="C5" i="164"/>
  <c r="F4" i="164"/>
  <c r="E4" i="164"/>
  <c r="D4" i="164"/>
  <c r="C4" i="164"/>
  <c r="F3" i="164"/>
  <c r="E3" i="164"/>
  <c r="D3" i="164"/>
  <c r="C3" i="164"/>
  <c r="F2" i="164"/>
  <c r="E2" i="164"/>
  <c r="D2" i="164"/>
  <c r="C2" i="164"/>
  <c r="F16" i="163"/>
  <c r="E16" i="163"/>
  <c r="F15" i="163"/>
  <c r="E15" i="163"/>
  <c r="F14" i="163"/>
  <c r="E14" i="163"/>
  <c r="F13" i="163"/>
  <c r="E13" i="163"/>
  <c r="F12" i="163"/>
  <c r="E12" i="163"/>
  <c r="F11" i="163"/>
  <c r="E11" i="163"/>
  <c r="F10" i="163"/>
  <c r="E10" i="163"/>
  <c r="F9" i="163"/>
  <c r="E9" i="163"/>
  <c r="F8" i="163"/>
  <c r="E8" i="163"/>
  <c r="F7" i="163"/>
  <c r="E7" i="163"/>
  <c r="F6" i="163"/>
  <c r="E6" i="163"/>
  <c r="F5" i="163"/>
  <c r="E5" i="163"/>
  <c r="O4" i="163"/>
  <c r="N4" i="163"/>
  <c r="M4" i="163"/>
  <c r="L4" i="163"/>
  <c r="K4" i="163"/>
  <c r="J4" i="163"/>
  <c r="I4" i="163"/>
  <c r="H4" i="163"/>
  <c r="F4" i="163"/>
  <c r="E4" i="163"/>
  <c r="D4" i="163"/>
  <c r="C4" i="163"/>
  <c r="O3" i="163"/>
  <c r="N3" i="163"/>
  <c r="M3" i="163"/>
  <c r="L3" i="163"/>
  <c r="K3" i="163"/>
  <c r="J3" i="163"/>
  <c r="I3" i="163"/>
  <c r="H3" i="163"/>
  <c r="F3" i="163"/>
  <c r="E3" i="163"/>
  <c r="D3" i="163"/>
  <c r="C3" i="163"/>
  <c r="O2" i="163"/>
  <c r="N2" i="163"/>
  <c r="M2" i="163"/>
  <c r="L2" i="163"/>
  <c r="L18" i="163" s="1"/>
  <c r="K2" i="163"/>
  <c r="J2" i="163"/>
  <c r="J18" i="163" s="1"/>
  <c r="I2" i="163"/>
  <c r="H2" i="163"/>
  <c r="F2" i="163"/>
  <c r="E2" i="163"/>
  <c r="D2" i="163"/>
  <c r="C2" i="163"/>
  <c r="N5" i="162"/>
  <c r="M5" i="162"/>
  <c r="F3" i="162"/>
  <c r="E3" i="162"/>
  <c r="O2" i="162"/>
  <c r="O5" i="162" s="1"/>
  <c r="N2" i="162"/>
  <c r="M2" i="162"/>
  <c r="L2" i="162"/>
  <c r="L5" i="162" s="1"/>
  <c r="X5" i="162" s="1"/>
  <c r="K2" i="162"/>
  <c r="K5" i="162" s="1"/>
  <c r="J2" i="162"/>
  <c r="J5" i="162" s="1"/>
  <c r="I2" i="162"/>
  <c r="I5" i="162" s="1"/>
  <c r="H2" i="162"/>
  <c r="H5" i="162" s="1"/>
  <c r="F2" i="162"/>
  <c r="E2" i="162"/>
  <c r="D2" i="162"/>
  <c r="C2" i="162"/>
  <c r="F15" i="161"/>
  <c r="E15" i="161"/>
  <c r="F14" i="161"/>
  <c r="E14" i="161"/>
  <c r="F13" i="161"/>
  <c r="E13" i="161"/>
  <c r="F12" i="161"/>
  <c r="E12" i="161"/>
  <c r="F11" i="161"/>
  <c r="E11" i="161"/>
  <c r="F10" i="161"/>
  <c r="E10" i="161"/>
  <c r="F9" i="161"/>
  <c r="E9" i="161"/>
  <c r="F8" i="161"/>
  <c r="E8" i="161"/>
  <c r="F7" i="161"/>
  <c r="E7" i="161"/>
  <c r="O6" i="161"/>
  <c r="N6" i="161"/>
  <c r="M6" i="161"/>
  <c r="L6" i="161"/>
  <c r="K6" i="161"/>
  <c r="J6" i="161"/>
  <c r="I6" i="161"/>
  <c r="H6" i="161"/>
  <c r="F6" i="161"/>
  <c r="E6" i="161"/>
  <c r="D6" i="161"/>
  <c r="C6" i="161"/>
  <c r="O5" i="161"/>
  <c r="N5" i="161"/>
  <c r="M5" i="161"/>
  <c r="L5" i="161"/>
  <c r="K5" i="161"/>
  <c r="J5" i="161"/>
  <c r="I5" i="161"/>
  <c r="H5" i="161"/>
  <c r="F5" i="161"/>
  <c r="E5" i="161"/>
  <c r="D5" i="161"/>
  <c r="C5" i="161"/>
  <c r="O4" i="161"/>
  <c r="N4" i="161"/>
  <c r="M4" i="161"/>
  <c r="L4" i="161"/>
  <c r="K4" i="161"/>
  <c r="J4" i="161"/>
  <c r="I4" i="161"/>
  <c r="H4" i="161"/>
  <c r="F4" i="161"/>
  <c r="E4" i="161"/>
  <c r="D4" i="161"/>
  <c r="C4" i="161"/>
  <c r="O3" i="161"/>
  <c r="N3" i="161"/>
  <c r="M3" i="161"/>
  <c r="L3" i="161"/>
  <c r="K3" i="161"/>
  <c r="J3" i="161"/>
  <c r="I3" i="161"/>
  <c r="H3" i="161"/>
  <c r="F3" i="161"/>
  <c r="E3" i="161"/>
  <c r="D3" i="161"/>
  <c r="C3" i="161"/>
  <c r="O2" i="161"/>
  <c r="N2" i="161"/>
  <c r="M2" i="161"/>
  <c r="L2" i="161"/>
  <c r="K2" i="161"/>
  <c r="J2" i="161"/>
  <c r="I2" i="161"/>
  <c r="I17" i="161" s="1"/>
  <c r="H2" i="161"/>
  <c r="F2" i="161"/>
  <c r="E2" i="161"/>
  <c r="D2" i="161"/>
  <c r="C2" i="161"/>
  <c r="F3" i="160"/>
  <c r="E3" i="160"/>
  <c r="D3" i="160"/>
  <c r="C3" i="160"/>
  <c r="F2" i="160"/>
  <c r="E2" i="160"/>
  <c r="D2" i="160"/>
  <c r="C2" i="160"/>
  <c r="O5" i="159"/>
  <c r="N5" i="159"/>
  <c r="M5" i="159"/>
  <c r="L5" i="159"/>
  <c r="K5" i="159"/>
  <c r="J5" i="159"/>
  <c r="I5" i="159"/>
  <c r="H5" i="159"/>
  <c r="F5" i="159"/>
  <c r="E5" i="159"/>
  <c r="D5" i="159"/>
  <c r="C5" i="159"/>
  <c r="O4" i="159"/>
  <c r="N4" i="159"/>
  <c r="M4" i="159"/>
  <c r="L4" i="159"/>
  <c r="K4" i="159"/>
  <c r="J4" i="159"/>
  <c r="I4" i="159"/>
  <c r="H4" i="159"/>
  <c r="F4" i="159"/>
  <c r="E4" i="159"/>
  <c r="D4" i="159"/>
  <c r="C4" i="159"/>
  <c r="O3" i="159"/>
  <c r="N3" i="159"/>
  <c r="M3" i="159"/>
  <c r="L3" i="159"/>
  <c r="K3" i="159"/>
  <c r="J3" i="159"/>
  <c r="I3" i="159"/>
  <c r="H3" i="159"/>
  <c r="F3" i="159"/>
  <c r="E3" i="159"/>
  <c r="D3" i="159"/>
  <c r="C3" i="159"/>
  <c r="O2" i="159"/>
  <c r="N2" i="159"/>
  <c r="M2" i="159"/>
  <c r="L2" i="159"/>
  <c r="K2" i="159"/>
  <c r="J2" i="159"/>
  <c r="J7" i="159" s="1"/>
  <c r="I2" i="159"/>
  <c r="I7" i="159" s="1"/>
  <c r="H2" i="159"/>
  <c r="F2" i="159"/>
  <c r="D2" i="159"/>
  <c r="C2" i="159"/>
  <c r="F4" i="158"/>
  <c r="E4" i="158"/>
  <c r="D4" i="158"/>
  <c r="C4" i="158"/>
  <c r="F3" i="158"/>
  <c r="E3" i="158"/>
  <c r="D3" i="158"/>
  <c r="C3" i="158"/>
  <c r="O2" i="158"/>
  <c r="O6" i="158" s="1"/>
  <c r="N2" i="158"/>
  <c r="N6" i="158" s="1"/>
  <c r="M2" i="158"/>
  <c r="M6" i="158" s="1"/>
  <c r="L2" i="158"/>
  <c r="L6" i="158" s="1"/>
  <c r="X6" i="158" s="1"/>
  <c r="K2" i="158"/>
  <c r="K6" i="158" s="1"/>
  <c r="J2" i="158"/>
  <c r="J6" i="158" s="1"/>
  <c r="I2" i="158"/>
  <c r="I6" i="158" s="1"/>
  <c r="H2" i="158"/>
  <c r="H6" i="158" s="1"/>
  <c r="F2" i="158"/>
  <c r="E2" i="158"/>
  <c r="D2" i="158"/>
  <c r="C2" i="158"/>
  <c r="F8" i="157"/>
  <c r="E8" i="157"/>
  <c r="D8" i="157"/>
  <c r="C8" i="157"/>
  <c r="F7" i="157"/>
  <c r="E7" i="157"/>
  <c r="D7" i="157"/>
  <c r="C7" i="157"/>
  <c r="F6" i="157"/>
  <c r="E6" i="157"/>
  <c r="D6" i="157"/>
  <c r="C6" i="157"/>
  <c r="F5" i="157"/>
  <c r="E5" i="157"/>
  <c r="D5" i="157"/>
  <c r="C5" i="157"/>
  <c r="F4" i="157"/>
  <c r="E4" i="157"/>
  <c r="D4" i="157"/>
  <c r="C4" i="157"/>
  <c r="F3" i="157"/>
  <c r="E3" i="157"/>
  <c r="D3" i="157"/>
  <c r="C3" i="157"/>
  <c r="F2" i="157"/>
  <c r="E2" i="157"/>
  <c r="D2" i="157"/>
  <c r="C2" i="157"/>
  <c r="F15" i="156"/>
  <c r="E15" i="156"/>
  <c r="F14" i="156"/>
  <c r="E14" i="156"/>
  <c r="F13" i="156"/>
  <c r="E13" i="156"/>
  <c r="F12" i="156"/>
  <c r="E12" i="156"/>
  <c r="F11" i="156"/>
  <c r="E11" i="156"/>
  <c r="F10" i="156"/>
  <c r="E10" i="156"/>
  <c r="F9" i="156"/>
  <c r="E9" i="156"/>
  <c r="F8" i="156"/>
  <c r="E8" i="156"/>
  <c r="F7" i="156"/>
  <c r="E7" i="156"/>
  <c r="F6" i="156"/>
  <c r="E6" i="156"/>
  <c r="O5" i="156"/>
  <c r="N5" i="156"/>
  <c r="M5" i="156"/>
  <c r="L5" i="156"/>
  <c r="K5" i="156"/>
  <c r="J5" i="156"/>
  <c r="I5" i="156"/>
  <c r="H5" i="156"/>
  <c r="F5" i="156"/>
  <c r="E5" i="156"/>
  <c r="D5" i="156"/>
  <c r="C5" i="156"/>
  <c r="O4" i="156"/>
  <c r="N4" i="156"/>
  <c r="M4" i="156"/>
  <c r="L4" i="156"/>
  <c r="K4" i="156"/>
  <c r="J4" i="156"/>
  <c r="I4" i="156"/>
  <c r="H4" i="156"/>
  <c r="F4" i="156"/>
  <c r="E4" i="156"/>
  <c r="D4" i="156"/>
  <c r="C4" i="156"/>
  <c r="O3" i="156"/>
  <c r="N3" i="156"/>
  <c r="M3" i="156"/>
  <c r="L3" i="156"/>
  <c r="K3" i="156"/>
  <c r="K17" i="156" s="1"/>
  <c r="J3" i="156"/>
  <c r="I3" i="156"/>
  <c r="H3" i="156"/>
  <c r="F3" i="156"/>
  <c r="E3" i="156"/>
  <c r="D3" i="156"/>
  <c r="C3" i="156"/>
  <c r="O2" i="156"/>
  <c r="O17" i="156" s="1"/>
  <c r="N2" i="156"/>
  <c r="M2" i="156"/>
  <c r="L2" i="156"/>
  <c r="L17" i="156" s="1"/>
  <c r="K2" i="156"/>
  <c r="J2" i="156"/>
  <c r="I2" i="156"/>
  <c r="H2" i="156"/>
  <c r="F2" i="156"/>
  <c r="E2" i="156"/>
  <c r="D2" i="156"/>
  <c r="C2" i="156"/>
  <c r="E126" i="155"/>
  <c r="E125" i="155"/>
  <c r="E124" i="155"/>
  <c r="E123" i="155"/>
  <c r="E122" i="155"/>
  <c r="E121" i="155"/>
  <c r="E120" i="155"/>
  <c r="E119" i="155"/>
  <c r="E118" i="155"/>
  <c r="E117" i="155"/>
  <c r="E116" i="155"/>
  <c r="E115" i="155"/>
  <c r="E114" i="155"/>
  <c r="E113" i="155"/>
  <c r="E112" i="155"/>
  <c r="E111" i="155"/>
  <c r="E110" i="155"/>
  <c r="E109" i="155"/>
  <c r="E108" i="155"/>
  <c r="E107" i="155"/>
  <c r="E106" i="155"/>
  <c r="E105" i="155"/>
  <c r="E104" i="155"/>
  <c r="E103" i="155"/>
  <c r="E102" i="155"/>
  <c r="F101" i="155"/>
  <c r="E101" i="155"/>
  <c r="F100" i="155"/>
  <c r="E100" i="155"/>
  <c r="E99" i="155"/>
  <c r="F98" i="155"/>
  <c r="E98" i="155"/>
  <c r="F97" i="155"/>
  <c r="E97" i="155"/>
  <c r="F96" i="155"/>
  <c r="E96" i="155"/>
  <c r="F95" i="155"/>
  <c r="E95" i="155"/>
  <c r="F94" i="155"/>
  <c r="E94" i="155"/>
  <c r="F93" i="155"/>
  <c r="E93" i="155"/>
  <c r="F92" i="155"/>
  <c r="E92" i="155"/>
  <c r="F91" i="155"/>
  <c r="E91" i="155"/>
  <c r="F90" i="155"/>
  <c r="E90" i="155"/>
  <c r="F89" i="155"/>
  <c r="E89" i="155"/>
  <c r="F88" i="155"/>
  <c r="E88" i="155"/>
  <c r="F87" i="155"/>
  <c r="E87" i="155"/>
  <c r="F86" i="155"/>
  <c r="E86" i="155"/>
  <c r="F85" i="155"/>
  <c r="E85" i="155"/>
  <c r="F84" i="155"/>
  <c r="E84" i="155"/>
  <c r="F83" i="155"/>
  <c r="E83" i="155"/>
  <c r="F82" i="155"/>
  <c r="E82" i="155"/>
  <c r="F81" i="155"/>
  <c r="E81" i="155"/>
  <c r="F80" i="155"/>
  <c r="E80" i="155"/>
  <c r="F79" i="155"/>
  <c r="E79" i="155"/>
  <c r="F78" i="155"/>
  <c r="E78" i="155"/>
  <c r="F77" i="155"/>
  <c r="E77" i="155"/>
  <c r="F76" i="155"/>
  <c r="E76" i="155"/>
  <c r="F75" i="155"/>
  <c r="E75" i="155"/>
  <c r="F74" i="155"/>
  <c r="E74" i="155"/>
  <c r="F73" i="155"/>
  <c r="E73" i="155"/>
  <c r="F72" i="155"/>
  <c r="E72" i="155"/>
  <c r="F71" i="155"/>
  <c r="E71" i="155"/>
  <c r="F70" i="155"/>
  <c r="E70" i="155"/>
  <c r="F69" i="155"/>
  <c r="E69" i="155"/>
  <c r="F68" i="155"/>
  <c r="E68" i="155"/>
  <c r="F67" i="155"/>
  <c r="E67" i="155"/>
  <c r="F66" i="155"/>
  <c r="E66" i="155"/>
  <c r="F65" i="155"/>
  <c r="E65" i="155"/>
  <c r="F64" i="155"/>
  <c r="E64" i="155"/>
  <c r="F63" i="155"/>
  <c r="E63" i="155"/>
  <c r="F62" i="155"/>
  <c r="E62" i="155"/>
  <c r="F61" i="155"/>
  <c r="E61" i="155"/>
  <c r="F60" i="155"/>
  <c r="E60" i="155"/>
  <c r="F59" i="155"/>
  <c r="E59" i="155"/>
  <c r="F58" i="155"/>
  <c r="E58" i="155"/>
  <c r="F57" i="155"/>
  <c r="E57" i="155"/>
  <c r="F56" i="155"/>
  <c r="E56" i="155"/>
  <c r="F55" i="155"/>
  <c r="E55" i="155"/>
  <c r="F54" i="155"/>
  <c r="E54" i="155"/>
  <c r="F53" i="155"/>
  <c r="E53" i="155"/>
  <c r="F52" i="155"/>
  <c r="E52" i="155"/>
  <c r="F51" i="155"/>
  <c r="E51" i="155"/>
  <c r="F50" i="155"/>
  <c r="E50" i="155"/>
  <c r="F49" i="155"/>
  <c r="E49" i="155"/>
  <c r="F48" i="155"/>
  <c r="E48" i="155"/>
  <c r="F47" i="155"/>
  <c r="E47" i="155"/>
  <c r="F46" i="155"/>
  <c r="E46" i="155"/>
  <c r="F45" i="155"/>
  <c r="E45" i="155"/>
  <c r="F44" i="155"/>
  <c r="E44" i="155"/>
  <c r="F43" i="155"/>
  <c r="E43" i="155"/>
  <c r="F42" i="155"/>
  <c r="E42" i="155"/>
  <c r="F41" i="155"/>
  <c r="E41" i="155"/>
  <c r="F40" i="155"/>
  <c r="E40" i="155"/>
  <c r="F39" i="155"/>
  <c r="E39" i="155"/>
  <c r="F38" i="155"/>
  <c r="E38" i="155"/>
  <c r="F37" i="155"/>
  <c r="E37" i="155"/>
  <c r="F36" i="155"/>
  <c r="E36" i="155"/>
  <c r="F35" i="155"/>
  <c r="E35" i="155"/>
  <c r="F34" i="155"/>
  <c r="E34" i="155"/>
  <c r="F33" i="155"/>
  <c r="E33" i="155"/>
  <c r="F32" i="155"/>
  <c r="E32" i="155"/>
  <c r="F31" i="155"/>
  <c r="E31" i="155"/>
  <c r="F30" i="155"/>
  <c r="E30" i="155"/>
  <c r="F29" i="155"/>
  <c r="E29" i="155"/>
  <c r="F28" i="155"/>
  <c r="E28" i="155"/>
  <c r="F27" i="155"/>
  <c r="E27" i="155"/>
  <c r="F26" i="155"/>
  <c r="E26" i="155"/>
  <c r="F25" i="155"/>
  <c r="E25" i="155"/>
  <c r="F24" i="155"/>
  <c r="E24" i="155"/>
  <c r="F23" i="155"/>
  <c r="E23" i="155"/>
  <c r="F22" i="155"/>
  <c r="E22" i="155"/>
  <c r="F21" i="155"/>
  <c r="E21" i="155"/>
  <c r="F20" i="155"/>
  <c r="E20" i="155"/>
  <c r="F19" i="155"/>
  <c r="E19" i="155"/>
  <c r="D19" i="155"/>
  <c r="C19" i="155"/>
  <c r="F18" i="155"/>
  <c r="E18" i="155"/>
  <c r="D18" i="155"/>
  <c r="C18" i="155"/>
  <c r="F17" i="155"/>
  <c r="E17" i="155"/>
  <c r="D17" i="155"/>
  <c r="C17" i="155"/>
  <c r="F16" i="155"/>
  <c r="E16" i="155"/>
  <c r="O15" i="155"/>
  <c r="N15" i="155"/>
  <c r="M15" i="155"/>
  <c r="L15" i="155"/>
  <c r="K15" i="155"/>
  <c r="J15" i="155"/>
  <c r="I15" i="155"/>
  <c r="H15" i="155"/>
  <c r="F15" i="155"/>
  <c r="E15" i="155"/>
  <c r="D15" i="155"/>
  <c r="C15" i="155"/>
  <c r="O14" i="155"/>
  <c r="N14" i="155"/>
  <c r="M14" i="155"/>
  <c r="L14" i="155"/>
  <c r="K14" i="155"/>
  <c r="J14" i="155"/>
  <c r="I14" i="155"/>
  <c r="H14" i="155"/>
  <c r="F14" i="155"/>
  <c r="E14" i="155"/>
  <c r="D14" i="155"/>
  <c r="C14" i="155"/>
  <c r="E13" i="155"/>
  <c r="D13" i="155"/>
  <c r="C13" i="155"/>
  <c r="O12" i="155"/>
  <c r="N12" i="155"/>
  <c r="M12" i="155"/>
  <c r="L12" i="155"/>
  <c r="K12" i="155"/>
  <c r="J12" i="155"/>
  <c r="I12" i="155"/>
  <c r="H12" i="155"/>
  <c r="F12" i="155"/>
  <c r="E12" i="155"/>
  <c r="D12" i="155"/>
  <c r="C12" i="155"/>
  <c r="O11" i="155"/>
  <c r="N11" i="155"/>
  <c r="M11" i="155"/>
  <c r="L11" i="155"/>
  <c r="K11" i="155"/>
  <c r="J11" i="155"/>
  <c r="I11" i="155"/>
  <c r="H11" i="155"/>
  <c r="F11" i="155"/>
  <c r="E11" i="155"/>
  <c r="D11" i="155"/>
  <c r="C11" i="155"/>
  <c r="O10" i="155"/>
  <c r="N10" i="155"/>
  <c r="M10" i="155"/>
  <c r="L10" i="155"/>
  <c r="K10" i="155"/>
  <c r="J10" i="155"/>
  <c r="I10" i="155"/>
  <c r="H10" i="155"/>
  <c r="F10" i="155"/>
  <c r="E10" i="155"/>
  <c r="D10" i="155"/>
  <c r="C10" i="155"/>
  <c r="Y9" i="155"/>
  <c r="X9" i="155"/>
  <c r="W9" i="155"/>
  <c r="V9" i="155"/>
  <c r="U9" i="155"/>
  <c r="T9" i="155"/>
  <c r="S9" i="155"/>
  <c r="R9" i="155"/>
  <c r="Q9" i="155"/>
  <c r="P9" i="155"/>
  <c r="F9" i="155"/>
  <c r="E9" i="155"/>
  <c r="D9" i="155"/>
  <c r="C9" i="155"/>
  <c r="O8" i="155"/>
  <c r="N8" i="155"/>
  <c r="M8" i="155"/>
  <c r="L8" i="155"/>
  <c r="K8" i="155"/>
  <c r="J8" i="155"/>
  <c r="I8" i="155"/>
  <c r="H8" i="155"/>
  <c r="F8" i="155"/>
  <c r="E8" i="155"/>
  <c r="D8" i="155"/>
  <c r="C8" i="155"/>
  <c r="Y7" i="155"/>
  <c r="X7" i="155"/>
  <c r="W7" i="155"/>
  <c r="V7" i="155"/>
  <c r="U7" i="155"/>
  <c r="T7" i="155"/>
  <c r="S7" i="155"/>
  <c r="R7" i="155"/>
  <c r="Q7" i="155"/>
  <c r="P7" i="155"/>
  <c r="F7" i="155"/>
  <c r="E7" i="155"/>
  <c r="D7" i="155"/>
  <c r="C7" i="155"/>
  <c r="O6" i="155"/>
  <c r="N6" i="155"/>
  <c r="M6" i="155"/>
  <c r="L6" i="155"/>
  <c r="K6" i="155"/>
  <c r="J6" i="155"/>
  <c r="I6" i="155"/>
  <c r="H6" i="155"/>
  <c r="F6" i="155"/>
  <c r="E6" i="155"/>
  <c r="D6" i="155"/>
  <c r="C6" i="155"/>
  <c r="O5" i="155"/>
  <c r="N5" i="155"/>
  <c r="M5" i="155"/>
  <c r="L5" i="155"/>
  <c r="K5" i="155"/>
  <c r="J5" i="155"/>
  <c r="I5" i="155"/>
  <c r="H5" i="155"/>
  <c r="F5" i="155"/>
  <c r="E5" i="155"/>
  <c r="D5" i="155"/>
  <c r="C5" i="155"/>
  <c r="Y4" i="155"/>
  <c r="X4" i="155"/>
  <c r="W4" i="155"/>
  <c r="V4" i="155"/>
  <c r="U4" i="155"/>
  <c r="T4" i="155"/>
  <c r="S4" i="155"/>
  <c r="R4" i="155"/>
  <c r="Q4" i="155"/>
  <c r="P4" i="155"/>
  <c r="F4" i="155"/>
  <c r="E4" i="155"/>
  <c r="D4" i="155"/>
  <c r="C4" i="155"/>
  <c r="O3" i="155"/>
  <c r="N3" i="155"/>
  <c r="M3" i="155"/>
  <c r="L3" i="155"/>
  <c r="K3" i="155"/>
  <c r="J3" i="155"/>
  <c r="I3" i="155"/>
  <c r="H3" i="155"/>
  <c r="F3" i="155"/>
  <c r="E3" i="155"/>
  <c r="D3" i="155"/>
  <c r="C3" i="155"/>
  <c r="O2" i="155"/>
  <c r="N2" i="155"/>
  <c r="M2" i="155"/>
  <c r="L2" i="155"/>
  <c r="K2" i="155"/>
  <c r="J2" i="155"/>
  <c r="I2" i="155"/>
  <c r="H2" i="155"/>
  <c r="F2" i="155"/>
  <c r="E2" i="155"/>
  <c r="D2" i="155"/>
  <c r="C2" i="155"/>
  <c r="F3" i="154"/>
  <c r="E3" i="154"/>
  <c r="D3" i="154"/>
  <c r="C3" i="154"/>
  <c r="F2" i="154"/>
  <c r="E2" i="154"/>
  <c r="D2" i="154"/>
  <c r="C2" i="154"/>
  <c r="Y6" i="153"/>
  <c r="X6" i="153"/>
  <c r="W6" i="153"/>
  <c r="V6" i="153"/>
  <c r="U6" i="153"/>
  <c r="T6" i="153"/>
  <c r="S6" i="153"/>
  <c r="R6" i="153"/>
  <c r="Q6" i="153"/>
  <c r="P6" i="153"/>
  <c r="F6" i="153"/>
  <c r="E6" i="153"/>
  <c r="Y5" i="153"/>
  <c r="X5" i="153"/>
  <c r="W5" i="153"/>
  <c r="V5" i="153"/>
  <c r="U5" i="153"/>
  <c r="T5" i="153"/>
  <c r="S5" i="153"/>
  <c r="R5" i="153"/>
  <c r="Q5" i="153"/>
  <c r="P5" i="153"/>
  <c r="F5" i="153"/>
  <c r="E5" i="153"/>
  <c r="O4" i="153"/>
  <c r="N4" i="153"/>
  <c r="M4" i="153"/>
  <c r="L4" i="153"/>
  <c r="K4" i="153"/>
  <c r="J4" i="153"/>
  <c r="I4" i="153"/>
  <c r="H4" i="153"/>
  <c r="F4" i="153"/>
  <c r="E4" i="153"/>
  <c r="D4" i="153"/>
  <c r="C4" i="153"/>
  <c r="O3" i="153"/>
  <c r="N3" i="153"/>
  <c r="M3" i="153"/>
  <c r="L3" i="153"/>
  <c r="K3" i="153"/>
  <c r="J3" i="153"/>
  <c r="I3" i="153"/>
  <c r="H3" i="153"/>
  <c r="F3" i="153"/>
  <c r="E3" i="153"/>
  <c r="D3" i="153"/>
  <c r="C3" i="153"/>
  <c r="O2" i="153"/>
  <c r="N2" i="153"/>
  <c r="M2" i="153"/>
  <c r="L2" i="153"/>
  <c r="K2" i="153"/>
  <c r="J2" i="153"/>
  <c r="I2" i="153"/>
  <c r="H2" i="153"/>
  <c r="H8" i="153" s="1"/>
  <c r="F2" i="153"/>
  <c r="E2" i="153"/>
  <c r="D2" i="153"/>
  <c r="C2" i="153"/>
  <c r="Y5" i="152"/>
  <c r="X5" i="152"/>
  <c r="W5" i="152"/>
  <c r="V5" i="152"/>
  <c r="U5" i="152"/>
  <c r="T5" i="152"/>
  <c r="S5" i="152"/>
  <c r="R5" i="152"/>
  <c r="Q5" i="152"/>
  <c r="P5" i="152"/>
  <c r="E5" i="152"/>
  <c r="O4" i="152"/>
  <c r="N4" i="152"/>
  <c r="M4" i="152"/>
  <c r="L4" i="152"/>
  <c r="K4" i="152"/>
  <c r="J4" i="152"/>
  <c r="I4" i="152"/>
  <c r="H4" i="152"/>
  <c r="F4" i="152"/>
  <c r="E4" i="152"/>
  <c r="D4" i="152"/>
  <c r="C4" i="152"/>
  <c r="Y3" i="152"/>
  <c r="X3" i="152"/>
  <c r="W3" i="152"/>
  <c r="V3" i="152"/>
  <c r="U3" i="152"/>
  <c r="T3" i="152"/>
  <c r="S3" i="152"/>
  <c r="R3" i="152"/>
  <c r="Q3" i="152"/>
  <c r="P3" i="152"/>
  <c r="F3" i="152"/>
  <c r="E3" i="152"/>
  <c r="D3" i="152"/>
  <c r="C3" i="152"/>
  <c r="O2" i="152"/>
  <c r="N2" i="152"/>
  <c r="M2" i="152"/>
  <c r="L2" i="152"/>
  <c r="K2" i="152"/>
  <c r="K7" i="152" s="1"/>
  <c r="J2" i="152"/>
  <c r="J7" i="152" s="1"/>
  <c r="I2" i="152"/>
  <c r="H2" i="152"/>
  <c r="F2" i="152"/>
  <c r="E2" i="152"/>
  <c r="D2" i="152"/>
  <c r="C2" i="152"/>
  <c r="F15" i="151"/>
  <c r="E15" i="151"/>
  <c r="F14" i="151"/>
  <c r="E14" i="151"/>
  <c r="F13" i="151"/>
  <c r="E13" i="151"/>
  <c r="F12" i="151"/>
  <c r="E12" i="151"/>
  <c r="F11" i="151"/>
  <c r="E11" i="151"/>
  <c r="F10" i="151"/>
  <c r="E10" i="151"/>
  <c r="F9" i="151"/>
  <c r="E9" i="151"/>
  <c r="F8" i="151"/>
  <c r="E8" i="151"/>
  <c r="F7" i="151"/>
  <c r="E7" i="151"/>
  <c r="O6" i="151"/>
  <c r="N6" i="151"/>
  <c r="M6" i="151"/>
  <c r="L6" i="151"/>
  <c r="K6" i="151"/>
  <c r="J6" i="151"/>
  <c r="I6" i="151"/>
  <c r="H6" i="151"/>
  <c r="F6" i="151"/>
  <c r="E6" i="151"/>
  <c r="D6" i="151"/>
  <c r="C6" i="151"/>
  <c r="O5" i="151"/>
  <c r="N5" i="151"/>
  <c r="M5" i="151"/>
  <c r="L5" i="151"/>
  <c r="K5" i="151"/>
  <c r="J5" i="151"/>
  <c r="I5" i="151"/>
  <c r="H5" i="151"/>
  <c r="F5" i="151"/>
  <c r="E5" i="151"/>
  <c r="D5" i="151"/>
  <c r="C5" i="151"/>
  <c r="O4" i="151"/>
  <c r="N4" i="151"/>
  <c r="M4" i="151"/>
  <c r="L4" i="151"/>
  <c r="K4" i="151"/>
  <c r="J4" i="151"/>
  <c r="I4" i="151"/>
  <c r="H4" i="151"/>
  <c r="F4" i="151"/>
  <c r="E4" i="151"/>
  <c r="D4" i="151"/>
  <c r="C4" i="151"/>
  <c r="O3" i="151"/>
  <c r="N3" i="151"/>
  <c r="M3" i="151"/>
  <c r="L3" i="151"/>
  <c r="K3" i="151"/>
  <c r="J3" i="151"/>
  <c r="I3" i="151"/>
  <c r="H3" i="151"/>
  <c r="F3" i="151"/>
  <c r="E3" i="151"/>
  <c r="D3" i="151"/>
  <c r="C3" i="151"/>
  <c r="O2" i="151"/>
  <c r="O17" i="151" s="1"/>
  <c r="N2" i="151"/>
  <c r="M2" i="151"/>
  <c r="L2" i="151"/>
  <c r="K2" i="151"/>
  <c r="J2" i="151"/>
  <c r="I2" i="151"/>
  <c r="I17" i="151" s="1"/>
  <c r="H2" i="151"/>
  <c r="F2" i="151"/>
  <c r="E2" i="151"/>
  <c r="D2" i="151"/>
  <c r="C2" i="151"/>
  <c r="O3" i="150"/>
  <c r="N3" i="150"/>
  <c r="M3" i="150"/>
  <c r="L3" i="150"/>
  <c r="K3" i="150"/>
  <c r="J3" i="150"/>
  <c r="I3" i="150"/>
  <c r="H3" i="150"/>
  <c r="F3" i="150"/>
  <c r="E3" i="150"/>
  <c r="D3" i="150"/>
  <c r="C3" i="150"/>
  <c r="O2" i="150"/>
  <c r="O5" i="150" s="1"/>
  <c r="N2" i="150"/>
  <c r="M2" i="150"/>
  <c r="L2" i="150"/>
  <c r="K2" i="150"/>
  <c r="J2" i="150"/>
  <c r="I2" i="150"/>
  <c r="I5" i="150" s="1"/>
  <c r="H2" i="150"/>
  <c r="H5" i="150" s="1"/>
  <c r="F2" i="150"/>
  <c r="E2" i="150"/>
  <c r="D2" i="150"/>
  <c r="C2" i="150"/>
  <c r="F12" i="149"/>
  <c r="E12" i="149"/>
  <c r="F11" i="149"/>
  <c r="E11" i="149"/>
  <c r="F10" i="149"/>
  <c r="E10" i="149"/>
  <c r="F9" i="149"/>
  <c r="E9" i="149"/>
  <c r="F8" i="149"/>
  <c r="E8" i="149"/>
  <c r="F7" i="149"/>
  <c r="E7" i="149"/>
  <c r="F6" i="149"/>
  <c r="E6" i="149"/>
  <c r="F5" i="149"/>
  <c r="E5" i="149"/>
  <c r="F4" i="149"/>
  <c r="E4" i="149"/>
  <c r="O3" i="149"/>
  <c r="N3" i="149"/>
  <c r="M3" i="149"/>
  <c r="M14" i="149" s="1"/>
  <c r="L3" i="149"/>
  <c r="K3" i="149"/>
  <c r="J3" i="149"/>
  <c r="I3" i="149"/>
  <c r="H3" i="149"/>
  <c r="F3" i="149"/>
  <c r="E3" i="149"/>
  <c r="D3" i="149"/>
  <c r="C3" i="149"/>
  <c r="O2" i="149"/>
  <c r="N2" i="149"/>
  <c r="M2" i="149"/>
  <c r="L2" i="149"/>
  <c r="L14" i="149" s="1"/>
  <c r="K2" i="149"/>
  <c r="K14" i="149" s="1"/>
  <c r="J2" i="149"/>
  <c r="I2" i="149"/>
  <c r="I14" i="149" s="1"/>
  <c r="H2" i="149"/>
  <c r="F2" i="149"/>
  <c r="E2" i="149"/>
  <c r="D2" i="149"/>
  <c r="C2" i="149"/>
  <c r="E31" i="148"/>
  <c r="F30" i="148"/>
  <c r="E30" i="148"/>
  <c r="F29" i="148"/>
  <c r="E29" i="148"/>
  <c r="F28" i="148"/>
  <c r="E28" i="148"/>
  <c r="F27" i="148"/>
  <c r="E27" i="148"/>
  <c r="F26" i="148"/>
  <c r="E26" i="148"/>
  <c r="F25" i="148"/>
  <c r="E25" i="148"/>
  <c r="F24" i="148"/>
  <c r="E24" i="148"/>
  <c r="F23" i="148"/>
  <c r="E23" i="148"/>
  <c r="F22" i="148"/>
  <c r="E22" i="148"/>
  <c r="F21" i="148"/>
  <c r="E21" i="148"/>
  <c r="F20" i="148"/>
  <c r="E20" i="148"/>
  <c r="F19" i="148"/>
  <c r="E19" i="148"/>
  <c r="F18" i="148"/>
  <c r="E18" i="148"/>
  <c r="F17" i="148"/>
  <c r="E17" i="148"/>
  <c r="F16" i="148"/>
  <c r="E16" i="148"/>
  <c r="F15" i="148"/>
  <c r="E15" i="148"/>
  <c r="F14" i="148"/>
  <c r="E14" i="148"/>
  <c r="F13" i="148"/>
  <c r="E13" i="148"/>
  <c r="F12" i="148"/>
  <c r="E12" i="148"/>
  <c r="F11" i="148"/>
  <c r="E11" i="148"/>
  <c r="F10" i="148"/>
  <c r="E10" i="148"/>
  <c r="F9" i="148"/>
  <c r="E9" i="148"/>
  <c r="Y8" i="148"/>
  <c r="X8" i="148"/>
  <c r="W8" i="148"/>
  <c r="V8" i="148"/>
  <c r="U8" i="148"/>
  <c r="T8" i="148"/>
  <c r="S8" i="148"/>
  <c r="R8" i="148"/>
  <c r="Q8" i="148"/>
  <c r="P8" i="148"/>
  <c r="F8" i="148"/>
  <c r="E8" i="148"/>
  <c r="O7" i="148"/>
  <c r="N7" i="148"/>
  <c r="M7" i="148"/>
  <c r="L7" i="148"/>
  <c r="K7" i="148"/>
  <c r="J7" i="148"/>
  <c r="I7" i="148"/>
  <c r="H7" i="148"/>
  <c r="F7" i="148"/>
  <c r="E7" i="148"/>
  <c r="D7" i="148"/>
  <c r="C7" i="148"/>
  <c r="Y6" i="148"/>
  <c r="X6" i="148"/>
  <c r="W6" i="148"/>
  <c r="V6" i="148"/>
  <c r="U6" i="148"/>
  <c r="T6" i="148"/>
  <c r="S6" i="148"/>
  <c r="R6" i="148"/>
  <c r="Q6" i="148"/>
  <c r="P6" i="148"/>
  <c r="F6" i="148"/>
  <c r="E6" i="148"/>
  <c r="D6" i="148"/>
  <c r="C6" i="148"/>
  <c r="O5" i="148"/>
  <c r="N5" i="148"/>
  <c r="M5" i="148"/>
  <c r="L5" i="148"/>
  <c r="K5" i="148"/>
  <c r="J5" i="148"/>
  <c r="I5" i="148"/>
  <c r="H5" i="148"/>
  <c r="F5" i="148"/>
  <c r="E5" i="148"/>
  <c r="D5" i="148"/>
  <c r="C5" i="148"/>
  <c r="O4" i="148"/>
  <c r="N4" i="148"/>
  <c r="M4" i="148"/>
  <c r="L4" i="148"/>
  <c r="K4" i="148"/>
  <c r="J4" i="148"/>
  <c r="I4" i="148"/>
  <c r="H4" i="148"/>
  <c r="F4" i="148"/>
  <c r="E4" i="148"/>
  <c r="D4" i="148"/>
  <c r="C4" i="148"/>
  <c r="O3" i="148"/>
  <c r="N3" i="148"/>
  <c r="M3" i="148"/>
  <c r="L3" i="148"/>
  <c r="K3" i="148"/>
  <c r="J3" i="148"/>
  <c r="I3" i="148"/>
  <c r="H3" i="148"/>
  <c r="F3" i="148"/>
  <c r="E3" i="148"/>
  <c r="D3" i="148"/>
  <c r="C3" i="148"/>
  <c r="O2" i="148"/>
  <c r="N2" i="148"/>
  <c r="N33" i="148" s="1"/>
  <c r="M2" i="148"/>
  <c r="L2" i="148"/>
  <c r="K2" i="148"/>
  <c r="J2" i="148"/>
  <c r="I2" i="148"/>
  <c r="H2" i="148"/>
  <c r="F2" i="148"/>
  <c r="E2" i="148"/>
  <c r="D2" i="148"/>
  <c r="C2" i="148"/>
  <c r="E21" i="147"/>
  <c r="F20" i="147"/>
  <c r="E20" i="147"/>
  <c r="F19" i="147"/>
  <c r="E19" i="147"/>
  <c r="F18" i="147"/>
  <c r="E18" i="147"/>
  <c r="F17" i="147"/>
  <c r="E17" i="147"/>
  <c r="F16" i="147"/>
  <c r="E16" i="147"/>
  <c r="F15" i="147"/>
  <c r="E15" i="147"/>
  <c r="F14" i="147"/>
  <c r="E14" i="147"/>
  <c r="F13" i="147"/>
  <c r="E13" i="147"/>
  <c r="F12" i="147"/>
  <c r="E12" i="147"/>
  <c r="F11" i="147"/>
  <c r="E11" i="147"/>
  <c r="F10" i="147"/>
  <c r="E10" i="147"/>
  <c r="F9" i="147"/>
  <c r="E9" i="147"/>
  <c r="F8" i="147"/>
  <c r="E8" i="147"/>
  <c r="F7" i="147"/>
  <c r="E7" i="147"/>
  <c r="F6" i="147"/>
  <c r="E6" i="147"/>
  <c r="F5" i="147"/>
  <c r="E5" i="147"/>
  <c r="F4" i="147"/>
  <c r="E4" i="147"/>
  <c r="F3" i="147"/>
  <c r="E3" i="147"/>
  <c r="O2" i="147"/>
  <c r="O23" i="147" s="1"/>
  <c r="N2" i="147"/>
  <c r="N23" i="147" s="1"/>
  <c r="M2" i="147"/>
  <c r="M23" i="147" s="1"/>
  <c r="L2" i="147"/>
  <c r="L23" i="147" s="1"/>
  <c r="K2" i="147"/>
  <c r="K23" i="147" s="1"/>
  <c r="J2" i="147"/>
  <c r="J23" i="147" s="1"/>
  <c r="I2" i="147"/>
  <c r="I23" i="147" s="1"/>
  <c r="Q23" i="147" s="1"/>
  <c r="H2" i="147"/>
  <c r="H23" i="147" s="1"/>
  <c r="F2" i="147"/>
  <c r="E2" i="147"/>
  <c r="D2" i="147"/>
  <c r="C2" i="147"/>
  <c r="F8" i="146"/>
  <c r="E8" i="146"/>
  <c r="F7" i="146"/>
  <c r="E7" i="146"/>
  <c r="F6" i="146"/>
  <c r="E6" i="146"/>
  <c r="F5" i="146"/>
  <c r="E5" i="146"/>
  <c r="F4" i="146"/>
  <c r="E4" i="146"/>
  <c r="O3" i="146"/>
  <c r="N3" i="146"/>
  <c r="M3" i="146"/>
  <c r="L3" i="146"/>
  <c r="K3" i="146"/>
  <c r="J3" i="146"/>
  <c r="I3" i="146"/>
  <c r="H3" i="146"/>
  <c r="F3" i="146"/>
  <c r="E3" i="146"/>
  <c r="D3" i="146"/>
  <c r="C3" i="146"/>
  <c r="O2" i="146"/>
  <c r="N2" i="146"/>
  <c r="M2" i="146"/>
  <c r="L2" i="146"/>
  <c r="L10" i="146" s="1"/>
  <c r="K2" i="146"/>
  <c r="K10" i="146" s="1"/>
  <c r="J2" i="146"/>
  <c r="J10" i="146" s="1"/>
  <c r="I2" i="146"/>
  <c r="H2" i="146"/>
  <c r="F2" i="146"/>
  <c r="E2" i="146"/>
  <c r="D2" i="146"/>
  <c r="C2" i="146"/>
  <c r="F12" i="145"/>
  <c r="E12" i="145"/>
  <c r="F11" i="145"/>
  <c r="E11" i="145"/>
  <c r="F10" i="145"/>
  <c r="E10" i="145"/>
  <c r="F9" i="145"/>
  <c r="E9" i="145"/>
  <c r="F8" i="145"/>
  <c r="E8" i="145"/>
  <c r="F7" i="145"/>
  <c r="E7" i="145"/>
  <c r="O6" i="145"/>
  <c r="N6" i="145"/>
  <c r="M6" i="145"/>
  <c r="L6" i="145"/>
  <c r="K6" i="145"/>
  <c r="J6" i="145"/>
  <c r="I6" i="145"/>
  <c r="H6" i="145"/>
  <c r="F6" i="145"/>
  <c r="E6" i="145"/>
  <c r="D6" i="145"/>
  <c r="C6" i="145"/>
  <c r="O5" i="145"/>
  <c r="N5" i="145"/>
  <c r="M5" i="145"/>
  <c r="L5" i="145"/>
  <c r="K5" i="145"/>
  <c r="J5" i="145"/>
  <c r="I5" i="145"/>
  <c r="H5" i="145"/>
  <c r="F5" i="145"/>
  <c r="E5" i="145"/>
  <c r="D5" i="145"/>
  <c r="C5" i="145"/>
  <c r="O4" i="145"/>
  <c r="N4" i="145"/>
  <c r="M4" i="145"/>
  <c r="L4" i="145"/>
  <c r="K4" i="145"/>
  <c r="J4" i="145"/>
  <c r="I4" i="145"/>
  <c r="H4" i="145"/>
  <c r="F4" i="145"/>
  <c r="E4" i="145"/>
  <c r="D4" i="145"/>
  <c r="C4" i="145"/>
  <c r="O3" i="145"/>
  <c r="N3" i="145"/>
  <c r="M3" i="145"/>
  <c r="L3" i="145"/>
  <c r="K3" i="145"/>
  <c r="J3" i="145"/>
  <c r="I3" i="145"/>
  <c r="H3" i="145"/>
  <c r="F3" i="145"/>
  <c r="E3" i="145"/>
  <c r="D3" i="145"/>
  <c r="C3" i="145"/>
  <c r="O2" i="145"/>
  <c r="N2" i="145"/>
  <c r="M2" i="145"/>
  <c r="L2" i="145"/>
  <c r="K2" i="145"/>
  <c r="J2" i="145"/>
  <c r="I2" i="145"/>
  <c r="I14" i="145" s="1"/>
  <c r="H2" i="145"/>
  <c r="F2" i="145"/>
  <c r="E2" i="145"/>
  <c r="D2" i="145"/>
  <c r="C2" i="145"/>
  <c r="Y8" i="144"/>
  <c r="X8" i="144"/>
  <c r="W8" i="144"/>
  <c r="V8" i="144"/>
  <c r="U8" i="144"/>
  <c r="T8" i="144"/>
  <c r="S8" i="144"/>
  <c r="Q8" i="144"/>
  <c r="P8" i="144"/>
  <c r="R8" i="144" s="1"/>
  <c r="F6" i="144"/>
  <c r="E6" i="144"/>
  <c r="D6" i="144"/>
  <c r="C6" i="144"/>
  <c r="F5" i="144"/>
  <c r="E5" i="144"/>
  <c r="D5" i="144"/>
  <c r="C5" i="144"/>
  <c r="F4" i="144"/>
  <c r="E4" i="144"/>
  <c r="D4" i="144"/>
  <c r="C4" i="144"/>
  <c r="F3" i="144"/>
  <c r="E3" i="144"/>
  <c r="D3" i="144"/>
  <c r="C3" i="144"/>
  <c r="F2" i="144"/>
  <c r="E2" i="144"/>
  <c r="D2" i="144"/>
  <c r="C2" i="144"/>
  <c r="F17" i="143"/>
  <c r="E17" i="143"/>
  <c r="F16" i="143"/>
  <c r="E16" i="143"/>
  <c r="F15" i="143"/>
  <c r="E15" i="143"/>
  <c r="F14" i="143"/>
  <c r="E14" i="143"/>
  <c r="F13" i="143"/>
  <c r="E13" i="143"/>
  <c r="F12" i="143"/>
  <c r="E12" i="143"/>
  <c r="F11" i="143"/>
  <c r="E11" i="143"/>
  <c r="F10" i="143"/>
  <c r="E10" i="143"/>
  <c r="O9" i="143"/>
  <c r="N9" i="143"/>
  <c r="M9" i="143"/>
  <c r="L9" i="143"/>
  <c r="K9" i="143"/>
  <c r="J9" i="143"/>
  <c r="I9" i="143"/>
  <c r="H9" i="143"/>
  <c r="F9" i="143"/>
  <c r="E9" i="143"/>
  <c r="D9" i="143"/>
  <c r="C9" i="143"/>
  <c r="O8" i="143"/>
  <c r="N8" i="143"/>
  <c r="M8" i="143"/>
  <c r="L8" i="143"/>
  <c r="K8" i="143"/>
  <c r="J8" i="143"/>
  <c r="I8" i="143"/>
  <c r="H8" i="143"/>
  <c r="F8" i="143"/>
  <c r="E8" i="143"/>
  <c r="D8" i="143"/>
  <c r="C8" i="143"/>
  <c r="O7" i="143"/>
  <c r="N7" i="143"/>
  <c r="M7" i="143"/>
  <c r="L7" i="143"/>
  <c r="K7" i="143"/>
  <c r="J7" i="143"/>
  <c r="I7" i="143"/>
  <c r="H7" i="143"/>
  <c r="F7" i="143"/>
  <c r="E7" i="143"/>
  <c r="D7" i="143"/>
  <c r="C7" i="143"/>
  <c r="F6" i="143"/>
  <c r="E6" i="143"/>
  <c r="D6" i="143"/>
  <c r="C6" i="143"/>
  <c r="F5" i="143"/>
  <c r="E5" i="143"/>
  <c r="D5" i="143"/>
  <c r="C5" i="143"/>
  <c r="O4" i="143"/>
  <c r="N4" i="143"/>
  <c r="M4" i="143"/>
  <c r="L4" i="143"/>
  <c r="K4" i="143"/>
  <c r="J4" i="143"/>
  <c r="I4" i="143"/>
  <c r="H4" i="143"/>
  <c r="F4" i="143"/>
  <c r="E4" i="143"/>
  <c r="D4" i="143"/>
  <c r="C4" i="143"/>
  <c r="O3" i="143"/>
  <c r="N3" i="143"/>
  <c r="M3" i="143"/>
  <c r="L3" i="143"/>
  <c r="K3" i="143"/>
  <c r="K19" i="143" s="1"/>
  <c r="J3" i="143"/>
  <c r="I3" i="143"/>
  <c r="H3" i="143"/>
  <c r="F3" i="143"/>
  <c r="E3" i="143"/>
  <c r="D3" i="143"/>
  <c r="C3" i="143"/>
  <c r="O2" i="143"/>
  <c r="N2" i="143"/>
  <c r="M2" i="143"/>
  <c r="L2" i="143"/>
  <c r="K2" i="143"/>
  <c r="J2" i="143"/>
  <c r="J19" i="143" s="1"/>
  <c r="P19" i="143" s="1"/>
  <c r="I2" i="143"/>
  <c r="H2" i="143"/>
  <c r="H19" i="143" s="1"/>
  <c r="F2" i="143"/>
  <c r="E2" i="143"/>
  <c r="D2" i="143"/>
  <c r="C2" i="143"/>
  <c r="O3" i="142"/>
  <c r="N3" i="142"/>
  <c r="M3" i="142"/>
  <c r="L3" i="142"/>
  <c r="K3" i="142"/>
  <c r="J3" i="142"/>
  <c r="I3" i="142"/>
  <c r="H3" i="142"/>
  <c r="F3" i="142"/>
  <c r="E3" i="142"/>
  <c r="D3" i="142"/>
  <c r="C3" i="142"/>
  <c r="O2" i="142"/>
  <c r="N2" i="142"/>
  <c r="M2" i="142"/>
  <c r="L2" i="142"/>
  <c r="K2" i="142"/>
  <c r="K5" i="142" s="1"/>
  <c r="J2" i="142"/>
  <c r="J5" i="142" s="1"/>
  <c r="P5" i="142" s="1"/>
  <c r="I2" i="142"/>
  <c r="H2" i="142"/>
  <c r="H5" i="142" s="1"/>
  <c r="F2" i="142"/>
  <c r="E2" i="142"/>
  <c r="D2" i="142"/>
  <c r="C2" i="142"/>
  <c r="M8" i="141"/>
  <c r="L8" i="141"/>
  <c r="F6" i="141"/>
  <c r="E6" i="141"/>
  <c r="F5" i="141"/>
  <c r="E5" i="141"/>
  <c r="F4" i="141"/>
  <c r="E4" i="141"/>
  <c r="O3" i="141"/>
  <c r="N3" i="141"/>
  <c r="M3" i="141"/>
  <c r="L3" i="141"/>
  <c r="K3" i="141"/>
  <c r="J3" i="141"/>
  <c r="I3" i="141"/>
  <c r="H3" i="141"/>
  <c r="F3" i="141"/>
  <c r="E3" i="141"/>
  <c r="D3" i="141"/>
  <c r="C3" i="141"/>
  <c r="O2" i="141"/>
  <c r="N2" i="141"/>
  <c r="M2" i="141"/>
  <c r="L2" i="141"/>
  <c r="K2" i="141"/>
  <c r="J2" i="141"/>
  <c r="J8" i="141" s="1"/>
  <c r="I2" i="141"/>
  <c r="I8" i="141" s="1"/>
  <c r="H2" i="141"/>
  <c r="H8" i="141" s="1"/>
  <c r="F2" i="141"/>
  <c r="E2" i="141"/>
  <c r="D2" i="141"/>
  <c r="C2" i="141"/>
  <c r="O13" i="140"/>
  <c r="T13" i="140" s="1"/>
  <c r="F11" i="140"/>
  <c r="E11" i="140"/>
  <c r="F10" i="140"/>
  <c r="E10" i="140"/>
  <c r="F9" i="140"/>
  <c r="E9" i="140"/>
  <c r="F8" i="140"/>
  <c r="E8" i="140"/>
  <c r="F7" i="140"/>
  <c r="E7" i="140"/>
  <c r="F6" i="140"/>
  <c r="E6" i="140"/>
  <c r="F5" i="140"/>
  <c r="E5" i="140"/>
  <c r="F4" i="140"/>
  <c r="E4" i="140"/>
  <c r="D4" i="140"/>
  <c r="C4" i="140"/>
  <c r="F3" i="140"/>
  <c r="E3" i="140"/>
  <c r="D3" i="140"/>
  <c r="C3" i="140"/>
  <c r="O2" i="140"/>
  <c r="N2" i="140"/>
  <c r="N13" i="140" s="1"/>
  <c r="M2" i="140"/>
  <c r="M13" i="140" s="1"/>
  <c r="L2" i="140"/>
  <c r="L13" i="140" s="1"/>
  <c r="K2" i="140"/>
  <c r="K13" i="140" s="1"/>
  <c r="J2" i="140"/>
  <c r="J13" i="140" s="1"/>
  <c r="I2" i="140"/>
  <c r="I13" i="140" s="1"/>
  <c r="H2" i="140"/>
  <c r="H13" i="140" s="1"/>
  <c r="F2" i="140"/>
  <c r="E2" i="140"/>
  <c r="D2" i="140"/>
  <c r="C2" i="140"/>
  <c r="F23" i="139"/>
  <c r="E23" i="139"/>
  <c r="F22" i="139"/>
  <c r="E22" i="139"/>
  <c r="F21" i="139"/>
  <c r="E21" i="139"/>
  <c r="F20" i="139"/>
  <c r="E20" i="139"/>
  <c r="F19" i="139"/>
  <c r="E19" i="139"/>
  <c r="F18" i="139"/>
  <c r="E18" i="139"/>
  <c r="F17" i="139"/>
  <c r="E17" i="139"/>
  <c r="F16" i="139"/>
  <c r="E16" i="139"/>
  <c r="F15" i="139"/>
  <c r="E15" i="139"/>
  <c r="F14" i="139"/>
  <c r="E14" i="139"/>
  <c r="F13" i="139"/>
  <c r="E13" i="139"/>
  <c r="F12" i="139"/>
  <c r="E12" i="139"/>
  <c r="F11" i="139"/>
  <c r="E11" i="139"/>
  <c r="F10" i="139"/>
  <c r="E10" i="139"/>
  <c r="F9" i="139"/>
  <c r="E9" i="139"/>
  <c r="O8" i="139"/>
  <c r="N8" i="139"/>
  <c r="M8" i="139"/>
  <c r="L8" i="139"/>
  <c r="K8" i="139"/>
  <c r="J8" i="139"/>
  <c r="I8" i="139"/>
  <c r="H8" i="139"/>
  <c r="F8" i="139"/>
  <c r="E8" i="139"/>
  <c r="D8" i="139"/>
  <c r="C8" i="139"/>
  <c r="O7" i="139"/>
  <c r="N7" i="139"/>
  <c r="M7" i="139"/>
  <c r="L7" i="139"/>
  <c r="K7" i="139"/>
  <c r="J7" i="139"/>
  <c r="I7" i="139"/>
  <c r="H7" i="139"/>
  <c r="F7" i="139"/>
  <c r="E7" i="139"/>
  <c r="D7" i="139"/>
  <c r="C7" i="139"/>
  <c r="O6" i="139"/>
  <c r="N6" i="139"/>
  <c r="M6" i="139"/>
  <c r="L6" i="139"/>
  <c r="K6" i="139"/>
  <c r="J6" i="139"/>
  <c r="I6" i="139"/>
  <c r="H6" i="139"/>
  <c r="F6" i="139"/>
  <c r="E6" i="139"/>
  <c r="D6" i="139"/>
  <c r="C6" i="139"/>
  <c r="O5" i="139"/>
  <c r="N5" i="139"/>
  <c r="M5" i="139"/>
  <c r="L5" i="139"/>
  <c r="K5" i="139"/>
  <c r="J5" i="139"/>
  <c r="I5" i="139"/>
  <c r="H5" i="139"/>
  <c r="F5" i="139"/>
  <c r="E5" i="139"/>
  <c r="D5" i="139"/>
  <c r="C5" i="139"/>
  <c r="O4" i="139"/>
  <c r="N4" i="139"/>
  <c r="M4" i="139"/>
  <c r="L4" i="139"/>
  <c r="K4" i="139"/>
  <c r="J4" i="139"/>
  <c r="I4" i="139"/>
  <c r="H4" i="139"/>
  <c r="F4" i="139"/>
  <c r="E4" i="139"/>
  <c r="D4" i="139"/>
  <c r="C4" i="139"/>
  <c r="F3" i="139"/>
  <c r="E3" i="139"/>
  <c r="D3" i="139"/>
  <c r="C3" i="139"/>
  <c r="O2" i="139"/>
  <c r="N2" i="139"/>
  <c r="M2" i="139"/>
  <c r="M25" i="139" s="1"/>
  <c r="L2" i="139"/>
  <c r="K2" i="139"/>
  <c r="J2" i="139"/>
  <c r="I2" i="139"/>
  <c r="H2" i="139"/>
  <c r="F2" i="139"/>
  <c r="E2" i="139"/>
  <c r="D2" i="139"/>
  <c r="C2" i="139"/>
  <c r="F10" i="138"/>
  <c r="E10" i="138"/>
  <c r="F9" i="138"/>
  <c r="E9" i="138"/>
  <c r="O8" i="138"/>
  <c r="N8" i="138"/>
  <c r="M8" i="138"/>
  <c r="L8" i="138"/>
  <c r="K8" i="138"/>
  <c r="J8" i="138"/>
  <c r="I8" i="138"/>
  <c r="H8" i="138"/>
  <c r="F8" i="138"/>
  <c r="E8" i="138"/>
  <c r="D8" i="138"/>
  <c r="C8" i="138"/>
  <c r="O7" i="138"/>
  <c r="N7" i="138"/>
  <c r="M7" i="138"/>
  <c r="L7" i="138"/>
  <c r="K7" i="138"/>
  <c r="J7" i="138"/>
  <c r="I7" i="138"/>
  <c r="H7" i="138"/>
  <c r="F7" i="138"/>
  <c r="E7" i="138"/>
  <c r="D7" i="138"/>
  <c r="C7" i="138"/>
  <c r="O6" i="138"/>
  <c r="N6" i="138"/>
  <c r="M6" i="138"/>
  <c r="L6" i="138"/>
  <c r="K6" i="138"/>
  <c r="J6" i="138"/>
  <c r="I6" i="138"/>
  <c r="H6" i="138"/>
  <c r="F6" i="138"/>
  <c r="E6" i="138"/>
  <c r="D6" i="138"/>
  <c r="C6" i="138"/>
  <c r="O5" i="138"/>
  <c r="N5" i="138"/>
  <c r="M5" i="138"/>
  <c r="L5" i="138"/>
  <c r="K5" i="138"/>
  <c r="J5" i="138"/>
  <c r="I5" i="138"/>
  <c r="H5" i="138"/>
  <c r="F5" i="138"/>
  <c r="E5" i="138"/>
  <c r="D5" i="138"/>
  <c r="C5" i="138"/>
  <c r="O4" i="138"/>
  <c r="N4" i="138"/>
  <c r="M4" i="138"/>
  <c r="L4" i="138"/>
  <c r="K4" i="138"/>
  <c r="J4" i="138"/>
  <c r="I4" i="138"/>
  <c r="H4" i="138"/>
  <c r="F4" i="138"/>
  <c r="E4" i="138"/>
  <c r="D4" i="138"/>
  <c r="C4" i="138"/>
  <c r="O3" i="138"/>
  <c r="N3" i="138"/>
  <c r="M3" i="138"/>
  <c r="L3" i="138"/>
  <c r="K3" i="138"/>
  <c r="J3" i="138"/>
  <c r="I3" i="138"/>
  <c r="H3" i="138"/>
  <c r="F3" i="138"/>
  <c r="E3" i="138"/>
  <c r="D3" i="138"/>
  <c r="C3" i="138"/>
  <c r="O2" i="138"/>
  <c r="N2" i="138"/>
  <c r="M2" i="138"/>
  <c r="L2" i="138"/>
  <c r="K2" i="138"/>
  <c r="J2" i="138"/>
  <c r="I2" i="138"/>
  <c r="I12" i="138" s="1"/>
  <c r="H2" i="138"/>
  <c r="F2" i="138"/>
  <c r="E2" i="138"/>
  <c r="D2" i="138"/>
  <c r="C2" i="138"/>
  <c r="E29" i="137"/>
  <c r="F28" i="137"/>
  <c r="E28" i="137"/>
  <c r="F27" i="137"/>
  <c r="E27" i="137"/>
  <c r="F26" i="137"/>
  <c r="E26" i="137"/>
  <c r="F25" i="137"/>
  <c r="E25" i="137"/>
  <c r="F24" i="137"/>
  <c r="E24" i="137"/>
  <c r="F23" i="137"/>
  <c r="E23" i="137"/>
  <c r="F22" i="137"/>
  <c r="E22" i="137"/>
  <c r="F21" i="137"/>
  <c r="E21" i="137"/>
  <c r="F20" i="137"/>
  <c r="E20" i="137"/>
  <c r="F19" i="137"/>
  <c r="E19" i="137"/>
  <c r="F18" i="137"/>
  <c r="E18" i="137"/>
  <c r="F17" i="137"/>
  <c r="E17" i="137"/>
  <c r="F16" i="137"/>
  <c r="E16" i="137"/>
  <c r="F15" i="137"/>
  <c r="E15" i="137"/>
  <c r="F14" i="137"/>
  <c r="E14" i="137"/>
  <c r="F13" i="137"/>
  <c r="E13" i="137"/>
  <c r="F12" i="137"/>
  <c r="E12" i="137"/>
  <c r="F11" i="137"/>
  <c r="E11" i="137"/>
  <c r="F10" i="137"/>
  <c r="E10" i="137"/>
  <c r="F9" i="137"/>
  <c r="E9" i="137"/>
  <c r="F8" i="137"/>
  <c r="E8" i="137"/>
  <c r="F7" i="137"/>
  <c r="E7" i="137"/>
  <c r="F6" i="137"/>
  <c r="E6" i="137"/>
  <c r="F5" i="137"/>
  <c r="E5" i="137"/>
  <c r="O4" i="137"/>
  <c r="N4" i="137"/>
  <c r="M4" i="137"/>
  <c r="L4" i="137"/>
  <c r="K4" i="137"/>
  <c r="J4" i="137"/>
  <c r="I4" i="137"/>
  <c r="H4" i="137"/>
  <c r="F4" i="137"/>
  <c r="E4" i="137"/>
  <c r="D4" i="137"/>
  <c r="C4" i="137"/>
  <c r="O3" i="137"/>
  <c r="N3" i="137"/>
  <c r="M3" i="137"/>
  <c r="L3" i="137"/>
  <c r="K3" i="137"/>
  <c r="J3" i="137"/>
  <c r="I3" i="137"/>
  <c r="H3" i="137"/>
  <c r="F3" i="137"/>
  <c r="E3" i="137"/>
  <c r="D3" i="137"/>
  <c r="C3" i="137"/>
  <c r="O2" i="137"/>
  <c r="O31" i="137" s="1"/>
  <c r="T31" i="137" s="1"/>
  <c r="N2" i="137"/>
  <c r="M2" i="137"/>
  <c r="M31" i="137" s="1"/>
  <c r="L2" i="137"/>
  <c r="L31" i="137" s="1"/>
  <c r="K2" i="137"/>
  <c r="J2" i="137"/>
  <c r="I2" i="137"/>
  <c r="H2" i="137"/>
  <c r="F2" i="137"/>
  <c r="E2" i="137"/>
  <c r="D2" i="137"/>
  <c r="C2" i="137"/>
  <c r="F6" i="136"/>
  <c r="E6" i="136"/>
  <c r="F5" i="136"/>
  <c r="E5" i="136"/>
  <c r="F4" i="136"/>
  <c r="E4" i="136"/>
  <c r="O3" i="136"/>
  <c r="N3" i="136"/>
  <c r="N8" i="136" s="1"/>
  <c r="M3" i="136"/>
  <c r="L3" i="136"/>
  <c r="K3" i="136"/>
  <c r="J3" i="136"/>
  <c r="I3" i="136"/>
  <c r="I8" i="136" s="1"/>
  <c r="H3" i="136"/>
  <c r="F3" i="136"/>
  <c r="E3" i="136"/>
  <c r="D3" i="136"/>
  <c r="C3" i="136"/>
  <c r="O2" i="136"/>
  <c r="N2" i="136"/>
  <c r="M2" i="136"/>
  <c r="M8" i="136" s="1"/>
  <c r="L2" i="136"/>
  <c r="K2" i="136"/>
  <c r="J2" i="136"/>
  <c r="J8" i="136" s="1"/>
  <c r="I2" i="136"/>
  <c r="H2" i="136"/>
  <c r="F2" i="136"/>
  <c r="E2" i="136"/>
  <c r="D2" i="136"/>
  <c r="C2" i="136"/>
  <c r="F9" i="135"/>
  <c r="E9" i="135"/>
  <c r="F8" i="135"/>
  <c r="E8" i="135"/>
  <c r="F7" i="135"/>
  <c r="E7" i="135"/>
  <c r="F6" i="135"/>
  <c r="E6" i="135"/>
  <c r="F5" i="135"/>
  <c r="E5" i="135"/>
  <c r="F4" i="135"/>
  <c r="E4" i="135"/>
  <c r="O3" i="135"/>
  <c r="N3" i="135"/>
  <c r="M3" i="135"/>
  <c r="L3" i="135"/>
  <c r="K3" i="135"/>
  <c r="J3" i="135"/>
  <c r="I3" i="135"/>
  <c r="H3" i="135"/>
  <c r="F3" i="135"/>
  <c r="E3" i="135"/>
  <c r="D3" i="135"/>
  <c r="C3" i="135"/>
  <c r="O2" i="135"/>
  <c r="N2" i="135"/>
  <c r="M2" i="135"/>
  <c r="L2" i="135"/>
  <c r="K2" i="135"/>
  <c r="J2" i="135"/>
  <c r="J12" i="135" s="1"/>
  <c r="I2" i="135"/>
  <c r="I12" i="135" s="1"/>
  <c r="H2" i="135"/>
  <c r="F2" i="135"/>
  <c r="E2" i="135"/>
  <c r="D2" i="135"/>
  <c r="C2" i="135"/>
  <c r="F13" i="134"/>
  <c r="E13" i="134"/>
  <c r="F12" i="134"/>
  <c r="E12" i="134"/>
  <c r="F11" i="134"/>
  <c r="E11" i="134"/>
  <c r="F10" i="134"/>
  <c r="E10" i="134"/>
  <c r="F9" i="134"/>
  <c r="E9" i="134"/>
  <c r="F8" i="134"/>
  <c r="E8" i="134"/>
  <c r="F7" i="134"/>
  <c r="E7" i="134"/>
  <c r="O6" i="134"/>
  <c r="N6" i="134"/>
  <c r="M6" i="134"/>
  <c r="L6" i="134"/>
  <c r="K6" i="134"/>
  <c r="J6" i="134"/>
  <c r="I6" i="134"/>
  <c r="H6" i="134"/>
  <c r="F6" i="134"/>
  <c r="E6" i="134"/>
  <c r="D6" i="134"/>
  <c r="C6" i="134"/>
  <c r="O5" i="134"/>
  <c r="N5" i="134"/>
  <c r="M5" i="134"/>
  <c r="L5" i="134"/>
  <c r="K5" i="134"/>
  <c r="J5" i="134"/>
  <c r="I5" i="134"/>
  <c r="H5" i="134"/>
  <c r="F5" i="134"/>
  <c r="E5" i="134"/>
  <c r="D5" i="134"/>
  <c r="C5" i="134"/>
  <c r="O4" i="134"/>
  <c r="N4" i="134"/>
  <c r="M4" i="134"/>
  <c r="L4" i="134"/>
  <c r="K4" i="134"/>
  <c r="J4" i="134"/>
  <c r="I4" i="134"/>
  <c r="H4" i="134"/>
  <c r="F4" i="134"/>
  <c r="E4" i="134"/>
  <c r="D4" i="134"/>
  <c r="C4" i="134"/>
  <c r="O3" i="134"/>
  <c r="N3" i="134"/>
  <c r="M3" i="134"/>
  <c r="L3" i="134"/>
  <c r="K3" i="134"/>
  <c r="J3" i="134"/>
  <c r="I3" i="134"/>
  <c r="H3" i="134"/>
  <c r="F3" i="134"/>
  <c r="E3" i="134"/>
  <c r="D3" i="134"/>
  <c r="C3" i="134"/>
  <c r="O2" i="134"/>
  <c r="N2" i="134"/>
  <c r="M2" i="134"/>
  <c r="L2" i="134"/>
  <c r="K2" i="134"/>
  <c r="K15" i="134" s="1"/>
  <c r="J2" i="134"/>
  <c r="I2" i="134"/>
  <c r="H2" i="134"/>
  <c r="F2" i="134"/>
  <c r="E2" i="134"/>
  <c r="D2" i="134"/>
  <c r="C2" i="134"/>
  <c r="F4" i="133"/>
  <c r="E4" i="133"/>
  <c r="D4" i="133"/>
  <c r="C4" i="133"/>
  <c r="F3" i="133"/>
  <c r="E3" i="133"/>
  <c r="D3" i="133"/>
  <c r="C3" i="133"/>
  <c r="F2" i="133"/>
  <c r="E2" i="133"/>
  <c r="D2" i="133"/>
  <c r="C2" i="133"/>
  <c r="E13" i="132"/>
  <c r="F12" i="132"/>
  <c r="E12" i="132"/>
  <c r="F11" i="132"/>
  <c r="E11" i="132"/>
  <c r="F10" i="132"/>
  <c r="E10" i="132"/>
  <c r="F9" i="132"/>
  <c r="E9" i="132"/>
  <c r="F8" i="132"/>
  <c r="E8" i="132"/>
  <c r="F7" i="132"/>
  <c r="E7" i="132"/>
  <c r="F6" i="132"/>
  <c r="E6" i="132"/>
  <c r="F5" i="132"/>
  <c r="E5" i="132"/>
  <c r="O4" i="132"/>
  <c r="N4" i="132"/>
  <c r="M4" i="132"/>
  <c r="L4" i="132"/>
  <c r="K4" i="132"/>
  <c r="J4" i="132"/>
  <c r="I4" i="132"/>
  <c r="H4" i="132"/>
  <c r="F4" i="132"/>
  <c r="E4" i="132"/>
  <c r="D4" i="132"/>
  <c r="C4" i="132"/>
  <c r="F3" i="132"/>
  <c r="E3" i="132"/>
  <c r="D3" i="132"/>
  <c r="C3" i="132"/>
  <c r="O2" i="132"/>
  <c r="O15" i="132" s="1"/>
  <c r="N2" i="132"/>
  <c r="N15" i="132" s="1"/>
  <c r="M2" i="132"/>
  <c r="M15" i="132" s="1"/>
  <c r="L2" i="132"/>
  <c r="L15" i="132" s="1"/>
  <c r="K2" i="132"/>
  <c r="K15" i="132" s="1"/>
  <c r="J2" i="132"/>
  <c r="J15" i="132" s="1"/>
  <c r="I2" i="132"/>
  <c r="H2" i="132"/>
  <c r="H15" i="132" s="1"/>
  <c r="F2" i="132"/>
  <c r="E2" i="132"/>
  <c r="D2" i="132"/>
  <c r="C2" i="132"/>
  <c r="F40" i="131"/>
  <c r="E40" i="131"/>
  <c r="F39" i="131"/>
  <c r="E39" i="131"/>
  <c r="F38" i="131"/>
  <c r="E38" i="131"/>
  <c r="F37" i="131"/>
  <c r="E37" i="131"/>
  <c r="F36" i="131"/>
  <c r="E36" i="131"/>
  <c r="F35" i="131"/>
  <c r="E35" i="131"/>
  <c r="F34" i="131"/>
  <c r="E34" i="131"/>
  <c r="F33" i="131"/>
  <c r="E33" i="131"/>
  <c r="F32" i="131"/>
  <c r="E32" i="131"/>
  <c r="F31" i="131"/>
  <c r="E31" i="131"/>
  <c r="F30" i="131"/>
  <c r="E30" i="131"/>
  <c r="F29" i="131"/>
  <c r="E29" i="131"/>
  <c r="F28" i="131"/>
  <c r="E28" i="131"/>
  <c r="F27" i="131"/>
  <c r="E27" i="131"/>
  <c r="F26" i="131"/>
  <c r="E26" i="131"/>
  <c r="F25" i="131"/>
  <c r="E25" i="131"/>
  <c r="F24" i="131"/>
  <c r="E24" i="131"/>
  <c r="F23" i="131"/>
  <c r="E23" i="131"/>
  <c r="F22" i="131"/>
  <c r="E22" i="131"/>
  <c r="F21" i="131"/>
  <c r="E21" i="131"/>
  <c r="F20" i="131"/>
  <c r="E20" i="131"/>
  <c r="F19" i="131"/>
  <c r="E19" i="131"/>
  <c r="F18" i="131"/>
  <c r="E18" i="131"/>
  <c r="F17" i="131"/>
  <c r="E17" i="131"/>
  <c r="F16" i="131"/>
  <c r="E16" i="131"/>
  <c r="F15" i="131"/>
  <c r="E15" i="131"/>
  <c r="F14" i="131"/>
  <c r="E14" i="131"/>
  <c r="F13" i="131"/>
  <c r="E13" i="131"/>
  <c r="F12" i="131"/>
  <c r="E12" i="131"/>
  <c r="F11" i="131"/>
  <c r="E11" i="131"/>
  <c r="F10" i="131"/>
  <c r="E10" i="131"/>
  <c r="O9" i="131"/>
  <c r="N9" i="131"/>
  <c r="M9" i="131"/>
  <c r="L9" i="131"/>
  <c r="K9" i="131"/>
  <c r="J9" i="131"/>
  <c r="I9" i="131"/>
  <c r="H9" i="131"/>
  <c r="F9" i="131"/>
  <c r="E9" i="131"/>
  <c r="D9" i="131"/>
  <c r="C9" i="131"/>
  <c r="F8" i="131"/>
  <c r="E8" i="131"/>
  <c r="D8" i="131"/>
  <c r="C8" i="131"/>
  <c r="O7" i="131"/>
  <c r="N7" i="131"/>
  <c r="M7" i="131"/>
  <c r="L7" i="131"/>
  <c r="K7" i="131"/>
  <c r="J7" i="131"/>
  <c r="I7" i="131"/>
  <c r="H7" i="131"/>
  <c r="F7" i="131"/>
  <c r="E7" i="131"/>
  <c r="D7" i="131"/>
  <c r="C7" i="131"/>
  <c r="O6" i="131"/>
  <c r="N6" i="131"/>
  <c r="M6" i="131"/>
  <c r="L6" i="131"/>
  <c r="K6" i="131"/>
  <c r="J6" i="131"/>
  <c r="I6" i="131"/>
  <c r="H6" i="131"/>
  <c r="F6" i="131"/>
  <c r="E6" i="131"/>
  <c r="D6" i="131"/>
  <c r="C6" i="131"/>
  <c r="O5" i="131"/>
  <c r="N5" i="131"/>
  <c r="M5" i="131"/>
  <c r="L5" i="131"/>
  <c r="K5" i="131"/>
  <c r="J5" i="131"/>
  <c r="I5" i="131"/>
  <c r="H5" i="131"/>
  <c r="F5" i="131"/>
  <c r="E5" i="131"/>
  <c r="D5" i="131"/>
  <c r="C5" i="131"/>
  <c r="O4" i="131"/>
  <c r="N4" i="131"/>
  <c r="M4" i="131"/>
  <c r="L4" i="131"/>
  <c r="K4" i="131"/>
  <c r="J4" i="131"/>
  <c r="I4" i="131"/>
  <c r="H4" i="131"/>
  <c r="F4" i="131"/>
  <c r="E4" i="131"/>
  <c r="D4" i="131"/>
  <c r="C4" i="131"/>
  <c r="O3" i="131"/>
  <c r="N3" i="131"/>
  <c r="M3" i="131"/>
  <c r="L3" i="131"/>
  <c r="K3" i="131"/>
  <c r="J3" i="131"/>
  <c r="I3" i="131"/>
  <c r="H3" i="131"/>
  <c r="F3" i="131"/>
  <c r="E3" i="131"/>
  <c r="D3" i="131"/>
  <c r="C3" i="131"/>
  <c r="O2" i="131"/>
  <c r="N2" i="131"/>
  <c r="M2" i="131"/>
  <c r="L2" i="131"/>
  <c r="K2" i="131"/>
  <c r="J2" i="131"/>
  <c r="J42" i="131" s="1"/>
  <c r="I2" i="131"/>
  <c r="H2" i="131"/>
  <c r="F2" i="131"/>
  <c r="E2" i="131"/>
  <c r="D2" i="131"/>
  <c r="C2" i="131"/>
  <c r="F4" i="130"/>
  <c r="E4" i="130"/>
  <c r="O3" i="130"/>
  <c r="N3" i="130"/>
  <c r="M3" i="130"/>
  <c r="L3" i="130"/>
  <c r="K3" i="130"/>
  <c r="J3" i="130"/>
  <c r="I3" i="130"/>
  <c r="H3" i="130"/>
  <c r="F3" i="130"/>
  <c r="E3" i="130"/>
  <c r="D3" i="130"/>
  <c r="C3" i="130"/>
  <c r="O2" i="130"/>
  <c r="N2" i="130"/>
  <c r="M2" i="130"/>
  <c r="M6" i="130" s="1"/>
  <c r="L2" i="130"/>
  <c r="L6" i="130" s="1"/>
  <c r="K2" i="130"/>
  <c r="J2" i="130"/>
  <c r="I2" i="130"/>
  <c r="H2" i="130"/>
  <c r="F2" i="130"/>
  <c r="E2" i="130"/>
  <c r="D2" i="130"/>
  <c r="C2" i="130"/>
  <c r="E84" i="129"/>
  <c r="E83" i="129"/>
  <c r="F82" i="129"/>
  <c r="E82" i="129"/>
  <c r="F81" i="129"/>
  <c r="E81" i="129"/>
  <c r="F80" i="129"/>
  <c r="E80" i="129"/>
  <c r="F79" i="129"/>
  <c r="E79" i="129"/>
  <c r="F78" i="129"/>
  <c r="E78" i="129"/>
  <c r="F77" i="129"/>
  <c r="E77" i="129"/>
  <c r="F76" i="129"/>
  <c r="E76" i="129"/>
  <c r="F75" i="129"/>
  <c r="E75" i="129"/>
  <c r="F74" i="129"/>
  <c r="E74" i="129"/>
  <c r="F73" i="129"/>
  <c r="E73" i="129"/>
  <c r="F72" i="129"/>
  <c r="E72" i="129"/>
  <c r="F71" i="129"/>
  <c r="E71" i="129"/>
  <c r="F70" i="129"/>
  <c r="E70" i="129"/>
  <c r="F69" i="129"/>
  <c r="E69" i="129"/>
  <c r="F68" i="129"/>
  <c r="E68" i="129"/>
  <c r="F67" i="129"/>
  <c r="E67" i="129"/>
  <c r="F66" i="129"/>
  <c r="E66" i="129"/>
  <c r="F65" i="129"/>
  <c r="E65" i="129"/>
  <c r="F64" i="129"/>
  <c r="E64" i="129"/>
  <c r="F63" i="129"/>
  <c r="E63" i="129"/>
  <c r="F62" i="129"/>
  <c r="E62" i="129"/>
  <c r="F61" i="129"/>
  <c r="E61" i="129"/>
  <c r="F60" i="129"/>
  <c r="E60" i="129"/>
  <c r="F59" i="129"/>
  <c r="E59" i="129"/>
  <c r="F58" i="129"/>
  <c r="E58" i="129"/>
  <c r="F57" i="129"/>
  <c r="E57" i="129"/>
  <c r="F56" i="129"/>
  <c r="E56" i="129"/>
  <c r="F55" i="129"/>
  <c r="E55" i="129"/>
  <c r="F54" i="129"/>
  <c r="E54" i="129"/>
  <c r="F53" i="129"/>
  <c r="E53" i="129"/>
  <c r="F52" i="129"/>
  <c r="E52" i="129"/>
  <c r="F51" i="129"/>
  <c r="E51" i="129"/>
  <c r="F50" i="129"/>
  <c r="E50" i="129"/>
  <c r="F49" i="129"/>
  <c r="E49" i="129"/>
  <c r="F48" i="129"/>
  <c r="E48" i="129"/>
  <c r="F47" i="129"/>
  <c r="E47" i="129"/>
  <c r="F46" i="129"/>
  <c r="E46" i="129"/>
  <c r="F45" i="129"/>
  <c r="E45" i="129"/>
  <c r="F44" i="129"/>
  <c r="E44" i="129"/>
  <c r="F43" i="129"/>
  <c r="E43" i="129"/>
  <c r="F42" i="129"/>
  <c r="E42" i="129"/>
  <c r="F41" i="129"/>
  <c r="E41" i="129"/>
  <c r="F40" i="129"/>
  <c r="E40" i="129"/>
  <c r="F39" i="129"/>
  <c r="E39" i="129"/>
  <c r="F38" i="129"/>
  <c r="E38" i="129"/>
  <c r="F37" i="129"/>
  <c r="E37" i="129"/>
  <c r="F36" i="129"/>
  <c r="E36" i="129"/>
  <c r="F35" i="129"/>
  <c r="E35" i="129"/>
  <c r="F34" i="129"/>
  <c r="E34" i="129"/>
  <c r="F33" i="129"/>
  <c r="E33" i="129"/>
  <c r="F32" i="129"/>
  <c r="E32" i="129"/>
  <c r="F31" i="129"/>
  <c r="E31" i="129"/>
  <c r="F30" i="129"/>
  <c r="E30" i="129"/>
  <c r="F29" i="129"/>
  <c r="E29" i="129"/>
  <c r="F28" i="129"/>
  <c r="E28" i="129"/>
  <c r="F27" i="129"/>
  <c r="E27" i="129"/>
  <c r="F26" i="129"/>
  <c r="E26" i="129"/>
  <c r="F25" i="129"/>
  <c r="E25" i="129"/>
  <c r="F24" i="129"/>
  <c r="E24" i="129"/>
  <c r="F23" i="129"/>
  <c r="E23" i="129"/>
  <c r="F22" i="129"/>
  <c r="E22" i="129"/>
  <c r="F21" i="129"/>
  <c r="E21" i="129"/>
  <c r="F20" i="129"/>
  <c r="E20" i="129"/>
  <c r="F19" i="129"/>
  <c r="E19" i="129"/>
  <c r="F18" i="129"/>
  <c r="E18" i="129"/>
  <c r="F17" i="129"/>
  <c r="E17" i="129"/>
  <c r="O16" i="129"/>
  <c r="N16" i="129"/>
  <c r="M16" i="129"/>
  <c r="L16" i="129"/>
  <c r="K16" i="129"/>
  <c r="J16" i="129"/>
  <c r="I16" i="129"/>
  <c r="H16" i="129"/>
  <c r="F16" i="129"/>
  <c r="E16" i="129"/>
  <c r="D16" i="129"/>
  <c r="C16" i="129"/>
  <c r="O15" i="129"/>
  <c r="N15" i="129"/>
  <c r="M15" i="129"/>
  <c r="L15" i="129"/>
  <c r="K15" i="129"/>
  <c r="J15" i="129"/>
  <c r="I15" i="129"/>
  <c r="H15" i="129"/>
  <c r="F15" i="129"/>
  <c r="E15" i="129"/>
  <c r="D15" i="129"/>
  <c r="C15" i="129"/>
  <c r="O14" i="129"/>
  <c r="N14" i="129"/>
  <c r="M14" i="129"/>
  <c r="L14" i="129"/>
  <c r="K14" i="129"/>
  <c r="J14" i="129"/>
  <c r="I14" i="129"/>
  <c r="H14" i="129"/>
  <c r="F14" i="129"/>
  <c r="E14" i="129"/>
  <c r="D14" i="129"/>
  <c r="C14" i="129"/>
  <c r="O13" i="129"/>
  <c r="N13" i="129"/>
  <c r="M13" i="129"/>
  <c r="L13" i="129"/>
  <c r="K13" i="129"/>
  <c r="J13" i="129"/>
  <c r="I13" i="129"/>
  <c r="H13" i="129"/>
  <c r="F13" i="129"/>
  <c r="E13" i="129"/>
  <c r="D13" i="129"/>
  <c r="C13" i="129"/>
  <c r="O12" i="129"/>
  <c r="N12" i="129"/>
  <c r="M12" i="129"/>
  <c r="L12" i="129"/>
  <c r="K12" i="129"/>
  <c r="J12" i="129"/>
  <c r="I12" i="129"/>
  <c r="H12" i="129"/>
  <c r="F12" i="129"/>
  <c r="E12" i="129"/>
  <c r="D12" i="129"/>
  <c r="C12" i="129"/>
  <c r="O11" i="129"/>
  <c r="N11" i="129"/>
  <c r="M11" i="129"/>
  <c r="L11" i="129"/>
  <c r="K11" i="129"/>
  <c r="J11" i="129"/>
  <c r="I11" i="129"/>
  <c r="H11" i="129"/>
  <c r="F11" i="129"/>
  <c r="E11" i="129"/>
  <c r="D11" i="129"/>
  <c r="C11" i="129"/>
  <c r="O10" i="129"/>
  <c r="N10" i="129"/>
  <c r="M10" i="129"/>
  <c r="L10" i="129"/>
  <c r="K10" i="129"/>
  <c r="J10" i="129"/>
  <c r="I10" i="129"/>
  <c r="H10" i="129"/>
  <c r="F10" i="129"/>
  <c r="E10" i="129"/>
  <c r="D10" i="129"/>
  <c r="C10" i="129"/>
  <c r="O9" i="129"/>
  <c r="N9" i="129"/>
  <c r="M9" i="129"/>
  <c r="L9" i="129"/>
  <c r="K9" i="129"/>
  <c r="J9" i="129"/>
  <c r="I9" i="129"/>
  <c r="H9" i="129"/>
  <c r="F9" i="129"/>
  <c r="E9" i="129"/>
  <c r="D9" i="129"/>
  <c r="C9" i="129"/>
  <c r="O8" i="129"/>
  <c r="N8" i="129"/>
  <c r="M8" i="129"/>
  <c r="L8" i="129"/>
  <c r="K8" i="129"/>
  <c r="J8" i="129"/>
  <c r="I8" i="129"/>
  <c r="H8" i="129"/>
  <c r="F8" i="129"/>
  <c r="E8" i="129"/>
  <c r="D8" i="129"/>
  <c r="C8" i="129"/>
  <c r="O7" i="129"/>
  <c r="N7" i="129"/>
  <c r="M7" i="129"/>
  <c r="L7" i="129"/>
  <c r="K7" i="129"/>
  <c r="J7" i="129"/>
  <c r="I7" i="129"/>
  <c r="H7" i="129"/>
  <c r="F7" i="129"/>
  <c r="E7" i="129"/>
  <c r="D7" i="129"/>
  <c r="C7" i="129"/>
  <c r="F6" i="129"/>
  <c r="E6" i="129"/>
  <c r="D6" i="129"/>
  <c r="C6" i="129"/>
  <c r="O5" i="129"/>
  <c r="N5" i="129"/>
  <c r="M5" i="129"/>
  <c r="L5" i="129"/>
  <c r="K5" i="129"/>
  <c r="J5" i="129"/>
  <c r="I5" i="129"/>
  <c r="H5" i="129"/>
  <c r="F5" i="129"/>
  <c r="E5" i="129"/>
  <c r="D5" i="129"/>
  <c r="C5" i="129"/>
  <c r="O4" i="129"/>
  <c r="N4" i="129"/>
  <c r="M4" i="129"/>
  <c r="L4" i="129"/>
  <c r="K4" i="129"/>
  <c r="J4" i="129"/>
  <c r="I4" i="129"/>
  <c r="H4" i="129"/>
  <c r="F4" i="129"/>
  <c r="E4" i="129"/>
  <c r="D4" i="129"/>
  <c r="C4" i="129"/>
  <c r="O3" i="129"/>
  <c r="N3" i="129"/>
  <c r="M3" i="129"/>
  <c r="L3" i="129"/>
  <c r="K3" i="129"/>
  <c r="J3" i="129"/>
  <c r="I3" i="129"/>
  <c r="H3" i="129"/>
  <c r="F3" i="129"/>
  <c r="E3" i="129"/>
  <c r="D3" i="129"/>
  <c r="C3" i="129"/>
  <c r="O2" i="129"/>
  <c r="O86" i="129" s="1"/>
  <c r="T86" i="129" s="1"/>
  <c r="N2" i="129"/>
  <c r="M2" i="129"/>
  <c r="M86" i="129" s="1"/>
  <c r="L2" i="129"/>
  <c r="K2" i="129"/>
  <c r="J2" i="129"/>
  <c r="I2" i="129"/>
  <c r="H2" i="129"/>
  <c r="F2" i="129"/>
  <c r="E2" i="129"/>
  <c r="D2" i="129"/>
  <c r="C2" i="129"/>
  <c r="O7" i="128"/>
  <c r="N7" i="128"/>
  <c r="M7" i="128"/>
  <c r="L7" i="128"/>
  <c r="K7" i="128"/>
  <c r="J7" i="128"/>
  <c r="I7" i="128"/>
  <c r="H7" i="128"/>
  <c r="F7" i="128"/>
  <c r="E7" i="128"/>
  <c r="D7" i="128"/>
  <c r="C7" i="128"/>
  <c r="O6" i="128"/>
  <c r="N6" i="128"/>
  <c r="M6" i="128"/>
  <c r="L6" i="128"/>
  <c r="K6" i="128"/>
  <c r="J6" i="128"/>
  <c r="I6" i="128"/>
  <c r="H6" i="128"/>
  <c r="F6" i="128"/>
  <c r="E6" i="128"/>
  <c r="D6" i="128"/>
  <c r="C6" i="128"/>
  <c r="O5" i="128"/>
  <c r="N5" i="128"/>
  <c r="M5" i="128"/>
  <c r="L5" i="128"/>
  <c r="K5" i="128"/>
  <c r="J5" i="128"/>
  <c r="I5" i="128"/>
  <c r="H5" i="128"/>
  <c r="F5" i="128"/>
  <c r="E5" i="128"/>
  <c r="D5" i="128"/>
  <c r="C5" i="128"/>
  <c r="O4" i="128"/>
  <c r="N4" i="128"/>
  <c r="M4" i="128"/>
  <c r="L4" i="128"/>
  <c r="K4" i="128"/>
  <c r="J4" i="128"/>
  <c r="I4" i="128"/>
  <c r="H4" i="128"/>
  <c r="F4" i="128"/>
  <c r="E4" i="128"/>
  <c r="D4" i="128"/>
  <c r="C4" i="128"/>
  <c r="O3" i="128"/>
  <c r="N3" i="128"/>
  <c r="M3" i="128"/>
  <c r="L3" i="128"/>
  <c r="K3" i="128"/>
  <c r="K9" i="128" s="1"/>
  <c r="J3" i="128"/>
  <c r="I3" i="128"/>
  <c r="H3" i="128"/>
  <c r="F3" i="128"/>
  <c r="E3" i="128"/>
  <c r="D3" i="128"/>
  <c r="C3" i="128"/>
  <c r="O2" i="128"/>
  <c r="O9" i="128" s="1"/>
  <c r="N2" i="128"/>
  <c r="M2" i="128"/>
  <c r="M9" i="128" s="1"/>
  <c r="L2" i="128"/>
  <c r="K2" i="128"/>
  <c r="J2" i="128"/>
  <c r="I2" i="128"/>
  <c r="I9" i="128" s="1"/>
  <c r="H2" i="128"/>
  <c r="F2" i="128"/>
  <c r="E2" i="128"/>
  <c r="D2" i="128"/>
  <c r="C2" i="128"/>
  <c r="F5" i="127"/>
  <c r="E5" i="127"/>
  <c r="F4" i="127"/>
  <c r="E4" i="127"/>
  <c r="F3" i="127"/>
  <c r="E3" i="127"/>
  <c r="O2" i="127"/>
  <c r="O7" i="127" s="1"/>
  <c r="N2" i="127"/>
  <c r="N7" i="127" s="1"/>
  <c r="M2" i="127"/>
  <c r="M7" i="127" s="1"/>
  <c r="L2" i="127"/>
  <c r="L7" i="127" s="1"/>
  <c r="K2" i="127"/>
  <c r="K7" i="127" s="1"/>
  <c r="J2" i="127"/>
  <c r="J7" i="127" s="1"/>
  <c r="I2" i="127"/>
  <c r="I7" i="127" s="1"/>
  <c r="H2" i="127"/>
  <c r="H7" i="127" s="1"/>
  <c r="F2" i="127"/>
  <c r="E2" i="127"/>
  <c r="D2" i="127"/>
  <c r="C2" i="127"/>
  <c r="F10" i="126"/>
  <c r="E10" i="126"/>
  <c r="F9" i="126"/>
  <c r="E9" i="126"/>
  <c r="F8" i="126"/>
  <c r="E8" i="126"/>
  <c r="F7" i="126"/>
  <c r="E7" i="126"/>
  <c r="F6" i="126"/>
  <c r="E6" i="126"/>
  <c r="F5" i="126"/>
  <c r="E5" i="126"/>
  <c r="F4" i="126"/>
  <c r="E4" i="126"/>
  <c r="O3" i="126"/>
  <c r="O12" i="126" s="1"/>
  <c r="N3" i="126"/>
  <c r="M3" i="126"/>
  <c r="M12" i="126" s="1"/>
  <c r="L3" i="126"/>
  <c r="K3" i="126"/>
  <c r="J3" i="126"/>
  <c r="I3" i="126"/>
  <c r="H3" i="126"/>
  <c r="F3" i="126"/>
  <c r="E3" i="126"/>
  <c r="D3" i="126"/>
  <c r="C3" i="126"/>
  <c r="O2" i="126"/>
  <c r="N2" i="126"/>
  <c r="M2" i="126"/>
  <c r="L2" i="126"/>
  <c r="K2" i="126"/>
  <c r="K12" i="126" s="1"/>
  <c r="J2" i="126"/>
  <c r="I2" i="126"/>
  <c r="I12" i="126" s="1"/>
  <c r="H2" i="126"/>
  <c r="F2" i="126"/>
  <c r="E2" i="126"/>
  <c r="D2" i="126"/>
  <c r="C2" i="126"/>
  <c r="F12" i="125"/>
  <c r="E12" i="125"/>
  <c r="F11" i="125"/>
  <c r="E11" i="125"/>
  <c r="F10" i="125"/>
  <c r="E10" i="125"/>
  <c r="F9" i="125"/>
  <c r="E9" i="125"/>
  <c r="F8" i="125"/>
  <c r="E8" i="125"/>
  <c r="F7" i="125"/>
  <c r="E7" i="125"/>
  <c r="F6" i="125"/>
  <c r="E6" i="125"/>
  <c r="O5" i="125"/>
  <c r="N5" i="125"/>
  <c r="M5" i="125"/>
  <c r="L5" i="125"/>
  <c r="K5" i="125"/>
  <c r="J5" i="125"/>
  <c r="I5" i="125"/>
  <c r="H5" i="125"/>
  <c r="F5" i="125"/>
  <c r="E5" i="125"/>
  <c r="D5" i="125"/>
  <c r="C5" i="125"/>
  <c r="O4" i="125"/>
  <c r="N4" i="125"/>
  <c r="M4" i="125"/>
  <c r="L4" i="125"/>
  <c r="K4" i="125"/>
  <c r="J4" i="125"/>
  <c r="I4" i="125"/>
  <c r="H4" i="125"/>
  <c r="F4" i="125"/>
  <c r="E4" i="125"/>
  <c r="D4" i="125"/>
  <c r="C4" i="125"/>
  <c r="O3" i="125"/>
  <c r="N3" i="125"/>
  <c r="M3" i="125"/>
  <c r="L3" i="125"/>
  <c r="K3" i="125"/>
  <c r="J3" i="125"/>
  <c r="I3" i="125"/>
  <c r="H3" i="125"/>
  <c r="F3" i="125"/>
  <c r="E3" i="125"/>
  <c r="D3" i="125"/>
  <c r="C3" i="125"/>
  <c r="O2" i="125"/>
  <c r="O14" i="125" s="1"/>
  <c r="N2" i="125"/>
  <c r="M2" i="125"/>
  <c r="L2" i="125"/>
  <c r="K2" i="125"/>
  <c r="J2" i="125"/>
  <c r="I2" i="125"/>
  <c r="I14" i="125" s="1"/>
  <c r="H2" i="125"/>
  <c r="F2" i="125"/>
  <c r="E2" i="125"/>
  <c r="D2" i="125"/>
  <c r="C2" i="125"/>
  <c r="E32" i="124"/>
  <c r="E31" i="124"/>
  <c r="E30" i="124"/>
  <c r="F29" i="124"/>
  <c r="E29" i="124"/>
  <c r="F28" i="124"/>
  <c r="E28" i="124"/>
  <c r="F27" i="124"/>
  <c r="E27" i="124"/>
  <c r="F26" i="124"/>
  <c r="E26" i="124"/>
  <c r="F25" i="124"/>
  <c r="E25" i="124"/>
  <c r="F24" i="124"/>
  <c r="E24" i="124"/>
  <c r="F23" i="124"/>
  <c r="E23" i="124"/>
  <c r="F22" i="124"/>
  <c r="E22" i="124"/>
  <c r="F21" i="124"/>
  <c r="E21" i="124"/>
  <c r="F20" i="124"/>
  <c r="E20" i="124"/>
  <c r="F19" i="124"/>
  <c r="E19" i="124"/>
  <c r="F18" i="124"/>
  <c r="E18" i="124"/>
  <c r="F17" i="124"/>
  <c r="E17" i="124"/>
  <c r="F16" i="124"/>
  <c r="E16" i="124"/>
  <c r="F15" i="124"/>
  <c r="E15" i="124"/>
  <c r="F14" i="124"/>
  <c r="E14" i="124"/>
  <c r="F13" i="124"/>
  <c r="E13" i="124"/>
  <c r="F12" i="124"/>
  <c r="E12" i="124"/>
  <c r="F11" i="124"/>
  <c r="E11" i="124"/>
  <c r="F10" i="124"/>
  <c r="E10" i="124"/>
  <c r="F9" i="124"/>
  <c r="E9" i="124"/>
  <c r="F8" i="124"/>
  <c r="E8" i="124"/>
  <c r="O7" i="124"/>
  <c r="N7" i="124"/>
  <c r="M7" i="124"/>
  <c r="L7" i="124"/>
  <c r="K7" i="124"/>
  <c r="J7" i="124"/>
  <c r="I7" i="124"/>
  <c r="H7" i="124"/>
  <c r="F7" i="124"/>
  <c r="E7" i="124"/>
  <c r="D7" i="124"/>
  <c r="C7" i="124"/>
  <c r="F6" i="124"/>
  <c r="E6" i="124"/>
  <c r="D6" i="124"/>
  <c r="C6" i="124"/>
  <c r="O5" i="124"/>
  <c r="N5" i="124"/>
  <c r="M5" i="124"/>
  <c r="L5" i="124"/>
  <c r="K5" i="124"/>
  <c r="J5" i="124"/>
  <c r="I5" i="124"/>
  <c r="H5" i="124"/>
  <c r="F5" i="124"/>
  <c r="E5" i="124"/>
  <c r="D5" i="124"/>
  <c r="C5" i="124"/>
  <c r="O4" i="124"/>
  <c r="N4" i="124"/>
  <c r="M4" i="124"/>
  <c r="L4" i="124"/>
  <c r="K4" i="124"/>
  <c r="J4" i="124"/>
  <c r="I4" i="124"/>
  <c r="H4" i="124"/>
  <c r="F4" i="124"/>
  <c r="E4" i="124"/>
  <c r="D4" i="124"/>
  <c r="C4" i="124"/>
  <c r="O3" i="124"/>
  <c r="N3" i="124"/>
  <c r="M3" i="124"/>
  <c r="L3" i="124"/>
  <c r="K3" i="124"/>
  <c r="J3" i="124"/>
  <c r="I3" i="124"/>
  <c r="H3" i="124"/>
  <c r="F3" i="124"/>
  <c r="E3" i="124"/>
  <c r="D3" i="124"/>
  <c r="C3" i="124"/>
  <c r="O2" i="124"/>
  <c r="O34" i="124" s="1"/>
  <c r="N2" i="124"/>
  <c r="M2" i="124"/>
  <c r="L2" i="124"/>
  <c r="K2" i="124"/>
  <c r="J2" i="124"/>
  <c r="I2" i="124"/>
  <c r="H2" i="124"/>
  <c r="F2" i="124"/>
  <c r="E2" i="124"/>
  <c r="D2" i="124"/>
  <c r="C2" i="124"/>
  <c r="F38" i="123"/>
  <c r="E38" i="123"/>
  <c r="F37" i="123"/>
  <c r="E37" i="123"/>
  <c r="F36" i="123"/>
  <c r="E36" i="123"/>
  <c r="F35" i="123"/>
  <c r="E35" i="123"/>
  <c r="F34" i="123"/>
  <c r="E34" i="123"/>
  <c r="F33" i="123"/>
  <c r="E33" i="123"/>
  <c r="F32" i="123"/>
  <c r="E32" i="123"/>
  <c r="F31" i="123"/>
  <c r="E31" i="123"/>
  <c r="F30" i="123"/>
  <c r="E30" i="123"/>
  <c r="F29" i="123"/>
  <c r="E29" i="123"/>
  <c r="F28" i="123"/>
  <c r="E28" i="123"/>
  <c r="F27" i="123"/>
  <c r="E27" i="123"/>
  <c r="F26" i="123"/>
  <c r="E26" i="123"/>
  <c r="F25" i="123"/>
  <c r="E25" i="123"/>
  <c r="O24" i="123"/>
  <c r="N24" i="123"/>
  <c r="M24" i="123"/>
  <c r="L24" i="123"/>
  <c r="K24" i="123"/>
  <c r="J24" i="123"/>
  <c r="I24" i="123"/>
  <c r="H24" i="123"/>
  <c r="F24" i="123"/>
  <c r="E24" i="123"/>
  <c r="D24" i="123"/>
  <c r="C24" i="123"/>
  <c r="O23" i="123"/>
  <c r="N23" i="123"/>
  <c r="M23" i="123"/>
  <c r="L23" i="123"/>
  <c r="K23" i="123"/>
  <c r="J23" i="123"/>
  <c r="I23" i="123"/>
  <c r="H23" i="123"/>
  <c r="F23" i="123"/>
  <c r="E23" i="123"/>
  <c r="D23" i="123"/>
  <c r="C23" i="123"/>
  <c r="O22" i="123"/>
  <c r="N22" i="123"/>
  <c r="M22" i="123"/>
  <c r="L22" i="123"/>
  <c r="K22" i="123"/>
  <c r="J22" i="123"/>
  <c r="I22" i="123"/>
  <c r="H22" i="123"/>
  <c r="F22" i="123"/>
  <c r="E22" i="123"/>
  <c r="D22" i="123"/>
  <c r="C22" i="123"/>
  <c r="O21" i="123"/>
  <c r="N21" i="123"/>
  <c r="M21" i="123"/>
  <c r="L21" i="123"/>
  <c r="K21" i="123"/>
  <c r="J21" i="123"/>
  <c r="I21" i="123"/>
  <c r="H21" i="123"/>
  <c r="F21" i="123"/>
  <c r="E21" i="123"/>
  <c r="D21" i="123"/>
  <c r="C21" i="123"/>
  <c r="F20" i="123"/>
  <c r="E20" i="123"/>
  <c r="D20" i="123"/>
  <c r="C20" i="123"/>
  <c r="O19" i="123"/>
  <c r="N19" i="123"/>
  <c r="M19" i="123"/>
  <c r="L19" i="123"/>
  <c r="K19" i="123"/>
  <c r="J19" i="123"/>
  <c r="I19" i="123"/>
  <c r="H19" i="123"/>
  <c r="F19" i="123"/>
  <c r="E19" i="123"/>
  <c r="D19" i="123"/>
  <c r="C19" i="123"/>
  <c r="O18" i="123"/>
  <c r="N18" i="123"/>
  <c r="M18" i="123"/>
  <c r="L18" i="123"/>
  <c r="K18" i="123"/>
  <c r="J18" i="123"/>
  <c r="I18" i="123"/>
  <c r="H18" i="123"/>
  <c r="F18" i="123"/>
  <c r="E18" i="123"/>
  <c r="D18" i="123"/>
  <c r="C18" i="123"/>
  <c r="O17" i="123"/>
  <c r="N17" i="123"/>
  <c r="M17" i="123"/>
  <c r="L17" i="123"/>
  <c r="K17" i="123"/>
  <c r="J17" i="123"/>
  <c r="I17" i="123"/>
  <c r="H17" i="123"/>
  <c r="F17" i="123"/>
  <c r="E17" i="123"/>
  <c r="D17" i="123"/>
  <c r="C17" i="123"/>
  <c r="O16" i="123"/>
  <c r="N16" i="123"/>
  <c r="M16" i="123"/>
  <c r="L16" i="123"/>
  <c r="K16" i="123"/>
  <c r="J16" i="123"/>
  <c r="I16" i="123"/>
  <c r="H16" i="123"/>
  <c r="F16" i="123"/>
  <c r="E16" i="123"/>
  <c r="D16" i="123"/>
  <c r="C16" i="123"/>
  <c r="O15" i="123"/>
  <c r="N15" i="123"/>
  <c r="M15" i="123"/>
  <c r="L15" i="123"/>
  <c r="K15" i="123"/>
  <c r="J15" i="123"/>
  <c r="I15" i="123"/>
  <c r="H15" i="123"/>
  <c r="F15" i="123"/>
  <c r="E15" i="123"/>
  <c r="D15" i="123"/>
  <c r="C15" i="123"/>
  <c r="O14" i="123"/>
  <c r="N14" i="123"/>
  <c r="M14" i="123"/>
  <c r="L14" i="123"/>
  <c r="K14" i="123"/>
  <c r="J14" i="123"/>
  <c r="I14" i="123"/>
  <c r="H14" i="123"/>
  <c r="F14" i="123"/>
  <c r="E14" i="123"/>
  <c r="D14" i="123"/>
  <c r="C14" i="123"/>
  <c r="O13" i="123"/>
  <c r="N13" i="123"/>
  <c r="M13" i="123"/>
  <c r="L13" i="123"/>
  <c r="K13" i="123"/>
  <c r="J13" i="123"/>
  <c r="I13" i="123"/>
  <c r="H13" i="123"/>
  <c r="F13" i="123"/>
  <c r="E13" i="123"/>
  <c r="D13" i="123"/>
  <c r="C13" i="123"/>
  <c r="O12" i="123"/>
  <c r="N12" i="123"/>
  <c r="M12" i="123"/>
  <c r="L12" i="123"/>
  <c r="K12" i="123"/>
  <c r="J12" i="123"/>
  <c r="I12" i="123"/>
  <c r="H12" i="123"/>
  <c r="F12" i="123"/>
  <c r="E12" i="123"/>
  <c r="D12" i="123"/>
  <c r="C12" i="123"/>
  <c r="O11" i="123"/>
  <c r="N11" i="123"/>
  <c r="M11" i="123"/>
  <c r="L11" i="123"/>
  <c r="K11" i="123"/>
  <c r="J11" i="123"/>
  <c r="I11" i="123"/>
  <c r="H11" i="123"/>
  <c r="F11" i="123"/>
  <c r="E11" i="123"/>
  <c r="D11" i="123"/>
  <c r="C11" i="123"/>
  <c r="O10" i="123"/>
  <c r="N10" i="123"/>
  <c r="M10" i="123"/>
  <c r="L10" i="123"/>
  <c r="K10" i="123"/>
  <c r="J10" i="123"/>
  <c r="I10" i="123"/>
  <c r="H10" i="123"/>
  <c r="F10" i="123"/>
  <c r="E10" i="123"/>
  <c r="D10" i="123"/>
  <c r="C10" i="123"/>
  <c r="O9" i="123"/>
  <c r="N9" i="123"/>
  <c r="M9" i="123"/>
  <c r="L9" i="123"/>
  <c r="K9" i="123"/>
  <c r="J9" i="123"/>
  <c r="I9" i="123"/>
  <c r="H9" i="123"/>
  <c r="F9" i="123"/>
  <c r="E9" i="123"/>
  <c r="D9" i="123"/>
  <c r="C9" i="123"/>
  <c r="O8" i="123"/>
  <c r="N8" i="123"/>
  <c r="M8" i="123"/>
  <c r="L8" i="123"/>
  <c r="K8" i="123"/>
  <c r="J8" i="123"/>
  <c r="I8" i="123"/>
  <c r="H8" i="123"/>
  <c r="F8" i="123"/>
  <c r="E8" i="123"/>
  <c r="D8" i="123"/>
  <c r="C8" i="123"/>
  <c r="O7" i="123"/>
  <c r="N7" i="123"/>
  <c r="M7" i="123"/>
  <c r="L7" i="123"/>
  <c r="K7" i="123"/>
  <c r="J7" i="123"/>
  <c r="I7" i="123"/>
  <c r="H7" i="123"/>
  <c r="F7" i="123"/>
  <c r="E7" i="123"/>
  <c r="D7" i="123"/>
  <c r="C7" i="123"/>
  <c r="O6" i="123"/>
  <c r="N6" i="123"/>
  <c r="M6" i="123"/>
  <c r="L6" i="123"/>
  <c r="K6" i="123"/>
  <c r="J6" i="123"/>
  <c r="I6" i="123"/>
  <c r="H6" i="123"/>
  <c r="F6" i="123"/>
  <c r="E6" i="123"/>
  <c r="D6" i="123"/>
  <c r="C6" i="123"/>
  <c r="O5" i="123"/>
  <c r="N5" i="123"/>
  <c r="M5" i="123"/>
  <c r="L5" i="123"/>
  <c r="K5" i="123"/>
  <c r="J5" i="123"/>
  <c r="I5" i="123"/>
  <c r="H5" i="123"/>
  <c r="F5" i="123"/>
  <c r="E5" i="123"/>
  <c r="D5" i="123"/>
  <c r="C5" i="123"/>
  <c r="O4" i="123"/>
  <c r="N4" i="123"/>
  <c r="M4" i="123"/>
  <c r="L4" i="123"/>
  <c r="K4" i="123"/>
  <c r="J4" i="123"/>
  <c r="I4" i="123"/>
  <c r="H4" i="123"/>
  <c r="F4" i="123"/>
  <c r="E4" i="123"/>
  <c r="D4" i="123"/>
  <c r="C4" i="123"/>
  <c r="O3" i="123"/>
  <c r="N3" i="123"/>
  <c r="M3" i="123"/>
  <c r="L3" i="123"/>
  <c r="K3" i="123"/>
  <c r="J3" i="123"/>
  <c r="I3" i="123"/>
  <c r="H3" i="123"/>
  <c r="F3" i="123"/>
  <c r="E3" i="123"/>
  <c r="D3" i="123"/>
  <c r="C3" i="123"/>
  <c r="O2" i="123"/>
  <c r="N2" i="123"/>
  <c r="M2" i="123"/>
  <c r="L2" i="123"/>
  <c r="K2" i="123"/>
  <c r="J2" i="123"/>
  <c r="I2" i="123"/>
  <c r="H2" i="123"/>
  <c r="F2" i="123"/>
  <c r="E2" i="123"/>
  <c r="D2" i="123"/>
  <c r="C2" i="123"/>
  <c r="F25" i="122"/>
  <c r="E25" i="122"/>
  <c r="F24" i="122"/>
  <c r="E24" i="122"/>
  <c r="E23" i="122"/>
  <c r="F22" i="122"/>
  <c r="E22" i="122"/>
  <c r="F21" i="122"/>
  <c r="E21" i="122"/>
  <c r="F20" i="122"/>
  <c r="E20" i="122"/>
  <c r="F19" i="122"/>
  <c r="E19" i="122"/>
  <c r="F18" i="122"/>
  <c r="E18" i="122"/>
  <c r="O17" i="122"/>
  <c r="N17" i="122"/>
  <c r="M17" i="122"/>
  <c r="L17" i="122"/>
  <c r="K17" i="122"/>
  <c r="J17" i="122"/>
  <c r="I17" i="122"/>
  <c r="H17" i="122"/>
  <c r="F17" i="122"/>
  <c r="E17" i="122"/>
  <c r="D17" i="122"/>
  <c r="C17" i="122"/>
  <c r="O16" i="122"/>
  <c r="N16" i="122"/>
  <c r="M16" i="122"/>
  <c r="L16" i="122"/>
  <c r="K16" i="122"/>
  <c r="J16" i="122"/>
  <c r="I16" i="122"/>
  <c r="H16" i="122"/>
  <c r="F16" i="122"/>
  <c r="E16" i="122"/>
  <c r="D16" i="122"/>
  <c r="C16" i="122"/>
  <c r="O15" i="122"/>
  <c r="N15" i="122"/>
  <c r="M15" i="122"/>
  <c r="L15" i="122"/>
  <c r="K15" i="122"/>
  <c r="J15" i="122"/>
  <c r="I15" i="122"/>
  <c r="H15" i="122"/>
  <c r="F15" i="122"/>
  <c r="E15" i="122"/>
  <c r="D15" i="122"/>
  <c r="C15" i="122"/>
  <c r="O14" i="122"/>
  <c r="N14" i="122"/>
  <c r="M14" i="122"/>
  <c r="L14" i="122"/>
  <c r="K14" i="122"/>
  <c r="J14" i="122"/>
  <c r="I14" i="122"/>
  <c r="H14" i="122"/>
  <c r="F14" i="122"/>
  <c r="E14" i="122"/>
  <c r="D14" i="122"/>
  <c r="C14" i="122"/>
  <c r="O13" i="122"/>
  <c r="N13" i="122"/>
  <c r="M13" i="122"/>
  <c r="L13" i="122"/>
  <c r="K13" i="122"/>
  <c r="J13" i="122"/>
  <c r="I13" i="122"/>
  <c r="H13" i="122"/>
  <c r="F13" i="122"/>
  <c r="E13" i="122"/>
  <c r="D13" i="122"/>
  <c r="C13" i="122"/>
  <c r="O12" i="122"/>
  <c r="N12" i="122"/>
  <c r="M12" i="122"/>
  <c r="L12" i="122"/>
  <c r="K12" i="122"/>
  <c r="J12" i="122"/>
  <c r="I12" i="122"/>
  <c r="H12" i="122"/>
  <c r="F12" i="122"/>
  <c r="E12" i="122"/>
  <c r="D12" i="122"/>
  <c r="C12" i="122"/>
  <c r="O11" i="122"/>
  <c r="N11" i="122"/>
  <c r="M11" i="122"/>
  <c r="L11" i="122"/>
  <c r="K11" i="122"/>
  <c r="J11" i="122"/>
  <c r="I11" i="122"/>
  <c r="H11" i="122"/>
  <c r="F11" i="122"/>
  <c r="E11" i="122"/>
  <c r="D11" i="122"/>
  <c r="C11" i="122"/>
  <c r="O10" i="122"/>
  <c r="N10" i="122"/>
  <c r="M10" i="122"/>
  <c r="L10" i="122"/>
  <c r="K10" i="122"/>
  <c r="J10" i="122"/>
  <c r="I10" i="122"/>
  <c r="H10" i="122"/>
  <c r="F10" i="122"/>
  <c r="E10" i="122"/>
  <c r="D10" i="122"/>
  <c r="C10" i="122"/>
  <c r="O9" i="122"/>
  <c r="N9" i="122"/>
  <c r="M9" i="122"/>
  <c r="L9" i="122"/>
  <c r="K9" i="122"/>
  <c r="J9" i="122"/>
  <c r="I9" i="122"/>
  <c r="H9" i="122"/>
  <c r="F9" i="122"/>
  <c r="E9" i="122"/>
  <c r="D9" i="122"/>
  <c r="C9" i="122"/>
  <c r="O8" i="122"/>
  <c r="N8" i="122"/>
  <c r="M8" i="122"/>
  <c r="L8" i="122"/>
  <c r="K8" i="122"/>
  <c r="J8" i="122"/>
  <c r="I8" i="122"/>
  <c r="H8" i="122"/>
  <c r="F8" i="122"/>
  <c r="E8" i="122"/>
  <c r="D8" i="122"/>
  <c r="C8" i="122"/>
  <c r="O7" i="122"/>
  <c r="N7" i="122"/>
  <c r="M7" i="122"/>
  <c r="L7" i="122"/>
  <c r="K7" i="122"/>
  <c r="J7" i="122"/>
  <c r="I7" i="122"/>
  <c r="H7" i="122"/>
  <c r="F7" i="122"/>
  <c r="E7" i="122"/>
  <c r="D7" i="122"/>
  <c r="C7" i="122"/>
  <c r="O6" i="122"/>
  <c r="N6" i="122"/>
  <c r="M6" i="122"/>
  <c r="L6" i="122"/>
  <c r="K6" i="122"/>
  <c r="J6" i="122"/>
  <c r="I6" i="122"/>
  <c r="H6" i="122"/>
  <c r="F6" i="122"/>
  <c r="E6" i="122"/>
  <c r="D6" i="122"/>
  <c r="C6" i="122"/>
  <c r="O5" i="122"/>
  <c r="N5" i="122"/>
  <c r="M5" i="122"/>
  <c r="L5" i="122"/>
  <c r="K5" i="122"/>
  <c r="J5" i="122"/>
  <c r="I5" i="122"/>
  <c r="H5" i="122"/>
  <c r="F5" i="122"/>
  <c r="E5" i="122"/>
  <c r="D5" i="122"/>
  <c r="C5" i="122"/>
  <c r="O4" i="122"/>
  <c r="N4" i="122"/>
  <c r="M4" i="122"/>
  <c r="L4" i="122"/>
  <c r="K4" i="122"/>
  <c r="J4" i="122"/>
  <c r="I4" i="122"/>
  <c r="H4" i="122"/>
  <c r="F4" i="122"/>
  <c r="E4" i="122"/>
  <c r="D4" i="122"/>
  <c r="C4" i="122"/>
  <c r="O3" i="122"/>
  <c r="N3" i="122"/>
  <c r="M3" i="122"/>
  <c r="L3" i="122"/>
  <c r="K3" i="122"/>
  <c r="J3" i="122"/>
  <c r="I3" i="122"/>
  <c r="H3" i="122"/>
  <c r="F3" i="122"/>
  <c r="E3" i="122"/>
  <c r="D3" i="122"/>
  <c r="C3" i="122"/>
  <c r="O2" i="122"/>
  <c r="N2" i="122"/>
  <c r="N27" i="122" s="1"/>
  <c r="M2" i="122"/>
  <c r="L2" i="122"/>
  <c r="L27" i="122" s="1"/>
  <c r="K2" i="122"/>
  <c r="J2" i="122"/>
  <c r="I2" i="122"/>
  <c r="H2" i="122"/>
  <c r="F2" i="122"/>
  <c r="E2" i="122"/>
  <c r="D2" i="122"/>
  <c r="C2" i="122"/>
  <c r="F17" i="121"/>
  <c r="E17" i="121"/>
  <c r="F16" i="121"/>
  <c r="E16" i="121"/>
  <c r="F15" i="121"/>
  <c r="E15" i="121"/>
  <c r="F14" i="121"/>
  <c r="E14" i="121"/>
  <c r="F13" i="121"/>
  <c r="E13" i="121"/>
  <c r="F12" i="121"/>
  <c r="E12" i="121"/>
  <c r="F11" i="121"/>
  <c r="E11" i="121"/>
  <c r="F10" i="121"/>
  <c r="E10" i="121"/>
  <c r="F9" i="121"/>
  <c r="E9" i="121"/>
  <c r="O8" i="121"/>
  <c r="N8" i="121"/>
  <c r="M8" i="121"/>
  <c r="L8" i="121"/>
  <c r="K8" i="121"/>
  <c r="J8" i="121"/>
  <c r="I8" i="121"/>
  <c r="H8" i="121"/>
  <c r="F8" i="121"/>
  <c r="E8" i="121"/>
  <c r="C8" i="121"/>
  <c r="O7" i="121"/>
  <c r="N7" i="121"/>
  <c r="M7" i="121"/>
  <c r="L7" i="121"/>
  <c r="K7" i="121"/>
  <c r="J7" i="121"/>
  <c r="I7" i="121"/>
  <c r="H7" i="121"/>
  <c r="F7" i="121"/>
  <c r="E7" i="121"/>
  <c r="D7" i="121"/>
  <c r="C7" i="121"/>
  <c r="O6" i="121"/>
  <c r="N6" i="121"/>
  <c r="M6" i="121"/>
  <c r="L6" i="121"/>
  <c r="K6" i="121"/>
  <c r="J6" i="121"/>
  <c r="I6" i="121"/>
  <c r="H6" i="121"/>
  <c r="F6" i="121"/>
  <c r="E6" i="121"/>
  <c r="D6" i="121"/>
  <c r="C6" i="121"/>
  <c r="O5" i="121"/>
  <c r="N5" i="121"/>
  <c r="M5" i="121"/>
  <c r="L5" i="121"/>
  <c r="K5" i="121"/>
  <c r="J5" i="121"/>
  <c r="I5" i="121"/>
  <c r="H5" i="121"/>
  <c r="F5" i="121"/>
  <c r="E5" i="121"/>
  <c r="D5" i="121"/>
  <c r="C5" i="121"/>
  <c r="O4" i="121"/>
  <c r="N4" i="121"/>
  <c r="M4" i="121"/>
  <c r="L4" i="121"/>
  <c r="K4" i="121"/>
  <c r="J4" i="121"/>
  <c r="I4" i="121"/>
  <c r="H4" i="121"/>
  <c r="F4" i="121"/>
  <c r="E4" i="121"/>
  <c r="D4" i="121"/>
  <c r="C4" i="121"/>
  <c r="O3" i="121"/>
  <c r="N3" i="121"/>
  <c r="M3" i="121"/>
  <c r="L3" i="121"/>
  <c r="K3" i="121"/>
  <c r="J3" i="121"/>
  <c r="I3" i="121"/>
  <c r="H3" i="121"/>
  <c r="F3" i="121"/>
  <c r="E3" i="121"/>
  <c r="D3" i="121"/>
  <c r="C3" i="121"/>
  <c r="O2" i="121"/>
  <c r="N2" i="121"/>
  <c r="M2" i="121"/>
  <c r="L2" i="121"/>
  <c r="L19" i="121" s="1"/>
  <c r="K2" i="121"/>
  <c r="J2" i="121"/>
  <c r="I2" i="121"/>
  <c r="I19" i="121" s="1"/>
  <c r="H2" i="121"/>
  <c r="F2" i="121"/>
  <c r="E2" i="121"/>
  <c r="D2" i="121"/>
  <c r="C2" i="121"/>
  <c r="F33" i="120"/>
  <c r="E33" i="120"/>
  <c r="F32" i="120"/>
  <c r="E32" i="120"/>
  <c r="F31" i="120"/>
  <c r="E31" i="120"/>
  <c r="F30" i="120"/>
  <c r="E30" i="120"/>
  <c r="F29" i="120"/>
  <c r="E29" i="120"/>
  <c r="F28" i="120"/>
  <c r="E28" i="120"/>
  <c r="F27" i="120"/>
  <c r="E27" i="120"/>
  <c r="F26" i="120"/>
  <c r="E26" i="120"/>
  <c r="F25" i="120"/>
  <c r="E25" i="120"/>
  <c r="F24" i="120"/>
  <c r="E24" i="120"/>
  <c r="F23" i="120"/>
  <c r="E23" i="120"/>
  <c r="F22" i="120"/>
  <c r="E22" i="120"/>
  <c r="F21" i="120"/>
  <c r="E21" i="120"/>
  <c r="F20" i="120"/>
  <c r="E20" i="120"/>
  <c r="O19" i="120"/>
  <c r="N19" i="120"/>
  <c r="M19" i="120"/>
  <c r="L19" i="120"/>
  <c r="K19" i="120"/>
  <c r="J19" i="120"/>
  <c r="I19" i="120"/>
  <c r="H19" i="120"/>
  <c r="F19" i="120"/>
  <c r="E19" i="120"/>
  <c r="D19" i="120"/>
  <c r="C19" i="120"/>
  <c r="O18" i="120"/>
  <c r="N18" i="120"/>
  <c r="M18" i="120"/>
  <c r="L18" i="120"/>
  <c r="K18" i="120"/>
  <c r="J18" i="120"/>
  <c r="I18" i="120"/>
  <c r="H18" i="120"/>
  <c r="F18" i="120"/>
  <c r="E18" i="120"/>
  <c r="D18" i="120"/>
  <c r="C18" i="120"/>
  <c r="O17" i="120"/>
  <c r="N17" i="120"/>
  <c r="M17" i="120"/>
  <c r="L17" i="120"/>
  <c r="K17" i="120"/>
  <c r="J17" i="120"/>
  <c r="I17" i="120"/>
  <c r="H17" i="120"/>
  <c r="F17" i="120"/>
  <c r="E17" i="120"/>
  <c r="D17" i="120"/>
  <c r="C17" i="120"/>
  <c r="O16" i="120"/>
  <c r="N16" i="120"/>
  <c r="M16" i="120"/>
  <c r="L16" i="120"/>
  <c r="K16" i="120"/>
  <c r="J16" i="120"/>
  <c r="I16" i="120"/>
  <c r="H16" i="120"/>
  <c r="F16" i="120"/>
  <c r="E16" i="120"/>
  <c r="D16" i="120"/>
  <c r="C16" i="120"/>
  <c r="O15" i="120"/>
  <c r="N15" i="120"/>
  <c r="M15" i="120"/>
  <c r="L15" i="120"/>
  <c r="K15" i="120"/>
  <c r="J15" i="120"/>
  <c r="I15" i="120"/>
  <c r="H15" i="120"/>
  <c r="F15" i="120"/>
  <c r="E15" i="120"/>
  <c r="D15" i="120"/>
  <c r="C15" i="120"/>
  <c r="O14" i="120"/>
  <c r="N14" i="120"/>
  <c r="M14" i="120"/>
  <c r="L14" i="120"/>
  <c r="K14" i="120"/>
  <c r="J14" i="120"/>
  <c r="I14" i="120"/>
  <c r="H14" i="120"/>
  <c r="F14" i="120"/>
  <c r="E14" i="120"/>
  <c r="D14" i="120"/>
  <c r="C14" i="120"/>
  <c r="O13" i="120"/>
  <c r="N13" i="120"/>
  <c r="M13" i="120"/>
  <c r="L13" i="120"/>
  <c r="K13" i="120"/>
  <c r="J13" i="120"/>
  <c r="I13" i="120"/>
  <c r="H13" i="120"/>
  <c r="F13" i="120"/>
  <c r="E13" i="120"/>
  <c r="D13" i="120"/>
  <c r="C13" i="120"/>
  <c r="F12" i="120"/>
  <c r="E12" i="120"/>
  <c r="D12" i="120"/>
  <c r="C12" i="120"/>
  <c r="O11" i="120"/>
  <c r="N11" i="120"/>
  <c r="M11" i="120"/>
  <c r="L11" i="120"/>
  <c r="K11" i="120"/>
  <c r="J11" i="120"/>
  <c r="I11" i="120"/>
  <c r="H11" i="120"/>
  <c r="F11" i="120"/>
  <c r="E11" i="120"/>
  <c r="D11" i="120"/>
  <c r="C11" i="120"/>
  <c r="O10" i="120"/>
  <c r="N10" i="120"/>
  <c r="M10" i="120"/>
  <c r="L10" i="120"/>
  <c r="K10" i="120"/>
  <c r="J10" i="120"/>
  <c r="I10" i="120"/>
  <c r="H10" i="120"/>
  <c r="F10" i="120"/>
  <c r="E10" i="120"/>
  <c r="D10" i="120"/>
  <c r="C10" i="120"/>
  <c r="O9" i="120"/>
  <c r="N9" i="120"/>
  <c r="M9" i="120"/>
  <c r="L9" i="120"/>
  <c r="K9" i="120"/>
  <c r="J9" i="120"/>
  <c r="I9" i="120"/>
  <c r="H9" i="120"/>
  <c r="F9" i="120"/>
  <c r="E9" i="120"/>
  <c r="D9" i="120"/>
  <c r="C9" i="120"/>
  <c r="O8" i="120"/>
  <c r="N8" i="120"/>
  <c r="M8" i="120"/>
  <c r="L8" i="120"/>
  <c r="K8" i="120"/>
  <c r="J8" i="120"/>
  <c r="I8" i="120"/>
  <c r="H8" i="120"/>
  <c r="F8" i="120"/>
  <c r="E8" i="120"/>
  <c r="D8" i="120"/>
  <c r="C8" i="120"/>
  <c r="O7" i="120"/>
  <c r="N7" i="120"/>
  <c r="M7" i="120"/>
  <c r="L7" i="120"/>
  <c r="K7" i="120"/>
  <c r="J7" i="120"/>
  <c r="I7" i="120"/>
  <c r="H7" i="120"/>
  <c r="F7" i="120"/>
  <c r="E7" i="120"/>
  <c r="D7" i="120"/>
  <c r="C7" i="120"/>
  <c r="O6" i="120"/>
  <c r="N6" i="120"/>
  <c r="M6" i="120"/>
  <c r="L6" i="120"/>
  <c r="K6" i="120"/>
  <c r="J6" i="120"/>
  <c r="I6" i="120"/>
  <c r="H6" i="120"/>
  <c r="F6" i="120"/>
  <c r="E6" i="120"/>
  <c r="D6" i="120"/>
  <c r="C6" i="120"/>
  <c r="O5" i="120"/>
  <c r="N5" i="120"/>
  <c r="M5" i="120"/>
  <c r="L5" i="120"/>
  <c r="K5" i="120"/>
  <c r="J5" i="120"/>
  <c r="I5" i="120"/>
  <c r="H5" i="120"/>
  <c r="F5" i="120"/>
  <c r="E5" i="120"/>
  <c r="D5" i="120"/>
  <c r="C5" i="120"/>
  <c r="O4" i="120"/>
  <c r="N4" i="120"/>
  <c r="M4" i="120"/>
  <c r="L4" i="120"/>
  <c r="K4" i="120"/>
  <c r="J4" i="120"/>
  <c r="I4" i="120"/>
  <c r="H4" i="120"/>
  <c r="F4" i="120"/>
  <c r="E4" i="120"/>
  <c r="D4" i="120"/>
  <c r="C4" i="120"/>
  <c r="O3" i="120"/>
  <c r="N3" i="120"/>
  <c r="M3" i="120"/>
  <c r="L3" i="120"/>
  <c r="K3" i="120"/>
  <c r="J3" i="120"/>
  <c r="I3" i="120"/>
  <c r="H3" i="120"/>
  <c r="F3" i="120"/>
  <c r="E3" i="120"/>
  <c r="D3" i="120"/>
  <c r="C3" i="120"/>
  <c r="O2" i="120"/>
  <c r="O36" i="120" s="1"/>
  <c r="N2" i="120"/>
  <c r="M2" i="120"/>
  <c r="L2" i="120"/>
  <c r="K2" i="120"/>
  <c r="J2" i="120"/>
  <c r="I2" i="120"/>
  <c r="H2" i="120"/>
  <c r="F2" i="120"/>
  <c r="E2" i="120"/>
  <c r="D2" i="120"/>
  <c r="C2" i="120"/>
  <c r="F70" i="119"/>
  <c r="E70" i="119"/>
  <c r="F69" i="119"/>
  <c r="E69" i="119"/>
  <c r="F68" i="119"/>
  <c r="E68" i="119"/>
  <c r="F67" i="119"/>
  <c r="E67" i="119"/>
  <c r="F66" i="119"/>
  <c r="E66" i="119"/>
  <c r="F65" i="119"/>
  <c r="E65" i="119"/>
  <c r="F64" i="119"/>
  <c r="E64" i="119"/>
  <c r="F63" i="119"/>
  <c r="E63" i="119"/>
  <c r="F62" i="119"/>
  <c r="E62" i="119"/>
  <c r="F61" i="119"/>
  <c r="E61" i="119"/>
  <c r="F60" i="119"/>
  <c r="E60" i="119"/>
  <c r="F59" i="119"/>
  <c r="E59" i="119"/>
  <c r="F58" i="119"/>
  <c r="E58" i="119"/>
  <c r="F57" i="119"/>
  <c r="E57" i="119"/>
  <c r="F56" i="119"/>
  <c r="E56" i="119"/>
  <c r="F55" i="119"/>
  <c r="E55" i="119"/>
  <c r="F54" i="119"/>
  <c r="E54" i="119"/>
  <c r="F53" i="119"/>
  <c r="E53" i="119"/>
  <c r="F52" i="119"/>
  <c r="E52" i="119"/>
  <c r="F51" i="119"/>
  <c r="E51" i="119"/>
  <c r="F50" i="119"/>
  <c r="E50" i="119"/>
  <c r="F49" i="119"/>
  <c r="E49" i="119"/>
  <c r="F48" i="119"/>
  <c r="E48" i="119"/>
  <c r="F47" i="119"/>
  <c r="E47" i="119"/>
  <c r="F46" i="119"/>
  <c r="E46" i="119"/>
  <c r="F45" i="119"/>
  <c r="E45" i="119"/>
  <c r="F44" i="119"/>
  <c r="E44" i="119"/>
  <c r="F43" i="119"/>
  <c r="E43" i="119"/>
  <c r="F42" i="119"/>
  <c r="E42" i="119"/>
  <c r="F41" i="119"/>
  <c r="E41" i="119"/>
  <c r="F40" i="119"/>
  <c r="E40" i="119"/>
  <c r="F39" i="119"/>
  <c r="E39" i="119"/>
  <c r="F38" i="119"/>
  <c r="E38" i="119"/>
  <c r="F37" i="119"/>
  <c r="E37" i="119"/>
  <c r="F36" i="119"/>
  <c r="E36" i="119"/>
  <c r="F35" i="119"/>
  <c r="E35" i="119"/>
  <c r="F34" i="119"/>
  <c r="E34" i="119"/>
  <c r="F33" i="119"/>
  <c r="E33" i="119"/>
  <c r="F32" i="119"/>
  <c r="E32" i="119"/>
  <c r="F31" i="119"/>
  <c r="E31" i="119"/>
  <c r="F30" i="119"/>
  <c r="E30" i="119"/>
  <c r="F29" i="119"/>
  <c r="E29" i="119"/>
  <c r="F28" i="119"/>
  <c r="E28" i="119"/>
  <c r="F27" i="119"/>
  <c r="E27" i="119"/>
  <c r="F26" i="119"/>
  <c r="E26" i="119"/>
  <c r="F25" i="119"/>
  <c r="E25" i="119"/>
  <c r="F24" i="119"/>
  <c r="E24" i="119"/>
  <c r="F23" i="119"/>
  <c r="E23" i="119"/>
  <c r="F22" i="119"/>
  <c r="E22" i="119"/>
  <c r="F21" i="119"/>
  <c r="E21" i="119"/>
  <c r="F20" i="119"/>
  <c r="E20" i="119"/>
  <c r="F19" i="119"/>
  <c r="E19" i="119"/>
  <c r="F18" i="119"/>
  <c r="E18" i="119"/>
  <c r="F17" i="119"/>
  <c r="E17" i="119"/>
  <c r="O16" i="119"/>
  <c r="N16" i="119"/>
  <c r="M16" i="119"/>
  <c r="L16" i="119"/>
  <c r="K16" i="119"/>
  <c r="J16" i="119"/>
  <c r="I16" i="119"/>
  <c r="H16" i="119"/>
  <c r="F16" i="119"/>
  <c r="E16" i="119"/>
  <c r="D16" i="119"/>
  <c r="C16" i="119"/>
  <c r="O15" i="119"/>
  <c r="N15" i="119"/>
  <c r="M15" i="119"/>
  <c r="L15" i="119"/>
  <c r="K15" i="119"/>
  <c r="J15" i="119"/>
  <c r="I15" i="119"/>
  <c r="H15" i="119"/>
  <c r="F15" i="119"/>
  <c r="E15" i="119"/>
  <c r="D15" i="119"/>
  <c r="C15" i="119"/>
  <c r="F14" i="119"/>
  <c r="E14" i="119"/>
  <c r="O13" i="119"/>
  <c r="N13" i="119"/>
  <c r="M13" i="119"/>
  <c r="L13" i="119"/>
  <c r="K13" i="119"/>
  <c r="J13" i="119"/>
  <c r="I13" i="119"/>
  <c r="H13" i="119"/>
  <c r="F13" i="119"/>
  <c r="E13" i="119"/>
  <c r="D13" i="119"/>
  <c r="C13" i="119"/>
  <c r="O12" i="119"/>
  <c r="N12" i="119"/>
  <c r="M12" i="119"/>
  <c r="L12" i="119"/>
  <c r="K12" i="119"/>
  <c r="J12" i="119"/>
  <c r="I12" i="119"/>
  <c r="H12" i="119"/>
  <c r="F12" i="119"/>
  <c r="E12" i="119"/>
  <c r="D12" i="119"/>
  <c r="C12" i="119"/>
  <c r="O11" i="119"/>
  <c r="N11" i="119"/>
  <c r="M11" i="119"/>
  <c r="L11" i="119"/>
  <c r="K11" i="119"/>
  <c r="J11" i="119"/>
  <c r="I11" i="119"/>
  <c r="H11" i="119"/>
  <c r="F11" i="119"/>
  <c r="E11" i="119"/>
  <c r="D11" i="119"/>
  <c r="C11" i="119"/>
  <c r="O10" i="119"/>
  <c r="N10" i="119"/>
  <c r="M10" i="119"/>
  <c r="L10" i="119"/>
  <c r="K10" i="119"/>
  <c r="J10" i="119"/>
  <c r="I10" i="119"/>
  <c r="H10" i="119"/>
  <c r="F10" i="119"/>
  <c r="E10" i="119"/>
  <c r="D10" i="119"/>
  <c r="C10" i="119"/>
  <c r="F9" i="119"/>
  <c r="E9" i="119"/>
  <c r="D9" i="119"/>
  <c r="C9" i="119"/>
  <c r="O8" i="119"/>
  <c r="N8" i="119"/>
  <c r="M8" i="119"/>
  <c r="L8" i="119"/>
  <c r="K8" i="119"/>
  <c r="J8" i="119"/>
  <c r="I8" i="119"/>
  <c r="H8" i="119"/>
  <c r="F8" i="119"/>
  <c r="E8" i="119"/>
  <c r="D8" i="119"/>
  <c r="C8" i="119"/>
  <c r="O7" i="119"/>
  <c r="N7" i="119"/>
  <c r="M7" i="119"/>
  <c r="L7" i="119"/>
  <c r="K7" i="119"/>
  <c r="J7" i="119"/>
  <c r="I7" i="119"/>
  <c r="H7" i="119"/>
  <c r="F7" i="119"/>
  <c r="E7" i="119"/>
  <c r="D7" i="119"/>
  <c r="C7" i="119"/>
  <c r="O6" i="119"/>
  <c r="N6" i="119"/>
  <c r="M6" i="119"/>
  <c r="L6" i="119"/>
  <c r="K6" i="119"/>
  <c r="J6" i="119"/>
  <c r="I6" i="119"/>
  <c r="H6" i="119"/>
  <c r="F6" i="119"/>
  <c r="E6" i="119"/>
  <c r="D6" i="119"/>
  <c r="C6" i="119"/>
  <c r="O5" i="119"/>
  <c r="N5" i="119"/>
  <c r="M5" i="119"/>
  <c r="L5" i="119"/>
  <c r="K5" i="119"/>
  <c r="J5" i="119"/>
  <c r="I5" i="119"/>
  <c r="H5" i="119"/>
  <c r="F5" i="119"/>
  <c r="E5" i="119"/>
  <c r="D5" i="119"/>
  <c r="C5" i="119"/>
  <c r="O4" i="119"/>
  <c r="N4" i="119"/>
  <c r="M4" i="119"/>
  <c r="L4" i="119"/>
  <c r="K4" i="119"/>
  <c r="J4" i="119"/>
  <c r="I4" i="119"/>
  <c r="H4" i="119"/>
  <c r="F4" i="119"/>
  <c r="E4" i="119"/>
  <c r="D4" i="119"/>
  <c r="C4" i="119"/>
  <c r="O3" i="119"/>
  <c r="N3" i="119"/>
  <c r="M3" i="119"/>
  <c r="L3" i="119"/>
  <c r="K3" i="119"/>
  <c r="J3" i="119"/>
  <c r="I3" i="119"/>
  <c r="H3" i="119"/>
  <c r="F3" i="119"/>
  <c r="E3" i="119"/>
  <c r="D3" i="119"/>
  <c r="C3" i="119"/>
  <c r="O2" i="119"/>
  <c r="N2" i="119"/>
  <c r="M2" i="119"/>
  <c r="L2" i="119"/>
  <c r="K2" i="119"/>
  <c r="J2" i="119"/>
  <c r="I2" i="119"/>
  <c r="H2" i="119"/>
  <c r="F2" i="119"/>
  <c r="E2" i="119"/>
  <c r="D2" i="119"/>
  <c r="C2" i="119"/>
  <c r="F11" i="118"/>
  <c r="E11" i="118"/>
  <c r="F10" i="118"/>
  <c r="E10" i="118"/>
  <c r="F9" i="118"/>
  <c r="E9" i="118"/>
  <c r="F8" i="118"/>
  <c r="E8" i="118"/>
  <c r="F7" i="118"/>
  <c r="E7" i="118"/>
  <c r="F6" i="118"/>
  <c r="E6" i="118"/>
  <c r="F5" i="118"/>
  <c r="E5" i="118"/>
  <c r="F4" i="118"/>
  <c r="E4" i="118"/>
  <c r="O3" i="118"/>
  <c r="N3" i="118"/>
  <c r="M3" i="118"/>
  <c r="L3" i="118"/>
  <c r="K3" i="118"/>
  <c r="J3" i="118"/>
  <c r="I3" i="118"/>
  <c r="H3" i="118"/>
  <c r="F3" i="118"/>
  <c r="E3" i="118"/>
  <c r="D3" i="118"/>
  <c r="C3" i="118"/>
  <c r="O2" i="118"/>
  <c r="N2" i="118"/>
  <c r="M2" i="118"/>
  <c r="M13" i="118" s="1"/>
  <c r="L2" i="118"/>
  <c r="K2" i="118"/>
  <c r="J2" i="118"/>
  <c r="I2" i="118"/>
  <c r="H2" i="118"/>
  <c r="F2" i="118"/>
  <c r="E2" i="118"/>
  <c r="D2" i="118"/>
  <c r="C2" i="118"/>
  <c r="I12" i="117"/>
  <c r="F10" i="117"/>
  <c r="E10" i="117"/>
  <c r="F9" i="117"/>
  <c r="E9" i="117"/>
  <c r="F8" i="117"/>
  <c r="E8" i="117"/>
  <c r="F7" i="117"/>
  <c r="E7" i="117"/>
  <c r="F6" i="117"/>
  <c r="E6" i="117"/>
  <c r="F5" i="117"/>
  <c r="E5" i="117"/>
  <c r="O4" i="117"/>
  <c r="N4" i="117"/>
  <c r="M4" i="117"/>
  <c r="L4" i="117"/>
  <c r="K4" i="117"/>
  <c r="J4" i="117"/>
  <c r="I4" i="117"/>
  <c r="H4" i="117"/>
  <c r="F4" i="117"/>
  <c r="E4" i="117"/>
  <c r="D4" i="117"/>
  <c r="C4" i="117"/>
  <c r="O3" i="117"/>
  <c r="N3" i="117"/>
  <c r="M3" i="117"/>
  <c r="L3" i="117"/>
  <c r="K3" i="117"/>
  <c r="J3" i="117"/>
  <c r="I3" i="117"/>
  <c r="H3" i="117"/>
  <c r="F3" i="117"/>
  <c r="E3" i="117"/>
  <c r="D3" i="117"/>
  <c r="C3" i="117"/>
  <c r="O2" i="117"/>
  <c r="N2" i="117"/>
  <c r="M2" i="117"/>
  <c r="M12" i="117" s="1"/>
  <c r="L2" i="117"/>
  <c r="K2" i="117"/>
  <c r="J2" i="117"/>
  <c r="I2" i="117"/>
  <c r="H2" i="117"/>
  <c r="F2" i="117"/>
  <c r="E2" i="117"/>
  <c r="D2" i="117"/>
  <c r="C2" i="117"/>
  <c r="E21" i="116"/>
  <c r="F20" i="116"/>
  <c r="E20" i="116"/>
  <c r="F19" i="116"/>
  <c r="E19" i="116"/>
  <c r="F18" i="116"/>
  <c r="E18" i="116"/>
  <c r="F17" i="116"/>
  <c r="E17" i="116"/>
  <c r="F16" i="116"/>
  <c r="E16" i="116"/>
  <c r="F15" i="116"/>
  <c r="E15" i="116"/>
  <c r="F14" i="116"/>
  <c r="E14" i="116"/>
  <c r="F13" i="116"/>
  <c r="E13" i="116"/>
  <c r="O12" i="116"/>
  <c r="N12" i="116"/>
  <c r="M12" i="116"/>
  <c r="L12" i="116"/>
  <c r="K12" i="116"/>
  <c r="J12" i="116"/>
  <c r="I12" i="116"/>
  <c r="H12" i="116"/>
  <c r="F12" i="116"/>
  <c r="E12" i="116"/>
  <c r="D12" i="116"/>
  <c r="C12" i="116"/>
  <c r="O11" i="116"/>
  <c r="N11" i="116"/>
  <c r="M11" i="116"/>
  <c r="L11" i="116"/>
  <c r="K11" i="116"/>
  <c r="J11" i="116"/>
  <c r="I11" i="116"/>
  <c r="H11" i="116"/>
  <c r="F11" i="116"/>
  <c r="E11" i="116"/>
  <c r="D11" i="116"/>
  <c r="C11" i="116"/>
  <c r="O10" i="116"/>
  <c r="N10" i="116"/>
  <c r="M10" i="116"/>
  <c r="L10" i="116"/>
  <c r="K10" i="116"/>
  <c r="J10" i="116"/>
  <c r="I10" i="116"/>
  <c r="H10" i="116"/>
  <c r="F10" i="116"/>
  <c r="E10" i="116"/>
  <c r="D10" i="116"/>
  <c r="C10" i="116"/>
  <c r="O9" i="116"/>
  <c r="N9" i="116"/>
  <c r="M9" i="116"/>
  <c r="L9" i="116"/>
  <c r="K9" i="116"/>
  <c r="J9" i="116"/>
  <c r="I9" i="116"/>
  <c r="H9" i="116"/>
  <c r="F9" i="116"/>
  <c r="E9" i="116"/>
  <c r="D9" i="116"/>
  <c r="C9" i="116"/>
  <c r="O8" i="116"/>
  <c r="N8" i="116"/>
  <c r="M8" i="116"/>
  <c r="L8" i="116"/>
  <c r="K8" i="116"/>
  <c r="J8" i="116"/>
  <c r="I8" i="116"/>
  <c r="H8" i="116"/>
  <c r="F8" i="116"/>
  <c r="E8" i="116"/>
  <c r="D8" i="116"/>
  <c r="C8" i="116"/>
  <c r="O7" i="116"/>
  <c r="N7" i="116"/>
  <c r="M7" i="116"/>
  <c r="L7" i="116"/>
  <c r="K7" i="116"/>
  <c r="J7" i="116"/>
  <c r="I7" i="116"/>
  <c r="H7" i="116"/>
  <c r="F7" i="116"/>
  <c r="E7" i="116"/>
  <c r="D7" i="116"/>
  <c r="C7" i="116"/>
  <c r="O6" i="116"/>
  <c r="N6" i="116"/>
  <c r="M6" i="116"/>
  <c r="L6" i="116"/>
  <c r="K6" i="116"/>
  <c r="J6" i="116"/>
  <c r="I6" i="116"/>
  <c r="H6" i="116"/>
  <c r="F6" i="116"/>
  <c r="E6" i="116"/>
  <c r="D6" i="116"/>
  <c r="C6" i="116"/>
  <c r="O5" i="116"/>
  <c r="N5" i="116"/>
  <c r="M5" i="116"/>
  <c r="L5" i="116"/>
  <c r="K5" i="116"/>
  <c r="J5" i="116"/>
  <c r="I5" i="116"/>
  <c r="H5" i="116"/>
  <c r="F5" i="116"/>
  <c r="E5" i="116"/>
  <c r="D5" i="116"/>
  <c r="C5" i="116"/>
  <c r="O4" i="116"/>
  <c r="N4" i="116"/>
  <c r="M4" i="116"/>
  <c r="L4" i="116"/>
  <c r="K4" i="116"/>
  <c r="J4" i="116"/>
  <c r="I4" i="116"/>
  <c r="H4" i="116"/>
  <c r="F4" i="116"/>
  <c r="E4" i="116"/>
  <c r="D4" i="116"/>
  <c r="C4" i="116"/>
  <c r="O3" i="116"/>
  <c r="N3" i="116"/>
  <c r="M3" i="116"/>
  <c r="L3" i="116"/>
  <c r="K3" i="116"/>
  <c r="J3" i="116"/>
  <c r="I3" i="116"/>
  <c r="H3" i="116"/>
  <c r="F3" i="116"/>
  <c r="E3" i="116"/>
  <c r="D3" i="116"/>
  <c r="C3" i="116"/>
  <c r="O2" i="116"/>
  <c r="N2" i="116"/>
  <c r="M2" i="116"/>
  <c r="L2" i="116"/>
  <c r="K2" i="116"/>
  <c r="K23" i="116" s="1"/>
  <c r="J2" i="116"/>
  <c r="I2" i="116"/>
  <c r="H2" i="116"/>
  <c r="F2" i="116"/>
  <c r="E2" i="116"/>
  <c r="D2" i="116"/>
  <c r="C2" i="116"/>
  <c r="F8" i="115"/>
  <c r="E8" i="115"/>
  <c r="F7" i="115"/>
  <c r="E7" i="115"/>
  <c r="F6" i="115"/>
  <c r="E6" i="115"/>
  <c r="F5" i="115"/>
  <c r="E5" i="115"/>
  <c r="O4" i="115"/>
  <c r="N4" i="115"/>
  <c r="M4" i="115"/>
  <c r="L4" i="115"/>
  <c r="K4" i="115"/>
  <c r="J4" i="115"/>
  <c r="I4" i="115"/>
  <c r="H4" i="115"/>
  <c r="F4" i="115"/>
  <c r="E4" i="115"/>
  <c r="D4" i="115"/>
  <c r="C4" i="115"/>
  <c r="F3" i="115"/>
  <c r="E3" i="115"/>
  <c r="D3" i="115"/>
  <c r="C3" i="115"/>
  <c r="O2" i="115"/>
  <c r="O10" i="115" s="1"/>
  <c r="N2" i="115"/>
  <c r="N10" i="115" s="1"/>
  <c r="M2" i="115"/>
  <c r="M10" i="115" s="1"/>
  <c r="L2" i="115"/>
  <c r="L10" i="115" s="1"/>
  <c r="K2" i="115"/>
  <c r="K10" i="115" s="1"/>
  <c r="J2" i="115"/>
  <c r="J10" i="115" s="1"/>
  <c r="I2" i="115"/>
  <c r="I10" i="115" s="1"/>
  <c r="H2" i="115"/>
  <c r="F2" i="115"/>
  <c r="E2" i="115"/>
  <c r="D2" i="115"/>
  <c r="C2" i="115"/>
  <c r="F15" i="114"/>
  <c r="E15" i="114"/>
  <c r="F14" i="114"/>
  <c r="E14" i="114"/>
  <c r="F13" i="114"/>
  <c r="E13" i="114"/>
  <c r="F12" i="114"/>
  <c r="E12" i="114"/>
  <c r="F11" i="114"/>
  <c r="E11" i="114"/>
  <c r="F10" i="114"/>
  <c r="E10" i="114"/>
  <c r="F9" i="114"/>
  <c r="E9" i="114"/>
  <c r="F8" i="114"/>
  <c r="E8" i="114"/>
  <c r="F7" i="114"/>
  <c r="E7" i="114"/>
  <c r="O6" i="114"/>
  <c r="N6" i="114"/>
  <c r="M6" i="114"/>
  <c r="L6" i="114"/>
  <c r="K6" i="114"/>
  <c r="J6" i="114"/>
  <c r="I6" i="114"/>
  <c r="H6" i="114"/>
  <c r="F6" i="114"/>
  <c r="E6" i="114"/>
  <c r="D6" i="114"/>
  <c r="C6" i="114"/>
  <c r="O5" i="114"/>
  <c r="N5" i="114"/>
  <c r="M5" i="114"/>
  <c r="L5" i="114"/>
  <c r="K5" i="114"/>
  <c r="J5" i="114"/>
  <c r="I5" i="114"/>
  <c r="H5" i="114"/>
  <c r="F5" i="114"/>
  <c r="E5" i="114"/>
  <c r="D5" i="114"/>
  <c r="C5" i="114"/>
  <c r="O4" i="114"/>
  <c r="N4" i="114"/>
  <c r="M4" i="114"/>
  <c r="L4" i="114"/>
  <c r="K4" i="114"/>
  <c r="J4" i="114"/>
  <c r="I4" i="114"/>
  <c r="H4" i="114"/>
  <c r="F4" i="114"/>
  <c r="E4" i="114"/>
  <c r="D4" i="114"/>
  <c r="C4" i="114"/>
  <c r="O3" i="114"/>
  <c r="N3" i="114"/>
  <c r="M3" i="114"/>
  <c r="L3" i="114"/>
  <c r="K3" i="114"/>
  <c r="J3" i="114"/>
  <c r="I3" i="114"/>
  <c r="H3" i="114"/>
  <c r="F3" i="114"/>
  <c r="E3" i="114"/>
  <c r="D3" i="114"/>
  <c r="C3" i="114"/>
  <c r="O2" i="114"/>
  <c r="N2" i="114"/>
  <c r="N17" i="114" s="1"/>
  <c r="M2" i="114"/>
  <c r="M17" i="114" s="1"/>
  <c r="L2" i="114"/>
  <c r="K2" i="114"/>
  <c r="J2" i="114"/>
  <c r="I2" i="114"/>
  <c r="H2" i="114"/>
  <c r="F2" i="114"/>
  <c r="E2" i="114"/>
  <c r="D2" i="114"/>
  <c r="C2" i="114"/>
  <c r="E154" i="113"/>
  <c r="D154" i="113"/>
  <c r="C154" i="113"/>
  <c r="E153" i="113"/>
  <c r="D153" i="113"/>
  <c r="C153" i="113"/>
  <c r="F152" i="113"/>
  <c r="E152" i="113"/>
  <c r="D152" i="113"/>
  <c r="C152" i="113"/>
  <c r="F151" i="113"/>
  <c r="E151" i="113"/>
  <c r="D151" i="113"/>
  <c r="C151" i="113"/>
  <c r="F150" i="113"/>
  <c r="E150" i="113"/>
  <c r="D150" i="113"/>
  <c r="C150" i="113"/>
  <c r="F149" i="113"/>
  <c r="E149" i="113"/>
  <c r="D149" i="113"/>
  <c r="C149" i="113"/>
  <c r="F148" i="113"/>
  <c r="E148" i="113"/>
  <c r="D148" i="113"/>
  <c r="C148" i="113"/>
  <c r="F147" i="113"/>
  <c r="E147" i="113"/>
  <c r="D147" i="113"/>
  <c r="C147" i="113"/>
  <c r="F146" i="113"/>
  <c r="E146" i="113"/>
  <c r="D146" i="113"/>
  <c r="C146" i="113"/>
  <c r="F145" i="113"/>
  <c r="E145" i="113"/>
  <c r="D145" i="113"/>
  <c r="C145" i="113"/>
  <c r="F144" i="113"/>
  <c r="E144" i="113"/>
  <c r="D144" i="113"/>
  <c r="C144" i="113"/>
  <c r="F143" i="113"/>
  <c r="E143" i="113"/>
  <c r="D143" i="113"/>
  <c r="C143" i="113"/>
  <c r="F142" i="113"/>
  <c r="E142" i="113"/>
  <c r="D142" i="113"/>
  <c r="C142" i="113"/>
  <c r="F141" i="113"/>
  <c r="E141" i="113"/>
  <c r="D141" i="113"/>
  <c r="C141" i="113"/>
  <c r="F140" i="113"/>
  <c r="E140" i="113"/>
  <c r="D140" i="113"/>
  <c r="C140" i="113"/>
  <c r="F139" i="113"/>
  <c r="E139" i="113"/>
  <c r="D139" i="113"/>
  <c r="C139" i="113"/>
  <c r="F138" i="113"/>
  <c r="E138" i="113"/>
  <c r="D138" i="113"/>
  <c r="C138" i="113"/>
  <c r="F137" i="113"/>
  <c r="E137" i="113"/>
  <c r="D137" i="113"/>
  <c r="C137" i="113"/>
  <c r="F136" i="113"/>
  <c r="E136" i="113"/>
  <c r="D136" i="113"/>
  <c r="C136" i="113"/>
  <c r="F135" i="113"/>
  <c r="E135" i="113"/>
  <c r="D135" i="113"/>
  <c r="C135" i="113"/>
  <c r="F134" i="113"/>
  <c r="E134" i="113"/>
  <c r="D134" i="113"/>
  <c r="C134" i="113"/>
  <c r="F133" i="113"/>
  <c r="E133" i="113"/>
  <c r="D133" i="113"/>
  <c r="C133" i="113"/>
  <c r="F132" i="113"/>
  <c r="E132" i="113"/>
  <c r="D132" i="113"/>
  <c r="C132" i="113"/>
  <c r="F131" i="113"/>
  <c r="E131" i="113"/>
  <c r="D131" i="113"/>
  <c r="C131" i="113"/>
  <c r="F130" i="113"/>
  <c r="E130" i="113"/>
  <c r="D130" i="113"/>
  <c r="C130" i="113"/>
  <c r="F129" i="113"/>
  <c r="E129" i="113"/>
  <c r="D129" i="113"/>
  <c r="C129" i="113"/>
  <c r="F128" i="113"/>
  <c r="E128" i="113"/>
  <c r="D128" i="113"/>
  <c r="C128" i="113"/>
  <c r="F127" i="113"/>
  <c r="E127" i="113"/>
  <c r="D127" i="113"/>
  <c r="C127" i="113"/>
  <c r="F126" i="113"/>
  <c r="E126" i="113"/>
  <c r="D126" i="113"/>
  <c r="C126" i="113"/>
  <c r="F125" i="113"/>
  <c r="E125" i="113"/>
  <c r="D125" i="113"/>
  <c r="C125" i="113"/>
  <c r="F124" i="113"/>
  <c r="E124" i="113"/>
  <c r="D124" i="113"/>
  <c r="C124" i="113"/>
  <c r="F123" i="113"/>
  <c r="E123" i="113"/>
  <c r="D123" i="113"/>
  <c r="C123" i="113"/>
  <c r="F122" i="113"/>
  <c r="E122" i="113"/>
  <c r="D122" i="113"/>
  <c r="C122" i="113"/>
  <c r="F121" i="113"/>
  <c r="E121" i="113"/>
  <c r="D121" i="113"/>
  <c r="C121" i="113"/>
  <c r="F120" i="113"/>
  <c r="E120" i="113"/>
  <c r="D120" i="113"/>
  <c r="C120" i="113"/>
  <c r="F119" i="113"/>
  <c r="E119" i="113"/>
  <c r="D119" i="113"/>
  <c r="C119" i="113"/>
  <c r="F118" i="113"/>
  <c r="E118" i="113"/>
  <c r="D118" i="113"/>
  <c r="C118" i="113"/>
  <c r="F117" i="113"/>
  <c r="E117" i="113"/>
  <c r="D117" i="113"/>
  <c r="C117" i="113"/>
  <c r="F116" i="113"/>
  <c r="E116" i="113"/>
  <c r="D116" i="113"/>
  <c r="C116" i="113"/>
  <c r="F115" i="113"/>
  <c r="E115" i="113"/>
  <c r="D115" i="113"/>
  <c r="C115" i="113"/>
  <c r="F114" i="113"/>
  <c r="E114" i="113"/>
  <c r="D114" i="113"/>
  <c r="C114" i="113"/>
  <c r="F113" i="113"/>
  <c r="E113" i="113"/>
  <c r="D113" i="113"/>
  <c r="C113" i="113"/>
  <c r="F112" i="113"/>
  <c r="E112" i="113"/>
  <c r="D112" i="113"/>
  <c r="C112" i="113"/>
  <c r="F111" i="113"/>
  <c r="E111" i="113"/>
  <c r="D111" i="113"/>
  <c r="C111" i="113"/>
  <c r="F110" i="113"/>
  <c r="E110" i="113"/>
  <c r="D110" i="113"/>
  <c r="C110" i="113"/>
  <c r="F109" i="113"/>
  <c r="E109" i="113"/>
  <c r="D109" i="113"/>
  <c r="C109" i="113"/>
  <c r="F108" i="113"/>
  <c r="E108" i="113"/>
  <c r="D108" i="113"/>
  <c r="C108" i="113"/>
  <c r="F107" i="113"/>
  <c r="E107" i="113"/>
  <c r="D107" i="113"/>
  <c r="C107" i="113"/>
  <c r="F106" i="113"/>
  <c r="E106" i="113"/>
  <c r="D106" i="113"/>
  <c r="C106" i="113"/>
  <c r="F105" i="113"/>
  <c r="E105" i="113"/>
  <c r="D105" i="113"/>
  <c r="C105" i="113"/>
  <c r="F104" i="113"/>
  <c r="E104" i="113"/>
  <c r="D104" i="113"/>
  <c r="C104" i="113"/>
  <c r="F103" i="113"/>
  <c r="E103" i="113"/>
  <c r="D103" i="113"/>
  <c r="C103" i="113"/>
  <c r="F102" i="113"/>
  <c r="E102" i="113"/>
  <c r="D102" i="113"/>
  <c r="C102" i="113"/>
  <c r="F101" i="113"/>
  <c r="E101" i="113"/>
  <c r="D101" i="113"/>
  <c r="C101" i="113"/>
  <c r="F100" i="113"/>
  <c r="E100" i="113"/>
  <c r="D100" i="113"/>
  <c r="C100" i="113"/>
  <c r="F99" i="113"/>
  <c r="E99" i="113"/>
  <c r="D99" i="113"/>
  <c r="C99" i="113"/>
  <c r="F98" i="113"/>
  <c r="E98" i="113"/>
  <c r="D98" i="113"/>
  <c r="C98" i="113"/>
  <c r="F97" i="113"/>
  <c r="E97" i="113"/>
  <c r="D97" i="113"/>
  <c r="C97" i="113"/>
  <c r="F96" i="113"/>
  <c r="E96" i="113"/>
  <c r="D96" i="113"/>
  <c r="C96" i="113"/>
  <c r="F95" i="113"/>
  <c r="E95" i="113"/>
  <c r="D95" i="113"/>
  <c r="C95" i="113"/>
  <c r="F94" i="113"/>
  <c r="E94" i="113"/>
  <c r="D94" i="113"/>
  <c r="C94" i="113"/>
  <c r="F93" i="113"/>
  <c r="E93" i="113"/>
  <c r="D93" i="113"/>
  <c r="C93" i="113"/>
  <c r="F92" i="113"/>
  <c r="E92" i="113"/>
  <c r="D92" i="113"/>
  <c r="C92" i="113"/>
  <c r="F91" i="113"/>
  <c r="E91" i="113"/>
  <c r="D91" i="113"/>
  <c r="C91" i="113"/>
  <c r="F90" i="113"/>
  <c r="E90" i="113"/>
  <c r="D90" i="113"/>
  <c r="C90" i="113"/>
  <c r="F89" i="113"/>
  <c r="E89" i="113"/>
  <c r="D89" i="113"/>
  <c r="C89" i="113"/>
  <c r="F88" i="113"/>
  <c r="E88" i="113"/>
  <c r="D88" i="113"/>
  <c r="C88" i="113"/>
  <c r="F87" i="113"/>
  <c r="E87" i="113"/>
  <c r="D87" i="113"/>
  <c r="C87" i="113"/>
  <c r="F86" i="113"/>
  <c r="E86" i="113"/>
  <c r="D86" i="113"/>
  <c r="C86" i="113"/>
  <c r="E85" i="113"/>
  <c r="D85" i="113"/>
  <c r="C85" i="113"/>
  <c r="F84" i="113"/>
  <c r="E84" i="113"/>
  <c r="D84" i="113"/>
  <c r="C84" i="113"/>
  <c r="F83" i="113"/>
  <c r="E83" i="113"/>
  <c r="D83" i="113"/>
  <c r="C83" i="113"/>
  <c r="F82" i="113"/>
  <c r="E82" i="113"/>
  <c r="D82" i="113"/>
  <c r="C82" i="113"/>
  <c r="F81" i="113"/>
  <c r="E81" i="113"/>
  <c r="D81" i="113"/>
  <c r="C81" i="113"/>
  <c r="F80" i="113"/>
  <c r="E80" i="113"/>
  <c r="D80" i="113"/>
  <c r="C80" i="113"/>
  <c r="F79" i="113"/>
  <c r="E79" i="113"/>
  <c r="D79" i="113"/>
  <c r="C79" i="113"/>
  <c r="F78" i="113"/>
  <c r="E78" i="113"/>
  <c r="D78" i="113"/>
  <c r="C78" i="113"/>
  <c r="F77" i="113"/>
  <c r="E77" i="113"/>
  <c r="D77" i="113"/>
  <c r="C77" i="113"/>
  <c r="F76" i="113"/>
  <c r="E76" i="113"/>
  <c r="D76" i="113"/>
  <c r="C76" i="113"/>
  <c r="F75" i="113"/>
  <c r="E75" i="113"/>
  <c r="D75" i="113"/>
  <c r="C75" i="113"/>
  <c r="F74" i="113"/>
  <c r="E74" i="113"/>
  <c r="D74" i="113"/>
  <c r="C74" i="113"/>
  <c r="F73" i="113"/>
  <c r="E73" i="113"/>
  <c r="D73" i="113"/>
  <c r="C73" i="113"/>
  <c r="F72" i="113"/>
  <c r="E72" i="113"/>
  <c r="D72" i="113"/>
  <c r="C72" i="113"/>
  <c r="F71" i="113"/>
  <c r="E71" i="113"/>
  <c r="D71" i="113"/>
  <c r="C71" i="113"/>
  <c r="F70" i="113"/>
  <c r="E70" i="113"/>
  <c r="D70" i="113"/>
  <c r="C70" i="113"/>
  <c r="F69" i="113"/>
  <c r="E69" i="113"/>
  <c r="D69" i="113"/>
  <c r="C69" i="113"/>
  <c r="F68" i="113"/>
  <c r="E68" i="113"/>
  <c r="D68" i="113"/>
  <c r="C68" i="113"/>
  <c r="F67" i="113"/>
  <c r="E67" i="113"/>
  <c r="D67" i="113"/>
  <c r="C67" i="113"/>
  <c r="F66" i="113"/>
  <c r="E66" i="113"/>
  <c r="D66" i="113"/>
  <c r="C66" i="113"/>
  <c r="F65" i="113"/>
  <c r="E65" i="113"/>
  <c r="D65" i="113"/>
  <c r="C65" i="113"/>
  <c r="F64" i="113"/>
  <c r="E64" i="113"/>
  <c r="D64" i="113"/>
  <c r="C64" i="113"/>
  <c r="F63" i="113"/>
  <c r="E63" i="113"/>
  <c r="D63" i="113"/>
  <c r="C63" i="113"/>
  <c r="F62" i="113"/>
  <c r="E62" i="113"/>
  <c r="D62" i="113"/>
  <c r="C62" i="113"/>
  <c r="F61" i="113"/>
  <c r="E61" i="113"/>
  <c r="D61" i="113"/>
  <c r="C61" i="113"/>
  <c r="F60" i="113"/>
  <c r="E60" i="113"/>
  <c r="D60" i="113"/>
  <c r="C60" i="113"/>
  <c r="F59" i="113"/>
  <c r="E59" i="113"/>
  <c r="D59" i="113"/>
  <c r="C59" i="113"/>
  <c r="F58" i="113"/>
  <c r="E58" i="113"/>
  <c r="D58" i="113"/>
  <c r="C58" i="113"/>
  <c r="F57" i="113"/>
  <c r="E57" i="113"/>
  <c r="D57" i="113"/>
  <c r="C57" i="113"/>
  <c r="F56" i="113"/>
  <c r="E56" i="113"/>
  <c r="D56" i="113"/>
  <c r="C56" i="113"/>
  <c r="F55" i="113"/>
  <c r="E55" i="113"/>
  <c r="D55" i="113"/>
  <c r="C55" i="113"/>
  <c r="F54" i="113"/>
  <c r="E54" i="113"/>
  <c r="D54" i="113"/>
  <c r="C54" i="113"/>
  <c r="F53" i="113"/>
  <c r="E53" i="113"/>
  <c r="D53" i="113"/>
  <c r="C53" i="113"/>
  <c r="F52" i="113"/>
  <c r="E52" i="113"/>
  <c r="D52" i="113"/>
  <c r="C52" i="113"/>
  <c r="F51" i="113"/>
  <c r="E51" i="113"/>
  <c r="D51" i="113"/>
  <c r="C51" i="113"/>
  <c r="F50" i="113"/>
  <c r="E50" i="113"/>
  <c r="D50" i="113"/>
  <c r="C50" i="113"/>
  <c r="F49" i="113"/>
  <c r="E49" i="113"/>
  <c r="D49" i="113"/>
  <c r="C49" i="113"/>
  <c r="F48" i="113"/>
  <c r="E48" i="113"/>
  <c r="D48" i="113"/>
  <c r="C48" i="113"/>
  <c r="F47" i="113"/>
  <c r="E47" i="113"/>
  <c r="D47" i="113"/>
  <c r="C47" i="113"/>
  <c r="F46" i="113"/>
  <c r="E46" i="113"/>
  <c r="D46" i="113"/>
  <c r="C46" i="113"/>
  <c r="F45" i="113"/>
  <c r="E45" i="113"/>
  <c r="D45" i="113"/>
  <c r="C45" i="113"/>
  <c r="F44" i="113"/>
  <c r="E44" i="113"/>
  <c r="D44" i="113"/>
  <c r="C44" i="113"/>
  <c r="F43" i="113"/>
  <c r="E43" i="113"/>
  <c r="D43" i="113"/>
  <c r="C43" i="113"/>
  <c r="F42" i="113"/>
  <c r="E42" i="113"/>
  <c r="D42" i="113"/>
  <c r="C42" i="113"/>
  <c r="F41" i="113"/>
  <c r="E41" i="113"/>
  <c r="D41" i="113"/>
  <c r="C41" i="113"/>
  <c r="F40" i="113"/>
  <c r="E40" i="113"/>
  <c r="D40" i="113"/>
  <c r="C40" i="113"/>
  <c r="F39" i="113"/>
  <c r="E39" i="113"/>
  <c r="D39" i="113"/>
  <c r="C39" i="113"/>
  <c r="F38" i="113"/>
  <c r="E38" i="113"/>
  <c r="D38" i="113"/>
  <c r="C38" i="113"/>
  <c r="F37" i="113"/>
  <c r="E37" i="113"/>
  <c r="D37" i="113"/>
  <c r="C37" i="113"/>
  <c r="F36" i="113"/>
  <c r="E36" i="113"/>
  <c r="D36" i="113"/>
  <c r="C36" i="113"/>
  <c r="O35" i="113"/>
  <c r="N35" i="113"/>
  <c r="M35" i="113"/>
  <c r="L35" i="113"/>
  <c r="K35" i="113"/>
  <c r="J35" i="113"/>
  <c r="I35" i="113"/>
  <c r="H35" i="113"/>
  <c r="F35" i="113"/>
  <c r="E35" i="113"/>
  <c r="D35" i="113"/>
  <c r="C35" i="113"/>
  <c r="O34" i="113"/>
  <c r="N34" i="113"/>
  <c r="M34" i="113"/>
  <c r="L34" i="113"/>
  <c r="K34" i="113"/>
  <c r="J34" i="113"/>
  <c r="I34" i="113"/>
  <c r="H34" i="113"/>
  <c r="F34" i="113"/>
  <c r="E34" i="113"/>
  <c r="D34" i="113"/>
  <c r="C34" i="113"/>
  <c r="O33" i="113"/>
  <c r="N33" i="113"/>
  <c r="M33" i="113"/>
  <c r="L33" i="113"/>
  <c r="K33" i="113"/>
  <c r="J33" i="113"/>
  <c r="I33" i="113"/>
  <c r="H33" i="113"/>
  <c r="F33" i="113"/>
  <c r="E33" i="113"/>
  <c r="D33" i="113"/>
  <c r="C33" i="113"/>
  <c r="O32" i="113"/>
  <c r="N32" i="113"/>
  <c r="M32" i="113"/>
  <c r="L32" i="113"/>
  <c r="K32" i="113"/>
  <c r="J32" i="113"/>
  <c r="I32" i="113"/>
  <c r="H32" i="113"/>
  <c r="F32" i="113"/>
  <c r="E32" i="113"/>
  <c r="D32" i="113"/>
  <c r="C32" i="113"/>
  <c r="O31" i="113"/>
  <c r="N31" i="113"/>
  <c r="M31" i="113"/>
  <c r="L31" i="113"/>
  <c r="K31" i="113"/>
  <c r="J31" i="113"/>
  <c r="I31" i="113"/>
  <c r="H31" i="113"/>
  <c r="F31" i="113"/>
  <c r="E31" i="113"/>
  <c r="D31" i="113"/>
  <c r="C31" i="113"/>
  <c r="O30" i="113"/>
  <c r="N30" i="113"/>
  <c r="M30" i="113"/>
  <c r="L30" i="113"/>
  <c r="K30" i="113"/>
  <c r="J30" i="113"/>
  <c r="I30" i="113"/>
  <c r="H30" i="113"/>
  <c r="F30" i="113"/>
  <c r="E30" i="113"/>
  <c r="D30" i="113"/>
  <c r="C30" i="113"/>
  <c r="F29" i="113"/>
  <c r="E29" i="113"/>
  <c r="D29" i="113"/>
  <c r="C29" i="113"/>
  <c r="O28" i="113"/>
  <c r="N28" i="113"/>
  <c r="M28" i="113"/>
  <c r="L28" i="113"/>
  <c r="K28" i="113"/>
  <c r="J28" i="113"/>
  <c r="I28" i="113"/>
  <c r="H28" i="113"/>
  <c r="F28" i="113"/>
  <c r="E28" i="113"/>
  <c r="D28" i="113"/>
  <c r="C28" i="113"/>
  <c r="F27" i="113"/>
  <c r="E27" i="113"/>
  <c r="D27" i="113"/>
  <c r="C27" i="113"/>
  <c r="O26" i="113"/>
  <c r="N26" i="113"/>
  <c r="M26" i="113"/>
  <c r="L26" i="113"/>
  <c r="K26" i="113"/>
  <c r="J26" i="113"/>
  <c r="I26" i="113"/>
  <c r="H26" i="113"/>
  <c r="F26" i="113"/>
  <c r="E26" i="113"/>
  <c r="D26" i="113"/>
  <c r="C26" i="113"/>
  <c r="O25" i="113"/>
  <c r="N25" i="113"/>
  <c r="M25" i="113"/>
  <c r="L25" i="113"/>
  <c r="K25" i="113"/>
  <c r="J25" i="113"/>
  <c r="I25" i="113"/>
  <c r="H25" i="113"/>
  <c r="F25" i="113"/>
  <c r="E25" i="113"/>
  <c r="D25" i="113"/>
  <c r="C25" i="113"/>
  <c r="O24" i="113"/>
  <c r="N24" i="113"/>
  <c r="M24" i="113"/>
  <c r="L24" i="113"/>
  <c r="K24" i="113"/>
  <c r="J24" i="113"/>
  <c r="I24" i="113"/>
  <c r="H24" i="113"/>
  <c r="F24" i="113"/>
  <c r="E24" i="113"/>
  <c r="D24" i="113"/>
  <c r="C24" i="113"/>
  <c r="F23" i="113"/>
  <c r="E23" i="113"/>
  <c r="D23" i="113"/>
  <c r="C23" i="113"/>
  <c r="O22" i="113"/>
  <c r="N22" i="113"/>
  <c r="M22" i="113"/>
  <c r="L22" i="113"/>
  <c r="K22" i="113"/>
  <c r="J22" i="113"/>
  <c r="I22" i="113"/>
  <c r="H22" i="113"/>
  <c r="F22" i="113"/>
  <c r="E22" i="113"/>
  <c r="D22" i="113"/>
  <c r="C22" i="113"/>
  <c r="O21" i="113"/>
  <c r="N21" i="113"/>
  <c r="M21" i="113"/>
  <c r="L21" i="113"/>
  <c r="K21" i="113"/>
  <c r="J21" i="113"/>
  <c r="I21" i="113"/>
  <c r="H21" i="113"/>
  <c r="F21" i="113"/>
  <c r="E21" i="113"/>
  <c r="D21" i="113"/>
  <c r="C21" i="113"/>
  <c r="O20" i="113"/>
  <c r="N20" i="113"/>
  <c r="M20" i="113"/>
  <c r="L20" i="113"/>
  <c r="K20" i="113"/>
  <c r="J20" i="113"/>
  <c r="I20" i="113"/>
  <c r="H20" i="113"/>
  <c r="F20" i="113"/>
  <c r="E20" i="113"/>
  <c r="D20" i="113"/>
  <c r="C20" i="113"/>
  <c r="O19" i="113"/>
  <c r="N19" i="113"/>
  <c r="M19" i="113"/>
  <c r="L19" i="113"/>
  <c r="K19" i="113"/>
  <c r="J19" i="113"/>
  <c r="I19" i="113"/>
  <c r="H19" i="113"/>
  <c r="F19" i="113"/>
  <c r="E19" i="113"/>
  <c r="D19" i="113"/>
  <c r="C19" i="113"/>
  <c r="O18" i="113"/>
  <c r="N18" i="113"/>
  <c r="M18" i="113"/>
  <c r="L18" i="113"/>
  <c r="K18" i="113"/>
  <c r="J18" i="113"/>
  <c r="I18" i="113"/>
  <c r="H18" i="113"/>
  <c r="F18" i="113"/>
  <c r="E18" i="113"/>
  <c r="D18" i="113"/>
  <c r="C18" i="113"/>
  <c r="O17" i="113"/>
  <c r="N17" i="113"/>
  <c r="M17" i="113"/>
  <c r="L17" i="113"/>
  <c r="K17" i="113"/>
  <c r="J17" i="113"/>
  <c r="I17" i="113"/>
  <c r="H17" i="113"/>
  <c r="F17" i="113"/>
  <c r="E17" i="113"/>
  <c r="D17" i="113"/>
  <c r="C17" i="113"/>
  <c r="O16" i="113"/>
  <c r="N16" i="113"/>
  <c r="M16" i="113"/>
  <c r="L16" i="113"/>
  <c r="K16" i="113"/>
  <c r="J16" i="113"/>
  <c r="I16" i="113"/>
  <c r="H16" i="113"/>
  <c r="F16" i="113"/>
  <c r="E16" i="113"/>
  <c r="D16" i="113"/>
  <c r="C16" i="113"/>
  <c r="O15" i="113"/>
  <c r="N15" i="113"/>
  <c r="M15" i="113"/>
  <c r="L15" i="113"/>
  <c r="K15" i="113"/>
  <c r="J15" i="113"/>
  <c r="I15" i="113"/>
  <c r="H15" i="113"/>
  <c r="F15" i="113"/>
  <c r="E15" i="113"/>
  <c r="D15" i="113"/>
  <c r="C15" i="113"/>
  <c r="O14" i="113"/>
  <c r="N14" i="113"/>
  <c r="M14" i="113"/>
  <c r="L14" i="113"/>
  <c r="K14" i="113"/>
  <c r="J14" i="113"/>
  <c r="I14" i="113"/>
  <c r="H14" i="113"/>
  <c r="F14" i="113"/>
  <c r="E14" i="113"/>
  <c r="D14" i="113"/>
  <c r="C14" i="113"/>
  <c r="O13" i="113"/>
  <c r="N13" i="113"/>
  <c r="M13" i="113"/>
  <c r="L13" i="113"/>
  <c r="K13" i="113"/>
  <c r="J13" i="113"/>
  <c r="I13" i="113"/>
  <c r="H13" i="113"/>
  <c r="F13" i="113"/>
  <c r="E13" i="113"/>
  <c r="D13" i="113"/>
  <c r="C13" i="113"/>
  <c r="O12" i="113"/>
  <c r="N12" i="113"/>
  <c r="M12" i="113"/>
  <c r="L12" i="113"/>
  <c r="K12" i="113"/>
  <c r="J12" i="113"/>
  <c r="I12" i="113"/>
  <c r="H12" i="113"/>
  <c r="F12" i="113"/>
  <c r="E12" i="113"/>
  <c r="D12" i="113"/>
  <c r="C12" i="113"/>
  <c r="O11" i="113"/>
  <c r="N11" i="113"/>
  <c r="M11" i="113"/>
  <c r="L11" i="113"/>
  <c r="K11" i="113"/>
  <c r="J11" i="113"/>
  <c r="I11" i="113"/>
  <c r="H11" i="113"/>
  <c r="F11" i="113"/>
  <c r="E11" i="113"/>
  <c r="D11" i="113"/>
  <c r="C11" i="113"/>
  <c r="O10" i="113"/>
  <c r="N10" i="113"/>
  <c r="M10" i="113"/>
  <c r="L10" i="113"/>
  <c r="K10" i="113"/>
  <c r="J10" i="113"/>
  <c r="I10" i="113"/>
  <c r="H10" i="113"/>
  <c r="F10" i="113"/>
  <c r="E10" i="113"/>
  <c r="D10" i="113"/>
  <c r="C10" i="113"/>
  <c r="F9" i="113"/>
  <c r="E9" i="113"/>
  <c r="D9" i="113"/>
  <c r="C9" i="113"/>
  <c r="O8" i="113"/>
  <c r="N8" i="113"/>
  <c r="M8" i="113"/>
  <c r="L8" i="113"/>
  <c r="K8" i="113"/>
  <c r="J8" i="113"/>
  <c r="I8" i="113"/>
  <c r="H8" i="113"/>
  <c r="F8" i="113"/>
  <c r="E8" i="113"/>
  <c r="D8" i="113"/>
  <c r="C8" i="113"/>
  <c r="O7" i="113"/>
  <c r="N7" i="113"/>
  <c r="M7" i="113"/>
  <c r="L7" i="113"/>
  <c r="K7" i="113"/>
  <c r="J7" i="113"/>
  <c r="I7" i="113"/>
  <c r="H7" i="113"/>
  <c r="F7" i="113"/>
  <c r="E7" i="113"/>
  <c r="D7" i="113"/>
  <c r="C7" i="113"/>
  <c r="O6" i="113"/>
  <c r="N6" i="113"/>
  <c r="M6" i="113"/>
  <c r="L6" i="113"/>
  <c r="K6" i="113"/>
  <c r="J6" i="113"/>
  <c r="I6" i="113"/>
  <c r="H6" i="113"/>
  <c r="F6" i="113"/>
  <c r="E6" i="113"/>
  <c r="D6" i="113"/>
  <c r="C6" i="113"/>
  <c r="O5" i="113"/>
  <c r="N5" i="113"/>
  <c r="M5" i="113"/>
  <c r="L5" i="113"/>
  <c r="K5" i="113"/>
  <c r="J5" i="113"/>
  <c r="I5" i="113"/>
  <c r="H5" i="113"/>
  <c r="F5" i="113"/>
  <c r="E5" i="113"/>
  <c r="D5" i="113"/>
  <c r="C5" i="113"/>
  <c r="F4" i="113"/>
  <c r="E4" i="113"/>
  <c r="D4" i="113"/>
  <c r="C4" i="113"/>
  <c r="O3" i="113"/>
  <c r="N3" i="113"/>
  <c r="M3" i="113"/>
  <c r="L3" i="113"/>
  <c r="K3" i="113"/>
  <c r="J3" i="113"/>
  <c r="I3" i="113"/>
  <c r="H3" i="113"/>
  <c r="F3" i="113"/>
  <c r="E3" i="113"/>
  <c r="D3" i="113"/>
  <c r="C3" i="113"/>
  <c r="O2" i="113"/>
  <c r="N2" i="113"/>
  <c r="N156" i="113" s="1"/>
  <c r="M2" i="113"/>
  <c r="M156" i="113" s="1"/>
  <c r="L2" i="113"/>
  <c r="K2" i="113"/>
  <c r="J2" i="113"/>
  <c r="I2" i="113"/>
  <c r="H2" i="113"/>
  <c r="F2" i="113"/>
  <c r="E2" i="113"/>
  <c r="D2" i="113"/>
  <c r="C2" i="113"/>
  <c r="O6" i="112"/>
  <c r="N6" i="112"/>
  <c r="M6" i="112"/>
  <c r="L6" i="112"/>
  <c r="K6" i="112"/>
  <c r="J6" i="112"/>
  <c r="I6" i="112"/>
  <c r="H6" i="112"/>
  <c r="F6" i="112"/>
  <c r="E6" i="112"/>
  <c r="D6" i="112"/>
  <c r="C6" i="112"/>
  <c r="O5" i="112"/>
  <c r="N5" i="112"/>
  <c r="M5" i="112"/>
  <c r="L5" i="112"/>
  <c r="K5" i="112"/>
  <c r="J5" i="112"/>
  <c r="I5" i="112"/>
  <c r="H5" i="112"/>
  <c r="F5" i="112"/>
  <c r="E5" i="112"/>
  <c r="D5" i="112"/>
  <c r="C5" i="112"/>
  <c r="O4" i="112"/>
  <c r="N4" i="112"/>
  <c r="M4" i="112"/>
  <c r="L4" i="112"/>
  <c r="K4" i="112"/>
  <c r="J4" i="112"/>
  <c r="I4" i="112"/>
  <c r="H4" i="112"/>
  <c r="F4" i="112"/>
  <c r="E4" i="112"/>
  <c r="D4" i="112"/>
  <c r="C4" i="112"/>
  <c r="O3" i="112"/>
  <c r="N3" i="112"/>
  <c r="M3" i="112"/>
  <c r="L3" i="112"/>
  <c r="K3" i="112"/>
  <c r="J3" i="112"/>
  <c r="I3" i="112"/>
  <c r="H3" i="112"/>
  <c r="F3" i="112"/>
  <c r="E3" i="112"/>
  <c r="D3" i="112"/>
  <c r="C3" i="112"/>
  <c r="O2" i="112"/>
  <c r="N2" i="112"/>
  <c r="M2" i="112"/>
  <c r="L2" i="112"/>
  <c r="K2" i="112"/>
  <c r="K8" i="112" s="1"/>
  <c r="J2" i="112"/>
  <c r="I2" i="112"/>
  <c r="H2" i="112"/>
  <c r="F2" i="112"/>
  <c r="E2" i="112"/>
  <c r="D2" i="112"/>
  <c r="C2" i="112"/>
  <c r="F9" i="111"/>
  <c r="E9" i="111"/>
  <c r="F8" i="111"/>
  <c r="E8" i="111"/>
  <c r="F7" i="111"/>
  <c r="E7" i="111"/>
  <c r="F6" i="111"/>
  <c r="E6" i="111"/>
  <c r="F5" i="111"/>
  <c r="E5" i="111"/>
  <c r="O4" i="111"/>
  <c r="N4" i="111"/>
  <c r="M4" i="111"/>
  <c r="L4" i="111"/>
  <c r="K4" i="111"/>
  <c r="J4" i="111"/>
  <c r="I4" i="111"/>
  <c r="H4" i="111"/>
  <c r="F4" i="111"/>
  <c r="E4" i="111"/>
  <c r="D4" i="111"/>
  <c r="C4" i="111"/>
  <c r="O3" i="111"/>
  <c r="N3" i="111"/>
  <c r="M3" i="111"/>
  <c r="L3" i="111"/>
  <c r="K3" i="111"/>
  <c r="J3" i="111"/>
  <c r="I3" i="111"/>
  <c r="H3" i="111"/>
  <c r="F3" i="111"/>
  <c r="E3" i="111"/>
  <c r="D3" i="111"/>
  <c r="C3" i="111"/>
  <c r="O2" i="111"/>
  <c r="N2" i="111"/>
  <c r="N11" i="111" s="1"/>
  <c r="M2" i="111"/>
  <c r="L2" i="111"/>
  <c r="K2" i="111"/>
  <c r="J2" i="111"/>
  <c r="I2" i="111"/>
  <c r="H2" i="111"/>
  <c r="F2" i="111"/>
  <c r="E2" i="111"/>
  <c r="D2" i="111"/>
  <c r="C2" i="111"/>
  <c r="E68" i="110"/>
  <c r="E67" i="110"/>
  <c r="E66" i="110"/>
  <c r="E65" i="110"/>
  <c r="E64" i="110"/>
  <c r="E63" i="110"/>
  <c r="F62" i="110"/>
  <c r="E62" i="110"/>
  <c r="F61" i="110"/>
  <c r="E61" i="110"/>
  <c r="F60" i="110"/>
  <c r="E60" i="110"/>
  <c r="F59" i="110"/>
  <c r="E59" i="110"/>
  <c r="F58" i="110"/>
  <c r="E58" i="110"/>
  <c r="F57" i="110"/>
  <c r="E57" i="110"/>
  <c r="F56" i="110"/>
  <c r="E56" i="110"/>
  <c r="F55" i="110"/>
  <c r="E55" i="110"/>
  <c r="F54" i="110"/>
  <c r="E54" i="110"/>
  <c r="F53" i="110"/>
  <c r="E53" i="110"/>
  <c r="F52" i="110"/>
  <c r="E52" i="110"/>
  <c r="F51" i="110"/>
  <c r="E51" i="110"/>
  <c r="F50" i="110"/>
  <c r="E50" i="110"/>
  <c r="F49" i="110"/>
  <c r="E49" i="110"/>
  <c r="F48" i="110"/>
  <c r="E48" i="110"/>
  <c r="F47" i="110"/>
  <c r="E47" i="110"/>
  <c r="F46" i="110"/>
  <c r="E46" i="110"/>
  <c r="F45" i="110"/>
  <c r="E45" i="110"/>
  <c r="F44" i="110"/>
  <c r="E44" i="110"/>
  <c r="F43" i="110"/>
  <c r="E43" i="110"/>
  <c r="F42" i="110"/>
  <c r="E42" i="110"/>
  <c r="F41" i="110"/>
  <c r="E41" i="110"/>
  <c r="F40" i="110"/>
  <c r="E40" i="110"/>
  <c r="F39" i="110"/>
  <c r="E39" i="110"/>
  <c r="F38" i="110"/>
  <c r="E38" i="110"/>
  <c r="F37" i="110"/>
  <c r="E37" i="110"/>
  <c r="F36" i="110"/>
  <c r="E36" i="110"/>
  <c r="F35" i="110"/>
  <c r="E35" i="110"/>
  <c r="F34" i="110"/>
  <c r="E34" i="110"/>
  <c r="F33" i="110"/>
  <c r="E33" i="110"/>
  <c r="F32" i="110"/>
  <c r="E32" i="110"/>
  <c r="F31" i="110"/>
  <c r="E31" i="110"/>
  <c r="F30" i="110"/>
  <c r="E30" i="110"/>
  <c r="F29" i="110"/>
  <c r="E29" i="110"/>
  <c r="F28" i="110"/>
  <c r="E28" i="110"/>
  <c r="F27" i="110"/>
  <c r="E27" i="110"/>
  <c r="F26" i="110"/>
  <c r="E26" i="110"/>
  <c r="F25" i="110"/>
  <c r="E25" i="110"/>
  <c r="F24" i="110"/>
  <c r="E24" i="110"/>
  <c r="F23" i="110"/>
  <c r="E23" i="110"/>
  <c r="F22" i="110"/>
  <c r="E22" i="110"/>
  <c r="F21" i="110"/>
  <c r="E21" i="110"/>
  <c r="F20" i="110"/>
  <c r="E20" i="110"/>
  <c r="F19" i="110"/>
  <c r="E19" i="110"/>
  <c r="F18" i="110"/>
  <c r="E18" i="110"/>
  <c r="F17" i="110"/>
  <c r="E17" i="110"/>
  <c r="F16" i="110"/>
  <c r="E16" i="110"/>
  <c r="F15" i="110"/>
  <c r="E15" i="110"/>
  <c r="F14" i="110"/>
  <c r="E14" i="110"/>
  <c r="F13" i="110"/>
  <c r="E13" i="110"/>
  <c r="F12" i="110"/>
  <c r="E12" i="110"/>
  <c r="F11" i="110"/>
  <c r="E11" i="110"/>
  <c r="O10" i="110"/>
  <c r="N10" i="110"/>
  <c r="M10" i="110"/>
  <c r="L10" i="110"/>
  <c r="K10" i="110"/>
  <c r="J10" i="110"/>
  <c r="I10" i="110"/>
  <c r="H10" i="110"/>
  <c r="F10" i="110"/>
  <c r="E10" i="110"/>
  <c r="D10" i="110"/>
  <c r="C10" i="110"/>
  <c r="O9" i="110"/>
  <c r="N9" i="110"/>
  <c r="M9" i="110"/>
  <c r="L9" i="110"/>
  <c r="K9" i="110"/>
  <c r="J9" i="110"/>
  <c r="I9" i="110"/>
  <c r="H9" i="110"/>
  <c r="F9" i="110"/>
  <c r="E9" i="110"/>
  <c r="D9" i="110"/>
  <c r="C9" i="110"/>
  <c r="O8" i="110"/>
  <c r="N8" i="110"/>
  <c r="M8" i="110"/>
  <c r="L8" i="110"/>
  <c r="K8" i="110"/>
  <c r="J8" i="110"/>
  <c r="I8" i="110"/>
  <c r="H8" i="110"/>
  <c r="F8" i="110"/>
  <c r="E8" i="110"/>
  <c r="D8" i="110"/>
  <c r="C8" i="110"/>
  <c r="O7" i="110"/>
  <c r="N7" i="110"/>
  <c r="M7" i="110"/>
  <c r="L7" i="110"/>
  <c r="K7" i="110"/>
  <c r="J7" i="110"/>
  <c r="I7" i="110"/>
  <c r="H7" i="110"/>
  <c r="F7" i="110"/>
  <c r="E7" i="110"/>
  <c r="D7" i="110"/>
  <c r="C7" i="110"/>
  <c r="O6" i="110"/>
  <c r="N6" i="110"/>
  <c r="M6" i="110"/>
  <c r="L6" i="110"/>
  <c r="K6" i="110"/>
  <c r="J6" i="110"/>
  <c r="I6" i="110"/>
  <c r="H6" i="110"/>
  <c r="F6" i="110"/>
  <c r="E6" i="110"/>
  <c r="D6" i="110"/>
  <c r="C6" i="110"/>
  <c r="O5" i="110"/>
  <c r="N5" i="110"/>
  <c r="M5" i="110"/>
  <c r="L5" i="110"/>
  <c r="K5" i="110"/>
  <c r="J5" i="110"/>
  <c r="I5" i="110"/>
  <c r="H5" i="110"/>
  <c r="F5" i="110"/>
  <c r="E5" i="110"/>
  <c r="D5" i="110"/>
  <c r="C5" i="110"/>
  <c r="O4" i="110"/>
  <c r="N4" i="110"/>
  <c r="M4" i="110"/>
  <c r="L4" i="110"/>
  <c r="K4" i="110"/>
  <c r="J4" i="110"/>
  <c r="I4" i="110"/>
  <c r="H4" i="110"/>
  <c r="F4" i="110"/>
  <c r="E4" i="110"/>
  <c r="D4" i="110"/>
  <c r="C4" i="110"/>
  <c r="O3" i="110"/>
  <c r="N3" i="110"/>
  <c r="M3" i="110"/>
  <c r="L3" i="110"/>
  <c r="K3" i="110"/>
  <c r="J3" i="110"/>
  <c r="I3" i="110"/>
  <c r="H3" i="110"/>
  <c r="F3" i="110"/>
  <c r="E3" i="110"/>
  <c r="D3" i="110"/>
  <c r="C3" i="110"/>
  <c r="O2" i="110"/>
  <c r="N2" i="110"/>
  <c r="M2" i="110"/>
  <c r="L2" i="110"/>
  <c r="K2" i="110"/>
  <c r="J2" i="110"/>
  <c r="J70" i="110" s="1"/>
  <c r="I2" i="110"/>
  <c r="H2" i="110"/>
  <c r="F2" i="110"/>
  <c r="E2" i="110"/>
  <c r="D2" i="110"/>
  <c r="C2" i="110"/>
  <c r="F15" i="109"/>
  <c r="E15" i="109"/>
  <c r="F14" i="109"/>
  <c r="E14" i="109"/>
  <c r="F13" i="109"/>
  <c r="E13" i="109"/>
  <c r="F12" i="109"/>
  <c r="E12" i="109"/>
  <c r="F11" i="109"/>
  <c r="E11" i="109"/>
  <c r="O10" i="109"/>
  <c r="N10" i="109"/>
  <c r="M10" i="109"/>
  <c r="L10" i="109"/>
  <c r="K10" i="109"/>
  <c r="J10" i="109"/>
  <c r="I10" i="109"/>
  <c r="H10" i="109"/>
  <c r="F10" i="109"/>
  <c r="E10" i="109"/>
  <c r="D10" i="109"/>
  <c r="C10" i="109"/>
  <c r="O9" i="109"/>
  <c r="N9" i="109"/>
  <c r="M9" i="109"/>
  <c r="L9" i="109"/>
  <c r="K9" i="109"/>
  <c r="J9" i="109"/>
  <c r="I9" i="109"/>
  <c r="H9" i="109"/>
  <c r="F9" i="109"/>
  <c r="E9" i="109"/>
  <c r="D9" i="109"/>
  <c r="C9" i="109"/>
  <c r="O8" i="109"/>
  <c r="N8" i="109"/>
  <c r="M8" i="109"/>
  <c r="L8" i="109"/>
  <c r="K8" i="109"/>
  <c r="J8" i="109"/>
  <c r="I8" i="109"/>
  <c r="H8" i="109"/>
  <c r="F8" i="109"/>
  <c r="E8" i="109"/>
  <c r="D8" i="109"/>
  <c r="C8" i="109"/>
  <c r="O7" i="109"/>
  <c r="N7" i="109"/>
  <c r="M7" i="109"/>
  <c r="L7" i="109"/>
  <c r="K7" i="109"/>
  <c r="J7" i="109"/>
  <c r="I7" i="109"/>
  <c r="H7" i="109"/>
  <c r="F7" i="109"/>
  <c r="E7" i="109"/>
  <c r="D7" i="109"/>
  <c r="C7" i="109"/>
  <c r="O6" i="109"/>
  <c r="N6" i="109"/>
  <c r="M6" i="109"/>
  <c r="L6" i="109"/>
  <c r="K6" i="109"/>
  <c r="J6" i="109"/>
  <c r="I6" i="109"/>
  <c r="H6" i="109"/>
  <c r="F6" i="109"/>
  <c r="E6" i="109"/>
  <c r="D6" i="109"/>
  <c r="C6" i="109"/>
  <c r="O5" i="109"/>
  <c r="N5" i="109"/>
  <c r="M5" i="109"/>
  <c r="L5" i="109"/>
  <c r="K5" i="109"/>
  <c r="J5" i="109"/>
  <c r="I5" i="109"/>
  <c r="H5" i="109"/>
  <c r="F5" i="109"/>
  <c r="E5" i="109"/>
  <c r="D5" i="109"/>
  <c r="C5" i="109"/>
  <c r="O4" i="109"/>
  <c r="N4" i="109"/>
  <c r="M4" i="109"/>
  <c r="L4" i="109"/>
  <c r="K4" i="109"/>
  <c r="J4" i="109"/>
  <c r="I4" i="109"/>
  <c r="H4" i="109"/>
  <c r="F4" i="109"/>
  <c r="E4" i="109"/>
  <c r="D4" i="109"/>
  <c r="C4" i="109"/>
  <c r="O3" i="109"/>
  <c r="N3" i="109"/>
  <c r="M3" i="109"/>
  <c r="L3" i="109"/>
  <c r="K3" i="109"/>
  <c r="J3" i="109"/>
  <c r="I3" i="109"/>
  <c r="H3" i="109"/>
  <c r="F3" i="109"/>
  <c r="E3" i="109"/>
  <c r="D3" i="109"/>
  <c r="C3" i="109"/>
  <c r="O2" i="109"/>
  <c r="N2" i="109"/>
  <c r="M2" i="109"/>
  <c r="L2" i="109"/>
  <c r="K2" i="109"/>
  <c r="J2" i="109"/>
  <c r="I2" i="109"/>
  <c r="H2" i="109"/>
  <c r="F2" i="109"/>
  <c r="E2" i="109"/>
  <c r="D2" i="109"/>
  <c r="C2" i="109"/>
  <c r="E123" i="108"/>
  <c r="E122" i="108"/>
  <c r="E121" i="108"/>
  <c r="E120" i="108"/>
  <c r="E118" i="108"/>
  <c r="E117" i="108"/>
  <c r="F116" i="108"/>
  <c r="E116" i="108"/>
  <c r="F115" i="108"/>
  <c r="E115" i="108"/>
  <c r="F114" i="108"/>
  <c r="E114" i="108"/>
  <c r="F113" i="108"/>
  <c r="E113" i="108"/>
  <c r="F112" i="108"/>
  <c r="E112" i="108"/>
  <c r="F111" i="108"/>
  <c r="E111" i="108"/>
  <c r="F110" i="108"/>
  <c r="E110" i="108"/>
  <c r="F109" i="108"/>
  <c r="E109" i="108"/>
  <c r="F108" i="108"/>
  <c r="E108" i="108"/>
  <c r="F107" i="108"/>
  <c r="E107" i="108"/>
  <c r="F106" i="108"/>
  <c r="E106" i="108"/>
  <c r="F105" i="108"/>
  <c r="E105" i="108"/>
  <c r="F104" i="108"/>
  <c r="E104" i="108"/>
  <c r="F103" i="108"/>
  <c r="E103" i="108"/>
  <c r="F102" i="108"/>
  <c r="E102" i="108"/>
  <c r="F101" i="108"/>
  <c r="E101" i="108"/>
  <c r="F100" i="108"/>
  <c r="E100" i="108"/>
  <c r="F99" i="108"/>
  <c r="E99" i="108"/>
  <c r="F98" i="108"/>
  <c r="E98" i="108"/>
  <c r="F97" i="108"/>
  <c r="E97" i="108"/>
  <c r="F96" i="108"/>
  <c r="E96" i="108"/>
  <c r="F95" i="108"/>
  <c r="E95" i="108"/>
  <c r="F94" i="108"/>
  <c r="E94" i="108"/>
  <c r="F93" i="108"/>
  <c r="E93" i="108"/>
  <c r="F92" i="108"/>
  <c r="E92" i="108"/>
  <c r="F91" i="108"/>
  <c r="E91" i="108"/>
  <c r="F90" i="108"/>
  <c r="E90" i="108"/>
  <c r="F89" i="108"/>
  <c r="E89" i="108"/>
  <c r="F88" i="108"/>
  <c r="E88" i="108"/>
  <c r="F87" i="108"/>
  <c r="E87" i="108"/>
  <c r="F86" i="108"/>
  <c r="E86" i="108"/>
  <c r="F85" i="108"/>
  <c r="E85" i="108"/>
  <c r="F84" i="108"/>
  <c r="E84" i="108"/>
  <c r="F83" i="108"/>
  <c r="E83" i="108"/>
  <c r="F82" i="108"/>
  <c r="E82" i="108"/>
  <c r="F81" i="108"/>
  <c r="E81" i="108"/>
  <c r="F80" i="108"/>
  <c r="E80" i="108"/>
  <c r="F79" i="108"/>
  <c r="E79" i="108"/>
  <c r="F78" i="108"/>
  <c r="E78" i="108"/>
  <c r="F77" i="108"/>
  <c r="E77" i="108"/>
  <c r="F76" i="108"/>
  <c r="E76" i="108"/>
  <c r="F75" i="108"/>
  <c r="E75" i="108"/>
  <c r="F74" i="108"/>
  <c r="E74" i="108"/>
  <c r="F73" i="108"/>
  <c r="E73" i="108"/>
  <c r="F72" i="108"/>
  <c r="E72" i="108"/>
  <c r="F71" i="108"/>
  <c r="E71" i="108"/>
  <c r="F70" i="108"/>
  <c r="E70" i="108"/>
  <c r="F69" i="108"/>
  <c r="E69" i="108"/>
  <c r="F68" i="108"/>
  <c r="E68" i="108"/>
  <c r="F67" i="108"/>
  <c r="E67" i="108"/>
  <c r="F66" i="108"/>
  <c r="E66" i="108"/>
  <c r="F65" i="108"/>
  <c r="E65" i="108"/>
  <c r="F64" i="108"/>
  <c r="E64" i="108"/>
  <c r="F63" i="108"/>
  <c r="E63" i="108"/>
  <c r="F62" i="108"/>
  <c r="E62" i="108"/>
  <c r="F61" i="108"/>
  <c r="E61" i="108"/>
  <c r="F60" i="108"/>
  <c r="E60" i="108"/>
  <c r="F59" i="108"/>
  <c r="E59" i="108"/>
  <c r="F58" i="108"/>
  <c r="E58" i="108"/>
  <c r="F57" i="108"/>
  <c r="E57" i="108"/>
  <c r="F56" i="108"/>
  <c r="E56" i="108"/>
  <c r="F55" i="108"/>
  <c r="E55" i="108"/>
  <c r="F54" i="108"/>
  <c r="E54" i="108"/>
  <c r="F53" i="108"/>
  <c r="E53" i="108"/>
  <c r="F52" i="108"/>
  <c r="E52" i="108"/>
  <c r="F51" i="108"/>
  <c r="E51" i="108"/>
  <c r="F50" i="108"/>
  <c r="E50" i="108"/>
  <c r="F49" i="108"/>
  <c r="E49" i="108"/>
  <c r="F48" i="108"/>
  <c r="E48" i="108"/>
  <c r="F47" i="108"/>
  <c r="E47" i="108"/>
  <c r="F46" i="108"/>
  <c r="E46" i="108"/>
  <c r="F45" i="108"/>
  <c r="E45" i="108"/>
  <c r="F44" i="108"/>
  <c r="E44" i="108"/>
  <c r="F43" i="108"/>
  <c r="E43" i="108"/>
  <c r="F42" i="108"/>
  <c r="E42" i="108"/>
  <c r="F41" i="108"/>
  <c r="E41" i="108"/>
  <c r="F40" i="108"/>
  <c r="E40" i="108"/>
  <c r="F39" i="108"/>
  <c r="E39" i="108"/>
  <c r="F38" i="108"/>
  <c r="E38" i="108"/>
  <c r="F37" i="108"/>
  <c r="E37" i="108"/>
  <c r="F36" i="108"/>
  <c r="E36" i="108"/>
  <c r="F35" i="108"/>
  <c r="E35" i="108"/>
  <c r="F34" i="108"/>
  <c r="E34" i="108"/>
  <c r="F33" i="108"/>
  <c r="E33" i="108"/>
  <c r="F32" i="108"/>
  <c r="E32" i="108"/>
  <c r="F31" i="108"/>
  <c r="E31" i="108"/>
  <c r="F30" i="108"/>
  <c r="E30" i="108"/>
  <c r="F29" i="108"/>
  <c r="E29" i="108"/>
  <c r="F28" i="108"/>
  <c r="E28" i="108"/>
  <c r="F27" i="108"/>
  <c r="E27" i="108"/>
  <c r="O26" i="108"/>
  <c r="N26" i="108"/>
  <c r="M26" i="108"/>
  <c r="L26" i="108"/>
  <c r="K26" i="108"/>
  <c r="J26" i="108"/>
  <c r="I26" i="108"/>
  <c r="H26" i="108"/>
  <c r="F26" i="108"/>
  <c r="E26" i="108"/>
  <c r="D26" i="108"/>
  <c r="C26" i="108"/>
  <c r="O25" i="108"/>
  <c r="N25" i="108"/>
  <c r="M25" i="108"/>
  <c r="L25" i="108"/>
  <c r="K25" i="108"/>
  <c r="J25" i="108"/>
  <c r="I25" i="108"/>
  <c r="H25" i="108"/>
  <c r="F25" i="108"/>
  <c r="E25" i="108"/>
  <c r="D25" i="108"/>
  <c r="C25" i="108"/>
  <c r="O24" i="108"/>
  <c r="N24" i="108"/>
  <c r="M24" i="108"/>
  <c r="L24" i="108"/>
  <c r="K24" i="108"/>
  <c r="J24" i="108"/>
  <c r="I24" i="108"/>
  <c r="H24" i="108"/>
  <c r="F24" i="108"/>
  <c r="E24" i="108"/>
  <c r="D24" i="108"/>
  <c r="C24" i="108"/>
  <c r="O23" i="108"/>
  <c r="N23" i="108"/>
  <c r="M23" i="108"/>
  <c r="L23" i="108"/>
  <c r="K23" i="108"/>
  <c r="J23" i="108"/>
  <c r="I23" i="108"/>
  <c r="H23" i="108"/>
  <c r="F23" i="108"/>
  <c r="E23" i="108"/>
  <c r="D23" i="108"/>
  <c r="C23" i="108"/>
  <c r="O22" i="108"/>
  <c r="N22" i="108"/>
  <c r="M22" i="108"/>
  <c r="L22" i="108"/>
  <c r="K22" i="108"/>
  <c r="J22" i="108"/>
  <c r="I22" i="108"/>
  <c r="H22" i="108"/>
  <c r="F22" i="108"/>
  <c r="E22" i="108"/>
  <c r="D22" i="108"/>
  <c r="C22" i="108"/>
  <c r="O21" i="108"/>
  <c r="N21" i="108"/>
  <c r="M21" i="108"/>
  <c r="L21" i="108"/>
  <c r="K21" i="108"/>
  <c r="J21" i="108"/>
  <c r="I21" i="108"/>
  <c r="H21" i="108"/>
  <c r="F21" i="108"/>
  <c r="E21" i="108"/>
  <c r="D21" i="108"/>
  <c r="C21" i="108"/>
  <c r="O20" i="108"/>
  <c r="N20" i="108"/>
  <c r="M20" i="108"/>
  <c r="L20" i="108"/>
  <c r="K20" i="108"/>
  <c r="J20" i="108"/>
  <c r="I20" i="108"/>
  <c r="H20" i="108"/>
  <c r="F20" i="108"/>
  <c r="E20" i="108"/>
  <c r="D20" i="108"/>
  <c r="C20" i="108"/>
  <c r="O19" i="108"/>
  <c r="N19" i="108"/>
  <c r="M19" i="108"/>
  <c r="L19" i="108"/>
  <c r="K19" i="108"/>
  <c r="J19" i="108"/>
  <c r="I19" i="108"/>
  <c r="H19" i="108"/>
  <c r="F19" i="108"/>
  <c r="E19" i="108"/>
  <c r="D19" i="108"/>
  <c r="C19" i="108"/>
  <c r="O18" i="108"/>
  <c r="N18" i="108"/>
  <c r="M18" i="108"/>
  <c r="L18" i="108"/>
  <c r="K18" i="108"/>
  <c r="J18" i="108"/>
  <c r="I18" i="108"/>
  <c r="H18" i="108"/>
  <c r="F18" i="108"/>
  <c r="E18" i="108"/>
  <c r="D18" i="108"/>
  <c r="C18" i="108"/>
  <c r="O17" i="108"/>
  <c r="N17" i="108"/>
  <c r="M17" i="108"/>
  <c r="L17" i="108"/>
  <c r="K17" i="108"/>
  <c r="J17" i="108"/>
  <c r="I17" i="108"/>
  <c r="H17" i="108"/>
  <c r="F17" i="108"/>
  <c r="E17" i="108"/>
  <c r="D17" i="108"/>
  <c r="C17" i="108"/>
  <c r="O16" i="108"/>
  <c r="N16" i="108"/>
  <c r="M16" i="108"/>
  <c r="L16" i="108"/>
  <c r="K16" i="108"/>
  <c r="J16" i="108"/>
  <c r="I16" i="108"/>
  <c r="H16" i="108"/>
  <c r="F16" i="108"/>
  <c r="E16" i="108"/>
  <c r="D16" i="108"/>
  <c r="C16" i="108"/>
  <c r="O15" i="108"/>
  <c r="N15" i="108"/>
  <c r="M15" i="108"/>
  <c r="L15" i="108"/>
  <c r="K15" i="108"/>
  <c r="J15" i="108"/>
  <c r="I15" i="108"/>
  <c r="H15" i="108"/>
  <c r="F15" i="108"/>
  <c r="E15" i="108"/>
  <c r="D15" i="108"/>
  <c r="C15" i="108"/>
  <c r="O14" i="108"/>
  <c r="N14" i="108"/>
  <c r="M14" i="108"/>
  <c r="L14" i="108"/>
  <c r="K14" i="108"/>
  <c r="J14" i="108"/>
  <c r="I14" i="108"/>
  <c r="H14" i="108"/>
  <c r="F14" i="108"/>
  <c r="E14" i="108"/>
  <c r="D14" i="108"/>
  <c r="C14" i="108"/>
  <c r="O13" i="108"/>
  <c r="N13" i="108"/>
  <c r="M13" i="108"/>
  <c r="L13" i="108"/>
  <c r="K13" i="108"/>
  <c r="J13" i="108"/>
  <c r="I13" i="108"/>
  <c r="H13" i="108"/>
  <c r="F13" i="108"/>
  <c r="E13" i="108"/>
  <c r="D13" i="108"/>
  <c r="C13" i="108"/>
  <c r="O12" i="108"/>
  <c r="N12" i="108"/>
  <c r="M12" i="108"/>
  <c r="L12" i="108"/>
  <c r="K12" i="108"/>
  <c r="J12" i="108"/>
  <c r="I12" i="108"/>
  <c r="H12" i="108"/>
  <c r="F12" i="108"/>
  <c r="E12" i="108"/>
  <c r="D12" i="108"/>
  <c r="C12" i="108"/>
  <c r="O11" i="108"/>
  <c r="N11" i="108"/>
  <c r="M11" i="108"/>
  <c r="L11" i="108"/>
  <c r="K11" i="108"/>
  <c r="J11" i="108"/>
  <c r="I11" i="108"/>
  <c r="H11" i="108"/>
  <c r="F11" i="108"/>
  <c r="E11" i="108"/>
  <c r="D11" i="108"/>
  <c r="C11" i="108"/>
  <c r="O10" i="108"/>
  <c r="N10" i="108"/>
  <c r="M10" i="108"/>
  <c r="L10" i="108"/>
  <c r="K10" i="108"/>
  <c r="J10" i="108"/>
  <c r="I10" i="108"/>
  <c r="H10" i="108"/>
  <c r="F10" i="108"/>
  <c r="E10" i="108"/>
  <c r="D10" i="108"/>
  <c r="C10" i="108"/>
  <c r="O9" i="108"/>
  <c r="N9" i="108"/>
  <c r="M9" i="108"/>
  <c r="L9" i="108"/>
  <c r="K9" i="108"/>
  <c r="J9" i="108"/>
  <c r="I9" i="108"/>
  <c r="H9" i="108"/>
  <c r="F9" i="108"/>
  <c r="E9" i="108"/>
  <c r="D9" i="108"/>
  <c r="C9" i="108"/>
  <c r="O8" i="108"/>
  <c r="N8" i="108"/>
  <c r="M8" i="108"/>
  <c r="L8" i="108"/>
  <c r="K8" i="108"/>
  <c r="J8" i="108"/>
  <c r="I8" i="108"/>
  <c r="H8" i="108"/>
  <c r="F8" i="108"/>
  <c r="E8" i="108"/>
  <c r="D8" i="108"/>
  <c r="C8" i="108"/>
  <c r="O7" i="108"/>
  <c r="N7" i="108"/>
  <c r="M7" i="108"/>
  <c r="L7" i="108"/>
  <c r="K7" i="108"/>
  <c r="J7" i="108"/>
  <c r="I7" i="108"/>
  <c r="H7" i="108"/>
  <c r="F7" i="108"/>
  <c r="E7" i="108"/>
  <c r="D7" i="108"/>
  <c r="C7" i="108"/>
  <c r="O6" i="108"/>
  <c r="N6" i="108"/>
  <c r="M6" i="108"/>
  <c r="L6" i="108"/>
  <c r="K6" i="108"/>
  <c r="J6" i="108"/>
  <c r="I6" i="108"/>
  <c r="H6" i="108"/>
  <c r="F6" i="108"/>
  <c r="E6" i="108"/>
  <c r="D6" i="108"/>
  <c r="C6" i="108"/>
  <c r="O5" i="108"/>
  <c r="N5" i="108"/>
  <c r="M5" i="108"/>
  <c r="L5" i="108"/>
  <c r="K5" i="108"/>
  <c r="J5" i="108"/>
  <c r="I5" i="108"/>
  <c r="H5" i="108"/>
  <c r="F5" i="108"/>
  <c r="E5" i="108"/>
  <c r="D5" i="108"/>
  <c r="C5" i="108"/>
  <c r="O4" i="108"/>
  <c r="N4" i="108"/>
  <c r="M4" i="108"/>
  <c r="L4" i="108"/>
  <c r="K4" i="108"/>
  <c r="J4" i="108"/>
  <c r="I4" i="108"/>
  <c r="H4" i="108"/>
  <c r="F4" i="108"/>
  <c r="E4" i="108"/>
  <c r="D4" i="108"/>
  <c r="C4" i="108"/>
  <c r="O3" i="108"/>
  <c r="N3" i="108"/>
  <c r="M3" i="108"/>
  <c r="L3" i="108"/>
  <c r="K3" i="108"/>
  <c r="J3" i="108"/>
  <c r="I3" i="108"/>
  <c r="H3" i="108"/>
  <c r="H125" i="108" s="1"/>
  <c r="F3" i="108"/>
  <c r="E3" i="108"/>
  <c r="D3" i="108"/>
  <c r="C3" i="108"/>
  <c r="O2" i="108"/>
  <c r="O125" i="108" s="1"/>
  <c r="N2" i="108"/>
  <c r="M2" i="108"/>
  <c r="L2" i="108"/>
  <c r="K2" i="108"/>
  <c r="J2" i="108"/>
  <c r="I2" i="108"/>
  <c r="H2" i="108"/>
  <c r="F2" i="108"/>
  <c r="E2" i="108"/>
  <c r="D2" i="108"/>
  <c r="C2" i="108"/>
  <c r="E88" i="107"/>
  <c r="D88" i="107"/>
  <c r="C88" i="107"/>
  <c r="F87" i="107"/>
  <c r="E87" i="107"/>
  <c r="D87" i="107"/>
  <c r="C87" i="107"/>
  <c r="F86" i="107"/>
  <c r="E86" i="107"/>
  <c r="D86" i="107"/>
  <c r="C86" i="107"/>
  <c r="F85" i="107"/>
  <c r="E85" i="107"/>
  <c r="D85" i="107"/>
  <c r="C85" i="107"/>
  <c r="F84" i="107"/>
  <c r="E84" i="107"/>
  <c r="D84" i="107"/>
  <c r="C84" i="107"/>
  <c r="F83" i="107"/>
  <c r="E83" i="107"/>
  <c r="D83" i="107"/>
  <c r="C83" i="107"/>
  <c r="F82" i="107"/>
  <c r="E82" i="107"/>
  <c r="D82" i="107"/>
  <c r="C82" i="107"/>
  <c r="F81" i="107"/>
  <c r="E81" i="107"/>
  <c r="D81" i="107"/>
  <c r="C81" i="107"/>
  <c r="F80" i="107"/>
  <c r="E80" i="107"/>
  <c r="D80" i="107"/>
  <c r="C80" i="107"/>
  <c r="F79" i="107"/>
  <c r="E79" i="107"/>
  <c r="D79" i="107"/>
  <c r="C79" i="107"/>
  <c r="F78" i="107"/>
  <c r="E78" i="107"/>
  <c r="D78" i="107"/>
  <c r="C78" i="107"/>
  <c r="F77" i="107"/>
  <c r="E77" i="107"/>
  <c r="D77" i="107"/>
  <c r="C77" i="107"/>
  <c r="F76" i="107"/>
  <c r="E76" i="107"/>
  <c r="D76" i="107"/>
  <c r="C76" i="107"/>
  <c r="F75" i="107"/>
  <c r="E75" i="107"/>
  <c r="D75" i="107"/>
  <c r="C75" i="107"/>
  <c r="F74" i="107"/>
  <c r="E74" i="107"/>
  <c r="D74" i="107"/>
  <c r="C74" i="107"/>
  <c r="F73" i="107"/>
  <c r="E73" i="107"/>
  <c r="D73" i="107"/>
  <c r="C73" i="107"/>
  <c r="F72" i="107"/>
  <c r="E72" i="107"/>
  <c r="D72" i="107"/>
  <c r="C72" i="107"/>
  <c r="F71" i="107"/>
  <c r="E71" i="107"/>
  <c r="D71" i="107"/>
  <c r="C71" i="107"/>
  <c r="F70" i="107"/>
  <c r="E70" i="107"/>
  <c r="D70" i="107"/>
  <c r="C70" i="107"/>
  <c r="F69" i="107"/>
  <c r="E69" i="107"/>
  <c r="D69" i="107"/>
  <c r="C69" i="107"/>
  <c r="F68" i="107"/>
  <c r="E68" i="107"/>
  <c r="D68" i="107"/>
  <c r="C68" i="107"/>
  <c r="F67" i="107"/>
  <c r="E67" i="107"/>
  <c r="D67" i="107"/>
  <c r="C67" i="107"/>
  <c r="F66" i="107"/>
  <c r="E66" i="107"/>
  <c r="D66" i="107"/>
  <c r="C66" i="107"/>
  <c r="F65" i="107"/>
  <c r="E65" i="107"/>
  <c r="D65" i="107"/>
  <c r="C65" i="107"/>
  <c r="F64" i="107"/>
  <c r="E64" i="107"/>
  <c r="D64" i="107"/>
  <c r="C64" i="107"/>
  <c r="F63" i="107"/>
  <c r="E63" i="107"/>
  <c r="D63" i="107"/>
  <c r="C63" i="107"/>
  <c r="F62" i="107"/>
  <c r="E62" i="107"/>
  <c r="D62" i="107"/>
  <c r="C62" i="107"/>
  <c r="F61" i="107"/>
  <c r="E61" i="107"/>
  <c r="D61" i="107"/>
  <c r="C61" i="107"/>
  <c r="F60" i="107"/>
  <c r="E60" i="107"/>
  <c r="D60" i="107"/>
  <c r="C60" i="107"/>
  <c r="F59" i="107"/>
  <c r="E59" i="107"/>
  <c r="D59" i="107"/>
  <c r="C59" i="107"/>
  <c r="F58" i="107"/>
  <c r="E58" i="107"/>
  <c r="D58" i="107"/>
  <c r="C58" i="107"/>
  <c r="F57" i="107"/>
  <c r="E57" i="107"/>
  <c r="D57" i="107"/>
  <c r="C57" i="107"/>
  <c r="F56" i="107"/>
  <c r="E56" i="107"/>
  <c r="D56" i="107"/>
  <c r="C56" i="107"/>
  <c r="F55" i="107"/>
  <c r="E55" i="107"/>
  <c r="D55" i="107"/>
  <c r="C55" i="107"/>
  <c r="F54" i="107"/>
  <c r="E54" i="107"/>
  <c r="D54" i="107"/>
  <c r="C54" i="107"/>
  <c r="F53" i="107"/>
  <c r="E53" i="107"/>
  <c r="D53" i="107"/>
  <c r="C53" i="107"/>
  <c r="F52" i="107"/>
  <c r="E52" i="107"/>
  <c r="D52" i="107"/>
  <c r="C52" i="107"/>
  <c r="F51" i="107"/>
  <c r="E51" i="107"/>
  <c r="D51" i="107"/>
  <c r="C51" i="107"/>
  <c r="F50" i="107"/>
  <c r="E50" i="107"/>
  <c r="D50" i="107"/>
  <c r="C50" i="107"/>
  <c r="F49" i="107"/>
  <c r="E49" i="107"/>
  <c r="D49" i="107"/>
  <c r="C49" i="107"/>
  <c r="F48" i="107"/>
  <c r="E48" i="107"/>
  <c r="D48" i="107"/>
  <c r="C48" i="107"/>
  <c r="F47" i="107"/>
  <c r="E47" i="107"/>
  <c r="D47" i="107"/>
  <c r="C47" i="107"/>
  <c r="F46" i="107"/>
  <c r="E46" i="107"/>
  <c r="D46" i="107"/>
  <c r="C46" i="107"/>
  <c r="F45" i="107"/>
  <c r="E45" i="107"/>
  <c r="D45" i="107"/>
  <c r="C45" i="107"/>
  <c r="F44" i="107"/>
  <c r="E44" i="107"/>
  <c r="D44" i="107"/>
  <c r="C44" i="107"/>
  <c r="F43" i="107"/>
  <c r="E43" i="107"/>
  <c r="D43" i="107"/>
  <c r="C43" i="107"/>
  <c r="F42" i="107"/>
  <c r="E42" i="107"/>
  <c r="D42" i="107"/>
  <c r="C42" i="107"/>
  <c r="F41" i="107"/>
  <c r="E41" i="107"/>
  <c r="D41" i="107"/>
  <c r="C41" i="107"/>
  <c r="F40" i="107"/>
  <c r="E40" i="107"/>
  <c r="D40" i="107"/>
  <c r="C40" i="107"/>
  <c r="F39" i="107"/>
  <c r="E39" i="107"/>
  <c r="D39" i="107"/>
  <c r="C39" i="107"/>
  <c r="F38" i="107"/>
  <c r="E38" i="107"/>
  <c r="D38" i="107"/>
  <c r="C38" i="107"/>
  <c r="F37" i="107"/>
  <c r="E37" i="107"/>
  <c r="D37" i="107"/>
  <c r="C37" i="107"/>
  <c r="F36" i="107"/>
  <c r="E36" i="107"/>
  <c r="D36" i="107"/>
  <c r="C36" i="107"/>
  <c r="F35" i="107"/>
  <c r="E35" i="107"/>
  <c r="D35" i="107"/>
  <c r="C35" i="107"/>
  <c r="F34" i="107"/>
  <c r="E34" i="107"/>
  <c r="D34" i="107"/>
  <c r="C34" i="107"/>
  <c r="F33" i="107"/>
  <c r="E33" i="107"/>
  <c r="D33" i="107"/>
  <c r="C33" i="107"/>
  <c r="F32" i="107"/>
  <c r="E32" i="107"/>
  <c r="D32" i="107"/>
  <c r="C32" i="107"/>
  <c r="F31" i="107"/>
  <c r="E31" i="107"/>
  <c r="D31" i="107"/>
  <c r="C31" i="107"/>
  <c r="F30" i="107"/>
  <c r="E30" i="107"/>
  <c r="D30" i="107"/>
  <c r="C30" i="107"/>
  <c r="F29" i="107"/>
  <c r="E29" i="107"/>
  <c r="D29" i="107"/>
  <c r="C29" i="107"/>
  <c r="F28" i="107"/>
  <c r="E28" i="107"/>
  <c r="D28" i="107"/>
  <c r="C28" i="107"/>
  <c r="F27" i="107"/>
  <c r="E27" i="107"/>
  <c r="D27" i="107"/>
  <c r="C27" i="107"/>
  <c r="F26" i="107"/>
  <c r="E26" i="107"/>
  <c r="D26" i="107"/>
  <c r="C26" i="107"/>
  <c r="F25" i="107"/>
  <c r="E25" i="107"/>
  <c r="D25" i="107"/>
  <c r="C25" i="107"/>
  <c r="F24" i="107"/>
  <c r="E24" i="107"/>
  <c r="D24" i="107"/>
  <c r="C24" i="107"/>
  <c r="F23" i="107"/>
  <c r="E23" i="107"/>
  <c r="D23" i="107"/>
  <c r="C23" i="107"/>
  <c r="F22" i="107"/>
  <c r="E22" i="107"/>
  <c r="D22" i="107"/>
  <c r="C22" i="107"/>
  <c r="F21" i="107"/>
  <c r="E21" i="107"/>
  <c r="D21" i="107"/>
  <c r="C21" i="107"/>
  <c r="F20" i="107"/>
  <c r="E20" i="107"/>
  <c r="D20" i="107"/>
  <c r="C20" i="107"/>
  <c r="O19" i="107"/>
  <c r="N19" i="107"/>
  <c r="M19" i="107"/>
  <c r="L19" i="107"/>
  <c r="K19" i="107"/>
  <c r="J19" i="107"/>
  <c r="I19" i="107"/>
  <c r="H19" i="107"/>
  <c r="F19" i="107"/>
  <c r="E19" i="107"/>
  <c r="D19" i="107"/>
  <c r="C19" i="107"/>
  <c r="F18" i="107"/>
  <c r="E18" i="107"/>
  <c r="D18" i="107"/>
  <c r="C18" i="107"/>
  <c r="O17" i="107"/>
  <c r="N17" i="107"/>
  <c r="M17" i="107"/>
  <c r="L17" i="107"/>
  <c r="K17" i="107"/>
  <c r="J17" i="107"/>
  <c r="I17" i="107"/>
  <c r="H17" i="107"/>
  <c r="F17" i="107"/>
  <c r="E17" i="107"/>
  <c r="D17" i="107"/>
  <c r="C17" i="107"/>
  <c r="O16" i="107"/>
  <c r="N16" i="107"/>
  <c r="M16" i="107"/>
  <c r="L16" i="107"/>
  <c r="K16" i="107"/>
  <c r="J16" i="107"/>
  <c r="I16" i="107"/>
  <c r="H16" i="107"/>
  <c r="F16" i="107"/>
  <c r="E16" i="107"/>
  <c r="D16" i="107"/>
  <c r="C16" i="107"/>
  <c r="O15" i="107"/>
  <c r="N15" i="107"/>
  <c r="M15" i="107"/>
  <c r="L15" i="107"/>
  <c r="K15" i="107"/>
  <c r="J15" i="107"/>
  <c r="I15" i="107"/>
  <c r="H15" i="107"/>
  <c r="F15" i="107"/>
  <c r="E15" i="107"/>
  <c r="D15" i="107"/>
  <c r="C15" i="107"/>
  <c r="O14" i="107"/>
  <c r="N14" i="107"/>
  <c r="M14" i="107"/>
  <c r="L14" i="107"/>
  <c r="K14" i="107"/>
  <c r="J14" i="107"/>
  <c r="I14" i="107"/>
  <c r="H14" i="107"/>
  <c r="F14" i="107"/>
  <c r="E14" i="107"/>
  <c r="D14" i="107"/>
  <c r="C14" i="107"/>
  <c r="O13" i="107"/>
  <c r="N13" i="107"/>
  <c r="M13" i="107"/>
  <c r="L13" i="107"/>
  <c r="K13" i="107"/>
  <c r="J13" i="107"/>
  <c r="I13" i="107"/>
  <c r="H13" i="107"/>
  <c r="F13" i="107"/>
  <c r="E13" i="107"/>
  <c r="D13" i="107"/>
  <c r="C13" i="107"/>
  <c r="O12" i="107"/>
  <c r="N12" i="107"/>
  <c r="M12" i="107"/>
  <c r="L12" i="107"/>
  <c r="K12" i="107"/>
  <c r="J12" i="107"/>
  <c r="I12" i="107"/>
  <c r="H12" i="107"/>
  <c r="F12" i="107"/>
  <c r="E12" i="107"/>
  <c r="D12" i="107"/>
  <c r="C12" i="107"/>
  <c r="O11" i="107"/>
  <c r="N11" i="107"/>
  <c r="M11" i="107"/>
  <c r="L11" i="107"/>
  <c r="K11" i="107"/>
  <c r="J11" i="107"/>
  <c r="I11" i="107"/>
  <c r="H11" i="107"/>
  <c r="F11" i="107"/>
  <c r="E11" i="107"/>
  <c r="D11" i="107"/>
  <c r="C11" i="107"/>
  <c r="F10" i="107"/>
  <c r="E10" i="107"/>
  <c r="D10" i="107"/>
  <c r="C10" i="107"/>
  <c r="O9" i="107"/>
  <c r="N9" i="107"/>
  <c r="M9" i="107"/>
  <c r="L9" i="107"/>
  <c r="K9" i="107"/>
  <c r="J9" i="107"/>
  <c r="I9" i="107"/>
  <c r="H9" i="107"/>
  <c r="F9" i="107"/>
  <c r="E9" i="107"/>
  <c r="D9" i="107"/>
  <c r="C9" i="107"/>
  <c r="O8" i="107"/>
  <c r="N8" i="107"/>
  <c r="M8" i="107"/>
  <c r="L8" i="107"/>
  <c r="K8" i="107"/>
  <c r="J8" i="107"/>
  <c r="I8" i="107"/>
  <c r="H8" i="107"/>
  <c r="F8" i="107"/>
  <c r="E8" i="107"/>
  <c r="D8" i="107"/>
  <c r="C8" i="107"/>
  <c r="O7" i="107"/>
  <c r="N7" i="107"/>
  <c r="M7" i="107"/>
  <c r="L7" i="107"/>
  <c r="K7" i="107"/>
  <c r="J7" i="107"/>
  <c r="I7" i="107"/>
  <c r="H7" i="107"/>
  <c r="F7" i="107"/>
  <c r="E7" i="107"/>
  <c r="D7" i="107"/>
  <c r="C7" i="107"/>
  <c r="O6" i="107"/>
  <c r="N6" i="107"/>
  <c r="M6" i="107"/>
  <c r="L6" i="107"/>
  <c r="K6" i="107"/>
  <c r="J6" i="107"/>
  <c r="I6" i="107"/>
  <c r="H6" i="107"/>
  <c r="F6" i="107"/>
  <c r="E6" i="107"/>
  <c r="D6" i="107"/>
  <c r="C6" i="107"/>
  <c r="O5" i="107"/>
  <c r="N5" i="107"/>
  <c r="M5" i="107"/>
  <c r="L5" i="107"/>
  <c r="K5" i="107"/>
  <c r="J5" i="107"/>
  <c r="I5" i="107"/>
  <c r="H5" i="107"/>
  <c r="F5" i="107"/>
  <c r="E5" i="107"/>
  <c r="D5" i="107"/>
  <c r="C5" i="107"/>
  <c r="O4" i="107"/>
  <c r="N4" i="107"/>
  <c r="M4" i="107"/>
  <c r="L4" i="107"/>
  <c r="K4" i="107"/>
  <c r="J4" i="107"/>
  <c r="I4" i="107"/>
  <c r="H4" i="107"/>
  <c r="F4" i="107"/>
  <c r="E4" i="107"/>
  <c r="D4" i="107"/>
  <c r="C4" i="107"/>
  <c r="O3" i="107"/>
  <c r="N3" i="107"/>
  <c r="N90" i="107" s="1"/>
  <c r="M3" i="107"/>
  <c r="L3" i="107"/>
  <c r="K3" i="107"/>
  <c r="J3" i="107"/>
  <c r="I3" i="107"/>
  <c r="H3" i="107"/>
  <c r="F3" i="107"/>
  <c r="E3" i="107"/>
  <c r="D3" i="107"/>
  <c r="C3" i="107"/>
  <c r="O2" i="107"/>
  <c r="N2" i="107"/>
  <c r="M2" i="107"/>
  <c r="L2" i="107"/>
  <c r="K2" i="107"/>
  <c r="J2" i="107"/>
  <c r="J90" i="107" s="1"/>
  <c r="I2" i="107"/>
  <c r="H2" i="107"/>
  <c r="F2" i="107"/>
  <c r="E2" i="107"/>
  <c r="D2" i="107"/>
  <c r="C2" i="107"/>
  <c r="Y6" i="106"/>
  <c r="X6" i="106"/>
  <c r="W6" i="106"/>
  <c r="V6" i="106"/>
  <c r="U6" i="106"/>
  <c r="T6" i="106"/>
  <c r="S6" i="106"/>
  <c r="R6" i="106"/>
  <c r="Q6" i="106"/>
  <c r="P6" i="106"/>
  <c r="O6" i="106"/>
  <c r="N6" i="106"/>
  <c r="M6" i="106"/>
  <c r="L6" i="106"/>
  <c r="K6" i="106"/>
  <c r="J6" i="106"/>
  <c r="I6" i="106"/>
  <c r="H6" i="106"/>
  <c r="F6" i="106"/>
  <c r="E6" i="106"/>
  <c r="D6" i="106"/>
  <c r="C6" i="106"/>
  <c r="Y5" i="106"/>
  <c r="X5" i="106"/>
  <c r="W5" i="106"/>
  <c r="V5" i="106"/>
  <c r="U5" i="106"/>
  <c r="T5" i="106"/>
  <c r="S5" i="106"/>
  <c r="R5" i="106"/>
  <c r="Q5" i="106"/>
  <c r="P5" i="106"/>
  <c r="O5" i="106"/>
  <c r="N5" i="106"/>
  <c r="M5" i="106"/>
  <c r="L5" i="106"/>
  <c r="K5" i="106"/>
  <c r="J5" i="106"/>
  <c r="I5" i="106"/>
  <c r="H5" i="106"/>
  <c r="F5" i="106"/>
  <c r="E5" i="106"/>
  <c r="D5" i="106"/>
  <c r="C5" i="106"/>
  <c r="Y4" i="106"/>
  <c r="X4" i="106"/>
  <c r="W4" i="106"/>
  <c r="V4" i="106"/>
  <c r="U4" i="106"/>
  <c r="T4" i="106"/>
  <c r="S4" i="106"/>
  <c r="R4" i="106"/>
  <c r="Q4" i="106"/>
  <c r="P4" i="106"/>
  <c r="O4" i="106"/>
  <c r="N4" i="106"/>
  <c r="M4" i="106"/>
  <c r="L4" i="106"/>
  <c r="K4" i="106"/>
  <c r="J4" i="106"/>
  <c r="I4" i="106"/>
  <c r="H4" i="106"/>
  <c r="F4" i="106"/>
  <c r="E4" i="106"/>
  <c r="D4" i="106"/>
  <c r="C4" i="106"/>
  <c r="Y3" i="106"/>
  <c r="X3" i="106"/>
  <c r="W3" i="106"/>
  <c r="V3" i="106"/>
  <c r="U3" i="106"/>
  <c r="T3" i="106"/>
  <c r="S3" i="106"/>
  <c r="R3" i="106"/>
  <c r="Q3" i="106"/>
  <c r="P3" i="106"/>
  <c r="O3" i="106"/>
  <c r="N3" i="106"/>
  <c r="M3" i="106"/>
  <c r="L3" i="106"/>
  <c r="K3" i="106"/>
  <c r="J3" i="106"/>
  <c r="I3" i="106"/>
  <c r="H3" i="106"/>
  <c r="F3" i="106"/>
  <c r="E3" i="106"/>
  <c r="D3" i="106"/>
  <c r="C3" i="106"/>
  <c r="Y2" i="106"/>
  <c r="X2" i="106"/>
  <c r="W2" i="106"/>
  <c r="V2" i="106"/>
  <c r="U2" i="106"/>
  <c r="T2" i="106"/>
  <c r="S2" i="106"/>
  <c r="R2" i="106"/>
  <c r="Q2" i="106"/>
  <c r="P2" i="106"/>
  <c r="O2" i="106"/>
  <c r="N2" i="106"/>
  <c r="M2" i="106"/>
  <c r="L2" i="106"/>
  <c r="K2" i="106"/>
  <c r="J2" i="106"/>
  <c r="I2" i="106"/>
  <c r="H2" i="106"/>
  <c r="F2" i="106"/>
  <c r="E2" i="106"/>
  <c r="D2" i="106"/>
  <c r="C2" i="106"/>
  <c r="F13" i="105"/>
  <c r="E13" i="105"/>
  <c r="D13" i="105"/>
  <c r="C13" i="105"/>
  <c r="F12" i="105"/>
  <c r="E12" i="105"/>
  <c r="D12" i="105"/>
  <c r="C12" i="105"/>
  <c r="F11" i="105"/>
  <c r="E11" i="105"/>
  <c r="D11" i="105"/>
  <c r="C11" i="105"/>
  <c r="F10" i="105"/>
  <c r="E10" i="105"/>
  <c r="D10" i="105"/>
  <c r="C10" i="105"/>
  <c r="F9" i="105"/>
  <c r="E9" i="105"/>
  <c r="D9" i="105"/>
  <c r="C9" i="105"/>
  <c r="F8" i="105"/>
  <c r="E8" i="105"/>
  <c r="D8" i="105"/>
  <c r="C8" i="105"/>
  <c r="F7" i="105"/>
  <c r="E7" i="105"/>
  <c r="D7" i="105"/>
  <c r="C7" i="105"/>
  <c r="F6" i="105"/>
  <c r="E6" i="105"/>
  <c r="D6" i="105"/>
  <c r="C6" i="105"/>
  <c r="F5" i="105"/>
  <c r="E5" i="105"/>
  <c r="D5" i="105"/>
  <c r="C5" i="105"/>
  <c r="F4" i="105"/>
  <c r="E4" i="105"/>
  <c r="D4" i="105"/>
  <c r="C4" i="105"/>
  <c r="F3" i="105"/>
  <c r="E3" i="105"/>
  <c r="D3" i="105"/>
  <c r="C3" i="105"/>
  <c r="F2" i="105"/>
  <c r="E2" i="105"/>
  <c r="D2" i="105"/>
  <c r="C2" i="105"/>
  <c r="F6" i="104"/>
  <c r="E6" i="104"/>
  <c r="D6" i="104"/>
  <c r="C6" i="104"/>
  <c r="F5" i="104"/>
  <c r="E5" i="104"/>
  <c r="D5" i="104"/>
  <c r="C5" i="104"/>
  <c r="F4" i="104"/>
  <c r="E4" i="104"/>
  <c r="D4" i="104"/>
  <c r="C4" i="104"/>
  <c r="F3" i="104"/>
  <c r="E3" i="104"/>
  <c r="D3" i="104"/>
  <c r="C3" i="104"/>
  <c r="F2" i="104"/>
  <c r="E2" i="104"/>
  <c r="D2" i="104"/>
  <c r="C2" i="104"/>
  <c r="F7" i="103"/>
  <c r="E7" i="103"/>
  <c r="O6" i="103"/>
  <c r="N6" i="103"/>
  <c r="M6" i="103"/>
  <c r="L6" i="103"/>
  <c r="K6" i="103"/>
  <c r="J6" i="103"/>
  <c r="I6" i="103"/>
  <c r="H6" i="103"/>
  <c r="F6" i="103"/>
  <c r="E6" i="103"/>
  <c r="D6" i="103"/>
  <c r="C6" i="103"/>
  <c r="O5" i="103"/>
  <c r="N5" i="103"/>
  <c r="M5" i="103"/>
  <c r="L5" i="103"/>
  <c r="K5" i="103"/>
  <c r="J5" i="103"/>
  <c r="I5" i="103"/>
  <c r="H5" i="103"/>
  <c r="F5" i="103"/>
  <c r="E5" i="103"/>
  <c r="D5" i="103"/>
  <c r="C5" i="103"/>
  <c r="O4" i="103"/>
  <c r="N4" i="103"/>
  <c r="M4" i="103"/>
  <c r="L4" i="103"/>
  <c r="K4" i="103"/>
  <c r="J4" i="103"/>
  <c r="I4" i="103"/>
  <c r="H4" i="103"/>
  <c r="F4" i="103"/>
  <c r="E4" i="103"/>
  <c r="D4" i="103"/>
  <c r="C4" i="103"/>
  <c r="O3" i="103"/>
  <c r="N3" i="103"/>
  <c r="M3" i="103"/>
  <c r="L3" i="103"/>
  <c r="K3" i="103"/>
  <c r="J3" i="103"/>
  <c r="I3" i="103"/>
  <c r="H3" i="103"/>
  <c r="F3" i="103"/>
  <c r="E3" i="103"/>
  <c r="D3" i="103"/>
  <c r="C3" i="103"/>
  <c r="O2" i="103"/>
  <c r="O9" i="103" s="1"/>
  <c r="N2" i="103"/>
  <c r="M2" i="103"/>
  <c r="L2" i="103"/>
  <c r="K2" i="103"/>
  <c r="J2" i="103"/>
  <c r="J9" i="103" s="1"/>
  <c r="I2" i="103"/>
  <c r="I9" i="103" s="1"/>
  <c r="H2" i="103"/>
  <c r="F2" i="103"/>
  <c r="E2" i="103"/>
  <c r="D2" i="103"/>
  <c r="C2" i="103"/>
  <c r="E59" i="102"/>
  <c r="D59" i="102"/>
  <c r="C59" i="102"/>
  <c r="F58" i="102"/>
  <c r="E58" i="102"/>
  <c r="D58" i="102"/>
  <c r="C58" i="102"/>
  <c r="F57" i="102"/>
  <c r="E57" i="102"/>
  <c r="D57" i="102"/>
  <c r="C57" i="102"/>
  <c r="F56" i="102"/>
  <c r="E56" i="102"/>
  <c r="D56" i="102"/>
  <c r="C56" i="102"/>
  <c r="F55" i="102"/>
  <c r="E55" i="102"/>
  <c r="D55" i="102"/>
  <c r="C55" i="102"/>
  <c r="F54" i="102"/>
  <c r="E54" i="102"/>
  <c r="D54" i="102"/>
  <c r="C54" i="102"/>
  <c r="F53" i="102"/>
  <c r="E53" i="102"/>
  <c r="D53" i="102"/>
  <c r="C53" i="102"/>
  <c r="F52" i="102"/>
  <c r="E52" i="102"/>
  <c r="D52" i="102"/>
  <c r="C52" i="102"/>
  <c r="F51" i="102"/>
  <c r="E51" i="102"/>
  <c r="D51" i="102"/>
  <c r="C51" i="102"/>
  <c r="F50" i="102"/>
  <c r="E50" i="102"/>
  <c r="D50" i="102"/>
  <c r="C50" i="102"/>
  <c r="F49" i="102"/>
  <c r="E49" i="102"/>
  <c r="D49" i="102"/>
  <c r="C49" i="102"/>
  <c r="F48" i="102"/>
  <c r="E48" i="102"/>
  <c r="D48" i="102"/>
  <c r="C48" i="102"/>
  <c r="F47" i="102"/>
  <c r="E47" i="102"/>
  <c r="D47" i="102"/>
  <c r="C47" i="102"/>
  <c r="F46" i="102"/>
  <c r="E46" i="102"/>
  <c r="D46" i="102"/>
  <c r="C46" i="102"/>
  <c r="F45" i="102"/>
  <c r="E45" i="102"/>
  <c r="D45" i="102"/>
  <c r="C45" i="102"/>
  <c r="F44" i="102"/>
  <c r="E44" i="102"/>
  <c r="D44" i="102"/>
  <c r="C44" i="102"/>
  <c r="F43" i="102"/>
  <c r="E43" i="102"/>
  <c r="D43" i="102"/>
  <c r="C43" i="102"/>
  <c r="F42" i="102"/>
  <c r="E42" i="102"/>
  <c r="D42" i="102"/>
  <c r="C42" i="102"/>
  <c r="F41" i="102"/>
  <c r="E41" i="102"/>
  <c r="D41" i="102"/>
  <c r="C41" i="102"/>
  <c r="F40" i="102"/>
  <c r="E40" i="102"/>
  <c r="D40" i="102"/>
  <c r="C40" i="102"/>
  <c r="F39" i="102"/>
  <c r="E39" i="102"/>
  <c r="D39" i="102"/>
  <c r="C39" i="102"/>
  <c r="F38" i="102"/>
  <c r="E38" i="102"/>
  <c r="D38" i="102"/>
  <c r="C38" i="102"/>
  <c r="F37" i="102"/>
  <c r="E37" i="102"/>
  <c r="D37" i="102"/>
  <c r="C37" i="102"/>
  <c r="F36" i="102"/>
  <c r="E36" i="102"/>
  <c r="D36" i="102"/>
  <c r="C36" i="102"/>
  <c r="F35" i="102"/>
  <c r="E35" i="102"/>
  <c r="D35" i="102"/>
  <c r="C35" i="102"/>
  <c r="F34" i="102"/>
  <c r="E34" i="102"/>
  <c r="D34" i="102"/>
  <c r="C34" i="102"/>
  <c r="F33" i="102"/>
  <c r="E33" i="102"/>
  <c r="D33" i="102"/>
  <c r="C33" i="102"/>
  <c r="F32" i="102"/>
  <c r="E32" i="102"/>
  <c r="D32" i="102"/>
  <c r="C32" i="102"/>
  <c r="F31" i="102"/>
  <c r="E31" i="102"/>
  <c r="D31" i="102"/>
  <c r="C31" i="102"/>
  <c r="F30" i="102"/>
  <c r="E30" i="102"/>
  <c r="D30" i="102"/>
  <c r="C30" i="102"/>
  <c r="F29" i="102"/>
  <c r="E29" i="102"/>
  <c r="D29" i="102"/>
  <c r="C29" i="102"/>
  <c r="F28" i="102"/>
  <c r="E28" i="102"/>
  <c r="D28" i="102"/>
  <c r="C28" i="102"/>
  <c r="F27" i="102"/>
  <c r="E27" i="102"/>
  <c r="D27" i="102"/>
  <c r="C27" i="102"/>
  <c r="F26" i="102"/>
  <c r="E26" i="102"/>
  <c r="D26" i="102"/>
  <c r="C26" i="102"/>
  <c r="F25" i="102"/>
  <c r="E25" i="102"/>
  <c r="D25" i="102"/>
  <c r="C25" i="102"/>
  <c r="F24" i="102"/>
  <c r="E24" i="102"/>
  <c r="D24" i="102"/>
  <c r="C24" i="102"/>
  <c r="F23" i="102"/>
  <c r="E23" i="102"/>
  <c r="D23" i="102"/>
  <c r="C23" i="102"/>
  <c r="F22" i="102"/>
  <c r="E22" i="102"/>
  <c r="D22" i="102"/>
  <c r="C22" i="102"/>
  <c r="F21" i="102"/>
  <c r="E21" i="102"/>
  <c r="D21" i="102"/>
  <c r="C21" i="102"/>
  <c r="F20" i="102"/>
  <c r="E20" i="102"/>
  <c r="D20" i="102"/>
  <c r="C20" i="102"/>
  <c r="F19" i="102"/>
  <c r="E19" i="102"/>
  <c r="D19" i="102"/>
  <c r="C19" i="102"/>
  <c r="F18" i="102"/>
  <c r="E18" i="102"/>
  <c r="D18" i="102"/>
  <c r="C18" i="102"/>
  <c r="F17" i="102"/>
  <c r="E17" i="102"/>
  <c r="D17" i="102"/>
  <c r="C17" i="102"/>
  <c r="F16" i="102"/>
  <c r="E16" i="102"/>
  <c r="D16" i="102"/>
  <c r="C16" i="102"/>
  <c r="F15" i="102"/>
  <c r="E15" i="102"/>
  <c r="D15" i="102"/>
  <c r="C15" i="102"/>
  <c r="O14" i="102"/>
  <c r="N14" i="102"/>
  <c r="M14" i="102"/>
  <c r="L14" i="102"/>
  <c r="K14" i="102"/>
  <c r="J14" i="102"/>
  <c r="I14" i="102"/>
  <c r="H14" i="102"/>
  <c r="F14" i="102"/>
  <c r="E14" i="102"/>
  <c r="D14" i="102"/>
  <c r="C14" i="102"/>
  <c r="F13" i="102"/>
  <c r="E13" i="102"/>
  <c r="D13" i="102"/>
  <c r="C13" i="102"/>
  <c r="O12" i="102"/>
  <c r="N12" i="102"/>
  <c r="M12" i="102"/>
  <c r="L12" i="102"/>
  <c r="K12" i="102"/>
  <c r="J12" i="102"/>
  <c r="I12" i="102"/>
  <c r="H12" i="102"/>
  <c r="F12" i="102"/>
  <c r="E12" i="102"/>
  <c r="D12" i="102"/>
  <c r="C12" i="102"/>
  <c r="O11" i="102"/>
  <c r="N11" i="102"/>
  <c r="M11" i="102"/>
  <c r="L11" i="102"/>
  <c r="K11" i="102"/>
  <c r="J11" i="102"/>
  <c r="I11" i="102"/>
  <c r="H11" i="102"/>
  <c r="F11" i="102"/>
  <c r="E11" i="102"/>
  <c r="D11" i="102"/>
  <c r="C11" i="102"/>
  <c r="O10" i="102"/>
  <c r="N10" i="102"/>
  <c r="M10" i="102"/>
  <c r="L10" i="102"/>
  <c r="K10" i="102"/>
  <c r="J10" i="102"/>
  <c r="I10" i="102"/>
  <c r="H10" i="102"/>
  <c r="F10" i="102"/>
  <c r="E10" i="102"/>
  <c r="D10" i="102"/>
  <c r="C10" i="102"/>
  <c r="F9" i="102"/>
  <c r="E9" i="102"/>
  <c r="D9" i="102"/>
  <c r="C9" i="102"/>
  <c r="O8" i="102"/>
  <c r="N8" i="102"/>
  <c r="M8" i="102"/>
  <c r="L8" i="102"/>
  <c r="K8" i="102"/>
  <c r="J8" i="102"/>
  <c r="I8" i="102"/>
  <c r="H8" i="102"/>
  <c r="F8" i="102"/>
  <c r="E8" i="102"/>
  <c r="D8" i="102"/>
  <c r="C8" i="102"/>
  <c r="O7" i="102"/>
  <c r="N7" i="102"/>
  <c r="M7" i="102"/>
  <c r="L7" i="102"/>
  <c r="K7" i="102"/>
  <c r="J7" i="102"/>
  <c r="I7" i="102"/>
  <c r="H7" i="102"/>
  <c r="F7" i="102"/>
  <c r="E7" i="102"/>
  <c r="D7" i="102"/>
  <c r="C7" i="102"/>
  <c r="F6" i="102"/>
  <c r="E6" i="102"/>
  <c r="D6" i="102"/>
  <c r="C6" i="102"/>
  <c r="O5" i="102"/>
  <c r="N5" i="102"/>
  <c r="M5" i="102"/>
  <c r="L5" i="102"/>
  <c r="K5" i="102"/>
  <c r="J5" i="102"/>
  <c r="I5" i="102"/>
  <c r="H5" i="102"/>
  <c r="F5" i="102"/>
  <c r="E5" i="102"/>
  <c r="D5" i="102"/>
  <c r="C5" i="102"/>
  <c r="O4" i="102"/>
  <c r="N4" i="102"/>
  <c r="M4" i="102"/>
  <c r="L4" i="102"/>
  <c r="K4" i="102"/>
  <c r="J4" i="102"/>
  <c r="I4" i="102"/>
  <c r="H4" i="102"/>
  <c r="F4" i="102"/>
  <c r="E4" i="102"/>
  <c r="D4" i="102"/>
  <c r="C4" i="102"/>
  <c r="O3" i="102"/>
  <c r="N3" i="102"/>
  <c r="M3" i="102"/>
  <c r="L3" i="102"/>
  <c r="K3" i="102"/>
  <c r="J3" i="102"/>
  <c r="I3" i="102"/>
  <c r="H3" i="102"/>
  <c r="F3" i="102"/>
  <c r="E3" i="102"/>
  <c r="D3" i="102"/>
  <c r="C3" i="102"/>
  <c r="O2" i="102"/>
  <c r="N2" i="102"/>
  <c r="M2" i="102"/>
  <c r="L2" i="102"/>
  <c r="K2" i="102"/>
  <c r="J2" i="102"/>
  <c r="I2" i="102"/>
  <c r="H2" i="102"/>
  <c r="F2" i="102"/>
  <c r="E2" i="102"/>
  <c r="D2" i="102"/>
  <c r="C2" i="102"/>
  <c r="F8" i="101"/>
  <c r="E8" i="101"/>
  <c r="F7" i="101"/>
  <c r="E7" i="101"/>
  <c r="O6" i="101"/>
  <c r="N6" i="101"/>
  <c r="M6" i="101"/>
  <c r="L6" i="101"/>
  <c r="K6" i="101"/>
  <c r="J6" i="101"/>
  <c r="I6" i="101"/>
  <c r="H6" i="101"/>
  <c r="F6" i="101"/>
  <c r="E6" i="101"/>
  <c r="D6" i="101"/>
  <c r="C6" i="101"/>
  <c r="O5" i="101"/>
  <c r="N5" i="101"/>
  <c r="M5" i="101"/>
  <c r="L5" i="101"/>
  <c r="K5" i="101"/>
  <c r="J5" i="101"/>
  <c r="I5" i="101"/>
  <c r="H5" i="101"/>
  <c r="F5" i="101"/>
  <c r="E5" i="101"/>
  <c r="D5" i="101"/>
  <c r="C5" i="101"/>
  <c r="O4" i="101"/>
  <c r="N4" i="101"/>
  <c r="M4" i="101"/>
  <c r="L4" i="101"/>
  <c r="K4" i="101"/>
  <c r="J4" i="101"/>
  <c r="I4" i="101"/>
  <c r="H4" i="101"/>
  <c r="F4" i="101"/>
  <c r="E4" i="101"/>
  <c r="D4" i="101"/>
  <c r="C4" i="101"/>
  <c r="O3" i="101"/>
  <c r="N3" i="101"/>
  <c r="M3" i="101"/>
  <c r="L3" i="101"/>
  <c r="K3" i="101"/>
  <c r="J3" i="101"/>
  <c r="I3" i="101"/>
  <c r="H3" i="101"/>
  <c r="F3" i="101"/>
  <c r="E3" i="101"/>
  <c r="D3" i="101"/>
  <c r="C3" i="101"/>
  <c r="O2" i="101"/>
  <c r="O10" i="101" s="1"/>
  <c r="N2" i="101"/>
  <c r="M2" i="101"/>
  <c r="L2" i="101"/>
  <c r="K2" i="101"/>
  <c r="J2" i="101"/>
  <c r="I2" i="101"/>
  <c r="I10" i="101" s="1"/>
  <c r="H2" i="101"/>
  <c r="F2" i="101"/>
  <c r="E2" i="101"/>
  <c r="D2" i="101"/>
  <c r="C2" i="101"/>
  <c r="F9" i="100"/>
  <c r="E9" i="100"/>
  <c r="F8" i="100"/>
  <c r="E8" i="100"/>
  <c r="F7" i="100"/>
  <c r="E7" i="100"/>
  <c r="F6" i="100"/>
  <c r="E6" i="100"/>
  <c r="F5" i="100"/>
  <c r="E5" i="100"/>
  <c r="O4" i="100"/>
  <c r="N4" i="100"/>
  <c r="M4" i="100"/>
  <c r="L4" i="100"/>
  <c r="K4" i="100"/>
  <c r="J4" i="100"/>
  <c r="I4" i="100"/>
  <c r="H4" i="100"/>
  <c r="F4" i="100"/>
  <c r="E4" i="100"/>
  <c r="D4" i="100"/>
  <c r="C4" i="100"/>
  <c r="O3" i="100"/>
  <c r="N3" i="100"/>
  <c r="M3" i="100"/>
  <c r="L3" i="100"/>
  <c r="K3" i="100"/>
  <c r="J3" i="100"/>
  <c r="I3" i="100"/>
  <c r="H3" i="100"/>
  <c r="F3" i="100"/>
  <c r="E3" i="100"/>
  <c r="D3" i="100"/>
  <c r="C3" i="100"/>
  <c r="O2" i="100"/>
  <c r="O11" i="100" s="1"/>
  <c r="N2" i="100"/>
  <c r="N11" i="100" s="1"/>
  <c r="M2" i="100"/>
  <c r="L2" i="100"/>
  <c r="K2" i="100"/>
  <c r="J2" i="100"/>
  <c r="I2" i="100"/>
  <c r="H2" i="100"/>
  <c r="H11" i="100" s="1"/>
  <c r="F2" i="100"/>
  <c r="E2" i="100"/>
  <c r="D2" i="100"/>
  <c r="C2" i="100"/>
  <c r="F7" i="99"/>
  <c r="E7" i="99"/>
  <c r="F6" i="99"/>
  <c r="E6" i="99"/>
  <c r="F5" i="99"/>
  <c r="E5" i="99"/>
  <c r="O4" i="99"/>
  <c r="N4" i="99"/>
  <c r="M4" i="99"/>
  <c r="L4" i="99"/>
  <c r="K4" i="99"/>
  <c r="J4" i="99"/>
  <c r="I4" i="99"/>
  <c r="H4" i="99"/>
  <c r="F4" i="99"/>
  <c r="E4" i="99"/>
  <c r="D4" i="99"/>
  <c r="C4" i="99"/>
  <c r="O3" i="99"/>
  <c r="N3" i="99"/>
  <c r="M3" i="99"/>
  <c r="L3" i="99"/>
  <c r="K3" i="99"/>
  <c r="J3" i="99"/>
  <c r="I3" i="99"/>
  <c r="H3" i="99"/>
  <c r="F3" i="99"/>
  <c r="E3" i="99"/>
  <c r="D3" i="99"/>
  <c r="C3" i="99"/>
  <c r="O2" i="99"/>
  <c r="N2" i="99"/>
  <c r="M2" i="99"/>
  <c r="L2" i="99"/>
  <c r="L9" i="99" s="1"/>
  <c r="K2" i="99"/>
  <c r="J2" i="99"/>
  <c r="J9" i="99" s="1"/>
  <c r="I2" i="99"/>
  <c r="I9" i="99" s="1"/>
  <c r="H2" i="99"/>
  <c r="F2" i="99"/>
  <c r="E2" i="99"/>
  <c r="D2" i="99"/>
  <c r="C2" i="99"/>
  <c r="F15" i="98"/>
  <c r="E15" i="98"/>
  <c r="F14" i="98"/>
  <c r="E14" i="98"/>
  <c r="F13" i="98"/>
  <c r="E13" i="98"/>
  <c r="F12" i="98"/>
  <c r="E12" i="98"/>
  <c r="F11" i="98"/>
  <c r="E11" i="98"/>
  <c r="F10" i="98"/>
  <c r="E10" i="98"/>
  <c r="F9" i="98"/>
  <c r="E9" i="98"/>
  <c r="F8" i="98"/>
  <c r="E8" i="98"/>
  <c r="F7" i="98"/>
  <c r="E7" i="98"/>
  <c r="F6" i="98"/>
  <c r="E6" i="98"/>
  <c r="O5" i="98"/>
  <c r="N5" i="98"/>
  <c r="M5" i="98"/>
  <c r="L5" i="98"/>
  <c r="K5" i="98"/>
  <c r="J5" i="98"/>
  <c r="I5" i="98"/>
  <c r="H5" i="98"/>
  <c r="F5" i="98"/>
  <c r="E5" i="98"/>
  <c r="D5" i="98"/>
  <c r="C5" i="98"/>
  <c r="O4" i="98"/>
  <c r="N4" i="98"/>
  <c r="M4" i="98"/>
  <c r="L4" i="98"/>
  <c r="K4" i="98"/>
  <c r="J4" i="98"/>
  <c r="I4" i="98"/>
  <c r="H4" i="98"/>
  <c r="F4" i="98"/>
  <c r="E4" i="98"/>
  <c r="D4" i="98"/>
  <c r="C4" i="98"/>
  <c r="O3" i="98"/>
  <c r="N3" i="98"/>
  <c r="M3" i="98"/>
  <c r="L3" i="98"/>
  <c r="K3" i="98"/>
  <c r="J3" i="98"/>
  <c r="I3" i="98"/>
  <c r="H3" i="98"/>
  <c r="F3" i="98"/>
  <c r="E3" i="98"/>
  <c r="D3" i="98"/>
  <c r="C3" i="98"/>
  <c r="O2" i="98"/>
  <c r="N2" i="98"/>
  <c r="M2" i="98"/>
  <c r="L2" i="98"/>
  <c r="K2" i="98"/>
  <c r="J2" i="98"/>
  <c r="I2" i="98"/>
  <c r="H2" i="98"/>
  <c r="H17" i="98" s="1"/>
  <c r="F2" i="98"/>
  <c r="E2" i="98"/>
  <c r="D2" i="98"/>
  <c r="C2" i="98"/>
  <c r="F19" i="97"/>
  <c r="E19" i="97"/>
  <c r="F18" i="97"/>
  <c r="E18" i="97"/>
  <c r="F17" i="97"/>
  <c r="E17" i="97"/>
  <c r="F16" i="97"/>
  <c r="E16" i="97"/>
  <c r="F15" i="97"/>
  <c r="E15" i="97"/>
  <c r="F14" i="97"/>
  <c r="E14" i="97"/>
  <c r="F13" i="97"/>
  <c r="E13" i="97"/>
  <c r="F12" i="97"/>
  <c r="E12" i="97"/>
  <c r="F11" i="97"/>
  <c r="E11" i="97"/>
  <c r="F10" i="97"/>
  <c r="E10" i="97"/>
  <c r="F9" i="97"/>
  <c r="E9" i="97"/>
  <c r="F8" i="97"/>
  <c r="E8" i="97"/>
  <c r="F7" i="97"/>
  <c r="E7" i="97"/>
  <c r="F6" i="97"/>
  <c r="E6" i="97"/>
  <c r="F5" i="97"/>
  <c r="E5" i="97"/>
  <c r="F4" i="97"/>
  <c r="E4" i="97"/>
  <c r="O3" i="97"/>
  <c r="N3" i="97"/>
  <c r="M3" i="97"/>
  <c r="L3" i="97"/>
  <c r="K3" i="97"/>
  <c r="J3" i="97"/>
  <c r="I3" i="97"/>
  <c r="I21" i="97" s="1"/>
  <c r="H3" i="97"/>
  <c r="F3" i="97"/>
  <c r="E3" i="97"/>
  <c r="D3" i="97"/>
  <c r="C3" i="97"/>
  <c r="O2" i="97"/>
  <c r="O21" i="97" s="1"/>
  <c r="N2" i="97"/>
  <c r="M2" i="97"/>
  <c r="L2" i="97"/>
  <c r="K2" i="97"/>
  <c r="J2" i="97"/>
  <c r="I2" i="97"/>
  <c r="H2" i="97"/>
  <c r="F2" i="97"/>
  <c r="E2" i="97"/>
  <c r="D2" i="97"/>
  <c r="C2" i="97"/>
  <c r="F6" i="96"/>
  <c r="E6" i="96"/>
  <c r="F5" i="96"/>
  <c r="E5" i="96"/>
  <c r="O4" i="96"/>
  <c r="N4" i="96"/>
  <c r="M4" i="96"/>
  <c r="L4" i="96"/>
  <c r="K4" i="96"/>
  <c r="J4" i="96"/>
  <c r="I4" i="96"/>
  <c r="H4" i="96"/>
  <c r="F4" i="96"/>
  <c r="E4" i="96"/>
  <c r="D4" i="96"/>
  <c r="C4" i="96"/>
  <c r="O3" i="96"/>
  <c r="N3" i="96"/>
  <c r="M3" i="96"/>
  <c r="L3" i="96"/>
  <c r="K3" i="96"/>
  <c r="J3" i="96"/>
  <c r="I3" i="96"/>
  <c r="H3" i="96"/>
  <c r="F3" i="96"/>
  <c r="E3" i="96"/>
  <c r="D3" i="96"/>
  <c r="C3" i="96"/>
  <c r="O2" i="96"/>
  <c r="O8" i="96" s="1"/>
  <c r="N2" i="96"/>
  <c r="M2" i="96"/>
  <c r="L2" i="96"/>
  <c r="K2" i="96"/>
  <c r="J2" i="96"/>
  <c r="I2" i="96"/>
  <c r="H2" i="96"/>
  <c r="H8" i="96" s="1"/>
  <c r="F2" i="96"/>
  <c r="E2" i="96"/>
  <c r="D2" i="96"/>
  <c r="C2" i="96"/>
  <c r="F33" i="95"/>
  <c r="E31" i="95"/>
  <c r="E30" i="95"/>
  <c r="E29" i="95"/>
  <c r="E28" i="95"/>
  <c r="E27" i="95"/>
  <c r="E26" i="95"/>
  <c r="E25" i="95"/>
  <c r="E24" i="95"/>
  <c r="E23" i="95"/>
  <c r="E22" i="95"/>
  <c r="E21" i="95"/>
  <c r="E20" i="95"/>
  <c r="E19" i="95"/>
  <c r="E18" i="95"/>
  <c r="E17" i="95"/>
  <c r="E16" i="95"/>
  <c r="E14" i="95"/>
  <c r="E13" i="95"/>
  <c r="E12" i="95"/>
  <c r="E11" i="95"/>
  <c r="E10" i="95"/>
  <c r="E9" i="95"/>
  <c r="E8" i="95"/>
  <c r="E7" i="95"/>
  <c r="E6" i="95"/>
  <c r="E5" i="95"/>
  <c r="E4" i="95"/>
  <c r="D4" i="95"/>
  <c r="C4" i="95"/>
  <c r="E3" i="95"/>
  <c r="D3" i="95"/>
  <c r="C3" i="95"/>
  <c r="E2" i="95"/>
  <c r="D2" i="95"/>
  <c r="C2" i="95"/>
  <c r="F5" i="94"/>
  <c r="E5" i="94"/>
  <c r="D5" i="94"/>
  <c r="C5" i="94"/>
  <c r="F4" i="94"/>
  <c r="E4" i="94"/>
  <c r="D4" i="94"/>
  <c r="C4" i="94"/>
  <c r="F3" i="94"/>
  <c r="E3" i="94"/>
  <c r="D3" i="94"/>
  <c r="C3" i="94"/>
  <c r="F2" i="94"/>
  <c r="E2" i="94"/>
  <c r="D2" i="94"/>
  <c r="C2" i="94"/>
  <c r="F9" i="93"/>
  <c r="E9" i="93"/>
  <c r="F8" i="93"/>
  <c r="E8" i="93"/>
  <c r="O7" i="93"/>
  <c r="N7" i="93"/>
  <c r="M7" i="93"/>
  <c r="L7" i="93"/>
  <c r="K7" i="93"/>
  <c r="J7" i="93"/>
  <c r="I7" i="93"/>
  <c r="H7" i="93"/>
  <c r="F7" i="93"/>
  <c r="E7" i="93"/>
  <c r="D7" i="93"/>
  <c r="C7" i="93"/>
  <c r="O6" i="93"/>
  <c r="N6" i="93"/>
  <c r="M6" i="93"/>
  <c r="L6" i="93"/>
  <c r="K6" i="93"/>
  <c r="J6" i="93"/>
  <c r="I6" i="93"/>
  <c r="H6" i="93"/>
  <c r="F6" i="93"/>
  <c r="E6" i="93"/>
  <c r="D6" i="93"/>
  <c r="C6" i="93"/>
  <c r="O5" i="93"/>
  <c r="N5" i="93"/>
  <c r="M5" i="93"/>
  <c r="L5" i="93"/>
  <c r="K5" i="93"/>
  <c r="J5" i="93"/>
  <c r="I5" i="93"/>
  <c r="H5" i="93"/>
  <c r="F5" i="93"/>
  <c r="E5" i="93"/>
  <c r="D5" i="93"/>
  <c r="C5" i="93"/>
  <c r="O4" i="93"/>
  <c r="N4" i="93"/>
  <c r="M4" i="93"/>
  <c r="L4" i="93"/>
  <c r="K4" i="93"/>
  <c r="J4" i="93"/>
  <c r="I4" i="93"/>
  <c r="H4" i="93"/>
  <c r="F4" i="93"/>
  <c r="E4" i="93"/>
  <c r="D4" i="93"/>
  <c r="C4" i="93"/>
  <c r="O3" i="93"/>
  <c r="N3" i="93"/>
  <c r="M3" i="93"/>
  <c r="L3" i="93"/>
  <c r="K3" i="93"/>
  <c r="J3" i="93"/>
  <c r="I3" i="93"/>
  <c r="H3" i="93"/>
  <c r="F3" i="93"/>
  <c r="E3" i="93"/>
  <c r="D3" i="93"/>
  <c r="C3" i="93"/>
  <c r="O2" i="93"/>
  <c r="N2" i="93"/>
  <c r="M2" i="93"/>
  <c r="L2" i="93"/>
  <c r="K2" i="93"/>
  <c r="J2" i="93"/>
  <c r="I2" i="93"/>
  <c r="H2" i="93"/>
  <c r="H11" i="93" s="1"/>
  <c r="F2" i="93"/>
  <c r="E2" i="93"/>
  <c r="D2" i="93"/>
  <c r="C2" i="93"/>
  <c r="E189" i="92"/>
  <c r="E188" i="92"/>
  <c r="E187" i="92"/>
  <c r="F186" i="92"/>
  <c r="E186" i="92"/>
  <c r="F185" i="92"/>
  <c r="E185" i="92"/>
  <c r="F184" i="92"/>
  <c r="E184" i="92"/>
  <c r="F183" i="92"/>
  <c r="E183" i="92"/>
  <c r="F182" i="92"/>
  <c r="E182" i="92"/>
  <c r="F181" i="92"/>
  <c r="E181" i="92"/>
  <c r="F180" i="92"/>
  <c r="E180" i="92"/>
  <c r="F179" i="92"/>
  <c r="E179" i="92"/>
  <c r="F178" i="92"/>
  <c r="E178" i="92"/>
  <c r="F177" i="92"/>
  <c r="E177" i="92"/>
  <c r="F176" i="92"/>
  <c r="E176" i="92"/>
  <c r="F175" i="92"/>
  <c r="E175" i="92"/>
  <c r="F174" i="92"/>
  <c r="E174" i="92"/>
  <c r="F173" i="92"/>
  <c r="E173" i="92"/>
  <c r="F172" i="92"/>
  <c r="E172" i="92"/>
  <c r="F171" i="92"/>
  <c r="E171" i="92"/>
  <c r="F170" i="92"/>
  <c r="E170" i="92"/>
  <c r="F169" i="92"/>
  <c r="E169" i="92"/>
  <c r="F168" i="92"/>
  <c r="E168" i="92"/>
  <c r="F167" i="92"/>
  <c r="E167" i="92"/>
  <c r="F166" i="92"/>
  <c r="E166" i="92"/>
  <c r="F165" i="92"/>
  <c r="E165" i="92"/>
  <c r="F164" i="92"/>
  <c r="E164" i="92"/>
  <c r="F163" i="92"/>
  <c r="E163" i="92"/>
  <c r="F162" i="92"/>
  <c r="E162" i="92"/>
  <c r="F161" i="92"/>
  <c r="E161" i="92"/>
  <c r="F160" i="92"/>
  <c r="E160" i="92"/>
  <c r="F159" i="92"/>
  <c r="E159" i="92"/>
  <c r="F158" i="92"/>
  <c r="E158" i="92"/>
  <c r="F157" i="92"/>
  <c r="E157" i="92"/>
  <c r="F156" i="92"/>
  <c r="E156" i="92"/>
  <c r="F155" i="92"/>
  <c r="E155" i="92"/>
  <c r="F154" i="92"/>
  <c r="E154" i="92"/>
  <c r="F153" i="92"/>
  <c r="E153" i="92"/>
  <c r="F152" i="92"/>
  <c r="E152" i="92"/>
  <c r="F151" i="92"/>
  <c r="E151" i="92"/>
  <c r="F150" i="92"/>
  <c r="E150" i="92"/>
  <c r="F149" i="92"/>
  <c r="E149" i="92"/>
  <c r="F148" i="92"/>
  <c r="E148" i="92"/>
  <c r="F147" i="92"/>
  <c r="E147" i="92"/>
  <c r="F146" i="92"/>
  <c r="E146" i="92"/>
  <c r="F145" i="92"/>
  <c r="E145" i="92"/>
  <c r="F144" i="92"/>
  <c r="E144" i="92"/>
  <c r="F143" i="92"/>
  <c r="E143" i="92"/>
  <c r="F142" i="92"/>
  <c r="E142" i="92"/>
  <c r="F141" i="92"/>
  <c r="E141" i="92"/>
  <c r="F140" i="92"/>
  <c r="E140" i="92"/>
  <c r="F139" i="92"/>
  <c r="E139" i="92"/>
  <c r="F138" i="92"/>
  <c r="E138" i="92"/>
  <c r="F137" i="92"/>
  <c r="E137" i="92"/>
  <c r="F136" i="92"/>
  <c r="E136" i="92"/>
  <c r="F135" i="92"/>
  <c r="E135" i="92"/>
  <c r="F134" i="92"/>
  <c r="E134" i="92"/>
  <c r="F133" i="92"/>
  <c r="E133" i="92"/>
  <c r="F132" i="92"/>
  <c r="E132" i="92"/>
  <c r="F131" i="92"/>
  <c r="E131" i="92"/>
  <c r="F130" i="92"/>
  <c r="E130" i="92"/>
  <c r="F129" i="92"/>
  <c r="E129" i="92"/>
  <c r="F128" i="92"/>
  <c r="E128" i="92"/>
  <c r="F127" i="92"/>
  <c r="E127" i="92"/>
  <c r="F126" i="92"/>
  <c r="E126" i="92"/>
  <c r="F125" i="92"/>
  <c r="E125" i="92"/>
  <c r="F124" i="92"/>
  <c r="E124" i="92"/>
  <c r="F123" i="92"/>
  <c r="E123" i="92"/>
  <c r="F122" i="92"/>
  <c r="E122" i="92"/>
  <c r="F121" i="92"/>
  <c r="E121" i="92"/>
  <c r="F120" i="92"/>
  <c r="E120" i="92"/>
  <c r="F119" i="92"/>
  <c r="E119" i="92"/>
  <c r="F118" i="92"/>
  <c r="E118" i="92"/>
  <c r="F117" i="92"/>
  <c r="E117" i="92"/>
  <c r="F116" i="92"/>
  <c r="E116" i="92"/>
  <c r="F115" i="92"/>
  <c r="E115" i="92"/>
  <c r="F114" i="92"/>
  <c r="E114" i="92"/>
  <c r="F113" i="92"/>
  <c r="E113" i="92"/>
  <c r="F112" i="92"/>
  <c r="E112" i="92"/>
  <c r="F111" i="92"/>
  <c r="E111" i="92"/>
  <c r="F110" i="92"/>
  <c r="E110" i="92"/>
  <c r="F109" i="92"/>
  <c r="E109" i="92"/>
  <c r="F108" i="92"/>
  <c r="E108" i="92"/>
  <c r="F107" i="92"/>
  <c r="E107" i="92"/>
  <c r="F106" i="92"/>
  <c r="E106" i="92"/>
  <c r="F105" i="92"/>
  <c r="E105" i="92"/>
  <c r="F104" i="92"/>
  <c r="E104" i="92"/>
  <c r="F103" i="92"/>
  <c r="E103" i="92"/>
  <c r="F102" i="92"/>
  <c r="E102" i="92"/>
  <c r="F101" i="92"/>
  <c r="E101" i="92"/>
  <c r="F100" i="92"/>
  <c r="E100" i="92"/>
  <c r="F99" i="92"/>
  <c r="E99" i="92"/>
  <c r="F98" i="92"/>
  <c r="E98" i="92"/>
  <c r="F97" i="92"/>
  <c r="E97" i="92"/>
  <c r="F96" i="92"/>
  <c r="E96" i="92"/>
  <c r="F95" i="92"/>
  <c r="E95" i="92"/>
  <c r="F94" i="92"/>
  <c r="E94" i="92"/>
  <c r="F93" i="92"/>
  <c r="E93" i="92"/>
  <c r="F92" i="92"/>
  <c r="E92" i="92"/>
  <c r="F91" i="92"/>
  <c r="E91" i="92"/>
  <c r="F90" i="92"/>
  <c r="E90" i="92"/>
  <c r="F89" i="92"/>
  <c r="E89" i="92"/>
  <c r="F88" i="92"/>
  <c r="E88" i="92"/>
  <c r="F87" i="92"/>
  <c r="E87" i="92"/>
  <c r="F86" i="92"/>
  <c r="E86" i="92"/>
  <c r="F85" i="92"/>
  <c r="E85" i="92"/>
  <c r="F84" i="92"/>
  <c r="E84" i="92"/>
  <c r="F83" i="92"/>
  <c r="E83" i="92"/>
  <c r="F82" i="92"/>
  <c r="E82" i="92"/>
  <c r="F81" i="92"/>
  <c r="E81" i="92"/>
  <c r="F80" i="92"/>
  <c r="E80" i="92"/>
  <c r="F79" i="92"/>
  <c r="E79" i="92"/>
  <c r="F78" i="92"/>
  <c r="E78" i="92"/>
  <c r="F77" i="92"/>
  <c r="E77" i="92"/>
  <c r="F76" i="92"/>
  <c r="E76" i="92"/>
  <c r="F75" i="92"/>
  <c r="E75" i="92"/>
  <c r="F74" i="92"/>
  <c r="E74" i="92"/>
  <c r="F73" i="92"/>
  <c r="E73" i="92"/>
  <c r="F72" i="92"/>
  <c r="E72" i="92"/>
  <c r="O71" i="92"/>
  <c r="N71" i="92"/>
  <c r="M71" i="92"/>
  <c r="L71" i="92"/>
  <c r="K71" i="92"/>
  <c r="J71" i="92"/>
  <c r="I71" i="92"/>
  <c r="H71" i="92"/>
  <c r="F71" i="92"/>
  <c r="E71" i="92"/>
  <c r="D71" i="92"/>
  <c r="C71" i="92"/>
  <c r="O70" i="92"/>
  <c r="N70" i="92"/>
  <c r="M70" i="92"/>
  <c r="L70" i="92"/>
  <c r="K70" i="92"/>
  <c r="J70" i="92"/>
  <c r="I70" i="92"/>
  <c r="H70" i="92"/>
  <c r="F70" i="92"/>
  <c r="E70" i="92"/>
  <c r="D70" i="92"/>
  <c r="C70" i="92"/>
  <c r="O69" i="92"/>
  <c r="N69" i="92"/>
  <c r="M69" i="92"/>
  <c r="L69" i="92"/>
  <c r="K69" i="92"/>
  <c r="J69" i="92"/>
  <c r="I69" i="92"/>
  <c r="H69" i="92"/>
  <c r="F69" i="92"/>
  <c r="E69" i="92"/>
  <c r="D69" i="92"/>
  <c r="C69" i="92"/>
  <c r="F68" i="92"/>
  <c r="E68" i="92"/>
  <c r="D68" i="92"/>
  <c r="C68" i="92"/>
  <c r="F67" i="92"/>
  <c r="E67" i="92"/>
  <c r="D67" i="92"/>
  <c r="C67" i="92"/>
  <c r="O66" i="92"/>
  <c r="N66" i="92"/>
  <c r="M66" i="92"/>
  <c r="L66" i="92"/>
  <c r="K66" i="92"/>
  <c r="J66" i="92"/>
  <c r="I66" i="92"/>
  <c r="H66" i="92"/>
  <c r="F66" i="92"/>
  <c r="E66" i="92"/>
  <c r="D66" i="92"/>
  <c r="C66" i="92"/>
  <c r="O65" i="92"/>
  <c r="N65" i="92"/>
  <c r="M65" i="92"/>
  <c r="L65" i="92"/>
  <c r="K65" i="92"/>
  <c r="J65" i="92"/>
  <c r="I65" i="92"/>
  <c r="H65" i="92"/>
  <c r="F65" i="92"/>
  <c r="E65" i="92"/>
  <c r="D65" i="92"/>
  <c r="C65" i="92"/>
  <c r="O64" i="92"/>
  <c r="N64" i="92"/>
  <c r="M64" i="92"/>
  <c r="L64" i="92"/>
  <c r="K64" i="92"/>
  <c r="J64" i="92"/>
  <c r="I64" i="92"/>
  <c r="H64" i="92"/>
  <c r="F64" i="92"/>
  <c r="E64" i="92"/>
  <c r="D64" i="92"/>
  <c r="C64" i="92"/>
  <c r="O63" i="92"/>
  <c r="N63" i="92"/>
  <c r="M63" i="92"/>
  <c r="L63" i="92"/>
  <c r="K63" i="92"/>
  <c r="J63" i="92"/>
  <c r="I63" i="92"/>
  <c r="H63" i="92"/>
  <c r="F63" i="92"/>
  <c r="E63" i="92"/>
  <c r="D63" i="92"/>
  <c r="C63" i="92"/>
  <c r="O62" i="92"/>
  <c r="N62" i="92"/>
  <c r="M62" i="92"/>
  <c r="L62" i="92"/>
  <c r="K62" i="92"/>
  <c r="J62" i="92"/>
  <c r="I62" i="92"/>
  <c r="H62" i="92"/>
  <c r="F62" i="92"/>
  <c r="E62" i="92"/>
  <c r="D62" i="92"/>
  <c r="C62" i="92"/>
  <c r="O61" i="92"/>
  <c r="N61" i="92"/>
  <c r="M61" i="92"/>
  <c r="L61" i="92"/>
  <c r="K61" i="92"/>
  <c r="J61" i="92"/>
  <c r="I61" i="92"/>
  <c r="H61" i="92"/>
  <c r="F61" i="92"/>
  <c r="E61" i="92"/>
  <c r="D61" i="92"/>
  <c r="C61" i="92"/>
  <c r="O60" i="92"/>
  <c r="N60" i="92"/>
  <c r="M60" i="92"/>
  <c r="L60" i="92"/>
  <c r="K60" i="92"/>
  <c r="J60" i="92"/>
  <c r="I60" i="92"/>
  <c r="H60" i="92"/>
  <c r="F60" i="92"/>
  <c r="E60" i="92"/>
  <c r="D60" i="92"/>
  <c r="C60" i="92"/>
  <c r="O59" i="92"/>
  <c r="N59" i="92"/>
  <c r="M59" i="92"/>
  <c r="L59" i="92"/>
  <c r="K59" i="92"/>
  <c r="J59" i="92"/>
  <c r="I59" i="92"/>
  <c r="H59" i="92"/>
  <c r="F59" i="92"/>
  <c r="E59" i="92"/>
  <c r="D59" i="92"/>
  <c r="C59" i="92"/>
  <c r="O58" i="92"/>
  <c r="N58" i="92"/>
  <c r="M58" i="92"/>
  <c r="L58" i="92"/>
  <c r="K58" i="92"/>
  <c r="J58" i="92"/>
  <c r="I58" i="92"/>
  <c r="H58" i="92"/>
  <c r="F58" i="92"/>
  <c r="E58" i="92"/>
  <c r="D58" i="92"/>
  <c r="C58" i="92"/>
  <c r="O57" i="92"/>
  <c r="N57" i="92"/>
  <c r="M57" i="92"/>
  <c r="L57" i="92"/>
  <c r="K57" i="92"/>
  <c r="J57" i="92"/>
  <c r="I57" i="92"/>
  <c r="H57" i="92"/>
  <c r="F57" i="92"/>
  <c r="E57" i="92"/>
  <c r="D57" i="92"/>
  <c r="C57" i="92"/>
  <c r="O56" i="92"/>
  <c r="N56" i="92"/>
  <c r="M56" i="92"/>
  <c r="L56" i="92"/>
  <c r="K56" i="92"/>
  <c r="J56" i="92"/>
  <c r="I56" i="92"/>
  <c r="H56" i="92"/>
  <c r="F56" i="92"/>
  <c r="E56" i="92"/>
  <c r="D56" i="92"/>
  <c r="C56" i="92"/>
  <c r="O55" i="92"/>
  <c r="N55" i="92"/>
  <c r="M55" i="92"/>
  <c r="L55" i="92"/>
  <c r="K55" i="92"/>
  <c r="J55" i="92"/>
  <c r="I55" i="92"/>
  <c r="H55" i="92"/>
  <c r="F55" i="92"/>
  <c r="E55" i="92"/>
  <c r="D55" i="92"/>
  <c r="C55" i="92"/>
  <c r="O54" i="92"/>
  <c r="N54" i="92"/>
  <c r="M54" i="92"/>
  <c r="L54" i="92"/>
  <c r="K54" i="92"/>
  <c r="J54" i="92"/>
  <c r="I54" i="92"/>
  <c r="H54" i="92"/>
  <c r="F54" i="92"/>
  <c r="E54" i="92"/>
  <c r="D54" i="92"/>
  <c r="C54" i="92"/>
  <c r="O53" i="92"/>
  <c r="N53" i="92"/>
  <c r="M53" i="92"/>
  <c r="L53" i="92"/>
  <c r="K53" i="92"/>
  <c r="J53" i="92"/>
  <c r="I53" i="92"/>
  <c r="H53" i="92"/>
  <c r="F53" i="92"/>
  <c r="E53" i="92"/>
  <c r="D53" i="92"/>
  <c r="C53" i="92"/>
  <c r="O52" i="92"/>
  <c r="N52" i="92"/>
  <c r="M52" i="92"/>
  <c r="L52" i="92"/>
  <c r="K52" i="92"/>
  <c r="J52" i="92"/>
  <c r="I52" i="92"/>
  <c r="H52" i="92"/>
  <c r="F52" i="92"/>
  <c r="E52" i="92"/>
  <c r="D52" i="92"/>
  <c r="C52" i="92"/>
  <c r="O51" i="92"/>
  <c r="N51" i="92"/>
  <c r="M51" i="92"/>
  <c r="L51" i="92"/>
  <c r="K51" i="92"/>
  <c r="J51" i="92"/>
  <c r="I51" i="92"/>
  <c r="H51" i="92"/>
  <c r="F51" i="92"/>
  <c r="E51" i="92"/>
  <c r="D51" i="92"/>
  <c r="C51" i="92"/>
  <c r="O50" i="92"/>
  <c r="N50" i="92"/>
  <c r="M50" i="92"/>
  <c r="L50" i="92"/>
  <c r="K50" i="92"/>
  <c r="J50" i="92"/>
  <c r="I50" i="92"/>
  <c r="H50" i="92"/>
  <c r="F50" i="92"/>
  <c r="E50" i="92"/>
  <c r="D50" i="92"/>
  <c r="C50" i="92"/>
  <c r="O49" i="92"/>
  <c r="N49" i="92"/>
  <c r="M49" i="92"/>
  <c r="L49" i="92"/>
  <c r="K49" i="92"/>
  <c r="J49" i="92"/>
  <c r="I49" i="92"/>
  <c r="H49" i="92"/>
  <c r="F49" i="92"/>
  <c r="E49" i="92"/>
  <c r="D49" i="92"/>
  <c r="C49" i="92"/>
  <c r="O48" i="92"/>
  <c r="N48" i="92"/>
  <c r="M48" i="92"/>
  <c r="L48" i="92"/>
  <c r="K48" i="92"/>
  <c r="J48" i="92"/>
  <c r="I48" i="92"/>
  <c r="H48" i="92"/>
  <c r="F48" i="92"/>
  <c r="E48" i="92"/>
  <c r="D48" i="92"/>
  <c r="C48" i="92"/>
  <c r="F47" i="92"/>
  <c r="E47" i="92"/>
  <c r="D47" i="92"/>
  <c r="C47" i="92"/>
  <c r="O46" i="92"/>
  <c r="N46" i="92"/>
  <c r="M46" i="92"/>
  <c r="L46" i="92"/>
  <c r="K46" i="92"/>
  <c r="J46" i="92"/>
  <c r="I46" i="92"/>
  <c r="H46" i="92"/>
  <c r="F46" i="92"/>
  <c r="E46" i="92"/>
  <c r="D46" i="92"/>
  <c r="C46" i="92"/>
  <c r="O45" i="92"/>
  <c r="N45" i="92"/>
  <c r="M45" i="92"/>
  <c r="L45" i="92"/>
  <c r="K45" i="92"/>
  <c r="J45" i="92"/>
  <c r="I45" i="92"/>
  <c r="H45" i="92"/>
  <c r="F45" i="92"/>
  <c r="E45" i="92"/>
  <c r="D45" i="92"/>
  <c r="C45" i="92"/>
  <c r="O44" i="92"/>
  <c r="N44" i="92"/>
  <c r="M44" i="92"/>
  <c r="L44" i="92"/>
  <c r="K44" i="92"/>
  <c r="J44" i="92"/>
  <c r="I44" i="92"/>
  <c r="H44" i="92"/>
  <c r="F44" i="92"/>
  <c r="E44" i="92"/>
  <c r="D44" i="92"/>
  <c r="C44" i="92"/>
  <c r="O43" i="92"/>
  <c r="N43" i="92"/>
  <c r="M43" i="92"/>
  <c r="L43" i="92"/>
  <c r="K43" i="92"/>
  <c r="J43" i="92"/>
  <c r="I43" i="92"/>
  <c r="H43" i="92"/>
  <c r="F43" i="92"/>
  <c r="E43" i="92"/>
  <c r="D43" i="92"/>
  <c r="C43" i="92"/>
  <c r="O42" i="92"/>
  <c r="N42" i="92"/>
  <c r="M42" i="92"/>
  <c r="L42" i="92"/>
  <c r="K42" i="92"/>
  <c r="J42" i="92"/>
  <c r="I42" i="92"/>
  <c r="H42" i="92"/>
  <c r="F42" i="92"/>
  <c r="E42" i="92"/>
  <c r="D42" i="92"/>
  <c r="C42" i="92"/>
  <c r="F41" i="92"/>
  <c r="E41" i="92"/>
  <c r="D41" i="92"/>
  <c r="C41" i="92"/>
  <c r="O40" i="92"/>
  <c r="N40" i="92"/>
  <c r="M40" i="92"/>
  <c r="L40" i="92"/>
  <c r="K40" i="92"/>
  <c r="J40" i="92"/>
  <c r="I40" i="92"/>
  <c r="H40" i="92"/>
  <c r="F40" i="92"/>
  <c r="E40" i="92"/>
  <c r="D40" i="92"/>
  <c r="C40" i="92"/>
  <c r="O39" i="92"/>
  <c r="N39" i="92"/>
  <c r="M39" i="92"/>
  <c r="L39" i="92"/>
  <c r="K39" i="92"/>
  <c r="J39" i="92"/>
  <c r="I39" i="92"/>
  <c r="H39" i="92"/>
  <c r="F39" i="92"/>
  <c r="E39" i="92"/>
  <c r="D39" i="92"/>
  <c r="C39" i="92"/>
  <c r="O38" i="92"/>
  <c r="N38" i="92"/>
  <c r="M38" i="92"/>
  <c r="L38" i="92"/>
  <c r="K38" i="92"/>
  <c r="J38" i="92"/>
  <c r="I38" i="92"/>
  <c r="H38" i="92"/>
  <c r="F38" i="92"/>
  <c r="E38" i="92"/>
  <c r="D38" i="92"/>
  <c r="C38" i="92"/>
  <c r="O37" i="92"/>
  <c r="N37" i="92"/>
  <c r="M37" i="92"/>
  <c r="L37" i="92"/>
  <c r="K37" i="92"/>
  <c r="J37" i="92"/>
  <c r="I37" i="92"/>
  <c r="H37" i="92"/>
  <c r="F37" i="92"/>
  <c r="E37" i="92"/>
  <c r="D37" i="92"/>
  <c r="C37" i="92"/>
  <c r="F36" i="92"/>
  <c r="E36" i="92"/>
  <c r="D36" i="92"/>
  <c r="C36" i="92"/>
  <c r="O35" i="92"/>
  <c r="N35" i="92"/>
  <c r="M35" i="92"/>
  <c r="L35" i="92"/>
  <c r="K35" i="92"/>
  <c r="J35" i="92"/>
  <c r="I35" i="92"/>
  <c r="H35" i="92"/>
  <c r="F35" i="92"/>
  <c r="E35" i="92"/>
  <c r="D35" i="92"/>
  <c r="C35" i="92"/>
  <c r="O34" i="92"/>
  <c r="N34" i="92"/>
  <c r="M34" i="92"/>
  <c r="L34" i="92"/>
  <c r="K34" i="92"/>
  <c r="J34" i="92"/>
  <c r="I34" i="92"/>
  <c r="H34" i="92"/>
  <c r="F34" i="92"/>
  <c r="E34" i="92"/>
  <c r="D34" i="92"/>
  <c r="C34" i="92"/>
  <c r="O33" i="92"/>
  <c r="N33" i="92"/>
  <c r="M33" i="92"/>
  <c r="L33" i="92"/>
  <c r="K33" i="92"/>
  <c r="J33" i="92"/>
  <c r="I33" i="92"/>
  <c r="H33" i="92"/>
  <c r="F33" i="92"/>
  <c r="E33" i="92"/>
  <c r="D33" i="92"/>
  <c r="C33" i="92"/>
  <c r="O32" i="92"/>
  <c r="N32" i="92"/>
  <c r="M32" i="92"/>
  <c r="L32" i="92"/>
  <c r="K32" i="92"/>
  <c r="J32" i="92"/>
  <c r="I32" i="92"/>
  <c r="H32" i="92"/>
  <c r="F32" i="92"/>
  <c r="E32" i="92"/>
  <c r="D32" i="92"/>
  <c r="C32" i="92"/>
  <c r="O31" i="92"/>
  <c r="N31" i="92"/>
  <c r="M31" i="92"/>
  <c r="L31" i="92"/>
  <c r="K31" i="92"/>
  <c r="J31" i="92"/>
  <c r="I31" i="92"/>
  <c r="H31" i="92"/>
  <c r="F31" i="92"/>
  <c r="E31" i="92"/>
  <c r="D31" i="92"/>
  <c r="C31" i="92"/>
  <c r="O30" i="92"/>
  <c r="N30" i="92"/>
  <c r="M30" i="92"/>
  <c r="L30" i="92"/>
  <c r="K30" i="92"/>
  <c r="J30" i="92"/>
  <c r="I30" i="92"/>
  <c r="H30" i="92"/>
  <c r="F30" i="92"/>
  <c r="E30" i="92"/>
  <c r="D30" i="92"/>
  <c r="C30" i="92"/>
  <c r="O29" i="92"/>
  <c r="N29" i="92"/>
  <c r="M29" i="92"/>
  <c r="L29" i="92"/>
  <c r="K29" i="92"/>
  <c r="J29" i="92"/>
  <c r="I29" i="92"/>
  <c r="H29" i="92"/>
  <c r="F29" i="92"/>
  <c r="E29" i="92"/>
  <c r="D29" i="92"/>
  <c r="C29" i="92"/>
  <c r="O28" i="92"/>
  <c r="N28" i="92"/>
  <c r="M28" i="92"/>
  <c r="L28" i="92"/>
  <c r="K28" i="92"/>
  <c r="J28" i="92"/>
  <c r="I28" i="92"/>
  <c r="H28" i="92"/>
  <c r="F28" i="92"/>
  <c r="E28" i="92"/>
  <c r="D28" i="92"/>
  <c r="C28" i="92"/>
  <c r="O27" i="92"/>
  <c r="N27" i="92"/>
  <c r="M27" i="92"/>
  <c r="L27" i="92"/>
  <c r="K27" i="92"/>
  <c r="J27" i="92"/>
  <c r="I27" i="92"/>
  <c r="H27" i="92"/>
  <c r="F27" i="92"/>
  <c r="E27" i="92"/>
  <c r="D27" i="92"/>
  <c r="C27" i="92"/>
  <c r="O26" i="92"/>
  <c r="N26" i="92"/>
  <c r="M26" i="92"/>
  <c r="L26" i="92"/>
  <c r="K26" i="92"/>
  <c r="J26" i="92"/>
  <c r="I26" i="92"/>
  <c r="H26" i="92"/>
  <c r="F26" i="92"/>
  <c r="E26" i="92"/>
  <c r="D26" i="92"/>
  <c r="C26" i="92"/>
  <c r="O25" i="92"/>
  <c r="N25" i="92"/>
  <c r="M25" i="92"/>
  <c r="L25" i="92"/>
  <c r="K25" i="92"/>
  <c r="J25" i="92"/>
  <c r="I25" i="92"/>
  <c r="H25" i="92"/>
  <c r="F25" i="92"/>
  <c r="E25" i="92"/>
  <c r="D25" i="92"/>
  <c r="C25" i="92"/>
  <c r="O24" i="92"/>
  <c r="N24" i="92"/>
  <c r="M24" i="92"/>
  <c r="L24" i="92"/>
  <c r="K24" i="92"/>
  <c r="J24" i="92"/>
  <c r="I24" i="92"/>
  <c r="H24" i="92"/>
  <c r="F24" i="92"/>
  <c r="E24" i="92"/>
  <c r="D24" i="92"/>
  <c r="C24" i="92"/>
  <c r="O23" i="92"/>
  <c r="N23" i="92"/>
  <c r="M23" i="92"/>
  <c r="L23" i="92"/>
  <c r="K23" i="92"/>
  <c r="J23" i="92"/>
  <c r="I23" i="92"/>
  <c r="H23" i="92"/>
  <c r="F23" i="92"/>
  <c r="E23" i="92"/>
  <c r="D23" i="92"/>
  <c r="C23" i="92"/>
  <c r="O22" i="92"/>
  <c r="N22" i="92"/>
  <c r="M22" i="92"/>
  <c r="L22" i="92"/>
  <c r="K22" i="92"/>
  <c r="J22" i="92"/>
  <c r="I22" i="92"/>
  <c r="H22" i="92"/>
  <c r="F22" i="92"/>
  <c r="E22" i="92"/>
  <c r="D22" i="92"/>
  <c r="C22" i="92"/>
  <c r="O21" i="92"/>
  <c r="N21" i="92"/>
  <c r="M21" i="92"/>
  <c r="L21" i="92"/>
  <c r="K21" i="92"/>
  <c r="J21" i="92"/>
  <c r="I21" i="92"/>
  <c r="H21" i="92"/>
  <c r="F21" i="92"/>
  <c r="E21" i="92"/>
  <c r="D21" i="92"/>
  <c r="C21" i="92"/>
  <c r="O20" i="92"/>
  <c r="N20" i="92"/>
  <c r="M20" i="92"/>
  <c r="L20" i="92"/>
  <c r="K20" i="92"/>
  <c r="J20" i="92"/>
  <c r="I20" i="92"/>
  <c r="H20" i="92"/>
  <c r="F20" i="92"/>
  <c r="E20" i="92"/>
  <c r="D20" i="92"/>
  <c r="C20" i="92"/>
  <c r="O19" i="92"/>
  <c r="N19" i="92"/>
  <c r="M19" i="92"/>
  <c r="L19" i="92"/>
  <c r="K19" i="92"/>
  <c r="J19" i="92"/>
  <c r="I19" i="92"/>
  <c r="H19" i="92"/>
  <c r="F19" i="92"/>
  <c r="E19" i="92"/>
  <c r="D19" i="92"/>
  <c r="C19" i="92"/>
  <c r="O18" i="92"/>
  <c r="N18" i="92"/>
  <c r="M18" i="92"/>
  <c r="L18" i="92"/>
  <c r="K18" i="92"/>
  <c r="J18" i="92"/>
  <c r="I18" i="92"/>
  <c r="H18" i="92"/>
  <c r="F18" i="92"/>
  <c r="E18" i="92"/>
  <c r="D18" i="92"/>
  <c r="C18" i="92"/>
  <c r="O17" i="92"/>
  <c r="N17" i="92"/>
  <c r="M17" i="92"/>
  <c r="L17" i="92"/>
  <c r="K17" i="92"/>
  <c r="J17" i="92"/>
  <c r="I17" i="92"/>
  <c r="H17" i="92"/>
  <c r="F17" i="92"/>
  <c r="E17" i="92"/>
  <c r="D17" i="92"/>
  <c r="C17" i="92"/>
  <c r="O16" i="92"/>
  <c r="N16" i="92"/>
  <c r="M16" i="92"/>
  <c r="L16" i="92"/>
  <c r="K16" i="92"/>
  <c r="J16" i="92"/>
  <c r="I16" i="92"/>
  <c r="H16" i="92"/>
  <c r="F16" i="92"/>
  <c r="E16" i="92"/>
  <c r="D16" i="92"/>
  <c r="C16" i="92"/>
  <c r="O15" i="92"/>
  <c r="N15" i="92"/>
  <c r="M15" i="92"/>
  <c r="L15" i="92"/>
  <c r="K15" i="92"/>
  <c r="J15" i="92"/>
  <c r="I15" i="92"/>
  <c r="H15" i="92"/>
  <c r="F15" i="92"/>
  <c r="E15" i="92"/>
  <c r="D15" i="92"/>
  <c r="C15" i="92"/>
  <c r="O14" i="92"/>
  <c r="N14" i="92"/>
  <c r="M14" i="92"/>
  <c r="L14" i="92"/>
  <c r="K14" i="92"/>
  <c r="J14" i="92"/>
  <c r="I14" i="92"/>
  <c r="H14" i="92"/>
  <c r="F14" i="92"/>
  <c r="E14" i="92"/>
  <c r="D14" i="92"/>
  <c r="C14" i="92"/>
  <c r="O13" i="92"/>
  <c r="N13" i="92"/>
  <c r="M13" i="92"/>
  <c r="L13" i="92"/>
  <c r="K13" i="92"/>
  <c r="J13" i="92"/>
  <c r="I13" i="92"/>
  <c r="H13" i="92"/>
  <c r="F13" i="92"/>
  <c r="E13" i="92"/>
  <c r="D13" i="92"/>
  <c r="C13" i="92"/>
  <c r="O12" i="92"/>
  <c r="N12" i="92"/>
  <c r="M12" i="92"/>
  <c r="L12" i="92"/>
  <c r="K12" i="92"/>
  <c r="J12" i="92"/>
  <c r="I12" i="92"/>
  <c r="H12" i="92"/>
  <c r="F12" i="92"/>
  <c r="E12" i="92"/>
  <c r="D12" i="92"/>
  <c r="C12" i="92"/>
  <c r="O11" i="92"/>
  <c r="N11" i="92"/>
  <c r="M11" i="92"/>
  <c r="L11" i="92"/>
  <c r="K11" i="92"/>
  <c r="J11" i="92"/>
  <c r="I11" i="92"/>
  <c r="H11" i="92"/>
  <c r="F11" i="92"/>
  <c r="E11" i="92"/>
  <c r="D11" i="92"/>
  <c r="C11" i="92"/>
  <c r="O10" i="92"/>
  <c r="N10" i="92"/>
  <c r="M10" i="92"/>
  <c r="L10" i="92"/>
  <c r="K10" i="92"/>
  <c r="J10" i="92"/>
  <c r="I10" i="92"/>
  <c r="H10" i="92"/>
  <c r="F10" i="92"/>
  <c r="E10" i="92"/>
  <c r="D10" i="92"/>
  <c r="C10" i="92"/>
  <c r="O9" i="92"/>
  <c r="N9" i="92"/>
  <c r="M9" i="92"/>
  <c r="L9" i="92"/>
  <c r="K9" i="92"/>
  <c r="J9" i="92"/>
  <c r="I9" i="92"/>
  <c r="H9" i="92"/>
  <c r="F9" i="92"/>
  <c r="E9" i="92"/>
  <c r="D9" i="92"/>
  <c r="C9" i="92"/>
  <c r="O8" i="92"/>
  <c r="N8" i="92"/>
  <c r="M8" i="92"/>
  <c r="L8" i="92"/>
  <c r="K8" i="92"/>
  <c r="J8" i="92"/>
  <c r="I8" i="92"/>
  <c r="H8" i="92"/>
  <c r="F8" i="92"/>
  <c r="E8" i="92"/>
  <c r="D8" i="92"/>
  <c r="C8" i="92"/>
  <c r="O7" i="92"/>
  <c r="N7" i="92"/>
  <c r="M7" i="92"/>
  <c r="L7" i="92"/>
  <c r="K7" i="92"/>
  <c r="J7" i="92"/>
  <c r="I7" i="92"/>
  <c r="H7" i="92"/>
  <c r="F7" i="92"/>
  <c r="E7" i="92"/>
  <c r="D7" i="92"/>
  <c r="C7" i="92"/>
  <c r="O6" i="92"/>
  <c r="N6" i="92"/>
  <c r="M6" i="92"/>
  <c r="L6" i="92"/>
  <c r="K6" i="92"/>
  <c r="J6" i="92"/>
  <c r="I6" i="92"/>
  <c r="H6" i="92"/>
  <c r="F6" i="92"/>
  <c r="E6" i="92"/>
  <c r="D6" i="92"/>
  <c r="C6" i="92"/>
  <c r="O5" i="92"/>
  <c r="N5" i="92"/>
  <c r="M5" i="92"/>
  <c r="L5" i="92"/>
  <c r="K5" i="92"/>
  <c r="J5" i="92"/>
  <c r="I5" i="92"/>
  <c r="H5" i="92"/>
  <c r="F5" i="92"/>
  <c r="E5" i="92"/>
  <c r="D5" i="92"/>
  <c r="C5" i="92"/>
  <c r="O4" i="92"/>
  <c r="N4" i="92"/>
  <c r="M4" i="92"/>
  <c r="L4" i="92"/>
  <c r="K4" i="92"/>
  <c r="J4" i="92"/>
  <c r="I4" i="92"/>
  <c r="H4" i="92"/>
  <c r="F4" i="92"/>
  <c r="E4" i="92"/>
  <c r="D4" i="92"/>
  <c r="C4" i="92"/>
  <c r="O3" i="92"/>
  <c r="N3" i="92"/>
  <c r="M3" i="92"/>
  <c r="L3" i="92"/>
  <c r="K3" i="92"/>
  <c r="J3" i="92"/>
  <c r="I3" i="92"/>
  <c r="H3" i="92"/>
  <c r="F3" i="92"/>
  <c r="E3" i="92"/>
  <c r="D3" i="92"/>
  <c r="C3" i="92"/>
  <c r="O2" i="92"/>
  <c r="N2" i="92"/>
  <c r="M2" i="92"/>
  <c r="L2" i="92"/>
  <c r="K2" i="92"/>
  <c r="J2" i="92"/>
  <c r="I2" i="92"/>
  <c r="I191" i="92" s="1"/>
  <c r="H2" i="92"/>
  <c r="F2" i="92"/>
  <c r="E2" i="92"/>
  <c r="D2" i="92"/>
  <c r="C2" i="92"/>
  <c r="M5" i="91"/>
  <c r="F3" i="91"/>
  <c r="E3" i="91"/>
  <c r="D3" i="91"/>
  <c r="C3" i="91"/>
  <c r="O2" i="91"/>
  <c r="O5" i="91" s="1"/>
  <c r="T5" i="91" s="1"/>
  <c r="N2" i="91"/>
  <c r="N5" i="91" s="1"/>
  <c r="M2" i="91"/>
  <c r="L2" i="91"/>
  <c r="L5" i="91" s="1"/>
  <c r="X5" i="91" s="1"/>
  <c r="K2" i="91"/>
  <c r="K5" i="91" s="1"/>
  <c r="Q5" i="91" s="1"/>
  <c r="J2" i="91"/>
  <c r="J5" i="91" s="1"/>
  <c r="I2" i="91"/>
  <c r="I5" i="91" s="1"/>
  <c r="H2" i="91"/>
  <c r="H5" i="91" s="1"/>
  <c r="F2" i="91"/>
  <c r="E2" i="91"/>
  <c r="D2" i="91"/>
  <c r="C2" i="91"/>
  <c r="H194" i="90"/>
  <c r="E192" i="90"/>
  <c r="E191" i="90"/>
  <c r="E190" i="90"/>
  <c r="E189" i="90"/>
  <c r="E188" i="90"/>
  <c r="E187" i="90"/>
  <c r="E186" i="90"/>
  <c r="E185" i="90"/>
  <c r="E184" i="90"/>
  <c r="E183" i="90"/>
  <c r="E182" i="90"/>
  <c r="E181" i="90"/>
  <c r="E180" i="90"/>
  <c r="E179" i="90"/>
  <c r="E178" i="90"/>
  <c r="E177" i="90"/>
  <c r="E176" i="90"/>
  <c r="E175" i="90"/>
  <c r="F174" i="90"/>
  <c r="E174" i="90"/>
  <c r="F173" i="90"/>
  <c r="E173" i="90"/>
  <c r="F172" i="90"/>
  <c r="E172" i="90"/>
  <c r="F171" i="90"/>
  <c r="E171" i="90"/>
  <c r="F170" i="90"/>
  <c r="E170" i="90"/>
  <c r="F169" i="90"/>
  <c r="E169" i="90"/>
  <c r="F168" i="90"/>
  <c r="E168" i="90"/>
  <c r="F167" i="90"/>
  <c r="E167" i="90"/>
  <c r="F166" i="90"/>
  <c r="E166" i="90"/>
  <c r="F165" i="90"/>
  <c r="E165" i="90"/>
  <c r="F164" i="90"/>
  <c r="E164" i="90"/>
  <c r="F163" i="90"/>
  <c r="E163" i="90"/>
  <c r="F162" i="90"/>
  <c r="E162" i="90"/>
  <c r="F161" i="90"/>
  <c r="E161" i="90"/>
  <c r="F160" i="90"/>
  <c r="E160" i="90"/>
  <c r="F159" i="90"/>
  <c r="E159" i="90"/>
  <c r="F158" i="90"/>
  <c r="E158" i="90"/>
  <c r="F157" i="90"/>
  <c r="E157" i="90"/>
  <c r="F156" i="90"/>
  <c r="E156" i="90"/>
  <c r="F155" i="90"/>
  <c r="E155" i="90"/>
  <c r="F154" i="90"/>
  <c r="E154" i="90"/>
  <c r="F153" i="90"/>
  <c r="E153" i="90"/>
  <c r="F152" i="90"/>
  <c r="E152" i="90"/>
  <c r="F151" i="90"/>
  <c r="E151" i="90"/>
  <c r="F150" i="90"/>
  <c r="E150" i="90"/>
  <c r="F149" i="90"/>
  <c r="E149" i="90"/>
  <c r="F148" i="90"/>
  <c r="E148" i="90"/>
  <c r="F147" i="90"/>
  <c r="E147" i="90"/>
  <c r="F146" i="90"/>
  <c r="E146" i="90"/>
  <c r="F145" i="90"/>
  <c r="E145" i="90"/>
  <c r="F144" i="90"/>
  <c r="E144" i="90"/>
  <c r="F143" i="90"/>
  <c r="E143" i="90"/>
  <c r="F142" i="90"/>
  <c r="E142" i="90"/>
  <c r="F141" i="90"/>
  <c r="E141" i="90"/>
  <c r="F140" i="90"/>
  <c r="E140" i="90"/>
  <c r="F139" i="90"/>
  <c r="E139" i="90"/>
  <c r="F138" i="90"/>
  <c r="E138" i="90"/>
  <c r="F137" i="90"/>
  <c r="E137" i="90"/>
  <c r="F136" i="90"/>
  <c r="E136" i="90"/>
  <c r="F135" i="90"/>
  <c r="E135" i="90"/>
  <c r="F134" i="90"/>
  <c r="E134" i="90"/>
  <c r="F133" i="90"/>
  <c r="E133" i="90"/>
  <c r="F132" i="90"/>
  <c r="E132" i="90"/>
  <c r="F131" i="90"/>
  <c r="E131" i="90"/>
  <c r="F130" i="90"/>
  <c r="E130" i="90"/>
  <c r="F129" i="90"/>
  <c r="E129" i="90"/>
  <c r="F128" i="90"/>
  <c r="E128" i="90"/>
  <c r="F127" i="90"/>
  <c r="E127" i="90"/>
  <c r="F126" i="90"/>
  <c r="E126" i="90"/>
  <c r="F125" i="90"/>
  <c r="E125" i="90"/>
  <c r="F124" i="90"/>
  <c r="E124" i="90"/>
  <c r="F123" i="90"/>
  <c r="E123" i="90"/>
  <c r="F122" i="90"/>
  <c r="E122" i="90"/>
  <c r="F121" i="90"/>
  <c r="E121" i="90"/>
  <c r="F120" i="90"/>
  <c r="E120" i="90"/>
  <c r="F119" i="90"/>
  <c r="E119" i="90"/>
  <c r="F118" i="90"/>
  <c r="E118" i="90"/>
  <c r="F117" i="90"/>
  <c r="E117" i="90"/>
  <c r="F116" i="90"/>
  <c r="E116" i="90"/>
  <c r="F115" i="90"/>
  <c r="E115" i="90"/>
  <c r="F114" i="90"/>
  <c r="E114" i="90"/>
  <c r="F113" i="90"/>
  <c r="E113" i="90"/>
  <c r="F112" i="90"/>
  <c r="E112" i="90"/>
  <c r="F111" i="90"/>
  <c r="E111" i="90"/>
  <c r="F110" i="90"/>
  <c r="E110" i="90"/>
  <c r="F109" i="90"/>
  <c r="E109" i="90"/>
  <c r="F108" i="90"/>
  <c r="E108" i="90"/>
  <c r="F107" i="90"/>
  <c r="E107" i="90"/>
  <c r="F106" i="90"/>
  <c r="E106" i="90"/>
  <c r="F105" i="90"/>
  <c r="E105" i="90"/>
  <c r="F104" i="90"/>
  <c r="E104" i="90"/>
  <c r="F103" i="90"/>
  <c r="E103" i="90"/>
  <c r="F102" i="90"/>
  <c r="E102" i="90"/>
  <c r="F101" i="90"/>
  <c r="E101" i="90"/>
  <c r="F100" i="90"/>
  <c r="E100" i="90"/>
  <c r="F99" i="90"/>
  <c r="E99" i="90"/>
  <c r="F98" i="90"/>
  <c r="E98" i="90"/>
  <c r="F97" i="90"/>
  <c r="E97" i="90"/>
  <c r="F96" i="90"/>
  <c r="E96" i="90"/>
  <c r="F95" i="90"/>
  <c r="E95" i="90"/>
  <c r="F94" i="90"/>
  <c r="E94" i="90"/>
  <c r="F93" i="90"/>
  <c r="E93" i="90"/>
  <c r="F92" i="90"/>
  <c r="E92" i="90"/>
  <c r="F91" i="90"/>
  <c r="E91" i="90"/>
  <c r="F90" i="90"/>
  <c r="E90" i="90"/>
  <c r="F89" i="90"/>
  <c r="E89" i="90"/>
  <c r="F88" i="90"/>
  <c r="E88" i="90"/>
  <c r="F87" i="90"/>
  <c r="E87" i="90"/>
  <c r="F86" i="90"/>
  <c r="E86" i="90"/>
  <c r="F85" i="90"/>
  <c r="E85" i="90"/>
  <c r="F84" i="90"/>
  <c r="E84" i="90"/>
  <c r="F83" i="90"/>
  <c r="E83" i="90"/>
  <c r="F82" i="90"/>
  <c r="E82" i="90"/>
  <c r="F81" i="90"/>
  <c r="E81" i="90"/>
  <c r="F80" i="90"/>
  <c r="E80" i="90"/>
  <c r="F79" i="90"/>
  <c r="E79" i="90"/>
  <c r="F78" i="90"/>
  <c r="E78" i="90"/>
  <c r="F77" i="90"/>
  <c r="E77" i="90"/>
  <c r="F76" i="90"/>
  <c r="E76" i="90"/>
  <c r="F75" i="90"/>
  <c r="E75" i="90"/>
  <c r="F74" i="90"/>
  <c r="E74" i="90"/>
  <c r="F73" i="90"/>
  <c r="E73" i="90"/>
  <c r="F72" i="90"/>
  <c r="E72" i="90"/>
  <c r="F71" i="90"/>
  <c r="E71" i="90"/>
  <c r="F70" i="90"/>
  <c r="E70" i="90"/>
  <c r="F69" i="90"/>
  <c r="E69" i="90"/>
  <c r="F68" i="90"/>
  <c r="E68" i="90"/>
  <c r="F67" i="90"/>
  <c r="E67" i="90"/>
  <c r="F66" i="90"/>
  <c r="E66" i="90"/>
  <c r="F65" i="90"/>
  <c r="E65" i="90"/>
  <c r="F64" i="90"/>
  <c r="E64" i="90"/>
  <c r="F63" i="90"/>
  <c r="E63" i="90"/>
  <c r="F62" i="90"/>
  <c r="E62" i="90"/>
  <c r="F61" i="90"/>
  <c r="E61" i="90"/>
  <c r="F60" i="90"/>
  <c r="E60" i="90"/>
  <c r="F59" i="90"/>
  <c r="E59" i="90"/>
  <c r="F58" i="90"/>
  <c r="E58" i="90"/>
  <c r="F57" i="90"/>
  <c r="E57" i="90"/>
  <c r="F56" i="90"/>
  <c r="E56" i="90"/>
  <c r="F55" i="90"/>
  <c r="E55" i="90"/>
  <c r="F54" i="90"/>
  <c r="E54" i="90"/>
  <c r="F53" i="90"/>
  <c r="E53" i="90"/>
  <c r="F52" i="90"/>
  <c r="E52" i="90"/>
  <c r="F51" i="90"/>
  <c r="E51" i="90"/>
  <c r="F50" i="90"/>
  <c r="E50" i="90"/>
  <c r="F49" i="90"/>
  <c r="E49" i="90"/>
  <c r="F48" i="90"/>
  <c r="E48" i="90"/>
  <c r="F47" i="90"/>
  <c r="E47" i="90"/>
  <c r="F46" i="90"/>
  <c r="E46" i="90"/>
  <c r="F45" i="90"/>
  <c r="E45" i="90"/>
  <c r="F44" i="90"/>
  <c r="E44" i="90"/>
  <c r="F43" i="90"/>
  <c r="E43" i="90"/>
  <c r="F42" i="90"/>
  <c r="E42" i="90"/>
  <c r="F41" i="90"/>
  <c r="E41" i="90"/>
  <c r="F40" i="90"/>
  <c r="E40" i="90"/>
  <c r="F39" i="90"/>
  <c r="E39" i="90"/>
  <c r="F38" i="90"/>
  <c r="E38" i="90"/>
  <c r="F37" i="90"/>
  <c r="E37" i="90"/>
  <c r="F36" i="90"/>
  <c r="E36" i="90"/>
  <c r="F35" i="90"/>
  <c r="E35" i="90"/>
  <c r="F34" i="90"/>
  <c r="E34" i="90"/>
  <c r="F33" i="90"/>
  <c r="E33" i="90"/>
  <c r="F32" i="90"/>
  <c r="E32" i="90"/>
  <c r="F31" i="90"/>
  <c r="E31" i="90"/>
  <c r="F30" i="90"/>
  <c r="E30" i="90"/>
  <c r="F29" i="90"/>
  <c r="E29" i="90"/>
  <c r="F28" i="90"/>
  <c r="E28" i="90"/>
  <c r="F27" i="90"/>
  <c r="E27" i="90"/>
  <c r="F26" i="90"/>
  <c r="E26" i="90"/>
  <c r="F25" i="90"/>
  <c r="E25" i="90"/>
  <c r="F24" i="90"/>
  <c r="E24" i="90"/>
  <c r="F23" i="90"/>
  <c r="E23" i="90"/>
  <c r="F22" i="90"/>
  <c r="E22" i="90"/>
  <c r="F21" i="90"/>
  <c r="E21" i="90"/>
  <c r="F20" i="90"/>
  <c r="E20" i="90"/>
  <c r="F19" i="90"/>
  <c r="E19" i="90"/>
  <c r="F18" i="90"/>
  <c r="E18" i="90"/>
  <c r="F17" i="90"/>
  <c r="E17" i="90"/>
  <c r="F16" i="90"/>
  <c r="E16" i="90"/>
  <c r="F15" i="90"/>
  <c r="E15" i="90"/>
  <c r="F14" i="90"/>
  <c r="E14" i="90"/>
  <c r="F13" i="90"/>
  <c r="E13" i="90"/>
  <c r="F12" i="90"/>
  <c r="E12" i="90"/>
  <c r="F11" i="90"/>
  <c r="E11" i="90"/>
  <c r="F10" i="90"/>
  <c r="E10" i="90"/>
  <c r="F9" i="90"/>
  <c r="E9" i="90"/>
  <c r="F8" i="90"/>
  <c r="E8" i="90"/>
  <c r="F7" i="90"/>
  <c r="E7" i="90"/>
  <c r="O6" i="90"/>
  <c r="N6" i="90"/>
  <c r="M6" i="90"/>
  <c r="L6" i="90"/>
  <c r="K6" i="90"/>
  <c r="J6" i="90"/>
  <c r="I6" i="90"/>
  <c r="H6" i="90"/>
  <c r="F6" i="90"/>
  <c r="E6" i="90"/>
  <c r="D6" i="90"/>
  <c r="C6" i="90"/>
  <c r="F5" i="90"/>
  <c r="E5" i="90"/>
  <c r="D5" i="90"/>
  <c r="C5" i="90"/>
  <c r="O4" i="90"/>
  <c r="N4" i="90"/>
  <c r="M4" i="90"/>
  <c r="L4" i="90"/>
  <c r="K4" i="90"/>
  <c r="J4" i="90"/>
  <c r="I4" i="90"/>
  <c r="H4" i="90"/>
  <c r="F4" i="90"/>
  <c r="E4" i="90"/>
  <c r="D4" i="90"/>
  <c r="C4" i="90"/>
  <c r="O3" i="90"/>
  <c r="N3" i="90"/>
  <c r="M3" i="90"/>
  <c r="L3" i="90"/>
  <c r="K3" i="90"/>
  <c r="J3" i="90"/>
  <c r="I3" i="90"/>
  <c r="H3" i="90"/>
  <c r="F3" i="90"/>
  <c r="E3" i="90"/>
  <c r="D3" i="90"/>
  <c r="C3" i="90"/>
  <c r="O2" i="90"/>
  <c r="N2" i="90"/>
  <c r="M2" i="90"/>
  <c r="L2" i="90"/>
  <c r="K2" i="90"/>
  <c r="J2" i="90"/>
  <c r="I2" i="90"/>
  <c r="I194" i="90" s="1"/>
  <c r="H2" i="90"/>
  <c r="F2" i="90"/>
  <c r="E2" i="90"/>
  <c r="D2" i="90"/>
  <c r="C2" i="90"/>
  <c r="F6" i="89"/>
  <c r="E6" i="89"/>
  <c r="F5" i="89"/>
  <c r="E5" i="89"/>
  <c r="F4" i="89"/>
  <c r="E4" i="89"/>
  <c r="F3" i="89"/>
  <c r="E3" i="89"/>
  <c r="O2" i="89"/>
  <c r="O8" i="89" s="1"/>
  <c r="T8" i="89" s="1"/>
  <c r="N2" i="89"/>
  <c r="N8" i="89" s="1"/>
  <c r="M2" i="89"/>
  <c r="M8" i="89" s="1"/>
  <c r="L2" i="89"/>
  <c r="L8" i="89" s="1"/>
  <c r="K2" i="89"/>
  <c r="K8" i="89" s="1"/>
  <c r="J2" i="89"/>
  <c r="J8" i="89" s="1"/>
  <c r="I2" i="89"/>
  <c r="I8" i="89" s="1"/>
  <c r="H2" i="89"/>
  <c r="H8" i="89" s="1"/>
  <c r="F2" i="89"/>
  <c r="E2" i="89"/>
  <c r="D2" i="89"/>
  <c r="C2" i="89"/>
  <c r="F7" i="88"/>
  <c r="E7" i="88"/>
  <c r="F6" i="88"/>
  <c r="E6" i="88"/>
  <c r="F5" i="88"/>
  <c r="E5" i="88"/>
  <c r="O4" i="88"/>
  <c r="N4" i="88"/>
  <c r="M4" i="88"/>
  <c r="L4" i="88"/>
  <c r="K4" i="88"/>
  <c r="J4" i="88"/>
  <c r="I4" i="88"/>
  <c r="H4" i="88"/>
  <c r="F4" i="88"/>
  <c r="E4" i="88"/>
  <c r="D4" i="88"/>
  <c r="C4" i="88"/>
  <c r="O3" i="88"/>
  <c r="N3" i="88"/>
  <c r="M3" i="88"/>
  <c r="L3" i="88"/>
  <c r="K3" i="88"/>
  <c r="J3" i="88"/>
  <c r="I3" i="88"/>
  <c r="H3" i="88"/>
  <c r="F3" i="88"/>
  <c r="E3" i="88"/>
  <c r="D3" i="88"/>
  <c r="C3" i="88"/>
  <c r="O2" i="88"/>
  <c r="O9" i="88" s="1"/>
  <c r="N2" i="88"/>
  <c r="M2" i="88"/>
  <c r="L2" i="88"/>
  <c r="K2" i="88"/>
  <c r="J2" i="88"/>
  <c r="I2" i="88"/>
  <c r="I9" i="88" s="1"/>
  <c r="H2" i="88"/>
  <c r="H9" i="88" s="1"/>
  <c r="F2" i="88"/>
  <c r="E2" i="88"/>
  <c r="D2" i="88"/>
  <c r="C2" i="88"/>
  <c r="O6" i="87"/>
  <c r="I6" i="87"/>
  <c r="H6" i="87"/>
  <c r="F4" i="87"/>
  <c r="E4" i="87"/>
  <c r="F3" i="87"/>
  <c r="E3" i="87"/>
  <c r="O2" i="87"/>
  <c r="N2" i="87"/>
  <c r="N6" i="87" s="1"/>
  <c r="M2" i="87"/>
  <c r="M6" i="87" s="1"/>
  <c r="L2" i="87"/>
  <c r="L6" i="87" s="1"/>
  <c r="K2" i="87"/>
  <c r="K6" i="87" s="1"/>
  <c r="J2" i="87"/>
  <c r="J6" i="87" s="1"/>
  <c r="I2" i="87"/>
  <c r="H2" i="87"/>
  <c r="F2" i="87"/>
  <c r="E2" i="87"/>
  <c r="D2" i="87"/>
  <c r="C2" i="87"/>
  <c r="F65" i="86"/>
  <c r="E65" i="86"/>
  <c r="F64" i="86"/>
  <c r="E64" i="86"/>
  <c r="F63" i="86"/>
  <c r="E63" i="86"/>
  <c r="F62" i="86"/>
  <c r="E62" i="86"/>
  <c r="F61" i="86"/>
  <c r="E61" i="86"/>
  <c r="F60" i="86"/>
  <c r="E60" i="86"/>
  <c r="F59" i="86"/>
  <c r="E59" i="86"/>
  <c r="F58" i="86"/>
  <c r="E58" i="86"/>
  <c r="F57" i="86"/>
  <c r="E57" i="86"/>
  <c r="F56" i="86"/>
  <c r="E56" i="86"/>
  <c r="F55" i="86"/>
  <c r="E55" i="86"/>
  <c r="F54" i="86"/>
  <c r="E54" i="86"/>
  <c r="F53" i="86"/>
  <c r="E53" i="86"/>
  <c r="F52" i="86"/>
  <c r="E52" i="86"/>
  <c r="F51" i="86"/>
  <c r="E51" i="86"/>
  <c r="F50" i="86"/>
  <c r="E50" i="86"/>
  <c r="F49" i="86"/>
  <c r="E49" i="86"/>
  <c r="F48" i="86"/>
  <c r="E48" i="86"/>
  <c r="F47" i="86"/>
  <c r="E47" i="86"/>
  <c r="F46" i="86"/>
  <c r="E46" i="86"/>
  <c r="F45" i="86"/>
  <c r="E45" i="86"/>
  <c r="F44" i="86"/>
  <c r="E44" i="86"/>
  <c r="F43" i="86"/>
  <c r="E43" i="86"/>
  <c r="F42" i="86"/>
  <c r="E42" i="86"/>
  <c r="F41" i="86"/>
  <c r="E41" i="86"/>
  <c r="F40" i="86"/>
  <c r="E40" i="86"/>
  <c r="F39" i="86"/>
  <c r="E39" i="86"/>
  <c r="F38" i="86"/>
  <c r="E38" i="86"/>
  <c r="F37" i="86"/>
  <c r="E37" i="86"/>
  <c r="F36" i="86"/>
  <c r="E36" i="86"/>
  <c r="F35" i="86"/>
  <c r="E35" i="86"/>
  <c r="E34" i="86"/>
  <c r="F33" i="86"/>
  <c r="E33" i="86"/>
  <c r="F32" i="86"/>
  <c r="E32" i="86"/>
  <c r="F31" i="86"/>
  <c r="E31" i="86"/>
  <c r="F30" i="86"/>
  <c r="E30" i="86"/>
  <c r="F29" i="86"/>
  <c r="E29" i="86"/>
  <c r="F28" i="86"/>
  <c r="E28" i="86"/>
  <c r="F27" i="86"/>
  <c r="E27" i="86"/>
  <c r="F26" i="86"/>
  <c r="E26" i="86"/>
  <c r="F25" i="86"/>
  <c r="E25" i="86"/>
  <c r="F24" i="86"/>
  <c r="E24" i="86"/>
  <c r="F23" i="86"/>
  <c r="E23" i="86"/>
  <c r="F22" i="86"/>
  <c r="E22" i="86"/>
  <c r="F21" i="86"/>
  <c r="E21" i="86"/>
  <c r="F20" i="86"/>
  <c r="E20" i="86"/>
  <c r="F19" i="86"/>
  <c r="E19" i="86"/>
  <c r="F18" i="86"/>
  <c r="E18" i="86"/>
  <c r="F17" i="86"/>
  <c r="E17" i="86"/>
  <c r="F16" i="86"/>
  <c r="E16" i="86"/>
  <c r="F15" i="86"/>
  <c r="E15" i="86"/>
  <c r="F14" i="86"/>
  <c r="E14" i="86"/>
  <c r="F13" i="86"/>
  <c r="E13" i="86"/>
  <c r="F12" i="86"/>
  <c r="E12" i="86"/>
  <c r="F11" i="86"/>
  <c r="E11" i="86"/>
  <c r="F10" i="86"/>
  <c r="E10" i="86"/>
  <c r="F9" i="86"/>
  <c r="E9" i="86"/>
  <c r="F8" i="86"/>
  <c r="E8" i="86"/>
  <c r="O7" i="86"/>
  <c r="N7" i="86"/>
  <c r="M7" i="86"/>
  <c r="L7" i="86"/>
  <c r="K7" i="86"/>
  <c r="J7" i="86"/>
  <c r="I7" i="86"/>
  <c r="H7" i="86"/>
  <c r="F7" i="86"/>
  <c r="E7" i="86"/>
  <c r="D7" i="86"/>
  <c r="C7" i="86"/>
  <c r="F6" i="86"/>
  <c r="E6" i="86"/>
  <c r="D6" i="86"/>
  <c r="C6" i="86"/>
  <c r="O5" i="86"/>
  <c r="N5" i="86"/>
  <c r="M5" i="86"/>
  <c r="L5" i="86"/>
  <c r="K5" i="86"/>
  <c r="J5" i="86"/>
  <c r="I5" i="86"/>
  <c r="H5" i="86"/>
  <c r="F5" i="86"/>
  <c r="E5" i="86"/>
  <c r="D5" i="86"/>
  <c r="C5" i="86"/>
  <c r="O4" i="86"/>
  <c r="N4" i="86"/>
  <c r="M4" i="86"/>
  <c r="L4" i="86"/>
  <c r="K4" i="86"/>
  <c r="J4" i="86"/>
  <c r="I4" i="86"/>
  <c r="H4" i="86"/>
  <c r="F4" i="86"/>
  <c r="E4" i="86"/>
  <c r="D4" i="86"/>
  <c r="C4" i="86"/>
  <c r="O3" i="86"/>
  <c r="N3" i="86"/>
  <c r="M3" i="86"/>
  <c r="L3" i="86"/>
  <c r="K3" i="86"/>
  <c r="K67" i="86" s="1"/>
  <c r="J3" i="86"/>
  <c r="I3" i="86"/>
  <c r="H3" i="86"/>
  <c r="F3" i="86"/>
  <c r="E3" i="86"/>
  <c r="D3" i="86"/>
  <c r="C3" i="86"/>
  <c r="O2" i="86"/>
  <c r="O67" i="86" s="1"/>
  <c r="N2" i="86"/>
  <c r="M2" i="86"/>
  <c r="L2" i="86"/>
  <c r="K2" i="86"/>
  <c r="J2" i="86"/>
  <c r="J67" i="86" s="1"/>
  <c r="I2" i="86"/>
  <c r="I67" i="86" s="1"/>
  <c r="H2" i="86"/>
  <c r="F2" i="86"/>
  <c r="E2" i="86"/>
  <c r="D2" i="86"/>
  <c r="C2" i="86"/>
  <c r="F10" i="85"/>
  <c r="E10" i="85"/>
  <c r="F9" i="85"/>
  <c r="E9" i="85"/>
  <c r="F8" i="85"/>
  <c r="E8" i="85"/>
  <c r="F7" i="85"/>
  <c r="E7" i="85"/>
  <c r="O6" i="85"/>
  <c r="N6" i="85"/>
  <c r="M6" i="85"/>
  <c r="L6" i="85"/>
  <c r="K6" i="85"/>
  <c r="J6" i="85"/>
  <c r="I6" i="85"/>
  <c r="H6" i="85"/>
  <c r="F6" i="85"/>
  <c r="E6" i="85"/>
  <c r="D6" i="85"/>
  <c r="C6" i="85"/>
  <c r="O5" i="85"/>
  <c r="N5" i="85"/>
  <c r="M5" i="85"/>
  <c r="L5" i="85"/>
  <c r="K5" i="85"/>
  <c r="J5" i="85"/>
  <c r="I5" i="85"/>
  <c r="H5" i="85"/>
  <c r="F5" i="85"/>
  <c r="E5" i="85"/>
  <c r="D5" i="85"/>
  <c r="C5" i="85"/>
  <c r="O4" i="85"/>
  <c r="N4" i="85"/>
  <c r="M4" i="85"/>
  <c r="L4" i="85"/>
  <c r="K4" i="85"/>
  <c r="J4" i="85"/>
  <c r="I4" i="85"/>
  <c r="H4" i="85"/>
  <c r="F4" i="85"/>
  <c r="E4" i="85"/>
  <c r="D4" i="85"/>
  <c r="C4" i="85"/>
  <c r="O3" i="85"/>
  <c r="N3" i="85"/>
  <c r="M3" i="85"/>
  <c r="L3" i="85"/>
  <c r="K3" i="85"/>
  <c r="J3" i="85"/>
  <c r="I3" i="85"/>
  <c r="H3" i="85"/>
  <c r="F3" i="85"/>
  <c r="E3" i="85"/>
  <c r="D3" i="85"/>
  <c r="C3" i="85"/>
  <c r="O2" i="85"/>
  <c r="N2" i="85"/>
  <c r="M2" i="85"/>
  <c r="L2" i="85"/>
  <c r="K2" i="85"/>
  <c r="J2" i="85"/>
  <c r="I2" i="85"/>
  <c r="H2" i="85"/>
  <c r="F2" i="85"/>
  <c r="E2" i="85"/>
  <c r="D2" i="85"/>
  <c r="C2" i="85"/>
  <c r="F6" i="84"/>
  <c r="E6" i="84"/>
  <c r="F5" i="84"/>
  <c r="E5" i="84"/>
  <c r="F4" i="84"/>
  <c r="E4" i="84"/>
  <c r="F3" i="84"/>
  <c r="E3" i="84"/>
  <c r="O2" i="84"/>
  <c r="O8" i="84" s="1"/>
  <c r="N2" i="84"/>
  <c r="N8" i="84" s="1"/>
  <c r="M2" i="84"/>
  <c r="M8" i="84" s="1"/>
  <c r="L2" i="84"/>
  <c r="L8" i="84" s="1"/>
  <c r="K2" i="84"/>
  <c r="K8" i="84" s="1"/>
  <c r="J2" i="84"/>
  <c r="J8" i="84" s="1"/>
  <c r="I2" i="84"/>
  <c r="I8" i="84" s="1"/>
  <c r="H2" i="84"/>
  <c r="H8" i="84" s="1"/>
  <c r="F2" i="84"/>
  <c r="E2" i="84"/>
  <c r="D2" i="84"/>
  <c r="C2" i="84"/>
  <c r="F6" i="83"/>
  <c r="E6" i="83"/>
  <c r="D6" i="83"/>
  <c r="C6" i="83"/>
  <c r="F5" i="83"/>
  <c r="E5" i="83"/>
  <c r="D5" i="83"/>
  <c r="C5" i="83"/>
  <c r="F4" i="83"/>
  <c r="E4" i="83"/>
  <c r="D4" i="83"/>
  <c r="C4" i="83"/>
  <c r="F3" i="83"/>
  <c r="E3" i="83"/>
  <c r="D3" i="83"/>
  <c r="C3" i="83"/>
  <c r="F2" i="83"/>
  <c r="E2" i="83"/>
  <c r="D2" i="83"/>
  <c r="C2" i="83"/>
  <c r="F22" i="82"/>
  <c r="E22" i="82"/>
  <c r="F21" i="82"/>
  <c r="E21" i="82"/>
  <c r="F20" i="82"/>
  <c r="E20" i="82"/>
  <c r="F19" i="82"/>
  <c r="E19" i="82"/>
  <c r="F18" i="82"/>
  <c r="E18" i="82"/>
  <c r="F17" i="82"/>
  <c r="E17" i="82"/>
  <c r="F16" i="82"/>
  <c r="E16" i="82"/>
  <c r="F15" i="82"/>
  <c r="E15" i="82"/>
  <c r="F14" i="82"/>
  <c r="E14" i="82"/>
  <c r="F13" i="82"/>
  <c r="E13" i="82"/>
  <c r="F12" i="82"/>
  <c r="E12" i="82"/>
  <c r="F11" i="82"/>
  <c r="E11" i="82"/>
  <c r="F10" i="82"/>
  <c r="E10" i="82"/>
  <c r="F9" i="82"/>
  <c r="E9" i="82"/>
  <c r="F8" i="82"/>
  <c r="E8" i="82"/>
  <c r="F7" i="82"/>
  <c r="E7" i="82"/>
  <c r="F6" i="82"/>
  <c r="E6" i="82"/>
  <c r="F5" i="82"/>
  <c r="E5" i="82"/>
  <c r="D5" i="82"/>
  <c r="C5" i="82"/>
  <c r="F4" i="82"/>
  <c r="E4" i="82"/>
  <c r="D4" i="82"/>
  <c r="C4" i="82"/>
  <c r="O3" i="82"/>
  <c r="O24" i="82" s="1"/>
  <c r="N3" i="82"/>
  <c r="N24" i="82" s="1"/>
  <c r="M3" i="82"/>
  <c r="M24" i="82" s="1"/>
  <c r="L3" i="82"/>
  <c r="L24" i="82" s="1"/>
  <c r="K3" i="82"/>
  <c r="K24" i="82" s="1"/>
  <c r="J3" i="82"/>
  <c r="J24" i="82" s="1"/>
  <c r="I3" i="82"/>
  <c r="I24" i="82" s="1"/>
  <c r="H3" i="82"/>
  <c r="H24" i="82" s="1"/>
  <c r="F3" i="82"/>
  <c r="E3" i="82"/>
  <c r="D3" i="82"/>
  <c r="C3" i="82"/>
  <c r="F2" i="82"/>
  <c r="E2" i="82"/>
  <c r="D2" i="82"/>
  <c r="C2" i="82"/>
  <c r="L8" i="81"/>
  <c r="K8" i="81"/>
  <c r="F6" i="81"/>
  <c r="E6" i="81"/>
  <c r="F5" i="81"/>
  <c r="E5" i="81"/>
  <c r="F4" i="81"/>
  <c r="E4" i="81"/>
  <c r="F3" i="81"/>
  <c r="E3" i="81"/>
  <c r="D3" i="81"/>
  <c r="C3" i="81"/>
  <c r="O2" i="81"/>
  <c r="O8" i="81" s="1"/>
  <c r="N2" i="81"/>
  <c r="N8" i="81" s="1"/>
  <c r="M2" i="81"/>
  <c r="M8" i="81" s="1"/>
  <c r="L2" i="81"/>
  <c r="K2" i="81"/>
  <c r="J2" i="81"/>
  <c r="J8" i="81" s="1"/>
  <c r="I2" i="81"/>
  <c r="I8" i="81" s="1"/>
  <c r="H2" i="81"/>
  <c r="H8" i="81" s="1"/>
  <c r="V8" i="81" s="1"/>
  <c r="F2" i="81"/>
  <c r="E2" i="81"/>
  <c r="D2" i="81"/>
  <c r="C2" i="81"/>
  <c r="E59" i="80"/>
  <c r="F58" i="80"/>
  <c r="E58" i="80"/>
  <c r="F57" i="80"/>
  <c r="E57" i="80"/>
  <c r="F56" i="80"/>
  <c r="E56" i="80"/>
  <c r="F55" i="80"/>
  <c r="E55" i="80"/>
  <c r="F54" i="80"/>
  <c r="E54" i="80"/>
  <c r="F53" i="80"/>
  <c r="E53" i="80"/>
  <c r="F52" i="80"/>
  <c r="E52" i="80"/>
  <c r="F51" i="80"/>
  <c r="E51" i="80"/>
  <c r="F50" i="80"/>
  <c r="E50" i="80"/>
  <c r="F49" i="80"/>
  <c r="E49" i="80"/>
  <c r="F48" i="80"/>
  <c r="E48" i="80"/>
  <c r="F47" i="80"/>
  <c r="E47" i="80"/>
  <c r="F46" i="80"/>
  <c r="E46" i="80"/>
  <c r="F45" i="80"/>
  <c r="E45" i="80"/>
  <c r="F44" i="80"/>
  <c r="E44" i="80"/>
  <c r="F43" i="80"/>
  <c r="E43" i="80"/>
  <c r="F42" i="80"/>
  <c r="E42" i="80"/>
  <c r="F41" i="80"/>
  <c r="E41" i="80"/>
  <c r="F40" i="80"/>
  <c r="E40" i="80"/>
  <c r="F39" i="80"/>
  <c r="E39" i="80"/>
  <c r="F38" i="80"/>
  <c r="E38" i="80"/>
  <c r="F37" i="80"/>
  <c r="E37" i="80"/>
  <c r="F36" i="80"/>
  <c r="E36" i="80"/>
  <c r="F35" i="80"/>
  <c r="E35" i="80"/>
  <c r="F34" i="80"/>
  <c r="E34" i="80"/>
  <c r="F33" i="80"/>
  <c r="E33" i="80"/>
  <c r="F32" i="80"/>
  <c r="E32" i="80"/>
  <c r="F31" i="80"/>
  <c r="E31" i="80"/>
  <c r="F30" i="80"/>
  <c r="E30" i="80"/>
  <c r="F29" i="80"/>
  <c r="E29" i="80"/>
  <c r="F28" i="80"/>
  <c r="E28" i="80"/>
  <c r="F27" i="80"/>
  <c r="E27" i="80"/>
  <c r="F26" i="80"/>
  <c r="E26" i="80"/>
  <c r="F25" i="80"/>
  <c r="E25" i="80"/>
  <c r="E24" i="80"/>
  <c r="F23" i="80"/>
  <c r="E23" i="80"/>
  <c r="F22" i="80"/>
  <c r="E22" i="80"/>
  <c r="F21" i="80"/>
  <c r="E21" i="80"/>
  <c r="F20" i="80"/>
  <c r="E20" i="80"/>
  <c r="F19" i="80"/>
  <c r="E19" i="80"/>
  <c r="D19" i="80"/>
  <c r="C19" i="80"/>
  <c r="F18" i="80"/>
  <c r="E18" i="80"/>
  <c r="D18" i="80"/>
  <c r="C18" i="80"/>
  <c r="O17" i="80"/>
  <c r="N17" i="80"/>
  <c r="M17" i="80"/>
  <c r="L17" i="80"/>
  <c r="K17" i="80"/>
  <c r="J17" i="80"/>
  <c r="I17" i="80"/>
  <c r="H17" i="80"/>
  <c r="F17" i="80"/>
  <c r="E17" i="80"/>
  <c r="D17" i="80"/>
  <c r="C17" i="80"/>
  <c r="O16" i="80"/>
  <c r="N16" i="80"/>
  <c r="M16" i="80"/>
  <c r="L16" i="80"/>
  <c r="K16" i="80"/>
  <c r="J16" i="80"/>
  <c r="I16" i="80"/>
  <c r="H16" i="80"/>
  <c r="F16" i="80"/>
  <c r="E16" i="80"/>
  <c r="D16" i="80"/>
  <c r="C16" i="80"/>
  <c r="O15" i="80"/>
  <c r="N15" i="80"/>
  <c r="M15" i="80"/>
  <c r="L15" i="80"/>
  <c r="K15" i="80"/>
  <c r="J15" i="80"/>
  <c r="I15" i="80"/>
  <c r="H15" i="80"/>
  <c r="F15" i="80"/>
  <c r="E15" i="80"/>
  <c r="D15" i="80"/>
  <c r="C15" i="80"/>
  <c r="O14" i="80"/>
  <c r="N14" i="80"/>
  <c r="M14" i="80"/>
  <c r="L14" i="80"/>
  <c r="K14" i="80"/>
  <c r="J14" i="80"/>
  <c r="I14" i="80"/>
  <c r="H14" i="80"/>
  <c r="F14" i="80"/>
  <c r="E14" i="80"/>
  <c r="D14" i="80"/>
  <c r="C14" i="80"/>
  <c r="O13" i="80"/>
  <c r="N13" i="80"/>
  <c r="M13" i="80"/>
  <c r="L13" i="80"/>
  <c r="K13" i="80"/>
  <c r="J13" i="80"/>
  <c r="I13" i="80"/>
  <c r="H13" i="80"/>
  <c r="F13" i="80"/>
  <c r="E13" i="80"/>
  <c r="D13" i="80"/>
  <c r="C13" i="80"/>
  <c r="F12" i="80"/>
  <c r="E12" i="80"/>
  <c r="D12" i="80"/>
  <c r="C12" i="80"/>
  <c r="F11" i="80"/>
  <c r="E11" i="80"/>
  <c r="D11" i="80"/>
  <c r="C11" i="80"/>
  <c r="O10" i="80"/>
  <c r="N10" i="80"/>
  <c r="M10" i="80"/>
  <c r="L10" i="80"/>
  <c r="K10" i="80"/>
  <c r="J10" i="80"/>
  <c r="I10" i="80"/>
  <c r="H10" i="80"/>
  <c r="F10" i="80"/>
  <c r="E10" i="80"/>
  <c r="D10" i="80"/>
  <c r="C10" i="80"/>
  <c r="F9" i="80"/>
  <c r="E9" i="80"/>
  <c r="D9" i="80"/>
  <c r="C9" i="80"/>
  <c r="O8" i="80"/>
  <c r="N8" i="80"/>
  <c r="M8" i="80"/>
  <c r="L8" i="80"/>
  <c r="K8" i="80"/>
  <c r="J8" i="80"/>
  <c r="I8" i="80"/>
  <c r="H8" i="80"/>
  <c r="F8" i="80"/>
  <c r="E8" i="80"/>
  <c r="D8" i="80"/>
  <c r="C8" i="80"/>
  <c r="O7" i="80"/>
  <c r="N7" i="80"/>
  <c r="M7" i="80"/>
  <c r="L7" i="80"/>
  <c r="K7" i="80"/>
  <c r="J7" i="80"/>
  <c r="I7" i="80"/>
  <c r="H7" i="80"/>
  <c r="F7" i="80"/>
  <c r="E7" i="80"/>
  <c r="D7" i="80"/>
  <c r="C7" i="80"/>
  <c r="O6" i="80"/>
  <c r="N6" i="80"/>
  <c r="M6" i="80"/>
  <c r="L6" i="80"/>
  <c r="K6" i="80"/>
  <c r="J6" i="80"/>
  <c r="I6" i="80"/>
  <c r="H6" i="80"/>
  <c r="F6" i="80"/>
  <c r="E6" i="80"/>
  <c r="D6" i="80"/>
  <c r="C6" i="80"/>
  <c r="F5" i="80"/>
  <c r="E5" i="80"/>
  <c r="D5" i="80"/>
  <c r="C5" i="80"/>
  <c r="O4" i="80"/>
  <c r="N4" i="80"/>
  <c r="M4" i="80"/>
  <c r="L4" i="80"/>
  <c r="K4" i="80"/>
  <c r="J4" i="80"/>
  <c r="I4" i="80"/>
  <c r="H4" i="80"/>
  <c r="F4" i="80"/>
  <c r="E4" i="80"/>
  <c r="D4" i="80"/>
  <c r="C4" i="80"/>
  <c r="O3" i="80"/>
  <c r="N3" i="80"/>
  <c r="M3" i="80"/>
  <c r="L3" i="80"/>
  <c r="K3" i="80"/>
  <c r="J3" i="80"/>
  <c r="I3" i="80"/>
  <c r="H3" i="80"/>
  <c r="F3" i="80"/>
  <c r="E3" i="80"/>
  <c r="D3" i="80"/>
  <c r="C3" i="80"/>
  <c r="O2" i="80"/>
  <c r="N2" i="80"/>
  <c r="N61" i="80" s="1"/>
  <c r="M2" i="80"/>
  <c r="L2" i="80"/>
  <c r="K2" i="80"/>
  <c r="J2" i="80"/>
  <c r="I2" i="80"/>
  <c r="H2" i="80"/>
  <c r="F2" i="80"/>
  <c r="E2" i="80"/>
  <c r="D2" i="80"/>
  <c r="C2" i="80"/>
  <c r="E32" i="79"/>
  <c r="E31" i="79"/>
  <c r="F30" i="79"/>
  <c r="E30" i="79"/>
  <c r="F29" i="79"/>
  <c r="E29" i="79"/>
  <c r="F28" i="79"/>
  <c r="E28" i="79"/>
  <c r="F27" i="79"/>
  <c r="E27" i="79"/>
  <c r="F26" i="79"/>
  <c r="E26" i="79"/>
  <c r="F25" i="79"/>
  <c r="E25" i="79"/>
  <c r="F24" i="79"/>
  <c r="E24" i="79"/>
  <c r="F23" i="79"/>
  <c r="E23" i="79"/>
  <c r="F22" i="79"/>
  <c r="E22" i="79"/>
  <c r="F21" i="79"/>
  <c r="E21" i="79"/>
  <c r="F20" i="79"/>
  <c r="E20" i="79"/>
  <c r="F19" i="79"/>
  <c r="E19" i="79"/>
  <c r="F18" i="79"/>
  <c r="E18" i="79"/>
  <c r="F17" i="79"/>
  <c r="E17" i="79"/>
  <c r="F16" i="79"/>
  <c r="E16" i="79"/>
  <c r="F15" i="79"/>
  <c r="E15" i="79"/>
  <c r="F14" i="79"/>
  <c r="E14" i="79"/>
  <c r="F13" i="79"/>
  <c r="E13" i="79"/>
  <c r="F12" i="79"/>
  <c r="E12" i="79"/>
  <c r="F11" i="79"/>
  <c r="E11" i="79"/>
  <c r="F10" i="79"/>
  <c r="E10" i="79"/>
  <c r="F9" i="79"/>
  <c r="E9" i="79"/>
  <c r="F8" i="79"/>
  <c r="E8" i="79"/>
  <c r="F7" i="79"/>
  <c r="E7" i="79"/>
  <c r="F6" i="79"/>
  <c r="E6" i="79"/>
  <c r="F5" i="79"/>
  <c r="E5" i="79"/>
  <c r="F4" i="79"/>
  <c r="E4" i="79"/>
  <c r="D4" i="79"/>
  <c r="C4" i="79"/>
  <c r="O3" i="79"/>
  <c r="N3" i="79"/>
  <c r="M3" i="79"/>
  <c r="L3" i="79"/>
  <c r="K3" i="79"/>
  <c r="J3" i="79"/>
  <c r="I3" i="79"/>
  <c r="H3" i="79"/>
  <c r="F3" i="79"/>
  <c r="E3" i="79"/>
  <c r="D3" i="79"/>
  <c r="C3" i="79"/>
  <c r="O2" i="79"/>
  <c r="N2" i="79"/>
  <c r="M2" i="79"/>
  <c r="L2" i="79"/>
  <c r="K2" i="79"/>
  <c r="J2" i="79"/>
  <c r="J34" i="79" s="1"/>
  <c r="I2" i="79"/>
  <c r="I34" i="79" s="1"/>
  <c r="H2" i="79"/>
  <c r="F2" i="79"/>
  <c r="E2" i="79"/>
  <c r="D2" i="79"/>
  <c r="C2" i="79"/>
  <c r="F34" i="78"/>
  <c r="E34" i="78"/>
  <c r="F33" i="78"/>
  <c r="E33" i="78"/>
  <c r="F32" i="78"/>
  <c r="E32" i="78"/>
  <c r="F31" i="78"/>
  <c r="E31" i="78"/>
  <c r="F30" i="78"/>
  <c r="E30" i="78"/>
  <c r="F29" i="78"/>
  <c r="E29" i="78"/>
  <c r="F28" i="78"/>
  <c r="E28" i="78"/>
  <c r="F27" i="78"/>
  <c r="E27" i="78"/>
  <c r="F26" i="78"/>
  <c r="E26" i="78"/>
  <c r="F25" i="78"/>
  <c r="E25" i="78"/>
  <c r="F24" i="78"/>
  <c r="E24" i="78"/>
  <c r="F23" i="78"/>
  <c r="E23" i="78"/>
  <c r="F22" i="78"/>
  <c r="E22" i="78"/>
  <c r="F21" i="78"/>
  <c r="E21" i="78"/>
  <c r="F20" i="78"/>
  <c r="E20" i="78"/>
  <c r="F19" i="78"/>
  <c r="E19" i="78"/>
  <c r="F18" i="78"/>
  <c r="E18" i="78"/>
  <c r="F17" i="78"/>
  <c r="E17" i="78"/>
  <c r="F16" i="78"/>
  <c r="E16" i="78"/>
  <c r="F15" i="78"/>
  <c r="E15" i="78"/>
  <c r="F14" i="78"/>
  <c r="E14" i="78"/>
  <c r="F13" i="78"/>
  <c r="E13" i="78"/>
  <c r="F12" i="78"/>
  <c r="E12" i="78"/>
  <c r="F11" i="78"/>
  <c r="E11" i="78"/>
  <c r="F10" i="78"/>
  <c r="E10" i="78"/>
  <c r="O9" i="78"/>
  <c r="N9" i="78"/>
  <c r="M9" i="78"/>
  <c r="L9" i="78"/>
  <c r="K9" i="78"/>
  <c r="J9" i="78"/>
  <c r="I9" i="78"/>
  <c r="H9" i="78"/>
  <c r="F9" i="78"/>
  <c r="E9" i="78"/>
  <c r="D9" i="78"/>
  <c r="C9" i="78"/>
  <c r="O8" i="78"/>
  <c r="N8" i="78"/>
  <c r="M8" i="78"/>
  <c r="L8" i="78"/>
  <c r="K8" i="78"/>
  <c r="J8" i="78"/>
  <c r="I8" i="78"/>
  <c r="H8" i="78"/>
  <c r="F8" i="78"/>
  <c r="E8" i="78"/>
  <c r="D8" i="78"/>
  <c r="C8" i="78"/>
  <c r="O7" i="78"/>
  <c r="N7" i="78"/>
  <c r="M7" i="78"/>
  <c r="L7" i="78"/>
  <c r="K7" i="78"/>
  <c r="J7" i="78"/>
  <c r="I7" i="78"/>
  <c r="H7" i="78"/>
  <c r="F7" i="78"/>
  <c r="E7" i="78"/>
  <c r="D7" i="78"/>
  <c r="C7" i="78"/>
  <c r="O6" i="78"/>
  <c r="N6" i="78"/>
  <c r="M6" i="78"/>
  <c r="L6" i="78"/>
  <c r="K6" i="78"/>
  <c r="J6" i="78"/>
  <c r="I6" i="78"/>
  <c r="H6" i="78"/>
  <c r="F6" i="78"/>
  <c r="E6" i="78"/>
  <c r="D6" i="78"/>
  <c r="C6" i="78"/>
  <c r="O5" i="78"/>
  <c r="N5" i="78"/>
  <c r="M5" i="78"/>
  <c r="L5" i="78"/>
  <c r="K5" i="78"/>
  <c r="J5" i="78"/>
  <c r="I5" i="78"/>
  <c r="H5" i="78"/>
  <c r="F5" i="78"/>
  <c r="E5" i="78"/>
  <c r="D5" i="78"/>
  <c r="C5" i="78"/>
  <c r="O4" i="78"/>
  <c r="N4" i="78"/>
  <c r="M4" i="78"/>
  <c r="L4" i="78"/>
  <c r="K4" i="78"/>
  <c r="J4" i="78"/>
  <c r="I4" i="78"/>
  <c r="H4" i="78"/>
  <c r="F4" i="78"/>
  <c r="E4" i="78"/>
  <c r="D4" i="78"/>
  <c r="C4" i="78"/>
  <c r="O3" i="78"/>
  <c r="N3" i="78"/>
  <c r="M3" i="78"/>
  <c r="L3" i="78"/>
  <c r="K3" i="78"/>
  <c r="J3" i="78"/>
  <c r="I3" i="78"/>
  <c r="H3" i="78"/>
  <c r="F3" i="78"/>
  <c r="E3" i="78"/>
  <c r="D3" i="78"/>
  <c r="C3" i="78"/>
  <c r="O2" i="78"/>
  <c r="N2" i="78"/>
  <c r="M2" i="78"/>
  <c r="L2" i="78"/>
  <c r="K2" i="78"/>
  <c r="J2" i="78"/>
  <c r="I2" i="78"/>
  <c r="H2" i="78"/>
  <c r="F2" i="78"/>
  <c r="E2" i="78"/>
  <c r="D2" i="78"/>
  <c r="C2" i="78"/>
  <c r="F8" i="77"/>
  <c r="E8" i="77"/>
  <c r="F7" i="77"/>
  <c r="E7" i="77"/>
  <c r="F6" i="77"/>
  <c r="E6" i="77"/>
  <c r="F5" i="77"/>
  <c r="E5" i="77"/>
  <c r="F4" i="77"/>
  <c r="E4" i="77"/>
  <c r="O3" i="77"/>
  <c r="N3" i="77"/>
  <c r="M3" i="77"/>
  <c r="L3" i="77"/>
  <c r="K3" i="77"/>
  <c r="J3" i="77"/>
  <c r="I3" i="77"/>
  <c r="H3" i="77"/>
  <c r="H10" i="77" s="1"/>
  <c r="F3" i="77"/>
  <c r="E3" i="77"/>
  <c r="D3" i="77"/>
  <c r="C3" i="77"/>
  <c r="O2" i="77"/>
  <c r="N2" i="77"/>
  <c r="M2" i="77"/>
  <c r="L2" i="77"/>
  <c r="L10" i="77" s="1"/>
  <c r="K2" i="77"/>
  <c r="J2" i="77"/>
  <c r="I2" i="77"/>
  <c r="H2" i="77"/>
  <c r="F2" i="77"/>
  <c r="E2" i="77"/>
  <c r="D2" i="77"/>
  <c r="C2" i="77"/>
  <c r="E257" i="76"/>
  <c r="E256" i="76"/>
  <c r="E255" i="76"/>
  <c r="E254" i="76"/>
  <c r="E253" i="76"/>
  <c r="E252" i="76"/>
  <c r="E251" i="76"/>
  <c r="E250" i="76"/>
  <c r="E249" i="76"/>
  <c r="E248" i="76"/>
  <c r="F247" i="76"/>
  <c r="E247" i="76"/>
  <c r="F246" i="76"/>
  <c r="E246" i="76"/>
  <c r="F245" i="76"/>
  <c r="E245" i="76"/>
  <c r="F244" i="76"/>
  <c r="E244" i="76"/>
  <c r="F243" i="76"/>
  <c r="E243" i="76"/>
  <c r="F242" i="76"/>
  <c r="E242" i="76"/>
  <c r="F241" i="76"/>
  <c r="E241" i="76"/>
  <c r="F240" i="76"/>
  <c r="E240" i="76"/>
  <c r="E239" i="76"/>
  <c r="F238" i="76"/>
  <c r="E238" i="76"/>
  <c r="F237" i="76"/>
  <c r="E237" i="76"/>
  <c r="F236" i="76"/>
  <c r="E236" i="76"/>
  <c r="F235" i="76"/>
  <c r="E235" i="76"/>
  <c r="F234" i="76"/>
  <c r="E234" i="76"/>
  <c r="F233" i="76"/>
  <c r="E233" i="76"/>
  <c r="F232" i="76"/>
  <c r="E232" i="76"/>
  <c r="F231" i="76"/>
  <c r="E231" i="76"/>
  <c r="F230" i="76"/>
  <c r="E230" i="76"/>
  <c r="F229" i="76"/>
  <c r="E229" i="76"/>
  <c r="F228" i="76"/>
  <c r="E228" i="76"/>
  <c r="F227" i="76"/>
  <c r="E227" i="76"/>
  <c r="F226" i="76"/>
  <c r="E226" i="76"/>
  <c r="F225" i="76"/>
  <c r="E225" i="76"/>
  <c r="F224" i="76"/>
  <c r="E224" i="76"/>
  <c r="F223" i="76"/>
  <c r="E223" i="76"/>
  <c r="F222" i="76"/>
  <c r="E222" i="76"/>
  <c r="F221" i="76"/>
  <c r="E221" i="76"/>
  <c r="F220" i="76"/>
  <c r="E220" i="76"/>
  <c r="F219" i="76"/>
  <c r="E219" i="76"/>
  <c r="F218" i="76"/>
  <c r="E218" i="76"/>
  <c r="F217" i="76"/>
  <c r="E217" i="76"/>
  <c r="F216" i="76"/>
  <c r="E216" i="76"/>
  <c r="F215" i="76"/>
  <c r="E215" i="76"/>
  <c r="F214" i="76"/>
  <c r="E214" i="76"/>
  <c r="F213" i="76"/>
  <c r="E213" i="76"/>
  <c r="F212" i="76"/>
  <c r="E212" i="76"/>
  <c r="F211" i="76"/>
  <c r="E211" i="76"/>
  <c r="F210" i="76"/>
  <c r="E210" i="76"/>
  <c r="F209" i="76"/>
  <c r="E209" i="76"/>
  <c r="F208" i="76"/>
  <c r="E208" i="76"/>
  <c r="F207" i="76"/>
  <c r="E207" i="76"/>
  <c r="F206" i="76"/>
  <c r="E206" i="76"/>
  <c r="F205" i="76"/>
  <c r="E205" i="76"/>
  <c r="F204" i="76"/>
  <c r="E204" i="76"/>
  <c r="F203" i="76"/>
  <c r="E203" i="76"/>
  <c r="F202" i="76"/>
  <c r="E202" i="76"/>
  <c r="F201" i="76"/>
  <c r="E201" i="76"/>
  <c r="F200" i="76"/>
  <c r="E200" i="76"/>
  <c r="F199" i="76"/>
  <c r="E199" i="76"/>
  <c r="F198" i="76"/>
  <c r="E198" i="76"/>
  <c r="F197" i="76"/>
  <c r="E197" i="76"/>
  <c r="F196" i="76"/>
  <c r="E196" i="76"/>
  <c r="F195" i="76"/>
  <c r="E195" i="76"/>
  <c r="F194" i="76"/>
  <c r="E194" i="76"/>
  <c r="F193" i="76"/>
  <c r="E193" i="76"/>
  <c r="F192" i="76"/>
  <c r="E192" i="76"/>
  <c r="F191" i="76"/>
  <c r="E191" i="76"/>
  <c r="F190" i="76"/>
  <c r="E190" i="76"/>
  <c r="F189" i="76"/>
  <c r="E189" i="76"/>
  <c r="F188" i="76"/>
  <c r="E188" i="76"/>
  <c r="F187" i="76"/>
  <c r="E187" i="76"/>
  <c r="F186" i="76"/>
  <c r="E186" i="76"/>
  <c r="F185" i="76"/>
  <c r="E185" i="76"/>
  <c r="F184" i="76"/>
  <c r="E184" i="76"/>
  <c r="F183" i="76"/>
  <c r="E183" i="76"/>
  <c r="F182" i="76"/>
  <c r="E182" i="76"/>
  <c r="F181" i="76"/>
  <c r="E181" i="76"/>
  <c r="F180" i="76"/>
  <c r="E180" i="76"/>
  <c r="F179" i="76"/>
  <c r="E179" i="76"/>
  <c r="F178" i="76"/>
  <c r="E178" i="76"/>
  <c r="F177" i="76"/>
  <c r="E177" i="76"/>
  <c r="F176" i="76"/>
  <c r="E176" i="76"/>
  <c r="F175" i="76"/>
  <c r="E175" i="76"/>
  <c r="F174" i="76"/>
  <c r="E174" i="76"/>
  <c r="F173" i="76"/>
  <c r="E173" i="76"/>
  <c r="F172" i="76"/>
  <c r="E172" i="76"/>
  <c r="F171" i="76"/>
  <c r="E171" i="76"/>
  <c r="F170" i="76"/>
  <c r="E170" i="76"/>
  <c r="F169" i="76"/>
  <c r="E169" i="76"/>
  <c r="F168" i="76"/>
  <c r="E168" i="76"/>
  <c r="F167" i="76"/>
  <c r="E167" i="76"/>
  <c r="F166" i="76"/>
  <c r="E166" i="76"/>
  <c r="F165" i="76"/>
  <c r="E165" i="76"/>
  <c r="F164" i="76"/>
  <c r="E164" i="76"/>
  <c r="F163" i="76"/>
  <c r="E163" i="76"/>
  <c r="F162" i="76"/>
  <c r="E162" i="76"/>
  <c r="F161" i="76"/>
  <c r="E161" i="76"/>
  <c r="F160" i="76"/>
  <c r="E160" i="76"/>
  <c r="F159" i="76"/>
  <c r="E159" i="76"/>
  <c r="F158" i="76"/>
  <c r="E158" i="76"/>
  <c r="F157" i="76"/>
  <c r="E157" i="76"/>
  <c r="F156" i="76"/>
  <c r="E156" i="76"/>
  <c r="F155" i="76"/>
  <c r="E155" i="76"/>
  <c r="F154" i="76"/>
  <c r="E154" i="76"/>
  <c r="F153" i="76"/>
  <c r="E153" i="76"/>
  <c r="F152" i="76"/>
  <c r="E152" i="76"/>
  <c r="F151" i="76"/>
  <c r="E151" i="76"/>
  <c r="F150" i="76"/>
  <c r="E150" i="76"/>
  <c r="F149" i="76"/>
  <c r="E149" i="76"/>
  <c r="F148" i="76"/>
  <c r="E148" i="76"/>
  <c r="F147" i="76"/>
  <c r="E147" i="76"/>
  <c r="F146" i="76"/>
  <c r="E146" i="76"/>
  <c r="F145" i="76"/>
  <c r="E145" i="76"/>
  <c r="F144" i="76"/>
  <c r="E144" i="76"/>
  <c r="F143" i="76"/>
  <c r="E143" i="76"/>
  <c r="F142" i="76"/>
  <c r="E142" i="76"/>
  <c r="F141" i="76"/>
  <c r="E141" i="76"/>
  <c r="F140" i="76"/>
  <c r="E140" i="76"/>
  <c r="F139" i="76"/>
  <c r="E139" i="76"/>
  <c r="F138" i="76"/>
  <c r="E138" i="76"/>
  <c r="F137" i="76"/>
  <c r="E137" i="76"/>
  <c r="F136" i="76"/>
  <c r="E136" i="76"/>
  <c r="F135" i="76"/>
  <c r="E135" i="76"/>
  <c r="F134" i="76"/>
  <c r="E134" i="76"/>
  <c r="F133" i="76"/>
  <c r="E133" i="76"/>
  <c r="F132" i="76"/>
  <c r="E132" i="76"/>
  <c r="F131" i="76"/>
  <c r="E131" i="76"/>
  <c r="F130" i="76"/>
  <c r="E130" i="76"/>
  <c r="F129" i="76"/>
  <c r="E129" i="76"/>
  <c r="F128" i="76"/>
  <c r="E128" i="76"/>
  <c r="F127" i="76"/>
  <c r="E127" i="76"/>
  <c r="F126" i="76"/>
  <c r="E126" i="76"/>
  <c r="F125" i="76"/>
  <c r="E125" i="76"/>
  <c r="F124" i="76"/>
  <c r="E124" i="76"/>
  <c r="F123" i="76"/>
  <c r="E123" i="76"/>
  <c r="F122" i="76"/>
  <c r="E122" i="76"/>
  <c r="F121" i="76"/>
  <c r="E121" i="76"/>
  <c r="F120" i="76"/>
  <c r="E120" i="76"/>
  <c r="F119" i="76"/>
  <c r="E119" i="76"/>
  <c r="F118" i="76"/>
  <c r="E118" i="76"/>
  <c r="F117" i="76"/>
  <c r="E117" i="76"/>
  <c r="F116" i="76"/>
  <c r="E116" i="76"/>
  <c r="F115" i="76"/>
  <c r="E115" i="76"/>
  <c r="F114" i="76"/>
  <c r="E114" i="76"/>
  <c r="F113" i="76"/>
  <c r="E113" i="76"/>
  <c r="F112" i="76"/>
  <c r="E112" i="76"/>
  <c r="F111" i="76"/>
  <c r="E111" i="76"/>
  <c r="F110" i="76"/>
  <c r="E110" i="76"/>
  <c r="F109" i="76"/>
  <c r="E109" i="76"/>
  <c r="F108" i="76"/>
  <c r="E108" i="76"/>
  <c r="F107" i="76"/>
  <c r="E107" i="76"/>
  <c r="F106" i="76"/>
  <c r="E106" i="76"/>
  <c r="F105" i="76"/>
  <c r="E105" i="76"/>
  <c r="F104" i="76"/>
  <c r="E104" i="76"/>
  <c r="F103" i="76"/>
  <c r="E103" i="76"/>
  <c r="F102" i="76"/>
  <c r="E102" i="76"/>
  <c r="F101" i="76"/>
  <c r="E101" i="76"/>
  <c r="F100" i="76"/>
  <c r="E100" i="76"/>
  <c r="F99" i="76"/>
  <c r="E99" i="76"/>
  <c r="F98" i="76"/>
  <c r="E98" i="76"/>
  <c r="F97" i="76"/>
  <c r="E97" i="76"/>
  <c r="F96" i="76"/>
  <c r="E96" i="76"/>
  <c r="F95" i="76"/>
  <c r="E95" i="76"/>
  <c r="F94" i="76"/>
  <c r="E94" i="76"/>
  <c r="F93" i="76"/>
  <c r="E93" i="76"/>
  <c r="F92" i="76"/>
  <c r="E92" i="76"/>
  <c r="F91" i="76"/>
  <c r="E91" i="76"/>
  <c r="F90" i="76"/>
  <c r="E90" i="76"/>
  <c r="F89" i="76"/>
  <c r="E89" i="76"/>
  <c r="F88" i="76"/>
  <c r="E88" i="76"/>
  <c r="F87" i="76"/>
  <c r="E87" i="76"/>
  <c r="F86" i="76"/>
  <c r="E86" i="76"/>
  <c r="F85" i="76"/>
  <c r="E85" i="76"/>
  <c r="F84" i="76"/>
  <c r="E84" i="76"/>
  <c r="F83" i="76"/>
  <c r="E83" i="76"/>
  <c r="F82" i="76"/>
  <c r="E82" i="76"/>
  <c r="F81" i="76"/>
  <c r="E81" i="76"/>
  <c r="F80" i="76"/>
  <c r="E80" i="76"/>
  <c r="F79" i="76"/>
  <c r="E79" i="76"/>
  <c r="F78" i="76"/>
  <c r="E78" i="76"/>
  <c r="F77" i="76"/>
  <c r="E77" i="76"/>
  <c r="F76" i="76"/>
  <c r="E76" i="76"/>
  <c r="F75" i="76"/>
  <c r="E75" i="76"/>
  <c r="F74" i="76"/>
  <c r="E74" i="76"/>
  <c r="F73" i="76"/>
  <c r="E73" i="76"/>
  <c r="F72" i="76"/>
  <c r="E72" i="76"/>
  <c r="F71" i="76"/>
  <c r="E71" i="76"/>
  <c r="F70" i="76"/>
  <c r="E70" i="76"/>
  <c r="F69" i="76"/>
  <c r="E69" i="76"/>
  <c r="F68" i="76"/>
  <c r="E68" i="76"/>
  <c r="F67" i="76"/>
  <c r="E67" i="76"/>
  <c r="F66" i="76"/>
  <c r="E66" i="76"/>
  <c r="F65" i="76"/>
  <c r="E65" i="76"/>
  <c r="F64" i="76"/>
  <c r="E64" i="76"/>
  <c r="F63" i="76"/>
  <c r="E63" i="76"/>
  <c r="F62" i="76"/>
  <c r="E62" i="76"/>
  <c r="F61" i="76"/>
  <c r="E61" i="76"/>
  <c r="F60" i="76"/>
  <c r="E60" i="76"/>
  <c r="F59" i="76"/>
  <c r="E59" i="76"/>
  <c r="F58" i="76"/>
  <c r="E58" i="76"/>
  <c r="F57" i="76"/>
  <c r="E57" i="76"/>
  <c r="F56" i="76"/>
  <c r="E56" i="76"/>
  <c r="F55" i="76"/>
  <c r="E55" i="76"/>
  <c r="F54" i="76"/>
  <c r="E54" i="76"/>
  <c r="F53" i="76"/>
  <c r="E53" i="76"/>
  <c r="F52" i="76"/>
  <c r="E52" i="76"/>
  <c r="F51" i="76"/>
  <c r="E51" i="76"/>
  <c r="F50" i="76"/>
  <c r="E50" i="76"/>
  <c r="F49" i="76"/>
  <c r="E49" i="76"/>
  <c r="F48" i="76"/>
  <c r="E48" i="76"/>
  <c r="F47" i="76"/>
  <c r="E47" i="76"/>
  <c r="F46" i="76"/>
  <c r="E46" i="76"/>
  <c r="F45" i="76"/>
  <c r="E45" i="76"/>
  <c r="F44" i="76"/>
  <c r="E44" i="76"/>
  <c r="F43" i="76"/>
  <c r="E43" i="76"/>
  <c r="F42" i="76"/>
  <c r="E42" i="76"/>
  <c r="F41" i="76"/>
  <c r="E41" i="76"/>
  <c r="F40" i="76"/>
  <c r="E40" i="76"/>
  <c r="F39" i="76"/>
  <c r="E39" i="76"/>
  <c r="F38" i="76"/>
  <c r="E38" i="76"/>
  <c r="F37" i="76"/>
  <c r="E37" i="76"/>
  <c r="F36" i="76"/>
  <c r="E36" i="76"/>
  <c r="F35" i="76"/>
  <c r="E35" i="76"/>
  <c r="F34" i="76"/>
  <c r="E34" i="76"/>
  <c r="F33" i="76"/>
  <c r="E33" i="76"/>
  <c r="F32" i="76"/>
  <c r="E32" i="76"/>
  <c r="F31" i="76"/>
  <c r="E31" i="76"/>
  <c r="F30" i="76"/>
  <c r="E30" i="76"/>
  <c r="F29" i="76"/>
  <c r="E29" i="76"/>
  <c r="F28" i="76"/>
  <c r="E28" i="76"/>
  <c r="F27" i="76"/>
  <c r="E27" i="76"/>
  <c r="F26" i="76"/>
  <c r="E26" i="76"/>
  <c r="F25" i="76"/>
  <c r="E25" i="76"/>
  <c r="F24" i="76"/>
  <c r="E24" i="76"/>
  <c r="F23" i="76"/>
  <c r="E23" i="76"/>
  <c r="F22" i="76"/>
  <c r="E22" i="76"/>
  <c r="F21" i="76"/>
  <c r="E21" i="76"/>
  <c r="F20" i="76"/>
  <c r="E20" i="76"/>
  <c r="F19" i="76"/>
  <c r="E19" i="76"/>
  <c r="F18" i="76"/>
  <c r="E18" i="76"/>
  <c r="F17" i="76"/>
  <c r="E17" i="76"/>
  <c r="O16" i="76"/>
  <c r="N16" i="76"/>
  <c r="M16" i="76"/>
  <c r="L16" i="76"/>
  <c r="K16" i="76"/>
  <c r="J16" i="76"/>
  <c r="I16" i="76"/>
  <c r="H16" i="76"/>
  <c r="F16" i="76"/>
  <c r="E16" i="76"/>
  <c r="D16" i="76"/>
  <c r="C16" i="76"/>
  <c r="F15" i="76"/>
  <c r="E15" i="76"/>
  <c r="D15" i="76"/>
  <c r="C15" i="76"/>
  <c r="O14" i="76"/>
  <c r="N14" i="76"/>
  <c r="M14" i="76"/>
  <c r="L14" i="76"/>
  <c r="K14" i="76"/>
  <c r="J14" i="76"/>
  <c r="I14" i="76"/>
  <c r="H14" i="76"/>
  <c r="F14" i="76"/>
  <c r="E14" i="76"/>
  <c r="D14" i="76"/>
  <c r="C14" i="76"/>
  <c r="O13" i="76"/>
  <c r="N13" i="76"/>
  <c r="M13" i="76"/>
  <c r="L13" i="76"/>
  <c r="K13" i="76"/>
  <c r="J13" i="76"/>
  <c r="I13" i="76"/>
  <c r="H13" i="76"/>
  <c r="F13" i="76"/>
  <c r="E13" i="76"/>
  <c r="D13" i="76"/>
  <c r="C13" i="76"/>
  <c r="O12" i="76"/>
  <c r="N12" i="76"/>
  <c r="M12" i="76"/>
  <c r="L12" i="76"/>
  <c r="K12" i="76"/>
  <c r="J12" i="76"/>
  <c r="I12" i="76"/>
  <c r="H12" i="76"/>
  <c r="F12" i="76"/>
  <c r="E12" i="76"/>
  <c r="D12" i="76"/>
  <c r="C12" i="76"/>
  <c r="O11" i="76"/>
  <c r="N11" i="76"/>
  <c r="M11" i="76"/>
  <c r="L11" i="76"/>
  <c r="K11" i="76"/>
  <c r="J11" i="76"/>
  <c r="I11" i="76"/>
  <c r="H11" i="76"/>
  <c r="F11" i="76"/>
  <c r="E11" i="76"/>
  <c r="D11" i="76"/>
  <c r="C11" i="76"/>
  <c r="O10" i="76"/>
  <c r="N10" i="76"/>
  <c r="M10" i="76"/>
  <c r="L10" i="76"/>
  <c r="K10" i="76"/>
  <c r="J10" i="76"/>
  <c r="I10" i="76"/>
  <c r="H10" i="76"/>
  <c r="F10" i="76"/>
  <c r="E10" i="76"/>
  <c r="D10" i="76"/>
  <c r="C10" i="76"/>
  <c r="O9" i="76"/>
  <c r="N9" i="76"/>
  <c r="M9" i="76"/>
  <c r="L9" i="76"/>
  <c r="K9" i="76"/>
  <c r="J9" i="76"/>
  <c r="I9" i="76"/>
  <c r="H9" i="76"/>
  <c r="F9" i="76"/>
  <c r="E9" i="76"/>
  <c r="D9" i="76"/>
  <c r="C9" i="76"/>
  <c r="O8" i="76"/>
  <c r="N8" i="76"/>
  <c r="M8" i="76"/>
  <c r="L8" i="76"/>
  <c r="K8" i="76"/>
  <c r="J8" i="76"/>
  <c r="I8" i="76"/>
  <c r="H8" i="76"/>
  <c r="F8" i="76"/>
  <c r="E8" i="76"/>
  <c r="D8" i="76"/>
  <c r="C8" i="76"/>
  <c r="O7" i="76"/>
  <c r="N7" i="76"/>
  <c r="M7" i="76"/>
  <c r="L7" i="76"/>
  <c r="K7" i="76"/>
  <c r="J7" i="76"/>
  <c r="I7" i="76"/>
  <c r="H7" i="76"/>
  <c r="F7" i="76"/>
  <c r="E7" i="76"/>
  <c r="D7" i="76"/>
  <c r="C7" i="76"/>
  <c r="O6" i="76"/>
  <c r="N6" i="76"/>
  <c r="M6" i="76"/>
  <c r="L6" i="76"/>
  <c r="K6" i="76"/>
  <c r="J6" i="76"/>
  <c r="I6" i="76"/>
  <c r="H6" i="76"/>
  <c r="F6" i="76"/>
  <c r="E6" i="76"/>
  <c r="D6" i="76"/>
  <c r="C6" i="76"/>
  <c r="O5" i="76"/>
  <c r="N5" i="76"/>
  <c r="M5" i="76"/>
  <c r="L5" i="76"/>
  <c r="K5" i="76"/>
  <c r="J5" i="76"/>
  <c r="I5" i="76"/>
  <c r="H5" i="76"/>
  <c r="F5" i="76"/>
  <c r="E5" i="76"/>
  <c r="D5" i="76"/>
  <c r="C5" i="76"/>
  <c r="O4" i="76"/>
  <c r="N4" i="76"/>
  <c r="M4" i="76"/>
  <c r="L4" i="76"/>
  <c r="K4" i="76"/>
  <c r="J4" i="76"/>
  <c r="I4" i="76"/>
  <c r="H4" i="76"/>
  <c r="F4" i="76"/>
  <c r="E4" i="76"/>
  <c r="D4" i="76"/>
  <c r="C4" i="76"/>
  <c r="O3" i="76"/>
  <c r="N3" i="76"/>
  <c r="M3" i="76"/>
  <c r="L3" i="76"/>
  <c r="K3" i="76"/>
  <c r="J3" i="76"/>
  <c r="I3" i="76"/>
  <c r="H3" i="76"/>
  <c r="F3" i="76"/>
  <c r="E3" i="76"/>
  <c r="D3" i="76"/>
  <c r="C3" i="76"/>
  <c r="O2" i="76"/>
  <c r="N2" i="76"/>
  <c r="M2" i="76"/>
  <c r="L2" i="76"/>
  <c r="K2" i="76"/>
  <c r="J2" i="76"/>
  <c r="I2" i="76"/>
  <c r="H2" i="76"/>
  <c r="F2" i="76"/>
  <c r="E2" i="76"/>
  <c r="D2" i="76"/>
  <c r="C2" i="76"/>
  <c r="F2" i="75"/>
  <c r="E2" i="75"/>
  <c r="D2" i="75"/>
  <c r="C2" i="75"/>
  <c r="F46" i="74"/>
  <c r="E46" i="74"/>
  <c r="F45" i="74"/>
  <c r="E45" i="74"/>
  <c r="F44" i="74"/>
  <c r="E44" i="74"/>
  <c r="F43" i="74"/>
  <c r="E43" i="74"/>
  <c r="F42" i="74"/>
  <c r="E42" i="74"/>
  <c r="F41" i="74"/>
  <c r="E41" i="74"/>
  <c r="F40" i="74"/>
  <c r="E40" i="74"/>
  <c r="F39" i="74"/>
  <c r="E39" i="74"/>
  <c r="F38" i="74"/>
  <c r="E38" i="74"/>
  <c r="F37" i="74"/>
  <c r="E37" i="74"/>
  <c r="F36" i="74"/>
  <c r="E36" i="74"/>
  <c r="F35" i="74"/>
  <c r="E35" i="74"/>
  <c r="F34" i="74"/>
  <c r="E34" i="74"/>
  <c r="F33" i="74"/>
  <c r="E33" i="74"/>
  <c r="F32" i="74"/>
  <c r="E32" i="74"/>
  <c r="F31" i="74"/>
  <c r="E31" i="74"/>
  <c r="F30" i="74"/>
  <c r="E30" i="74"/>
  <c r="F29" i="74"/>
  <c r="E29" i="74"/>
  <c r="F28" i="74"/>
  <c r="E28" i="74"/>
  <c r="F27" i="74"/>
  <c r="E27" i="74"/>
  <c r="F26" i="74"/>
  <c r="E26" i="74"/>
  <c r="F25" i="74"/>
  <c r="E25" i="74"/>
  <c r="F24" i="74"/>
  <c r="E24" i="74"/>
  <c r="F23" i="74"/>
  <c r="E23" i="74"/>
  <c r="F22" i="74"/>
  <c r="E22" i="74"/>
  <c r="F21" i="74"/>
  <c r="E21" i="74"/>
  <c r="F20" i="74"/>
  <c r="E20" i="74"/>
  <c r="F19" i="74"/>
  <c r="E19" i="74"/>
  <c r="F18" i="74"/>
  <c r="E18" i="74"/>
  <c r="F17" i="74"/>
  <c r="E17" i="74"/>
  <c r="F16" i="74"/>
  <c r="E16" i="74"/>
  <c r="F15" i="74"/>
  <c r="E15" i="74"/>
  <c r="F14" i="74"/>
  <c r="E14" i="74"/>
  <c r="F13" i="74"/>
  <c r="E13" i="74"/>
  <c r="F12" i="74"/>
  <c r="E12" i="74"/>
  <c r="F11" i="74"/>
  <c r="E11" i="74"/>
  <c r="O10" i="74"/>
  <c r="N10" i="74"/>
  <c r="M10" i="74"/>
  <c r="L10" i="74"/>
  <c r="K10" i="74"/>
  <c r="J10" i="74"/>
  <c r="I10" i="74"/>
  <c r="H10" i="74"/>
  <c r="F10" i="74"/>
  <c r="E10" i="74"/>
  <c r="D10" i="74"/>
  <c r="C10" i="74"/>
  <c r="O9" i="74"/>
  <c r="N9" i="74"/>
  <c r="M9" i="74"/>
  <c r="L9" i="74"/>
  <c r="K9" i="74"/>
  <c r="J9" i="74"/>
  <c r="I9" i="74"/>
  <c r="H9" i="74"/>
  <c r="F9" i="74"/>
  <c r="E9" i="74"/>
  <c r="D9" i="74"/>
  <c r="C9" i="74"/>
  <c r="O8" i="74"/>
  <c r="N8" i="74"/>
  <c r="M8" i="74"/>
  <c r="L8" i="74"/>
  <c r="K8" i="74"/>
  <c r="J8" i="74"/>
  <c r="I8" i="74"/>
  <c r="H8" i="74"/>
  <c r="F8" i="74"/>
  <c r="E8" i="74"/>
  <c r="D8" i="74"/>
  <c r="C8" i="74"/>
  <c r="O7" i="74"/>
  <c r="N7" i="74"/>
  <c r="M7" i="74"/>
  <c r="L7" i="74"/>
  <c r="K7" i="74"/>
  <c r="J7" i="74"/>
  <c r="I7" i="74"/>
  <c r="H7" i="74"/>
  <c r="F7" i="74"/>
  <c r="E7" i="74"/>
  <c r="D7" i="74"/>
  <c r="C7" i="74"/>
  <c r="F6" i="74"/>
  <c r="E6" i="74"/>
  <c r="D6" i="74"/>
  <c r="C6" i="74"/>
  <c r="O5" i="74"/>
  <c r="N5" i="74"/>
  <c r="M5" i="74"/>
  <c r="L5" i="74"/>
  <c r="K5" i="74"/>
  <c r="J5" i="74"/>
  <c r="I5" i="74"/>
  <c r="H5" i="74"/>
  <c r="F5" i="74"/>
  <c r="E5" i="74"/>
  <c r="D5" i="74"/>
  <c r="C5" i="74"/>
  <c r="O4" i="74"/>
  <c r="N4" i="74"/>
  <c r="M4" i="74"/>
  <c r="L4" i="74"/>
  <c r="K4" i="74"/>
  <c r="J4" i="74"/>
  <c r="I4" i="74"/>
  <c r="H4" i="74"/>
  <c r="F4" i="74"/>
  <c r="E4" i="74"/>
  <c r="D4" i="74"/>
  <c r="C4" i="74"/>
  <c r="O3" i="74"/>
  <c r="N3" i="74"/>
  <c r="M3" i="74"/>
  <c r="L3" i="74"/>
  <c r="K3" i="74"/>
  <c r="J3" i="74"/>
  <c r="I3" i="74"/>
  <c r="H3" i="74"/>
  <c r="F3" i="74"/>
  <c r="E3" i="74"/>
  <c r="D3" i="74"/>
  <c r="C3" i="74"/>
  <c r="O2" i="74"/>
  <c r="O48" i="74" s="1"/>
  <c r="N2" i="74"/>
  <c r="M2" i="74"/>
  <c r="L2" i="74"/>
  <c r="K2" i="74"/>
  <c r="J2" i="74"/>
  <c r="I2" i="74"/>
  <c r="H2" i="74"/>
  <c r="F2" i="74"/>
  <c r="E2" i="74"/>
  <c r="D2" i="74"/>
  <c r="C2" i="74"/>
  <c r="E76" i="73"/>
  <c r="D76" i="73"/>
  <c r="C76" i="73"/>
  <c r="E75" i="73"/>
  <c r="D75" i="73"/>
  <c r="C75" i="73"/>
  <c r="E74" i="73"/>
  <c r="D74" i="73"/>
  <c r="C74" i="73"/>
  <c r="E73" i="73"/>
  <c r="D73" i="73"/>
  <c r="C73" i="73"/>
  <c r="F72" i="73"/>
  <c r="E72" i="73"/>
  <c r="D72" i="73"/>
  <c r="C72" i="73"/>
  <c r="F71" i="73"/>
  <c r="E71" i="73"/>
  <c r="D71" i="73"/>
  <c r="C71" i="73"/>
  <c r="F70" i="73"/>
  <c r="E70" i="73"/>
  <c r="D70" i="73"/>
  <c r="C70" i="73"/>
  <c r="F69" i="73"/>
  <c r="E69" i="73"/>
  <c r="D69" i="73"/>
  <c r="C69" i="73"/>
  <c r="F68" i="73"/>
  <c r="E68" i="73"/>
  <c r="D68" i="73"/>
  <c r="C68" i="73"/>
  <c r="F67" i="73"/>
  <c r="E67" i="73"/>
  <c r="D67" i="73"/>
  <c r="C67" i="73"/>
  <c r="F66" i="73"/>
  <c r="E66" i="73"/>
  <c r="D66" i="73"/>
  <c r="C66" i="73"/>
  <c r="F65" i="73"/>
  <c r="E65" i="73"/>
  <c r="D65" i="73"/>
  <c r="C65" i="73"/>
  <c r="F64" i="73"/>
  <c r="E64" i="73"/>
  <c r="D64" i="73"/>
  <c r="C64" i="73"/>
  <c r="F63" i="73"/>
  <c r="E63" i="73"/>
  <c r="D63" i="73"/>
  <c r="C63" i="73"/>
  <c r="F62" i="73"/>
  <c r="E62" i="73"/>
  <c r="D62" i="73"/>
  <c r="C62" i="73"/>
  <c r="F61" i="73"/>
  <c r="E61" i="73"/>
  <c r="D61" i="73"/>
  <c r="C61" i="73"/>
  <c r="F60" i="73"/>
  <c r="E60" i="73"/>
  <c r="D60" i="73"/>
  <c r="C60" i="73"/>
  <c r="F59" i="73"/>
  <c r="E59" i="73"/>
  <c r="D59" i="73"/>
  <c r="C59" i="73"/>
  <c r="F58" i="73"/>
  <c r="E58" i="73"/>
  <c r="D58" i="73"/>
  <c r="C58" i="73"/>
  <c r="F57" i="73"/>
  <c r="E57" i="73"/>
  <c r="D57" i="73"/>
  <c r="C57" i="73"/>
  <c r="F56" i="73"/>
  <c r="E56" i="73"/>
  <c r="D56" i="73"/>
  <c r="C56" i="73"/>
  <c r="F55" i="73"/>
  <c r="E55" i="73"/>
  <c r="D55" i="73"/>
  <c r="C55" i="73"/>
  <c r="F54" i="73"/>
  <c r="E54" i="73"/>
  <c r="D54" i="73"/>
  <c r="C54" i="73"/>
  <c r="F53" i="73"/>
  <c r="E53" i="73"/>
  <c r="D53" i="73"/>
  <c r="C53" i="73"/>
  <c r="F52" i="73"/>
  <c r="E52" i="73"/>
  <c r="D52" i="73"/>
  <c r="C52" i="73"/>
  <c r="F51" i="73"/>
  <c r="E51" i="73"/>
  <c r="D51" i="73"/>
  <c r="C51" i="73"/>
  <c r="F50" i="73"/>
  <c r="E50" i="73"/>
  <c r="D50" i="73"/>
  <c r="C50" i="73"/>
  <c r="F49" i="73"/>
  <c r="E49" i="73"/>
  <c r="D49" i="73"/>
  <c r="C49" i="73"/>
  <c r="F48" i="73"/>
  <c r="E48" i="73"/>
  <c r="D48" i="73"/>
  <c r="C48" i="73"/>
  <c r="F47" i="73"/>
  <c r="E47" i="73"/>
  <c r="D47" i="73"/>
  <c r="C47" i="73"/>
  <c r="F46" i="73"/>
  <c r="E46" i="73"/>
  <c r="D46" i="73"/>
  <c r="C46" i="73"/>
  <c r="F45" i="73"/>
  <c r="E45" i="73"/>
  <c r="D45" i="73"/>
  <c r="C45" i="73"/>
  <c r="F44" i="73"/>
  <c r="E44" i="73"/>
  <c r="D44" i="73"/>
  <c r="C44" i="73"/>
  <c r="F43" i="73"/>
  <c r="E43" i="73"/>
  <c r="D43" i="73"/>
  <c r="C43" i="73"/>
  <c r="F42" i="73"/>
  <c r="E42" i="73"/>
  <c r="D42" i="73"/>
  <c r="C42" i="73"/>
  <c r="F41" i="73"/>
  <c r="E41" i="73"/>
  <c r="D41" i="73"/>
  <c r="C41" i="73"/>
  <c r="F40" i="73"/>
  <c r="E40" i="73"/>
  <c r="D40" i="73"/>
  <c r="C40" i="73"/>
  <c r="F39" i="73"/>
  <c r="E39" i="73"/>
  <c r="D39" i="73"/>
  <c r="C39" i="73"/>
  <c r="F38" i="73"/>
  <c r="E38" i="73"/>
  <c r="D38" i="73"/>
  <c r="C38" i="73"/>
  <c r="F37" i="73"/>
  <c r="E37" i="73"/>
  <c r="D37" i="73"/>
  <c r="C37" i="73"/>
  <c r="F36" i="73"/>
  <c r="E36" i="73"/>
  <c r="D36" i="73"/>
  <c r="C36" i="73"/>
  <c r="F35" i="73"/>
  <c r="E35" i="73"/>
  <c r="D35" i="73"/>
  <c r="C35" i="73"/>
  <c r="F34" i="73"/>
  <c r="E34" i="73"/>
  <c r="D34" i="73"/>
  <c r="C34" i="73"/>
  <c r="F33" i="73"/>
  <c r="E33" i="73"/>
  <c r="D33" i="73"/>
  <c r="C33" i="73"/>
  <c r="F32" i="73"/>
  <c r="E32" i="73"/>
  <c r="D32" i="73"/>
  <c r="C32" i="73"/>
  <c r="F31" i="73"/>
  <c r="E31" i="73"/>
  <c r="D31" i="73"/>
  <c r="C31" i="73"/>
  <c r="F30" i="73"/>
  <c r="E30" i="73"/>
  <c r="D30" i="73"/>
  <c r="C30" i="73"/>
  <c r="F29" i="73"/>
  <c r="E29" i="73"/>
  <c r="D29" i="73"/>
  <c r="C29" i="73"/>
  <c r="F28" i="73"/>
  <c r="E28" i="73"/>
  <c r="D28" i="73"/>
  <c r="C28" i="73"/>
  <c r="F27" i="73"/>
  <c r="E27" i="73"/>
  <c r="D27" i="73"/>
  <c r="C27" i="73"/>
  <c r="F26" i="73"/>
  <c r="E26" i="73"/>
  <c r="D26" i="73"/>
  <c r="C26" i="73"/>
  <c r="F25" i="73"/>
  <c r="E25" i="73"/>
  <c r="D25" i="73"/>
  <c r="C25" i="73"/>
  <c r="F24" i="73"/>
  <c r="E24" i="73"/>
  <c r="D24" i="73"/>
  <c r="C24" i="73"/>
  <c r="F23" i="73"/>
  <c r="E23" i="73"/>
  <c r="D23" i="73"/>
  <c r="C23" i="73"/>
  <c r="F22" i="73"/>
  <c r="E22" i="73"/>
  <c r="D22" i="73"/>
  <c r="C22" i="73"/>
  <c r="F21" i="73"/>
  <c r="E21" i="73"/>
  <c r="D21" i="73"/>
  <c r="C21" i="73"/>
  <c r="F20" i="73"/>
  <c r="E20" i="73"/>
  <c r="D20" i="73"/>
  <c r="C20" i="73"/>
  <c r="F19" i="73"/>
  <c r="E19" i="73"/>
  <c r="D19" i="73"/>
  <c r="C19" i="73"/>
  <c r="F18" i="73"/>
  <c r="E18" i="73"/>
  <c r="D18" i="73"/>
  <c r="C18" i="73"/>
  <c r="F17" i="73"/>
  <c r="E17" i="73"/>
  <c r="D17" i="73"/>
  <c r="C17" i="73"/>
  <c r="F16" i="73"/>
  <c r="E16" i="73"/>
  <c r="D16" i="73"/>
  <c r="C16" i="73"/>
  <c r="F15" i="73"/>
  <c r="E15" i="73"/>
  <c r="D15" i="73"/>
  <c r="C15" i="73"/>
  <c r="F14" i="73"/>
  <c r="E14" i="73"/>
  <c r="D14" i="73"/>
  <c r="C14" i="73"/>
  <c r="F13" i="73"/>
  <c r="E13" i="73"/>
  <c r="D13" i="73"/>
  <c r="C13" i="73"/>
  <c r="F12" i="73"/>
  <c r="E12" i="73"/>
  <c r="D12" i="73"/>
  <c r="C12" i="73"/>
  <c r="F11" i="73"/>
  <c r="E11" i="73"/>
  <c r="D11" i="73"/>
  <c r="C11" i="73"/>
  <c r="F10" i="73"/>
  <c r="E10" i="73"/>
  <c r="D10" i="73"/>
  <c r="C10" i="73"/>
  <c r="F9" i="73"/>
  <c r="E9" i="73"/>
  <c r="D9" i="73"/>
  <c r="C9" i="73"/>
  <c r="O8" i="73"/>
  <c r="N8" i="73"/>
  <c r="M8" i="73"/>
  <c r="L8" i="73"/>
  <c r="K8" i="73"/>
  <c r="J8" i="73"/>
  <c r="I8" i="73"/>
  <c r="H8" i="73"/>
  <c r="F8" i="73"/>
  <c r="E8" i="73"/>
  <c r="D8" i="73"/>
  <c r="C8" i="73"/>
  <c r="F7" i="73"/>
  <c r="E7" i="73"/>
  <c r="D7" i="73"/>
  <c r="C7" i="73"/>
  <c r="O6" i="73"/>
  <c r="N6" i="73"/>
  <c r="M6" i="73"/>
  <c r="L6" i="73"/>
  <c r="K6" i="73"/>
  <c r="J6" i="73"/>
  <c r="I6" i="73"/>
  <c r="H6" i="73"/>
  <c r="F6" i="73"/>
  <c r="E6" i="73"/>
  <c r="D6" i="73"/>
  <c r="C6" i="73"/>
  <c r="O5" i="73"/>
  <c r="N5" i="73"/>
  <c r="M5" i="73"/>
  <c r="L5" i="73"/>
  <c r="K5" i="73"/>
  <c r="J5" i="73"/>
  <c r="I5" i="73"/>
  <c r="H5" i="73"/>
  <c r="F5" i="73"/>
  <c r="E5" i="73"/>
  <c r="D5" i="73"/>
  <c r="C5" i="73"/>
  <c r="F4" i="73"/>
  <c r="E4" i="73"/>
  <c r="D4" i="73"/>
  <c r="C4" i="73"/>
  <c r="O3" i="73"/>
  <c r="N3" i="73"/>
  <c r="M3" i="73"/>
  <c r="L3" i="73"/>
  <c r="K3" i="73"/>
  <c r="J3" i="73"/>
  <c r="I3" i="73"/>
  <c r="H3" i="73"/>
  <c r="F3" i="73"/>
  <c r="E3" i="73"/>
  <c r="D3" i="73"/>
  <c r="C3" i="73"/>
  <c r="O2" i="73"/>
  <c r="N2" i="73"/>
  <c r="M2" i="73"/>
  <c r="L2" i="73"/>
  <c r="K2" i="73"/>
  <c r="J2" i="73"/>
  <c r="I2" i="73"/>
  <c r="H2" i="73"/>
  <c r="F2" i="73"/>
  <c r="E2" i="73"/>
  <c r="D2" i="73"/>
  <c r="C2" i="73"/>
  <c r="F10" i="72"/>
  <c r="E10" i="72"/>
  <c r="F9" i="72"/>
  <c r="E9" i="72"/>
  <c r="F8" i="72"/>
  <c r="E8" i="72"/>
  <c r="O7" i="72"/>
  <c r="N7" i="72"/>
  <c r="M7" i="72"/>
  <c r="L7" i="72"/>
  <c r="K7" i="72"/>
  <c r="J7" i="72"/>
  <c r="I7" i="72"/>
  <c r="H7" i="72"/>
  <c r="F7" i="72"/>
  <c r="E7" i="72"/>
  <c r="D7" i="72"/>
  <c r="C7" i="72"/>
  <c r="O6" i="72"/>
  <c r="N6" i="72"/>
  <c r="M6" i="72"/>
  <c r="L6" i="72"/>
  <c r="K6" i="72"/>
  <c r="J6" i="72"/>
  <c r="I6" i="72"/>
  <c r="H6" i="72"/>
  <c r="F6" i="72"/>
  <c r="E6" i="72"/>
  <c r="D6" i="72"/>
  <c r="C6" i="72"/>
  <c r="O5" i="72"/>
  <c r="N5" i="72"/>
  <c r="M5" i="72"/>
  <c r="L5" i="72"/>
  <c r="K5" i="72"/>
  <c r="J5" i="72"/>
  <c r="I5" i="72"/>
  <c r="H5" i="72"/>
  <c r="F5" i="72"/>
  <c r="E5" i="72"/>
  <c r="D5" i="72"/>
  <c r="C5" i="72"/>
  <c r="O4" i="72"/>
  <c r="N4" i="72"/>
  <c r="M4" i="72"/>
  <c r="L4" i="72"/>
  <c r="K4" i="72"/>
  <c r="J4" i="72"/>
  <c r="I4" i="72"/>
  <c r="H4" i="72"/>
  <c r="F4" i="72"/>
  <c r="E4" i="72"/>
  <c r="D4" i="72"/>
  <c r="C4" i="72"/>
  <c r="P3" i="72"/>
  <c r="O3" i="72"/>
  <c r="N3" i="72"/>
  <c r="M3" i="72"/>
  <c r="L3" i="72"/>
  <c r="K3" i="72"/>
  <c r="J3" i="72"/>
  <c r="I3" i="72"/>
  <c r="H3" i="72"/>
  <c r="F3" i="72"/>
  <c r="E3" i="72"/>
  <c r="D3" i="72"/>
  <c r="C3" i="72"/>
  <c r="O2" i="72"/>
  <c r="N2" i="72"/>
  <c r="M2" i="72"/>
  <c r="L2" i="72"/>
  <c r="K2" i="72"/>
  <c r="J2" i="72"/>
  <c r="I2" i="72"/>
  <c r="H2" i="72"/>
  <c r="F2" i="72"/>
  <c r="E2" i="72"/>
  <c r="D2" i="72"/>
  <c r="C2" i="72"/>
  <c r="E54" i="71"/>
  <c r="D54" i="71"/>
  <c r="C54" i="71"/>
  <c r="E53" i="71"/>
  <c r="D53" i="71"/>
  <c r="C53" i="71"/>
  <c r="E52" i="71"/>
  <c r="D52" i="71"/>
  <c r="C52" i="71"/>
  <c r="E51" i="71"/>
  <c r="D51" i="71"/>
  <c r="C51" i="71"/>
  <c r="F50" i="71"/>
  <c r="E50" i="71"/>
  <c r="D50" i="71"/>
  <c r="C50" i="71"/>
  <c r="F49" i="71"/>
  <c r="E49" i="71"/>
  <c r="D49" i="71"/>
  <c r="C49" i="71"/>
  <c r="F48" i="71"/>
  <c r="E48" i="71"/>
  <c r="D48" i="71"/>
  <c r="C48" i="71"/>
  <c r="F47" i="71"/>
  <c r="E47" i="71"/>
  <c r="D47" i="71"/>
  <c r="C47" i="71"/>
  <c r="F46" i="71"/>
  <c r="E46" i="71"/>
  <c r="D46" i="71"/>
  <c r="C46" i="71"/>
  <c r="F45" i="71"/>
  <c r="E45" i="71"/>
  <c r="D45" i="71"/>
  <c r="C45" i="71"/>
  <c r="F44" i="71"/>
  <c r="E44" i="71"/>
  <c r="D44" i="71"/>
  <c r="C44" i="71"/>
  <c r="F43" i="71"/>
  <c r="E43" i="71"/>
  <c r="D43" i="71"/>
  <c r="C43" i="71"/>
  <c r="F42" i="71"/>
  <c r="E42" i="71"/>
  <c r="D42" i="71"/>
  <c r="C42" i="71"/>
  <c r="F41" i="71"/>
  <c r="E41" i="71"/>
  <c r="D41" i="71"/>
  <c r="C41" i="71"/>
  <c r="F40" i="71"/>
  <c r="E40" i="71"/>
  <c r="D40" i="71"/>
  <c r="C40" i="71"/>
  <c r="F39" i="71"/>
  <c r="E39" i="71"/>
  <c r="D39" i="71"/>
  <c r="C39" i="71"/>
  <c r="F38" i="71"/>
  <c r="E38" i="71"/>
  <c r="D38" i="71"/>
  <c r="C38" i="71"/>
  <c r="F37" i="71"/>
  <c r="E37" i="71"/>
  <c r="D37" i="71"/>
  <c r="C37" i="71"/>
  <c r="F36" i="71"/>
  <c r="E36" i="71"/>
  <c r="D36" i="71"/>
  <c r="C36" i="71"/>
  <c r="F35" i="71"/>
  <c r="E35" i="71"/>
  <c r="D35" i="71"/>
  <c r="C35" i="71"/>
  <c r="F34" i="71"/>
  <c r="E34" i="71"/>
  <c r="D34" i="71"/>
  <c r="C34" i="71"/>
  <c r="F33" i="71"/>
  <c r="E33" i="71"/>
  <c r="D33" i="71"/>
  <c r="C33" i="71"/>
  <c r="F32" i="71"/>
  <c r="E32" i="71"/>
  <c r="D32" i="71"/>
  <c r="C32" i="71"/>
  <c r="F31" i="71"/>
  <c r="E31" i="71"/>
  <c r="D31" i="71"/>
  <c r="C31" i="71"/>
  <c r="F30" i="71"/>
  <c r="E30" i="71"/>
  <c r="D30" i="71"/>
  <c r="C30" i="71"/>
  <c r="F29" i="71"/>
  <c r="E29" i="71"/>
  <c r="D29" i="71"/>
  <c r="C29" i="71"/>
  <c r="F28" i="71"/>
  <c r="E28" i="71"/>
  <c r="D28" i="71"/>
  <c r="C28" i="71"/>
  <c r="F27" i="71"/>
  <c r="E27" i="71"/>
  <c r="D27" i="71"/>
  <c r="C27" i="71"/>
  <c r="F26" i="71"/>
  <c r="E26" i="71"/>
  <c r="D26" i="71"/>
  <c r="C26" i="71"/>
  <c r="F25" i="71"/>
  <c r="E25" i="71"/>
  <c r="D25" i="71"/>
  <c r="C25" i="71"/>
  <c r="F24" i="71"/>
  <c r="E24" i="71"/>
  <c r="D24" i="71"/>
  <c r="C24" i="71"/>
  <c r="F23" i="71"/>
  <c r="E23" i="71"/>
  <c r="D23" i="71"/>
  <c r="C23" i="71"/>
  <c r="F22" i="71"/>
  <c r="E22" i="71"/>
  <c r="D22" i="71"/>
  <c r="C22" i="71"/>
  <c r="F21" i="71"/>
  <c r="E21" i="71"/>
  <c r="D21" i="71"/>
  <c r="C21" i="71"/>
  <c r="F20" i="71"/>
  <c r="E20" i="71"/>
  <c r="D20" i="71"/>
  <c r="C20" i="71"/>
  <c r="F19" i="71"/>
  <c r="E19" i="71"/>
  <c r="D19" i="71"/>
  <c r="C19" i="71"/>
  <c r="F18" i="71"/>
  <c r="E18" i="71"/>
  <c r="D18" i="71"/>
  <c r="C18" i="71"/>
  <c r="F17" i="71"/>
  <c r="E17" i="71"/>
  <c r="D17" i="71"/>
  <c r="C17" i="71"/>
  <c r="F16" i="71"/>
  <c r="E16" i="71"/>
  <c r="D16" i="71"/>
  <c r="C16" i="71"/>
  <c r="F15" i="71"/>
  <c r="E15" i="71"/>
  <c r="D15" i="71"/>
  <c r="C15" i="71"/>
  <c r="F14" i="71"/>
  <c r="E14" i="71"/>
  <c r="D14" i="71"/>
  <c r="C14" i="71"/>
  <c r="F13" i="71"/>
  <c r="E13" i="71"/>
  <c r="D13" i="71"/>
  <c r="C13" i="71"/>
  <c r="F12" i="71"/>
  <c r="E12" i="71"/>
  <c r="D12" i="71"/>
  <c r="C12" i="71"/>
  <c r="F11" i="71"/>
  <c r="E11" i="71"/>
  <c r="D11" i="71"/>
  <c r="C11" i="71"/>
  <c r="F10" i="71"/>
  <c r="E10" i="71"/>
  <c r="D10" i="71"/>
  <c r="C10" i="71"/>
  <c r="F9" i="71"/>
  <c r="E9" i="71"/>
  <c r="D9" i="71"/>
  <c r="C9" i="71"/>
  <c r="F8" i="71"/>
  <c r="E8" i="71"/>
  <c r="D8" i="71"/>
  <c r="C8" i="71"/>
  <c r="F7" i="71"/>
  <c r="E7" i="71"/>
  <c r="D7" i="71"/>
  <c r="C7" i="71"/>
  <c r="F6" i="71"/>
  <c r="E6" i="71"/>
  <c r="D6" i="71"/>
  <c r="C6" i="71"/>
  <c r="O5" i="71"/>
  <c r="N5" i="71"/>
  <c r="M5" i="71"/>
  <c r="L5" i="71"/>
  <c r="K5" i="71"/>
  <c r="J5" i="71"/>
  <c r="I5" i="71"/>
  <c r="H5" i="71"/>
  <c r="F5" i="71"/>
  <c r="E5" i="71"/>
  <c r="D5" i="71"/>
  <c r="C5" i="71"/>
  <c r="F4" i="71"/>
  <c r="E4" i="71"/>
  <c r="D4" i="71"/>
  <c r="C4" i="71"/>
  <c r="O3" i="71"/>
  <c r="N3" i="71"/>
  <c r="M3" i="71"/>
  <c r="L3" i="71"/>
  <c r="K3" i="71"/>
  <c r="J3" i="71"/>
  <c r="I3" i="71"/>
  <c r="H3" i="71"/>
  <c r="F3" i="71"/>
  <c r="E3" i="71"/>
  <c r="D3" i="71"/>
  <c r="C3" i="71"/>
  <c r="O2" i="71"/>
  <c r="O56" i="71" s="1"/>
  <c r="N2" i="71"/>
  <c r="M2" i="71"/>
  <c r="L2" i="71"/>
  <c r="K2" i="71"/>
  <c r="J2" i="71"/>
  <c r="I2" i="71"/>
  <c r="I56" i="71" s="1"/>
  <c r="H2" i="71"/>
  <c r="H56" i="71" s="1"/>
  <c r="F2" i="71"/>
  <c r="E2" i="71"/>
  <c r="D2" i="71"/>
  <c r="C2" i="71"/>
  <c r="F9" i="70"/>
  <c r="E9" i="70"/>
  <c r="F8" i="70"/>
  <c r="E8" i="70"/>
  <c r="O7" i="70"/>
  <c r="N7" i="70"/>
  <c r="M7" i="70"/>
  <c r="L7" i="70"/>
  <c r="K7" i="70"/>
  <c r="J7" i="70"/>
  <c r="I7" i="70"/>
  <c r="H7" i="70"/>
  <c r="F7" i="70"/>
  <c r="E7" i="70"/>
  <c r="D7" i="70"/>
  <c r="C7" i="70"/>
  <c r="O6" i="70"/>
  <c r="N6" i="70"/>
  <c r="M6" i="70"/>
  <c r="L6" i="70"/>
  <c r="K6" i="70"/>
  <c r="J6" i="70"/>
  <c r="I6" i="70"/>
  <c r="H6" i="70"/>
  <c r="F6" i="70"/>
  <c r="E6" i="70"/>
  <c r="D6" i="70"/>
  <c r="C6" i="70"/>
  <c r="O5" i="70"/>
  <c r="N5" i="70"/>
  <c r="M5" i="70"/>
  <c r="L5" i="70"/>
  <c r="K5" i="70"/>
  <c r="J5" i="70"/>
  <c r="I5" i="70"/>
  <c r="H5" i="70"/>
  <c r="F5" i="70"/>
  <c r="E5" i="70"/>
  <c r="D5" i="70"/>
  <c r="C5" i="70"/>
  <c r="O4" i="70"/>
  <c r="N4" i="70"/>
  <c r="M4" i="70"/>
  <c r="L4" i="70"/>
  <c r="K4" i="70"/>
  <c r="J4" i="70"/>
  <c r="I4" i="70"/>
  <c r="H4" i="70"/>
  <c r="F4" i="70"/>
  <c r="E4" i="70"/>
  <c r="D4" i="70"/>
  <c r="C4" i="70"/>
  <c r="O3" i="70"/>
  <c r="N3" i="70"/>
  <c r="M3" i="70"/>
  <c r="L3" i="70"/>
  <c r="K3" i="70"/>
  <c r="J3" i="70"/>
  <c r="I3" i="70"/>
  <c r="H3" i="70"/>
  <c r="F3" i="70"/>
  <c r="E3" i="70"/>
  <c r="D3" i="70"/>
  <c r="C3" i="70"/>
  <c r="O2" i="70"/>
  <c r="N2" i="70"/>
  <c r="M2" i="70"/>
  <c r="M11" i="70" s="1"/>
  <c r="L2" i="70"/>
  <c r="K2" i="70"/>
  <c r="K11" i="70" s="1"/>
  <c r="J2" i="70"/>
  <c r="I2" i="70"/>
  <c r="H2" i="70"/>
  <c r="F2" i="70"/>
  <c r="E2" i="70"/>
  <c r="D2" i="70"/>
  <c r="C2" i="70"/>
  <c r="F17" i="69"/>
  <c r="E17" i="69"/>
  <c r="F16" i="69"/>
  <c r="E16" i="69"/>
  <c r="F15" i="69"/>
  <c r="E15" i="69"/>
  <c r="F14" i="69"/>
  <c r="E14" i="69"/>
  <c r="F13" i="69"/>
  <c r="E13" i="69"/>
  <c r="F12" i="69"/>
  <c r="E12" i="69"/>
  <c r="F11" i="69"/>
  <c r="E11" i="69"/>
  <c r="O10" i="69"/>
  <c r="N10" i="69"/>
  <c r="M10" i="69"/>
  <c r="L10" i="69"/>
  <c r="K10" i="69"/>
  <c r="J10" i="69"/>
  <c r="I10" i="69"/>
  <c r="H10" i="69"/>
  <c r="F10" i="69"/>
  <c r="E10" i="69"/>
  <c r="D10" i="69"/>
  <c r="C10" i="69"/>
  <c r="O9" i="69"/>
  <c r="N9" i="69"/>
  <c r="M9" i="69"/>
  <c r="L9" i="69"/>
  <c r="K9" i="69"/>
  <c r="J9" i="69"/>
  <c r="I9" i="69"/>
  <c r="H9" i="69"/>
  <c r="F9" i="69"/>
  <c r="E9" i="69"/>
  <c r="D9" i="69"/>
  <c r="C9" i="69"/>
  <c r="O8" i="69"/>
  <c r="N8" i="69"/>
  <c r="M8" i="69"/>
  <c r="L8" i="69"/>
  <c r="K8" i="69"/>
  <c r="J8" i="69"/>
  <c r="I8" i="69"/>
  <c r="H8" i="69"/>
  <c r="F8" i="69"/>
  <c r="E8" i="69"/>
  <c r="D8" i="69"/>
  <c r="C8" i="69"/>
  <c r="O7" i="69"/>
  <c r="N7" i="69"/>
  <c r="M7" i="69"/>
  <c r="L7" i="69"/>
  <c r="K7" i="69"/>
  <c r="J7" i="69"/>
  <c r="I7" i="69"/>
  <c r="H7" i="69"/>
  <c r="F7" i="69"/>
  <c r="E7" i="69"/>
  <c r="D7" i="69"/>
  <c r="C7" i="69"/>
  <c r="O6" i="69"/>
  <c r="N6" i="69"/>
  <c r="M6" i="69"/>
  <c r="L6" i="69"/>
  <c r="K6" i="69"/>
  <c r="J6" i="69"/>
  <c r="I6" i="69"/>
  <c r="H6" i="69"/>
  <c r="F6" i="69"/>
  <c r="E6" i="69"/>
  <c r="D6" i="69"/>
  <c r="C6" i="69"/>
  <c r="O5" i="69"/>
  <c r="N5" i="69"/>
  <c r="M5" i="69"/>
  <c r="L5" i="69"/>
  <c r="K5" i="69"/>
  <c r="J5" i="69"/>
  <c r="I5" i="69"/>
  <c r="H5" i="69"/>
  <c r="F5" i="69"/>
  <c r="E5" i="69"/>
  <c r="D5" i="69"/>
  <c r="C5" i="69"/>
  <c r="O4" i="69"/>
  <c r="N4" i="69"/>
  <c r="M4" i="69"/>
  <c r="L4" i="69"/>
  <c r="K4" i="69"/>
  <c r="J4" i="69"/>
  <c r="I4" i="69"/>
  <c r="H4" i="69"/>
  <c r="F4" i="69"/>
  <c r="E4" i="69"/>
  <c r="D4" i="69"/>
  <c r="C4" i="69"/>
  <c r="O3" i="69"/>
  <c r="N3" i="69"/>
  <c r="M3" i="69"/>
  <c r="L3" i="69"/>
  <c r="K3" i="69"/>
  <c r="J3" i="69"/>
  <c r="I3" i="69"/>
  <c r="H3" i="69"/>
  <c r="F3" i="69"/>
  <c r="E3" i="69"/>
  <c r="D3" i="69"/>
  <c r="C3" i="69"/>
  <c r="O2" i="69"/>
  <c r="N2" i="69"/>
  <c r="M2" i="69"/>
  <c r="L2" i="69"/>
  <c r="K2" i="69"/>
  <c r="J2" i="69"/>
  <c r="I2" i="69"/>
  <c r="H2" i="69"/>
  <c r="F2" i="69"/>
  <c r="E2" i="69"/>
  <c r="D2" i="69"/>
  <c r="C2" i="69"/>
  <c r="E30" i="68"/>
  <c r="F29" i="68"/>
  <c r="E29" i="68"/>
  <c r="F28" i="68"/>
  <c r="E28" i="68"/>
  <c r="F27" i="68"/>
  <c r="E27" i="68"/>
  <c r="F26" i="68"/>
  <c r="E26" i="68"/>
  <c r="F25" i="68"/>
  <c r="E25" i="68"/>
  <c r="F24" i="68"/>
  <c r="E24" i="68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F14" i="68"/>
  <c r="E14" i="68"/>
  <c r="F13" i="68"/>
  <c r="E13" i="68"/>
  <c r="F12" i="68"/>
  <c r="E12" i="68"/>
  <c r="F11" i="68"/>
  <c r="E11" i="68"/>
  <c r="O10" i="68"/>
  <c r="N10" i="68"/>
  <c r="M10" i="68"/>
  <c r="L10" i="68"/>
  <c r="K10" i="68"/>
  <c r="J10" i="68"/>
  <c r="I10" i="68"/>
  <c r="H10" i="68"/>
  <c r="F10" i="68"/>
  <c r="E10" i="68"/>
  <c r="D10" i="68"/>
  <c r="C10" i="68"/>
  <c r="O9" i="68"/>
  <c r="N9" i="68"/>
  <c r="M9" i="68"/>
  <c r="L9" i="68"/>
  <c r="K9" i="68"/>
  <c r="J9" i="68"/>
  <c r="I9" i="68"/>
  <c r="H9" i="68"/>
  <c r="F9" i="68"/>
  <c r="E9" i="68"/>
  <c r="D9" i="68"/>
  <c r="C9" i="68"/>
  <c r="O8" i="68"/>
  <c r="N8" i="68"/>
  <c r="M8" i="68"/>
  <c r="L8" i="68"/>
  <c r="K8" i="68"/>
  <c r="J8" i="68"/>
  <c r="I8" i="68"/>
  <c r="H8" i="68"/>
  <c r="F8" i="68"/>
  <c r="E8" i="68"/>
  <c r="D8" i="68"/>
  <c r="C8" i="68"/>
  <c r="O7" i="68"/>
  <c r="N7" i="68"/>
  <c r="M7" i="68"/>
  <c r="L7" i="68"/>
  <c r="K7" i="68"/>
  <c r="J7" i="68"/>
  <c r="I7" i="68"/>
  <c r="H7" i="68"/>
  <c r="F7" i="68"/>
  <c r="E7" i="68"/>
  <c r="D7" i="68"/>
  <c r="C7" i="68"/>
  <c r="O6" i="68"/>
  <c r="N6" i="68"/>
  <c r="M6" i="68"/>
  <c r="L6" i="68"/>
  <c r="K6" i="68"/>
  <c r="J6" i="68"/>
  <c r="I6" i="68"/>
  <c r="H6" i="68"/>
  <c r="F6" i="68"/>
  <c r="E6" i="68"/>
  <c r="D6" i="68"/>
  <c r="C6" i="68"/>
  <c r="O5" i="68"/>
  <c r="N5" i="68"/>
  <c r="M5" i="68"/>
  <c r="L5" i="68"/>
  <c r="K5" i="68"/>
  <c r="J5" i="68"/>
  <c r="I5" i="68"/>
  <c r="H5" i="68"/>
  <c r="F5" i="68"/>
  <c r="E5" i="68"/>
  <c r="D5" i="68"/>
  <c r="C5" i="68"/>
  <c r="O4" i="68"/>
  <c r="N4" i="68"/>
  <c r="M4" i="68"/>
  <c r="L4" i="68"/>
  <c r="K4" i="68"/>
  <c r="J4" i="68"/>
  <c r="I4" i="68"/>
  <c r="H4" i="68"/>
  <c r="F4" i="68"/>
  <c r="E4" i="68"/>
  <c r="D4" i="68"/>
  <c r="C4" i="68"/>
  <c r="O3" i="68"/>
  <c r="N3" i="68"/>
  <c r="M3" i="68"/>
  <c r="L3" i="68"/>
  <c r="K3" i="68"/>
  <c r="J3" i="68"/>
  <c r="I3" i="68"/>
  <c r="H3" i="68"/>
  <c r="F3" i="68"/>
  <c r="E3" i="68"/>
  <c r="D3" i="68"/>
  <c r="C3" i="68"/>
  <c r="O2" i="68"/>
  <c r="N2" i="68"/>
  <c r="M2" i="68"/>
  <c r="L2" i="68"/>
  <c r="K2" i="68"/>
  <c r="J2" i="68"/>
  <c r="I2" i="68"/>
  <c r="I32" i="68" s="1"/>
  <c r="H2" i="68"/>
  <c r="F2" i="68"/>
  <c r="E2" i="68"/>
  <c r="D2" i="68"/>
  <c r="C2" i="68"/>
  <c r="E14" i="67"/>
  <c r="F13" i="67"/>
  <c r="E13" i="67"/>
  <c r="F12" i="67"/>
  <c r="E12" i="67"/>
  <c r="F11" i="67"/>
  <c r="E11" i="67"/>
  <c r="F10" i="67"/>
  <c r="E10" i="67"/>
  <c r="F9" i="67"/>
  <c r="E9" i="67"/>
  <c r="F8" i="67"/>
  <c r="E8" i="67"/>
  <c r="F7" i="67"/>
  <c r="E7" i="67"/>
  <c r="F6" i="67"/>
  <c r="E6" i="67"/>
  <c r="F5" i="67"/>
  <c r="E5" i="67"/>
  <c r="O4" i="67"/>
  <c r="N4" i="67"/>
  <c r="M4" i="67"/>
  <c r="L4" i="67"/>
  <c r="K4" i="67"/>
  <c r="J4" i="67"/>
  <c r="I4" i="67"/>
  <c r="H4" i="67"/>
  <c r="F4" i="67"/>
  <c r="E4" i="67"/>
  <c r="D4" i="67"/>
  <c r="C4" i="67"/>
  <c r="O3" i="67"/>
  <c r="N3" i="67"/>
  <c r="M3" i="67"/>
  <c r="L3" i="67"/>
  <c r="K3" i="67"/>
  <c r="J3" i="67"/>
  <c r="I3" i="67"/>
  <c r="H3" i="67"/>
  <c r="F3" i="67"/>
  <c r="E3" i="67"/>
  <c r="D3" i="67"/>
  <c r="C3" i="67"/>
  <c r="O2" i="67"/>
  <c r="O16" i="67" s="1"/>
  <c r="N2" i="67"/>
  <c r="M2" i="67"/>
  <c r="L2" i="67"/>
  <c r="K2" i="67"/>
  <c r="K16" i="67" s="1"/>
  <c r="J2" i="67"/>
  <c r="I2" i="67"/>
  <c r="H2" i="67"/>
  <c r="H16" i="67" s="1"/>
  <c r="F2" i="67"/>
  <c r="E2" i="67"/>
  <c r="D2" i="67"/>
  <c r="C2" i="67"/>
  <c r="O3" i="66"/>
  <c r="N3" i="66"/>
  <c r="M3" i="66"/>
  <c r="L3" i="66"/>
  <c r="K3" i="66"/>
  <c r="J3" i="66"/>
  <c r="I3" i="66"/>
  <c r="H3" i="66"/>
  <c r="F3" i="66"/>
  <c r="E3" i="66"/>
  <c r="D3" i="66"/>
  <c r="C3" i="66"/>
  <c r="O2" i="66"/>
  <c r="N2" i="66"/>
  <c r="M2" i="66"/>
  <c r="L2" i="66"/>
  <c r="K2" i="66"/>
  <c r="K5" i="66" s="1"/>
  <c r="J2" i="66"/>
  <c r="I2" i="66"/>
  <c r="I5" i="66" s="1"/>
  <c r="H2" i="66"/>
  <c r="H5" i="66" s="1"/>
  <c r="F2" i="66"/>
  <c r="E2" i="66"/>
  <c r="D2" i="66"/>
  <c r="C2" i="66"/>
  <c r="O2" i="65"/>
  <c r="O4" i="65" s="1"/>
  <c r="T4" i="65" s="1"/>
  <c r="N2" i="65"/>
  <c r="N4" i="65" s="1"/>
  <c r="S4" i="65" s="1"/>
  <c r="M2" i="65"/>
  <c r="M4" i="65" s="1"/>
  <c r="L2" i="65"/>
  <c r="L4" i="65" s="1"/>
  <c r="K2" i="65"/>
  <c r="K4" i="65" s="1"/>
  <c r="J2" i="65"/>
  <c r="J4" i="65" s="1"/>
  <c r="I2" i="65"/>
  <c r="I4" i="65" s="1"/>
  <c r="H2" i="65"/>
  <c r="H4" i="65" s="1"/>
  <c r="F2" i="65"/>
  <c r="F4" i="65" s="1"/>
  <c r="G4" i="65" s="1"/>
  <c r="E2" i="65"/>
  <c r="D2" i="65"/>
  <c r="C2" i="65"/>
  <c r="F12" i="64"/>
  <c r="E12" i="64"/>
  <c r="F11" i="64"/>
  <c r="E11" i="64"/>
  <c r="F10" i="64"/>
  <c r="E10" i="64"/>
  <c r="F9" i="64"/>
  <c r="E9" i="64"/>
  <c r="F8" i="64"/>
  <c r="E8" i="64"/>
  <c r="F7" i="64"/>
  <c r="E7" i="64"/>
  <c r="F6" i="64"/>
  <c r="E6" i="64"/>
  <c r="F5" i="64"/>
  <c r="E5" i="64"/>
  <c r="F4" i="64"/>
  <c r="E4" i="64"/>
  <c r="O3" i="64"/>
  <c r="N3" i="64"/>
  <c r="M3" i="64"/>
  <c r="L3" i="64"/>
  <c r="K3" i="64"/>
  <c r="J3" i="64"/>
  <c r="I3" i="64"/>
  <c r="H3" i="64"/>
  <c r="F3" i="64"/>
  <c r="E3" i="64"/>
  <c r="D3" i="64"/>
  <c r="C3" i="64"/>
  <c r="O2" i="64"/>
  <c r="O14" i="64" s="1"/>
  <c r="N2" i="64"/>
  <c r="M2" i="64"/>
  <c r="L2" i="64"/>
  <c r="K2" i="64"/>
  <c r="J2" i="64"/>
  <c r="I2" i="64"/>
  <c r="H2" i="64"/>
  <c r="H14" i="64" s="1"/>
  <c r="F2" i="64"/>
  <c r="E2" i="64"/>
  <c r="D2" i="64"/>
  <c r="C2" i="64"/>
  <c r="F12" i="63"/>
  <c r="E12" i="63"/>
  <c r="F11" i="63"/>
  <c r="E11" i="63"/>
  <c r="F10" i="63"/>
  <c r="E10" i="63"/>
  <c r="F9" i="63"/>
  <c r="E9" i="63"/>
  <c r="F8" i="63"/>
  <c r="E8" i="63"/>
  <c r="F7" i="63"/>
  <c r="E7" i="63"/>
  <c r="O6" i="63"/>
  <c r="N6" i="63"/>
  <c r="M6" i="63"/>
  <c r="L6" i="63"/>
  <c r="K6" i="63"/>
  <c r="J6" i="63"/>
  <c r="I6" i="63"/>
  <c r="H6" i="63"/>
  <c r="F6" i="63"/>
  <c r="E6" i="63"/>
  <c r="D6" i="63"/>
  <c r="C6" i="63"/>
  <c r="O5" i="63"/>
  <c r="N5" i="63"/>
  <c r="M5" i="63"/>
  <c r="L5" i="63"/>
  <c r="K5" i="63"/>
  <c r="J5" i="63"/>
  <c r="I5" i="63"/>
  <c r="H5" i="63"/>
  <c r="F5" i="63"/>
  <c r="E5" i="63"/>
  <c r="D5" i="63"/>
  <c r="C5" i="63"/>
  <c r="O4" i="63"/>
  <c r="N4" i="63"/>
  <c r="M4" i="63"/>
  <c r="L4" i="63"/>
  <c r="K4" i="63"/>
  <c r="J4" i="63"/>
  <c r="I4" i="63"/>
  <c r="H4" i="63"/>
  <c r="F4" i="63"/>
  <c r="E4" i="63"/>
  <c r="D4" i="63"/>
  <c r="C4" i="63"/>
  <c r="O3" i="63"/>
  <c r="N3" i="63"/>
  <c r="M3" i="63"/>
  <c r="L3" i="63"/>
  <c r="K3" i="63"/>
  <c r="J3" i="63"/>
  <c r="I3" i="63"/>
  <c r="H3" i="63"/>
  <c r="F3" i="63"/>
  <c r="E3" i="63"/>
  <c r="D3" i="63"/>
  <c r="C3" i="63"/>
  <c r="O2" i="63"/>
  <c r="N2" i="63"/>
  <c r="M2" i="63"/>
  <c r="L2" i="63"/>
  <c r="K2" i="63"/>
  <c r="J2" i="63"/>
  <c r="J14" i="63" s="1"/>
  <c r="I2" i="63"/>
  <c r="I14" i="63" s="1"/>
  <c r="H2" i="63"/>
  <c r="F2" i="63"/>
  <c r="E2" i="63"/>
  <c r="D2" i="63"/>
  <c r="C2" i="63"/>
  <c r="O3" i="62"/>
  <c r="N3" i="62"/>
  <c r="M3" i="62"/>
  <c r="L3" i="62"/>
  <c r="K3" i="62"/>
  <c r="J3" i="62"/>
  <c r="I3" i="62"/>
  <c r="H3" i="62"/>
  <c r="F3" i="62"/>
  <c r="E3" i="62"/>
  <c r="D3" i="62"/>
  <c r="C3" i="62"/>
  <c r="O2" i="62"/>
  <c r="N2" i="62"/>
  <c r="M2" i="62"/>
  <c r="M5" i="62" s="1"/>
  <c r="L2" i="62"/>
  <c r="K2" i="62"/>
  <c r="K5" i="62" s="1"/>
  <c r="J2" i="62"/>
  <c r="I2" i="62"/>
  <c r="I5" i="62" s="1"/>
  <c r="H2" i="62"/>
  <c r="F2" i="62"/>
  <c r="E2" i="62"/>
  <c r="D2" i="62"/>
  <c r="C2" i="62"/>
  <c r="F7" i="61"/>
  <c r="E7" i="61"/>
  <c r="F6" i="61"/>
  <c r="E6" i="61"/>
  <c r="F5" i="61"/>
  <c r="E5" i="61"/>
  <c r="O4" i="61"/>
  <c r="N4" i="61"/>
  <c r="M4" i="61"/>
  <c r="L4" i="61"/>
  <c r="K4" i="61"/>
  <c r="J4" i="61"/>
  <c r="I4" i="61"/>
  <c r="H4" i="61"/>
  <c r="F4" i="61"/>
  <c r="E4" i="61"/>
  <c r="D4" i="61"/>
  <c r="C4" i="61"/>
  <c r="O3" i="61"/>
  <c r="N3" i="61"/>
  <c r="M3" i="61"/>
  <c r="L3" i="61"/>
  <c r="K3" i="61"/>
  <c r="J3" i="61"/>
  <c r="I3" i="61"/>
  <c r="H3" i="61"/>
  <c r="F3" i="61"/>
  <c r="E3" i="61"/>
  <c r="D3" i="61"/>
  <c r="C3" i="61"/>
  <c r="O2" i="61"/>
  <c r="O9" i="61" s="1"/>
  <c r="N2" i="61"/>
  <c r="N9" i="61" s="1"/>
  <c r="M2" i="61"/>
  <c r="M9" i="61" s="1"/>
  <c r="L2" i="61"/>
  <c r="L9" i="61" s="1"/>
  <c r="K2" i="61"/>
  <c r="J2" i="61"/>
  <c r="I2" i="61"/>
  <c r="H2" i="61"/>
  <c r="F2" i="61"/>
  <c r="E2" i="61"/>
  <c r="D2" i="61"/>
  <c r="C2" i="61"/>
  <c r="F5" i="60"/>
  <c r="E5" i="60"/>
  <c r="F4" i="60"/>
  <c r="E4" i="60"/>
  <c r="F3" i="60"/>
  <c r="E3" i="60"/>
  <c r="O2" i="60"/>
  <c r="O7" i="60" s="1"/>
  <c r="N2" i="60"/>
  <c r="N7" i="60" s="1"/>
  <c r="M2" i="60"/>
  <c r="M7" i="60" s="1"/>
  <c r="L2" i="60"/>
  <c r="L7" i="60" s="1"/>
  <c r="K2" i="60"/>
  <c r="K7" i="60" s="1"/>
  <c r="Q7" i="60" s="1"/>
  <c r="J2" i="60"/>
  <c r="J7" i="60" s="1"/>
  <c r="I2" i="60"/>
  <c r="I7" i="60" s="1"/>
  <c r="H2" i="60"/>
  <c r="H7" i="60" s="1"/>
  <c r="F2" i="60"/>
  <c r="E2" i="60"/>
  <c r="D2" i="60"/>
  <c r="C2" i="60"/>
  <c r="F4" i="59"/>
  <c r="E4" i="59"/>
  <c r="O3" i="59"/>
  <c r="N3" i="59"/>
  <c r="M3" i="59"/>
  <c r="L3" i="59"/>
  <c r="L6" i="59" s="1"/>
  <c r="K3" i="59"/>
  <c r="K6" i="59" s="1"/>
  <c r="J3" i="59"/>
  <c r="I3" i="59"/>
  <c r="H3" i="59"/>
  <c r="F3" i="59"/>
  <c r="E3" i="59"/>
  <c r="D3" i="59"/>
  <c r="C3" i="59"/>
  <c r="O2" i="59"/>
  <c r="O6" i="59" s="1"/>
  <c r="N2" i="59"/>
  <c r="M2" i="59"/>
  <c r="L2" i="59"/>
  <c r="K2" i="59"/>
  <c r="J2" i="59"/>
  <c r="I2" i="59"/>
  <c r="H2" i="59"/>
  <c r="H6" i="59" s="1"/>
  <c r="F2" i="59"/>
  <c r="E2" i="59"/>
  <c r="D2" i="59"/>
  <c r="C2" i="59"/>
  <c r="Y8" i="58"/>
  <c r="X8" i="58"/>
  <c r="W8" i="58"/>
  <c r="V8" i="58"/>
  <c r="U8" i="58"/>
  <c r="T8" i="58"/>
  <c r="S8" i="58"/>
  <c r="R8" i="58"/>
  <c r="Q8" i="58"/>
  <c r="P8" i="58"/>
  <c r="O8" i="58"/>
  <c r="N8" i="58"/>
  <c r="M8" i="58"/>
  <c r="L8" i="58"/>
  <c r="K8" i="58"/>
  <c r="J8" i="58"/>
  <c r="I8" i="58"/>
  <c r="H8" i="58"/>
  <c r="F8" i="58"/>
  <c r="E8" i="58"/>
  <c r="D8" i="58"/>
  <c r="C8" i="58"/>
  <c r="Y7" i="58"/>
  <c r="X7" i="58"/>
  <c r="W7" i="58"/>
  <c r="V7" i="58"/>
  <c r="U7" i="58"/>
  <c r="T7" i="58"/>
  <c r="S7" i="58"/>
  <c r="R7" i="58"/>
  <c r="Q7" i="58"/>
  <c r="P7" i="58"/>
  <c r="O7" i="58"/>
  <c r="N7" i="58"/>
  <c r="M7" i="58"/>
  <c r="L7" i="58"/>
  <c r="K7" i="58"/>
  <c r="J7" i="58"/>
  <c r="I7" i="58"/>
  <c r="H7" i="58"/>
  <c r="F7" i="58"/>
  <c r="E7" i="58"/>
  <c r="D7" i="58"/>
  <c r="C7" i="58"/>
  <c r="Y6" i="58"/>
  <c r="X6" i="58"/>
  <c r="W6" i="58"/>
  <c r="V6" i="58"/>
  <c r="U6" i="58"/>
  <c r="T6" i="58"/>
  <c r="S6" i="58"/>
  <c r="R6" i="58"/>
  <c r="Q6" i="58"/>
  <c r="P6" i="58"/>
  <c r="O6" i="58"/>
  <c r="N6" i="58"/>
  <c r="M6" i="58"/>
  <c r="L6" i="58"/>
  <c r="K6" i="58"/>
  <c r="J6" i="58"/>
  <c r="I6" i="58"/>
  <c r="H6" i="58"/>
  <c r="F6" i="58"/>
  <c r="E6" i="58"/>
  <c r="D6" i="58"/>
  <c r="C6" i="58"/>
  <c r="Y5" i="58"/>
  <c r="X5" i="58"/>
  <c r="W5" i="58"/>
  <c r="V5" i="58"/>
  <c r="U5" i="58"/>
  <c r="T5" i="58"/>
  <c r="S5" i="58"/>
  <c r="R5" i="58"/>
  <c r="Q5" i="58"/>
  <c r="P5" i="58"/>
  <c r="O5" i="58"/>
  <c r="N5" i="58"/>
  <c r="M5" i="58"/>
  <c r="L5" i="58"/>
  <c r="K5" i="58"/>
  <c r="J5" i="58"/>
  <c r="I5" i="58"/>
  <c r="H5" i="58"/>
  <c r="F5" i="58"/>
  <c r="E5" i="58"/>
  <c r="D5" i="58"/>
  <c r="C5" i="58"/>
  <c r="Y4" i="58"/>
  <c r="X4" i="58"/>
  <c r="W4" i="58"/>
  <c r="V4" i="58"/>
  <c r="U4" i="58"/>
  <c r="T4" i="58"/>
  <c r="S4" i="58"/>
  <c r="R4" i="58"/>
  <c r="Q4" i="58"/>
  <c r="P4" i="58"/>
  <c r="O4" i="58"/>
  <c r="N4" i="58"/>
  <c r="M4" i="58"/>
  <c r="L4" i="58"/>
  <c r="K4" i="58"/>
  <c r="J4" i="58"/>
  <c r="I4" i="58"/>
  <c r="H4" i="58"/>
  <c r="F4" i="58"/>
  <c r="E4" i="58"/>
  <c r="D4" i="58"/>
  <c r="C4" i="58"/>
  <c r="Y3" i="58"/>
  <c r="X3" i="58"/>
  <c r="W3" i="58"/>
  <c r="V3" i="58"/>
  <c r="U3" i="58"/>
  <c r="T3" i="58"/>
  <c r="S3" i="58"/>
  <c r="R3" i="58"/>
  <c r="Q3" i="58"/>
  <c r="P3" i="58"/>
  <c r="O3" i="58"/>
  <c r="N3" i="58"/>
  <c r="M3" i="58"/>
  <c r="L3" i="58"/>
  <c r="K3" i="58"/>
  <c r="J3" i="58"/>
  <c r="I3" i="58"/>
  <c r="H3" i="58"/>
  <c r="F3" i="58"/>
  <c r="E3" i="58"/>
  <c r="D3" i="58"/>
  <c r="C3" i="58"/>
  <c r="Y2" i="58"/>
  <c r="X2" i="58"/>
  <c r="W2" i="58"/>
  <c r="V2" i="58"/>
  <c r="U2" i="58"/>
  <c r="T2" i="58"/>
  <c r="S2" i="58"/>
  <c r="R2" i="58"/>
  <c r="Q2" i="58"/>
  <c r="P2" i="58"/>
  <c r="O2" i="58"/>
  <c r="N2" i="58"/>
  <c r="M2" i="58"/>
  <c r="L2" i="58"/>
  <c r="K2" i="58"/>
  <c r="J2" i="58"/>
  <c r="I2" i="58"/>
  <c r="H2" i="58"/>
  <c r="F2" i="58"/>
  <c r="E2" i="58"/>
  <c r="D2" i="58"/>
  <c r="C2" i="58"/>
  <c r="F10" i="57"/>
  <c r="E10" i="57"/>
  <c r="F9" i="57"/>
  <c r="E9" i="57"/>
  <c r="F8" i="57"/>
  <c r="E8" i="57"/>
  <c r="F7" i="57"/>
  <c r="E7" i="57"/>
  <c r="F6" i="57"/>
  <c r="E6" i="57"/>
  <c r="F5" i="57"/>
  <c r="E5" i="57"/>
  <c r="F4" i="57"/>
  <c r="E4" i="57"/>
  <c r="F3" i="57"/>
  <c r="E3" i="57"/>
  <c r="O2" i="57"/>
  <c r="O12" i="57" s="1"/>
  <c r="T12" i="57" s="1"/>
  <c r="N2" i="57"/>
  <c r="N12" i="57" s="1"/>
  <c r="S12" i="57" s="1"/>
  <c r="M2" i="57"/>
  <c r="M12" i="57" s="1"/>
  <c r="L2" i="57"/>
  <c r="L12" i="57" s="1"/>
  <c r="K2" i="57"/>
  <c r="K12" i="57" s="1"/>
  <c r="J2" i="57"/>
  <c r="J12" i="57" s="1"/>
  <c r="I2" i="57"/>
  <c r="I12" i="57" s="1"/>
  <c r="H2" i="57"/>
  <c r="H12" i="57" s="1"/>
  <c r="F2" i="57"/>
  <c r="E2" i="57"/>
  <c r="D2" i="57"/>
  <c r="C2" i="57"/>
  <c r="F34" i="56"/>
  <c r="E34" i="56"/>
  <c r="F33" i="56"/>
  <c r="E33" i="56"/>
  <c r="F32" i="56"/>
  <c r="E32" i="56"/>
  <c r="F31" i="56"/>
  <c r="E31" i="56"/>
  <c r="F30" i="56"/>
  <c r="E30" i="56"/>
  <c r="F29" i="56"/>
  <c r="E29" i="56"/>
  <c r="F28" i="56"/>
  <c r="E28" i="56"/>
  <c r="F27" i="56"/>
  <c r="E27" i="56"/>
  <c r="F26" i="56"/>
  <c r="E26" i="56"/>
  <c r="F25" i="56"/>
  <c r="E25" i="56"/>
  <c r="F24" i="56"/>
  <c r="E24" i="56"/>
  <c r="F23" i="56"/>
  <c r="E23" i="56"/>
  <c r="F22" i="56"/>
  <c r="E22" i="56"/>
  <c r="O21" i="56"/>
  <c r="N21" i="56"/>
  <c r="M21" i="56"/>
  <c r="L21" i="56"/>
  <c r="K21" i="56"/>
  <c r="J21" i="56"/>
  <c r="I21" i="56"/>
  <c r="H21" i="56"/>
  <c r="F21" i="56"/>
  <c r="E21" i="56"/>
  <c r="D21" i="56"/>
  <c r="C21" i="56"/>
  <c r="F20" i="56"/>
  <c r="E20" i="56"/>
  <c r="F19" i="56"/>
  <c r="E19" i="56"/>
  <c r="O18" i="56"/>
  <c r="N18" i="56"/>
  <c r="M18" i="56"/>
  <c r="L18" i="56"/>
  <c r="K18" i="56"/>
  <c r="J18" i="56"/>
  <c r="I18" i="56"/>
  <c r="H18" i="56"/>
  <c r="F18" i="56"/>
  <c r="E18" i="56"/>
  <c r="D18" i="56"/>
  <c r="C18" i="56"/>
  <c r="O17" i="56"/>
  <c r="N17" i="56"/>
  <c r="M17" i="56"/>
  <c r="L17" i="56"/>
  <c r="K17" i="56"/>
  <c r="J17" i="56"/>
  <c r="I17" i="56"/>
  <c r="H17" i="56"/>
  <c r="F17" i="56"/>
  <c r="E17" i="56"/>
  <c r="D17" i="56"/>
  <c r="C17" i="56"/>
  <c r="O16" i="56"/>
  <c r="N16" i="56"/>
  <c r="M16" i="56"/>
  <c r="L16" i="56"/>
  <c r="K16" i="56"/>
  <c r="J16" i="56"/>
  <c r="I16" i="56"/>
  <c r="H16" i="56"/>
  <c r="F16" i="56"/>
  <c r="E16" i="56"/>
  <c r="D16" i="56"/>
  <c r="C16" i="56"/>
  <c r="O15" i="56"/>
  <c r="N15" i="56"/>
  <c r="M15" i="56"/>
  <c r="L15" i="56"/>
  <c r="K15" i="56"/>
  <c r="J15" i="56"/>
  <c r="I15" i="56"/>
  <c r="H15" i="56"/>
  <c r="F15" i="56"/>
  <c r="E15" i="56"/>
  <c r="D15" i="56"/>
  <c r="C15" i="56"/>
  <c r="O14" i="56"/>
  <c r="N14" i="56"/>
  <c r="M14" i="56"/>
  <c r="L14" i="56"/>
  <c r="K14" i="56"/>
  <c r="J14" i="56"/>
  <c r="I14" i="56"/>
  <c r="H14" i="56"/>
  <c r="F14" i="56"/>
  <c r="E14" i="56"/>
  <c r="D14" i="56"/>
  <c r="C14" i="56"/>
  <c r="O13" i="56"/>
  <c r="N13" i="56"/>
  <c r="M13" i="56"/>
  <c r="L13" i="56"/>
  <c r="K13" i="56"/>
  <c r="J13" i="56"/>
  <c r="I13" i="56"/>
  <c r="H13" i="56"/>
  <c r="F13" i="56"/>
  <c r="E13" i="56"/>
  <c r="D13" i="56"/>
  <c r="C13" i="56"/>
  <c r="F12" i="56"/>
  <c r="E12" i="56"/>
  <c r="O11" i="56"/>
  <c r="N11" i="56"/>
  <c r="M11" i="56"/>
  <c r="L11" i="56"/>
  <c r="K11" i="56"/>
  <c r="J11" i="56"/>
  <c r="I11" i="56"/>
  <c r="H11" i="56"/>
  <c r="F11" i="56"/>
  <c r="E11" i="56"/>
  <c r="D11" i="56"/>
  <c r="C11" i="56"/>
  <c r="O10" i="56"/>
  <c r="N10" i="56"/>
  <c r="M10" i="56"/>
  <c r="L10" i="56"/>
  <c r="K10" i="56"/>
  <c r="J10" i="56"/>
  <c r="I10" i="56"/>
  <c r="H10" i="56"/>
  <c r="F10" i="56"/>
  <c r="E10" i="56"/>
  <c r="D10" i="56"/>
  <c r="C10" i="56"/>
  <c r="O9" i="56"/>
  <c r="N9" i="56"/>
  <c r="M9" i="56"/>
  <c r="L9" i="56"/>
  <c r="K9" i="56"/>
  <c r="J9" i="56"/>
  <c r="I9" i="56"/>
  <c r="H9" i="56"/>
  <c r="F9" i="56"/>
  <c r="E9" i="56"/>
  <c r="D9" i="56"/>
  <c r="C9" i="56"/>
  <c r="O8" i="56"/>
  <c r="N8" i="56"/>
  <c r="M8" i="56"/>
  <c r="L8" i="56"/>
  <c r="K8" i="56"/>
  <c r="J8" i="56"/>
  <c r="I8" i="56"/>
  <c r="H8" i="56"/>
  <c r="F8" i="56"/>
  <c r="E8" i="56"/>
  <c r="D8" i="56"/>
  <c r="C8" i="56"/>
  <c r="O7" i="56"/>
  <c r="N7" i="56"/>
  <c r="M7" i="56"/>
  <c r="L7" i="56"/>
  <c r="K7" i="56"/>
  <c r="J7" i="56"/>
  <c r="I7" i="56"/>
  <c r="H7" i="56"/>
  <c r="F7" i="56"/>
  <c r="E7" i="56"/>
  <c r="D7" i="56"/>
  <c r="C7" i="56"/>
  <c r="O6" i="56"/>
  <c r="N6" i="56"/>
  <c r="M6" i="56"/>
  <c r="L6" i="56"/>
  <c r="K6" i="56"/>
  <c r="J6" i="56"/>
  <c r="I6" i="56"/>
  <c r="H6" i="56"/>
  <c r="F6" i="56"/>
  <c r="E6" i="56"/>
  <c r="D6" i="56"/>
  <c r="C6" i="56"/>
  <c r="O5" i="56"/>
  <c r="N5" i="56"/>
  <c r="M5" i="56"/>
  <c r="L5" i="56"/>
  <c r="K5" i="56"/>
  <c r="J5" i="56"/>
  <c r="I5" i="56"/>
  <c r="H5" i="56"/>
  <c r="F5" i="56"/>
  <c r="E5" i="56"/>
  <c r="D5" i="56"/>
  <c r="C5" i="56"/>
  <c r="O4" i="56"/>
  <c r="N4" i="56"/>
  <c r="M4" i="56"/>
  <c r="L4" i="56"/>
  <c r="K4" i="56"/>
  <c r="J4" i="56"/>
  <c r="I4" i="56"/>
  <c r="H4" i="56"/>
  <c r="F4" i="56"/>
  <c r="E4" i="56"/>
  <c r="D4" i="56"/>
  <c r="C4" i="56"/>
  <c r="O3" i="56"/>
  <c r="N3" i="56"/>
  <c r="M3" i="56"/>
  <c r="L3" i="56"/>
  <c r="K3" i="56"/>
  <c r="J3" i="56"/>
  <c r="I3" i="56"/>
  <c r="H3" i="56"/>
  <c r="F3" i="56"/>
  <c r="E3" i="56"/>
  <c r="D3" i="56"/>
  <c r="C3" i="56"/>
  <c r="O2" i="56"/>
  <c r="N2" i="56"/>
  <c r="M2" i="56"/>
  <c r="L2" i="56"/>
  <c r="K2" i="56"/>
  <c r="J2" i="56"/>
  <c r="I2" i="56"/>
  <c r="H2" i="56"/>
  <c r="F2" i="56"/>
  <c r="E2" i="56"/>
  <c r="D2" i="56"/>
  <c r="C2" i="56"/>
  <c r="O2" i="55"/>
  <c r="N2" i="55"/>
  <c r="M2" i="55"/>
  <c r="L2" i="55"/>
  <c r="K2" i="55"/>
  <c r="J2" i="55"/>
  <c r="I2" i="55"/>
  <c r="H2" i="55"/>
  <c r="F2" i="55"/>
  <c r="E2" i="55"/>
  <c r="D2" i="55"/>
  <c r="C2" i="55"/>
  <c r="F5" i="54"/>
  <c r="E5" i="54"/>
  <c r="D5" i="54"/>
  <c r="C5" i="54"/>
  <c r="F4" i="54"/>
  <c r="E4" i="54"/>
  <c r="D4" i="54"/>
  <c r="C4" i="54"/>
  <c r="F3" i="54"/>
  <c r="E3" i="54"/>
  <c r="D3" i="54"/>
  <c r="C3" i="54"/>
  <c r="F2" i="54"/>
  <c r="E2" i="54"/>
  <c r="D2" i="54"/>
  <c r="C2" i="54"/>
  <c r="F7" i="53"/>
  <c r="E7" i="53"/>
  <c r="F6" i="53"/>
  <c r="E6" i="53"/>
  <c r="F5" i="53"/>
  <c r="E5" i="53"/>
  <c r="F4" i="53"/>
  <c r="E4" i="53"/>
  <c r="F3" i="53"/>
  <c r="E3" i="53"/>
  <c r="O2" i="53"/>
  <c r="O9" i="53" s="1"/>
  <c r="N2" i="53"/>
  <c r="N9" i="53" s="1"/>
  <c r="M2" i="53"/>
  <c r="M9" i="53" s="1"/>
  <c r="L2" i="53"/>
  <c r="L9" i="53" s="1"/>
  <c r="K2" i="53"/>
  <c r="K9" i="53" s="1"/>
  <c r="J2" i="53"/>
  <c r="J9" i="53" s="1"/>
  <c r="I2" i="53"/>
  <c r="I9" i="53" s="1"/>
  <c r="H2" i="53"/>
  <c r="H9" i="53" s="1"/>
  <c r="V9" i="53" s="1"/>
  <c r="F2" i="53"/>
  <c r="E2" i="53"/>
  <c r="D2" i="53"/>
  <c r="C2" i="53"/>
  <c r="F9" i="52"/>
  <c r="E9" i="52"/>
  <c r="F8" i="52"/>
  <c r="E8" i="52"/>
  <c r="F7" i="52"/>
  <c r="E7" i="52"/>
  <c r="F6" i="52"/>
  <c r="E6" i="52"/>
  <c r="F5" i="52"/>
  <c r="E5" i="52"/>
  <c r="F4" i="52"/>
  <c r="E4" i="52"/>
  <c r="F3" i="52"/>
  <c r="E3" i="52"/>
  <c r="O2" i="52"/>
  <c r="O11" i="52" s="1"/>
  <c r="N2" i="52"/>
  <c r="N11" i="52" s="1"/>
  <c r="M2" i="52"/>
  <c r="M11" i="52" s="1"/>
  <c r="L2" i="52"/>
  <c r="L11" i="52" s="1"/>
  <c r="K2" i="52"/>
  <c r="K11" i="52" s="1"/>
  <c r="J2" i="52"/>
  <c r="J11" i="52" s="1"/>
  <c r="P11" i="52" s="1"/>
  <c r="I2" i="52"/>
  <c r="I11" i="52" s="1"/>
  <c r="H2" i="52"/>
  <c r="H11" i="52" s="1"/>
  <c r="F2" i="52"/>
  <c r="E2" i="52"/>
  <c r="D2" i="52"/>
  <c r="C2" i="52"/>
  <c r="F7" i="51"/>
  <c r="E7" i="51"/>
  <c r="D7" i="51"/>
  <c r="C7" i="51"/>
  <c r="F6" i="51"/>
  <c r="E6" i="51"/>
  <c r="D6" i="51"/>
  <c r="C6" i="51"/>
  <c r="F5" i="51"/>
  <c r="E5" i="51"/>
  <c r="D5" i="51"/>
  <c r="C5" i="51"/>
  <c r="F4" i="51"/>
  <c r="E4" i="51"/>
  <c r="D4" i="51"/>
  <c r="C4" i="51"/>
  <c r="F3" i="51"/>
  <c r="E3" i="51"/>
  <c r="D3" i="51"/>
  <c r="C3" i="51"/>
  <c r="F2" i="51"/>
  <c r="E2" i="51"/>
  <c r="D2" i="51"/>
  <c r="C2" i="51"/>
  <c r="F13" i="50"/>
  <c r="E13" i="50"/>
  <c r="F12" i="50"/>
  <c r="E12" i="50"/>
  <c r="F11" i="50"/>
  <c r="E11" i="50"/>
  <c r="F10" i="50"/>
  <c r="E10" i="50"/>
  <c r="F9" i="50"/>
  <c r="E9" i="50"/>
  <c r="F8" i="50"/>
  <c r="E8" i="50"/>
  <c r="O7" i="50"/>
  <c r="N7" i="50"/>
  <c r="M7" i="50"/>
  <c r="L7" i="50"/>
  <c r="K7" i="50"/>
  <c r="J7" i="50"/>
  <c r="I7" i="50"/>
  <c r="H7" i="50"/>
  <c r="F7" i="50"/>
  <c r="E7" i="50"/>
  <c r="D7" i="50"/>
  <c r="C7" i="50"/>
  <c r="O6" i="50"/>
  <c r="N6" i="50"/>
  <c r="M6" i="50"/>
  <c r="L6" i="50"/>
  <c r="K6" i="50"/>
  <c r="J6" i="50"/>
  <c r="I6" i="50"/>
  <c r="H6" i="50"/>
  <c r="F6" i="50"/>
  <c r="E6" i="50"/>
  <c r="D6" i="50"/>
  <c r="C6" i="50"/>
  <c r="O5" i="50"/>
  <c r="N5" i="50"/>
  <c r="M5" i="50"/>
  <c r="L5" i="50"/>
  <c r="K5" i="50"/>
  <c r="J5" i="50"/>
  <c r="I5" i="50"/>
  <c r="H5" i="50"/>
  <c r="F5" i="50"/>
  <c r="E5" i="50"/>
  <c r="D5" i="50"/>
  <c r="C5" i="50"/>
  <c r="O4" i="50"/>
  <c r="N4" i="50"/>
  <c r="M4" i="50"/>
  <c r="L4" i="50"/>
  <c r="K4" i="50"/>
  <c r="J4" i="50"/>
  <c r="I4" i="50"/>
  <c r="H4" i="50"/>
  <c r="F4" i="50"/>
  <c r="E4" i="50"/>
  <c r="D4" i="50"/>
  <c r="C4" i="50"/>
  <c r="O3" i="50"/>
  <c r="N3" i="50"/>
  <c r="M3" i="50"/>
  <c r="L3" i="50"/>
  <c r="K3" i="50"/>
  <c r="J3" i="50"/>
  <c r="I3" i="50"/>
  <c r="H3" i="50"/>
  <c r="F3" i="50"/>
  <c r="E3" i="50"/>
  <c r="D3" i="50"/>
  <c r="C3" i="50"/>
  <c r="O2" i="50"/>
  <c r="O15" i="50" s="1"/>
  <c r="N2" i="50"/>
  <c r="N15" i="50" s="1"/>
  <c r="M2" i="50"/>
  <c r="L2" i="50"/>
  <c r="K2" i="50"/>
  <c r="J2" i="50"/>
  <c r="I2" i="50"/>
  <c r="H2" i="50"/>
  <c r="F2" i="50"/>
  <c r="E2" i="50"/>
  <c r="D2" i="50"/>
  <c r="C2" i="50"/>
  <c r="E160" i="49"/>
  <c r="E159" i="49"/>
  <c r="E158" i="49"/>
  <c r="E157" i="49"/>
  <c r="E156" i="49"/>
  <c r="E155" i="49"/>
  <c r="F154" i="49"/>
  <c r="E154" i="49"/>
  <c r="F153" i="49"/>
  <c r="E153" i="49"/>
  <c r="F152" i="49"/>
  <c r="E152" i="49"/>
  <c r="F151" i="49"/>
  <c r="E151" i="49"/>
  <c r="F150" i="49"/>
  <c r="E150" i="49"/>
  <c r="F149" i="49"/>
  <c r="E149" i="49"/>
  <c r="F148" i="49"/>
  <c r="E148" i="49"/>
  <c r="F147" i="49"/>
  <c r="E147" i="49"/>
  <c r="F146" i="49"/>
  <c r="E146" i="49"/>
  <c r="F145" i="49"/>
  <c r="E145" i="49"/>
  <c r="F144" i="49"/>
  <c r="E144" i="49"/>
  <c r="F143" i="49"/>
  <c r="E143" i="49"/>
  <c r="F142" i="49"/>
  <c r="E142" i="49"/>
  <c r="F141" i="49"/>
  <c r="E141" i="49"/>
  <c r="F140" i="49"/>
  <c r="E140" i="49"/>
  <c r="F139" i="49"/>
  <c r="E139" i="49"/>
  <c r="F138" i="49"/>
  <c r="E138" i="49"/>
  <c r="F137" i="49"/>
  <c r="E137" i="49"/>
  <c r="F136" i="49"/>
  <c r="E136" i="49"/>
  <c r="F135" i="49"/>
  <c r="E135" i="49"/>
  <c r="F134" i="49"/>
  <c r="E134" i="49"/>
  <c r="F133" i="49"/>
  <c r="E133" i="49"/>
  <c r="F132" i="49"/>
  <c r="E132" i="49"/>
  <c r="F131" i="49"/>
  <c r="E131" i="49"/>
  <c r="F130" i="49"/>
  <c r="E130" i="49"/>
  <c r="F129" i="49"/>
  <c r="E129" i="49"/>
  <c r="F128" i="49"/>
  <c r="E128" i="49"/>
  <c r="F127" i="49"/>
  <c r="E127" i="49"/>
  <c r="F126" i="49"/>
  <c r="E126" i="49"/>
  <c r="F125" i="49"/>
  <c r="E125" i="49"/>
  <c r="F124" i="49"/>
  <c r="E124" i="49"/>
  <c r="F123" i="49"/>
  <c r="E123" i="49"/>
  <c r="F122" i="49"/>
  <c r="E122" i="49"/>
  <c r="F121" i="49"/>
  <c r="E121" i="49"/>
  <c r="F120" i="49"/>
  <c r="E120" i="49"/>
  <c r="F119" i="49"/>
  <c r="E119" i="49"/>
  <c r="F118" i="49"/>
  <c r="E118" i="49"/>
  <c r="F117" i="49"/>
  <c r="E117" i="49"/>
  <c r="F116" i="49"/>
  <c r="E116" i="49"/>
  <c r="F115" i="49"/>
  <c r="E115" i="49"/>
  <c r="F114" i="49"/>
  <c r="E114" i="49"/>
  <c r="F113" i="49"/>
  <c r="E113" i="49"/>
  <c r="F112" i="49"/>
  <c r="E112" i="49"/>
  <c r="F111" i="49"/>
  <c r="E111" i="49"/>
  <c r="F110" i="49"/>
  <c r="E110" i="49"/>
  <c r="F109" i="49"/>
  <c r="E109" i="49"/>
  <c r="F108" i="49"/>
  <c r="E108" i="49"/>
  <c r="F107" i="49"/>
  <c r="E107" i="49"/>
  <c r="F106" i="49"/>
  <c r="E106" i="49"/>
  <c r="F105" i="49"/>
  <c r="E105" i="49"/>
  <c r="F104" i="49"/>
  <c r="E104" i="49"/>
  <c r="F103" i="49"/>
  <c r="E103" i="49"/>
  <c r="F102" i="49"/>
  <c r="E102" i="49"/>
  <c r="F101" i="49"/>
  <c r="E101" i="49"/>
  <c r="F100" i="49"/>
  <c r="E100" i="49"/>
  <c r="F99" i="49"/>
  <c r="E99" i="49"/>
  <c r="F98" i="49"/>
  <c r="E98" i="49"/>
  <c r="F97" i="49"/>
  <c r="E97" i="49"/>
  <c r="F96" i="49"/>
  <c r="E96" i="49"/>
  <c r="F95" i="49"/>
  <c r="E95" i="49"/>
  <c r="F94" i="49"/>
  <c r="E94" i="49"/>
  <c r="F93" i="49"/>
  <c r="E93" i="49"/>
  <c r="F92" i="49"/>
  <c r="E92" i="49"/>
  <c r="F91" i="49"/>
  <c r="E91" i="49"/>
  <c r="F90" i="49"/>
  <c r="E90" i="49"/>
  <c r="F89" i="49"/>
  <c r="E89" i="49"/>
  <c r="F88" i="49"/>
  <c r="E88" i="49"/>
  <c r="F87" i="49"/>
  <c r="E87" i="49"/>
  <c r="F86" i="49"/>
  <c r="E86" i="49"/>
  <c r="F85" i="49"/>
  <c r="E85" i="49"/>
  <c r="F84" i="49"/>
  <c r="E84" i="49"/>
  <c r="F83" i="49"/>
  <c r="E83" i="49"/>
  <c r="F82" i="49"/>
  <c r="E82" i="49"/>
  <c r="F81" i="49"/>
  <c r="E81" i="49"/>
  <c r="F80" i="49"/>
  <c r="E80" i="49"/>
  <c r="F79" i="49"/>
  <c r="E79" i="49"/>
  <c r="F78" i="49"/>
  <c r="E78" i="49"/>
  <c r="F77" i="49"/>
  <c r="E77" i="49"/>
  <c r="F76" i="49"/>
  <c r="E76" i="49"/>
  <c r="F75" i="49"/>
  <c r="E75" i="49"/>
  <c r="F74" i="49"/>
  <c r="E74" i="49"/>
  <c r="F73" i="49"/>
  <c r="E73" i="49"/>
  <c r="F72" i="49"/>
  <c r="E72" i="49"/>
  <c r="F71" i="49"/>
  <c r="E71" i="49"/>
  <c r="F70" i="49"/>
  <c r="E70" i="49"/>
  <c r="F69" i="49"/>
  <c r="E69" i="49"/>
  <c r="F68" i="49"/>
  <c r="E68" i="49"/>
  <c r="F67" i="49"/>
  <c r="E67" i="49"/>
  <c r="F66" i="49"/>
  <c r="E66" i="49"/>
  <c r="F65" i="49"/>
  <c r="E65" i="49"/>
  <c r="F64" i="49"/>
  <c r="E64" i="49"/>
  <c r="F63" i="49"/>
  <c r="E63" i="49"/>
  <c r="F62" i="49"/>
  <c r="E62" i="49"/>
  <c r="F61" i="49"/>
  <c r="E61" i="49"/>
  <c r="F60" i="49"/>
  <c r="E60" i="49"/>
  <c r="E59" i="49"/>
  <c r="F58" i="49"/>
  <c r="E58" i="49"/>
  <c r="F57" i="49"/>
  <c r="E57" i="49"/>
  <c r="F56" i="49"/>
  <c r="E56" i="49"/>
  <c r="F55" i="49"/>
  <c r="E55" i="49"/>
  <c r="F54" i="49"/>
  <c r="E54" i="49"/>
  <c r="F53" i="49"/>
  <c r="E53" i="49"/>
  <c r="F52" i="49"/>
  <c r="E52" i="49"/>
  <c r="F51" i="49"/>
  <c r="E51" i="49"/>
  <c r="F50" i="49"/>
  <c r="E50" i="49"/>
  <c r="F49" i="49"/>
  <c r="E49" i="49"/>
  <c r="F48" i="49"/>
  <c r="E48" i="49"/>
  <c r="F47" i="49"/>
  <c r="E47" i="49"/>
  <c r="F46" i="49"/>
  <c r="E46" i="49"/>
  <c r="F45" i="49"/>
  <c r="E45" i="49"/>
  <c r="F44" i="49"/>
  <c r="E44" i="49"/>
  <c r="F43" i="49"/>
  <c r="E43" i="49"/>
  <c r="F42" i="49"/>
  <c r="E42" i="49"/>
  <c r="F41" i="49"/>
  <c r="E41" i="49"/>
  <c r="F40" i="49"/>
  <c r="E40" i="49"/>
  <c r="F39" i="49"/>
  <c r="E39" i="49"/>
  <c r="F38" i="49"/>
  <c r="E38" i="49"/>
  <c r="F37" i="49"/>
  <c r="E37" i="49"/>
  <c r="F36" i="49"/>
  <c r="E36" i="49"/>
  <c r="F35" i="49"/>
  <c r="E35" i="49"/>
  <c r="O34" i="49"/>
  <c r="N34" i="49"/>
  <c r="M34" i="49"/>
  <c r="L34" i="49"/>
  <c r="K34" i="49"/>
  <c r="J34" i="49"/>
  <c r="I34" i="49"/>
  <c r="H34" i="49"/>
  <c r="F34" i="49"/>
  <c r="E34" i="49"/>
  <c r="D34" i="49"/>
  <c r="C34" i="49"/>
  <c r="O33" i="49"/>
  <c r="N33" i="49"/>
  <c r="M33" i="49"/>
  <c r="L33" i="49"/>
  <c r="K33" i="49"/>
  <c r="J33" i="49"/>
  <c r="I33" i="49"/>
  <c r="H33" i="49"/>
  <c r="F33" i="49"/>
  <c r="E33" i="49"/>
  <c r="D33" i="49"/>
  <c r="C33" i="49"/>
  <c r="O32" i="49"/>
  <c r="N32" i="49"/>
  <c r="M32" i="49"/>
  <c r="L32" i="49"/>
  <c r="K32" i="49"/>
  <c r="J32" i="49"/>
  <c r="I32" i="49"/>
  <c r="H32" i="49"/>
  <c r="F32" i="49"/>
  <c r="E32" i="49"/>
  <c r="D32" i="49"/>
  <c r="C32" i="49"/>
  <c r="O31" i="49"/>
  <c r="N31" i="49"/>
  <c r="M31" i="49"/>
  <c r="L31" i="49"/>
  <c r="K31" i="49"/>
  <c r="J31" i="49"/>
  <c r="I31" i="49"/>
  <c r="H31" i="49"/>
  <c r="F31" i="49"/>
  <c r="E31" i="49"/>
  <c r="D31" i="49"/>
  <c r="C31" i="49"/>
  <c r="O30" i="49"/>
  <c r="N30" i="49"/>
  <c r="M30" i="49"/>
  <c r="L30" i="49"/>
  <c r="K30" i="49"/>
  <c r="J30" i="49"/>
  <c r="I30" i="49"/>
  <c r="H30" i="49"/>
  <c r="F30" i="49"/>
  <c r="E30" i="49"/>
  <c r="D30" i="49"/>
  <c r="C30" i="49"/>
  <c r="O29" i="49"/>
  <c r="N29" i="49"/>
  <c r="M29" i="49"/>
  <c r="L29" i="49"/>
  <c r="K29" i="49"/>
  <c r="J29" i="49"/>
  <c r="I29" i="49"/>
  <c r="H29" i="49"/>
  <c r="F29" i="49"/>
  <c r="E29" i="49"/>
  <c r="D29" i="49"/>
  <c r="C29" i="49"/>
  <c r="F28" i="49"/>
  <c r="E28" i="49"/>
  <c r="D28" i="49"/>
  <c r="C28" i="49"/>
  <c r="F27" i="49"/>
  <c r="E27" i="49"/>
  <c r="D27" i="49"/>
  <c r="C27" i="49"/>
  <c r="O26" i="49"/>
  <c r="N26" i="49"/>
  <c r="M26" i="49"/>
  <c r="L26" i="49"/>
  <c r="K26" i="49"/>
  <c r="J26" i="49"/>
  <c r="I26" i="49"/>
  <c r="H26" i="49"/>
  <c r="F26" i="49"/>
  <c r="E26" i="49"/>
  <c r="D26" i="49"/>
  <c r="C26" i="49"/>
  <c r="O25" i="49"/>
  <c r="N25" i="49"/>
  <c r="M25" i="49"/>
  <c r="L25" i="49"/>
  <c r="K25" i="49"/>
  <c r="J25" i="49"/>
  <c r="I25" i="49"/>
  <c r="H25" i="49"/>
  <c r="F25" i="49"/>
  <c r="E25" i="49"/>
  <c r="D25" i="49"/>
  <c r="C25" i="49"/>
  <c r="O24" i="49"/>
  <c r="N24" i="49"/>
  <c r="M24" i="49"/>
  <c r="L24" i="49"/>
  <c r="K24" i="49"/>
  <c r="J24" i="49"/>
  <c r="I24" i="49"/>
  <c r="H24" i="49"/>
  <c r="F24" i="49"/>
  <c r="E24" i="49"/>
  <c r="D24" i="49"/>
  <c r="C24" i="49"/>
  <c r="F23" i="49"/>
  <c r="E23" i="49"/>
  <c r="D23" i="49"/>
  <c r="C23" i="49"/>
  <c r="O22" i="49"/>
  <c r="N22" i="49"/>
  <c r="M22" i="49"/>
  <c r="L22" i="49"/>
  <c r="K22" i="49"/>
  <c r="J22" i="49"/>
  <c r="I22" i="49"/>
  <c r="H22" i="49"/>
  <c r="F22" i="49"/>
  <c r="E22" i="49"/>
  <c r="D22" i="49"/>
  <c r="C22" i="49"/>
  <c r="O21" i="49"/>
  <c r="N21" i="49"/>
  <c r="M21" i="49"/>
  <c r="L21" i="49"/>
  <c r="K21" i="49"/>
  <c r="J21" i="49"/>
  <c r="I21" i="49"/>
  <c r="H21" i="49"/>
  <c r="F21" i="49"/>
  <c r="E21" i="49"/>
  <c r="D21" i="49"/>
  <c r="C21" i="49"/>
  <c r="F20" i="49"/>
  <c r="E20" i="49"/>
  <c r="D20" i="49"/>
  <c r="C20" i="49"/>
  <c r="O19" i="49"/>
  <c r="N19" i="49"/>
  <c r="M19" i="49"/>
  <c r="L19" i="49"/>
  <c r="K19" i="49"/>
  <c r="J19" i="49"/>
  <c r="I19" i="49"/>
  <c r="H19" i="49"/>
  <c r="F19" i="49"/>
  <c r="E19" i="49"/>
  <c r="D19" i="49"/>
  <c r="C19" i="49"/>
  <c r="O18" i="49"/>
  <c r="N18" i="49"/>
  <c r="M18" i="49"/>
  <c r="L18" i="49"/>
  <c r="K18" i="49"/>
  <c r="J18" i="49"/>
  <c r="I18" i="49"/>
  <c r="H18" i="49"/>
  <c r="F18" i="49"/>
  <c r="E18" i="49"/>
  <c r="D18" i="49"/>
  <c r="C18" i="49"/>
  <c r="O17" i="49"/>
  <c r="N17" i="49"/>
  <c r="M17" i="49"/>
  <c r="L17" i="49"/>
  <c r="K17" i="49"/>
  <c r="J17" i="49"/>
  <c r="I17" i="49"/>
  <c r="H17" i="49"/>
  <c r="F17" i="49"/>
  <c r="E17" i="49"/>
  <c r="D17" i="49"/>
  <c r="C17" i="49"/>
  <c r="O16" i="49"/>
  <c r="N16" i="49"/>
  <c r="M16" i="49"/>
  <c r="L16" i="49"/>
  <c r="K16" i="49"/>
  <c r="J16" i="49"/>
  <c r="I16" i="49"/>
  <c r="H16" i="49"/>
  <c r="F16" i="49"/>
  <c r="E16" i="49"/>
  <c r="D16" i="49"/>
  <c r="C16" i="49"/>
  <c r="F15" i="49"/>
  <c r="E15" i="49"/>
  <c r="D15" i="49"/>
  <c r="C15" i="49"/>
  <c r="F14" i="49"/>
  <c r="E14" i="49"/>
  <c r="D14" i="49"/>
  <c r="C14" i="49"/>
  <c r="O13" i="49"/>
  <c r="N13" i="49"/>
  <c r="M13" i="49"/>
  <c r="L13" i="49"/>
  <c r="K13" i="49"/>
  <c r="J13" i="49"/>
  <c r="I13" i="49"/>
  <c r="H13" i="49"/>
  <c r="F13" i="49"/>
  <c r="E13" i="49"/>
  <c r="D13" i="49"/>
  <c r="C13" i="49"/>
  <c r="O12" i="49"/>
  <c r="N12" i="49"/>
  <c r="M12" i="49"/>
  <c r="L12" i="49"/>
  <c r="K12" i="49"/>
  <c r="J12" i="49"/>
  <c r="I12" i="49"/>
  <c r="H12" i="49"/>
  <c r="F12" i="49"/>
  <c r="E12" i="49"/>
  <c r="D12" i="49"/>
  <c r="C12" i="49"/>
  <c r="O11" i="49"/>
  <c r="N11" i="49"/>
  <c r="M11" i="49"/>
  <c r="L11" i="49"/>
  <c r="K11" i="49"/>
  <c r="J11" i="49"/>
  <c r="I11" i="49"/>
  <c r="H11" i="49"/>
  <c r="F11" i="49"/>
  <c r="E11" i="49"/>
  <c r="D11" i="49"/>
  <c r="C11" i="49"/>
  <c r="O10" i="49"/>
  <c r="N10" i="49"/>
  <c r="M10" i="49"/>
  <c r="L10" i="49"/>
  <c r="K10" i="49"/>
  <c r="J10" i="49"/>
  <c r="I10" i="49"/>
  <c r="H10" i="49"/>
  <c r="F10" i="49"/>
  <c r="E10" i="49"/>
  <c r="D10" i="49"/>
  <c r="C10" i="49"/>
  <c r="O9" i="49"/>
  <c r="N9" i="49"/>
  <c r="M9" i="49"/>
  <c r="L9" i="49"/>
  <c r="K9" i="49"/>
  <c r="J9" i="49"/>
  <c r="I9" i="49"/>
  <c r="H9" i="49"/>
  <c r="F9" i="49"/>
  <c r="E9" i="49"/>
  <c r="D9" i="49"/>
  <c r="C9" i="49"/>
  <c r="O8" i="49"/>
  <c r="N8" i="49"/>
  <c r="M8" i="49"/>
  <c r="L8" i="49"/>
  <c r="K8" i="49"/>
  <c r="J8" i="49"/>
  <c r="I8" i="49"/>
  <c r="H8" i="49"/>
  <c r="F8" i="49"/>
  <c r="E8" i="49"/>
  <c r="D8" i="49"/>
  <c r="C8" i="49"/>
  <c r="O7" i="49"/>
  <c r="N7" i="49"/>
  <c r="M7" i="49"/>
  <c r="L7" i="49"/>
  <c r="K7" i="49"/>
  <c r="J7" i="49"/>
  <c r="I7" i="49"/>
  <c r="H7" i="49"/>
  <c r="F7" i="49"/>
  <c r="E7" i="49"/>
  <c r="D7" i="49"/>
  <c r="C7" i="49"/>
  <c r="O6" i="49"/>
  <c r="N6" i="49"/>
  <c r="M6" i="49"/>
  <c r="L6" i="49"/>
  <c r="K6" i="49"/>
  <c r="J6" i="49"/>
  <c r="I6" i="49"/>
  <c r="H6" i="49"/>
  <c r="F6" i="49"/>
  <c r="E6" i="49"/>
  <c r="D6" i="49"/>
  <c r="C6" i="49"/>
  <c r="O5" i="49"/>
  <c r="N5" i="49"/>
  <c r="M5" i="49"/>
  <c r="L5" i="49"/>
  <c r="K5" i="49"/>
  <c r="J5" i="49"/>
  <c r="I5" i="49"/>
  <c r="H5" i="49"/>
  <c r="F5" i="49"/>
  <c r="E5" i="49"/>
  <c r="D5" i="49"/>
  <c r="C5" i="49"/>
  <c r="O4" i="49"/>
  <c r="N4" i="49"/>
  <c r="M4" i="49"/>
  <c r="L4" i="49"/>
  <c r="K4" i="49"/>
  <c r="J4" i="49"/>
  <c r="I4" i="49"/>
  <c r="H4" i="49"/>
  <c r="F4" i="49"/>
  <c r="E4" i="49"/>
  <c r="D4" i="49"/>
  <c r="C4" i="49"/>
  <c r="O3" i="49"/>
  <c r="N3" i="49"/>
  <c r="M3" i="49"/>
  <c r="L3" i="49"/>
  <c r="K3" i="49"/>
  <c r="J3" i="49"/>
  <c r="I3" i="49"/>
  <c r="H3" i="49"/>
  <c r="F3" i="49"/>
  <c r="E3" i="49"/>
  <c r="D3" i="49"/>
  <c r="C3" i="49"/>
  <c r="O2" i="49"/>
  <c r="N2" i="49"/>
  <c r="M2" i="49"/>
  <c r="L2" i="49"/>
  <c r="K2" i="49"/>
  <c r="J2" i="49"/>
  <c r="I2" i="49"/>
  <c r="H2" i="49"/>
  <c r="F2" i="49"/>
  <c r="E2" i="49"/>
  <c r="D2" i="49"/>
  <c r="C2" i="49"/>
  <c r="F14" i="48"/>
  <c r="E14" i="48"/>
  <c r="F13" i="48"/>
  <c r="E13" i="48"/>
  <c r="F12" i="48"/>
  <c r="E12" i="48"/>
  <c r="F11" i="48"/>
  <c r="E11" i="48"/>
  <c r="F10" i="48"/>
  <c r="E10" i="48"/>
  <c r="F9" i="48"/>
  <c r="E9" i="48"/>
  <c r="F8" i="48"/>
  <c r="E8" i="48"/>
  <c r="O7" i="48"/>
  <c r="N7" i="48"/>
  <c r="M7" i="48"/>
  <c r="L7" i="48"/>
  <c r="K7" i="48"/>
  <c r="J7" i="48"/>
  <c r="I7" i="48"/>
  <c r="H7" i="48"/>
  <c r="F7" i="48"/>
  <c r="E7" i="48"/>
  <c r="D7" i="48"/>
  <c r="C7" i="48"/>
  <c r="O6" i="48"/>
  <c r="N6" i="48"/>
  <c r="M6" i="48"/>
  <c r="L6" i="48"/>
  <c r="K6" i="48"/>
  <c r="J6" i="48"/>
  <c r="I6" i="48"/>
  <c r="H6" i="48"/>
  <c r="F6" i="48"/>
  <c r="E6" i="48"/>
  <c r="D6" i="48"/>
  <c r="C6" i="48"/>
  <c r="O5" i="48"/>
  <c r="N5" i="48"/>
  <c r="M5" i="48"/>
  <c r="L5" i="48"/>
  <c r="K5" i="48"/>
  <c r="J5" i="48"/>
  <c r="I5" i="48"/>
  <c r="I16" i="48" s="1"/>
  <c r="H5" i="48"/>
  <c r="F5" i="48"/>
  <c r="E5" i="48"/>
  <c r="D5" i="48"/>
  <c r="C5" i="48"/>
  <c r="O4" i="48"/>
  <c r="N4" i="48"/>
  <c r="M4" i="48"/>
  <c r="L4" i="48"/>
  <c r="K4" i="48"/>
  <c r="J4" i="48"/>
  <c r="I4" i="48"/>
  <c r="H4" i="48"/>
  <c r="F4" i="48"/>
  <c r="E4" i="48"/>
  <c r="D4" i="48"/>
  <c r="C4" i="48"/>
  <c r="F3" i="48"/>
  <c r="E3" i="48"/>
  <c r="D3" i="48"/>
  <c r="C3" i="48"/>
  <c r="O2" i="48"/>
  <c r="N2" i="48"/>
  <c r="M2" i="48"/>
  <c r="L2" i="48"/>
  <c r="K2" i="48"/>
  <c r="K16" i="48" s="1"/>
  <c r="J2" i="48"/>
  <c r="I2" i="48"/>
  <c r="H2" i="48"/>
  <c r="F2" i="48"/>
  <c r="E2" i="48"/>
  <c r="D2" i="48"/>
  <c r="C2" i="48"/>
  <c r="Y17" i="47"/>
  <c r="X17" i="47"/>
  <c r="W17" i="47"/>
  <c r="V17" i="47"/>
  <c r="T17" i="47"/>
  <c r="S17" i="47"/>
  <c r="U17" i="47" s="1"/>
  <c r="R17" i="47"/>
  <c r="Q17" i="47"/>
  <c r="P17" i="47"/>
  <c r="F15" i="47"/>
  <c r="E15" i="47"/>
  <c r="D15" i="47"/>
  <c r="C15" i="47"/>
  <c r="F14" i="47"/>
  <c r="E14" i="47"/>
  <c r="D14" i="47"/>
  <c r="C14" i="47"/>
  <c r="F13" i="47"/>
  <c r="E13" i="47"/>
  <c r="D13" i="47"/>
  <c r="C13" i="47"/>
  <c r="F12" i="47"/>
  <c r="E12" i="47"/>
  <c r="D12" i="47"/>
  <c r="C12" i="47"/>
  <c r="F11" i="47"/>
  <c r="E11" i="47"/>
  <c r="D11" i="47"/>
  <c r="C11" i="47"/>
  <c r="O10" i="47"/>
  <c r="N10" i="47"/>
  <c r="M10" i="47"/>
  <c r="L10" i="47"/>
  <c r="K10" i="47"/>
  <c r="J10" i="47"/>
  <c r="I10" i="47"/>
  <c r="H10" i="47"/>
  <c r="F10" i="47"/>
  <c r="E10" i="47"/>
  <c r="D10" i="47"/>
  <c r="C10" i="47"/>
  <c r="F9" i="47"/>
  <c r="E9" i="47"/>
  <c r="D9" i="47"/>
  <c r="C9" i="47"/>
  <c r="F8" i="47"/>
  <c r="E8" i="47"/>
  <c r="D8" i="47"/>
  <c r="C8" i="47"/>
  <c r="F7" i="47"/>
  <c r="E7" i="47"/>
  <c r="D7" i="47"/>
  <c r="C7" i="47"/>
  <c r="F6" i="47"/>
  <c r="E6" i="47"/>
  <c r="D6" i="47"/>
  <c r="C6" i="47"/>
  <c r="F5" i="47"/>
  <c r="E5" i="47"/>
  <c r="D5" i="47"/>
  <c r="C5" i="47"/>
  <c r="F4" i="47"/>
  <c r="E4" i="47"/>
  <c r="D4" i="47"/>
  <c r="C4" i="47"/>
  <c r="F3" i="47"/>
  <c r="E3" i="47"/>
  <c r="D3" i="47"/>
  <c r="C3" i="47"/>
  <c r="F2" i="47"/>
  <c r="E2" i="47"/>
  <c r="D2" i="47"/>
  <c r="C2" i="47"/>
  <c r="F9" i="46"/>
  <c r="E9" i="46"/>
  <c r="D9" i="46"/>
  <c r="C9" i="46"/>
  <c r="F8" i="46"/>
  <c r="E8" i="46"/>
  <c r="D8" i="46"/>
  <c r="C8" i="46"/>
  <c r="F7" i="46"/>
  <c r="E7" i="46"/>
  <c r="D7" i="46"/>
  <c r="C7" i="46"/>
  <c r="F6" i="46"/>
  <c r="E6" i="46"/>
  <c r="D6" i="46"/>
  <c r="C6" i="46"/>
  <c r="F5" i="46"/>
  <c r="E5" i="46"/>
  <c r="D5" i="46"/>
  <c r="C5" i="46"/>
  <c r="F4" i="46"/>
  <c r="E4" i="46"/>
  <c r="D4" i="46"/>
  <c r="C4" i="46"/>
  <c r="F3" i="46"/>
  <c r="E3" i="46"/>
  <c r="D3" i="46"/>
  <c r="C3" i="46"/>
  <c r="F2" i="46"/>
  <c r="E2" i="46"/>
  <c r="D2" i="46"/>
  <c r="C2" i="46"/>
  <c r="F11" i="45"/>
  <c r="E11" i="45"/>
  <c r="D11" i="45"/>
  <c r="C11" i="45"/>
  <c r="F10" i="45"/>
  <c r="E10" i="45"/>
  <c r="D10" i="45"/>
  <c r="C10" i="45"/>
  <c r="F9" i="45"/>
  <c r="E9" i="45"/>
  <c r="D9" i="45"/>
  <c r="C9" i="45"/>
  <c r="F8" i="45"/>
  <c r="E8" i="45"/>
  <c r="D8" i="45"/>
  <c r="C8" i="45"/>
  <c r="F7" i="45"/>
  <c r="E7" i="45"/>
  <c r="D7" i="45"/>
  <c r="C7" i="45"/>
  <c r="F6" i="45"/>
  <c r="E6" i="45"/>
  <c r="D6" i="45"/>
  <c r="C6" i="45"/>
  <c r="F5" i="45"/>
  <c r="E5" i="45"/>
  <c r="D5" i="45"/>
  <c r="C5" i="45"/>
  <c r="F4" i="45"/>
  <c r="E4" i="45"/>
  <c r="D4" i="45"/>
  <c r="C4" i="45"/>
  <c r="F3" i="45"/>
  <c r="E3" i="45"/>
  <c r="D3" i="45"/>
  <c r="C3" i="45"/>
  <c r="F2" i="45"/>
  <c r="E2" i="45"/>
  <c r="D2" i="45"/>
  <c r="C2" i="45"/>
  <c r="O3" i="44"/>
  <c r="N3" i="44"/>
  <c r="M3" i="44"/>
  <c r="L3" i="44"/>
  <c r="K3" i="44"/>
  <c r="K5" i="44" s="1"/>
  <c r="J3" i="44"/>
  <c r="I3" i="44"/>
  <c r="H3" i="44"/>
  <c r="F3" i="44"/>
  <c r="E3" i="44"/>
  <c r="D3" i="44"/>
  <c r="C3" i="44"/>
  <c r="O2" i="44"/>
  <c r="N2" i="44"/>
  <c r="N5" i="44" s="1"/>
  <c r="M2" i="44"/>
  <c r="L2" i="44"/>
  <c r="K2" i="44"/>
  <c r="J2" i="44"/>
  <c r="J5" i="44" s="1"/>
  <c r="I2" i="44"/>
  <c r="H2" i="44"/>
  <c r="F2" i="44"/>
  <c r="E2" i="44"/>
  <c r="D2" i="44"/>
  <c r="C2" i="44"/>
  <c r="F10" i="43"/>
  <c r="E10" i="43"/>
  <c r="D10" i="43"/>
  <c r="C10" i="43"/>
  <c r="F9" i="43"/>
  <c r="E9" i="43"/>
  <c r="D9" i="43"/>
  <c r="C9" i="43"/>
  <c r="F8" i="43"/>
  <c r="E8" i="43"/>
  <c r="D8" i="43"/>
  <c r="C8" i="43"/>
  <c r="F7" i="43"/>
  <c r="E7" i="43"/>
  <c r="D7" i="43"/>
  <c r="C7" i="43"/>
  <c r="F6" i="43"/>
  <c r="E6" i="43"/>
  <c r="D6" i="43"/>
  <c r="C6" i="43"/>
  <c r="F5" i="43"/>
  <c r="E5" i="43"/>
  <c r="D5" i="43"/>
  <c r="C5" i="43"/>
  <c r="F4" i="43"/>
  <c r="E4" i="43"/>
  <c r="D4" i="43"/>
  <c r="C4" i="43"/>
  <c r="F3" i="43"/>
  <c r="E3" i="43"/>
  <c r="D3" i="43"/>
  <c r="C3" i="43"/>
  <c r="F2" i="43"/>
  <c r="E2" i="43"/>
  <c r="D2" i="43"/>
  <c r="C2" i="43"/>
  <c r="F6" i="42"/>
  <c r="E6" i="42"/>
  <c r="F5" i="42"/>
  <c r="E5" i="42"/>
  <c r="F4" i="42"/>
  <c r="E4" i="42"/>
  <c r="O3" i="42"/>
  <c r="N3" i="42"/>
  <c r="M3" i="42"/>
  <c r="L3" i="42"/>
  <c r="L8" i="42" s="1"/>
  <c r="K3" i="42"/>
  <c r="J3" i="42"/>
  <c r="I3" i="42"/>
  <c r="H3" i="42"/>
  <c r="F3" i="42"/>
  <c r="E3" i="42"/>
  <c r="D3" i="42"/>
  <c r="C3" i="42"/>
  <c r="O2" i="42"/>
  <c r="N2" i="42"/>
  <c r="M2" i="42"/>
  <c r="L2" i="42"/>
  <c r="K2" i="42"/>
  <c r="J2" i="42"/>
  <c r="J8" i="42" s="1"/>
  <c r="I2" i="42"/>
  <c r="H2" i="42"/>
  <c r="H8" i="42" s="1"/>
  <c r="F2" i="42"/>
  <c r="E2" i="42"/>
  <c r="D2" i="42"/>
  <c r="C2" i="42"/>
  <c r="F11" i="41"/>
  <c r="E11" i="41"/>
  <c r="D11" i="41"/>
  <c r="C11" i="41"/>
  <c r="F10" i="41"/>
  <c r="E10" i="41"/>
  <c r="D10" i="41"/>
  <c r="C10" i="41"/>
  <c r="F9" i="41"/>
  <c r="E9" i="41"/>
  <c r="D9" i="41"/>
  <c r="C9" i="41"/>
  <c r="F8" i="41"/>
  <c r="E8" i="41"/>
  <c r="D8" i="41"/>
  <c r="C8" i="41"/>
  <c r="F7" i="41"/>
  <c r="E7" i="41"/>
  <c r="D7" i="41"/>
  <c r="C7" i="41"/>
  <c r="F6" i="41"/>
  <c r="E6" i="41"/>
  <c r="D6" i="41"/>
  <c r="C6" i="41"/>
  <c r="O5" i="41"/>
  <c r="N5" i="41"/>
  <c r="M5" i="41"/>
  <c r="L5" i="41"/>
  <c r="K5" i="41"/>
  <c r="J5" i="41"/>
  <c r="I5" i="41"/>
  <c r="H5" i="41"/>
  <c r="F5" i="41"/>
  <c r="E5" i="41"/>
  <c r="D5" i="41"/>
  <c r="C5" i="41"/>
  <c r="F4" i="41"/>
  <c r="E4" i="41"/>
  <c r="D4" i="41"/>
  <c r="C4" i="41"/>
  <c r="O3" i="41"/>
  <c r="N3" i="41"/>
  <c r="N13" i="41" s="1"/>
  <c r="M3" i="41"/>
  <c r="L3" i="41"/>
  <c r="K3" i="41"/>
  <c r="J3" i="41"/>
  <c r="I3" i="41"/>
  <c r="H3" i="41"/>
  <c r="F3" i="41"/>
  <c r="E3" i="41"/>
  <c r="D3" i="41"/>
  <c r="C3" i="41"/>
  <c r="O2" i="41"/>
  <c r="O13" i="41" s="1"/>
  <c r="N2" i="41"/>
  <c r="M2" i="41"/>
  <c r="L2" i="41"/>
  <c r="K2" i="41"/>
  <c r="J2" i="41"/>
  <c r="J13" i="41" s="1"/>
  <c r="I2" i="41"/>
  <c r="H2" i="41"/>
  <c r="F2" i="41"/>
  <c r="E2" i="41"/>
  <c r="D2" i="41"/>
  <c r="C2" i="41"/>
  <c r="F51" i="40"/>
  <c r="E51" i="40"/>
  <c r="F50" i="40"/>
  <c r="E50" i="40"/>
  <c r="F49" i="40"/>
  <c r="E49" i="40"/>
  <c r="F48" i="40"/>
  <c r="E48" i="40"/>
  <c r="F47" i="40"/>
  <c r="E47" i="40"/>
  <c r="F46" i="40"/>
  <c r="E46" i="40"/>
  <c r="F45" i="40"/>
  <c r="E45" i="40"/>
  <c r="F44" i="40"/>
  <c r="E44" i="40"/>
  <c r="F43" i="40"/>
  <c r="E43" i="40"/>
  <c r="F42" i="40"/>
  <c r="E42" i="40"/>
  <c r="F41" i="40"/>
  <c r="E41" i="40"/>
  <c r="F40" i="40"/>
  <c r="E40" i="40"/>
  <c r="F39" i="40"/>
  <c r="E39" i="40"/>
  <c r="F38" i="40"/>
  <c r="E38" i="40"/>
  <c r="F37" i="40"/>
  <c r="E37" i="40"/>
  <c r="F36" i="40"/>
  <c r="E36" i="40"/>
  <c r="F35" i="40"/>
  <c r="E35" i="40"/>
  <c r="F34" i="40"/>
  <c r="E34" i="40"/>
  <c r="F33" i="40"/>
  <c r="E33" i="40"/>
  <c r="F32" i="40"/>
  <c r="E32" i="40"/>
  <c r="F31" i="40"/>
  <c r="E31" i="40"/>
  <c r="F30" i="40"/>
  <c r="E30" i="40"/>
  <c r="F29" i="40"/>
  <c r="E29" i="40"/>
  <c r="F28" i="40"/>
  <c r="E28" i="40"/>
  <c r="F27" i="40"/>
  <c r="E27" i="40"/>
  <c r="F26" i="40"/>
  <c r="E26" i="40"/>
  <c r="F25" i="40"/>
  <c r="E25" i="40"/>
  <c r="F24" i="40"/>
  <c r="E24" i="40"/>
  <c r="F23" i="40"/>
  <c r="E23" i="40"/>
  <c r="F22" i="40"/>
  <c r="E22" i="40"/>
  <c r="F21" i="40"/>
  <c r="E21" i="40"/>
  <c r="F20" i="40"/>
  <c r="E20" i="40"/>
  <c r="F19" i="40"/>
  <c r="E19" i="40"/>
  <c r="F18" i="40"/>
  <c r="E18" i="40"/>
  <c r="F17" i="40"/>
  <c r="E17" i="40"/>
  <c r="F16" i="40"/>
  <c r="E16" i="40"/>
  <c r="F15" i="40"/>
  <c r="E15" i="40"/>
  <c r="F14" i="40"/>
  <c r="E14" i="40"/>
  <c r="F13" i="40"/>
  <c r="E13" i="40"/>
  <c r="F12" i="40"/>
  <c r="E12" i="40"/>
  <c r="F11" i="40"/>
  <c r="E11" i="40"/>
  <c r="F10" i="40"/>
  <c r="E10" i="40"/>
  <c r="F9" i="40"/>
  <c r="E9" i="40"/>
  <c r="F8" i="40"/>
  <c r="E8" i="40"/>
  <c r="O7" i="40"/>
  <c r="N7" i="40"/>
  <c r="M7" i="40"/>
  <c r="L7" i="40"/>
  <c r="K7" i="40"/>
  <c r="J7" i="40"/>
  <c r="I7" i="40"/>
  <c r="H7" i="40"/>
  <c r="F7" i="40"/>
  <c r="E7" i="40"/>
  <c r="D7" i="40"/>
  <c r="C7" i="40"/>
  <c r="F6" i="40"/>
  <c r="E6" i="40"/>
  <c r="D6" i="40"/>
  <c r="C6" i="40"/>
  <c r="F5" i="40"/>
  <c r="E5" i="40"/>
  <c r="D5" i="40"/>
  <c r="C5" i="40"/>
  <c r="O4" i="40"/>
  <c r="N4" i="40"/>
  <c r="M4" i="40"/>
  <c r="L4" i="40"/>
  <c r="K4" i="40"/>
  <c r="J4" i="40"/>
  <c r="I4" i="40"/>
  <c r="H4" i="40"/>
  <c r="F4" i="40"/>
  <c r="E4" i="40"/>
  <c r="D4" i="40"/>
  <c r="C4" i="40"/>
  <c r="O3" i="40"/>
  <c r="N3" i="40"/>
  <c r="M3" i="40"/>
  <c r="L3" i="40"/>
  <c r="K3" i="40"/>
  <c r="J3" i="40"/>
  <c r="I3" i="40"/>
  <c r="H3" i="40"/>
  <c r="F3" i="40"/>
  <c r="E3" i="40"/>
  <c r="D3" i="40"/>
  <c r="C3" i="40"/>
  <c r="O2" i="40"/>
  <c r="N2" i="40"/>
  <c r="M2" i="40"/>
  <c r="L2" i="40"/>
  <c r="K2" i="40"/>
  <c r="J2" i="40"/>
  <c r="I2" i="40"/>
  <c r="H2" i="40"/>
  <c r="H53" i="40" s="1"/>
  <c r="F2" i="40"/>
  <c r="E2" i="40"/>
  <c r="D2" i="40"/>
  <c r="C2" i="40"/>
  <c r="F24" i="39"/>
  <c r="E24" i="39"/>
  <c r="F23" i="39"/>
  <c r="E23" i="39"/>
  <c r="F22" i="39"/>
  <c r="E22" i="39"/>
  <c r="F21" i="39"/>
  <c r="E21" i="39"/>
  <c r="F20" i="39"/>
  <c r="E20" i="39"/>
  <c r="F19" i="39"/>
  <c r="E19" i="39"/>
  <c r="F18" i="39"/>
  <c r="E18" i="39"/>
  <c r="F17" i="39"/>
  <c r="E17" i="39"/>
  <c r="F16" i="39"/>
  <c r="E16" i="39"/>
  <c r="F15" i="39"/>
  <c r="E15" i="39"/>
  <c r="F14" i="39"/>
  <c r="E14" i="39"/>
  <c r="O13" i="39"/>
  <c r="N13" i="39"/>
  <c r="M13" i="39"/>
  <c r="L13" i="39"/>
  <c r="K13" i="39"/>
  <c r="J13" i="39"/>
  <c r="I13" i="39"/>
  <c r="H13" i="39"/>
  <c r="F13" i="39"/>
  <c r="E13" i="39"/>
  <c r="D13" i="39"/>
  <c r="C13" i="39"/>
  <c r="O12" i="39"/>
  <c r="N12" i="39"/>
  <c r="M12" i="39"/>
  <c r="L12" i="39"/>
  <c r="K12" i="39"/>
  <c r="J12" i="39"/>
  <c r="I12" i="39"/>
  <c r="H12" i="39"/>
  <c r="F12" i="39"/>
  <c r="E12" i="39"/>
  <c r="D12" i="39"/>
  <c r="C12" i="39"/>
  <c r="O11" i="39"/>
  <c r="N11" i="39"/>
  <c r="M11" i="39"/>
  <c r="L11" i="39"/>
  <c r="K11" i="39"/>
  <c r="J11" i="39"/>
  <c r="I11" i="39"/>
  <c r="H11" i="39"/>
  <c r="F11" i="39"/>
  <c r="E11" i="39"/>
  <c r="D11" i="39"/>
  <c r="C11" i="39"/>
  <c r="O10" i="39"/>
  <c r="N10" i="39"/>
  <c r="M10" i="39"/>
  <c r="L10" i="39"/>
  <c r="K10" i="39"/>
  <c r="J10" i="39"/>
  <c r="I10" i="39"/>
  <c r="H10" i="39"/>
  <c r="F10" i="39"/>
  <c r="E10" i="39"/>
  <c r="D10" i="39"/>
  <c r="C10" i="39"/>
  <c r="O9" i="39"/>
  <c r="N9" i="39"/>
  <c r="M9" i="39"/>
  <c r="L9" i="39"/>
  <c r="K9" i="39"/>
  <c r="J9" i="39"/>
  <c r="I9" i="39"/>
  <c r="H9" i="39"/>
  <c r="F9" i="39"/>
  <c r="E9" i="39"/>
  <c r="D9" i="39"/>
  <c r="C9" i="39"/>
  <c r="O8" i="39"/>
  <c r="N8" i="39"/>
  <c r="M8" i="39"/>
  <c r="L8" i="39"/>
  <c r="K8" i="39"/>
  <c r="J8" i="39"/>
  <c r="I8" i="39"/>
  <c r="H8" i="39"/>
  <c r="F8" i="39"/>
  <c r="E8" i="39"/>
  <c r="D8" i="39"/>
  <c r="C8" i="39"/>
  <c r="O7" i="39"/>
  <c r="N7" i="39"/>
  <c r="M7" i="39"/>
  <c r="L7" i="39"/>
  <c r="K7" i="39"/>
  <c r="J7" i="39"/>
  <c r="I7" i="39"/>
  <c r="H7" i="39"/>
  <c r="F7" i="39"/>
  <c r="E7" i="39"/>
  <c r="D7" i="39"/>
  <c r="C7" i="39"/>
  <c r="O6" i="39"/>
  <c r="N6" i="39"/>
  <c r="M6" i="39"/>
  <c r="L6" i="39"/>
  <c r="K6" i="39"/>
  <c r="J6" i="39"/>
  <c r="I6" i="39"/>
  <c r="H6" i="39"/>
  <c r="F6" i="39"/>
  <c r="E6" i="39"/>
  <c r="D6" i="39"/>
  <c r="C6" i="39"/>
  <c r="O5" i="39"/>
  <c r="N5" i="39"/>
  <c r="M5" i="39"/>
  <c r="L5" i="39"/>
  <c r="K5" i="39"/>
  <c r="J5" i="39"/>
  <c r="I5" i="39"/>
  <c r="H5" i="39"/>
  <c r="F5" i="39"/>
  <c r="E5" i="39"/>
  <c r="D5" i="39"/>
  <c r="C5" i="39"/>
  <c r="O4" i="39"/>
  <c r="N4" i="39"/>
  <c r="M4" i="39"/>
  <c r="L4" i="39"/>
  <c r="K4" i="39"/>
  <c r="J4" i="39"/>
  <c r="I4" i="39"/>
  <c r="H4" i="39"/>
  <c r="F4" i="39"/>
  <c r="E4" i="39"/>
  <c r="D4" i="39"/>
  <c r="C4" i="39"/>
  <c r="O3" i="39"/>
  <c r="N3" i="39"/>
  <c r="M3" i="39"/>
  <c r="L3" i="39"/>
  <c r="K3" i="39"/>
  <c r="J3" i="39"/>
  <c r="I3" i="39"/>
  <c r="H3" i="39"/>
  <c r="F3" i="39"/>
  <c r="E3" i="39"/>
  <c r="D3" i="39"/>
  <c r="C3" i="39"/>
  <c r="O2" i="39"/>
  <c r="N2" i="39"/>
  <c r="M2" i="39"/>
  <c r="L2" i="39"/>
  <c r="L26" i="39" s="1"/>
  <c r="K2" i="39"/>
  <c r="J2" i="39"/>
  <c r="I2" i="39"/>
  <c r="H2" i="39"/>
  <c r="F2" i="39"/>
  <c r="E2" i="39"/>
  <c r="D2" i="39"/>
  <c r="C2" i="39"/>
  <c r="E111" i="38"/>
  <c r="E110" i="38"/>
  <c r="F109" i="38"/>
  <c r="E109" i="38"/>
  <c r="F108" i="38"/>
  <c r="E108" i="38"/>
  <c r="F107" i="38"/>
  <c r="E107" i="38"/>
  <c r="F106" i="38"/>
  <c r="E106" i="38"/>
  <c r="F105" i="38"/>
  <c r="E105" i="38"/>
  <c r="F104" i="38"/>
  <c r="E104" i="38"/>
  <c r="F103" i="38"/>
  <c r="E103" i="38"/>
  <c r="F102" i="38"/>
  <c r="E102" i="38"/>
  <c r="F101" i="38"/>
  <c r="E101" i="38"/>
  <c r="F100" i="38"/>
  <c r="E100" i="38"/>
  <c r="F99" i="38"/>
  <c r="E99" i="38"/>
  <c r="F98" i="38"/>
  <c r="E98" i="38"/>
  <c r="F97" i="38"/>
  <c r="E97" i="38"/>
  <c r="F96" i="38"/>
  <c r="E96" i="38"/>
  <c r="F95" i="38"/>
  <c r="E95" i="38"/>
  <c r="F94" i="38"/>
  <c r="E94" i="38"/>
  <c r="F93" i="38"/>
  <c r="E93" i="38"/>
  <c r="F92" i="38"/>
  <c r="E92" i="38"/>
  <c r="F91" i="38"/>
  <c r="E91" i="38"/>
  <c r="F90" i="38"/>
  <c r="E90" i="38"/>
  <c r="F89" i="38"/>
  <c r="E89" i="38"/>
  <c r="F88" i="38"/>
  <c r="E88" i="38"/>
  <c r="F87" i="38"/>
  <c r="E87" i="38"/>
  <c r="F86" i="38"/>
  <c r="E86" i="38"/>
  <c r="F85" i="38"/>
  <c r="E85" i="38"/>
  <c r="F84" i="38"/>
  <c r="E84" i="38"/>
  <c r="F83" i="38"/>
  <c r="E83" i="38"/>
  <c r="F82" i="38"/>
  <c r="E82" i="38"/>
  <c r="F81" i="38"/>
  <c r="E81" i="38"/>
  <c r="F80" i="38"/>
  <c r="E80" i="38"/>
  <c r="F79" i="38"/>
  <c r="E79" i="38"/>
  <c r="F78" i="38"/>
  <c r="E78" i="38"/>
  <c r="F77" i="38"/>
  <c r="E77" i="38"/>
  <c r="F76" i="38"/>
  <c r="E76" i="38"/>
  <c r="F75" i="38"/>
  <c r="E75" i="38"/>
  <c r="F74" i="38"/>
  <c r="E74" i="38"/>
  <c r="F73" i="38"/>
  <c r="E73" i="38"/>
  <c r="F72" i="38"/>
  <c r="E72" i="38"/>
  <c r="F71" i="38"/>
  <c r="E71" i="38"/>
  <c r="F70" i="38"/>
  <c r="E70" i="38"/>
  <c r="F69" i="38"/>
  <c r="E69" i="38"/>
  <c r="F68" i="38"/>
  <c r="E68" i="38"/>
  <c r="F67" i="38"/>
  <c r="E67" i="38"/>
  <c r="F66" i="38"/>
  <c r="E66" i="38"/>
  <c r="F65" i="38"/>
  <c r="E65" i="38"/>
  <c r="F64" i="38"/>
  <c r="E64" i="38"/>
  <c r="F63" i="38"/>
  <c r="E63" i="38"/>
  <c r="F62" i="38"/>
  <c r="E62" i="38"/>
  <c r="F61" i="38"/>
  <c r="E61" i="38"/>
  <c r="F60" i="38"/>
  <c r="E60" i="38"/>
  <c r="F59" i="38"/>
  <c r="E59" i="38"/>
  <c r="F58" i="38"/>
  <c r="E58" i="38"/>
  <c r="F57" i="38"/>
  <c r="E57" i="38"/>
  <c r="F56" i="38"/>
  <c r="E56" i="38"/>
  <c r="F55" i="38"/>
  <c r="E55" i="38"/>
  <c r="F54" i="38"/>
  <c r="E54" i="38"/>
  <c r="F53" i="38"/>
  <c r="E53" i="38"/>
  <c r="F52" i="38"/>
  <c r="E52" i="38"/>
  <c r="F51" i="38"/>
  <c r="E51" i="38"/>
  <c r="F50" i="38"/>
  <c r="E50" i="38"/>
  <c r="F49" i="38"/>
  <c r="E49" i="38"/>
  <c r="F48" i="38"/>
  <c r="E48" i="38"/>
  <c r="F47" i="38"/>
  <c r="E47" i="38"/>
  <c r="F46" i="38"/>
  <c r="E46" i="38"/>
  <c r="F45" i="38"/>
  <c r="E45" i="38"/>
  <c r="F44" i="38"/>
  <c r="E44" i="38"/>
  <c r="F43" i="38"/>
  <c r="E43" i="38"/>
  <c r="F42" i="38"/>
  <c r="E42" i="38"/>
  <c r="F41" i="38"/>
  <c r="E41" i="38"/>
  <c r="F40" i="38"/>
  <c r="E40" i="38"/>
  <c r="F39" i="38"/>
  <c r="E39" i="38"/>
  <c r="F38" i="38"/>
  <c r="E38" i="38"/>
  <c r="F37" i="38"/>
  <c r="E37" i="38"/>
  <c r="O36" i="38"/>
  <c r="N36" i="38"/>
  <c r="M36" i="38"/>
  <c r="L36" i="38"/>
  <c r="K36" i="38"/>
  <c r="J36" i="38"/>
  <c r="I36" i="38"/>
  <c r="H36" i="38"/>
  <c r="F36" i="38"/>
  <c r="E36" i="38"/>
  <c r="D36" i="38"/>
  <c r="C36" i="38"/>
  <c r="O35" i="38"/>
  <c r="N35" i="38"/>
  <c r="M35" i="38"/>
  <c r="L35" i="38"/>
  <c r="K35" i="38"/>
  <c r="J35" i="38"/>
  <c r="I35" i="38"/>
  <c r="H35" i="38"/>
  <c r="F35" i="38"/>
  <c r="E35" i="38"/>
  <c r="D35" i="38"/>
  <c r="C35" i="38"/>
  <c r="O34" i="38"/>
  <c r="N34" i="38"/>
  <c r="M34" i="38"/>
  <c r="L34" i="38"/>
  <c r="K34" i="38"/>
  <c r="J34" i="38"/>
  <c r="I34" i="38"/>
  <c r="H34" i="38"/>
  <c r="F34" i="38"/>
  <c r="E34" i="38"/>
  <c r="D34" i="38"/>
  <c r="C34" i="38"/>
  <c r="O33" i="38"/>
  <c r="N33" i="38"/>
  <c r="M33" i="38"/>
  <c r="L33" i="38"/>
  <c r="K33" i="38"/>
  <c r="J33" i="38"/>
  <c r="I33" i="38"/>
  <c r="H33" i="38"/>
  <c r="F33" i="38"/>
  <c r="E33" i="38"/>
  <c r="D33" i="38"/>
  <c r="C33" i="38"/>
  <c r="O32" i="38"/>
  <c r="N32" i="38"/>
  <c r="M32" i="38"/>
  <c r="L32" i="38"/>
  <c r="K32" i="38"/>
  <c r="J32" i="38"/>
  <c r="I32" i="38"/>
  <c r="H32" i="38"/>
  <c r="F32" i="38"/>
  <c r="E32" i="38"/>
  <c r="D32" i="38"/>
  <c r="C32" i="38"/>
  <c r="O31" i="38"/>
  <c r="N31" i="38"/>
  <c r="M31" i="38"/>
  <c r="L31" i="38"/>
  <c r="K31" i="38"/>
  <c r="J31" i="38"/>
  <c r="I31" i="38"/>
  <c r="H31" i="38"/>
  <c r="F31" i="38"/>
  <c r="E31" i="38"/>
  <c r="D31" i="38"/>
  <c r="C31" i="38"/>
  <c r="O30" i="38"/>
  <c r="N30" i="38"/>
  <c r="M30" i="38"/>
  <c r="L30" i="38"/>
  <c r="K30" i="38"/>
  <c r="J30" i="38"/>
  <c r="I30" i="38"/>
  <c r="H30" i="38"/>
  <c r="F30" i="38"/>
  <c r="E30" i="38"/>
  <c r="D30" i="38"/>
  <c r="C30" i="38"/>
  <c r="O29" i="38"/>
  <c r="N29" i="38"/>
  <c r="M29" i="38"/>
  <c r="L29" i="38"/>
  <c r="K29" i="38"/>
  <c r="J29" i="38"/>
  <c r="I29" i="38"/>
  <c r="H29" i="38"/>
  <c r="F29" i="38"/>
  <c r="E29" i="38"/>
  <c r="D29" i="38"/>
  <c r="C29" i="38"/>
  <c r="O28" i="38"/>
  <c r="N28" i="38"/>
  <c r="M28" i="38"/>
  <c r="L28" i="38"/>
  <c r="K28" i="38"/>
  <c r="J28" i="38"/>
  <c r="I28" i="38"/>
  <c r="H28" i="38"/>
  <c r="F28" i="38"/>
  <c r="E28" i="38"/>
  <c r="D28" i="38"/>
  <c r="C28" i="38"/>
  <c r="O27" i="38"/>
  <c r="N27" i="38"/>
  <c r="M27" i="38"/>
  <c r="L27" i="38"/>
  <c r="K27" i="38"/>
  <c r="J27" i="38"/>
  <c r="I27" i="38"/>
  <c r="H27" i="38"/>
  <c r="F27" i="38"/>
  <c r="E27" i="38"/>
  <c r="D27" i="38"/>
  <c r="C27" i="38"/>
  <c r="O26" i="38"/>
  <c r="N26" i="38"/>
  <c r="M26" i="38"/>
  <c r="L26" i="38"/>
  <c r="K26" i="38"/>
  <c r="J26" i="38"/>
  <c r="I26" i="38"/>
  <c r="H26" i="38"/>
  <c r="F26" i="38"/>
  <c r="E26" i="38"/>
  <c r="D26" i="38"/>
  <c r="C26" i="38"/>
  <c r="O25" i="38"/>
  <c r="N25" i="38"/>
  <c r="M25" i="38"/>
  <c r="L25" i="38"/>
  <c r="K25" i="38"/>
  <c r="J25" i="38"/>
  <c r="I25" i="38"/>
  <c r="H25" i="38"/>
  <c r="F25" i="38"/>
  <c r="E25" i="38"/>
  <c r="D25" i="38"/>
  <c r="C25" i="38"/>
  <c r="O24" i="38"/>
  <c r="N24" i="38"/>
  <c r="M24" i="38"/>
  <c r="L24" i="38"/>
  <c r="K24" i="38"/>
  <c r="J24" i="38"/>
  <c r="I24" i="38"/>
  <c r="H24" i="38"/>
  <c r="F24" i="38"/>
  <c r="E24" i="38"/>
  <c r="D24" i="38"/>
  <c r="C24" i="38"/>
  <c r="O23" i="38"/>
  <c r="N23" i="38"/>
  <c r="M23" i="38"/>
  <c r="L23" i="38"/>
  <c r="K23" i="38"/>
  <c r="J23" i="38"/>
  <c r="I23" i="38"/>
  <c r="H23" i="38"/>
  <c r="F23" i="38"/>
  <c r="E23" i="38"/>
  <c r="D23" i="38"/>
  <c r="C23" i="38"/>
  <c r="O22" i="38"/>
  <c r="N22" i="38"/>
  <c r="M22" i="38"/>
  <c r="L22" i="38"/>
  <c r="K22" i="38"/>
  <c r="J22" i="38"/>
  <c r="I22" i="38"/>
  <c r="H22" i="38"/>
  <c r="F22" i="38"/>
  <c r="E22" i="38"/>
  <c r="D22" i="38"/>
  <c r="C22" i="38"/>
  <c r="O21" i="38"/>
  <c r="N21" i="38"/>
  <c r="M21" i="38"/>
  <c r="L21" i="38"/>
  <c r="K21" i="38"/>
  <c r="J21" i="38"/>
  <c r="I21" i="38"/>
  <c r="H21" i="38"/>
  <c r="F21" i="38"/>
  <c r="E21" i="38"/>
  <c r="D21" i="38"/>
  <c r="C21" i="38"/>
  <c r="O20" i="38"/>
  <c r="N20" i="38"/>
  <c r="M20" i="38"/>
  <c r="L20" i="38"/>
  <c r="K20" i="38"/>
  <c r="J20" i="38"/>
  <c r="I20" i="38"/>
  <c r="H20" i="38"/>
  <c r="F20" i="38"/>
  <c r="E20" i="38"/>
  <c r="D20" i="38"/>
  <c r="C20" i="38"/>
  <c r="O19" i="38"/>
  <c r="N19" i="38"/>
  <c r="M19" i="38"/>
  <c r="L19" i="38"/>
  <c r="K19" i="38"/>
  <c r="J19" i="38"/>
  <c r="I19" i="38"/>
  <c r="H19" i="38"/>
  <c r="F19" i="38"/>
  <c r="E19" i="38"/>
  <c r="D19" i="38"/>
  <c r="C19" i="38"/>
  <c r="O18" i="38"/>
  <c r="N18" i="38"/>
  <c r="M18" i="38"/>
  <c r="L18" i="38"/>
  <c r="K18" i="38"/>
  <c r="J18" i="38"/>
  <c r="I18" i="38"/>
  <c r="H18" i="38"/>
  <c r="F18" i="38"/>
  <c r="E18" i="38"/>
  <c r="D18" i="38"/>
  <c r="C18" i="38"/>
  <c r="O17" i="38"/>
  <c r="N17" i="38"/>
  <c r="M17" i="38"/>
  <c r="L17" i="38"/>
  <c r="K17" i="38"/>
  <c r="J17" i="38"/>
  <c r="I17" i="38"/>
  <c r="H17" i="38"/>
  <c r="F17" i="38"/>
  <c r="E17" i="38"/>
  <c r="D17" i="38"/>
  <c r="C17" i="38"/>
  <c r="O16" i="38"/>
  <c r="N16" i="38"/>
  <c r="M16" i="38"/>
  <c r="L16" i="38"/>
  <c r="K16" i="38"/>
  <c r="J16" i="38"/>
  <c r="I16" i="38"/>
  <c r="H16" i="38"/>
  <c r="F16" i="38"/>
  <c r="E16" i="38"/>
  <c r="D16" i="38"/>
  <c r="C16" i="38"/>
  <c r="O15" i="38"/>
  <c r="N15" i="38"/>
  <c r="M15" i="38"/>
  <c r="L15" i="38"/>
  <c r="K15" i="38"/>
  <c r="J15" i="38"/>
  <c r="I15" i="38"/>
  <c r="H15" i="38"/>
  <c r="F15" i="38"/>
  <c r="E15" i="38"/>
  <c r="D15" i="38"/>
  <c r="C15" i="38"/>
  <c r="O14" i="38"/>
  <c r="N14" i="38"/>
  <c r="M14" i="38"/>
  <c r="L14" i="38"/>
  <c r="K14" i="38"/>
  <c r="J14" i="38"/>
  <c r="I14" i="38"/>
  <c r="H14" i="38"/>
  <c r="F14" i="38"/>
  <c r="E14" i="38"/>
  <c r="D14" i="38"/>
  <c r="C14" i="38"/>
  <c r="O13" i="38"/>
  <c r="N13" i="38"/>
  <c r="M13" i="38"/>
  <c r="L13" i="38"/>
  <c r="K13" i="38"/>
  <c r="J13" i="38"/>
  <c r="I13" i="38"/>
  <c r="H13" i="38"/>
  <c r="F13" i="38"/>
  <c r="E13" i="38"/>
  <c r="D13" i="38"/>
  <c r="C13" i="38"/>
  <c r="O12" i="38"/>
  <c r="N12" i="38"/>
  <c r="M12" i="38"/>
  <c r="L12" i="38"/>
  <c r="K12" i="38"/>
  <c r="J12" i="38"/>
  <c r="I12" i="38"/>
  <c r="H12" i="38"/>
  <c r="F12" i="38"/>
  <c r="E12" i="38"/>
  <c r="D12" i="38"/>
  <c r="C12" i="38"/>
  <c r="O11" i="38"/>
  <c r="N11" i="38"/>
  <c r="M11" i="38"/>
  <c r="L11" i="38"/>
  <c r="K11" i="38"/>
  <c r="J11" i="38"/>
  <c r="I11" i="38"/>
  <c r="H11" i="38"/>
  <c r="F11" i="38"/>
  <c r="E11" i="38"/>
  <c r="D11" i="38"/>
  <c r="C11" i="38"/>
  <c r="O10" i="38"/>
  <c r="N10" i="38"/>
  <c r="M10" i="38"/>
  <c r="L10" i="38"/>
  <c r="K10" i="38"/>
  <c r="J10" i="38"/>
  <c r="I10" i="38"/>
  <c r="H10" i="38"/>
  <c r="F10" i="38"/>
  <c r="E10" i="38"/>
  <c r="D10" i="38"/>
  <c r="C10" i="38"/>
  <c r="O9" i="38"/>
  <c r="N9" i="38"/>
  <c r="M9" i="38"/>
  <c r="L9" i="38"/>
  <c r="K9" i="38"/>
  <c r="J9" i="38"/>
  <c r="I9" i="38"/>
  <c r="H9" i="38"/>
  <c r="F9" i="38"/>
  <c r="E9" i="38"/>
  <c r="D9" i="38"/>
  <c r="C9" i="38"/>
  <c r="O8" i="38"/>
  <c r="N8" i="38"/>
  <c r="M8" i="38"/>
  <c r="L8" i="38"/>
  <c r="K8" i="38"/>
  <c r="J8" i="38"/>
  <c r="I8" i="38"/>
  <c r="H8" i="38"/>
  <c r="F8" i="38"/>
  <c r="E8" i="38"/>
  <c r="D8" i="38"/>
  <c r="C8" i="38"/>
  <c r="O7" i="38"/>
  <c r="N7" i="38"/>
  <c r="M7" i="38"/>
  <c r="L7" i="38"/>
  <c r="K7" i="38"/>
  <c r="J7" i="38"/>
  <c r="I7" i="38"/>
  <c r="H7" i="38"/>
  <c r="F7" i="38"/>
  <c r="E7" i="38"/>
  <c r="D7" i="38"/>
  <c r="C7" i="38"/>
  <c r="O6" i="38"/>
  <c r="N6" i="38"/>
  <c r="M6" i="38"/>
  <c r="L6" i="38"/>
  <c r="K6" i="38"/>
  <c r="J6" i="38"/>
  <c r="I6" i="38"/>
  <c r="H6" i="38"/>
  <c r="F6" i="38"/>
  <c r="E6" i="38"/>
  <c r="D6" i="38"/>
  <c r="C6" i="38"/>
  <c r="O5" i="38"/>
  <c r="N5" i="38"/>
  <c r="M5" i="38"/>
  <c r="L5" i="38"/>
  <c r="K5" i="38"/>
  <c r="J5" i="38"/>
  <c r="I5" i="38"/>
  <c r="H5" i="38"/>
  <c r="F5" i="38"/>
  <c r="E5" i="38"/>
  <c r="D5" i="38"/>
  <c r="C5" i="38"/>
  <c r="O4" i="38"/>
  <c r="N4" i="38"/>
  <c r="M4" i="38"/>
  <c r="L4" i="38"/>
  <c r="K4" i="38"/>
  <c r="J4" i="38"/>
  <c r="I4" i="38"/>
  <c r="H4" i="38"/>
  <c r="F4" i="38"/>
  <c r="E4" i="38"/>
  <c r="D4" i="38"/>
  <c r="C4" i="38"/>
  <c r="O3" i="38"/>
  <c r="N3" i="38"/>
  <c r="M3" i="38"/>
  <c r="L3" i="38"/>
  <c r="K3" i="38"/>
  <c r="J3" i="38"/>
  <c r="I3" i="38"/>
  <c r="H3" i="38"/>
  <c r="F3" i="38"/>
  <c r="E3" i="38"/>
  <c r="D3" i="38"/>
  <c r="C3" i="38"/>
  <c r="O2" i="38"/>
  <c r="N2" i="38"/>
  <c r="M2" i="38"/>
  <c r="L2" i="38"/>
  <c r="K2" i="38"/>
  <c r="J2" i="38"/>
  <c r="I2" i="38"/>
  <c r="H2" i="38"/>
  <c r="F2" i="38"/>
  <c r="E2" i="38"/>
  <c r="D2" i="38"/>
  <c r="C2" i="38"/>
  <c r="F6" i="37"/>
  <c r="E6" i="37"/>
  <c r="F5" i="37"/>
  <c r="E5" i="37"/>
  <c r="F4" i="37"/>
  <c r="E4" i="37"/>
  <c r="F3" i="37"/>
  <c r="E3" i="37"/>
  <c r="O2" i="37"/>
  <c r="O8" i="37" s="1"/>
  <c r="N2" i="37"/>
  <c r="N8" i="37" s="1"/>
  <c r="M2" i="37"/>
  <c r="M8" i="37" s="1"/>
  <c r="L2" i="37"/>
  <c r="L8" i="37" s="1"/>
  <c r="K2" i="37"/>
  <c r="K8" i="37" s="1"/>
  <c r="J2" i="37"/>
  <c r="J8" i="37" s="1"/>
  <c r="I2" i="37"/>
  <c r="I8" i="37" s="1"/>
  <c r="H2" i="37"/>
  <c r="H8" i="37" s="1"/>
  <c r="F2" i="37"/>
  <c r="E2" i="37"/>
  <c r="D2" i="37"/>
  <c r="C2" i="37"/>
  <c r="F8" i="36"/>
  <c r="E8" i="36"/>
  <c r="F7" i="36"/>
  <c r="E7" i="36"/>
  <c r="F6" i="36"/>
  <c r="E6" i="36"/>
  <c r="F5" i="36"/>
  <c r="E5" i="36"/>
  <c r="F4" i="36"/>
  <c r="E4" i="36"/>
  <c r="O3" i="36"/>
  <c r="N3" i="36"/>
  <c r="M3" i="36"/>
  <c r="L3" i="36"/>
  <c r="K3" i="36"/>
  <c r="K10" i="36" s="1"/>
  <c r="J3" i="36"/>
  <c r="I3" i="36"/>
  <c r="H3" i="36"/>
  <c r="F3" i="36"/>
  <c r="E3" i="36"/>
  <c r="D3" i="36"/>
  <c r="C3" i="36"/>
  <c r="O2" i="36"/>
  <c r="O10" i="36" s="1"/>
  <c r="N2" i="36"/>
  <c r="M2" i="36"/>
  <c r="M10" i="36" s="1"/>
  <c r="L2" i="36"/>
  <c r="L10" i="36" s="1"/>
  <c r="K2" i="36"/>
  <c r="J2" i="36"/>
  <c r="I2" i="36"/>
  <c r="H2" i="36"/>
  <c r="F2" i="36"/>
  <c r="E2" i="36"/>
  <c r="D2" i="36"/>
  <c r="C2" i="36"/>
  <c r="E41" i="35"/>
  <c r="D41" i="35"/>
  <c r="C41" i="35"/>
  <c r="F40" i="35"/>
  <c r="E40" i="35"/>
  <c r="F39" i="35"/>
  <c r="E39" i="35"/>
  <c r="F38" i="35"/>
  <c r="E38" i="35"/>
  <c r="F37" i="35"/>
  <c r="E37" i="35"/>
  <c r="F36" i="35"/>
  <c r="E36" i="35"/>
  <c r="F35" i="35"/>
  <c r="E35" i="35"/>
  <c r="F34" i="35"/>
  <c r="E34" i="35"/>
  <c r="F33" i="35"/>
  <c r="E33" i="35"/>
  <c r="F32" i="35"/>
  <c r="E32" i="35"/>
  <c r="F31" i="35"/>
  <c r="E31" i="35"/>
  <c r="F30" i="35"/>
  <c r="E30" i="35"/>
  <c r="F29" i="35"/>
  <c r="E29" i="35"/>
  <c r="F28" i="35"/>
  <c r="E28" i="35"/>
  <c r="F27" i="35"/>
  <c r="E27" i="35"/>
  <c r="F26" i="35"/>
  <c r="E26" i="35"/>
  <c r="F25" i="35"/>
  <c r="E25" i="35"/>
  <c r="F24" i="35"/>
  <c r="E24" i="35"/>
  <c r="F23" i="35"/>
  <c r="E23" i="35"/>
  <c r="F22" i="35"/>
  <c r="E22" i="35"/>
  <c r="F21" i="35"/>
  <c r="E21" i="35"/>
  <c r="F20" i="35"/>
  <c r="E20" i="35"/>
  <c r="F19" i="35"/>
  <c r="E19" i="35"/>
  <c r="F18" i="35"/>
  <c r="E18" i="35"/>
  <c r="F17" i="35"/>
  <c r="E17" i="35"/>
  <c r="F16" i="35"/>
  <c r="E16" i="35"/>
  <c r="F15" i="35"/>
  <c r="E15" i="35"/>
  <c r="F14" i="35"/>
  <c r="E14" i="35"/>
  <c r="F13" i="35"/>
  <c r="E13" i="35"/>
  <c r="F12" i="35"/>
  <c r="E12" i="35"/>
  <c r="F11" i="35"/>
  <c r="E11" i="35"/>
  <c r="O10" i="35"/>
  <c r="N10" i="35"/>
  <c r="M10" i="35"/>
  <c r="L10" i="35"/>
  <c r="K10" i="35"/>
  <c r="J10" i="35"/>
  <c r="I10" i="35"/>
  <c r="H10" i="35"/>
  <c r="F10" i="35"/>
  <c r="E10" i="35"/>
  <c r="D10" i="35"/>
  <c r="C10" i="35"/>
  <c r="F9" i="35"/>
  <c r="E9" i="35"/>
  <c r="D9" i="35"/>
  <c r="C9" i="35"/>
  <c r="O8" i="35"/>
  <c r="N8" i="35"/>
  <c r="M8" i="35"/>
  <c r="L8" i="35"/>
  <c r="K8" i="35"/>
  <c r="J8" i="35"/>
  <c r="I8" i="35"/>
  <c r="H8" i="35"/>
  <c r="F8" i="35"/>
  <c r="E8" i="35"/>
  <c r="D8" i="35"/>
  <c r="C8" i="35"/>
  <c r="O7" i="35"/>
  <c r="N7" i="35"/>
  <c r="M7" i="35"/>
  <c r="L7" i="35"/>
  <c r="K7" i="35"/>
  <c r="J7" i="35"/>
  <c r="I7" i="35"/>
  <c r="H7" i="35"/>
  <c r="F7" i="35"/>
  <c r="E7" i="35"/>
  <c r="D7" i="35"/>
  <c r="C7" i="35"/>
  <c r="O6" i="35"/>
  <c r="N6" i="35"/>
  <c r="M6" i="35"/>
  <c r="L6" i="35"/>
  <c r="K6" i="35"/>
  <c r="J6" i="35"/>
  <c r="I6" i="35"/>
  <c r="H6" i="35"/>
  <c r="F6" i="35"/>
  <c r="E6" i="35"/>
  <c r="D6" i="35"/>
  <c r="C6" i="35"/>
  <c r="O5" i="35"/>
  <c r="N5" i="35"/>
  <c r="M5" i="35"/>
  <c r="L5" i="35"/>
  <c r="K5" i="35"/>
  <c r="J5" i="35"/>
  <c r="I5" i="35"/>
  <c r="H5" i="35"/>
  <c r="F5" i="35"/>
  <c r="E5" i="35"/>
  <c r="D5" i="35"/>
  <c r="C5" i="35"/>
  <c r="O4" i="35"/>
  <c r="N4" i="35"/>
  <c r="M4" i="35"/>
  <c r="L4" i="35"/>
  <c r="K4" i="35"/>
  <c r="J4" i="35"/>
  <c r="I4" i="35"/>
  <c r="H4" i="35"/>
  <c r="F4" i="35"/>
  <c r="E4" i="35"/>
  <c r="D4" i="35"/>
  <c r="C4" i="35"/>
  <c r="O3" i="35"/>
  <c r="N3" i="35"/>
  <c r="M3" i="35"/>
  <c r="L3" i="35"/>
  <c r="K3" i="35"/>
  <c r="J3" i="35"/>
  <c r="I3" i="35"/>
  <c r="H3" i="35"/>
  <c r="F3" i="35"/>
  <c r="E3" i="35"/>
  <c r="D3" i="35"/>
  <c r="C3" i="35"/>
  <c r="O2" i="35"/>
  <c r="N2" i="35"/>
  <c r="M2" i="35"/>
  <c r="L2" i="35"/>
  <c r="K2" i="35"/>
  <c r="J2" i="35"/>
  <c r="J43" i="35" s="1"/>
  <c r="I2" i="35"/>
  <c r="H2" i="35"/>
  <c r="H43" i="35" s="1"/>
  <c r="F2" i="35"/>
  <c r="E2" i="35"/>
  <c r="D2" i="35"/>
  <c r="C2" i="35"/>
  <c r="F36" i="34"/>
  <c r="E36" i="34"/>
  <c r="F35" i="34"/>
  <c r="E35" i="34"/>
  <c r="F34" i="34"/>
  <c r="E34" i="34"/>
  <c r="F33" i="34"/>
  <c r="E33" i="34"/>
  <c r="F32" i="34"/>
  <c r="E32" i="34"/>
  <c r="F31" i="34"/>
  <c r="E31" i="34"/>
  <c r="F30" i="34"/>
  <c r="E30" i="34"/>
  <c r="F29" i="34"/>
  <c r="E29" i="34"/>
  <c r="F28" i="34"/>
  <c r="E28" i="34"/>
  <c r="F27" i="34"/>
  <c r="E27" i="34"/>
  <c r="F26" i="34"/>
  <c r="E26" i="34"/>
  <c r="F25" i="34"/>
  <c r="E25" i="34"/>
  <c r="F24" i="34"/>
  <c r="E24" i="34"/>
  <c r="F23" i="34"/>
  <c r="E23" i="34"/>
  <c r="F22" i="34"/>
  <c r="E22" i="34"/>
  <c r="F21" i="34"/>
  <c r="E21" i="34"/>
  <c r="F20" i="34"/>
  <c r="E20" i="34"/>
  <c r="F19" i="34"/>
  <c r="E19" i="34"/>
  <c r="F18" i="34"/>
  <c r="E18" i="34"/>
  <c r="F17" i="34"/>
  <c r="E17" i="34"/>
  <c r="F16" i="34"/>
  <c r="E16" i="34"/>
  <c r="F15" i="34"/>
  <c r="E15" i="34"/>
  <c r="F14" i="34"/>
  <c r="E14" i="34"/>
  <c r="F13" i="34"/>
  <c r="E13" i="34"/>
  <c r="F12" i="34"/>
  <c r="E12" i="34"/>
  <c r="F11" i="34"/>
  <c r="E11" i="34"/>
  <c r="F10" i="34"/>
  <c r="E10" i="34"/>
  <c r="F9" i="34"/>
  <c r="E9" i="34"/>
  <c r="F8" i="34"/>
  <c r="E8" i="34"/>
  <c r="O7" i="34"/>
  <c r="N7" i="34"/>
  <c r="M7" i="34"/>
  <c r="L7" i="34"/>
  <c r="K7" i="34"/>
  <c r="J7" i="34"/>
  <c r="I7" i="34"/>
  <c r="H7" i="34"/>
  <c r="F7" i="34"/>
  <c r="E7" i="34"/>
  <c r="D7" i="34"/>
  <c r="C7" i="34"/>
  <c r="F6" i="34"/>
  <c r="E6" i="34"/>
  <c r="D6" i="34"/>
  <c r="C6" i="34"/>
  <c r="O5" i="34"/>
  <c r="N5" i="34"/>
  <c r="M5" i="34"/>
  <c r="L5" i="34"/>
  <c r="K5" i="34"/>
  <c r="J5" i="34"/>
  <c r="I5" i="34"/>
  <c r="H5" i="34"/>
  <c r="F5" i="34"/>
  <c r="E5" i="34"/>
  <c r="D5" i="34"/>
  <c r="C5" i="34"/>
  <c r="O4" i="34"/>
  <c r="N4" i="34"/>
  <c r="M4" i="34"/>
  <c r="L4" i="34"/>
  <c r="K4" i="34"/>
  <c r="J4" i="34"/>
  <c r="I4" i="34"/>
  <c r="H4" i="34"/>
  <c r="F4" i="34"/>
  <c r="E4" i="34"/>
  <c r="D4" i="34"/>
  <c r="C4" i="34"/>
  <c r="O3" i="34"/>
  <c r="N3" i="34"/>
  <c r="M3" i="34"/>
  <c r="L3" i="34"/>
  <c r="K3" i="34"/>
  <c r="J3" i="34"/>
  <c r="I3" i="34"/>
  <c r="H3" i="34"/>
  <c r="F3" i="34"/>
  <c r="E3" i="34"/>
  <c r="D3" i="34"/>
  <c r="C3" i="34"/>
  <c r="O2" i="34"/>
  <c r="N2" i="34"/>
  <c r="M2" i="34"/>
  <c r="L2" i="34"/>
  <c r="L38" i="34" s="1"/>
  <c r="K2" i="34"/>
  <c r="K38" i="34" s="1"/>
  <c r="J2" i="34"/>
  <c r="I2" i="34"/>
  <c r="H2" i="34"/>
  <c r="F2" i="34"/>
  <c r="E2" i="34"/>
  <c r="D2" i="34"/>
  <c r="C2" i="34"/>
  <c r="F26" i="33"/>
  <c r="E26" i="33"/>
  <c r="F25" i="33"/>
  <c r="E25" i="33"/>
  <c r="F24" i="33"/>
  <c r="E24" i="33"/>
  <c r="F23" i="33"/>
  <c r="E23" i="33"/>
  <c r="F22" i="33"/>
  <c r="E22" i="33"/>
  <c r="F21" i="33"/>
  <c r="E21" i="33"/>
  <c r="F20" i="33"/>
  <c r="E20" i="33"/>
  <c r="F19" i="33"/>
  <c r="E19" i="33"/>
  <c r="F18" i="33"/>
  <c r="E18" i="33"/>
  <c r="F17" i="33"/>
  <c r="E17" i="33"/>
  <c r="F16" i="33"/>
  <c r="E16" i="33"/>
  <c r="F15" i="33"/>
  <c r="E15" i="33"/>
  <c r="F14" i="33"/>
  <c r="E14" i="33"/>
  <c r="F13" i="33"/>
  <c r="E13" i="33"/>
  <c r="F12" i="33"/>
  <c r="E12" i="33"/>
  <c r="F11" i="33"/>
  <c r="E11" i="33"/>
  <c r="F10" i="33"/>
  <c r="E10" i="33"/>
  <c r="F9" i="33"/>
  <c r="E9" i="33"/>
  <c r="F8" i="33"/>
  <c r="E8" i="33"/>
  <c r="F7" i="33"/>
  <c r="E7" i="33"/>
  <c r="F6" i="33"/>
  <c r="E6" i="33"/>
  <c r="F5" i="33"/>
  <c r="E5" i="33"/>
  <c r="F4" i="33"/>
  <c r="E4" i="33"/>
  <c r="O3" i="33"/>
  <c r="N3" i="33"/>
  <c r="M3" i="33"/>
  <c r="L3" i="33"/>
  <c r="K3" i="33"/>
  <c r="J3" i="33"/>
  <c r="I3" i="33"/>
  <c r="H3" i="33"/>
  <c r="F3" i="33"/>
  <c r="E3" i="33"/>
  <c r="D3" i="33"/>
  <c r="C3" i="33"/>
  <c r="O2" i="33"/>
  <c r="N2" i="33"/>
  <c r="M2" i="33"/>
  <c r="L2" i="33"/>
  <c r="K2" i="33"/>
  <c r="J2" i="33"/>
  <c r="J28" i="33" s="1"/>
  <c r="I2" i="33"/>
  <c r="I28" i="33" s="1"/>
  <c r="H2" i="33"/>
  <c r="F2" i="33"/>
  <c r="E2" i="33"/>
  <c r="D2" i="33"/>
  <c r="C2" i="33"/>
  <c r="E15" i="32"/>
  <c r="F14" i="32"/>
  <c r="E14" i="32"/>
  <c r="F13" i="32"/>
  <c r="E13" i="32"/>
  <c r="F12" i="32"/>
  <c r="E12" i="32"/>
  <c r="F11" i="32"/>
  <c r="E11" i="32"/>
  <c r="F10" i="32"/>
  <c r="E10" i="32"/>
  <c r="F9" i="32"/>
  <c r="E9" i="32"/>
  <c r="F8" i="32"/>
  <c r="E8" i="32"/>
  <c r="F7" i="32"/>
  <c r="E7" i="32"/>
  <c r="F6" i="32"/>
  <c r="E6" i="32"/>
  <c r="O5" i="32"/>
  <c r="N5" i="32"/>
  <c r="M5" i="32"/>
  <c r="L5" i="32"/>
  <c r="K5" i="32"/>
  <c r="J5" i="32"/>
  <c r="I5" i="32"/>
  <c r="H5" i="32"/>
  <c r="F5" i="32"/>
  <c r="E5" i="32"/>
  <c r="D5" i="32"/>
  <c r="C5" i="32"/>
  <c r="O4" i="32"/>
  <c r="N4" i="32"/>
  <c r="M4" i="32"/>
  <c r="L4" i="32"/>
  <c r="K4" i="32"/>
  <c r="J4" i="32"/>
  <c r="I4" i="32"/>
  <c r="H4" i="32"/>
  <c r="F4" i="32"/>
  <c r="E4" i="32"/>
  <c r="D4" i="32"/>
  <c r="C4" i="32"/>
  <c r="O3" i="32"/>
  <c r="N3" i="32"/>
  <c r="M3" i="32"/>
  <c r="L3" i="32"/>
  <c r="K3" i="32"/>
  <c r="J3" i="32"/>
  <c r="I3" i="32"/>
  <c r="H3" i="32"/>
  <c r="F3" i="32"/>
  <c r="E3" i="32"/>
  <c r="D3" i="32"/>
  <c r="C3" i="32"/>
  <c r="O2" i="32"/>
  <c r="N2" i="32"/>
  <c r="M2" i="32"/>
  <c r="L2" i="32"/>
  <c r="K2" i="32"/>
  <c r="K17" i="32" s="1"/>
  <c r="J2" i="32"/>
  <c r="I2" i="32"/>
  <c r="H2" i="32"/>
  <c r="F2" i="32"/>
  <c r="E2" i="32"/>
  <c r="D2" i="32"/>
  <c r="C2" i="32"/>
  <c r="J11" i="31"/>
  <c r="F9" i="31"/>
  <c r="E9" i="31"/>
  <c r="D9" i="31"/>
  <c r="C9" i="31"/>
  <c r="F8" i="31"/>
  <c r="E8" i="31"/>
  <c r="D8" i="31"/>
  <c r="C8" i="31"/>
  <c r="F7" i="31"/>
  <c r="E7" i="31"/>
  <c r="D7" i="31"/>
  <c r="C7" i="31"/>
  <c r="F6" i="31"/>
  <c r="E6" i="31"/>
  <c r="D6" i="31"/>
  <c r="C6" i="31"/>
  <c r="F5" i="31"/>
  <c r="E5" i="31"/>
  <c r="D5" i="31"/>
  <c r="C5" i="31"/>
  <c r="O4" i="31"/>
  <c r="N4" i="31"/>
  <c r="M4" i="31"/>
  <c r="L4" i="31"/>
  <c r="K4" i="31"/>
  <c r="J4" i="31"/>
  <c r="I4" i="31"/>
  <c r="H4" i="31"/>
  <c r="F4" i="31"/>
  <c r="E4" i="31"/>
  <c r="D4" i="31"/>
  <c r="C4" i="31"/>
  <c r="F3" i="31"/>
  <c r="E3" i="31"/>
  <c r="D3" i="31"/>
  <c r="C3" i="31"/>
  <c r="O2" i="31"/>
  <c r="O11" i="31" s="1"/>
  <c r="N2" i="31"/>
  <c r="N11" i="31" s="1"/>
  <c r="M2" i="31"/>
  <c r="M11" i="31" s="1"/>
  <c r="L2" i="31"/>
  <c r="L11" i="31" s="1"/>
  <c r="K2" i="31"/>
  <c r="K11" i="31" s="1"/>
  <c r="J2" i="31"/>
  <c r="I2" i="31"/>
  <c r="I11" i="31" s="1"/>
  <c r="H2" i="31"/>
  <c r="H11" i="31" s="1"/>
  <c r="F2" i="31"/>
  <c r="E2" i="31"/>
  <c r="D2" i="31"/>
  <c r="C2" i="31"/>
  <c r="E17" i="30"/>
  <c r="F16" i="30"/>
  <c r="E16" i="30"/>
  <c r="F15" i="30"/>
  <c r="E15" i="30"/>
  <c r="F14" i="30"/>
  <c r="E14" i="30"/>
  <c r="F13" i="30"/>
  <c r="E13" i="30"/>
  <c r="F12" i="30"/>
  <c r="E12" i="30"/>
  <c r="F11" i="30"/>
  <c r="E11" i="30"/>
  <c r="F10" i="30"/>
  <c r="E10" i="30"/>
  <c r="F9" i="30"/>
  <c r="E9" i="30"/>
  <c r="F8" i="30"/>
  <c r="E8" i="30"/>
  <c r="F7" i="30"/>
  <c r="E7" i="30"/>
  <c r="O6" i="30"/>
  <c r="N6" i="30"/>
  <c r="M6" i="30"/>
  <c r="L6" i="30"/>
  <c r="K6" i="30"/>
  <c r="J6" i="30"/>
  <c r="I6" i="30"/>
  <c r="H6" i="30"/>
  <c r="F6" i="30"/>
  <c r="E6" i="30"/>
  <c r="D6" i="30"/>
  <c r="C6" i="30"/>
  <c r="O5" i="30"/>
  <c r="N5" i="30"/>
  <c r="M5" i="30"/>
  <c r="L5" i="30"/>
  <c r="K5" i="30"/>
  <c r="J5" i="30"/>
  <c r="I5" i="30"/>
  <c r="H5" i="30"/>
  <c r="F5" i="30"/>
  <c r="E5" i="30"/>
  <c r="D5" i="30"/>
  <c r="C5" i="30"/>
  <c r="O4" i="30"/>
  <c r="N4" i="30"/>
  <c r="M4" i="30"/>
  <c r="L4" i="30"/>
  <c r="K4" i="30"/>
  <c r="J4" i="30"/>
  <c r="I4" i="30"/>
  <c r="H4" i="30"/>
  <c r="F4" i="30"/>
  <c r="E4" i="30"/>
  <c r="D4" i="30"/>
  <c r="C4" i="30"/>
  <c r="O3" i="30"/>
  <c r="N3" i="30"/>
  <c r="M3" i="30"/>
  <c r="L3" i="30"/>
  <c r="K3" i="30"/>
  <c r="J3" i="30"/>
  <c r="I3" i="30"/>
  <c r="H3" i="30"/>
  <c r="F3" i="30"/>
  <c r="E3" i="30"/>
  <c r="D3" i="30"/>
  <c r="C3" i="30"/>
  <c r="O2" i="30"/>
  <c r="O19" i="30" s="1"/>
  <c r="N2" i="30"/>
  <c r="M2" i="30"/>
  <c r="L2" i="30"/>
  <c r="K2" i="30"/>
  <c r="J2" i="30"/>
  <c r="I2" i="30"/>
  <c r="H2" i="30"/>
  <c r="F2" i="30"/>
  <c r="E2" i="30"/>
  <c r="D2" i="30"/>
  <c r="C2" i="30"/>
  <c r="F4" i="29"/>
  <c r="E4" i="29"/>
  <c r="O3" i="29"/>
  <c r="N3" i="29"/>
  <c r="M3" i="29"/>
  <c r="L3" i="29"/>
  <c r="K3" i="29"/>
  <c r="J3" i="29"/>
  <c r="I3" i="29"/>
  <c r="H3" i="29"/>
  <c r="F3" i="29"/>
  <c r="E3" i="29"/>
  <c r="D3" i="29"/>
  <c r="C3" i="29"/>
  <c r="O2" i="29"/>
  <c r="O6" i="29" s="1"/>
  <c r="N2" i="29"/>
  <c r="M2" i="29"/>
  <c r="L2" i="29"/>
  <c r="K2" i="29"/>
  <c r="J2" i="29"/>
  <c r="I2" i="29"/>
  <c r="I6" i="29" s="1"/>
  <c r="H2" i="29"/>
  <c r="F2" i="29"/>
  <c r="E2" i="29"/>
  <c r="D2" i="29"/>
  <c r="C2" i="29"/>
  <c r="F14" i="28"/>
  <c r="E14" i="28"/>
  <c r="D14" i="28"/>
  <c r="C14" i="28"/>
  <c r="F13" i="28"/>
  <c r="E13" i="28"/>
  <c r="D13" i="28"/>
  <c r="C13" i="28"/>
  <c r="F12" i="28"/>
  <c r="E12" i="28"/>
  <c r="D12" i="28"/>
  <c r="C12" i="28"/>
  <c r="F11" i="28"/>
  <c r="E11" i="28"/>
  <c r="D11" i="28"/>
  <c r="C11" i="28"/>
  <c r="F10" i="28"/>
  <c r="E10" i="28"/>
  <c r="D10" i="28"/>
  <c r="C10" i="28"/>
  <c r="F9" i="28"/>
  <c r="E9" i="28"/>
  <c r="D9" i="28"/>
  <c r="C9" i="28"/>
  <c r="F8" i="28"/>
  <c r="E8" i="28"/>
  <c r="D8" i="28"/>
  <c r="C8" i="28"/>
  <c r="F7" i="28"/>
  <c r="E7" i="28"/>
  <c r="D7" i="28"/>
  <c r="C7" i="28"/>
  <c r="F6" i="28"/>
  <c r="E6" i="28"/>
  <c r="D6" i="28"/>
  <c r="C6" i="28"/>
  <c r="F5" i="28"/>
  <c r="E5" i="28"/>
  <c r="D5" i="28"/>
  <c r="C5" i="28"/>
  <c r="F4" i="28"/>
  <c r="E4" i="28"/>
  <c r="D4" i="28"/>
  <c r="C4" i="28"/>
  <c r="F3" i="28"/>
  <c r="E3" i="28"/>
  <c r="D3" i="28"/>
  <c r="C3" i="28"/>
  <c r="F2" i="28"/>
  <c r="E2" i="28"/>
  <c r="D2" i="28"/>
  <c r="C2" i="28"/>
  <c r="F11" i="27"/>
  <c r="E11" i="27"/>
  <c r="F10" i="27"/>
  <c r="E10" i="27"/>
  <c r="F9" i="27"/>
  <c r="E9" i="27"/>
  <c r="F8" i="27"/>
  <c r="E8" i="27"/>
  <c r="F7" i="27"/>
  <c r="E7" i="27"/>
  <c r="F6" i="27"/>
  <c r="E6" i="27"/>
  <c r="F5" i="27"/>
  <c r="E5" i="27"/>
  <c r="F4" i="27"/>
  <c r="E4" i="27"/>
  <c r="O3" i="27"/>
  <c r="N3" i="27"/>
  <c r="M3" i="27"/>
  <c r="L3" i="27"/>
  <c r="K3" i="27"/>
  <c r="J3" i="27"/>
  <c r="I3" i="27"/>
  <c r="H3" i="27"/>
  <c r="F3" i="27"/>
  <c r="E3" i="27"/>
  <c r="D3" i="27"/>
  <c r="C3" i="27"/>
  <c r="O2" i="27"/>
  <c r="N2" i="27"/>
  <c r="M2" i="27"/>
  <c r="L2" i="27"/>
  <c r="L13" i="27" s="1"/>
  <c r="K2" i="27"/>
  <c r="J2" i="27"/>
  <c r="J13" i="27" s="1"/>
  <c r="I2" i="27"/>
  <c r="H2" i="27"/>
  <c r="F2" i="27"/>
  <c r="E2" i="27"/>
  <c r="D2" i="27"/>
  <c r="C2" i="27"/>
  <c r="L6" i="26"/>
  <c r="I6" i="26"/>
  <c r="F4" i="26"/>
  <c r="E4" i="26"/>
  <c r="F3" i="26"/>
  <c r="E3" i="26"/>
  <c r="O2" i="26"/>
  <c r="O6" i="26" s="1"/>
  <c r="N2" i="26"/>
  <c r="N6" i="26" s="1"/>
  <c r="M2" i="26"/>
  <c r="M6" i="26" s="1"/>
  <c r="L2" i="26"/>
  <c r="K2" i="26"/>
  <c r="K6" i="26" s="1"/>
  <c r="J2" i="26"/>
  <c r="J6" i="26" s="1"/>
  <c r="I2" i="26"/>
  <c r="H2" i="26"/>
  <c r="H6" i="26" s="1"/>
  <c r="F2" i="26"/>
  <c r="E2" i="26"/>
  <c r="D2" i="26"/>
  <c r="C2" i="26"/>
  <c r="F11" i="25"/>
  <c r="E11" i="25"/>
  <c r="F10" i="25"/>
  <c r="E10" i="25"/>
  <c r="F9" i="25"/>
  <c r="E9" i="25"/>
  <c r="F8" i="25"/>
  <c r="E8" i="25"/>
  <c r="F7" i="25"/>
  <c r="E7" i="25"/>
  <c r="F6" i="25"/>
  <c r="E6" i="25"/>
  <c r="F5" i="25"/>
  <c r="E5" i="25"/>
  <c r="F4" i="25"/>
  <c r="E4" i="25"/>
  <c r="F3" i="25"/>
  <c r="E3" i="25"/>
  <c r="O2" i="25"/>
  <c r="O13" i="25" s="1"/>
  <c r="N2" i="25"/>
  <c r="N13" i="25" s="1"/>
  <c r="M2" i="25"/>
  <c r="M13" i="25" s="1"/>
  <c r="L2" i="25"/>
  <c r="L13" i="25" s="1"/>
  <c r="K2" i="25"/>
  <c r="K13" i="25" s="1"/>
  <c r="J2" i="25"/>
  <c r="J13" i="25" s="1"/>
  <c r="I2" i="25"/>
  <c r="I13" i="25" s="1"/>
  <c r="H2" i="25"/>
  <c r="H13" i="25" s="1"/>
  <c r="F2" i="25"/>
  <c r="E2" i="25"/>
  <c r="D2" i="25"/>
  <c r="C2" i="25"/>
  <c r="Y6" i="24"/>
  <c r="X6" i="24"/>
  <c r="W6" i="24"/>
  <c r="V6" i="24"/>
  <c r="T6" i="24"/>
  <c r="S6" i="24"/>
  <c r="U6" i="24" s="1"/>
  <c r="Q6" i="24"/>
  <c r="P6" i="24"/>
  <c r="R6" i="24" s="1"/>
  <c r="E4" i="24"/>
  <c r="D4" i="24"/>
  <c r="C4" i="24"/>
  <c r="F3" i="24"/>
  <c r="E3" i="24"/>
  <c r="D3" i="24"/>
  <c r="C3" i="24"/>
  <c r="F2" i="24"/>
  <c r="E2" i="24"/>
  <c r="D2" i="24"/>
  <c r="C2" i="24"/>
  <c r="F21" i="23"/>
  <c r="E21" i="23"/>
  <c r="F20" i="23"/>
  <c r="E20" i="23"/>
  <c r="F19" i="23"/>
  <c r="E19" i="23"/>
  <c r="F18" i="23"/>
  <c r="E18" i="23"/>
  <c r="F17" i="23"/>
  <c r="E17" i="23"/>
  <c r="F16" i="23"/>
  <c r="E16" i="23"/>
  <c r="F15" i="23"/>
  <c r="E15" i="23"/>
  <c r="F14" i="23"/>
  <c r="E14" i="23"/>
  <c r="F13" i="23"/>
  <c r="E13" i="23"/>
  <c r="F12" i="23"/>
  <c r="E12" i="23"/>
  <c r="F11" i="23"/>
  <c r="E11" i="23"/>
  <c r="F10" i="23"/>
  <c r="E10" i="23"/>
  <c r="F9" i="23"/>
  <c r="E9" i="23"/>
  <c r="F8" i="23"/>
  <c r="E8" i="23"/>
  <c r="F7" i="23"/>
  <c r="E7" i="23"/>
  <c r="F6" i="23"/>
  <c r="E6" i="23"/>
  <c r="F5" i="23"/>
  <c r="E5" i="23"/>
  <c r="O4" i="23"/>
  <c r="N4" i="23"/>
  <c r="M4" i="23"/>
  <c r="L4" i="23"/>
  <c r="K4" i="23"/>
  <c r="J4" i="23"/>
  <c r="I4" i="23"/>
  <c r="H4" i="23"/>
  <c r="F4" i="23"/>
  <c r="E4" i="23"/>
  <c r="D4" i="23"/>
  <c r="C4" i="23"/>
  <c r="O3" i="23"/>
  <c r="N3" i="23"/>
  <c r="M3" i="23"/>
  <c r="L3" i="23"/>
  <c r="K3" i="23"/>
  <c r="J3" i="23"/>
  <c r="I3" i="23"/>
  <c r="H3" i="23"/>
  <c r="F3" i="23"/>
  <c r="E3" i="23"/>
  <c r="D3" i="23"/>
  <c r="C3" i="23"/>
  <c r="O2" i="23"/>
  <c r="O23" i="23" s="1"/>
  <c r="N2" i="23"/>
  <c r="M2" i="23"/>
  <c r="M23" i="23" s="1"/>
  <c r="L2" i="23"/>
  <c r="K2" i="23"/>
  <c r="J2" i="23"/>
  <c r="I2" i="23"/>
  <c r="H2" i="23"/>
  <c r="F2" i="23"/>
  <c r="E2" i="23"/>
  <c r="D2" i="23"/>
  <c r="C2" i="23"/>
  <c r="F18" i="22"/>
  <c r="E18" i="22"/>
  <c r="F17" i="22"/>
  <c r="E17" i="22"/>
  <c r="F16" i="22"/>
  <c r="E16" i="22"/>
  <c r="E15" i="22"/>
  <c r="F14" i="22"/>
  <c r="E14" i="22"/>
  <c r="F13" i="22"/>
  <c r="E13" i="22"/>
  <c r="F12" i="22"/>
  <c r="E12" i="22"/>
  <c r="F11" i="22"/>
  <c r="E11" i="22"/>
  <c r="F10" i="22"/>
  <c r="E10" i="22"/>
  <c r="F9" i="22"/>
  <c r="E9" i="22"/>
  <c r="F8" i="22"/>
  <c r="E8" i="22"/>
  <c r="O7" i="22"/>
  <c r="N7" i="22"/>
  <c r="M7" i="22"/>
  <c r="L7" i="22"/>
  <c r="K7" i="22"/>
  <c r="J7" i="22"/>
  <c r="I7" i="22"/>
  <c r="H7" i="22"/>
  <c r="F7" i="22"/>
  <c r="E7" i="22"/>
  <c r="D7" i="22"/>
  <c r="C7" i="22"/>
  <c r="O6" i="22"/>
  <c r="N6" i="22"/>
  <c r="M6" i="22"/>
  <c r="L6" i="22"/>
  <c r="K6" i="22"/>
  <c r="J6" i="22"/>
  <c r="I6" i="22"/>
  <c r="H6" i="22"/>
  <c r="F6" i="22"/>
  <c r="E6" i="22"/>
  <c r="D6" i="22"/>
  <c r="C6" i="22"/>
  <c r="O5" i="22"/>
  <c r="N5" i="22"/>
  <c r="M5" i="22"/>
  <c r="L5" i="22"/>
  <c r="K5" i="22"/>
  <c r="J5" i="22"/>
  <c r="I5" i="22"/>
  <c r="H5" i="22"/>
  <c r="F5" i="22"/>
  <c r="E5" i="22"/>
  <c r="D5" i="22"/>
  <c r="C5" i="22"/>
  <c r="O4" i="22"/>
  <c r="N4" i="22"/>
  <c r="M4" i="22"/>
  <c r="L4" i="22"/>
  <c r="K4" i="22"/>
  <c r="J4" i="22"/>
  <c r="I4" i="22"/>
  <c r="H4" i="22"/>
  <c r="F4" i="22"/>
  <c r="E4" i="22"/>
  <c r="D4" i="22"/>
  <c r="C4" i="22"/>
  <c r="O3" i="22"/>
  <c r="N3" i="22"/>
  <c r="M3" i="22"/>
  <c r="L3" i="22"/>
  <c r="K3" i="22"/>
  <c r="J3" i="22"/>
  <c r="I3" i="22"/>
  <c r="H3" i="22"/>
  <c r="F3" i="22"/>
  <c r="E3" i="22"/>
  <c r="D3" i="22"/>
  <c r="C3" i="22"/>
  <c r="O2" i="22"/>
  <c r="N2" i="22"/>
  <c r="M2" i="22"/>
  <c r="L2" i="22"/>
  <c r="K2" i="22"/>
  <c r="J2" i="22"/>
  <c r="I2" i="22"/>
  <c r="H2" i="22"/>
  <c r="F2" i="22"/>
  <c r="E2" i="22"/>
  <c r="D2" i="22"/>
  <c r="C2" i="22"/>
  <c r="W12" i="21"/>
  <c r="O12" i="21"/>
  <c r="F10" i="21"/>
  <c r="E10" i="21"/>
  <c r="F9" i="21"/>
  <c r="E9" i="21"/>
  <c r="F8" i="21"/>
  <c r="E8" i="21"/>
  <c r="F7" i="21"/>
  <c r="E7" i="21"/>
  <c r="F6" i="21"/>
  <c r="E6" i="21"/>
  <c r="F5" i="21"/>
  <c r="E5" i="21"/>
  <c r="F4" i="21"/>
  <c r="E4" i="21"/>
  <c r="F3" i="21"/>
  <c r="E3" i="21"/>
  <c r="O2" i="21"/>
  <c r="N2" i="21"/>
  <c r="N12" i="21" s="1"/>
  <c r="M2" i="21"/>
  <c r="M12" i="21" s="1"/>
  <c r="L2" i="21"/>
  <c r="L12" i="21" s="1"/>
  <c r="K2" i="21"/>
  <c r="K12" i="21" s="1"/>
  <c r="J2" i="21"/>
  <c r="J12" i="21" s="1"/>
  <c r="I2" i="21"/>
  <c r="I12" i="21" s="1"/>
  <c r="H2" i="21"/>
  <c r="H12" i="21" s="1"/>
  <c r="F2" i="21"/>
  <c r="E2" i="21"/>
  <c r="D2" i="21"/>
  <c r="C2" i="21"/>
  <c r="F6" i="20"/>
  <c r="E6" i="20"/>
  <c r="F5" i="20"/>
  <c r="E5" i="20"/>
  <c r="O4" i="20"/>
  <c r="N4" i="20"/>
  <c r="M4" i="20"/>
  <c r="L4" i="20"/>
  <c r="K4" i="20"/>
  <c r="J4" i="20"/>
  <c r="I4" i="20"/>
  <c r="H4" i="20"/>
  <c r="F4" i="20"/>
  <c r="E4" i="20"/>
  <c r="D4" i="20"/>
  <c r="C4" i="20"/>
  <c r="O3" i="20"/>
  <c r="N3" i="20"/>
  <c r="M3" i="20"/>
  <c r="L3" i="20"/>
  <c r="K3" i="20"/>
  <c r="J3" i="20"/>
  <c r="I3" i="20"/>
  <c r="H3" i="20"/>
  <c r="F3" i="20"/>
  <c r="E3" i="20"/>
  <c r="D3" i="20"/>
  <c r="C3" i="20"/>
  <c r="O2" i="20"/>
  <c r="O8" i="20" s="1"/>
  <c r="N2" i="20"/>
  <c r="M2" i="20"/>
  <c r="L2" i="20"/>
  <c r="K2" i="20"/>
  <c r="J2" i="20"/>
  <c r="J8" i="20" s="1"/>
  <c r="I2" i="20"/>
  <c r="H2" i="20"/>
  <c r="F2" i="20"/>
  <c r="E2" i="20"/>
  <c r="D2" i="20"/>
  <c r="C2" i="20"/>
  <c r="Y5" i="19"/>
  <c r="X5" i="19"/>
  <c r="W5" i="19"/>
  <c r="V5" i="19"/>
  <c r="T5" i="19"/>
  <c r="S5" i="19"/>
  <c r="U5" i="19" s="1"/>
  <c r="Q5" i="19"/>
  <c r="P5" i="19"/>
  <c r="R5" i="19" s="1"/>
  <c r="F3" i="19"/>
  <c r="E3" i="19"/>
  <c r="D3" i="19"/>
  <c r="C3" i="19"/>
  <c r="F2" i="19"/>
  <c r="E2" i="19"/>
  <c r="D2" i="19"/>
  <c r="C2" i="19"/>
  <c r="F2" i="18"/>
  <c r="E2" i="18"/>
  <c r="D2" i="18"/>
  <c r="C2" i="18"/>
  <c r="K5" i="17"/>
  <c r="F3" i="17"/>
  <c r="E3" i="17"/>
  <c r="D3" i="17"/>
  <c r="C3" i="17"/>
  <c r="O2" i="17"/>
  <c r="O5" i="17" s="1"/>
  <c r="T5" i="17" s="1"/>
  <c r="N2" i="17"/>
  <c r="N5" i="17" s="1"/>
  <c r="M2" i="17"/>
  <c r="M5" i="17" s="1"/>
  <c r="L2" i="17"/>
  <c r="L5" i="17" s="1"/>
  <c r="K2" i="17"/>
  <c r="J2" i="17"/>
  <c r="J5" i="17" s="1"/>
  <c r="I2" i="17"/>
  <c r="I5" i="17" s="1"/>
  <c r="H2" i="17"/>
  <c r="H5" i="17" s="1"/>
  <c r="F2" i="17"/>
  <c r="E2" i="17"/>
  <c r="D2" i="17"/>
  <c r="C2" i="17"/>
  <c r="Z58" i="16"/>
  <c r="AA58" i="16" s="1"/>
  <c r="Y58" i="16"/>
  <c r="N58" i="16"/>
  <c r="M58" i="16"/>
  <c r="L58" i="16"/>
  <c r="K58" i="16"/>
  <c r="J58" i="16"/>
  <c r="I58" i="16"/>
  <c r="H58" i="16"/>
  <c r="G58" i="16"/>
  <c r="F58" i="16"/>
  <c r="E58" i="16"/>
  <c r="AB58" i="16" s="1"/>
  <c r="Z57" i="16"/>
  <c r="AA57" i="16" s="1"/>
  <c r="Y57" i="16"/>
  <c r="N57" i="16"/>
  <c r="M57" i="16"/>
  <c r="L57" i="16"/>
  <c r="K57" i="16"/>
  <c r="J57" i="16"/>
  <c r="I57" i="16"/>
  <c r="H57" i="16"/>
  <c r="G57" i="16"/>
  <c r="F57" i="16"/>
  <c r="E57" i="16"/>
  <c r="AB57" i="16" s="1"/>
  <c r="Z56" i="16"/>
  <c r="AA56" i="16" s="1"/>
  <c r="Y56" i="16"/>
  <c r="N56" i="16"/>
  <c r="M56" i="16"/>
  <c r="L56" i="16"/>
  <c r="K56" i="16"/>
  <c r="J56" i="16"/>
  <c r="I56" i="16"/>
  <c r="H56" i="16"/>
  <c r="G56" i="16"/>
  <c r="F56" i="16"/>
  <c r="E56" i="16"/>
  <c r="AB56" i="16" s="1"/>
  <c r="Z55" i="16"/>
  <c r="AA55" i="16" s="1"/>
  <c r="Y55" i="16"/>
  <c r="N55" i="16"/>
  <c r="M55" i="16"/>
  <c r="L55" i="16"/>
  <c r="K55" i="16"/>
  <c r="J55" i="16"/>
  <c r="I55" i="16"/>
  <c r="H55" i="16"/>
  <c r="G55" i="16"/>
  <c r="F55" i="16"/>
  <c r="E55" i="16"/>
  <c r="AB55" i="16" s="1"/>
  <c r="Z54" i="16"/>
  <c r="AA54" i="16" s="1"/>
  <c r="Y54" i="16"/>
  <c r="N54" i="16"/>
  <c r="M54" i="16"/>
  <c r="L54" i="16"/>
  <c r="K54" i="16"/>
  <c r="J54" i="16"/>
  <c r="I54" i="16"/>
  <c r="H54" i="16"/>
  <c r="G54" i="16"/>
  <c r="F54" i="16"/>
  <c r="E54" i="16"/>
  <c r="AB54" i="16" s="1"/>
  <c r="Z53" i="16"/>
  <c r="AA53" i="16" s="1"/>
  <c r="Y53" i="16"/>
  <c r="N53" i="16"/>
  <c r="M53" i="16"/>
  <c r="L53" i="16"/>
  <c r="K53" i="16"/>
  <c r="J53" i="16"/>
  <c r="I53" i="16"/>
  <c r="H53" i="16"/>
  <c r="G53" i="16"/>
  <c r="F53" i="16"/>
  <c r="E53" i="16"/>
  <c r="AB53" i="16" s="1"/>
  <c r="Z52" i="16"/>
  <c r="AA52" i="16" s="1"/>
  <c r="Y52" i="16"/>
  <c r="N52" i="16"/>
  <c r="M52" i="16"/>
  <c r="L52" i="16"/>
  <c r="K52" i="16"/>
  <c r="J52" i="16"/>
  <c r="I52" i="16"/>
  <c r="H52" i="16"/>
  <c r="G52" i="16"/>
  <c r="F52" i="16"/>
  <c r="E52" i="16"/>
  <c r="AB52" i="16" s="1"/>
  <c r="Z51" i="16"/>
  <c r="AA51" i="16" s="1"/>
  <c r="Y51" i="16"/>
  <c r="N51" i="16"/>
  <c r="M51" i="16"/>
  <c r="L51" i="16"/>
  <c r="K51" i="16"/>
  <c r="J51" i="16"/>
  <c r="I51" i="16"/>
  <c r="H51" i="16"/>
  <c r="G51" i="16"/>
  <c r="F51" i="16"/>
  <c r="E51" i="16"/>
  <c r="AB51" i="16" s="1"/>
  <c r="Z50" i="16"/>
  <c r="AA50" i="16" s="1"/>
  <c r="Y50" i="16"/>
  <c r="N50" i="16"/>
  <c r="M50" i="16"/>
  <c r="L50" i="16"/>
  <c r="K50" i="16"/>
  <c r="J50" i="16"/>
  <c r="I50" i="16"/>
  <c r="H50" i="16"/>
  <c r="G50" i="16"/>
  <c r="F50" i="16"/>
  <c r="E50" i="16"/>
  <c r="AB50" i="16" s="1"/>
  <c r="Z49" i="16"/>
  <c r="AA49" i="16" s="1"/>
  <c r="Y49" i="16"/>
  <c r="N49" i="16"/>
  <c r="M49" i="16"/>
  <c r="L49" i="16"/>
  <c r="K49" i="16"/>
  <c r="J49" i="16"/>
  <c r="I49" i="16"/>
  <c r="H49" i="16"/>
  <c r="G49" i="16"/>
  <c r="F49" i="16"/>
  <c r="E49" i="16"/>
  <c r="AB49" i="16" s="1"/>
  <c r="Z48" i="16"/>
  <c r="AA48" i="16" s="1"/>
  <c r="Y48" i="16"/>
  <c r="N48" i="16"/>
  <c r="M48" i="16"/>
  <c r="L48" i="16"/>
  <c r="K48" i="16"/>
  <c r="J48" i="16"/>
  <c r="I48" i="16"/>
  <c r="H48" i="16"/>
  <c r="G48" i="16"/>
  <c r="F48" i="16"/>
  <c r="E48" i="16"/>
  <c r="AB48" i="16" s="1"/>
  <c r="Z47" i="16"/>
  <c r="AA47" i="16" s="1"/>
  <c r="Y47" i="16"/>
  <c r="N47" i="16"/>
  <c r="M47" i="16"/>
  <c r="L47" i="16"/>
  <c r="K47" i="16"/>
  <c r="J47" i="16"/>
  <c r="I47" i="16"/>
  <c r="H47" i="16"/>
  <c r="G47" i="16"/>
  <c r="F47" i="16"/>
  <c r="E47" i="16"/>
  <c r="AB47" i="16" s="1"/>
  <c r="Z46" i="16"/>
  <c r="AA46" i="16" s="1"/>
  <c r="Y46" i="16"/>
  <c r="N46" i="16"/>
  <c r="M46" i="16"/>
  <c r="L46" i="16"/>
  <c r="K46" i="16"/>
  <c r="J46" i="16"/>
  <c r="I46" i="16"/>
  <c r="H46" i="16"/>
  <c r="G46" i="16"/>
  <c r="F46" i="16"/>
  <c r="E46" i="16"/>
  <c r="AB46" i="16" s="1"/>
  <c r="Z45" i="16"/>
  <c r="AA45" i="16" s="1"/>
  <c r="Y45" i="16"/>
  <c r="N45" i="16"/>
  <c r="M45" i="16"/>
  <c r="L45" i="16"/>
  <c r="K45" i="16"/>
  <c r="J45" i="16"/>
  <c r="I45" i="16"/>
  <c r="H45" i="16"/>
  <c r="G45" i="16"/>
  <c r="F45" i="16"/>
  <c r="E45" i="16"/>
  <c r="AB45" i="16" s="1"/>
  <c r="AA44" i="16"/>
  <c r="N44" i="16"/>
  <c r="M44" i="16"/>
  <c r="L44" i="16"/>
  <c r="K44" i="16"/>
  <c r="J44" i="16"/>
  <c r="I44" i="16"/>
  <c r="H44" i="16"/>
  <c r="G44" i="16"/>
  <c r="F44" i="16"/>
  <c r="E44" i="16"/>
  <c r="AB44" i="16" s="1"/>
  <c r="Z43" i="16"/>
  <c r="AA43" i="16" s="1"/>
  <c r="Y43" i="16"/>
  <c r="N43" i="16"/>
  <c r="M43" i="16"/>
  <c r="L43" i="16"/>
  <c r="K43" i="16"/>
  <c r="J43" i="16"/>
  <c r="I43" i="16"/>
  <c r="H43" i="16"/>
  <c r="G43" i="16"/>
  <c r="F43" i="16"/>
  <c r="E43" i="16"/>
  <c r="AB43" i="16" s="1"/>
  <c r="Z42" i="16"/>
  <c r="AA42" i="16" s="1"/>
  <c r="Y42" i="16"/>
  <c r="N42" i="16"/>
  <c r="M42" i="16"/>
  <c r="L42" i="16"/>
  <c r="K42" i="16"/>
  <c r="J42" i="16"/>
  <c r="I42" i="16"/>
  <c r="H42" i="16"/>
  <c r="G42" i="16"/>
  <c r="F42" i="16"/>
  <c r="E42" i="16"/>
  <c r="AB42" i="16" s="1"/>
  <c r="Z41" i="16"/>
  <c r="AA41" i="16" s="1"/>
  <c r="Y41" i="16"/>
  <c r="N41" i="16"/>
  <c r="M41" i="16"/>
  <c r="L41" i="16"/>
  <c r="K41" i="16"/>
  <c r="J41" i="16"/>
  <c r="I41" i="16"/>
  <c r="H41" i="16"/>
  <c r="G41" i="16"/>
  <c r="F41" i="16"/>
  <c r="E41" i="16"/>
  <c r="AB41" i="16" s="1"/>
  <c r="Z40" i="16"/>
  <c r="AA40" i="16" s="1"/>
  <c r="Y40" i="16"/>
  <c r="N40" i="16"/>
  <c r="M40" i="16"/>
  <c r="L40" i="16"/>
  <c r="K40" i="16"/>
  <c r="J40" i="16"/>
  <c r="I40" i="16"/>
  <c r="H40" i="16"/>
  <c r="G40" i="16"/>
  <c r="F40" i="16"/>
  <c r="E40" i="16"/>
  <c r="AB40" i="16" s="1"/>
  <c r="Z39" i="16"/>
  <c r="AA39" i="16" s="1"/>
  <c r="Y39" i="16"/>
  <c r="N39" i="16"/>
  <c r="M39" i="16"/>
  <c r="L39" i="16"/>
  <c r="K39" i="16"/>
  <c r="J39" i="16"/>
  <c r="I39" i="16"/>
  <c r="H39" i="16"/>
  <c r="G39" i="16"/>
  <c r="F39" i="16"/>
  <c r="E39" i="16"/>
  <c r="AB39" i="16" s="1"/>
  <c r="Z38" i="16"/>
  <c r="AA38" i="16" s="1"/>
  <c r="Y38" i="16"/>
  <c r="N38" i="16"/>
  <c r="M38" i="16"/>
  <c r="L38" i="16"/>
  <c r="K38" i="16"/>
  <c r="J38" i="16"/>
  <c r="I38" i="16"/>
  <c r="H38" i="16"/>
  <c r="G38" i="16"/>
  <c r="F38" i="16"/>
  <c r="E38" i="16"/>
  <c r="AB38" i="16" s="1"/>
  <c r="Z37" i="16"/>
  <c r="AA37" i="16" s="1"/>
  <c r="Y37" i="16"/>
  <c r="N37" i="16"/>
  <c r="M37" i="16"/>
  <c r="L37" i="16"/>
  <c r="K37" i="16"/>
  <c r="J37" i="16"/>
  <c r="I37" i="16"/>
  <c r="H37" i="16"/>
  <c r="G37" i="16"/>
  <c r="F37" i="16"/>
  <c r="E37" i="16"/>
  <c r="AB37" i="16" s="1"/>
  <c r="Z36" i="16"/>
  <c r="AA36" i="16" s="1"/>
  <c r="Y36" i="16"/>
  <c r="N36" i="16"/>
  <c r="M36" i="16"/>
  <c r="L36" i="16"/>
  <c r="K36" i="16"/>
  <c r="J36" i="16"/>
  <c r="I36" i="16"/>
  <c r="H36" i="16"/>
  <c r="G36" i="16"/>
  <c r="F36" i="16"/>
  <c r="E36" i="16"/>
  <c r="AB36" i="16" s="1"/>
  <c r="Z35" i="16"/>
  <c r="AA35" i="16" s="1"/>
  <c r="Y35" i="16"/>
  <c r="N35" i="16"/>
  <c r="M35" i="16"/>
  <c r="L35" i="16"/>
  <c r="K35" i="16"/>
  <c r="J35" i="16"/>
  <c r="I35" i="16"/>
  <c r="H35" i="16"/>
  <c r="G35" i="16"/>
  <c r="F35" i="16"/>
  <c r="E35" i="16"/>
  <c r="AB35" i="16" s="1"/>
  <c r="Z34" i="16"/>
  <c r="AA34" i="16" s="1"/>
  <c r="Y34" i="16"/>
  <c r="N34" i="16"/>
  <c r="M34" i="16"/>
  <c r="L34" i="16"/>
  <c r="K34" i="16"/>
  <c r="J34" i="16"/>
  <c r="I34" i="16"/>
  <c r="H34" i="16"/>
  <c r="G34" i="16"/>
  <c r="F34" i="16"/>
  <c r="E34" i="16"/>
  <c r="AB34" i="16" s="1"/>
  <c r="Z33" i="16"/>
  <c r="AA33" i="16" s="1"/>
  <c r="Y33" i="16"/>
  <c r="N33" i="16"/>
  <c r="M33" i="16"/>
  <c r="L33" i="16"/>
  <c r="K33" i="16"/>
  <c r="J33" i="16"/>
  <c r="I33" i="16"/>
  <c r="H33" i="16"/>
  <c r="G33" i="16"/>
  <c r="F33" i="16"/>
  <c r="E33" i="16"/>
  <c r="AB33" i="16" s="1"/>
  <c r="Z32" i="16"/>
  <c r="AA32" i="16" s="1"/>
  <c r="Y32" i="16"/>
  <c r="N32" i="16"/>
  <c r="M32" i="16"/>
  <c r="L32" i="16"/>
  <c r="K32" i="16"/>
  <c r="J32" i="16"/>
  <c r="I32" i="16"/>
  <c r="H32" i="16"/>
  <c r="G32" i="16"/>
  <c r="F32" i="16"/>
  <c r="E32" i="16"/>
  <c r="AB32" i="16" s="1"/>
  <c r="Z31" i="16"/>
  <c r="AA31" i="16" s="1"/>
  <c r="Y31" i="16"/>
  <c r="N31" i="16"/>
  <c r="M31" i="16"/>
  <c r="L31" i="16"/>
  <c r="K31" i="16"/>
  <c r="J31" i="16"/>
  <c r="I31" i="16"/>
  <c r="H31" i="16"/>
  <c r="G31" i="16"/>
  <c r="F31" i="16"/>
  <c r="E31" i="16"/>
  <c r="AB31" i="16" s="1"/>
  <c r="Z30" i="16"/>
  <c r="AA30" i="16" s="1"/>
  <c r="Y30" i="16"/>
  <c r="N30" i="16"/>
  <c r="M30" i="16"/>
  <c r="L30" i="16"/>
  <c r="K30" i="16"/>
  <c r="J30" i="16"/>
  <c r="I30" i="16"/>
  <c r="H30" i="16"/>
  <c r="G30" i="16"/>
  <c r="F30" i="16"/>
  <c r="E30" i="16"/>
  <c r="AB30" i="16" s="1"/>
  <c r="Z29" i="16"/>
  <c r="AA29" i="16" s="1"/>
  <c r="Y29" i="16"/>
  <c r="N29" i="16"/>
  <c r="M29" i="16"/>
  <c r="L29" i="16"/>
  <c r="K29" i="16"/>
  <c r="J29" i="16"/>
  <c r="I29" i="16"/>
  <c r="H29" i="16"/>
  <c r="G29" i="16"/>
  <c r="F29" i="16"/>
  <c r="E29" i="16"/>
  <c r="AB29" i="16" s="1"/>
  <c r="Z28" i="16"/>
  <c r="AA28" i="16" s="1"/>
  <c r="Y28" i="16"/>
  <c r="N28" i="16"/>
  <c r="M28" i="16"/>
  <c r="L28" i="16"/>
  <c r="K28" i="16"/>
  <c r="J28" i="16"/>
  <c r="I28" i="16"/>
  <c r="H28" i="16"/>
  <c r="G28" i="16"/>
  <c r="F28" i="16"/>
  <c r="E28" i="16"/>
  <c r="AB28" i="16" s="1"/>
  <c r="Z27" i="16"/>
  <c r="AA27" i="16" s="1"/>
  <c r="Y27" i="16"/>
  <c r="N27" i="16"/>
  <c r="M27" i="16"/>
  <c r="L27" i="16"/>
  <c r="K27" i="16"/>
  <c r="J27" i="16"/>
  <c r="I27" i="16"/>
  <c r="H27" i="16"/>
  <c r="G27" i="16"/>
  <c r="F27" i="16"/>
  <c r="E27" i="16"/>
  <c r="AB27" i="16" s="1"/>
  <c r="Z26" i="16"/>
  <c r="AA26" i="16" s="1"/>
  <c r="Y26" i="16"/>
  <c r="N26" i="16"/>
  <c r="M26" i="16"/>
  <c r="L26" i="16"/>
  <c r="K26" i="16"/>
  <c r="J26" i="16"/>
  <c r="I26" i="16"/>
  <c r="H26" i="16"/>
  <c r="G26" i="16"/>
  <c r="F26" i="16"/>
  <c r="E26" i="16"/>
  <c r="AB26" i="16" s="1"/>
  <c r="Z25" i="16"/>
  <c r="AA25" i="16" s="1"/>
  <c r="Y25" i="16"/>
  <c r="N25" i="16"/>
  <c r="M25" i="16"/>
  <c r="L25" i="16"/>
  <c r="K25" i="16"/>
  <c r="J25" i="16"/>
  <c r="I25" i="16"/>
  <c r="H25" i="16"/>
  <c r="G25" i="16"/>
  <c r="F25" i="16"/>
  <c r="E25" i="16"/>
  <c r="AB25" i="16" s="1"/>
  <c r="Z24" i="16"/>
  <c r="AA24" i="16" s="1"/>
  <c r="Y24" i="16"/>
  <c r="N24" i="16"/>
  <c r="M24" i="16"/>
  <c r="L24" i="16"/>
  <c r="K24" i="16"/>
  <c r="J24" i="16"/>
  <c r="I24" i="16"/>
  <c r="H24" i="16"/>
  <c r="G24" i="16"/>
  <c r="F24" i="16"/>
  <c r="E24" i="16"/>
  <c r="AB24" i="16" s="1"/>
  <c r="Z23" i="16"/>
  <c r="AA23" i="16" s="1"/>
  <c r="Y23" i="16"/>
  <c r="N23" i="16"/>
  <c r="M23" i="16"/>
  <c r="L23" i="16"/>
  <c r="K23" i="16"/>
  <c r="J23" i="16"/>
  <c r="I23" i="16"/>
  <c r="H23" i="16"/>
  <c r="G23" i="16"/>
  <c r="F23" i="16"/>
  <c r="E23" i="16"/>
  <c r="AB23" i="16" s="1"/>
  <c r="Z22" i="16"/>
  <c r="AA22" i="16" s="1"/>
  <c r="Y22" i="16"/>
  <c r="N22" i="16"/>
  <c r="M22" i="16"/>
  <c r="L22" i="16"/>
  <c r="K22" i="16"/>
  <c r="J22" i="16"/>
  <c r="I22" i="16"/>
  <c r="H22" i="16"/>
  <c r="G22" i="16"/>
  <c r="F22" i="16"/>
  <c r="E22" i="16"/>
  <c r="AB22" i="16" s="1"/>
  <c r="Z21" i="16"/>
  <c r="AA21" i="16" s="1"/>
  <c r="Y21" i="16"/>
  <c r="N21" i="16"/>
  <c r="M21" i="16"/>
  <c r="L21" i="16"/>
  <c r="K21" i="16"/>
  <c r="J21" i="16"/>
  <c r="I21" i="16"/>
  <c r="H21" i="16"/>
  <c r="G21" i="16"/>
  <c r="F21" i="16"/>
  <c r="E21" i="16"/>
  <c r="AB21" i="16" s="1"/>
  <c r="Z20" i="16"/>
  <c r="AA20" i="16" s="1"/>
  <c r="Y20" i="16"/>
  <c r="N20" i="16"/>
  <c r="M20" i="16"/>
  <c r="L20" i="16"/>
  <c r="K20" i="16"/>
  <c r="J20" i="16"/>
  <c r="I20" i="16"/>
  <c r="H20" i="16"/>
  <c r="G20" i="16"/>
  <c r="F20" i="16"/>
  <c r="E20" i="16"/>
  <c r="AB20" i="16" s="1"/>
  <c r="Z19" i="16"/>
  <c r="AA19" i="16" s="1"/>
  <c r="Y19" i="16"/>
  <c r="N19" i="16"/>
  <c r="M19" i="16"/>
  <c r="L19" i="16"/>
  <c r="K19" i="16"/>
  <c r="J19" i="16"/>
  <c r="I19" i="16"/>
  <c r="H19" i="16"/>
  <c r="G19" i="16"/>
  <c r="F19" i="16"/>
  <c r="E19" i="16"/>
  <c r="AB19" i="16" s="1"/>
  <c r="Z18" i="16"/>
  <c r="AA18" i="16" s="1"/>
  <c r="Y18" i="16"/>
  <c r="N18" i="16"/>
  <c r="M18" i="16"/>
  <c r="L18" i="16"/>
  <c r="K18" i="16"/>
  <c r="J18" i="16"/>
  <c r="I18" i="16"/>
  <c r="H18" i="16"/>
  <c r="G18" i="16"/>
  <c r="F18" i="16"/>
  <c r="E18" i="16"/>
  <c r="AB18" i="16" s="1"/>
  <c r="Z17" i="16"/>
  <c r="AA17" i="16" s="1"/>
  <c r="Y17" i="16"/>
  <c r="N17" i="16"/>
  <c r="M17" i="16"/>
  <c r="L17" i="16"/>
  <c r="K17" i="16"/>
  <c r="J17" i="16"/>
  <c r="I17" i="16"/>
  <c r="H17" i="16"/>
  <c r="G17" i="16"/>
  <c r="F17" i="16"/>
  <c r="E17" i="16"/>
  <c r="AB17" i="16" s="1"/>
  <c r="Z16" i="16"/>
  <c r="AA16" i="16" s="1"/>
  <c r="Y16" i="16"/>
  <c r="N16" i="16"/>
  <c r="M16" i="16"/>
  <c r="L16" i="16"/>
  <c r="K16" i="16"/>
  <c r="J16" i="16"/>
  <c r="I16" i="16"/>
  <c r="H16" i="16"/>
  <c r="G16" i="16"/>
  <c r="F16" i="16"/>
  <c r="E16" i="16"/>
  <c r="AB16" i="16" s="1"/>
  <c r="Z15" i="16"/>
  <c r="AA15" i="16" s="1"/>
  <c r="Y15" i="16"/>
  <c r="N15" i="16"/>
  <c r="M15" i="16"/>
  <c r="L15" i="16"/>
  <c r="K15" i="16"/>
  <c r="J15" i="16"/>
  <c r="I15" i="16"/>
  <c r="H15" i="16"/>
  <c r="G15" i="16"/>
  <c r="F15" i="16"/>
  <c r="E15" i="16"/>
  <c r="AB15" i="16" s="1"/>
  <c r="Z14" i="16"/>
  <c r="AA14" i="16" s="1"/>
  <c r="Y14" i="16"/>
  <c r="N14" i="16"/>
  <c r="M14" i="16"/>
  <c r="L14" i="16"/>
  <c r="K14" i="16"/>
  <c r="J14" i="16"/>
  <c r="I14" i="16"/>
  <c r="H14" i="16"/>
  <c r="G14" i="16"/>
  <c r="F14" i="16"/>
  <c r="E14" i="16"/>
  <c r="AB14" i="16" s="1"/>
  <c r="Z13" i="16"/>
  <c r="AA13" i="16" s="1"/>
  <c r="Y13" i="16"/>
  <c r="N13" i="16"/>
  <c r="M13" i="16"/>
  <c r="L13" i="16"/>
  <c r="K13" i="16"/>
  <c r="J13" i="16"/>
  <c r="I13" i="16"/>
  <c r="H13" i="16"/>
  <c r="G13" i="16"/>
  <c r="F13" i="16"/>
  <c r="E13" i="16"/>
  <c r="AB13" i="16" s="1"/>
  <c r="Z12" i="16"/>
  <c r="AA12" i="16" s="1"/>
  <c r="Y12" i="16"/>
  <c r="N12" i="16"/>
  <c r="M12" i="16"/>
  <c r="L12" i="16"/>
  <c r="K12" i="16"/>
  <c r="J12" i="16"/>
  <c r="I12" i="16"/>
  <c r="H12" i="16"/>
  <c r="G12" i="16"/>
  <c r="F12" i="16"/>
  <c r="E12" i="16"/>
  <c r="AB12" i="16" s="1"/>
  <c r="Z11" i="16"/>
  <c r="AA11" i="16" s="1"/>
  <c r="Y11" i="16"/>
  <c r="N11" i="16"/>
  <c r="M11" i="16"/>
  <c r="L11" i="16"/>
  <c r="K11" i="16"/>
  <c r="J11" i="16"/>
  <c r="I11" i="16"/>
  <c r="H11" i="16"/>
  <c r="G11" i="16"/>
  <c r="F11" i="16"/>
  <c r="E11" i="16"/>
  <c r="AB11" i="16" s="1"/>
  <c r="Z10" i="16"/>
  <c r="AA10" i="16" s="1"/>
  <c r="Y10" i="16"/>
  <c r="N10" i="16"/>
  <c r="M10" i="16"/>
  <c r="L10" i="16"/>
  <c r="K10" i="16"/>
  <c r="J10" i="16"/>
  <c r="I10" i="16"/>
  <c r="H10" i="16"/>
  <c r="G10" i="16"/>
  <c r="F10" i="16"/>
  <c r="E10" i="16"/>
  <c r="AB10" i="16" s="1"/>
  <c r="Z9" i="16"/>
  <c r="AA9" i="16" s="1"/>
  <c r="Y9" i="16"/>
  <c r="N9" i="16"/>
  <c r="M9" i="16"/>
  <c r="L9" i="16"/>
  <c r="K9" i="16"/>
  <c r="J9" i="16"/>
  <c r="I9" i="16"/>
  <c r="H9" i="16"/>
  <c r="G9" i="16"/>
  <c r="F9" i="16"/>
  <c r="E9" i="16"/>
  <c r="AB9" i="16" s="1"/>
  <c r="Z8" i="16"/>
  <c r="AA8" i="16" s="1"/>
  <c r="Y8" i="16"/>
  <c r="N8" i="16"/>
  <c r="M8" i="16"/>
  <c r="L8" i="16"/>
  <c r="K8" i="16"/>
  <c r="J8" i="16"/>
  <c r="I8" i="16"/>
  <c r="H8" i="16"/>
  <c r="G8" i="16"/>
  <c r="F8" i="16"/>
  <c r="E8" i="16"/>
  <c r="AB8" i="16" s="1"/>
  <c r="Z7" i="16"/>
  <c r="AA7" i="16" s="1"/>
  <c r="Y7" i="16"/>
  <c r="N7" i="16"/>
  <c r="M7" i="16"/>
  <c r="L7" i="16"/>
  <c r="K7" i="16"/>
  <c r="J7" i="16"/>
  <c r="I7" i="16"/>
  <c r="H7" i="16"/>
  <c r="G7" i="16"/>
  <c r="F7" i="16"/>
  <c r="E7" i="16"/>
  <c r="AB7" i="16" s="1"/>
  <c r="Z6" i="16"/>
  <c r="AA6" i="16" s="1"/>
  <c r="Y6" i="16"/>
  <c r="N6" i="16"/>
  <c r="M6" i="16"/>
  <c r="L6" i="16"/>
  <c r="K6" i="16"/>
  <c r="J6" i="16"/>
  <c r="I6" i="16"/>
  <c r="H6" i="16"/>
  <c r="G6" i="16"/>
  <c r="F6" i="16"/>
  <c r="E6" i="16"/>
  <c r="AB6" i="16" s="1"/>
  <c r="Z5" i="16"/>
  <c r="AA5" i="16" s="1"/>
  <c r="Y5" i="16"/>
  <c r="N5" i="16"/>
  <c r="M5" i="16"/>
  <c r="L5" i="16"/>
  <c r="K5" i="16"/>
  <c r="J5" i="16"/>
  <c r="I5" i="16"/>
  <c r="H5" i="16"/>
  <c r="G5" i="16"/>
  <c r="F5" i="16"/>
  <c r="E5" i="16"/>
  <c r="AB5" i="16" s="1"/>
  <c r="Z4" i="16"/>
  <c r="AA4" i="16" s="1"/>
  <c r="Y4" i="16"/>
  <c r="N4" i="16"/>
  <c r="M4" i="16"/>
  <c r="M2" i="16" s="1"/>
  <c r="L4" i="16"/>
  <c r="K4" i="16"/>
  <c r="J4" i="16"/>
  <c r="I4" i="16"/>
  <c r="H4" i="16"/>
  <c r="G4" i="16"/>
  <c r="F4" i="16"/>
  <c r="E4" i="16"/>
  <c r="AB4" i="16" s="1"/>
  <c r="M33" i="13"/>
  <c r="L33" i="13"/>
  <c r="K33" i="13"/>
  <c r="J33" i="13"/>
  <c r="M32" i="13"/>
  <c r="L32" i="13"/>
  <c r="K32" i="13"/>
  <c r="J32" i="13"/>
  <c r="M31" i="13"/>
  <c r="L31" i="13"/>
  <c r="K31" i="13"/>
  <c r="J31" i="13"/>
  <c r="M30" i="13"/>
  <c r="L30" i="13"/>
  <c r="K30" i="13"/>
  <c r="J30" i="13"/>
  <c r="M29" i="13"/>
  <c r="L29" i="13"/>
  <c r="K29" i="13"/>
  <c r="J29" i="13"/>
  <c r="M28" i="13"/>
  <c r="L28" i="13"/>
  <c r="K28" i="13"/>
  <c r="J28" i="13"/>
  <c r="M27" i="13"/>
  <c r="L27" i="13"/>
  <c r="K27" i="13"/>
  <c r="J27" i="13"/>
  <c r="M26" i="13"/>
  <c r="L26" i="13"/>
  <c r="K26" i="13"/>
  <c r="J26" i="13"/>
  <c r="M25" i="13"/>
  <c r="L25" i="13"/>
  <c r="K25" i="13"/>
  <c r="J25" i="13"/>
  <c r="M24" i="13"/>
  <c r="L24" i="13"/>
  <c r="K24" i="13"/>
  <c r="J24" i="13"/>
  <c r="M23" i="13"/>
  <c r="L23" i="13"/>
  <c r="K23" i="13"/>
  <c r="J23" i="13"/>
  <c r="M22" i="13"/>
  <c r="L22" i="13"/>
  <c r="K22" i="13"/>
  <c r="J22" i="13"/>
  <c r="M21" i="13"/>
  <c r="L21" i="13"/>
  <c r="K21" i="13"/>
  <c r="J21" i="13"/>
  <c r="E63" i="12"/>
  <c r="E62" i="12"/>
  <c r="E61" i="12"/>
  <c r="E60" i="12"/>
  <c r="F59" i="12"/>
  <c r="E59" i="12"/>
  <c r="F58" i="12"/>
  <c r="E58" i="12"/>
  <c r="F57" i="12"/>
  <c r="E57" i="12"/>
  <c r="F56" i="12"/>
  <c r="E56" i="12"/>
  <c r="F55" i="12"/>
  <c r="E55" i="12"/>
  <c r="F54" i="12"/>
  <c r="E54" i="12"/>
  <c r="F53" i="12"/>
  <c r="E53" i="12"/>
  <c r="F52" i="12"/>
  <c r="E52" i="12"/>
  <c r="F51" i="12"/>
  <c r="E51" i="12"/>
  <c r="F50" i="12"/>
  <c r="E50" i="12"/>
  <c r="F49" i="12"/>
  <c r="E49" i="12"/>
  <c r="F48" i="12"/>
  <c r="E48" i="12"/>
  <c r="F47" i="12"/>
  <c r="E47" i="12"/>
  <c r="F46" i="12"/>
  <c r="E46" i="12"/>
  <c r="F45" i="12"/>
  <c r="E45" i="12"/>
  <c r="F44" i="12"/>
  <c r="E44" i="12"/>
  <c r="F43" i="12"/>
  <c r="E43" i="12"/>
  <c r="F42" i="12"/>
  <c r="E42" i="12"/>
  <c r="F41" i="12"/>
  <c r="E41" i="12"/>
  <c r="F40" i="12"/>
  <c r="E40" i="12"/>
  <c r="F39" i="12"/>
  <c r="E39" i="12"/>
  <c r="F38" i="12"/>
  <c r="E38" i="12"/>
  <c r="F37" i="12"/>
  <c r="E37" i="12"/>
  <c r="F36" i="12"/>
  <c r="E36" i="12"/>
  <c r="F35" i="12"/>
  <c r="E35" i="12"/>
  <c r="F34" i="12"/>
  <c r="E34" i="12"/>
  <c r="F33" i="12"/>
  <c r="E33" i="12"/>
  <c r="F32" i="12"/>
  <c r="E32" i="12"/>
  <c r="F31" i="12"/>
  <c r="E31" i="12"/>
  <c r="F30" i="12"/>
  <c r="E30" i="12"/>
  <c r="F29" i="12"/>
  <c r="E29" i="12"/>
  <c r="F28" i="12"/>
  <c r="E28" i="12"/>
  <c r="F27" i="12"/>
  <c r="E27" i="12"/>
  <c r="F26" i="12"/>
  <c r="E26" i="12"/>
  <c r="F25" i="12"/>
  <c r="E25" i="12"/>
  <c r="F24" i="12"/>
  <c r="E24" i="12"/>
  <c r="F23" i="12"/>
  <c r="E23" i="12"/>
  <c r="F22" i="12"/>
  <c r="E22" i="12"/>
  <c r="F21" i="12"/>
  <c r="E21" i="12"/>
  <c r="F20" i="12"/>
  <c r="E20" i="12"/>
  <c r="F19" i="12"/>
  <c r="E19" i="12"/>
  <c r="F18" i="12"/>
  <c r="E18" i="12"/>
  <c r="F17" i="12"/>
  <c r="E17" i="12"/>
  <c r="F16" i="12"/>
  <c r="E16" i="12"/>
  <c r="F15" i="12"/>
  <c r="E15" i="12"/>
  <c r="F14" i="12"/>
  <c r="E14" i="12"/>
  <c r="O13" i="12"/>
  <c r="N13" i="12"/>
  <c r="M13" i="12"/>
  <c r="L13" i="12"/>
  <c r="K13" i="12"/>
  <c r="J13" i="12"/>
  <c r="I13" i="12"/>
  <c r="H13" i="12"/>
  <c r="F13" i="12"/>
  <c r="E13" i="12"/>
  <c r="D13" i="12"/>
  <c r="C13" i="12"/>
  <c r="F12" i="12"/>
  <c r="E12" i="12"/>
  <c r="F11" i="12"/>
  <c r="E11" i="12"/>
  <c r="O10" i="12"/>
  <c r="N10" i="12"/>
  <c r="M10" i="12"/>
  <c r="L10" i="12"/>
  <c r="K10" i="12"/>
  <c r="J10" i="12"/>
  <c r="I10" i="12"/>
  <c r="H10" i="12"/>
  <c r="F10" i="12"/>
  <c r="E10" i="12"/>
  <c r="D10" i="12"/>
  <c r="C10" i="12"/>
  <c r="O9" i="12"/>
  <c r="N9" i="12"/>
  <c r="M9" i="12"/>
  <c r="L9" i="12"/>
  <c r="K9" i="12"/>
  <c r="J9" i="12"/>
  <c r="I9" i="12"/>
  <c r="H9" i="12"/>
  <c r="F9" i="12"/>
  <c r="E9" i="12"/>
  <c r="D9" i="12"/>
  <c r="C9" i="12"/>
  <c r="O8" i="12"/>
  <c r="N8" i="12"/>
  <c r="M8" i="12"/>
  <c r="L8" i="12"/>
  <c r="K8" i="12"/>
  <c r="J8" i="12"/>
  <c r="I8" i="12"/>
  <c r="H8" i="12"/>
  <c r="F8" i="12"/>
  <c r="E8" i="12"/>
  <c r="D8" i="12"/>
  <c r="C8" i="12"/>
  <c r="O7" i="12"/>
  <c r="N7" i="12"/>
  <c r="M7" i="12"/>
  <c r="L7" i="12"/>
  <c r="K7" i="12"/>
  <c r="J7" i="12"/>
  <c r="I7" i="12"/>
  <c r="H7" i="12"/>
  <c r="F7" i="12"/>
  <c r="E7" i="12"/>
  <c r="D7" i="12"/>
  <c r="C7" i="12"/>
  <c r="O6" i="12"/>
  <c r="N6" i="12"/>
  <c r="M6" i="12"/>
  <c r="L6" i="12"/>
  <c r="K6" i="12"/>
  <c r="J6" i="12"/>
  <c r="I6" i="12"/>
  <c r="H6" i="12"/>
  <c r="F6" i="12"/>
  <c r="E6" i="12"/>
  <c r="D6" i="12"/>
  <c r="C6" i="12"/>
  <c r="O5" i="12"/>
  <c r="N5" i="12"/>
  <c r="M5" i="12"/>
  <c r="L5" i="12"/>
  <c r="K5" i="12"/>
  <c r="J5" i="12"/>
  <c r="I5" i="12"/>
  <c r="H5" i="12"/>
  <c r="F5" i="12"/>
  <c r="E5" i="12"/>
  <c r="D5" i="12"/>
  <c r="C5" i="12"/>
  <c r="O4" i="12"/>
  <c r="N4" i="12"/>
  <c r="M4" i="12"/>
  <c r="L4" i="12"/>
  <c r="K4" i="12"/>
  <c r="J4" i="12"/>
  <c r="I4" i="12"/>
  <c r="H4" i="12"/>
  <c r="F4" i="12"/>
  <c r="E4" i="12"/>
  <c r="D4" i="12"/>
  <c r="C4" i="12"/>
  <c r="O3" i="12"/>
  <c r="N3" i="12"/>
  <c r="M3" i="12"/>
  <c r="L3" i="12"/>
  <c r="K3" i="12"/>
  <c r="J3" i="12"/>
  <c r="I3" i="12"/>
  <c r="H3" i="12"/>
  <c r="F3" i="12"/>
  <c r="E3" i="12"/>
  <c r="D3" i="12"/>
  <c r="C3" i="12"/>
  <c r="O2" i="12"/>
  <c r="N2" i="12"/>
  <c r="M2" i="12"/>
  <c r="L2" i="12"/>
  <c r="K2" i="12"/>
  <c r="J2" i="12"/>
  <c r="I2" i="12"/>
  <c r="H2" i="12"/>
  <c r="F2" i="12"/>
  <c r="E2" i="12"/>
  <c r="D2" i="12"/>
  <c r="C2" i="12"/>
  <c r="O1048" i="3"/>
  <c r="N1048" i="3"/>
  <c r="S1048" i="3" s="1"/>
  <c r="M1048" i="3"/>
  <c r="L1048" i="3"/>
  <c r="K1048" i="3"/>
  <c r="J1048" i="3"/>
  <c r="I1048" i="3"/>
  <c r="Q1048" i="3" s="1"/>
  <c r="H1048" i="3"/>
  <c r="V1048" i="3" s="1"/>
  <c r="O1047" i="3"/>
  <c r="N1047" i="3"/>
  <c r="M1047" i="3"/>
  <c r="L1047" i="3"/>
  <c r="K1047" i="3"/>
  <c r="J1047" i="3"/>
  <c r="W1047" i="3" s="1"/>
  <c r="I1047" i="3"/>
  <c r="H1047" i="3"/>
  <c r="V1047" i="3" s="1"/>
  <c r="O1046" i="3"/>
  <c r="N1046" i="3"/>
  <c r="M1046" i="3"/>
  <c r="L1046" i="3"/>
  <c r="X1046" i="3" s="1"/>
  <c r="K1046" i="3"/>
  <c r="J1046" i="3"/>
  <c r="I1046" i="3"/>
  <c r="Q1046" i="3" s="1"/>
  <c r="H1046" i="3"/>
  <c r="O1045" i="3"/>
  <c r="N1045" i="3"/>
  <c r="Y1045" i="3" s="1"/>
  <c r="M1045" i="3"/>
  <c r="L1045" i="3"/>
  <c r="X1045" i="3" s="1"/>
  <c r="K1045" i="3"/>
  <c r="J1045" i="3"/>
  <c r="I1045" i="3"/>
  <c r="H1045" i="3"/>
  <c r="O1044" i="3"/>
  <c r="N1044" i="3"/>
  <c r="S1044" i="3" s="1"/>
  <c r="M1044" i="3"/>
  <c r="L1044" i="3"/>
  <c r="K1044" i="3"/>
  <c r="J1044" i="3"/>
  <c r="I1044" i="3"/>
  <c r="H1044" i="3"/>
  <c r="V1044" i="3" s="1"/>
  <c r="O1043" i="3"/>
  <c r="T1043" i="3" s="1"/>
  <c r="N1043" i="3"/>
  <c r="Y1043" i="3" s="1"/>
  <c r="M1043" i="3"/>
  <c r="L1043" i="3"/>
  <c r="X1043" i="3" s="1"/>
  <c r="K1043" i="3"/>
  <c r="J1043" i="3"/>
  <c r="I1043" i="3"/>
  <c r="H1043" i="3"/>
  <c r="O1042" i="3"/>
  <c r="N1042" i="3"/>
  <c r="M1042" i="3"/>
  <c r="L1042" i="3"/>
  <c r="K1042" i="3"/>
  <c r="J1042" i="3"/>
  <c r="I1042" i="3"/>
  <c r="H1042" i="3"/>
  <c r="V1042" i="3" s="1"/>
  <c r="Y1041" i="3"/>
  <c r="S1041" i="3"/>
  <c r="O1041" i="3"/>
  <c r="N1041" i="3"/>
  <c r="M1041" i="3"/>
  <c r="L1041" i="3"/>
  <c r="X1041" i="3" s="1"/>
  <c r="K1041" i="3"/>
  <c r="J1041" i="3"/>
  <c r="W1041" i="3" s="1"/>
  <c r="I1041" i="3"/>
  <c r="H1041" i="3"/>
  <c r="Y1034" i="3"/>
  <c r="Y2" i="166" s="1"/>
  <c r="X1034" i="3"/>
  <c r="X2" i="166" s="1"/>
  <c r="W1034" i="3"/>
  <c r="W2" i="166" s="1"/>
  <c r="V1034" i="3"/>
  <c r="V2" i="166" s="1"/>
  <c r="T1034" i="3"/>
  <c r="T2" i="166" s="1"/>
  <c r="S1034" i="3"/>
  <c r="Q1034" i="3"/>
  <c r="Q2" i="166" s="1"/>
  <c r="P1034" i="3"/>
  <c r="P2" i="166" s="1"/>
  <c r="F1034" i="3"/>
  <c r="E1034" i="3"/>
  <c r="Y1033" i="3"/>
  <c r="Y2" i="35" s="1"/>
  <c r="X1033" i="3"/>
  <c r="X2" i="35" s="1"/>
  <c r="W1033" i="3"/>
  <c r="W2" i="35" s="1"/>
  <c r="V1033" i="3"/>
  <c r="V2" i="35" s="1"/>
  <c r="T1033" i="3"/>
  <c r="T2" i="35" s="1"/>
  <c r="S1033" i="3"/>
  <c r="S2" i="35" s="1"/>
  <c r="Q1033" i="3"/>
  <c r="Q2" i="35" s="1"/>
  <c r="P1033" i="3"/>
  <c r="F1033" i="3"/>
  <c r="E1033" i="3"/>
  <c r="Y1032" i="3"/>
  <c r="Y4" i="99" s="1"/>
  <c r="X1032" i="3"/>
  <c r="X4" i="99" s="1"/>
  <c r="W1032" i="3"/>
  <c r="W4" i="99" s="1"/>
  <c r="V1032" i="3"/>
  <c r="V4" i="99" s="1"/>
  <c r="T1032" i="3"/>
  <c r="T4" i="99" s="1"/>
  <c r="S1032" i="3"/>
  <c r="S4" i="99" s="1"/>
  <c r="Q1032" i="3"/>
  <c r="Q4" i="99" s="1"/>
  <c r="P1032" i="3"/>
  <c r="P4" i="99" s="1"/>
  <c r="F1032" i="3"/>
  <c r="E1032" i="3"/>
  <c r="Y1031" i="3"/>
  <c r="Y3" i="99" s="1"/>
  <c r="X1031" i="3"/>
  <c r="X3" i="99" s="1"/>
  <c r="W1031" i="3"/>
  <c r="W3" i="99" s="1"/>
  <c r="V1031" i="3"/>
  <c r="V3" i="99" s="1"/>
  <c r="T1031" i="3"/>
  <c r="T3" i="99" s="1"/>
  <c r="S1031" i="3"/>
  <c r="Q1031" i="3"/>
  <c r="Q3" i="99" s="1"/>
  <c r="P1031" i="3"/>
  <c r="P3" i="99" s="1"/>
  <c r="F1031" i="3"/>
  <c r="E1031" i="3"/>
  <c r="Y1030" i="3"/>
  <c r="Y2" i="126" s="1"/>
  <c r="X1030" i="3"/>
  <c r="X2" i="126" s="1"/>
  <c r="W1030" i="3"/>
  <c r="W2" i="126" s="1"/>
  <c r="V1030" i="3"/>
  <c r="V2" i="126" s="1"/>
  <c r="T1030" i="3"/>
  <c r="T2" i="126" s="1"/>
  <c r="S1030" i="3"/>
  <c r="S2" i="126" s="1"/>
  <c r="Q1030" i="3"/>
  <c r="Q2" i="126" s="1"/>
  <c r="P1030" i="3"/>
  <c r="F1030" i="3"/>
  <c r="E1030" i="3"/>
  <c r="Y1029" i="3"/>
  <c r="Y4" i="137" s="1"/>
  <c r="X1029" i="3"/>
  <c r="X4" i="137" s="1"/>
  <c r="W1029" i="3"/>
  <c r="W4" i="137" s="1"/>
  <c r="V1029" i="3"/>
  <c r="V4" i="137" s="1"/>
  <c r="T1029" i="3"/>
  <c r="T4" i="137" s="1"/>
  <c r="S1029" i="3"/>
  <c r="S4" i="137" s="1"/>
  <c r="Q1029" i="3"/>
  <c r="Q4" i="137" s="1"/>
  <c r="P1029" i="3"/>
  <c r="P4" i="137" s="1"/>
  <c r="F1029" i="3"/>
  <c r="E1029" i="3"/>
  <c r="Y1028" i="3"/>
  <c r="Y3" i="137" s="1"/>
  <c r="X1028" i="3"/>
  <c r="X3" i="137" s="1"/>
  <c r="W1028" i="3"/>
  <c r="W3" i="137" s="1"/>
  <c r="V1028" i="3"/>
  <c r="V3" i="137" s="1"/>
  <c r="T1028" i="3"/>
  <c r="T3" i="137" s="1"/>
  <c r="S1028" i="3"/>
  <c r="S3" i="137" s="1"/>
  <c r="Q1028" i="3"/>
  <c r="P1028" i="3"/>
  <c r="P3" i="137" s="1"/>
  <c r="F1028" i="3"/>
  <c r="E1028" i="3"/>
  <c r="Y1027" i="3"/>
  <c r="Y2" i="146" s="1"/>
  <c r="X1027" i="3"/>
  <c r="X2" i="146" s="1"/>
  <c r="W1027" i="3"/>
  <c r="W2" i="146" s="1"/>
  <c r="V1027" i="3"/>
  <c r="V2" i="146" s="1"/>
  <c r="T1027" i="3"/>
  <c r="T2" i="146" s="1"/>
  <c r="S1027" i="3"/>
  <c r="S2" i="146" s="1"/>
  <c r="Q1027" i="3"/>
  <c r="Q2" i="146" s="1"/>
  <c r="P1027" i="3"/>
  <c r="P2" i="146" s="1"/>
  <c r="F1027" i="3"/>
  <c r="E1027" i="3"/>
  <c r="Y1026" i="3"/>
  <c r="Y3" i="159" s="1"/>
  <c r="X1026" i="3"/>
  <c r="X3" i="159" s="1"/>
  <c r="W1026" i="3"/>
  <c r="W3" i="159" s="1"/>
  <c r="V1026" i="3"/>
  <c r="V3" i="159" s="1"/>
  <c r="T1026" i="3"/>
  <c r="T3" i="159" s="1"/>
  <c r="S1026" i="3"/>
  <c r="Q1026" i="3"/>
  <c r="Q3" i="159" s="1"/>
  <c r="P1026" i="3"/>
  <c r="P3" i="159" s="1"/>
  <c r="F1026" i="3"/>
  <c r="E1026" i="3"/>
  <c r="Y1025" i="3"/>
  <c r="Y2" i="198" s="1"/>
  <c r="X1025" i="3"/>
  <c r="X2" i="198" s="1"/>
  <c r="W1025" i="3"/>
  <c r="W2" i="198" s="1"/>
  <c r="V1025" i="3"/>
  <c r="V2" i="198" s="1"/>
  <c r="T1025" i="3"/>
  <c r="T2" i="198" s="1"/>
  <c r="S1025" i="3"/>
  <c r="S2" i="198" s="1"/>
  <c r="Q1025" i="3"/>
  <c r="Q2" i="198" s="1"/>
  <c r="P1025" i="3"/>
  <c r="F1025" i="3"/>
  <c r="E1025" i="3"/>
  <c r="Y1024" i="3"/>
  <c r="X1024" i="3"/>
  <c r="W1024" i="3"/>
  <c r="V1024" i="3"/>
  <c r="T1024" i="3"/>
  <c r="S1024" i="3"/>
  <c r="Q1024" i="3"/>
  <c r="P1024" i="3"/>
  <c r="F1024" i="3"/>
  <c r="E1024" i="3"/>
  <c r="Y1023" i="3"/>
  <c r="Y3" i="195" s="1"/>
  <c r="X1023" i="3"/>
  <c r="X3" i="195" s="1"/>
  <c r="W1023" i="3"/>
  <c r="W3" i="195" s="1"/>
  <c r="V1023" i="3"/>
  <c r="V3" i="195" s="1"/>
  <c r="T1023" i="3"/>
  <c r="T3" i="195" s="1"/>
  <c r="S1023" i="3"/>
  <c r="R1023" i="3"/>
  <c r="R3" i="195" s="1"/>
  <c r="Q1023" i="3"/>
  <c r="Q3" i="195" s="1"/>
  <c r="P1023" i="3"/>
  <c r="P3" i="195" s="1"/>
  <c r="F1023" i="3"/>
  <c r="E1023" i="3"/>
  <c r="Y1022" i="3"/>
  <c r="Y5" i="181" s="1"/>
  <c r="X1022" i="3"/>
  <c r="X5" i="181" s="1"/>
  <c r="W1022" i="3"/>
  <c r="W5" i="181" s="1"/>
  <c r="V1022" i="3"/>
  <c r="V5" i="181" s="1"/>
  <c r="T1022" i="3"/>
  <c r="T5" i="181" s="1"/>
  <c r="S1022" i="3"/>
  <c r="S5" i="181" s="1"/>
  <c r="Q1022" i="3"/>
  <c r="Q5" i="181" s="1"/>
  <c r="P1022" i="3"/>
  <c r="F1022" i="3"/>
  <c r="E1022" i="3"/>
  <c r="Y1021" i="3"/>
  <c r="Y4" i="181" s="1"/>
  <c r="X1021" i="3"/>
  <c r="X4" i="181" s="1"/>
  <c r="W1021" i="3"/>
  <c r="W4" i="181" s="1"/>
  <c r="V1021" i="3"/>
  <c r="V4" i="181" s="1"/>
  <c r="T1021" i="3"/>
  <c r="T4" i="181" s="1"/>
  <c r="S1021" i="3"/>
  <c r="S4" i="181" s="1"/>
  <c r="Q1021" i="3"/>
  <c r="Q4" i="181" s="1"/>
  <c r="P1021" i="3"/>
  <c r="P4" i="181" s="1"/>
  <c r="F1021" i="3"/>
  <c r="E1021" i="3"/>
  <c r="Y1020" i="3"/>
  <c r="Y3" i="181" s="1"/>
  <c r="X1020" i="3"/>
  <c r="X3" i="181" s="1"/>
  <c r="W1020" i="3"/>
  <c r="W3" i="181" s="1"/>
  <c r="V1020" i="3"/>
  <c r="V3" i="181" s="1"/>
  <c r="T1020" i="3"/>
  <c r="T3" i="181" s="1"/>
  <c r="S1020" i="3"/>
  <c r="S3" i="181" s="1"/>
  <c r="Q1020" i="3"/>
  <c r="Q3" i="181" s="1"/>
  <c r="P1020" i="3"/>
  <c r="P3" i="181" s="1"/>
  <c r="F1020" i="3"/>
  <c r="E1020" i="3"/>
  <c r="Y1019" i="3"/>
  <c r="Y17" i="38" s="1"/>
  <c r="X1019" i="3"/>
  <c r="X17" i="38" s="1"/>
  <c r="W1019" i="3"/>
  <c r="W17" i="38" s="1"/>
  <c r="V1019" i="3"/>
  <c r="V17" i="38" s="1"/>
  <c r="T1019" i="3"/>
  <c r="T17" i="38" s="1"/>
  <c r="S1019" i="3"/>
  <c r="S17" i="38" s="1"/>
  <c r="Q1019" i="3"/>
  <c r="Q17" i="38" s="1"/>
  <c r="P1019" i="3"/>
  <c r="P17" i="38" s="1"/>
  <c r="F1019" i="3"/>
  <c r="E1019" i="3"/>
  <c r="Y1018" i="3"/>
  <c r="Y10" i="38" s="1"/>
  <c r="X1018" i="3"/>
  <c r="X10" i="38" s="1"/>
  <c r="W1018" i="3"/>
  <c r="W10" i="38" s="1"/>
  <c r="V1018" i="3"/>
  <c r="V10" i="38" s="1"/>
  <c r="T1018" i="3"/>
  <c r="T10" i="38" s="1"/>
  <c r="S1018" i="3"/>
  <c r="Q1018" i="3"/>
  <c r="Q10" i="38" s="1"/>
  <c r="P1018" i="3"/>
  <c r="P10" i="38" s="1"/>
  <c r="F1018" i="3"/>
  <c r="E1018" i="3"/>
  <c r="Y1017" i="3"/>
  <c r="X1017" i="3"/>
  <c r="W1017" i="3"/>
  <c r="V1017" i="3"/>
  <c r="T1017" i="3"/>
  <c r="S1017" i="3"/>
  <c r="U1017" i="3" s="1"/>
  <c r="Q1017" i="3"/>
  <c r="P1017" i="3"/>
  <c r="F1017" i="3"/>
  <c r="E1017" i="3"/>
  <c r="Y1016" i="3"/>
  <c r="Y12" i="39" s="1"/>
  <c r="X1016" i="3"/>
  <c r="X12" i="39" s="1"/>
  <c r="W1016" i="3"/>
  <c r="W12" i="39" s="1"/>
  <c r="V1016" i="3"/>
  <c r="V12" i="39" s="1"/>
  <c r="T1016" i="3"/>
  <c r="T12" i="39" s="1"/>
  <c r="S1016" i="3"/>
  <c r="S12" i="39" s="1"/>
  <c r="Q1016" i="3"/>
  <c r="Q12" i="39" s="1"/>
  <c r="P1016" i="3"/>
  <c r="P12" i="39" s="1"/>
  <c r="F1016" i="3"/>
  <c r="E1016" i="3"/>
  <c r="Y1015" i="3"/>
  <c r="Y11" i="39" s="1"/>
  <c r="X1015" i="3"/>
  <c r="X11" i="39" s="1"/>
  <c r="W1015" i="3"/>
  <c r="W11" i="39" s="1"/>
  <c r="V1015" i="3"/>
  <c r="V11" i="39" s="1"/>
  <c r="T1015" i="3"/>
  <c r="T11" i="39" s="1"/>
  <c r="S1015" i="3"/>
  <c r="Q1015" i="3"/>
  <c r="Q11" i="39" s="1"/>
  <c r="P1015" i="3"/>
  <c r="P11" i="39" s="1"/>
  <c r="F1015" i="3"/>
  <c r="E1015" i="3"/>
  <c r="Y1014" i="3"/>
  <c r="Y10" i="39" s="1"/>
  <c r="X1014" i="3"/>
  <c r="X10" i="39" s="1"/>
  <c r="W1014" i="3"/>
  <c r="W10" i="39" s="1"/>
  <c r="V1014" i="3"/>
  <c r="V10" i="39" s="1"/>
  <c r="T1014" i="3"/>
  <c r="T10" i="39" s="1"/>
  <c r="S1014" i="3"/>
  <c r="S10" i="39" s="1"/>
  <c r="Q1014" i="3"/>
  <c r="Q10" i="39" s="1"/>
  <c r="P1014" i="3"/>
  <c r="F1014" i="3"/>
  <c r="E1014" i="3"/>
  <c r="Y1013" i="3"/>
  <c r="Y3" i="39" s="1"/>
  <c r="X1013" i="3"/>
  <c r="X3" i="39" s="1"/>
  <c r="W1013" i="3"/>
  <c r="W3" i="39" s="1"/>
  <c r="V1013" i="3"/>
  <c r="V3" i="39" s="1"/>
  <c r="T1013" i="3"/>
  <c r="T3" i="39" s="1"/>
  <c r="S1013" i="3"/>
  <c r="S3" i="39" s="1"/>
  <c r="Q1013" i="3"/>
  <c r="Q3" i="39" s="1"/>
  <c r="P1013" i="3"/>
  <c r="P3" i="39" s="1"/>
  <c r="F1013" i="3"/>
  <c r="E1013" i="3"/>
  <c r="Y1012" i="3"/>
  <c r="X1012" i="3"/>
  <c r="W1012" i="3"/>
  <c r="V1012" i="3"/>
  <c r="T1012" i="3"/>
  <c r="S1012" i="3"/>
  <c r="U1012" i="3" s="1"/>
  <c r="Q1012" i="3"/>
  <c r="P1012" i="3"/>
  <c r="F1012" i="3"/>
  <c r="Y1011" i="3"/>
  <c r="Y7" i="113" s="1"/>
  <c r="X1011" i="3"/>
  <c r="X7" i="113" s="1"/>
  <c r="W1011" i="3"/>
  <c r="W7" i="113" s="1"/>
  <c r="V1011" i="3"/>
  <c r="V7" i="113" s="1"/>
  <c r="T1011" i="3"/>
  <c r="T7" i="113" s="1"/>
  <c r="S1011" i="3"/>
  <c r="S7" i="113" s="1"/>
  <c r="Q1011" i="3"/>
  <c r="Q7" i="113" s="1"/>
  <c r="P1011" i="3"/>
  <c r="P7" i="113" s="1"/>
  <c r="F1011" i="3"/>
  <c r="E1011" i="3"/>
  <c r="Y1010" i="3"/>
  <c r="X1010" i="3"/>
  <c r="W1010" i="3"/>
  <c r="V1010" i="3"/>
  <c r="T1010" i="3"/>
  <c r="S1010" i="3"/>
  <c r="U1010" i="3" s="1"/>
  <c r="Q1010" i="3"/>
  <c r="P1010" i="3"/>
  <c r="R1010" i="3" s="1"/>
  <c r="F1010" i="3"/>
  <c r="Y1009" i="3"/>
  <c r="X1009" i="3"/>
  <c r="W1009" i="3"/>
  <c r="V1009" i="3"/>
  <c r="T1009" i="3"/>
  <c r="S1009" i="3"/>
  <c r="R52" i="16" s="1"/>
  <c r="R1009" i="3"/>
  <c r="Q1009" i="3"/>
  <c r="P1009" i="3"/>
  <c r="F1009" i="3"/>
  <c r="E1009" i="3"/>
  <c r="Y1008" i="3"/>
  <c r="Y13" i="39" s="1"/>
  <c r="X1008" i="3"/>
  <c r="X13" i="39" s="1"/>
  <c r="W1008" i="3"/>
  <c r="W13" i="39" s="1"/>
  <c r="V1008" i="3"/>
  <c r="V13" i="39" s="1"/>
  <c r="T1008" i="3"/>
  <c r="T13" i="39" s="1"/>
  <c r="S1008" i="3"/>
  <c r="Q1008" i="3"/>
  <c r="Q13" i="39" s="1"/>
  <c r="P1008" i="3"/>
  <c r="P13" i="39" s="1"/>
  <c r="F1008" i="3"/>
  <c r="E1008" i="3"/>
  <c r="Y1007" i="3"/>
  <c r="X1007" i="3"/>
  <c r="W1007" i="3"/>
  <c r="V1007" i="3"/>
  <c r="T1007" i="3"/>
  <c r="S1007" i="3"/>
  <c r="U1007" i="3" s="1"/>
  <c r="Q1007" i="3"/>
  <c r="P1007" i="3"/>
  <c r="F1007" i="3"/>
  <c r="E1007" i="3"/>
  <c r="Y1006" i="3"/>
  <c r="Y3" i="194" s="1"/>
  <c r="X1006" i="3"/>
  <c r="X3" i="194" s="1"/>
  <c r="W1006" i="3"/>
  <c r="W3" i="194" s="1"/>
  <c r="V1006" i="3"/>
  <c r="V3" i="194" s="1"/>
  <c r="T1006" i="3"/>
  <c r="T3" i="194" s="1"/>
  <c r="S1006" i="3"/>
  <c r="S3" i="194" s="1"/>
  <c r="Q1006" i="3"/>
  <c r="Q3" i="194" s="1"/>
  <c r="P1006" i="3"/>
  <c r="P3" i="194" s="1"/>
  <c r="F1006" i="3"/>
  <c r="E1006" i="3"/>
  <c r="Y1005" i="3"/>
  <c r="Y35" i="113" s="1"/>
  <c r="X1005" i="3"/>
  <c r="X35" i="113" s="1"/>
  <c r="W1005" i="3"/>
  <c r="W35" i="113" s="1"/>
  <c r="V1005" i="3"/>
  <c r="V35" i="113" s="1"/>
  <c r="T1005" i="3"/>
  <c r="T35" i="113" s="1"/>
  <c r="S1005" i="3"/>
  <c r="Q1005" i="3"/>
  <c r="Q35" i="113" s="1"/>
  <c r="P1005" i="3"/>
  <c r="P35" i="113" s="1"/>
  <c r="F1005" i="3"/>
  <c r="E1005" i="3"/>
  <c r="Y1004" i="3"/>
  <c r="Y19" i="107" s="1"/>
  <c r="X1004" i="3"/>
  <c r="X19" i="107" s="1"/>
  <c r="W1004" i="3"/>
  <c r="W19" i="107" s="1"/>
  <c r="V1004" i="3"/>
  <c r="V19" i="107" s="1"/>
  <c r="T1004" i="3"/>
  <c r="T19" i="107" s="1"/>
  <c r="S1004" i="3"/>
  <c r="S19" i="107" s="1"/>
  <c r="Q1004" i="3"/>
  <c r="Q19" i="107" s="1"/>
  <c r="P1004" i="3"/>
  <c r="F1004" i="3"/>
  <c r="E1004" i="3"/>
  <c r="Y1003" i="3"/>
  <c r="X1003" i="3"/>
  <c r="W1003" i="3"/>
  <c r="V1003" i="3"/>
  <c r="T1003" i="3"/>
  <c r="S1003" i="3"/>
  <c r="U1003" i="3" s="1"/>
  <c r="Q1003" i="3"/>
  <c r="P1003" i="3"/>
  <c r="F1003" i="3"/>
  <c r="E1003" i="3"/>
  <c r="Y1002" i="3"/>
  <c r="Y7" i="93" s="1"/>
  <c r="X1002" i="3"/>
  <c r="X7" i="93" s="1"/>
  <c r="W1002" i="3"/>
  <c r="W7" i="93" s="1"/>
  <c r="V1002" i="3"/>
  <c r="V7" i="93" s="1"/>
  <c r="T1002" i="3"/>
  <c r="T7" i="93" s="1"/>
  <c r="S1002" i="3"/>
  <c r="S7" i="93" s="1"/>
  <c r="Q1002" i="3"/>
  <c r="Q7" i="93" s="1"/>
  <c r="P1002" i="3"/>
  <c r="P7" i="93" s="1"/>
  <c r="F1002" i="3"/>
  <c r="E1002" i="3"/>
  <c r="Y1001" i="3"/>
  <c r="Y21" i="56" s="1"/>
  <c r="X1001" i="3"/>
  <c r="X21" i="56" s="1"/>
  <c r="W1001" i="3"/>
  <c r="W21" i="56" s="1"/>
  <c r="V1001" i="3"/>
  <c r="V21" i="56" s="1"/>
  <c r="T1001" i="3"/>
  <c r="T21" i="56" s="1"/>
  <c r="S1001" i="3"/>
  <c r="S21" i="56" s="1"/>
  <c r="Q1001" i="3"/>
  <c r="Q21" i="56" s="1"/>
  <c r="P1001" i="3"/>
  <c r="P21" i="56" s="1"/>
  <c r="F1001" i="3"/>
  <c r="E1001" i="3"/>
  <c r="Y1000" i="3"/>
  <c r="Y2" i="99" s="1"/>
  <c r="X1000" i="3"/>
  <c r="X2" i="99" s="1"/>
  <c r="W1000" i="3"/>
  <c r="W2" i="99" s="1"/>
  <c r="V1000" i="3"/>
  <c r="V2" i="99" s="1"/>
  <c r="T1000" i="3"/>
  <c r="T2" i="99" s="1"/>
  <c r="S1000" i="3"/>
  <c r="Q1000" i="3"/>
  <c r="Q2" i="99" s="1"/>
  <c r="P1000" i="3"/>
  <c r="P2" i="99" s="1"/>
  <c r="F1000" i="3"/>
  <c r="E1000" i="3"/>
  <c r="Y999" i="3"/>
  <c r="Y3" i="44" s="1"/>
  <c r="X999" i="3"/>
  <c r="X3" i="44" s="1"/>
  <c r="W999" i="3"/>
  <c r="W3" i="44" s="1"/>
  <c r="V999" i="3"/>
  <c r="V3" i="44" s="1"/>
  <c r="T999" i="3"/>
  <c r="T3" i="44" s="1"/>
  <c r="S999" i="3"/>
  <c r="S3" i="44" s="1"/>
  <c r="Q999" i="3"/>
  <c r="Q3" i="44" s="1"/>
  <c r="P999" i="3"/>
  <c r="F999" i="3"/>
  <c r="E999" i="3"/>
  <c r="Y998" i="3"/>
  <c r="Y13" i="12" s="1"/>
  <c r="X998" i="3"/>
  <c r="X13" i="12" s="1"/>
  <c r="W998" i="3"/>
  <c r="W13" i="12" s="1"/>
  <c r="V998" i="3"/>
  <c r="V13" i="12" s="1"/>
  <c r="T998" i="3"/>
  <c r="T13" i="12" s="1"/>
  <c r="S998" i="3"/>
  <c r="S13" i="12" s="1"/>
  <c r="Q998" i="3"/>
  <c r="Q13" i="12" s="1"/>
  <c r="P998" i="3"/>
  <c r="P13" i="12" s="1"/>
  <c r="F998" i="3"/>
  <c r="E998" i="3"/>
  <c r="Y997" i="3"/>
  <c r="Y10" i="47" s="1"/>
  <c r="X997" i="3"/>
  <c r="X10" i="47" s="1"/>
  <c r="W997" i="3"/>
  <c r="W10" i="47" s="1"/>
  <c r="V997" i="3"/>
  <c r="V10" i="47" s="1"/>
  <c r="T997" i="3"/>
  <c r="T10" i="47" s="1"/>
  <c r="S997" i="3"/>
  <c r="Q997" i="3"/>
  <c r="Q10" i="47" s="1"/>
  <c r="P997" i="3"/>
  <c r="P10" i="47" s="1"/>
  <c r="F997" i="3"/>
  <c r="E997" i="3"/>
  <c r="Y996" i="3"/>
  <c r="Y18" i="177" s="1"/>
  <c r="X996" i="3"/>
  <c r="X18" i="177" s="1"/>
  <c r="W996" i="3"/>
  <c r="W18" i="177" s="1"/>
  <c r="V996" i="3"/>
  <c r="V18" i="177" s="1"/>
  <c r="T996" i="3"/>
  <c r="T18" i="177" s="1"/>
  <c r="S996" i="3"/>
  <c r="S18" i="177" s="1"/>
  <c r="Q996" i="3"/>
  <c r="Q18" i="177" s="1"/>
  <c r="P996" i="3"/>
  <c r="F996" i="3"/>
  <c r="E996" i="3"/>
  <c r="Y995" i="3"/>
  <c r="Y5" i="125" s="1"/>
  <c r="X995" i="3"/>
  <c r="X5" i="125" s="1"/>
  <c r="W995" i="3"/>
  <c r="W5" i="125" s="1"/>
  <c r="V995" i="3"/>
  <c r="V5" i="125" s="1"/>
  <c r="T995" i="3"/>
  <c r="T5" i="125" s="1"/>
  <c r="S995" i="3"/>
  <c r="S5" i="125" s="1"/>
  <c r="Q995" i="3"/>
  <c r="Q5" i="125" s="1"/>
  <c r="P995" i="3"/>
  <c r="P5" i="125" s="1"/>
  <c r="F995" i="3"/>
  <c r="E995" i="3"/>
  <c r="Y994" i="3"/>
  <c r="Y70" i="92" s="1"/>
  <c r="X994" i="3"/>
  <c r="X70" i="92" s="1"/>
  <c r="W994" i="3"/>
  <c r="W70" i="92" s="1"/>
  <c r="V994" i="3"/>
  <c r="V70" i="92" s="1"/>
  <c r="T994" i="3"/>
  <c r="T70" i="92" s="1"/>
  <c r="S994" i="3"/>
  <c r="S70" i="92" s="1"/>
  <c r="Q994" i="3"/>
  <c r="Q70" i="92" s="1"/>
  <c r="P994" i="3"/>
  <c r="P70" i="92" s="1"/>
  <c r="F994" i="3"/>
  <c r="E994" i="3"/>
  <c r="Y993" i="3"/>
  <c r="Y32" i="113" s="1"/>
  <c r="X993" i="3"/>
  <c r="X32" i="113" s="1"/>
  <c r="W993" i="3"/>
  <c r="W32" i="113" s="1"/>
  <c r="V993" i="3"/>
  <c r="V32" i="113" s="1"/>
  <c r="T993" i="3"/>
  <c r="T32" i="113" s="1"/>
  <c r="S993" i="3"/>
  <c r="S32" i="113" s="1"/>
  <c r="Q993" i="3"/>
  <c r="Q32" i="113" s="1"/>
  <c r="P993" i="3"/>
  <c r="P32" i="113" s="1"/>
  <c r="F993" i="3"/>
  <c r="E993" i="3"/>
  <c r="Y992" i="3"/>
  <c r="Y36" i="38" s="1"/>
  <c r="X992" i="3"/>
  <c r="X36" i="38" s="1"/>
  <c r="W992" i="3"/>
  <c r="W36" i="38" s="1"/>
  <c r="V992" i="3"/>
  <c r="V36" i="38" s="1"/>
  <c r="T992" i="3"/>
  <c r="T36" i="38" s="1"/>
  <c r="S992" i="3"/>
  <c r="Q992" i="3"/>
  <c r="Q36" i="38" s="1"/>
  <c r="P992" i="3"/>
  <c r="P36" i="38" s="1"/>
  <c r="F992" i="3"/>
  <c r="E992" i="3"/>
  <c r="Y991" i="3"/>
  <c r="Y35" i="38" s="1"/>
  <c r="X991" i="3"/>
  <c r="X35" i="38" s="1"/>
  <c r="W991" i="3"/>
  <c r="W35" i="38" s="1"/>
  <c r="V991" i="3"/>
  <c r="V35" i="38" s="1"/>
  <c r="T991" i="3"/>
  <c r="T35" i="38" s="1"/>
  <c r="S991" i="3"/>
  <c r="S35" i="38" s="1"/>
  <c r="Q991" i="3"/>
  <c r="Q35" i="38" s="1"/>
  <c r="P991" i="3"/>
  <c r="F991" i="3"/>
  <c r="E991" i="3"/>
  <c r="Y990" i="3"/>
  <c r="Y7" i="34" s="1"/>
  <c r="X990" i="3"/>
  <c r="X7" i="34" s="1"/>
  <c r="W990" i="3"/>
  <c r="W7" i="34" s="1"/>
  <c r="V990" i="3"/>
  <c r="V7" i="34" s="1"/>
  <c r="T990" i="3"/>
  <c r="T7" i="34" s="1"/>
  <c r="S990" i="3"/>
  <c r="S7" i="34" s="1"/>
  <c r="Q990" i="3"/>
  <c r="Q7" i="34" s="1"/>
  <c r="P990" i="3"/>
  <c r="P7" i="34" s="1"/>
  <c r="F990" i="3"/>
  <c r="E990" i="3"/>
  <c r="Y989" i="3"/>
  <c r="Y14" i="155" s="1"/>
  <c r="X989" i="3"/>
  <c r="X14" i="155" s="1"/>
  <c r="W989" i="3"/>
  <c r="W14" i="155" s="1"/>
  <c r="V989" i="3"/>
  <c r="V14" i="155" s="1"/>
  <c r="T989" i="3"/>
  <c r="T14" i="155" s="1"/>
  <c r="S989" i="3"/>
  <c r="Q989" i="3"/>
  <c r="Q14" i="155" s="1"/>
  <c r="P989" i="3"/>
  <c r="P14" i="155" s="1"/>
  <c r="F989" i="3"/>
  <c r="E989" i="3"/>
  <c r="Y988" i="3"/>
  <c r="Y15" i="155" s="1"/>
  <c r="X988" i="3"/>
  <c r="X15" i="155" s="1"/>
  <c r="W988" i="3"/>
  <c r="W15" i="155" s="1"/>
  <c r="V988" i="3"/>
  <c r="V15" i="155" s="1"/>
  <c r="T988" i="3"/>
  <c r="T15" i="155" s="1"/>
  <c r="S988" i="3"/>
  <c r="S15" i="155" s="1"/>
  <c r="Q988" i="3"/>
  <c r="Q15" i="155" s="1"/>
  <c r="P988" i="3"/>
  <c r="F988" i="3"/>
  <c r="E988" i="3"/>
  <c r="Y987" i="3"/>
  <c r="Y11" i="76" s="1"/>
  <c r="X987" i="3"/>
  <c r="X11" i="76" s="1"/>
  <c r="W987" i="3"/>
  <c r="W11" i="76" s="1"/>
  <c r="V987" i="3"/>
  <c r="V11" i="76" s="1"/>
  <c r="T987" i="3"/>
  <c r="T11" i="76" s="1"/>
  <c r="S987" i="3"/>
  <c r="S11" i="76" s="1"/>
  <c r="Q987" i="3"/>
  <c r="Q11" i="76" s="1"/>
  <c r="P987" i="3"/>
  <c r="P11" i="76" s="1"/>
  <c r="F987" i="3"/>
  <c r="E987" i="3"/>
  <c r="Y986" i="3"/>
  <c r="Y14" i="102" s="1"/>
  <c r="X986" i="3"/>
  <c r="X14" i="102" s="1"/>
  <c r="W986" i="3"/>
  <c r="W14" i="102" s="1"/>
  <c r="V986" i="3"/>
  <c r="V14" i="102" s="1"/>
  <c r="T986" i="3"/>
  <c r="T14" i="102" s="1"/>
  <c r="S986" i="3"/>
  <c r="S14" i="102" s="1"/>
  <c r="Q986" i="3"/>
  <c r="Q14" i="102" s="1"/>
  <c r="P986" i="3"/>
  <c r="P14" i="102" s="1"/>
  <c r="F986" i="3"/>
  <c r="E986" i="3"/>
  <c r="Y985" i="3"/>
  <c r="X985" i="3"/>
  <c r="W985" i="3"/>
  <c r="V985" i="3"/>
  <c r="T985" i="3"/>
  <c r="S985" i="3"/>
  <c r="Q985" i="3"/>
  <c r="P985" i="3"/>
  <c r="R985" i="3" s="1"/>
  <c r="F985" i="3"/>
  <c r="E985" i="3"/>
  <c r="Y984" i="3"/>
  <c r="Y7" i="40" s="1"/>
  <c r="X984" i="3"/>
  <c r="X7" i="40" s="1"/>
  <c r="W984" i="3"/>
  <c r="W7" i="40" s="1"/>
  <c r="V984" i="3"/>
  <c r="V7" i="40" s="1"/>
  <c r="T984" i="3"/>
  <c r="T7" i="40" s="1"/>
  <c r="S984" i="3"/>
  <c r="Q984" i="3"/>
  <c r="Q7" i="40" s="1"/>
  <c r="P984" i="3"/>
  <c r="P7" i="40" s="1"/>
  <c r="F984" i="3"/>
  <c r="E984" i="3"/>
  <c r="Y983" i="3"/>
  <c r="Y71" i="92" s="1"/>
  <c r="X983" i="3"/>
  <c r="X71" i="92" s="1"/>
  <c r="W983" i="3"/>
  <c r="W71" i="92" s="1"/>
  <c r="V983" i="3"/>
  <c r="V71" i="92" s="1"/>
  <c r="T983" i="3"/>
  <c r="T71" i="92" s="1"/>
  <c r="S983" i="3"/>
  <c r="S71" i="92" s="1"/>
  <c r="Q983" i="3"/>
  <c r="Q71" i="92" s="1"/>
  <c r="P983" i="3"/>
  <c r="F983" i="3"/>
  <c r="E983" i="3"/>
  <c r="Y982" i="3"/>
  <c r="Y7" i="124" s="1"/>
  <c r="X982" i="3"/>
  <c r="X7" i="124" s="1"/>
  <c r="W982" i="3"/>
  <c r="W7" i="124" s="1"/>
  <c r="V982" i="3"/>
  <c r="V7" i="124" s="1"/>
  <c r="T982" i="3"/>
  <c r="T7" i="124" s="1"/>
  <c r="S982" i="3"/>
  <c r="S7" i="124" s="1"/>
  <c r="Q982" i="3"/>
  <c r="Q7" i="124" s="1"/>
  <c r="P982" i="3"/>
  <c r="P7" i="124" s="1"/>
  <c r="F982" i="3"/>
  <c r="E982" i="3"/>
  <c r="Y981" i="3"/>
  <c r="Y6" i="90" s="1"/>
  <c r="X981" i="3"/>
  <c r="X6" i="90" s="1"/>
  <c r="W981" i="3"/>
  <c r="W6" i="90" s="1"/>
  <c r="V981" i="3"/>
  <c r="V6" i="90" s="1"/>
  <c r="T981" i="3"/>
  <c r="T6" i="90" s="1"/>
  <c r="S981" i="3"/>
  <c r="Q981" i="3"/>
  <c r="Q6" i="90" s="1"/>
  <c r="P981" i="3"/>
  <c r="P6" i="90" s="1"/>
  <c r="F981" i="3"/>
  <c r="E981" i="3"/>
  <c r="Y980" i="3"/>
  <c r="Y34" i="49" s="1"/>
  <c r="X980" i="3"/>
  <c r="X34" i="49" s="1"/>
  <c r="W980" i="3"/>
  <c r="W34" i="49" s="1"/>
  <c r="V980" i="3"/>
  <c r="V34" i="49" s="1"/>
  <c r="T980" i="3"/>
  <c r="T34" i="49" s="1"/>
  <c r="S980" i="3"/>
  <c r="S34" i="49" s="1"/>
  <c r="Q980" i="3"/>
  <c r="Q34" i="49" s="1"/>
  <c r="P980" i="3"/>
  <c r="F980" i="3"/>
  <c r="E980" i="3"/>
  <c r="Y979" i="3"/>
  <c r="Y34" i="113" s="1"/>
  <c r="X979" i="3"/>
  <c r="X34" i="113" s="1"/>
  <c r="W979" i="3"/>
  <c r="W34" i="113" s="1"/>
  <c r="V979" i="3"/>
  <c r="V34" i="113" s="1"/>
  <c r="T979" i="3"/>
  <c r="T34" i="113" s="1"/>
  <c r="S979" i="3"/>
  <c r="S34" i="113" s="1"/>
  <c r="Q979" i="3"/>
  <c r="Q34" i="113" s="1"/>
  <c r="P979" i="3"/>
  <c r="P34" i="113" s="1"/>
  <c r="F979" i="3"/>
  <c r="E979" i="3"/>
  <c r="Y978" i="3"/>
  <c r="Y69" i="92" s="1"/>
  <c r="X978" i="3"/>
  <c r="X69" i="92" s="1"/>
  <c r="W978" i="3"/>
  <c r="W69" i="92" s="1"/>
  <c r="V978" i="3"/>
  <c r="V69" i="92" s="1"/>
  <c r="T978" i="3"/>
  <c r="T69" i="92" s="1"/>
  <c r="S978" i="3"/>
  <c r="S69" i="92" s="1"/>
  <c r="Q978" i="3"/>
  <c r="Q69" i="92" s="1"/>
  <c r="P978" i="3"/>
  <c r="P69" i="92" s="1"/>
  <c r="F978" i="3"/>
  <c r="E978" i="3"/>
  <c r="Y977" i="3"/>
  <c r="Y31" i="113" s="1"/>
  <c r="X977" i="3"/>
  <c r="X31" i="113" s="1"/>
  <c r="W977" i="3"/>
  <c r="W31" i="113" s="1"/>
  <c r="V977" i="3"/>
  <c r="V31" i="113" s="1"/>
  <c r="T977" i="3"/>
  <c r="T31" i="113" s="1"/>
  <c r="S977" i="3"/>
  <c r="S31" i="113" s="1"/>
  <c r="Q977" i="3"/>
  <c r="Q31" i="113" s="1"/>
  <c r="P977" i="3"/>
  <c r="P31" i="113" s="1"/>
  <c r="F977" i="3"/>
  <c r="E977" i="3"/>
  <c r="Y976" i="3"/>
  <c r="Y30" i="113" s="1"/>
  <c r="X976" i="3"/>
  <c r="X30" i="113" s="1"/>
  <c r="W976" i="3"/>
  <c r="W30" i="113" s="1"/>
  <c r="V976" i="3"/>
  <c r="V30" i="113" s="1"/>
  <c r="T976" i="3"/>
  <c r="T30" i="113" s="1"/>
  <c r="S976" i="3"/>
  <c r="Q976" i="3"/>
  <c r="Q30" i="113" s="1"/>
  <c r="P976" i="3"/>
  <c r="P30" i="113" s="1"/>
  <c r="F976" i="3"/>
  <c r="E976" i="3"/>
  <c r="Y975" i="3"/>
  <c r="Y53" i="185" s="1"/>
  <c r="X975" i="3"/>
  <c r="X53" i="185" s="1"/>
  <c r="W975" i="3"/>
  <c r="W53" i="185" s="1"/>
  <c r="V975" i="3"/>
  <c r="V53" i="185" s="1"/>
  <c r="U975" i="3"/>
  <c r="U53" i="185" s="1"/>
  <c r="T975" i="3"/>
  <c r="T53" i="185" s="1"/>
  <c r="S975" i="3"/>
  <c r="S53" i="185" s="1"/>
  <c r="Q975" i="3"/>
  <c r="Q53" i="185" s="1"/>
  <c r="P975" i="3"/>
  <c r="F975" i="3"/>
  <c r="E975" i="3"/>
  <c r="Y974" i="3"/>
  <c r="Y18" i="56" s="1"/>
  <c r="X974" i="3"/>
  <c r="X18" i="56" s="1"/>
  <c r="W974" i="3"/>
  <c r="W18" i="56" s="1"/>
  <c r="V974" i="3"/>
  <c r="V18" i="56" s="1"/>
  <c r="T974" i="3"/>
  <c r="T18" i="56" s="1"/>
  <c r="S974" i="3"/>
  <c r="S18" i="56" s="1"/>
  <c r="Q974" i="3"/>
  <c r="Q18" i="56" s="1"/>
  <c r="P974" i="3"/>
  <c r="P18" i="56" s="1"/>
  <c r="F974" i="3"/>
  <c r="E974" i="3"/>
  <c r="Y973" i="3"/>
  <c r="Y10" i="74" s="1"/>
  <c r="X973" i="3"/>
  <c r="X10" i="74" s="1"/>
  <c r="W973" i="3"/>
  <c r="W10" i="74" s="1"/>
  <c r="V973" i="3"/>
  <c r="V10" i="74" s="1"/>
  <c r="T973" i="3"/>
  <c r="T10" i="74" s="1"/>
  <c r="S973" i="3"/>
  <c r="Q973" i="3"/>
  <c r="Q10" i="74" s="1"/>
  <c r="P973" i="3"/>
  <c r="P10" i="74" s="1"/>
  <c r="F973" i="3"/>
  <c r="E973" i="3"/>
  <c r="Y972" i="3"/>
  <c r="Y16" i="119" s="1"/>
  <c r="X972" i="3"/>
  <c r="X16" i="119" s="1"/>
  <c r="W972" i="3"/>
  <c r="W16" i="119" s="1"/>
  <c r="V972" i="3"/>
  <c r="V16" i="119" s="1"/>
  <c r="T972" i="3"/>
  <c r="T16" i="119" s="1"/>
  <c r="S972" i="3"/>
  <c r="S16" i="119" s="1"/>
  <c r="Q972" i="3"/>
  <c r="Q16" i="119" s="1"/>
  <c r="P972" i="3"/>
  <c r="F972" i="3"/>
  <c r="E972" i="3"/>
  <c r="Y971" i="3"/>
  <c r="Y9" i="131" s="1"/>
  <c r="X971" i="3"/>
  <c r="X9" i="131" s="1"/>
  <c r="W971" i="3"/>
  <c r="W9" i="131" s="1"/>
  <c r="V971" i="3"/>
  <c r="V9" i="131" s="1"/>
  <c r="T971" i="3"/>
  <c r="T9" i="131" s="1"/>
  <c r="S971" i="3"/>
  <c r="S9" i="131" s="1"/>
  <c r="Q971" i="3"/>
  <c r="Q9" i="131" s="1"/>
  <c r="P971" i="3"/>
  <c r="P9" i="131" s="1"/>
  <c r="F971" i="3"/>
  <c r="E971" i="3"/>
  <c r="Y970" i="3"/>
  <c r="Y26" i="108" s="1"/>
  <c r="X970" i="3"/>
  <c r="X26" i="108" s="1"/>
  <c r="W970" i="3"/>
  <c r="W26" i="108" s="1"/>
  <c r="V970" i="3"/>
  <c r="V26" i="108" s="1"/>
  <c r="T970" i="3"/>
  <c r="T26" i="108" s="1"/>
  <c r="S970" i="3"/>
  <c r="S26" i="108" s="1"/>
  <c r="Q970" i="3"/>
  <c r="Q26" i="108" s="1"/>
  <c r="P970" i="3"/>
  <c r="P26" i="108" s="1"/>
  <c r="F970" i="3"/>
  <c r="E970" i="3"/>
  <c r="Y969" i="3"/>
  <c r="Y27" i="168" s="1"/>
  <c r="X969" i="3"/>
  <c r="X27" i="168" s="1"/>
  <c r="W969" i="3"/>
  <c r="W27" i="168" s="1"/>
  <c r="V969" i="3"/>
  <c r="V27" i="168" s="1"/>
  <c r="T969" i="3"/>
  <c r="T27" i="168" s="1"/>
  <c r="S969" i="3"/>
  <c r="S27" i="168" s="1"/>
  <c r="Q969" i="3"/>
  <c r="Q27" i="168" s="1"/>
  <c r="P969" i="3"/>
  <c r="P27" i="168" s="1"/>
  <c r="F969" i="3"/>
  <c r="E969" i="3"/>
  <c r="Y968" i="3"/>
  <c r="Y4" i="189" s="1"/>
  <c r="X968" i="3"/>
  <c r="X4" i="189" s="1"/>
  <c r="W968" i="3"/>
  <c r="W4" i="189" s="1"/>
  <c r="V968" i="3"/>
  <c r="V4" i="189" s="1"/>
  <c r="T968" i="3"/>
  <c r="T4" i="189" s="1"/>
  <c r="S968" i="3"/>
  <c r="Q968" i="3"/>
  <c r="Q4" i="189" s="1"/>
  <c r="P968" i="3"/>
  <c r="P4" i="189" s="1"/>
  <c r="F968" i="3"/>
  <c r="E968" i="3"/>
  <c r="Y967" i="3"/>
  <c r="Y23" i="108" s="1"/>
  <c r="X967" i="3"/>
  <c r="X23" i="108" s="1"/>
  <c r="W967" i="3"/>
  <c r="W23" i="108" s="1"/>
  <c r="V967" i="3"/>
  <c r="V23" i="108" s="1"/>
  <c r="T967" i="3"/>
  <c r="T23" i="108" s="1"/>
  <c r="S967" i="3"/>
  <c r="S23" i="108" s="1"/>
  <c r="Q967" i="3"/>
  <c r="Q23" i="108" s="1"/>
  <c r="P967" i="3"/>
  <c r="F967" i="3"/>
  <c r="E967" i="3"/>
  <c r="Y966" i="3"/>
  <c r="Y10" i="35" s="1"/>
  <c r="X966" i="3"/>
  <c r="X10" i="35" s="1"/>
  <c r="W966" i="3"/>
  <c r="W10" i="35" s="1"/>
  <c r="V966" i="3"/>
  <c r="V10" i="35" s="1"/>
  <c r="T966" i="3"/>
  <c r="T10" i="35" s="1"/>
  <c r="S966" i="3"/>
  <c r="S10" i="35" s="1"/>
  <c r="Q966" i="3"/>
  <c r="Q10" i="35" s="1"/>
  <c r="P966" i="3"/>
  <c r="P10" i="35" s="1"/>
  <c r="F966" i="3"/>
  <c r="E966" i="3"/>
  <c r="Y965" i="3"/>
  <c r="Y19" i="120" s="1"/>
  <c r="X965" i="3"/>
  <c r="X19" i="120" s="1"/>
  <c r="W965" i="3"/>
  <c r="W19" i="120" s="1"/>
  <c r="V965" i="3"/>
  <c r="V19" i="120" s="1"/>
  <c r="T965" i="3"/>
  <c r="T19" i="120" s="1"/>
  <c r="S965" i="3"/>
  <c r="Q965" i="3"/>
  <c r="Q19" i="120" s="1"/>
  <c r="P965" i="3"/>
  <c r="P19" i="120" s="1"/>
  <c r="F965" i="3"/>
  <c r="E965" i="3"/>
  <c r="Y964" i="3"/>
  <c r="Y12" i="76" s="1"/>
  <c r="X964" i="3"/>
  <c r="X12" i="76" s="1"/>
  <c r="W964" i="3"/>
  <c r="W12" i="76" s="1"/>
  <c r="V964" i="3"/>
  <c r="V12" i="76" s="1"/>
  <c r="T964" i="3"/>
  <c r="T12" i="76" s="1"/>
  <c r="S964" i="3"/>
  <c r="S12" i="76" s="1"/>
  <c r="Q964" i="3"/>
  <c r="Q12" i="76" s="1"/>
  <c r="P964" i="3"/>
  <c r="F964" i="3"/>
  <c r="E964" i="3"/>
  <c r="Y963" i="3"/>
  <c r="Y12" i="155" s="1"/>
  <c r="X963" i="3"/>
  <c r="X12" i="155" s="1"/>
  <c r="W963" i="3"/>
  <c r="W12" i="155" s="1"/>
  <c r="V963" i="3"/>
  <c r="V12" i="155" s="1"/>
  <c r="T963" i="3"/>
  <c r="T12" i="155" s="1"/>
  <c r="S963" i="3"/>
  <c r="S12" i="155" s="1"/>
  <c r="Q963" i="3"/>
  <c r="Q12" i="155" s="1"/>
  <c r="P963" i="3"/>
  <c r="P12" i="155" s="1"/>
  <c r="F963" i="3"/>
  <c r="E963" i="3"/>
  <c r="Y962" i="3"/>
  <c r="Y47" i="185" s="1"/>
  <c r="X962" i="3"/>
  <c r="X47" i="185" s="1"/>
  <c r="W962" i="3"/>
  <c r="W47" i="185" s="1"/>
  <c r="V962" i="3"/>
  <c r="V47" i="185" s="1"/>
  <c r="T962" i="3"/>
  <c r="T47" i="185" s="1"/>
  <c r="S962" i="3"/>
  <c r="S47" i="185" s="1"/>
  <c r="Q962" i="3"/>
  <c r="Q47" i="185" s="1"/>
  <c r="P962" i="3"/>
  <c r="P47" i="185" s="1"/>
  <c r="F962" i="3"/>
  <c r="E962" i="3"/>
  <c r="Y961" i="3"/>
  <c r="X961" i="3"/>
  <c r="W961" i="3"/>
  <c r="V961" i="3"/>
  <c r="T961" i="3"/>
  <c r="S961" i="3"/>
  <c r="Q961" i="3"/>
  <c r="P961" i="3"/>
  <c r="F961" i="3"/>
  <c r="E961" i="3"/>
  <c r="Y960" i="3"/>
  <c r="Y33" i="113" s="1"/>
  <c r="X960" i="3"/>
  <c r="X33" i="113" s="1"/>
  <c r="W960" i="3"/>
  <c r="W33" i="113" s="1"/>
  <c r="V960" i="3"/>
  <c r="V33" i="113" s="1"/>
  <c r="T960" i="3"/>
  <c r="T33" i="113" s="1"/>
  <c r="S960" i="3"/>
  <c r="Q960" i="3"/>
  <c r="Q33" i="113" s="1"/>
  <c r="P960" i="3"/>
  <c r="P33" i="113" s="1"/>
  <c r="F960" i="3"/>
  <c r="E960" i="3"/>
  <c r="Y959" i="3"/>
  <c r="Y11" i="172" s="1"/>
  <c r="X959" i="3"/>
  <c r="X11" i="172" s="1"/>
  <c r="W959" i="3"/>
  <c r="W11" i="172" s="1"/>
  <c r="V959" i="3"/>
  <c r="V11" i="172" s="1"/>
  <c r="T959" i="3"/>
  <c r="T11" i="172" s="1"/>
  <c r="S959" i="3"/>
  <c r="S11" i="172" s="1"/>
  <c r="Q959" i="3"/>
  <c r="Q11" i="172" s="1"/>
  <c r="P959" i="3"/>
  <c r="F959" i="3"/>
  <c r="E959" i="3"/>
  <c r="Y958" i="3"/>
  <c r="Y16" i="107" s="1"/>
  <c r="X958" i="3"/>
  <c r="X16" i="107" s="1"/>
  <c r="W958" i="3"/>
  <c r="W16" i="107" s="1"/>
  <c r="V958" i="3"/>
  <c r="V16" i="107" s="1"/>
  <c r="T958" i="3"/>
  <c r="T16" i="107" s="1"/>
  <c r="S958" i="3"/>
  <c r="S16" i="107" s="1"/>
  <c r="Q958" i="3"/>
  <c r="Q16" i="107" s="1"/>
  <c r="P958" i="3"/>
  <c r="P16" i="107" s="1"/>
  <c r="F958" i="3"/>
  <c r="E958" i="3"/>
  <c r="Y957" i="3"/>
  <c r="Y10" i="188" s="1"/>
  <c r="X957" i="3"/>
  <c r="X10" i="188" s="1"/>
  <c r="W957" i="3"/>
  <c r="W10" i="188" s="1"/>
  <c r="V957" i="3"/>
  <c r="V10" i="188" s="1"/>
  <c r="T957" i="3"/>
  <c r="T10" i="188" s="1"/>
  <c r="S957" i="3"/>
  <c r="Q957" i="3"/>
  <c r="Q10" i="188" s="1"/>
  <c r="P957" i="3"/>
  <c r="P10" i="188" s="1"/>
  <c r="F957" i="3"/>
  <c r="E957" i="3"/>
  <c r="Y956" i="3"/>
  <c r="Y52" i="185" s="1"/>
  <c r="X956" i="3"/>
  <c r="X52" i="185" s="1"/>
  <c r="W956" i="3"/>
  <c r="W52" i="185" s="1"/>
  <c r="V956" i="3"/>
  <c r="V52" i="185" s="1"/>
  <c r="T956" i="3"/>
  <c r="T52" i="185" s="1"/>
  <c r="S956" i="3"/>
  <c r="S52" i="185" s="1"/>
  <c r="Q956" i="3"/>
  <c r="Q52" i="185" s="1"/>
  <c r="P956" i="3"/>
  <c r="F956" i="3"/>
  <c r="E956" i="3"/>
  <c r="Y955" i="3"/>
  <c r="Y16" i="80" s="1"/>
  <c r="X955" i="3"/>
  <c r="X16" i="80" s="1"/>
  <c r="W955" i="3"/>
  <c r="W16" i="80" s="1"/>
  <c r="V955" i="3"/>
  <c r="V16" i="80" s="1"/>
  <c r="T955" i="3"/>
  <c r="T16" i="80" s="1"/>
  <c r="S955" i="3"/>
  <c r="S16" i="80" s="1"/>
  <c r="Q955" i="3"/>
  <c r="Q16" i="80" s="1"/>
  <c r="P955" i="3"/>
  <c r="P16" i="80" s="1"/>
  <c r="E955" i="3"/>
  <c r="Y954" i="3"/>
  <c r="Y33" i="49" s="1"/>
  <c r="X954" i="3"/>
  <c r="X33" i="49" s="1"/>
  <c r="W954" i="3"/>
  <c r="W33" i="49" s="1"/>
  <c r="V954" i="3"/>
  <c r="V33" i="49" s="1"/>
  <c r="T954" i="3"/>
  <c r="T33" i="49" s="1"/>
  <c r="S954" i="3"/>
  <c r="S33" i="49" s="1"/>
  <c r="Q954" i="3"/>
  <c r="Q33" i="49" s="1"/>
  <c r="P954" i="3"/>
  <c r="F954" i="3"/>
  <c r="E954" i="3"/>
  <c r="Y953" i="3"/>
  <c r="Y66" i="92" s="1"/>
  <c r="X953" i="3"/>
  <c r="X66" i="92" s="1"/>
  <c r="W953" i="3"/>
  <c r="W66" i="92" s="1"/>
  <c r="V953" i="3"/>
  <c r="V66" i="92" s="1"/>
  <c r="T953" i="3"/>
  <c r="T66" i="92" s="1"/>
  <c r="S953" i="3"/>
  <c r="S66" i="92" s="1"/>
  <c r="Q953" i="3"/>
  <c r="Q66" i="92" s="1"/>
  <c r="P953" i="3"/>
  <c r="P66" i="92" s="1"/>
  <c r="F953" i="3"/>
  <c r="E953" i="3"/>
  <c r="Y952" i="3"/>
  <c r="Y13" i="80" s="1"/>
  <c r="X952" i="3"/>
  <c r="X13" i="80" s="1"/>
  <c r="W952" i="3"/>
  <c r="W13" i="80" s="1"/>
  <c r="V952" i="3"/>
  <c r="V13" i="80" s="1"/>
  <c r="T952" i="3"/>
  <c r="T13" i="80" s="1"/>
  <c r="S952" i="3"/>
  <c r="Q952" i="3"/>
  <c r="Q13" i="80" s="1"/>
  <c r="P952" i="3"/>
  <c r="P13" i="80" s="1"/>
  <c r="F952" i="3"/>
  <c r="E952" i="3"/>
  <c r="Y951" i="3"/>
  <c r="Y3" i="178" s="1"/>
  <c r="X951" i="3"/>
  <c r="X3" i="178" s="1"/>
  <c r="W951" i="3"/>
  <c r="W3" i="178" s="1"/>
  <c r="V951" i="3"/>
  <c r="V3" i="178" s="1"/>
  <c r="T951" i="3"/>
  <c r="T3" i="178" s="1"/>
  <c r="S951" i="3"/>
  <c r="S3" i="178" s="1"/>
  <c r="Q951" i="3"/>
  <c r="Q3" i="178" s="1"/>
  <c r="P951" i="3"/>
  <c r="F951" i="3"/>
  <c r="E951" i="3"/>
  <c r="Y950" i="3"/>
  <c r="Y17" i="107" s="1"/>
  <c r="X950" i="3"/>
  <c r="X17" i="107" s="1"/>
  <c r="W950" i="3"/>
  <c r="W17" i="107" s="1"/>
  <c r="V950" i="3"/>
  <c r="V17" i="107" s="1"/>
  <c r="T950" i="3"/>
  <c r="T17" i="107" s="1"/>
  <c r="S950" i="3"/>
  <c r="S17" i="107" s="1"/>
  <c r="Q950" i="3"/>
  <c r="Q17" i="107" s="1"/>
  <c r="P950" i="3"/>
  <c r="P17" i="107" s="1"/>
  <c r="F950" i="3"/>
  <c r="E950" i="3"/>
  <c r="Y949" i="3"/>
  <c r="Y34" i="38" s="1"/>
  <c r="X949" i="3"/>
  <c r="X34" i="38" s="1"/>
  <c r="W949" i="3"/>
  <c r="W34" i="38" s="1"/>
  <c r="V949" i="3"/>
  <c r="V34" i="38" s="1"/>
  <c r="T949" i="3"/>
  <c r="T34" i="38" s="1"/>
  <c r="S949" i="3"/>
  <c r="S34" i="38" s="1"/>
  <c r="Q949" i="3"/>
  <c r="Q34" i="38" s="1"/>
  <c r="P949" i="3"/>
  <c r="P34" i="38" s="1"/>
  <c r="F949" i="3"/>
  <c r="E949" i="3"/>
  <c r="Y948" i="3"/>
  <c r="Y17" i="122" s="1"/>
  <c r="X948" i="3"/>
  <c r="X17" i="122" s="1"/>
  <c r="W948" i="3"/>
  <c r="W17" i="122" s="1"/>
  <c r="V948" i="3"/>
  <c r="V17" i="122" s="1"/>
  <c r="T948" i="3"/>
  <c r="T17" i="122" s="1"/>
  <c r="S948" i="3"/>
  <c r="S17" i="122" s="1"/>
  <c r="Q948" i="3"/>
  <c r="Q17" i="122" s="1"/>
  <c r="P948" i="3"/>
  <c r="P17" i="122" s="1"/>
  <c r="F948" i="3"/>
  <c r="E948" i="3"/>
  <c r="Y947" i="3"/>
  <c r="Y4" i="88" s="1"/>
  <c r="X947" i="3"/>
  <c r="X4" i="88" s="1"/>
  <c r="W947" i="3"/>
  <c r="W4" i="88" s="1"/>
  <c r="V947" i="3"/>
  <c r="V4" i="88" s="1"/>
  <c r="T947" i="3"/>
  <c r="T4" i="88" s="1"/>
  <c r="S947" i="3"/>
  <c r="Q947" i="3"/>
  <c r="Q4" i="88" s="1"/>
  <c r="P947" i="3"/>
  <c r="P4" i="88" s="1"/>
  <c r="F947" i="3"/>
  <c r="E947" i="3"/>
  <c r="Y946" i="3"/>
  <c r="Y12" i="116" s="1"/>
  <c r="X946" i="3"/>
  <c r="X12" i="116" s="1"/>
  <c r="W946" i="3"/>
  <c r="W12" i="116" s="1"/>
  <c r="V946" i="3"/>
  <c r="V12" i="116" s="1"/>
  <c r="T946" i="3"/>
  <c r="T12" i="116" s="1"/>
  <c r="S946" i="3"/>
  <c r="S12" i="116" s="1"/>
  <c r="Q946" i="3"/>
  <c r="Q12" i="116" s="1"/>
  <c r="P946" i="3"/>
  <c r="F946" i="3"/>
  <c r="E946" i="3"/>
  <c r="Y945" i="3"/>
  <c r="Y10" i="109" s="1"/>
  <c r="X945" i="3"/>
  <c r="X10" i="109" s="1"/>
  <c r="W945" i="3"/>
  <c r="W10" i="109" s="1"/>
  <c r="V945" i="3"/>
  <c r="V10" i="109" s="1"/>
  <c r="T945" i="3"/>
  <c r="T10" i="109" s="1"/>
  <c r="S945" i="3"/>
  <c r="S10" i="109" s="1"/>
  <c r="Q945" i="3"/>
  <c r="Q10" i="109" s="1"/>
  <c r="P945" i="3"/>
  <c r="P10" i="109" s="1"/>
  <c r="F945" i="3"/>
  <c r="E945" i="3"/>
  <c r="Y944" i="3"/>
  <c r="Y64" i="92" s="1"/>
  <c r="X944" i="3"/>
  <c r="X64" i="92" s="1"/>
  <c r="W944" i="3"/>
  <c r="W64" i="92" s="1"/>
  <c r="V944" i="3"/>
  <c r="V64" i="92" s="1"/>
  <c r="T944" i="3"/>
  <c r="T64" i="92" s="1"/>
  <c r="S944" i="3"/>
  <c r="Q944" i="3"/>
  <c r="Q64" i="92" s="1"/>
  <c r="P944" i="3"/>
  <c r="P64" i="92" s="1"/>
  <c r="F944" i="3"/>
  <c r="E944" i="3"/>
  <c r="Y943" i="3"/>
  <c r="Y4" i="166" s="1"/>
  <c r="X943" i="3"/>
  <c r="X4" i="166" s="1"/>
  <c r="W943" i="3"/>
  <c r="W4" i="166" s="1"/>
  <c r="V943" i="3"/>
  <c r="V4" i="166" s="1"/>
  <c r="T943" i="3"/>
  <c r="T4" i="166" s="1"/>
  <c r="S943" i="3"/>
  <c r="S4" i="166" s="1"/>
  <c r="Q943" i="3"/>
  <c r="Q4" i="166" s="1"/>
  <c r="P943" i="3"/>
  <c r="F943" i="3"/>
  <c r="E943" i="3"/>
  <c r="Y942" i="3"/>
  <c r="Y22" i="113" s="1"/>
  <c r="X942" i="3"/>
  <c r="X22" i="113" s="1"/>
  <c r="W942" i="3"/>
  <c r="W22" i="113" s="1"/>
  <c r="V942" i="3"/>
  <c r="V22" i="113" s="1"/>
  <c r="T942" i="3"/>
  <c r="S942" i="3"/>
  <c r="S22" i="113" s="1"/>
  <c r="Q942" i="3"/>
  <c r="Q22" i="113" s="1"/>
  <c r="P942" i="3"/>
  <c r="P22" i="113" s="1"/>
  <c r="F942" i="3"/>
  <c r="E942" i="3"/>
  <c r="Y941" i="3"/>
  <c r="Y13" i="76" s="1"/>
  <c r="X941" i="3"/>
  <c r="X13" i="76" s="1"/>
  <c r="W941" i="3"/>
  <c r="W13" i="76" s="1"/>
  <c r="V941" i="3"/>
  <c r="V13" i="76" s="1"/>
  <c r="T941" i="3"/>
  <c r="T13" i="76" s="1"/>
  <c r="S941" i="3"/>
  <c r="S13" i="76" s="1"/>
  <c r="Q941" i="3"/>
  <c r="Q13" i="76" s="1"/>
  <c r="P941" i="3"/>
  <c r="P13" i="76" s="1"/>
  <c r="F941" i="3"/>
  <c r="E941" i="3"/>
  <c r="Y940" i="3"/>
  <c r="Y2" i="89" s="1"/>
  <c r="X940" i="3"/>
  <c r="X2" i="89" s="1"/>
  <c r="W940" i="3"/>
  <c r="W2" i="89" s="1"/>
  <c r="V940" i="3"/>
  <c r="V2" i="89" s="1"/>
  <c r="T940" i="3"/>
  <c r="T2" i="89" s="1"/>
  <c r="S940" i="3"/>
  <c r="S2" i="89" s="1"/>
  <c r="Q940" i="3"/>
  <c r="Q2" i="89" s="1"/>
  <c r="P940" i="3"/>
  <c r="P2" i="89" s="1"/>
  <c r="F940" i="3"/>
  <c r="E940" i="3"/>
  <c r="Y939" i="3"/>
  <c r="Y6" i="85" s="1"/>
  <c r="X939" i="3"/>
  <c r="X6" i="85" s="1"/>
  <c r="W939" i="3"/>
  <c r="W6" i="85" s="1"/>
  <c r="V939" i="3"/>
  <c r="V6" i="85" s="1"/>
  <c r="T939" i="3"/>
  <c r="T6" i="85" s="1"/>
  <c r="S939" i="3"/>
  <c r="Q939" i="3"/>
  <c r="Q6" i="85" s="1"/>
  <c r="P939" i="3"/>
  <c r="P6" i="85" s="1"/>
  <c r="F939" i="3"/>
  <c r="E939" i="3"/>
  <c r="Y938" i="3"/>
  <c r="Y14" i="76" s="1"/>
  <c r="X938" i="3"/>
  <c r="X14" i="76" s="1"/>
  <c r="W938" i="3"/>
  <c r="W14" i="76" s="1"/>
  <c r="V938" i="3"/>
  <c r="V14" i="76" s="1"/>
  <c r="T938" i="3"/>
  <c r="T14" i="76" s="1"/>
  <c r="S938" i="3"/>
  <c r="S14" i="76" s="1"/>
  <c r="Q938" i="3"/>
  <c r="Q14" i="76" s="1"/>
  <c r="P938" i="3"/>
  <c r="F938" i="3"/>
  <c r="E938" i="3"/>
  <c r="Y937" i="3"/>
  <c r="Y3" i="118" s="1"/>
  <c r="X937" i="3"/>
  <c r="X3" i="118" s="1"/>
  <c r="W937" i="3"/>
  <c r="W3" i="118" s="1"/>
  <c r="V937" i="3"/>
  <c r="V3" i="118" s="1"/>
  <c r="T937" i="3"/>
  <c r="T3" i="118" s="1"/>
  <c r="S937" i="3"/>
  <c r="S3" i="118" s="1"/>
  <c r="Q937" i="3"/>
  <c r="Q3" i="118" s="1"/>
  <c r="P937" i="3"/>
  <c r="P3" i="118" s="1"/>
  <c r="F937" i="3"/>
  <c r="E937" i="3"/>
  <c r="Y936" i="3"/>
  <c r="Y65" i="92" s="1"/>
  <c r="X936" i="3"/>
  <c r="X65" i="92" s="1"/>
  <c r="W936" i="3"/>
  <c r="W65" i="92" s="1"/>
  <c r="V936" i="3"/>
  <c r="V65" i="92" s="1"/>
  <c r="T936" i="3"/>
  <c r="T65" i="92" s="1"/>
  <c r="S936" i="3"/>
  <c r="Q936" i="3"/>
  <c r="Q65" i="92" s="1"/>
  <c r="P936" i="3"/>
  <c r="P65" i="92" s="1"/>
  <c r="F936" i="3"/>
  <c r="E936" i="3"/>
  <c r="Y935" i="3"/>
  <c r="Y6" i="190" s="1"/>
  <c r="X935" i="3"/>
  <c r="X6" i="190" s="1"/>
  <c r="W935" i="3"/>
  <c r="W6" i="190" s="1"/>
  <c r="V935" i="3"/>
  <c r="V6" i="190" s="1"/>
  <c r="T935" i="3"/>
  <c r="T6" i="190" s="1"/>
  <c r="S935" i="3"/>
  <c r="S6" i="190" s="1"/>
  <c r="Q935" i="3"/>
  <c r="Q6" i="190" s="1"/>
  <c r="P935" i="3"/>
  <c r="F935" i="3"/>
  <c r="E935" i="3"/>
  <c r="Y934" i="3"/>
  <c r="Y30" i="49" s="1"/>
  <c r="X934" i="3"/>
  <c r="X30" i="49" s="1"/>
  <c r="W934" i="3"/>
  <c r="W30" i="49" s="1"/>
  <c r="V934" i="3"/>
  <c r="V30" i="49" s="1"/>
  <c r="T934" i="3"/>
  <c r="T30" i="49" s="1"/>
  <c r="S934" i="3"/>
  <c r="S30" i="49" s="1"/>
  <c r="Q934" i="3"/>
  <c r="Q30" i="49" s="1"/>
  <c r="P934" i="3"/>
  <c r="P30" i="49" s="1"/>
  <c r="F934" i="3"/>
  <c r="E934" i="3"/>
  <c r="Y933" i="3"/>
  <c r="Y16" i="76" s="1"/>
  <c r="X933" i="3"/>
  <c r="X16" i="76" s="1"/>
  <c r="W933" i="3"/>
  <c r="W16" i="76" s="1"/>
  <c r="V933" i="3"/>
  <c r="V16" i="76" s="1"/>
  <c r="T933" i="3"/>
  <c r="T16" i="76" s="1"/>
  <c r="S933" i="3"/>
  <c r="S16" i="76" s="1"/>
  <c r="Q933" i="3"/>
  <c r="P933" i="3"/>
  <c r="P16" i="76" s="1"/>
  <c r="F933" i="3"/>
  <c r="E933" i="3"/>
  <c r="Y932" i="3"/>
  <c r="Y3" i="97" s="1"/>
  <c r="X932" i="3"/>
  <c r="X3" i="97" s="1"/>
  <c r="W932" i="3"/>
  <c r="W3" i="97" s="1"/>
  <c r="V932" i="3"/>
  <c r="V3" i="97" s="1"/>
  <c r="T932" i="3"/>
  <c r="T3" i="97" s="1"/>
  <c r="S932" i="3"/>
  <c r="S3" i="97" s="1"/>
  <c r="Q932" i="3"/>
  <c r="Q3" i="97" s="1"/>
  <c r="P932" i="3"/>
  <c r="P3" i="97" s="1"/>
  <c r="F932" i="3"/>
  <c r="E932" i="3"/>
  <c r="Y931" i="3"/>
  <c r="Y8" i="73" s="1"/>
  <c r="X931" i="3"/>
  <c r="X8" i="73" s="1"/>
  <c r="W931" i="3"/>
  <c r="W8" i="73" s="1"/>
  <c r="V931" i="3"/>
  <c r="V8" i="73" s="1"/>
  <c r="T931" i="3"/>
  <c r="T8" i="73" s="1"/>
  <c r="S931" i="3"/>
  <c r="Q931" i="3"/>
  <c r="Q8" i="73" s="1"/>
  <c r="P931" i="3"/>
  <c r="P8" i="73" s="1"/>
  <c r="F931" i="3"/>
  <c r="E931" i="3"/>
  <c r="Y930" i="3"/>
  <c r="Y26" i="113" s="1"/>
  <c r="X930" i="3"/>
  <c r="X26" i="113" s="1"/>
  <c r="W930" i="3"/>
  <c r="W26" i="113" s="1"/>
  <c r="V930" i="3"/>
  <c r="V26" i="113" s="1"/>
  <c r="T930" i="3"/>
  <c r="T26" i="113" s="1"/>
  <c r="S930" i="3"/>
  <c r="S26" i="113" s="1"/>
  <c r="Q930" i="3"/>
  <c r="Q26" i="113" s="1"/>
  <c r="P930" i="3"/>
  <c r="F930" i="3"/>
  <c r="E930" i="3"/>
  <c r="Y929" i="3"/>
  <c r="Y25" i="108" s="1"/>
  <c r="X929" i="3"/>
  <c r="X25" i="108" s="1"/>
  <c r="W929" i="3"/>
  <c r="W25" i="108" s="1"/>
  <c r="V929" i="3"/>
  <c r="V25" i="108" s="1"/>
  <c r="T929" i="3"/>
  <c r="T25" i="108" s="1"/>
  <c r="S929" i="3"/>
  <c r="S25" i="108" s="1"/>
  <c r="Q929" i="3"/>
  <c r="Q25" i="108" s="1"/>
  <c r="P929" i="3"/>
  <c r="P25" i="108" s="1"/>
  <c r="F929" i="3"/>
  <c r="E929" i="3"/>
  <c r="Y928" i="3"/>
  <c r="Y3" i="82" s="1"/>
  <c r="X928" i="3"/>
  <c r="X3" i="82" s="1"/>
  <c r="W928" i="3"/>
  <c r="W3" i="82" s="1"/>
  <c r="V928" i="3"/>
  <c r="V3" i="82" s="1"/>
  <c r="T928" i="3"/>
  <c r="T3" i="82" s="1"/>
  <c r="S928" i="3"/>
  <c r="Q928" i="3"/>
  <c r="Q3" i="82" s="1"/>
  <c r="P928" i="3"/>
  <c r="P3" i="82" s="1"/>
  <c r="F928" i="3"/>
  <c r="E928" i="3"/>
  <c r="Y927" i="3"/>
  <c r="Y3" i="182" s="1"/>
  <c r="X927" i="3"/>
  <c r="X3" i="182" s="1"/>
  <c r="W927" i="3"/>
  <c r="W3" i="182" s="1"/>
  <c r="V927" i="3"/>
  <c r="V3" i="182" s="1"/>
  <c r="T927" i="3"/>
  <c r="T3" i="182" s="1"/>
  <c r="S927" i="3"/>
  <c r="S3" i="182" s="1"/>
  <c r="Q927" i="3"/>
  <c r="Q3" i="182" s="1"/>
  <c r="P927" i="3"/>
  <c r="F927" i="3"/>
  <c r="E927" i="3"/>
  <c r="Y926" i="3"/>
  <c r="Y7" i="148" s="1"/>
  <c r="X926" i="3"/>
  <c r="X7" i="148" s="1"/>
  <c r="W926" i="3"/>
  <c r="W7" i="148" s="1"/>
  <c r="V926" i="3"/>
  <c r="V7" i="148" s="1"/>
  <c r="T926" i="3"/>
  <c r="T7" i="148" s="1"/>
  <c r="S926" i="3"/>
  <c r="S7" i="148" s="1"/>
  <c r="Q926" i="3"/>
  <c r="Q7" i="148" s="1"/>
  <c r="P926" i="3"/>
  <c r="P7" i="148" s="1"/>
  <c r="F926" i="3"/>
  <c r="E926" i="3"/>
  <c r="Y925" i="3"/>
  <c r="Y24" i="108" s="1"/>
  <c r="X925" i="3"/>
  <c r="X24" i="108" s="1"/>
  <c r="W925" i="3"/>
  <c r="W24" i="108" s="1"/>
  <c r="V925" i="3"/>
  <c r="V24" i="108" s="1"/>
  <c r="T925" i="3"/>
  <c r="T24" i="108" s="1"/>
  <c r="S925" i="3"/>
  <c r="S24" i="108" s="1"/>
  <c r="Q925" i="3"/>
  <c r="Q24" i="108" s="1"/>
  <c r="P925" i="3"/>
  <c r="P24" i="108" s="1"/>
  <c r="F925" i="3"/>
  <c r="E925" i="3"/>
  <c r="Y924" i="3"/>
  <c r="Y24" i="113" s="1"/>
  <c r="X924" i="3"/>
  <c r="X24" i="113" s="1"/>
  <c r="W924" i="3"/>
  <c r="W24" i="113" s="1"/>
  <c r="V924" i="3"/>
  <c r="V24" i="113" s="1"/>
  <c r="T924" i="3"/>
  <c r="T24" i="113" s="1"/>
  <c r="S924" i="3"/>
  <c r="S24" i="113" s="1"/>
  <c r="Q924" i="3"/>
  <c r="Q24" i="113" s="1"/>
  <c r="P924" i="3"/>
  <c r="P24" i="113" s="1"/>
  <c r="F924" i="3"/>
  <c r="E924" i="3"/>
  <c r="Y923" i="3"/>
  <c r="Y9" i="74" s="1"/>
  <c r="X923" i="3"/>
  <c r="X9" i="74" s="1"/>
  <c r="W923" i="3"/>
  <c r="W9" i="74" s="1"/>
  <c r="V923" i="3"/>
  <c r="V9" i="74" s="1"/>
  <c r="T923" i="3"/>
  <c r="T9" i="74" s="1"/>
  <c r="S923" i="3"/>
  <c r="Q923" i="3"/>
  <c r="Q9" i="74" s="1"/>
  <c r="P923" i="3"/>
  <c r="P9" i="74" s="1"/>
  <c r="F923" i="3"/>
  <c r="E923" i="3"/>
  <c r="Y922" i="3"/>
  <c r="Y19" i="193" s="1"/>
  <c r="X922" i="3"/>
  <c r="X19" i="193" s="1"/>
  <c r="W922" i="3"/>
  <c r="W19" i="193" s="1"/>
  <c r="V922" i="3"/>
  <c r="V19" i="193" s="1"/>
  <c r="T922" i="3"/>
  <c r="T19" i="193" s="1"/>
  <c r="S922" i="3"/>
  <c r="S19" i="193" s="1"/>
  <c r="Q922" i="3"/>
  <c r="Q19" i="193" s="1"/>
  <c r="P922" i="3"/>
  <c r="F922" i="3"/>
  <c r="E922" i="3"/>
  <c r="Y921" i="3"/>
  <c r="Y3" i="146" s="1"/>
  <c r="X921" i="3"/>
  <c r="X3" i="146" s="1"/>
  <c r="W921" i="3"/>
  <c r="W3" i="146" s="1"/>
  <c r="V921" i="3"/>
  <c r="V3" i="146" s="1"/>
  <c r="T921" i="3"/>
  <c r="T3" i="146" s="1"/>
  <c r="S921" i="3"/>
  <c r="S3" i="146" s="1"/>
  <c r="Q921" i="3"/>
  <c r="Q3" i="146" s="1"/>
  <c r="P921" i="3"/>
  <c r="P3" i="146" s="1"/>
  <c r="F921" i="3"/>
  <c r="E921" i="3"/>
  <c r="Y920" i="3"/>
  <c r="Y16" i="122" s="1"/>
  <c r="X920" i="3"/>
  <c r="X16" i="122" s="1"/>
  <c r="W920" i="3"/>
  <c r="W16" i="122" s="1"/>
  <c r="V920" i="3"/>
  <c r="V16" i="122" s="1"/>
  <c r="T920" i="3"/>
  <c r="T16" i="122" s="1"/>
  <c r="S920" i="3"/>
  <c r="Q920" i="3"/>
  <c r="Q16" i="122" s="1"/>
  <c r="P920" i="3"/>
  <c r="P16" i="122" s="1"/>
  <c r="F920" i="3"/>
  <c r="E920" i="3"/>
  <c r="Y919" i="3"/>
  <c r="Y6" i="63" s="1"/>
  <c r="X919" i="3"/>
  <c r="X6" i="63" s="1"/>
  <c r="W919" i="3"/>
  <c r="W6" i="63" s="1"/>
  <c r="V919" i="3"/>
  <c r="V6" i="63" s="1"/>
  <c r="T919" i="3"/>
  <c r="T6" i="63" s="1"/>
  <c r="S919" i="3"/>
  <c r="S6" i="63" s="1"/>
  <c r="Q919" i="3"/>
  <c r="Q6" i="63" s="1"/>
  <c r="P919" i="3"/>
  <c r="F919" i="3"/>
  <c r="E919" i="3"/>
  <c r="Y918" i="3"/>
  <c r="Y17" i="80" s="1"/>
  <c r="X918" i="3"/>
  <c r="X17" i="80" s="1"/>
  <c r="W918" i="3"/>
  <c r="W17" i="80" s="1"/>
  <c r="V918" i="3"/>
  <c r="V17" i="80" s="1"/>
  <c r="T918" i="3"/>
  <c r="T17" i="80" s="1"/>
  <c r="S918" i="3"/>
  <c r="S17" i="80" s="1"/>
  <c r="Q918" i="3"/>
  <c r="Q17" i="80" s="1"/>
  <c r="P918" i="3"/>
  <c r="P17" i="80" s="1"/>
  <c r="F918" i="3"/>
  <c r="E918" i="3"/>
  <c r="Y917" i="3"/>
  <c r="Y4" i="100" s="1"/>
  <c r="X917" i="3"/>
  <c r="X4" i="100" s="1"/>
  <c r="W917" i="3"/>
  <c r="W4" i="100" s="1"/>
  <c r="V917" i="3"/>
  <c r="V4" i="100" s="1"/>
  <c r="T917" i="3"/>
  <c r="T4" i="100" s="1"/>
  <c r="S917" i="3"/>
  <c r="S4" i="100" s="1"/>
  <c r="Q917" i="3"/>
  <c r="Q4" i="100" s="1"/>
  <c r="P917" i="3"/>
  <c r="P4" i="100" s="1"/>
  <c r="F917" i="3"/>
  <c r="E917" i="3"/>
  <c r="Y916" i="3"/>
  <c r="Y9" i="188" s="1"/>
  <c r="X916" i="3"/>
  <c r="X9" i="188" s="1"/>
  <c r="W916" i="3"/>
  <c r="W9" i="188" s="1"/>
  <c r="V916" i="3"/>
  <c r="V9" i="188" s="1"/>
  <c r="T916" i="3"/>
  <c r="T9" i="188" s="1"/>
  <c r="S916" i="3"/>
  <c r="S9" i="188" s="1"/>
  <c r="Q916" i="3"/>
  <c r="Q9" i="188" s="1"/>
  <c r="P916" i="3"/>
  <c r="P9" i="188" s="1"/>
  <c r="F916" i="3"/>
  <c r="E916" i="3"/>
  <c r="Y915" i="3"/>
  <c r="Y22" i="108" s="1"/>
  <c r="X915" i="3"/>
  <c r="X22" i="108" s="1"/>
  <c r="W915" i="3"/>
  <c r="W22" i="108" s="1"/>
  <c r="V915" i="3"/>
  <c r="V22" i="108" s="1"/>
  <c r="T915" i="3"/>
  <c r="T22" i="108" s="1"/>
  <c r="S915" i="3"/>
  <c r="Q915" i="3"/>
  <c r="Q22" i="108" s="1"/>
  <c r="P915" i="3"/>
  <c r="P22" i="108" s="1"/>
  <c r="F915" i="3"/>
  <c r="E915" i="3"/>
  <c r="Y914" i="3"/>
  <c r="Y34" i="196" s="1"/>
  <c r="X914" i="3"/>
  <c r="X34" i="196" s="1"/>
  <c r="W914" i="3"/>
  <c r="W34" i="196" s="1"/>
  <c r="V914" i="3"/>
  <c r="V34" i="196" s="1"/>
  <c r="T914" i="3"/>
  <c r="T34" i="196" s="1"/>
  <c r="S914" i="3"/>
  <c r="S34" i="196" s="1"/>
  <c r="Q914" i="3"/>
  <c r="Q34" i="196" s="1"/>
  <c r="P914" i="3"/>
  <c r="F914" i="3"/>
  <c r="E914" i="3"/>
  <c r="Y913" i="3"/>
  <c r="Y25" i="113" s="1"/>
  <c r="X913" i="3"/>
  <c r="X25" i="113" s="1"/>
  <c r="W913" i="3"/>
  <c r="W25" i="113" s="1"/>
  <c r="V913" i="3"/>
  <c r="V25" i="113" s="1"/>
  <c r="T913" i="3"/>
  <c r="T25" i="113" s="1"/>
  <c r="S913" i="3"/>
  <c r="S25" i="113" s="1"/>
  <c r="Q913" i="3"/>
  <c r="Q25" i="113" s="1"/>
  <c r="P913" i="3"/>
  <c r="P25" i="113" s="1"/>
  <c r="F913" i="3"/>
  <c r="E913" i="3"/>
  <c r="Y28" i="113"/>
  <c r="X28" i="113"/>
  <c r="W28" i="113"/>
  <c r="V28" i="113"/>
  <c r="T28" i="113"/>
  <c r="R28" i="113"/>
  <c r="Q28" i="113"/>
  <c r="P28" i="113"/>
  <c r="Y912" i="3"/>
  <c r="Y32" i="49" s="1"/>
  <c r="X912" i="3"/>
  <c r="X32" i="49" s="1"/>
  <c r="W912" i="3"/>
  <c r="W32" i="49" s="1"/>
  <c r="V912" i="3"/>
  <c r="V32" i="49" s="1"/>
  <c r="T912" i="3"/>
  <c r="T32" i="49" s="1"/>
  <c r="S912" i="3"/>
  <c r="S32" i="49" s="1"/>
  <c r="Q912" i="3"/>
  <c r="Q32" i="49" s="1"/>
  <c r="P912" i="3"/>
  <c r="F912" i="3"/>
  <c r="E912" i="3"/>
  <c r="Y911" i="3"/>
  <c r="Y7" i="72" s="1"/>
  <c r="X911" i="3"/>
  <c r="X7" i="72" s="1"/>
  <c r="W911" i="3"/>
  <c r="W7" i="72" s="1"/>
  <c r="V911" i="3"/>
  <c r="V7" i="72" s="1"/>
  <c r="T911" i="3"/>
  <c r="S911" i="3"/>
  <c r="S7" i="72" s="1"/>
  <c r="Q911" i="3"/>
  <c r="Q7" i="72" s="1"/>
  <c r="P911" i="3"/>
  <c r="P7" i="72" s="1"/>
  <c r="F911" i="3"/>
  <c r="E911" i="3"/>
  <c r="Y910" i="3"/>
  <c r="Y15" i="119" s="1"/>
  <c r="X910" i="3"/>
  <c r="X15" i="119" s="1"/>
  <c r="W910" i="3"/>
  <c r="W15" i="119" s="1"/>
  <c r="V910" i="3"/>
  <c r="V15" i="119" s="1"/>
  <c r="T910" i="3"/>
  <c r="T15" i="119" s="1"/>
  <c r="S910" i="3"/>
  <c r="S15" i="119" s="1"/>
  <c r="Q910" i="3"/>
  <c r="Q15" i="119" s="1"/>
  <c r="P910" i="3"/>
  <c r="P15" i="119" s="1"/>
  <c r="F910" i="3"/>
  <c r="E910" i="3"/>
  <c r="Y909" i="3"/>
  <c r="Y6" i="161" s="1"/>
  <c r="X909" i="3"/>
  <c r="X6" i="161" s="1"/>
  <c r="W909" i="3"/>
  <c r="W6" i="161" s="1"/>
  <c r="V909" i="3"/>
  <c r="V6" i="161" s="1"/>
  <c r="T909" i="3"/>
  <c r="T6" i="161" s="1"/>
  <c r="S909" i="3"/>
  <c r="S6" i="161" s="1"/>
  <c r="Q909" i="3"/>
  <c r="Q6" i="161" s="1"/>
  <c r="P909" i="3"/>
  <c r="P6" i="161" s="1"/>
  <c r="F909" i="3"/>
  <c r="E909" i="3"/>
  <c r="Y908" i="3"/>
  <c r="Y21" i="113" s="1"/>
  <c r="X908" i="3"/>
  <c r="X21" i="113" s="1"/>
  <c r="W908" i="3"/>
  <c r="W21" i="113" s="1"/>
  <c r="V908" i="3"/>
  <c r="V21" i="113" s="1"/>
  <c r="T908" i="3"/>
  <c r="T21" i="113" s="1"/>
  <c r="S908" i="3"/>
  <c r="Q908" i="3"/>
  <c r="Q21" i="113" s="1"/>
  <c r="P908" i="3"/>
  <c r="P21" i="113" s="1"/>
  <c r="F908" i="3"/>
  <c r="E908" i="3"/>
  <c r="Y907" i="3"/>
  <c r="Y31" i="49" s="1"/>
  <c r="X907" i="3"/>
  <c r="X31" i="49" s="1"/>
  <c r="W907" i="3"/>
  <c r="W31" i="49" s="1"/>
  <c r="V907" i="3"/>
  <c r="V31" i="49" s="1"/>
  <c r="T907" i="3"/>
  <c r="T31" i="49" s="1"/>
  <c r="S907" i="3"/>
  <c r="S31" i="49" s="1"/>
  <c r="Q907" i="3"/>
  <c r="Q31" i="49" s="1"/>
  <c r="P907" i="3"/>
  <c r="F907" i="3"/>
  <c r="E907" i="3"/>
  <c r="Y906" i="3"/>
  <c r="Y10" i="12" s="1"/>
  <c r="X906" i="3"/>
  <c r="X10" i="12" s="1"/>
  <c r="W906" i="3"/>
  <c r="W10" i="12" s="1"/>
  <c r="V906" i="3"/>
  <c r="V10" i="12" s="1"/>
  <c r="T906" i="3"/>
  <c r="T10" i="12" s="1"/>
  <c r="S906" i="3"/>
  <c r="S10" i="12" s="1"/>
  <c r="Q906" i="3"/>
  <c r="Q10" i="12" s="1"/>
  <c r="P906" i="3"/>
  <c r="P10" i="12" s="1"/>
  <c r="F906" i="3"/>
  <c r="E906" i="3"/>
  <c r="Y905" i="3"/>
  <c r="Y48" i="185" s="1"/>
  <c r="X905" i="3"/>
  <c r="X48" i="185" s="1"/>
  <c r="W905" i="3"/>
  <c r="W48" i="185" s="1"/>
  <c r="V905" i="3"/>
  <c r="V48" i="185" s="1"/>
  <c r="T905" i="3"/>
  <c r="T48" i="185" s="1"/>
  <c r="S905" i="3"/>
  <c r="Q905" i="3"/>
  <c r="Q48" i="185" s="1"/>
  <c r="P905" i="3"/>
  <c r="P48" i="185" s="1"/>
  <c r="F905" i="3"/>
  <c r="E905" i="3"/>
  <c r="Y904" i="3"/>
  <c r="Y6" i="73" s="1"/>
  <c r="X904" i="3"/>
  <c r="X6" i="73" s="1"/>
  <c r="W904" i="3"/>
  <c r="W6" i="73" s="1"/>
  <c r="V904" i="3"/>
  <c r="V6" i="73" s="1"/>
  <c r="T904" i="3"/>
  <c r="T6" i="73" s="1"/>
  <c r="S904" i="3"/>
  <c r="S6" i="73" s="1"/>
  <c r="Q904" i="3"/>
  <c r="Q6" i="73" s="1"/>
  <c r="P904" i="3"/>
  <c r="F904" i="3"/>
  <c r="E904" i="3"/>
  <c r="Y903" i="3"/>
  <c r="Y10" i="68" s="1"/>
  <c r="X903" i="3"/>
  <c r="X10" i="68" s="1"/>
  <c r="W903" i="3"/>
  <c r="W10" i="68" s="1"/>
  <c r="V903" i="3"/>
  <c r="V10" i="68" s="1"/>
  <c r="T903" i="3"/>
  <c r="T10" i="68" s="1"/>
  <c r="S903" i="3"/>
  <c r="S10" i="68" s="1"/>
  <c r="Q903" i="3"/>
  <c r="Q10" i="68" s="1"/>
  <c r="P903" i="3"/>
  <c r="P10" i="68" s="1"/>
  <c r="F903" i="3"/>
  <c r="E903" i="3"/>
  <c r="Y902" i="3"/>
  <c r="Y3" i="149" s="1"/>
  <c r="X902" i="3"/>
  <c r="X3" i="149" s="1"/>
  <c r="W902" i="3"/>
  <c r="W3" i="149" s="1"/>
  <c r="V902" i="3"/>
  <c r="V3" i="149" s="1"/>
  <c r="T902" i="3"/>
  <c r="T3" i="149" s="1"/>
  <c r="S902" i="3"/>
  <c r="S3" i="149" s="1"/>
  <c r="Q902" i="3"/>
  <c r="P902" i="3"/>
  <c r="P3" i="149" s="1"/>
  <c r="F902" i="3"/>
  <c r="E902" i="3"/>
  <c r="Y901" i="3"/>
  <c r="Y5" i="63" s="1"/>
  <c r="X901" i="3"/>
  <c r="X5" i="63" s="1"/>
  <c r="W901" i="3"/>
  <c r="W5" i="63" s="1"/>
  <c r="V901" i="3"/>
  <c r="V5" i="63" s="1"/>
  <c r="T901" i="3"/>
  <c r="T5" i="63" s="1"/>
  <c r="S901" i="3"/>
  <c r="S5" i="63" s="1"/>
  <c r="Q901" i="3"/>
  <c r="Q5" i="63" s="1"/>
  <c r="P901" i="3"/>
  <c r="P5" i="63" s="1"/>
  <c r="F901" i="3"/>
  <c r="E901" i="3"/>
  <c r="Y900" i="3"/>
  <c r="Y16" i="129" s="1"/>
  <c r="X900" i="3"/>
  <c r="X16" i="129" s="1"/>
  <c r="W900" i="3"/>
  <c r="W16" i="129" s="1"/>
  <c r="V900" i="3"/>
  <c r="V16" i="129" s="1"/>
  <c r="T900" i="3"/>
  <c r="T16" i="129" s="1"/>
  <c r="S900" i="3"/>
  <c r="Q900" i="3"/>
  <c r="Q16" i="129" s="1"/>
  <c r="P900" i="3"/>
  <c r="P16" i="129" s="1"/>
  <c r="F900" i="3"/>
  <c r="E900" i="3"/>
  <c r="Y899" i="3"/>
  <c r="Y63" i="92" s="1"/>
  <c r="X899" i="3"/>
  <c r="X63" i="92" s="1"/>
  <c r="W899" i="3"/>
  <c r="W63" i="92" s="1"/>
  <c r="V899" i="3"/>
  <c r="V63" i="92" s="1"/>
  <c r="T899" i="3"/>
  <c r="T63" i="92" s="1"/>
  <c r="S899" i="3"/>
  <c r="S63" i="92" s="1"/>
  <c r="Q899" i="3"/>
  <c r="Q63" i="92" s="1"/>
  <c r="P899" i="3"/>
  <c r="F899" i="3"/>
  <c r="E899" i="3"/>
  <c r="Y898" i="3"/>
  <c r="Y30" i="38" s="1"/>
  <c r="X898" i="3"/>
  <c r="X30" i="38" s="1"/>
  <c r="W898" i="3"/>
  <c r="W30" i="38" s="1"/>
  <c r="V898" i="3"/>
  <c r="V30" i="38" s="1"/>
  <c r="T898" i="3"/>
  <c r="T30" i="38" s="1"/>
  <c r="S898" i="3"/>
  <c r="S30" i="38" s="1"/>
  <c r="Q898" i="3"/>
  <c r="Q30" i="38" s="1"/>
  <c r="P898" i="3"/>
  <c r="P30" i="38" s="1"/>
  <c r="F898" i="3"/>
  <c r="E898" i="3"/>
  <c r="Y897" i="3"/>
  <c r="X897" i="3"/>
  <c r="W897" i="3"/>
  <c r="V897" i="3"/>
  <c r="T897" i="3"/>
  <c r="S897" i="3"/>
  <c r="Q897" i="3"/>
  <c r="R897" i="3" s="1"/>
  <c r="P897" i="3"/>
  <c r="F897" i="3"/>
  <c r="E897" i="3"/>
  <c r="Y896" i="3"/>
  <c r="Y4" i="20" s="1"/>
  <c r="X896" i="3"/>
  <c r="X4" i="20" s="1"/>
  <c r="W896" i="3"/>
  <c r="W4" i="20" s="1"/>
  <c r="V896" i="3"/>
  <c r="V4" i="20" s="1"/>
  <c r="T896" i="3"/>
  <c r="T4" i="20" s="1"/>
  <c r="S896" i="3"/>
  <c r="S4" i="20" s="1"/>
  <c r="Q896" i="3"/>
  <c r="Q4" i="20" s="1"/>
  <c r="P896" i="3"/>
  <c r="F896" i="3"/>
  <c r="E896" i="3"/>
  <c r="Y895" i="3"/>
  <c r="Y5" i="71" s="1"/>
  <c r="X895" i="3"/>
  <c r="X5" i="71" s="1"/>
  <c r="W895" i="3"/>
  <c r="W5" i="71" s="1"/>
  <c r="V895" i="3"/>
  <c r="V5" i="71" s="1"/>
  <c r="T895" i="3"/>
  <c r="T5" i="71" s="1"/>
  <c r="S895" i="3"/>
  <c r="Q895" i="3"/>
  <c r="Q5" i="71" s="1"/>
  <c r="P895" i="3"/>
  <c r="P5" i="71" s="1"/>
  <c r="F895" i="3"/>
  <c r="E895" i="3"/>
  <c r="Y894" i="3"/>
  <c r="Y9" i="12" s="1"/>
  <c r="X894" i="3"/>
  <c r="X9" i="12" s="1"/>
  <c r="W894" i="3"/>
  <c r="W9" i="12" s="1"/>
  <c r="V894" i="3"/>
  <c r="V9" i="12" s="1"/>
  <c r="T894" i="3"/>
  <c r="T9" i="12" s="1"/>
  <c r="S894" i="3"/>
  <c r="S9" i="12" s="1"/>
  <c r="Q894" i="3"/>
  <c r="Q9" i="12" s="1"/>
  <c r="P894" i="3"/>
  <c r="P9" i="12" s="1"/>
  <c r="F894" i="3"/>
  <c r="E894" i="3"/>
  <c r="Y893" i="3"/>
  <c r="Y32" i="38" s="1"/>
  <c r="X893" i="3"/>
  <c r="X32" i="38" s="1"/>
  <c r="W893" i="3"/>
  <c r="W32" i="38" s="1"/>
  <c r="V893" i="3"/>
  <c r="V32" i="38" s="1"/>
  <c r="T893" i="3"/>
  <c r="T32" i="38" s="1"/>
  <c r="S893" i="3"/>
  <c r="S32" i="38" s="1"/>
  <c r="Q893" i="3"/>
  <c r="Q32" i="38" s="1"/>
  <c r="P893" i="3"/>
  <c r="P32" i="38" s="1"/>
  <c r="F893" i="3"/>
  <c r="E893" i="3"/>
  <c r="Y892" i="3"/>
  <c r="Y17" i="177" s="1"/>
  <c r="X892" i="3"/>
  <c r="X17" i="177" s="1"/>
  <c r="W892" i="3"/>
  <c r="W17" i="177" s="1"/>
  <c r="V892" i="3"/>
  <c r="V17" i="177" s="1"/>
  <c r="T892" i="3"/>
  <c r="T17" i="177" s="1"/>
  <c r="S892" i="3"/>
  <c r="Q892" i="3"/>
  <c r="Q17" i="177" s="1"/>
  <c r="P892" i="3"/>
  <c r="P17" i="177" s="1"/>
  <c r="F892" i="3"/>
  <c r="E892" i="3"/>
  <c r="Y891" i="3"/>
  <c r="Y4" i="117" s="1"/>
  <c r="X891" i="3"/>
  <c r="X4" i="117" s="1"/>
  <c r="W891" i="3"/>
  <c r="W4" i="117" s="1"/>
  <c r="V891" i="3"/>
  <c r="V4" i="117" s="1"/>
  <c r="T891" i="3"/>
  <c r="T4" i="117" s="1"/>
  <c r="S891" i="3"/>
  <c r="S4" i="117" s="1"/>
  <c r="Q891" i="3"/>
  <c r="Q4" i="117" s="1"/>
  <c r="P891" i="3"/>
  <c r="F891" i="3"/>
  <c r="E891" i="3"/>
  <c r="Y890" i="3"/>
  <c r="Y15" i="80" s="1"/>
  <c r="X890" i="3"/>
  <c r="X15" i="80" s="1"/>
  <c r="W890" i="3"/>
  <c r="W15" i="80" s="1"/>
  <c r="V890" i="3"/>
  <c r="V15" i="80" s="1"/>
  <c r="T890" i="3"/>
  <c r="T15" i="80" s="1"/>
  <c r="S890" i="3"/>
  <c r="S15" i="80" s="1"/>
  <c r="Q890" i="3"/>
  <c r="Q15" i="80" s="1"/>
  <c r="P890" i="3"/>
  <c r="P15" i="80" s="1"/>
  <c r="F890" i="3"/>
  <c r="E890" i="3"/>
  <c r="Y889" i="3"/>
  <c r="Y31" i="38" s="1"/>
  <c r="X889" i="3"/>
  <c r="X31" i="38" s="1"/>
  <c r="W889" i="3"/>
  <c r="W31" i="38" s="1"/>
  <c r="V889" i="3"/>
  <c r="V31" i="38" s="1"/>
  <c r="T889" i="3"/>
  <c r="T31" i="38" s="1"/>
  <c r="S889" i="3"/>
  <c r="Q889" i="3"/>
  <c r="Q31" i="38" s="1"/>
  <c r="P889" i="3"/>
  <c r="P31" i="38" s="1"/>
  <c r="F889" i="3"/>
  <c r="E889" i="3"/>
  <c r="Y888" i="3"/>
  <c r="Y4" i="96" s="1"/>
  <c r="X888" i="3"/>
  <c r="X4" i="96" s="1"/>
  <c r="W888" i="3"/>
  <c r="W4" i="96" s="1"/>
  <c r="V888" i="3"/>
  <c r="V4" i="96" s="1"/>
  <c r="T888" i="3"/>
  <c r="T4" i="96" s="1"/>
  <c r="S888" i="3"/>
  <c r="S4" i="96" s="1"/>
  <c r="Q888" i="3"/>
  <c r="Q4" i="96" s="1"/>
  <c r="P888" i="3"/>
  <c r="F888" i="3"/>
  <c r="E888" i="3"/>
  <c r="Y887" i="3"/>
  <c r="Y29" i="38" s="1"/>
  <c r="X887" i="3"/>
  <c r="X29" i="38" s="1"/>
  <c r="W887" i="3"/>
  <c r="W29" i="38" s="1"/>
  <c r="V887" i="3"/>
  <c r="V29" i="38" s="1"/>
  <c r="U887" i="3"/>
  <c r="U29" i="38" s="1"/>
  <c r="T887" i="3"/>
  <c r="T29" i="38" s="1"/>
  <c r="S887" i="3"/>
  <c r="S29" i="38" s="1"/>
  <c r="Q887" i="3"/>
  <c r="Q29" i="38" s="1"/>
  <c r="P887" i="3"/>
  <c r="P29" i="38" s="1"/>
  <c r="F887" i="3"/>
  <c r="E887" i="3"/>
  <c r="Y886" i="3"/>
  <c r="Y10" i="172" s="1"/>
  <c r="X886" i="3"/>
  <c r="X10" i="172" s="1"/>
  <c r="W886" i="3"/>
  <c r="W10" i="172" s="1"/>
  <c r="V886" i="3"/>
  <c r="V10" i="172" s="1"/>
  <c r="T886" i="3"/>
  <c r="T10" i="172" s="1"/>
  <c r="S886" i="3"/>
  <c r="S10" i="172" s="1"/>
  <c r="Q886" i="3"/>
  <c r="Q10" i="172" s="1"/>
  <c r="P886" i="3"/>
  <c r="P10" i="172" s="1"/>
  <c r="F886" i="3"/>
  <c r="E886" i="3"/>
  <c r="Y885" i="3"/>
  <c r="Y28" i="38" s="1"/>
  <c r="X885" i="3"/>
  <c r="X28" i="38" s="1"/>
  <c r="W885" i="3"/>
  <c r="W28" i="38" s="1"/>
  <c r="V885" i="3"/>
  <c r="V28" i="38" s="1"/>
  <c r="T885" i="3"/>
  <c r="T28" i="38" s="1"/>
  <c r="S885" i="3"/>
  <c r="S28" i="38" s="1"/>
  <c r="Q885" i="3"/>
  <c r="Q28" i="38" s="1"/>
  <c r="P885" i="3"/>
  <c r="P28" i="38" s="1"/>
  <c r="F885" i="3"/>
  <c r="E885" i="3"/>
  <c r="Y884" i="3"/>
  <c r="Y33" i="38" s="1"/>
  <c r="X884" i="3"/>
  <c r="X33" i="38" s="1"/>
  <c r="W884" i="3"/>
  <c r="W33" i="38" s="1"/>
  <c r="V884" i="3"/>
  <c r="V33" i="38" s="1"/>
  <c r="T884" i="3"/>
  <c r="T33" i="38" s="1"/>
  <c r="S884" i="3"/>
  <c r="Q884" i="3"/>
  <c r="Q33" i="38" s="1"/>
  <c r="P884" i="3"/>
  <c r="P33" i="38" s="1"/>
  <c r="F884" i="3"/>
  <c r="E884" i="3"/>
  <c r="Y883" i="3"/>
  <c r="Y8" i="35" s="1"/>
  <c r="X883" i="3"/>
  <c r="X8" i="35" s="1"/>
  <c r="W883" i="3"/>
  <c r="W8" i="35" s="1"/>
  <c r="V883" i="3"/>
  <c r="V8" i="35" s="1"/>
  <c r="T883" i="3"/>
  <c r="T8" i="35" s="1"/>
  <c r="S883" i="3"/>
  <c r="S8" i="35" s="1"/>
  <c r="Q883" i="3"/>
  <c r="Q8" i="35" s="1"/>
  <c r="P883" i="3"/>
  <c r="F883" i="3"/>
  <c r="E883" i="3"/>
  <c r="Y882" i="3"/>
  <c r="Y3" i="150" s="1"/>
  <c r="X882" i="3"/>
  <c r="X3" i="150" s="1"/>
  <c r="W882" i="3"/>
  <c r="W3" i="150" s="1"/>
  <c r="V882" i="3"/>
  <c r="V3" i="150" s="1"/>
  <c r="T882" i="3"/>
  <c r="T3" i="150" s="1"/>
  <c r="S882" i="3"/>
  <c r="S3" i="150" s="1"/>
  <c r="Q882" i="3"/>
  <c r="Q3" i="150" s="1"/>
  <c r="P882" i="3"/>
  <c r="P3" i="150" s="1"/>
  <c r="F882" i="3"/>
  <c r="E882" i="3"/>
  <c r="Y881" i="3"/>
  <c r="Y3" i="126" s="1"/>
  <c r="X881" i="3"/>
  <c r="X3" i="126" s="1"/>
  <c r="W881" i="3"/>
  <c r="W3" i="126" s="1"/>
  <c r="V881" i="3"/>
  <c r="V3" i="126" s="1"/>
  <c r="T881" i="3"/>
  <c r="T3" i="126" s="1"/>
  <c r="S881" i="3"/>
  <c r="Q881" i="3"/>
  <c r="Q3" i="126" s="1"/>
  <c r="P881" i="3"/>
  <c r="P3" i="126" s="1"/>
  <c r="F881" i="3"/>
  <c r="E881" i="3"/>
  <c r="Y880" i="3"/>
  <c r="Y25" i="167" s="1"/>
  <c r="X880" i="3"/>
  <c r="X25" i="167" s="1"/>
  <c r="W880" i="3"/>
  <c r="W25" i="167" s="1"/>
  <c r="V880" i="3"/>
  <c r="V25" i="167" s="1"/>
  <c r="T880" i="3"/>
  <c r="T25" i="167" s="1"/>
  <c r="S880" i="3"/>
  <c r="S25" i="167" s="1"/>
  <c r="Q880" i="3"/>
  <c r="Q25" i="167" s="1"/>
  <c r="P880" i="3"/>
  <c r="F880" i="3"/>
  <c r="E880" i="3"/>
  <c r="Y879" i="3"/>
  <c r="Y62" i="92" s="1"/>
  <c r="X879" i="3"/>
  <c r="X62" i="92" s="1"/>
  <c r="W879" i="3"/>
  <c r="W62" i="92" s="1"/>
  <c r="V879" i="3"/>
  <c r="V62" i="92" s="1"/>
  <c r="T879" i="3"/>
  <c r="S879" i="3"/>
  <c r="S62" i="92" s="1"/>
  <c r="Q879" i="3"/>
  <c r="Q62" i="92" s="1"/>
  <c r="P879" i="3"/>
  <c r="P62" i="92" s="1"/>
  <c r="F879" i="3"/>
  <c r="E879" i="3"/>
  <c r="Y878" i="3"/>
  <c r="Y33" i="196" s="1"/>
  <c r="X878" i="3"/>
  <c r="X33" i="196" s="1"/>
  <c r="W878" i="3"/>
  <c r="W33" i="196" s="1"/>
  <c r="V878" i="3"/>
  <c r="V33" i="196" s="1"/>
  <c r="T878" i="3"/>
  <c r="T33" i="196" s="1"/>
  <c r="S878" i="3"/>
  <c r="S33" i="196" s="1"/>
  <c r="Q878" i="3"/>
  <c r="Q33" i="196" s="1"/>
  <c r="P878" i="3"/>
  <c r="P33" i="196" s="1"/>
  <c r="F878" i="3"/>
  <c r="E878" i="3"/>
  <c r="Y877" i="3"/>
  <c r="Y25" i="49" s="1"/>
  <c r="X877" i="3"/>
  <c r="X25" i="49" s="1"/>
  <c r="W877" i="3"/>
  <c r="W25" i="49" s="1"/>
  <c r="V877" i="3"/>
  <c r="V25" i="49" s="1"/>
  <c r="T877" i="3"/>
  <c r="T25" i="49" s="1"/>
  <c r="S877" i="3"/>
  <c r="S25" i="49" s="1"/>
  <c r="Q877" i="3"/>
  <c r="Q25" i="49" s="1"/>
  <c r="P877" i="3"/>
  <c r="F877" i="3"/>
  <c r="E877" i="3"/>
  <c r="Y876" i="3"/>
  <c r="Y3" i="141" s="1"/>
  <c r="X876" i="3"/>
  <c r="X3" i="141" s="1"/>
  <c r="W876" i="3"/>
  <c r="W3" i="141" s="1"/>
  <c r="V876" i="3"/>
  <c r="V3" i="141" s="1"/>
  <c r="T876" i="3"/>
  <c r="T3" i="141" s="1"/>
  <c r="S876" i="3"/>
  <c r="Q876" i="3"/>
  <c r="Q3" i="141" s="1"/>
  <c r="P876" i="3"/>
  <c r="P3" i="141" s="1"/>
  <c r="F876" i="3"/>
  <c r="E876" i="3"/>
  <c r="Y875" i="3"/>
  <c r="Y14" i="129" s="1"/>
  <c r="X875" i="3"/>
  <c r="X14" i="129" s="1"/>
  <c r="W875" i="3"/>
  <c r="W14" i="129" s="1"/>
  <c r="V875" i="3"/>
  <c r="V14" i="129" s="1"/>
  <c r="T875" i="3"/>
  <c r="T14" i="129" s="1"/>
  <c r="S875" i="3"/>
  <c r="S14" i="129" s="1"/>
  <c r="Q875" i="3"/>
  <c r="Q14" i="129" s="1"/>
  <c r="P875" i="3"/>
  <c r="F875" i="3"/>
  <c r="E875" i="3"/>
  <c r="Y874" i="3"/>
  <c r="Y12" i="102" s="1"/>
  <c r="X874" i="3"/>
  <c r="X12" i="102" s="1"/>
  <c r="W874" i="3"/>
  <c r="W12" i="102" s="1"/>
  <c r="V874" i="3"/>
  <c r="V12" i="102" s="1"/>
  <c r="T874" i="3"/>
  <c r="T12" i="102" s="1"/>
  <c r="S874" i="3"/>
  <c r="S12" i="102" s="1"/>
  <c r="Q874" i="3"/>
  <c r="Q12" i="102" s="1"/>
  <c r="P874" i="3"/>
  <c r="P12" i="102" s="1"/>
  <c r="F874" i="3"/>
  <c r="E874" i="3"/>
  <c r="Y873" i="3"/>
  <c r="Y21" i="108" s="1"/>
  <c r="X873" i="3"/>
  <c r="X21" i="108" s="1"/>
  <c r="W873" i="3"/>
  <c r="W21" i="108" s="1"/>
  <c r="V873" i="3"/>
  <c r="V21" i="108" s="1"/>
  <c r="T873" i="3"/>
  <c r="T21" i="108" s="1"/>
  <c r="S873" i="3"/>
  <c r="Q873" i="3"/>
  <c r="Q21" i="108" s="1"/>
  <c r="P873" i="3"/>
  <c r="P21" i="108" s="1"/>
  <c r="F873" i="3"/>
  <c r="E873" i="3"/>
  <c r="Y872" i="3"/>
  <c r="Y11" i="155" s="1"/>
  <c r="X872" i="3"/>
  <c r="X11" i="155" s="1"/>
  <c r="W872" i="3"/>
  <c r="W11" i="155" s="1"/>
  <c r="V872" i="3"/>
  <c r="V11" i="155" s="1"/>
  <c r="T872" i="3"/>
  <c r="T11" i="155" s="1"/>
  <c r="S872" i="3"/>
  <c r="S11" i="155" s="1"/>
  <c r="Q872" i="3"/>
  <c r="Q11" i="155" s="1"/>
  <c r="P872" i="3"/>
  <c r="F872" i="3"/>
  <c r="E872" i="3"/>
  <c r="Y871" i="3"/>
  <c r="Y29" i="49" s="1"/>
  <c r="X871" i="3"/>
  <c r="X29" i="49" s="1"/>
  <c r="W871" i="3"/>
  <c r="W29" i="49" s="1"/>
  <c r="V871" i="3"/>
  <c r="V29" i="49" s="1"/>
  <c r="T871" i="3"/>
  <c r="S871" i="3"/>
  <c r="S29" i="49" s="1"/>
  <c r="Q871" i="3"/>
  <c r="Q29" i="49" s="1"/>
  <c r="P871" i="3"/>
  <c r="P29" i="49" s="1"/>
  <c r="F871" i="3"/>
  <c r="E871" i="3"/>
  <c r="Y870" i="3"/>
  <c r="Y44" i="185" s="1"/>
  <c r="X870" i="3"/>
  <c r="X44" i="185" s="1"/>
  <c r="W870" i="3"/>
  <c r="W44" i="185" s="1"/>
  <c r="V870" i="3"/>
  <c r="V44" i="185" s="1"/>
  <c r="T870" i="3"/>
  <c r="T44" i="185" s="1"/>
  <c r="S870" i="3"/>
  <c r="S44" i="185" s="1"/>
  <c r="Q870" i="3"/>
  <c r="P870" i="3"/>
  <c r="P44" i="185" s="1"/>
  <c r="F870" i="3"/>
  <c r="E870" i="3"/>
  <c r="Y869" i="3"/>
  <c r="Y5" i="161" s="1"/>
  <c r="X869" i="3"/>
  <c r="X5" i="161" s="1"/>
  <c r="W869" i="3"/>
  <c r="W5" i="161" s="1"/>
  <c r="V869" i="3"/>
  <c r="V5" i="161" s="1"/>
  <c r="T869" i="3"/>
  <c r="T5" i="161" s="1"/>
  <c r="S869" i="3"/>
  <c r="S5" i="161" s="1"/>
  <c r="Q869" i="3"/>
  <c r="Q5" i="161" s="1"/>
  <c r="P869" i="3"/>
  <c r="P5" i="161" s="1"/>
  <c r="F869" i="3"/>
  <c r="E869" i="3"/>
  <c r="Y868" i="3"/>
  <c r="Y4" i="23" s="1"/>
  <c r="X868" i="3"/>
  <c r="X4" i="23" s="1"/>
  <c r="W868" i="3"/>
  <c r="W4" i="23" s="1"/>
  <c r="V868" i="3"/>
  <c r="V4" i="23" s="1"/>
  <c r="T868" i="3"/>
  <c r="T4" i="23" s="1"/>
  <c r="S868" i="3"/>
  <c r="Q868" i="3"/>
  <c r="Q4" i="23" s="1"/>
  <c r="P868" i="3"/>
  <c r="P4" i="23" s="1"/>
  <c r="F868" i="3"/>
  <c r="E868" i="3"/>
  <c r="Y867" i="3"/>
  <c r="Y4" i="115" s="1"/>
  <c r="X867" i="3"/>
  <c r="X4" i="115" s="1"/>
  <c r="W867" i="3"/>
  <c r="W4" i="115" s="1"/>
  <c r="V867" i="3"/>
  <c r="V4" i="115" s="1"/>
  <c r="T867" i="3"/>
  <c r="T4" i="115" s="1"/>
  <c r="S867" i="3"/>
  <c r="S4" i="115" s="1"/>
  <c r="Q867" i="3"/>
  <c r="Q4" i="115" s="1"/>
  <c r="P867" i="3"/>
  <c r="F867" i="3"/>
  <c r="E867" i="3"/>
  <c r="Y866" i="3"/>
  <c r="Y3" i="96" s="1"/>
  <c r="X866" i="3"/>
  <c r="X3" i="96" s="1"/>
  <c r="W866" i="3"/>
  <c r="W3" i="96" s="1"/>
  <c r="V866" i="3"/>
  <c r="V3" i="96" s="1"/>
  <c r="T866" i="3"/>
  <c r="S866" i="3"/>
  <c r="S3" i="96" s="1"/>
  <c r="Q866" i="3"/>
  <c r="Q3" i="96" s="1"/>
  <c r="P866" i="3"/>
  <c r="F866" i="3"/>
  <c r="E866" i="3"/>
  <c r="Y865" i="3"/>
  <c r="Y7" i="22" s="1"/>
  <c r="X865" i="3"/>
  <c r="X7" i="22" s="1"/>
  <c r="W865" i="3"/>
  <c r="W7" i="22" s="1"/>
  <c r="V865" i="3"/>
  <c r="V7" i="22" s="1"/>
  <c r="T865" i="3"/>
  <c r="T7" i="22" s="1"/>
  <c r="S865" i="3"/>
  <c r="Q865" i="3"/>
  <c r="Q7" i="22" s="1"/>
  <c r="P865" i="3"/>
  <c r="P7" i="22" s="1"/>
  <c r="F865" i="3"/>
  <c r="E865" i="3"/>
  <c r="Y864" i="3"/>
  <c r="Y9" i="78" s="1"/>
  <c r="X864" i="3"/>
  <c r="X9" i="78" s="1"/>
  <c r="W864" i="3"/>
  <c r="W9" i="78" s="1"/>
  <c r="V864" i="3"/>
  <c r="V9" i="78" s="1"/>
  <c r="T864" i="3"/>
  <c r="T9" i="78" s="1"/>
  <c r="S864" i="3"/>
  <c r="S9" i="78" s="1"/>
  <c r="Q864" i="3"/>
  <c r="Q9" i="78" s="1"/>
  <c r="P864" i="3"/>
  <c r="F864" i="3"/>
  <c r="E864" i="3"/>
  <c r="Y863" i="3"/>
  <c r="Y20" i="108" s="1"/>
  <c r="X863" i="3"/>
  <c r="X20" i="108" s="1"/>
  <c r="W863" i="3"/>
  <c r="W20" i="108" s="1"/>
  <c r="V863" i="3"/>
  <c r="V20" i="108" s="1"/>
  <c r="U863" i="3"/>
  <c r="U20" i="108" s="1"/>
  <c r="T863" i="3"/>
  <c r="T20" i="108" s="1"/>
  <c r="S863" i="3"/>
  <c r="S20" i="108" s="1"/>
  <c r="Q863" i="3"/>
  <c r="Q20" i="108" s="1"/>
  <c r="P863" i="3"/>
  <c r="P20" i="108" s="1"/>
  <c r="F863" i="3"/>
  <c r="E863" i="3"/>
  <c r="Y862" i="3"/>
  <c r="Y15" i="107" s="1"/>
  <c r="X862" i="3"/>
  <c r="X15" i="107" s="1"/>
  <c r="W862" i="3"/>
  <c r="W15" i="107" s="1"/>
  <c r="V862" i="3"/>
  <c r="V15" i="107" s="1"/>
  <c r="T862" i="3"/>
  <c r="T15" i="107" s="1"/>
  <c r="S862" i="3"/>
  <c r="S15" i="107" s="1"/>
  <c r="Q862" i="3"/>
  <c r="Q15" i="107" s="1"/>
  <c r="P862" i="3"/>
  <c r="F862" i="3"/>
  <c r="E862" i="3"/>
  <c r="Y861" i="3"/>
  <c r="Y13" i="129" s="1"/>
  <c r="X861" i="3"/>
  <c r="X13" i="129" s="1"/>
  <c r="W861" i="3"/>
  <c r="W13" i="129" s="1"/>
  <c r="V861" i="3"/>
  <c r="V13" i="129" s="1"/>
  <c r="T861" i="3"/>
  <c r="T13" i="129" s="1"/>
  <c r="S861" i="3"/>
  <c r="S13" i="129" s="1"/>
  <c r="Q861" i="3"/>
  <c r="Q13" i="129" s="1"/>
  <c r="P861" i="3"/>
  <c r="P13" i="129" s="1"/>
  <c r="F861" i="3"/>
  <c r="E861" i="3"/>
  <c r="Y860" i="3"/>
  <c r="Y61" i="92" s="1"/>
  <c r="X860" i="3"/>
  <c r="X61" i="92" s="1"/>
  <c r="W860" i="3"/>
  <c r="W61" i="92" s="1"/>
  <c r="V860" i="3"/>
  <c r="V61" i="92" s="1"/>
  <c r="T860" i="3"/>
  <c r="T61" i="92" s="1"/>
  <c r="S860" i="3"/>
  <c r="Q860" i="3"/>
  <c r="Q61" i="92" s="1"/>
  <c r="P860" i="3"/>
  <c r="P61" i="92" s="1"/>
  <c r="F860" i="3"/>
  <c r="E860" i="3"/>
  <c r="Y859" i="3"/>
  <c r="Y10" i="110" s="1"/>
  <c r="X859" i="3"/>
  <c r="X10" i="110" s="1"/>
  <c r="W859" i="3"/>
  <c r="W10" i="110" s="1"/>
  <c r="V859" i="3"/>
  <c r="V10" i="110" s="1"/>
  <c r="T859" i="3"/>
  <c r="T10" i="110" s="1"/>
  <c r="S859" i="3"/>
  <c r="S10" i="110" s="1"/>
  <c r="Q859" i="3"/>
  <c r="Q10" i="110" s="1"/>
  <c r="P859" i="3"/>
  <c r="F859" i="3"/>
  <c r="E859" i="3"/>
  <c r="Y858" i="3"/>
  <c r="Y9" i="68" s="1"/>
  <c r="X858" i="3"/>
  <c r="X9" i="68" s="1"/>
  <c r="W858" i="3"/>
  <c r="W9" i="68" s="1"/>
  <c r="V858" i="3"/>
  <c r="V9" i="68" s="1"/>
  <c r="T858" i="3"/>
  <c r="S858" i="3"/>
  <c r="S9" i="68" s="1"/>
  <c r="Q858" i="3"/>
  <c r="Q9" i="68" s="1"/>
  <c r="P858" i="3"/>
  <c r="P9" i="68" s="1"/>
  <c r="F858" i="3"/>
  <c r="E858" i="3"/>
  <c r="Y857" i="3"/>
  <c r="X857" i="3"/>
  <c r="W857" i="3"/>
  <c r="V857" i="3"/>
  <c r="T857" i="3"/>
  <c r="S857" i="3"/>
  <c r="Q857" i="3"/>
  <c r="P857" i="3"/>
  <c r="F857" i="3"/>
  <c r="E857" i="3"/>
  <c r="Y856" i="3"/>
  <c r="Y42" i="185" s="1"/>
  <c r="X856" i="3"/>
  <c r="X42" i="185" s="1"/>
  <c r="W856" i="3"/>
  <c r="W42" i="185" s="1"/>
  <c r="V856" i="3"/>
  <c r="V42" i="185" s="1"/>
  <c r="T856" i="3"/>
  <c r="T42" i="185" s="1"/>
  <c r="S856" i="3"/>
  <c r="S42" i="185" s="1"/>
  <c r="Q856" i="3"/>
  <c r="Q42" i="185" s="1"/>
  <c r="P856" i="3"/>
  <c r="F856" i="3"/>
  <c r="E856" i="3"/>
  <c r="Y855" i="3"/>
  <c r="Y46" i="185" s="1"/>
  <c r="X855" i="3"/>
  <c r="X46" i="185" s="1"/>
  <c r="W855" i="3"/>
  <c r="W46" i="185" s="1"/>
  <c r="V855" i="3"/>
  <c r="V46" i="185" s="1"/>
  <c r="U855" i="3"/>
  <c r="U46" i="185" s="1"/>
  <c r="T855" i="3"/>
  <c r="T46" i="185" s="1"/>
  <c r="S855" i="3"/>
  <c r="S46" i="185" s="1"/>
  <c r="Q855" i="3"/>
  <c r="Q46" i="185" s="1"/>
  <c r="P855" i="3"/>
  <c r="P46" i="185" s="1"/>
  <c r="F855" i="3"/>
  <c r="E855" i="3"/>
  <c r="Y854" i="3"/>
  <c r="Y5" i="156" s="1"/>
  <c r="X854" i="3"/>
  <c r="X5" i="156" s="1"/>
  <c r="W854" i="3"/>
  <c r="W5" i="156" s="1"/>
  <c r="V854" i="3"/>
  <c r="V5" i="156" s="1"/>
  <c r="T854" i="3"/>
  <c r="T5" i="156" s="1"/>
  <c r="S854" i="3"/>
  <c r="S5" i="156" s="1"/>
  <c r="Q854" i="3"/>
  <c r="Q5" i="156" s="1"/>
  <c r="P854" i="3"/>
  <c r="F854" i="3"/>
  <c r="E854" i="3"/>
  <c r="Y853" i="3"/>
  <c r="Y26" i="49" s="1"/>
  <c r="X853" i="3"/>
  <c r="X26" i="49" s="1"/>
  <c r="W853" i="3"/>
  <c r="W26" i="49" s="1"/>
  <c r="V853" i="3"/>
  <c r="V26" i="49" s="1"/>
  <c r="T853" i="3"/>
  <c r="T26" i="49" s="1"/>
  <c r="S853" i="3"/>
  <c r="S26" i="49" s="1"/>
  <c r="Q853" i="3"/>
  <c r="Q26" i="49" s="1"/>
  <c r="P853" i="3"/>
  <c r="P26" i="49" s="1"/>
  <c r="F853" i="3"/>
  <c r="E853" i="3"/>
  <c r="Y852" i="3"/>
  <c r="Y7" i="131" s="1"/>
  <c r="X852" i="3"/>
  <c r="X7" i="131" s="1"/>
  <c r="W852" i="3"/>
  <c r="W7" i="131" s="1"/>
  <c r="V852" i="3"/>
  <c r="V7" i="131" s="1"/>
  <c r="T852" i="3"/>
  <c r="T7" i="131" s="1"/>
  <c r="S852" i="3"/>
  <c r="Q852" i="3"/>
  <c r="Q7" i="131" s="1"/>
  <c r="P852" i="3"/>
  <c r="P7" i="131" s="1"/>
  <c r="F852" i="3"/>
  <c r="E852" i="3"/>
  <c r="Y851" i="3"/>
  <c r="Y26" i="168" s="1"/>
  <c r="X851" i="3"/>
  <c r="X26" i="168" s="1"/>
  <c r="W851" i="3"/>
  <c r="W26" i="168" s="1"/>
  <c r="V851" i="3"/>
  <c r="V26" i="168" s="1"/>
  <c r="T851" i="3"/>
  <c r="T26" i="168" s="1"/>
  <c r="S851" i="3"/>
  <c r="S26" i="168" s="1"/>
  <c r="Q851" i="3"/>
  <c r="Q26" i="168" s="1"/>
  <c r="P851" i="3"/>
  <c r="F851" i="3"/>
  <c r="E851" i="3"/>
  <c r="Y850" i="3"/>
  <c r="Y60" i="92" s="1"/>
  <c r="X850" i="3"/>
  <c r="X60" i="92" s="1"/>
  <c r="W850" i="3"/>
  <c r="W60" i="92" s="1"/>
  <c r="V850" i="3"/>
  <c r="V60" i="92" s="1"/>
  <c r="T850" i="3"/>
  <c r="S850" i="3"/>
  <c r="S60" i="92" s="1"/>
  <c r="R850" i="3"/>
  <c r="R60" i="92" s="1"/>
  <c r="Q850" i="3"/>
  <c r="Q60" i="92" s="1"/>
  <c r="P850" i="3"/>
  <c r="P60" i="92" s="1"/>
  <c r="F850" i="3"/>
  <c r="E850" i="3"/>
  <c r="Y849" i="3"/>
  <c r="Y32" i="196" s="1"/>
  <c r="X849" i="3"/>
  <c r="X32" i="196" s="1"/>
  <c r="W849" i="3"/>
  <c r="W32" i="196" s="1"/>
  <c r="V849" i="3"/>
  <c r="V32" i="196" s="1"/>
  <c r="T849" i="3"/>
  <c r="T32" i="196" s="1"/>
  <c r="S849" i="3"/>
  <c r="Q849" i="3"/>
  <c r="Q32" i="196" s="1"/>
  <c r="P849" i="3"/>
  <c r="P32" i="196" s="1"/>
  <c r="F849" i="3"/>
  <c r="E849" i="3"/>
  <c r="Y848" i="3"/>
  <c r="Y31" i="196" s="1"/>
  <c r="X848" i="3"/>
  <c r="X31" i="196" s="1"/>
  <c r="W848" i="3"/>
  <c r="W31" i="196" s="1"/>
  <c r="V848" i="3"/>
  <c r="V31" i="196" s="1"/>
  <c r="T848" i="3"/>
  <c r="T31" i="196" s="1"/>
  <c r="S848" i="3"/>
  <c r="S31" i="196" s="1"/>
  <c r="Q848" i="3"/>
  <c r="Q31" i="196" s="1"/>
  <c r="P848" i="3"/>
  <c r="F848" i="3"/>
  <c r="E848" i="3"/>
  <c r="Y847" i="3"/>
  <c r="Y43" i="185" s="1"/>
  <c r="X847" i="3"/>
  <c r="X43" i="185" s="1"/>
  <c r="W847" i="3"/>
  <c r="W43" i="185" s="1"/>
  <c r="V847" i="3"/>
  <c r="V43" i="185" s="1"/>
  <c r="T847" i="3"/>
  <c r="S847" i="3"/>
  <c r="S43" i="185" s="1"/>
  <c r="Q847" i="3"/>
  <c r="Q43" i="185" s="1"/>
  <c r="P847" i="3"/>
  <c r="P43" i="185" s="1"/>
  <c r="F847" i="3"/>
  <c r="E847" i="3"/>
  <c r="Y846" i="3"/>
  <c r="Y14" i="80" s="1"/>
  <c r="X846" i="3"/>
  <c r="X14" i="80" s="1"/>
  <c r="W846" i="3"/>
  <c r="W14" i="80" s="1"/>
  <c r="V846" i="3"/>
  <c r="V14" i="80" s="1"/>
  <c r="T846" i="3"/>
  <c r="T14" i="80" s="1"/>
  <c r="S846" i="3"/>
  <c r="S14" i="80" s="1"/>
  <c r="Q846" i="3"/>
  <c r="Q14" i="80" s="1"/>
  <c r="P846" i="3"/>
  <c r="P14" i="80" s="1"/>
  <c r="F846" i="3"/>
  <c r="E846" i="3"/>
  <c r="Y845" i="3"/>
  <c r="Y3" i="77" s="1"/>
  <c r="X845" i="3"/>
  <c r="X3" i="77" s="1"/>
  <c r="W845" i="3"/>
  <c r="W3" i="77" s="1"/>
  <c r="V845" i="3"/>
  <c r="V3" i="77" s="1"/>
  <c r="T845" i="3"/>
  <c r="T3" i="77" s="1"/>
  <c r="S845" i="3"/>
  <c r="S3" i="77" s="1"/>
  <c r="Q845" i="3"/>
  <c r="Q3" i="77" s="1"/>
  <c r="P845" i="3"/>
  <c r="P3" i="77" s="1"/>
  <c r="F845" i="3"/>
  <c r="E845" i="3"/>
  <c r="Y844" i="3"/>
  <c r="Y18" i="193" s="1"/>
  <c r="X844" i="3"/>
  <c r="X18" i="193" s="1"/>
  <c r="W844" i="3"/>
  <c r="W18" i="193" s="1"/>
  <c r="V844" i="3"/>
  <c r="V18" i="193" s="1"/>
  <c r="T844" i="3"/>
  <c r="T18" i="193" s="1"/>
  <c r="S844" i="3"/>
  <c r="Q844" i="3"/>
  <c r="Q18" i="193" s="1"/>
  <c r="P844" i="3"/>
  <c r="P18" i="193" s="1"/>
  <c r="F844" i="3"/>
  <c r="E844" i="3"/>
  <c r="Y843" i="3"/>
  <c r="Y19" i="113" s="1"/>
  <c r="X843" i="3"/>
  <c r="X19" i="113" s="1"/>
  <c r="W843" i="3"/>
  <c r="W19" i="113" s="1"/>
  <c r="V843" i="3"/>
  <c r="V19" i="113" s="1"/>
  <c r="T843" i="3"/>
  <c r="T19" i="113" s="1"/>
  <c r="S843" i="3"/>
  <c r="S19" i="113" s="1"/>
  <c r="Q843" i="3"/>
  <c r="Q19" i="113" s="1"/>
  <c r="P843" i="3"/>
  <c r="F843" i="3"/>
  <c r="E843" i="3"/>
  <c r="Y842" i="3"/>
  <c r="Y10" i="155" s="1"/>
  <c r="X842" i="3"/>
  <c r="X10" i="155" s="1"/>
  <c r="W842" i="3"/>
  <c r="W10" i="155" s="1"/>
  <c r="V842" i="3"/>
  <c r="V10" i="155" s="1"/>
  <c r="T842" i="3"/>
  <c r="T10" i="155" s="1"/>
  <c r="S842" i="3"/>
  <c r="Q842" i="3"/>
  <c r="Q10" i="155" s="1"/>
  <c r="P842" i="3"/>
  <c r="P10" i="155" s="1"/>
  <c r="F842" i="3"/>
  <c r="E842" i="3"/>
  <c r="Y841" i="3"/>
  <c r="Y6" i="145" s="1"/>
  <c r="X841" i="3"/>
  <c r="X6" i="145" s="1"/>
  <c r="W841" i="3"/>
  <c r="W6" i="145" s="1"/>
  <c r="V841" i="3"/>
  <c r="V6" i="145" s="1"/>
  <c r="T841" i="3"/>
  <c r="T6" i="145" s="1"/>
  <c r="S841" i="3"/>
  <c r="Q841" i="3"/>
  <c r="Q6" i="145" s="1"/>
  <c r="P841" i="3"/>
  <c r="P6" i="145" s="1"/>
  <c r="F841" i="3"/>
  <c r="E841" i="3"/>
  <c r="Y840" i="3"/>
  <c r="Y2" i="52" s="1"/>
  <c r="X840" i="3"/>
  <c r="X2" i="52" s="1"/>
  <c r="W840" i="3"/>
  <c r="W2" i="52" s="1"/>
  <c r="V840" i="3"/>
  <c r="V2" i="52" s="1"/>
  <c r="T840" i="3"/>
  <c r="T2" i="52" s="1"/>
  <c r="S840" i="3"/>
  <c r="S2" i="52" s="1"/>
  <c r="Q840" i="3"/>
  <c r="Q2" i="52" s="1"/>
  <c r="P840" i="3"/>
  <c r="F840" i="3"/>
  <c r="E840" i="3"/>
  <c r="Y839" i="3"/>
  <c r="Y4" i="90" s="1"/>
  <c r="X839" i="3"/>
  <c r="X4" i="90" s="1"/>
  <c r="W839" i="3"/>
  <c r="W4" i="90" s="1"/>
  <c r="V839" i="3"/>
  <c r="V4" i="90" s="1"/>
  <c r="T839" i="3"/>
  <c r="S839" i="3"/>
  <c r="S4" i="90" s="1"/>
  <c r="Q839" i="3"/>
  <c r="Q4" i="90" s="1"/>
  <c r="P839" i="3"/>
  <c r="P4" i="90" s="1"/>
  <c r="F839" i="3"/>
  <c r="E839" i="3"/>
  <c r="Y838" i="3"/>
  <c r="Y13" i="107" s="1"/>
  <c r="X838" i="3"/>
  <c r="X13" i="107" s="1"/>
  <c r="W838" i="3"/>
  <c r="W13" i="107" s="1"/>
  <c r="V838" i="3"/>
  <c r="V13" i="107" s="1"/>
  <c r="U838" i="3"/>
  <c r="U13" i="107" s="1"/>
  <c r="T838" i="3"/>
  <c r="T13" i="107" s="1"/>
  <c r="S838" i="3"/>
  <c r="S13" i="107" s="1"/>
  <c r="Q838" i="3"/>
  <c r="P838" i="3"/>
  <c r="P13" i="107" s="1"/>
  <c r="F838" i="3"/>
  <c r="E838" i="3"/>
  <c r="Y837" i="3"/>
  <c r="Y19" i="108" s="1"/>
  <c r="X837" i="3"/>
  <c r="X19" i="108" s="1"/>
  <c r="W837" i="3"/>
  <c r="W19" i="108" s="1"/>
  <c r="V837" i="3"/>
  <c r="V19" i="108" s="1"/>
  <c r="T837" i="3"/>
  <c r="T19" i="108" s="1"/>
  <c r="S837" i="3"/>
  <c r="S19" i="108" s="1"/>
  <c r="Q837" i="3"/>
  <c r="P837" i="3"/>
  <c r="P19" i="108" s="1"/>
  <c r="F837" i="3"/>
  <c r="E837" i="3"/>
  <c r="Y836" i="3"/>
  <c r="Y8" i="138" s="1"/>
  <c r="X836" i="3"/>
  <c r="X8" i="138" s="1"/>
  <c r="W836" i="3"/>
  <c r="W8" i="138" s="1"/>
  <c r="V836" i="3"/>
  <c r="V8" i="138" s="1"/>
  <c r="T836" i="3"/>
  <c r="T8" i="138" s="1"/>
  <c r="S836" i="3"/>
  <c r="Q836" i="3"/>
  <c r="Q8" i="138" s="1"/>
  <c r="P836" i="3"/>
  <c r="P8" i="138" s="1"/>
  <c r="F836" i="3"/>
  <c r="E836" i="3"/>
  <c r="Y835" i="3"/>
  <c r="Y24" i="123" s="1"/>
  <c r="X835" i="3"/>
  <c r="X24" i="123" s="1"/>
  <c r="W835" i="3"/>
  <c r="W24" i="123" s="1"/>
  <c r="V835" i="3"/>
  <c r="V24" i="123" s="1"/>
  <c r="T835" i="3"/>
  <c r="T24" i="123" s="1"/>
  <c r="S835" i="3"/>
  <c r="S24" i="123" s="1"/>
  <c r="Q835" i="3"/>
  <c r="Q24" i="123" s="1"/>
  <c r="P835" i="3"/>
  <c r="F835" i="3"/>
  <c r="E835" i="3"/>
  <c r="Y834" i="3"/>
  <c r="Y59" i="92" s="1"/>
  <c r="X834" i="3"/>
  <c r="X59" i="92" s="1"/>
  <c r="W834" i="3"/>
  <c r="W59" i="92" s="1"/>
  <c r="V834" i="3"/>
  <c r="V59" i="92" s="1"/>
  <c r="T834" i="3"/>
  <c r="T59" i="92" s="1"/>
  <c r="S834" i="3"/>
  <c r="S59" i="92" s="1"/>
  <c r="Q834" i="3"/>
  <c r="Q59" i="92" s="1"/>
  <c r="P834" i="3"/>
  <c r="F834" i="3"/>
  <c r="E834" i="3"/>
  <c r="Y833" i="3"/>
  <c r="Y24" i="49" s="1"/>
  <c r="X833" i="3"/>
  <c r="X24" i="49" s="1"/>
  <c r="W833" i="3"/>
  <c r="W24" i="49" s="1"/>
  <c r="V833" i="3"/>
  <c r="V24" i="49" s="1"/>
  <c r="T833" i="3"/>
  <c r="T24" i="49" s="1"/>
  <c r="S833" i="3"/>
  <c r="Q833" i="3"/>
  <c r="Q24" i="49" s="1"/>
  <c r="P833" i="3"/>
  <c r="P24" i="49" s="1"/>
  <c r="F833" i="3"/>
  <c r="E833" i="3"/>
  <c r="Y832" i="3"/>
  <c r="Y9" i="110" s="1"/>
  <c r="X832" i="3"/>
  <c r="X9" i="110" s="1"/>
  <c r="W832" i="3"/>
  <c r="W9" i="110" s="1"/>
  <c r="V832" i="3"/>
  <c r="V9" i="110" s="1"/>
  <c r="T832" i="3"/>
  <c r="T9" i="110" s="1"/>
  <c r="S832" i="3"/>
  <c r="S9" i="110" s="1"/>
  <c r="Q832" i="3"/>
  <c r="Q9" i="110" s="1"/>
  <c r="P832" i="3"/>
  <c r="F832" i="3"/>
  <c r="E832" i="3"/>
  <c r="Y831" i="3"/>
  <c r="Y41" i="185" s="1"/>
  <c r="X831" i="3"/>
  <c r="X41" i="185" s="1"/>
  <c r="W831" i="3"/>
  <c r="W41" i="185" s="1"/>
  <c r="V831" i="3"/>
  <c r="V41" i="185" s="1"/>
  <c r="T831" i="3"/>
  <c r="T41" i="185" s="1"/>
  <c r="S831" i="3"/>
  <c r="Q831" i="3"/>
  <c r="Q41" i="185" s="1"/>
  <c r="P831" i="3"/>
  <c r="P41" i="185" s="1"/>
  <c r="F831" i="3"/>
  <c r="E831" i="3"/>
  <c r="Y830" i="3"/>
  <c r="Y58" i="92" s="1"/>
  <c r="X830" i="3"/>
  <c r="X58" i="92" s="1"/>
  <c r="W830" i="3"/>
  <c r="W58" i="92" s="1"/>
  <c r="V830" i="3"/>
  <c r="V58" i="92" s="1"/>
  <c r="T830" i="3"/>
  <c r="T58" i="92" s="1"/>
  <c r="S830" i="3"/>
  <c r="S58" i="92" s="1"/>
  <c r="Q830" i="3"/>
  <c r="Q58" i="92" s="1"/>
  <c r="P830" i="3"/>
  <c r="P58" i="92" s="1"/>
  <c r="F830" i="3"/>
  <c r="E830" i="3"/>
  <c r="Y829" i="3"/>
  <c r="Y8" i="78" s="1"/>
  <c r="X829" i="3"/>
  <c r="X8" i="78" s="1"/>
  <c r="W829" i="3"/>
  <c r="W8" i="78" s="1"/>
  <c r="V829" i="3"/>
  <c r="V8" i="78" s="1"/>
  <c r="T829" i="3"/>
  <c r="T8" i="78" s="1"/>
  <c r="S829" i="3"/>
  <c r="S8" i="78" s="1"/>
  <c r="Q829" i="3"/>
  <c r="P829" i="3"/>
  <c r="P8" i="78" s="1"/>
  <c r="F829" i="3"/>
  <c r="E829" i="3"/>
  <c r="Y828" i="3"/>
  <c r="Y7" i="86" s="1"/>
  <c r="X828" i="3"/>
  <c r="X7" i="86" s="1"/>
  <c r="W828" i="3"/>
  <c r="W7" i="86" s="1"/>
  <c r="V828" i="3"/>
  <c r="V7" i="86" s="1"/>
  <c r="T828" i="3"/>
  <c r="T7" i="86" s="1"/>
  <c r="S828" i="3"/>
  <c r="Q828" i="3"/>
  <c r="Q7" i="86" s="1"/>
  <c r="P828" i="3"/>
  <c r="P7" i="86" s="1"/>
  <c r="F828" i="3"/>
  <c r="E828" i="3"/>
  <c r="Y827" i="3"/>
  <c r="Y14" i="107" s="1"/>
  <c r="X827" i="3"/>
  <c r="X14" i="107" s="1"/>
  <c r="W827" i="3"/>
  <c r="W14" i="107" s="1"/>
  <c r="V827" i="3"/>
  <c r="V14" i="107" s="1"/>
  <c r="U827" i="3"/>
  <c r="U14" i="107" s="1"/>
  <c r="T827" i="3"/>
  <c r="T14" i="107" s="1"/>
  <c r="S827" i="3"/>
  <c r="S14" i="107" s="1"/>
  <c r="Q827" i="3"/>
  <c r="Q14" i="107" s="1"/>
  <c r="P827" i="3"/>
  <c r="F827" i="3"/>
  <c r="E827" i="3"/>
  <c r="Y826" i="3"/>
  <c r="Y3" i="36" s="1"/>
  <c r="X826" i="3"/>
  <c r="X3" i="36" s="1"/>
  <c r="W826" i="3"/>
  <c r="W3" i="36" s="1"/>
  <c r="V826" i="3"/>
  <c r="V3" i="36" s="1"/>
  <c r="T826" i="3"/>
  <c r="T3" i="36" s="1"/>
  <c r="S826" i="3"/>
  <c r="Q826" i="3"/>
  <c r="Q3" i="36" s="1"/>
  <c r="P826" i="3"/>
  <c r="P3" i="36" s="1"/>
  <c r="F826" i="3"/>
  <c r="E826" i="3"/>
  <c r="Y825" i="3"/>
  <c r="Y4" i="125" s="1"/>
  <c r="X825" i="3"/>
  <c r="X4" i="125" s="1"/>
  <c r="W825" i="3"/>
  <c r="W4" i="125" s="1"/>
  <c r="V825" i="3"/>
  <c r="V4" i="125" s="1"/>
  <c r="T825" i="3"/>
  <c r="T4" i="125" s="1"/>
  <c r="S825" i="3"/>
  <c r="Q825" i="3"/>
  <c r="Q4" i="125" s="1"/>
  <c r="P825" i="3"/>
  <c r="P4" i="125" s="1"/>
  <c r="F825" i="3"/>
  <c r="E825" i="3"/>
  <c r="Y824" i="3"/>
  <c r="Y3" i="187" s="1"/>
  <c r="X824" i="3"/>
  <c r="X3" i="187" s="1"/>
  <c r="W824" i="3"/>
  <c r="W3" i="187" s="1"/>
  <c r="V824" i="3"/>
  <c r="V3" i="187" s="1"/>
  <c r="T824" i="3"/>
  <c r="T3" i="187" s="1"/>
  <c r="S824" i="3"/>
  <c r="S3" i="187" s="1"/>
  <c r="Q824" i="3"/>
  <c r="Q3" i="187" s="1"/>
  <c r="P824" i="3"/>
  <c r="F824" i="3"/>
  <c r="E824" i="3"/>
  <c r="Y823" i="3"/>
  <c r="Y20" i="113" s="1"/>
  <c r="X823" i="3"/>
  <c r="X20" i="113" s="1"/>
  <c r="W823" i="3"/>
  <c r="W20" i="113" s="1"/>
  <c r="V823" i="3"/>
  <c r="V20" i="113" s="1"/>
  <c r="T823" i="3"/>
  <c r="T20" i="113" s="1"/>
  <c r="S823" i="3"/>
  <c r="Q823" i="3"/>
  <c r="Q20" i="113" s="1"/>
  <c r="P823" i="3"/>
  <c r="P20" i="113" s="1"/>
  <c r="F823" i="3"/>
  <c r="E823" i="3"/>
  <c r="Y822" i="3"/>
  <c r="Y25" i="38" s="1"/>
  <c r="X822" i="3"/>
  <c r="X25" i="38" s="1"/>
  <c r="W822" i="3"/>
  <c r="W25" i="38" s="1"/>
  <c r="V822" i="3"/>
  <c r="V25" i="38" s="1"/>
  <c r="T822" i="3"/>
  <c r="T25" i="38" s="1"/>
  <c r="S822" i="3"/>
  <c r="S25" i="38" s="1"/>
  <c r="Q822" i="3"/>
  <c r="Q25" i="38" s="1"/>
  <c r="P822" i="3"/>
  <c r="P25" i="38" s="1"/>
  <c r="F822" i="3"/>
  <c r="E822" i="3"/>
  <c r="Y821" i="3"/>
  <c r="Y5" i="73" s="1"/>
  <c r="X821" i="3"/>
  <c r="X5" i="73" s="1"/>
  <c r="W821" i="3"/>
  <c r="W5" i="73" s="1"/>
  <c r="V821" i="3"/>
  <c r="V5" i="73" s="1"/>
  <c r="T821" i="3"/>
  <c r="T5" i="73" s="1"/>
  <c r="S821" i="3"/>
  <c r="S5" i="73" s="1"/>
  <c r="Q821" i="3"/>
  <c r="Q5" i="73" s="1"/>
  <c r="P821" i="3"/>
  <c r="P5" i="73" s="1"/>
  <c r="F821" i="3"/>
  <c r="E821" i="3"/>
  <c r="Y820" i="3"/>
  <c r="Y5" i="151" s="1"/>
  <c r="X820" i="3"/>
  <c r="X5" i="151" s="1"/>
  <c r="W820" i="3"/>
  <c r="W5" i="151" s="1"/>
  <c r="V820" i="3"/>
  <c r="V5" i="151" s="1"/>
  <c r="T820" i="3"/>
  <c r="T5" i="151" s="1"/>
  <c r="S820" i="3"/>
  <c r="Q820" i="3"/>
  <c r="Q5" i="151" s="1"/>
  <c r="P820" i="3"/>
  <c r="P5" i="151" s="1"/>
  <c r="F820" i="3"/>
  <c r="E820" i="3"/>
  <c r="Y819" i="3"/>
  <c r="Y18" i="108" s="1"/>
  <c r="X819" i="3"/>
  <c r="X18" i="108" s="1"/>
  <c r="W819" i="3"/>
  <c r="W18" i="108" s="1"/>
  <c r="V819" i="3"/>
  <c r="V18" i="108" s="1"/>
  <c r="U819" i="3"/>
  <c r="U18" i="108" s="1"/>
  <c r="T819" i="3"/>
  <c r="T18" i="108" s="1"/>
  <c r="S819" i="3"/>
  <c r="S18" i="108" s="1"/>
  <c r="Q819" i="3"/>
  <c r="Q18" i="108" s="1"/>
  <c r="P819" i="3"/>
  <c r="F819" i="3"/>
  <c r="E819" i="3"/>
  <c r="Y818" i="3"/>
  <c r="Y24" i="167" s="1"/>
  <c r="X818" i="3"/>
  <c r="X24" i="167" s="1"/>
  <c r="W818" i="3"/>
  <c r="W24" i="167" s="1"/>
  <c r="V818" i="3"/>
  <c r="V24" i="167" s="1"/>
  <c r="T818" i="3"/>
  <c r="T24" i="167" s="1"/>
  <c r="S818" i="3"/>
  <c r="Q818" i="3"/>
  <c r="Q24" i="167" s="1"/>
  <c r="P818" i="3"/>
  <c r="P24" i="167" s="1"/>
  <c r="F818" i="3"/>
  <c r="E818" i="3"/>
  <c r="Y817" i="3"/>
  <c r="Y27" i="38" s="1"/>
  <c r="X817" i="3"/>
  <c r="X27" i="38" s="1"/>
  <c r="W817" i="3"/>
  <c r="W27" i="38" s="1"/>
  <c r="V817" i="3"/>
  <c r="V27" i="38" s="1"/>
  <c r="T817" i="3"/>
  <c r="T27" i="38" s="1"/>
  <c r="S817" i="3"/>
  <c r="Q817" i="3"/>
  <c r="Q27" i="38" s="1"/>
  <c r="P817" i="3"/>
  <c r="P27" i="38" s="1"/>
  <c r="F817" i="3"/>
  <c r="E817" i="3"/>
  <c r="Y816" i="3"/>
  <c r="Y7" i="35" s="1"/>
  <c r="X816" i="3"/>
  <c r="X7" i="35" s="1"/>
  <c r="W816" i="3"/>
  <c r="W7" i="35" s="1"/>
  <c r="V816" i="3"/>
  <c r="V7" i="35" s="1"/>
  <c r="T816" i="3"/>
  <c r="T7" i="35" s="1"/>
  <c r="S816" i="3"/>
  <c r="S7" i="35" s="1"/>
  <c r="Q816" i="3"/>
  <c r="Q7" i="35" s="1"/>
  <c r="P816" i="3"/>
  <c r="F816" i="3"/>
  <c r="E816" i="3"/>
  <c r="Y815" i="3"/>
  <c r="Y4" i="152" s="1"/>
  <c r="X815" i="3"/>
  <c r="X4" i="152" s="1"/>
  <c r="W815" i="3"/>
  <c r="W4" i="152" s="1"/>
  <c r="V815" i="3"/>
  <c r="V4" i="152" s="1"/>
  <c r="T815" i="3"/>
  <c r="S815" i="3"/>
  <c r="S4" i="152" s="1"/>
  <c r="Q815" i="3"/>
  <c r="Q4" i="152" s="1"/>
  <c r="P815" i="3"/>
  <c r="P4" i="152" s="1"/>
  <c r="F815" i="3"/>
  <c r="E815" i="3"/>
  <c r="Y814" i="3"/>
  <c r="Y24" i="38" s="1"/>
  <c r="X814" i="3"/>
  <c r="X24" i="38" s="1"/>
  <c r="W814" i="3"/>
  <c r="W24" i="38" s="1"/>
  <c r="V814" i="3"/>
  <c r="V24" i="38" s="1"/>
  <c r="T814" i="3"/>
  <c r="T24" i="38" s="1"/>
  <c r="S814" i="3"/>
  <c r="S24" i="38" s="1"/>
  <c r="Q814" i="3"/>
  <c r="Q24" i="38" s="1"/>
  <c r="P814" i="3"/>
  <c r="P24" i="38" s="1"/>
  <c r="F814" i="3"/>
  <c r="E814" i="3"/>
  <c r="Y813" i="3"/>
  <c r="Y6" i="131" s="1"/>
  <c r="X813" i="3"/>
  <c r="X6" i="131" s="1"/>
  <c r="W813" i="3"/>
  <c r="W6" i="131" s="1"/>
  <c r="V813" i="3"/>
  <c r="V6" i="131" s="1"/>
  <c r="T813" i="3"/>
  <c r="T6" i="131" s="1"/>
  <c r="S813" i="3"/>
  <c r="S6" i="131" s="1"/>
  <c r="Q813" i="3"/>
  <c r="Q6" i="131" s="1"/>
  <c r="P813" i="3"/>
  <c r="F813" i="3"/>
  <c r="E813" i="3"/>
  <c r="Y812" i="3"/>
  <c r="Y25" i="168" s="1"/>
  <c r="X812" i="3"/>
  <c r="X25" i="168" s="1"/>
  <c r="W812" i="3"/>
  <c r="W25" i="168" s="1"/>
  <c r="V812" i="3"/>
  <c r="V25" i="168" s="1"/>
  <c r="T812" i="3"/>
  <c r="T25" i="168" s="1"/>
  <c r="S812" i="3"/>
  <c r="Q812" i="3"/>
  <c r="Q25" i="168" s="1"/>
  <c r="P812" i="3"/>
  <c r="P25" i="168" s="1"/>
  <c r="F812" i="3"/>
  <c r="E812" i="3"/>
  <c r="Y811" i="3"/>
  <c r="Y10" i="76" s="1"/>
  <c r="X811" i="3"/>
  <c r="X10" i="76" s="1"/>
  <c r="W811" i="3"/>
  <c r="W10" i="76" s="1"/>
  <c r="V811" i="3"/>
  <c r="V10" i="76" s="1"/>
  <c r="T811" i="3"/>
  <c r="T10" i="76" s="1"/>
  <c r="S811" i="3"/>
  <c r="S10" i="76" s="1"/>
  <c r="Q811" i="3"/>
  <c r="Q10" i="76" s="1"/>
  <c r="P811" i="3"/>
  <c r="F811" i="3"/>
  <c r="E811" i="3"/>
  <c r="Y810" i="3"/>
  <c r="Y5" i="41" s="1"/>
  <c r="X810" i="3"/>
  <c r="X5" i="41" s="1"/>
  <c r="W810" i="3"/>
  <c r="W5" i="41" s="1"/>
  <c r="V810" i="3"/>
  <c r="V5" i="41" s="1"/>
  <c r="T810" i="3"/>
  <c r="T5" i="41" s="1"/>
  <c r="S810" i="3"/>
  <c r="S5" i="41" s="1"/>
  <c r="Q810" i="3"/>
  <c r="Q5" i="41" s="1"/>
  <c r="P810" i="3"/>
  <c r="P5" i="41" s="1"/>
  <c r="F810" i="3"/>
  <c r="E810" i="3"/>
  <c r="Y809" i="3"/>
  <c r="Y3" i="73" s="1"/>
  <c r="X809" i="3"/>
  <c r="X3" i="73" s="1"/>
  <c r="W809" i="3"/>
  <c r="W3" i="73" s="1"/>
  <c r="V809" i="3"/>
  <c r="V3" i="73" s="1"/>
  <c r="T809" i="3"/>
  <c r="T3" i="73" s="1"/>
  <c r="S809" i="3"/>
  <c r="Q809" i="3"/>
  <c r="Q3" i="73" s="1"/>
  <c r="P809" i="3"/>
  <c r="F809" i="3"/>
  <c r="E809" i="3"/>
  <c r="Y808" i="3"/>
  <c r="Y11" i="169" s="1"/>
  <c r="X808" i="3"/>
  <c r="X11" i="169" s="1"/>
  <c r="W808" i="3"/>
  <c r="W11" i="169" s="1"/>
  <c r="V808" i="3"/>
  <c r="V11" i="169" s="1"/>
  <c r="T808" i="3"/>
  <c r="T11" i="169" s="1"/>
  <c r="S808" i="3"/>
  <c r="S11" i="169" s="1"/>
  <c r="Q808" i="3"/>
  <c r="Q11" i="169" s="1"/>
  <c r="P808" i="3"/>
  <c r="F808" i="3"/>
  <c r="E808" i="3"/>
  <c r="Y807" i="3"/>
  <c r="Y6" i="172" s="1"/>
  <c r="X807" i="3"/>
  <c r="X6" i="172" s="1"/>
  <c r="W807" i="3"/>
  <c r="W6" i="172" s="1"/>
  <c r="V807" i="3"/>
  <c r="V6" i="172" s="1"/>
  <c r="T807" i="3"/>
  <c r="T6" i="172" s="1"/>
  <c r="S807" i="3"/>
  <c r="S6" i="172" s="1"/>
  <c r="Q807" i="3"/>
  <c r="Q6" i="172" s="1"/>
  <c r="P807" i="3"/>
  <c r="P6" i="172" s="1"/>
  <c r="F807" i="3"/>
  <c r="E807" i="3"/>
  <c r="Y806" i="3"/>
  <c r="Y18" i="113" s="1"/>
  <c r="X806" i="3"/>
  <c r="X18" i="113" s="1"/>
  <c r="W806" i="3"/>
  <c r="W18" i="113" s="1"/>
  <c r="V806" i="3"/>
  <c r="V18" i="113" s="1"/>
  <c r="T806" i="3"/>
  <c r="T18" i="113" s="1"/>
  <c r="S806" i="3"/>
  <c r="S18" i="113" s="1"/>
  <c r="R806" i="3"/>
  <c r="R18" i="113" s="1"/>
  <c r="Q806" i="3"/>
  <c r="Q18" i="113" s="1"/>
  <c r="P806" i="3"/>
  <c r="P18" i="113" s="1"/>
  <c r="F806" i="3"/>
  <c r="E806" i="3"/>
  <c r="Y805" i="3"/>
  <c r="Y28" i="196" s="1"/>
  <c r="X805" i="3"/>
  <c r="X28" i="196" s="1"/>
  <c r="W805" i="3"/>
  <c r="W28" i="196" s="1"/>
  <c r="V805" i="3"/>
  <c r="V28" i="196" s="1"/>
  <c r="T805" i="3"/>
  <c r="T28" i="196" s="1"/>
  <c r="S805" i="3"/>
  <c r="Q805" i="3"/>
  <c r="Q28" i="196" s="1"/>
  <c r="P805" i="3"/>
  <c r="F805" i="3"/>
  <c r="E805" i="3"/>
  <c r="Y804" i="3"/>
  <c r="Y26" i="38" s="1"/>
  <c r="X804" i="3"/>
  <c r="X26" i="38" s="1"/>
  <c r="W804" i="3"/>
  <c r="W26" i="38" s="1"/>
  <c r="V804" i="3"/>
  <c r="V26" i="38" s="1"/>
  <c r="T804" i="3"/>
  <c r="T26" i="38" s="1"/>
  <c r="S804" i="3"/>
  <c r="Q804" i="3"/>
  <c r="Q26" i="38" s="1"/>
  <c r="P804" i="3"/>
  <c r="F804" i="3"/>
  <c r="E804" i="3"/>
  <c r="Y803" i="3"/>
  <c r="Y56" i="92" s="1"/>
  <c r="X803" i="3"/>
  <c r="X56" i="92" s="1"/>
  <c r="W803" i="3"/>
  <c r="W56" i="92" s="1"/>
  <c r="V803" i="3"/>
  <c r="V56" i="92" s="1"/>
  <c r="T803" i="3"/>
  <c r="T56" i="92" s="1"/>
  <c r="S803" i="3"/>
  <c r="S56" i="92" s="1"/>
  <c r="Q803" i="3"/>
  <c r="Q56" i="92" s="1"/>
  <c r="P803" i="3"/>
  <c r="F803" i="3"/>
  <c r="E803" i="3"/>
  <c r="Y802" i="3"/>
  <c r="Y57" i="92" s="1"/>
  <c r="X802" i="3"/>
  <c r="X57" i="92" s="1"/>
  <c r="W802" i="3"/>
  <c r="W57" i="92" s="1"/>
  <c r="V802" i="3"/>
  <c r="V57" i="92" s="1"/>
  <c r="T802" i="3"/>
  <c r="T57" i="92" s="1"/>
  <c r="S802" i="3"/>
  <c r="S57" i="92" s="1"/>
  <c r="Q802" i="3"/>
  <c r="Q57" i="92" s="1"/>
  <c r="P802" i="3"/>
  <c r="F802" i="3"/>
  <c r="E802" i="3"/>
  <c r="Y801" i="3"/>
  <c r="Y13" i="119" s="1"/>
  <c r="X801" i="3"/>
  <c r="X13" i="119" s="1"/>
  <c r="W801" i="3"/>
  <c r="W13" i="119" s="1"/>
  <c r="V801" i="3"/>
  <c r="V13" i="119" s="1"/>
  <c r="T801" i="3"/>
  <c r="T13" i="119" s="1"/>
  <c r="S801" i="3"/>
  <c r="Q801" i="3"/>
  <c r="Q13" i="119" s="1"/>
  <c r="P801" i="3"/>
  <c r="P13" i="119" s="1"/>
  <c r="F801" i="3"/>
  <c r="E801" i="3"/>
  <c r="Y800" i="3"/>
  <c r="Y6" i="112" s="1"/>
  <c r="X800" i="3"/>
  <c r="X6" i="112" s="1"/>
  <c r="W800" i="3"/>
  <c r="W6" i="112" s="1"/>
  <c r="V800" i="3"/>
  <c r="V6" i="112" s="1"/>
  <c r="T800" i="3"/>
  <c r="T6" i="112" s="1"/>
  <c r="S800" i="3"/>
  <c r="Q800" i="3"/>
  <c r="Q6" i="112" s="1"/>
  <c r="P800" i="3"/>
  <c r="F800" i="3"/>
  <c r="E800" i="3"/>
  <c r="Y799" i="3"/>
  <c r="Y12" i="169" s="1"/>
  <c r="X799" i="3"/>
  <c r="X12" i="169" s="1"/>
  <c r="W799" i="3"/>
  <c r="W12" i="169" s="1"/>
  <c r="V799" i="3"/>
  <c r="V12" i="169" s="1"/>
  <c r="T799" i="3"/>
  <c r="T12" i="169" s="1"/>
  <c r="S799" i="3"/>
  <c r="S12" i="169" s="1"/>
  <c r="Q799" i="3"/>
  <c r="Q12" i="169" s="1"/>
  <c r="P799" i="3"/>
  <c r="F799" i="3"/>
  <c r="E799" i="3"/>
  <c r="Y798" i="3"/>
  <c r="Y12" i="107" s="1"/>
  <c r="X798" i="3"/>
  <c r="X12" i="107" s="1"/>
  <c r="W798" i="3"/>
  <c r="W12" i="107" s="1"/>
  <c r="V798" i="3"/>
  <c r="V12" i="107" s="1"/>
  <c r="T798" i="3"/>
  <c r="T12" i="107" s="1"/>
  <c r="S798" i="3"/>
  <c r="S12" i="107" s="1"/>
  <c r="Q798" i="3"/>
  <c r="Q12" i="107" s="1"/>
  <c r="P798" i="3"/>
  <c r="P12" i="107" s="1"/>
  <c r="F798" i="3"/>
  <c r="E798" i="3"/>
  <c r="Y797" i="3"/>
  <c r="Y3" i="166" s="1"/>
  <c r="X797" i="3"/>
  <c r="X3" i="166" s="1"/>
  <c r="W797" i="3"/>
  <c r="W3" i="166" s="1"/>
  <c r="V797" i="3"/>
  <c r="V3" i="166" s="1"/>
  <c r="T797" i="3"/>
  <c r="T3" i="166" s="1"/>
  <c r="S797" i="3"/>
  <c r="Q797" i="3"/>
  <c r="Q3" i="166" s="1"/>
  <c r="P797" i="3"/>
  <c r="P3" i="166" s="1"/>
  <c r="F797" i="3"/>
  <c r="E797" i="3"/>
  <c r="Y796" i="3"/>
  <c r="Y5" i="32" s="1"/>
  <c r="X796" i="3"/>
  <c r="X5" i="32" s="1"/>
  <c r="W796" i="3"/>
  <c r="W5" i="32" s="1"/>
  <c r="V796" i="3"/>
  <c r="V5" i="32" s="1"/>
  <c r="T796" i="3"/>
  <c r="T5" i="32" s="1"/>
  <c r="S796" i="3"/>
  <c r="Q796" i="3"/>
  <c r="Q5" i="32" s="1"/>
  <c r="P796" i="3"/>
  <c r="F796" i="3"/>
  <c r="E796" i="3"/>
  <c r="Y795" i="3"/>
  <c r="Y40" i="185" s="1"/>
  <c r="X795" i="3"/>
  <c r="X40" i="185" s="1"/>
  <c r="W795" i="3"/>
  <c r="W40" i="185" s="1"/>
  <c r="V795" i="3"/>
  <c r="V40" i="185" s="1"/>
  <c r="U795" i="3"/>
  <c r="U40" i="185" s="1"/>
  <c r="T795" i="3"/>
  <c r="T40" i="185" s="1"/>
  <c r="S795" i="3"/>
  <c r="S40" i="185" s="1"/>
  <c r="Q795" i="3"/>
  <c r="Q40" i="185" s="1"/>
  <c r="P795" i="3"/>
  <c r="F795" i="3"/>
  <c r="E795" i="3"/>
  <c r="Y794" i="3"/>
  <c r="Y17" i="120" s="1"/>
  <c r="X794" i="3"/>
  <c r="X17" i="120" s="1"/>
  <c r="W794" i="3"/>
  <c r="W17" i="120" s="1"/>
  <c r="V794" i="3"/>
  <c r="V17" i="120" s="1"/>
  <c r="U794" i="3"/>
  <c r="U17" i="120" s="1"/>
  <c r="T794" i="3"/>
  <c r="T17" i="120" s="1"/>
  <c r="S794" i="3"/>
  <c r="S17" i="120" s="1"/>
  <c r="Q794" i="3"/>
  <c r="Q17" i="120" s="1"/>
  <c r="P794" i="3"/>
  <c r="P17" i="120" s="1"/>
  <c r="F794" i="3"/>
  <c r="E794" i="3"/>
  <c r="Y793" i="3"/>
  <c r="Y27" i="196" s="1"/>
  <c r="X793" i="3"/>
  <c r="X27" i="196" s="1"/>
  <c r="W793" i="3"/>
  <c r="W27" i="196" s="1"/>
  <c r="V793" i="3"/>
  <c r="V27" i="196" s="1"/>
  <c r="T793" i="3"/>
  <c r="T27" i="196" s="1"/>
  <c r="S793" i="3"/>
  <c r="R793" i="3"/>
  <c r="R27" i="196" s="1"/>
  <c r="Q793" i="3"/>
  <c r="Q27" i="196" s="1"/>
  <c r="P793" i="3"/>
  <c r="P27" i="196" s="1"/>
  <c r="F793" i="3"/>
  <c r="E793" i="3"/>
  <c r="Y792" i="3"/>
  <c r="Y8" i="139" s="1"/>
  <c r="X792" i="3"/>
  <c r="X8" i="139" s="1"/>
  <c r="W792" i="3"/>
  <c r="W8" i="139" s="1"/>
  <c r="V792" i="3"/>
  <c r="V8" i="139" s="1"/>
  <c r="T792" i="3"/>
  <c r="T8" i="139" s="1"/>
  <c r="S792" i="3"/>
  <c r="Q792" i="3"/>
  <c r="Q8" i="139" s="1"/>
  <c r="P792" i="3"/>
  <c r="P8" i="139" s="1"/>
  <c r="F792" i="3"/>
  <c r="E792" i="3"/>
  <c r="Y791" i="3"/>
  <c r="Y29" i="196" s="1"/>
  <c r="X791" i="3"/>
  <c r="X29" i="196" s="1"/>
  <c r="W791" i="3"/>
  <c r="W29" i="196" s="1"/>
  <c r="V791" i="3"/>
  <c r="V29" i="196" s="1"/>
  <c r="T791" i="3"/>
  <c r="T29" i="196" s="1"/>
  <c r="S791" i="3"/>
  <c r="S29" i="196" s="1"/>
  <c r="Q791" i="3"/>
  <c r="Q29" i="196" s="1"/>
  <c r="P791" i="3"/>
  <c r="F791" i="3"/>
  <c r="E791" i="3"/>
  <c r="Y790" i="3"/>
  <c r="Y4" i="161" s="1"/>
  <c r="X790" i="3"/>
  <c r="X4" i="161" s="1"/>
  <c r="W790" i="3"/>
  <c r="W4" i="161" s="1"/>
  <c r="V790" i="3"/>
  <c r="V4" i="161" s="1"/>
  <c r="T790" i="3"/>
  <c r="T4" i="161" s="1"/>
  <c r="S790" i="3"/>
  <c r="Q790" i="3"/>
  <c r="Q4" i="161" s="1"/>
  <c r="P790" i="3"/>
  <c r="P4" i="161" s="1"/>
  <c r="F790" i="3"/>
  <c r="E790" i="3"/>
  <c r="Y789" i="3"/>
  <c r="Y7" i="74" s="1"/>
  <c r="X789" i="3"/>
  <c r="X7" i="74" s="1"/>
  <c r="W789" i="3"/>
  <c r="W7" i="74" s="1"/>
  <c r="V789" i="3"/>
  <c r="V7" i="74" s="1"/>
  <c r="T789" i="3"/>
  <c r="T7" i="74" s="1"/>
  <c r="S789" i="3"/>
  <c r="Q789" i="3"/>
  <c r="Q7" i="74" s="1"/>
  <c r="P789" i="3"/>
  <c r="P7" i="74" s="1"/>
  <c r="F789" i="3"/>
  <c r="E789" i="3"/>
  <c r="Y788" i="3"/>
  <c r="Y23" i="38" s="1"/>
  <c r="X788" i="3"/>
  <c r="X23" i="38" s="1"/>
  <c r="W788" i="3"/>
  <c r="W23" i="38" s="1"/>
  <c r="V788" i="3"/>
  <c r="V23" i="38" s="1"/>
  <c r="T788" i="3"/>
  <c r="T23" i="38" s="1"/>
  <c r="S788" i="3"/>
  <c r="Q788" i="3"/>
  <c r="Q23" i="38" s="1"/>
  <c r="P788" i="3"/>
  <c r="F788" i="3"/>
  <c r="E788" i="3"/>
  <c r="Y787" i="3"/>
  <c r="Y11" i="102" s="1"/>
  <c r="X787" i="3"/>
  <c r="X11" i="102" s="1"/>
  <c r="W787" i="3"/>
  <c r="W11" i="102" s="1"/>
  <c r="V787" i="3"/>
  <c r="V11" i="102" s="1"/>
  <c r="U787" i="3"/>
  <c r="U11" i="102" s="1"/>
  <c r="T787" i="3"/>
  <c r="T11" i="102" s="1"/>
  <c r="S787" i="3"/>
  <c r="S11" i="102" s="1"/>
  <c r="Q787" i="3"/>
  <c r="Q11" i="102" s="1"/>
  <c r="P787" i="3"/>
  <c r="F787" i="3"/>
  <c r="E787" i="3"/>
  <c r="Y786" i="3"/>
  <c r="Y17" i="193" s="1"/>
  <c r="X786" i="3"/>
  <c r="X17" i="193" s="1"/>
  <c r="W786" i="3"/>
  <c r="W17" i="193" s="1"/>
  <c r="V786" i="3"/>
  <c r="V17" i="193" s="1"/>
  <c r="T786" i="3"/>
  <c r="T17" i="193" s="1"/>
  <c r="S786" i="3"/>
  <c r="Q786" i="3"/>
  <c r="Q17" i="193" s="1"/>
  <c r="P786" i="3"/>
  <c r="P17" i="193" s="1"/>
  <c r="F786" i="3"/>
  <c r="E786" i="3"/>
  <c r="Y785" i="3"/>
  <c r="Y18" i="120" s="1"/>
  <c r="X785" i="3"/>
  <c r="X18" i="120" s="1"/>
  <c r="W785" i="3"/>
  <c r="W18" i="120" s="1"/>
  <c r="V785" i="3"/>
  <c r="V18" i="120" s="1"/>
  <c r="T785" i="3"/>
  <c r="T18" i="120" s="1"/>
  <c r="S785" i="3"/>
  <c r="Q785" i="3"/>
  <c r="Q18" i="120" s="1"/>
  <c r="P785" i="3"/>
  <c r="F785" i="3"/>
  <c r="E785" i="3"/>
  <c r="Y784" i="3"/>
  <c r="Y12" i="129" s="1"/>
  <c r="X784" i="3"/>
  <c r="X12" i="129" s="1"/>
  <c r="W784" i="3"/>
  <c r="W12" i="129" s="1"/>
  <c r="V784" i="3"/>
  <c r="V12" i="129" s="1"/>
  <c r="T784" i="3"/>
  <c r="T12" i="129" s="1"/>
  <c r="S784" i="3"/>
  <c r="S12" i="129" s="1"/>
  <c r="Q784" i="3"/>
  <c r="Q12" i="129" s="1"/>
  <c r="P784" i="3"/>
  <c r="F784" i="3"/>
  <c r="E784" i="3"/>
  <c r="Y783" i="3"/>
  <c r="Y21" i="49" s="1"/>
  <c r="X783" i="3"/>
  <c r="X21" i="49" s="1"/>
  <c r="W783" i="3"/>
  <c r="W21" i="49" s="1"/>
  <c r="V783" i="3"/>
  <c r="V21" i="49" s="1"/>
  <c r="T783" i="3"/>
  <c r="T21" i="49" s="1"/>
  <c r="S783" i="3"/>
  <c r="S21" i="49" s="1"/>
  <c r="Q783" i="3"/>
  <c r="Q21" i="49" s="1"/>
  <c r="P783" i="3"/>
  <c r="F783" i="3"/>
  <c r="E783" i="3"/>
  <c r="Y782" i="3"/>
  <c r="Y7" i="48" s="1"/>
  <c r="X782" i="3"/>
  <c r="X7" i="48" s="1"/>
  <c r="W782" i="3"/>
  <c r="W7" i="48" s="1"/>
  <c r="V782" i="3"/>
  <c r="V7" i="48" s="1"/>
  <c r="T782" i="3"/>
  <c r="T7" i="48" s="1"/>
  <c r="S782" i="3"/>
  <c r="S7" i="48" s="1"/>
  <c r="Q782" i="3"/>
  <c r="Q7" i="48" s="1"/>
  <c r="P782" i="3"/>
  <c r="P7" i="48" s="1"/>
  <c r="F782" i="3"/>
  <c r="E782" i="3"/>
  <c r="Y781" i="3"/>
  <c r="Y6" i="151" s="1"/>
  <c r="X781" i="3"/>
  <c r="X6" i="151" s="1"/>
  <c r="W781" i="3"/>
  <c r="W6" i="151" s="1"/>
  <c r="V781" i="3"/>
  <c r="V6" i="151" s="1"/>
  <c r="T781" i="3"/>
  <c r="T6" i="151" s="1"/>
  <c r="S781" i="3"/>
  <c r="Q781" i="3"/>
  <c r="Q6" i="151" s="1"/>
  <c r="P781" i="3"/>
  <c r="P6" i="151" s="1"/>
  <c r="F781" i="3"/>
  <c r="E781" i="3"/>
  <c r="Y780" i="3"/>
  <c r="Y15" i="122" s="1"/>
  <c r="X780" i="3"/>
  <c r="X15" i="122" s="1"/>
  <c r="W780" i="3"/>
  <c r="W15" i="122" s="1"/>
  <c r="V780" i="3"/>
  <c r="V15" i="122" s="1"/>
  <c r="T780" i="3"/>
  <c r="T15" i="122" s="1"/>
  <c r="S780" i="3"/>
  <c r="S15" i="122" s="1"/>
  <c r="Q780" i="3"/>
  <c r="Q15" i="122" s="1"/>
  <c r="P780" i="3"/>
  <c r="F780" i="3"/>
  <c r="E780" i="3"/>
  <c r="Y779" i="3"/>
  <c r="Y21" i="38" s="1"/>
  <c r="X779" i="3"/>
  <c r="X21" i="38" s="1"/>
  <c r="W779" i="3"/>
  <c r="W21" i="38" s="1"/>
  <c r="V779" i="3"/>
  <c r="V21" i="38" s="1"/>
  <c r="T779" i="3"/>
  <c r="T21" i="38" s="1"/>
  <c r="S779" i="3"/>
  <c r="Q779" i="3"/>
  <c r="Q21" i="38" s="1"/>
  <c r="P779" i="3"/>
  <c r="P21" i="38" s="1"/>
  <c r="F779" i="3"/>
  <c r="E779" i="3"/>
  <c r="Y778" i="3"/>
  <c r="Y4" i="63" s="1"/>
  <c r="X778" i="3"/>
  <c r="X4" i="63" s="1"/>
  <c r="W778" i="3"/>
  <c r="W4" i="63" s="1"/>
  <c r="V778" i="3"/>
  <c r="V4" i="63" s="1"/>
  <c r="T778" i="3"/>
  <c r="T4" i="63" s="1"/>
  <c r="S778" i="3"/>
  <c r="Q778" i="3"/>
  <c r="Q4" i="63" s="1"/>
  <c r="P778" i="3"/>
  <c r="P4" i="63" s="1"/>
  <c r="F778" i="3"/>
  <c r="E778" i="3"/>
  <c r="Y777" i="3"/>
  <c r="Y16" i="177" s="1"/>
  <c r="X777" i="3"/>
  <c r="X16" i="177" s="1"/>
  <c r="W777" i="3"/>
  <c r="W16" i="177" s="1"/>
  <c r="V777" i="3"/>
  <c r="V16" i="177" s="1"/>
  <c r="T777" i="3"/>
  <c r="T16" i="177" s="1"/>
  <c r="S777" i="3"/>
  <c r="Q777" i="3"/>
  <c r="Q16" i="177" s="1"/>
  <c r="P777" i="3"/>
  <c r="F777" i="3"/>
  <c r="E777" i="3"/>
  <c r="Y776" i="3"/>
  <c r="Y9" i="143" s="1"/>
  <c r="X776" i="3"/>
  <c r="X9" i="143" s="1"/>
  <c r="W776" i="3"/>
  <c r="W9" i="143" s="1"/>
  <c r="V776" i="3"/>
  <c r="V9" i="143" s="1"/>
  <c r="T776" i="3"/>
  <c r="T9" i="143" s="1"/>
  <c r="S776" i="3"/>
  <c r="S9" i="143" s="1"/>
  <c r="Q776" i="3"/>
  <c r="Q9" i="143" s="1"/>
  <c r="P776" i="3"/>
  <c r="P9" i="143" s="1"/>
  <c r="F776" i="3"/>
  <c r="E776" i="3"/>
  <c r="Y775" i="3"/>
  <c r="Y11" i="129" s="1"/>
  <c r="X775" i="3"/>
  <c r="X11" i="129" s="1"/>
  <c r="W775" i="3"/>
  <c r="W11" i="129" s="1"/>
  <c r="V775" i="3"/>
  <c r="V11" i="129" s="1"/>
  <c r="T775" i="3"/>
  <c r="T11" i="129" s="1"/>
  <c r="S775" i="3"/>
  <c r="S11" i="129" s="1"/>
  <c r="Q775" i="3"/>
  <c r="Q11" i="129" s="1"/>
  <c r="P775" i="3"/>
  <c r="F775" i="3"/>
  <c r="E775" i="3"/>
  <c r="Y774" i="3"/>
  <c r="Y7" i="172" s="1"/>
  <c r="X774" i="3"/>
  <c r="X7" i="172" s="1"/>
  <c r="W774" i="3"/>
  <c r="W7" i="172" s="1"/>
  <c r="V774" i="3"/>
  <c r="V7" i="172" s="1"/>
  <c r="T774" i="3"/>
  <c r="T7" i="172" s="1"/>
  <c r="S774" i="3"/>
  <c r="S7" i="172" s="1"/>
  <c r="Q774" i="3"/>
  <c r="Q7" i="172" s="1"/>
  <c r="P774" i="3"/>
  <c r="P7" i="172" s="1"/>
  <c r="F774" i="3"/>
  <c r="E774" i="3"/>
  <c r="Y773" i="3"/>
  <c r="Y17" i="108" s="1"/>
  <c r="X773" i="3"/>
  <c r="X17" i="108" s="1"/>
  <c r="W773" i="3"/>
  <c r="W17" i="108" s="1"/>
  <c r="V773" i="3"/>
  <c r="V17" i="108" s="1"/>
  <c r="T773" i="3"/>
  <c r="T17" i="108" s="1"/>
  <c r="S773" i="3"/>
  <c r="Q773" i="3"/>
  <c r="Q17" i="108" s="1"/>
  <c r="P773" i="3"/>
  <c r="P17" i="108" s="1"/>
  <c r="F773" i="3"/>
  <c r="E773" i="3"/>
  <c r="Y772" i="3"/>
  <c r="Y55" i="92" s="1"/>
  <c r="X772" i="3"/>
  <c r="X55" i="92" s="1"/>
  <c r="W772" i="3"/>
  <c r="W55" i="92" s="1"/>
  <c r="V772" i="3"/>
  <c r="V55" i="92" s="1"/>
  <c r="T772" i="3"/>
  <c r="T55" i="92" s="1"/>
  <c r="S772" i="3"/>
  <c r="S55" i="92" s="1"/>
  <c r="Q772" i="3"/>
  <c r="Q55" i="92" s="1"/>
  <c r="P772" i="3"/>
  <c r="F772" i="3"/>
  <c r="E772" i="3"/>
  <c r="Y771" i="3"/>
  <c r="Y5" i="86" s="1"/>
  <c r="X771" i="3"/>
  <c r="X5" i="86" s="1"/>
  <c r="W771" i="3"/>
  <c r="W5" i="86" s="1"/>
  <c r="V771" i="3"/>
  <c r="V5" i="86" s="1"/>
  <c r="T771" i="3"/>
  <c r="T5" i="86" s="1"/>
  <c r="S771" i="3"/>
  <c r="Q771" i="3"/>
  <c r="Q5" i="86" s="1"/>
  <c r="P771" i="3"/>
  <c r="P5" i="86" s="1"/>
  <c r="F771" i="3"/>
  <c r="E771" i="3"/>
  <c r="Y770" i="3"/>
  <c r="Y14" i="122" s="1"/>
  <c r="X770" i="3"/>
  <c r="X14" i="122" s="1"/>
  <c r="W770" i="3"/>
  <c r="W14" i="122" s="1"/>
  <c r="V770" i="3"/>
  <c r="V14" i="122" s="1"/>
  <c r="T770" i="3"/>
  <c r="T14" i="122" s="1"/>
  <c r="S770" i="3"/>
  <c r="Q770" i="3"/>
  <c r="Q14" i="122" s="1"/>
  <c r="P770" i="3"/>
  <c r="P14" i="122" s="1"/>
  <c r="F770" i="3"/>
  <c r="E770" i="3"/>
  <c r="Y769" i="3"/>
  <c r="Y25" i="196" s="1"/>
  <c r="X769" i="3"/>
  <c r="X25" i="196" s="1"/>
  <c r="W769" i="3"/>
  <c r="W25" i="196" s="1"/>
  <c r="V769" i="3"/>
  <c r="V25" i="196" s="1"/>
  <c r="T769" i="3"/>
  <c r="T25" i="196" s="1"/>
  <c r="S769" i="3"/>
  <c r="S25" i="196" s="1"/>
  <c r="Q769" i="3"/>
  <c r="Q25" i="196" s="1"/>
  <c r="P769" i="3"/>
  <c r="F769" i="3"/>
  <c r="E769" i="3"/>
  <c r="Y768" i="3"/>
  <c r="Y39" i="185" s="1"/>
  <c r="X768" i="3"/>
  <c r="X39" i="185" s="1"/>
  <c r="W768" i="3"/>
  <c r="W39" i="185" s="1"/>
  <c r="V768" i="3"/>
  <c r="V39" i="185" s="1"/>
  <c r="T768" i="3"/>
  <c r="T39" i="185" s="1"/>
  <c r="S768" i="3"/>
  <c r="Q768" i="3"/>
  <c r="Q39" i="185" s="1"/>
  <c r="P768" i="3"/>
  <c r="P39" i="185" s="1"/>
  <c r="F768" i="3"/>
  <c r="E768" i="3"/>
  <c r="Y767" i="3"/>
  <c r="Y3" i="117" s="1"/>
  <c r="X767" i="3"/>
  <c r="X3" i="117" s="1"/>
  <c r="W767" i="3"/>
  <c r="W3" i="117" s="1"/>
  <c r="V767" i="3"/>
  <c r="V3" i="117" s="1"/>
  <c r="T767" i="3"/>
  <c r="T3" i="117" s="1"/>
  <c r="S767" i="3"/>
  <c r="S3" i="117" s="1"/>
  <c r="Q767" i="3"/>
  <c r="Q3" i="117" s="1"/>
  <c r="P767" i="3"/>
  <c r="F767" i="3"/>
  <c r="E767" i="3"/>
  <c r="Y766" i="3"/>
  <c r="Y16" i="113" s="1"/>
  <c r="X766" i="3"/>
  <c r="X16" i="113" s="1"/>
  <c r="W766" i="3"/>
  <c r="W16" i="113" s="1"/>
  <c r="V766" i="3"/>
  <c r="V16" i="113" s="1"/>
  <c r="T766" i="3"/>
  <c r="T16" i="113" s="1"/>
  <c r="S766" i="3"/>
  <c r="S16" i="113" s="1"/>
  <c r="Q766" i="3"/>
  <c r="Q16" i="113" s="1"/>
  <c r="P766" i="3"/>
  <c r="P16" i="113" s="1"/>
  <c r="F766" i="3"/>
  <c r="E766" i="3"/>
  <c r="Y765" i="3"/>
  <c r="Y5" i="85" s="1"/>
  <c r="X765" i="3"/>
  <c r="X5" i="85" s="1"/>
  <c r="W765" i="3"/>
  <c r="W5" i="85" s="1"/>
  <c r="V765" i="3"/>
  <c r="V5" i="85" s="1"/>
  <c r="T765" i="3"/>
  <c r="T5" i="85" s="1"/>
  <c r="S765" i="3"/>
  <c r="Q765" i="3"/>
  <c r="Q5" i="85" s="1"/>
  <c r="P765" i="3"/>
  <c r="P5" i="85" s="1"/>
  <c r="F765" i="3"/>
  <c r="E765" i="3"/>
  <c r="Y764" i="3"/>
  <c r="Y2" i="53" s="1"/>
  <c r="X764" i="3"/>
  <c r="X2" i="53" s="1"/>
  <c r="W764" i="3"/>
  <c r="W2" i="53" s="1"/>
  <c r="V764" i="3"/>
  <c r="V2" i="53" s="1"/>
  <c r="T764" i="3"/>
  <c r="T2" i="53" s="1"/>
  <c r="S764" i="3"/>
  <c r="S2" i="53" s="1"/>
  <c r="Q764" i="3"/>
  <c r="Q2" i="53" s="1"/>
  <c r="P764" i="3"/>
  <c r="F764" i="3"/>
  <c r="E764" i="3"/>
  <c r="Y763" i="3"/>
  <c r="Y4" i="195" s="1"/>
  <c r="X763" i="3"/>
  <c r="X4" i="195" s="1"/>
  <c r="W763" i="3"/>
  <c r="W4" i="195" s="1"/>
  <c r="V763" i="3"/>
  <c r="V4" i="195" s="1"/>
  <c r="T763" i="3"/>
  <c r="T4" i="195" s="1"/>
  <c r="S763" i="3"/>
  <c r="Q763" i="3"/>
  <c r="Q4" i="195" s="1"/>
  <c r="P763" i="3"/>
  <c r="P4" i="195" s="1"/>
  <c r="F763" i="3"/>
  <c r="E763" i="3"/>
  <c r="Y762" i="3"/>
  <c r="Y10" i="102" s="1"/>
  <c r="X762" i="3"/>
  <c r="X10" i="102" s="1"/>
  <c r="W762" i="3"/>
  <c r="W10" i="102" s="1"/>
  <c r="V762" i="3"/>
  <c r="V10" i="102" s="1"/>
  <c r="T762" i="3"/>
  <c r="T10" i="102" s="1"/>
  <c r="S762" i="3"/>
  <c r="Q762" i="3"/>
  <c r="Q10" i="102" s="1"/>
  <c r="P762" i="3"/>
  <c r="P10" i="102" s="1"/>
  <c r="F762" i="3"/>
  <c r="E762" i="3"/>
  <c r="Y761" i="3"/>
  <c r="Y2" i="150" s="1"/>
  <c r="X761" i="3"/>
  <c r="X2" i="150" s="1"/>
  <c r="W761" i="3"/>
  <c r="W2" i="150" s="1"/>
  <c r="V761" i="3"/>
  <c r="V2" i="150" s="1"/>
  <c r="T761" i="3"/>
  <c r="T2" i="150" s="1"/>
  <c r="S761" i="3"/>
  <c r="S2" i="150" s="1"/>
  <c r="Q761" i="3"/>
  <c r="Q2" i="150" s="1"/>
  <c r="P761" i="3"/>
  <c r="F761" i="3"/>
  <c r="E761" i="3"/>
  <c r="Y760" i="3"/>
  <c r="Y23" i="123" s="1"/>
  <c r="X760" i="3"/>
  <c r="X23" i="123" s="1"/>
  <c r="W760" i="3"/>
  <c r="W23" i="123" s="1"/>
  <c r="V760" i="3"/>
  <c r="V23" i="123" s="1"/>
  <c r="T760" i="3"/>
  <c r="T23" i="123" s="1"/>
  <c r="S760" i="3"/>
  <c r="S23" i="123" s="1"/>
  <c r="Q760" i="3"/>
  <c r="Q23" i="123" s="1"/>
  <c r="P760" i="3"/>
  <c r="P23" i="123" s="1"/>
  <c r="F760" i="3"/>
  <c r="E760" i="3"/>
  <c r="Y759" i="3"/>
  <c r="Y14" i="113" s="1"/>
  <c r="X759" i="3"/>
  <c r="X14" i="113" s="1"/>
  <c r="W759" i="3"/>
  <c r="W14" i="113" s="1"/>
  <c r="V759" i="3"/>
  <c r="V14" i="113" s="1"/>
  <c r="U759" i="3"/>
  <c r="U14" i="113" s="1"/>
  <c r="T759" i="3"/>
  <c r="T14" i="113" s="1"/>
  <c r="S759" i="3"/>
  <c r="S14" i="113" s="1"/>
  <c r="Q759" i="3"/>
  <c r="Q14" i="113" s="1"/>
  <c r="P759" i="3"/>
  <c r="P14" i="113" s="1"/>
  <c r="F759" i="3"/>
  <c r="E759" i="3"/>
  <c r="Y758" i="3"/>
  <c r="Y16" i="108" s="1"/>
  <c r="X758" i="3"/>
  <c r="X16" i="108" s="1"/>
  <c r="W758" i="3"/>
  <c r="W16" i="108" s="1"/>
  <c r="V758" i="3"/>
  <c r="V16" i="108" s="1"/>
  <c r="T758" i="3"/>
  <c r="T16" i="108" s="1"/>
  <c r="S758" i="3"/>
  <c r="S16" i="108" s="1"/>
  <c r="Q758" i="3"/>
  <c r="Q16" i="108" s="1"/>
  <c r="P758" i="3"/>
  <c r="P16" i="108" s="1"/>
  <c r="F758" i="3"/>
  <c r="E758" i="3"/>
  <c r="Y757" i="3"/>
  <c r="Y8" i="155" s="1"/>
  <c r="X757" i="3"/>
  <c r="X8" i="155" s="1"/>
  <c r="W757" i="3"/>
  <c r="W8" i="155" s="1"/>
  <c r="V757" i="3"/>
  <c r="V8" i="155" s="1"/>
  <c r="T757" i="3"/>
  <c r="T8" i="155" s="1"/>
  <c r="S757" i="3"/>
  <c r="Q757" i="3"/>
  <c r="Q8" i="155" s="1"/>
  <c r="P757" i="3"/>
  <c r="P8" i="155" s="1"/>
  <c r="F757" i="3"/>
  <c r="E757" i="3"/>
  <c r="Y756" i="3"/>
  <c r="Y7" i="12" s="1"/>
  <c r="X756" i="3"/>
  <c r="X7" i="12" s="1"/>
  <c r="W756" i="3"/>
  <c r="W7" i="12" s="1"/>
  <c r="V756" i="3"/>
  <c r="V7" i="12" s="1"/>
  <c r="T756" i="3"/>
  <c r="T7" i="12" s="1"/>
  <c r="S756" i="3"/>
  <c r="S7" i="12" s="1"/>
  <c r="Q756" i="3"/>
  <c r="Q7" i="12" s="1"/>
  <c r="P756" i="3"/>
  <c r="F756" i="3"/>
  <c r="E756" i="3"/>
  <c r="Y755" i="3"/>
  <c r="Y24" i="168" s="1"/>
  <c r="X755" i="3"/>
  <c r="X24" i="168" s="1"/>
  <c r="W755" i="3"/>
  <c r="W24" i="168" s="1"/>
  <c r="V755" i="3"/>
  <c r="V24" i="168" s="1"/>
  <c r="T755" i="3"/>
  <c r="T24" i="168" s="1"/>
  <c r="S755" i="3"/>
  <c r="S24" i="168" s="1"/>
  <c r="Q755" i="3"/>
  <c r="Q24" i="168" s="1"/>
  <c r="P755" i="3"/>
  <c r="P24" i="168" s="1"/>
  <c r="F755" i="3"/>
  <c r="E755" i="3"/>
  <c r="Y754" i="3"/>
  <c r="Y17" i="113" s="1"/>
  <c r="X754" i="3"/>
  <c r="X17" i="113" s="1"/>
  <c r="W754" i="3"/>
  <c r="W17" i="113" s="1"/>
  <c r="V754" i="3"/>
  <c r="V17" i="113" s="1"/>
  <c r="T754" i="3"/>
  <c r="T17" i="113" s="1"/>
  <c r="S754" i="3"/>
  <c r="Q754" i="3"/>
  <c r="Q17" i="113" s="1"/>
  <c r="P754" i="3"/>
  <c r="P17" i="113" s="1"/>
  <c r="F754" i="3"/>
  <c r="E754" i="3"/>
  <c r="Y753" i="3"/>
  <c r="Y9" i="172" s="1"/>
  <c r="X753" i="3"/>
  <c r="X9" i="172" s="1"/>
  <c r="W753" i="3"/>
  <c r="W9" i="172" s="1"/>
  <c r="V753" i="3"/>
  <c r="V9" i="172" s="1"/>
  <c r="T753" i="3"/>
  <c r="T9" i="172" s="1"/>
  <c r="S753" i="3"/>
  <c r="S9" i="172" s="1"/>
  <c r="Q753" i="3"/>
  <c r="Q9" i="172" s="1"/>
  <c r="P753" i="3"/>
  <c r="F753" i="3"/>
  <c r="E753" i="3"/>
  <c r="Y752" i="3"/>
  <c r="Y22" i="38" s="1"/>
  <c r="X752" i="3"/>
  <c r="X22" i="38" s="1"/>
  <c r="W752" i="3"/>
  <c r="W22" i="38" s="1"/>
  <c r="V752" i="3"/>
  <c r="V22" i="38" s="1"/>
  <c r="T752" i="3"/>
  <c r="T22" i="38" s="1"/>
  <c r="S752" i="3"/>
  <c r="S22" i="38" s="1"/>
  <c r="Q752" i="3"/>
  <c r="Q22" i="38" s="1"/>
  <c r="P752" i="3"/>
  <c r="P22" i="38" s="1"/>
  <c r="F752" i="3"/>
  <c r="E752" i="3"/>
  <c r="Y751" i="3"/>
  <c r="Y15" i="129" s="1"/>
  <c r="X751" i="3"/>
  <c r="X15" i="129" s="1"/>
  <c r="W751" i="3"/>
  <c r="W15" i="129" s="1"/>
  <c r="V751" i="3"/>
  <c r="V15" i="129" s="1"/>
  <c r="T751" i="3"/>
  <c r="T15" i="129" s="1"/>
  <c r="S751" i="3"/>
  <c r="S15" i="129" s="1"/>
  <c r="Q751" i="3"/>
  <c r="Q15" i="129" s="1"/>
  <c r="P751" i="3"/>
  <c r="P15" i="129" s="1"/>
  <c r="F751" i="3"/>
  <c r="E751" i="3"/>
  <c r="Y750" i="3"/>
  <c r="Y54" i="92" s="1"/>
  <c r="X750" i="3"/>
  <c r="X54" i="92" s="1"/>
  <c r="W750" i="3"/>
  <c r="W54" i="92" s="1"/>
  <c r="V750" i="3"/>
  <c r="V54" i="92" s="1"/>
  <c r="T750" i="3"/>
  <c r="T54" i="92" s="1"/>
  <c r="S750" i="3"/>
  <c r="S54" i="92" s="1"/>
  <c r="Q750" i="3"/>
  <c r="Q54" i="92" s="1"/>
  <c r="P750" i="3"/>
  <c r="F750" i="3"/>
  <c r="E750" i="3"/>
  <c r="Y749" i="3"/>
  <c r="Y15" i="113" s="1"/>
  <c r="X749" i="3"/>
  <c r="X15" i="113" s="1"/>
  <c r="W749" i="3"/>
  <c r="W15" i="113" s="1"/>
  <c r="V749" i="3"/>
  <c r="V15" i="113" s="1"/>
  <c r="T749" i="3"/>
  <c r="T15" i="113" s="1"/>
  <c r="S749" i="3"/>
  <c r="Q749" i="3"/>
  <c r="Q15" i="113" s="1"/>
  <c r="P749" i="3"/>
  <c r="P15" i="113" s="1"/>
  <c r="F749" i="3"/>
  <c r="E749" i="3"/>
  <c r="Y748" i="3"/>
  <c r="Y24" i="196" s="1"/>
  <c r="X748" i="3"/>
  <c r="X24" i="196" s="1"/>
  <c r="W748" i="3"/>
  <c r="W24" i="196" s="1"/>
  <c r="V748" i="3"/>
  <c r="V24" i="196" s="1"/>
  <c r="T748" i="3"/>
  <c r="T24" i="196" s="1"/>
  <c r="S748" i="3"/>
  <c r="S24" i="196" s="1"/>
  <c r="Q748" i="3"/>
  <c r="Q24" i="196" s="1"/>
  <c r="P748" i="3"/>
  <c r="F748" i="3"/>
  <c r="E748" i="3"/>
  <c r="Y747" i="3"/>
  <c r="Y12" i="122" s="1"/>
  <c r="X747" i="3"/>
  <c r="X12" i="122" s="1"/>
  <c r="W747" i="3"/>
  <c r="W12" i="122" s="1"/>
  <c r="V747" i="3"/>
  <c r="V12" i="122" s="1"/>
  <c r="U747" i="3"/>
  <c r="U12" i="122" s="1"/>
  <c r="T747" i="3"/>
  <c r="T12" i="122" s="1"/>
  <c r="S747" i="3"/>
  <c r="S12" i="122" s="1"/>
  <c r="Q747" i="3"/>
  <c r="Q12" i="122" s="1"/>
  <c r="P747" i="3"/>
  <c r="P12" i="122" s="1"/>
  <c r="F747" i="3"/>
  <c r="E747" i="3"/>
  <c r="Y746" i="3"/>
  <c r="Y22" i="49" s="1"/>
  <c r="X746" i="3"/>
  <c r="X22" i="49" s="1"/>
  <c r="W746" i="3"/>
  <c r="W22" i="49" s="1"/>
  <c r="V746" i="3"/>
  <c r="V22" i="49" s="1"/>
  <c r="T746" i="3"/>
  <c r="T22" i="49" s="1"/>
  <c r="S746" i="3"/>
  <c r="Q746" i="3"/>
  <c r="Q22" i="49" s="1"/>
  <c r="P746" i="3"/>
  <c r="P22" i="49" s="1"/>
  <c r="F746" i="3"/>
  <c r="E746" i="3"/>
  <c r="Y745" i="3"/>
  <c r="Y15" i="108" s="1"/>
  <c r="X745" i="3"/>
  <c r="X15" i="108" s="1"/>
  <c r="W745" i="3"/>
  <c r="W15" i="108" s="1"/>
  <c r="V745" i="3"/>
  <c r="V15" i="108" s="1"/>
  <c r="U745" i="3"/>
  <c r="U15" i="108" s="1"/>
  <c r="T745" i="3"/>
  <c r="T15" i="108" s="1"/>
  <c r="S745" i="3"/>
  <c r="S15" i="108" s="1"/>
  <c r="Q745" i="3"/>
  <c r="Q15" i="108" s="1"/>
  <c r="P745" i="3"/>
  <c r="F745" i="3"/>
  <c r="E745" i="3"/>
  <c r="Y744" i="3"/>
  <c r="Y2" i="25" s="1"/>
  <c r="X744" i="3"/>
  <c r="X2" i="25" s="1"/>
  <c r="W744" i="3"/>
  <c r="W2" i="25" s="1"/>
  <c r="V744" i="3"/>
  <c r="V2" i="25" s="1"/>
  <c r="T744" i="3"/>
  <c r="T2" i="25" s="1"/>
  <c r="S744" i="3"/>
  <c r="S2" i="25" s="1"/>
  <c r="Q744" i="3"/>
  <c r="Q2" i="25" s="1"/>
  <c r="P744" i="3"/>
  <c r="F744" i="3"/>
  <c r="E744" i="3"/>
  <c r="Y743" i="3"/>
  <c r="Y10" i="169" s="1"/>
  <c r="X743" i="3"/>
  <c r="X10" i="169" s="1"/>
  <c r="W743" i="3"/>
  <c r="W10" i="169" s="1"/>
  <c r="V743" i="3"/>
  <c r="V10" i="169" s="1"/>
  <c r="T743" i="3"/>
  <c r="T10" i="169" s="1"/>
  <c r="S743" i="3"/>
  <c r="Q743" i="3"/>
  <c r="P743" i="3"/>
  <c r="P10" i="169" s="1"/>
  <c r="F743" i="3"/>
  <c r="E743" i="3"/>
  <c r="Y742" i="3"/>
  <c r="Y17" i="56" s="1"/>
  <c r="X742" i="3"/>
  <c r="X17" i="56" s="1"/>
  <c r="W742" i="3"/>
  <c r="W17" i="56" s="1"/>
  <c r="V742" i="3"/>
  <c r="V17" i="56" s="1"/>
  <c r="T742" i="3"/>
  <c r="T17" i="56" s="1"/>
  <c r="S742" i="3"/>
  <c r="S17" i="56" s="1"/>
  <c r="Q742" i="3"/>
  <c r="Q17" i="56" s="1"/>
  <c r="P742" i="3"/>
  <c r="P17" i="56" s="1"/>
  <c r="F742" i="3"/>
  <c r="E742" i="3"/>
  <c r="Y741" i="3"/>
  <c r="Y8" i="172" s="1"/>
  <c r="X741" i="3"/>
  <c r="X8" i="172" s="1"/>
  <c r="W741" i="3"/>
  <c r="W8" i="172" s="1"/>
  <c r="V741" i="3"/>
  <c r="V8" i="172" s="1"/>
  <c r="T741" i="3"/>
  <c r="T8" i="172" s="1"/>
  <c r="S741" i="3"/>
  <c r="Q741" i="3"/>
  <c r="Q8" i="172" s="1"/>
  <c r="P741" i="3"/>
  <c r="P8" i="172" s="1"/>
  <c r="F741" i="3"/>
  <c r="E741" i="3"/>
  <c r="Y740" i="3"/>
  <c r="Y12" i="119" s="1"/>
  <c r="X740" i="3"/>
  <c r="X12" i="119" s="1"/>
  <c r="W740" i="3"/>
  <c r="W12" i="119" s="1"/>
  <c r="V740" i="3"/>
  <c r="V12" i="119" s="1"/>
  <c r="T740" i="3"/>
  <c r="T12" i="119" s="1"/>
  <c r="S740" i="3"/>
  <c r="S12" i="119" s="1"/>
  <c r="Q740" i="3"/>
  <c r="Q12" i="119" s="1"/>
  <c r="P740" i="3"/>
  <c r="F740" i="3"/>
  <c r="E740" i="3"/>
  <c r="Y739" i="3"/>
  <c r="X739" i="3"/>
  <c r="X3" i="20" s="1"/>
  <c r="W739" i="3"/>
  <c r="W3" i="20" s="1"/>
  <c r="V739" i="3"/>
  <c r="T739" i="3"/>
  <c r="S739" i="3"/>
  <c r="Q739" i="3"/>
  <c r="P739" i="3"/>
  <c r="P3" i="20" s="1"/>
  <c r="F739" i="3"/>
  <c r="E739" i="3"/>
  <c r="Y738" i="3"/>
  <c r="Y2" i="81" s="1"/>
  <c r="X738" i="3"/>
  <c r="X2" i="81" s="1"/>
  <c r="W738" i="3"/>
  <c r="W2" i="81" s="1"/>
  <c r="V738" i="3"/>
  <c r="V2" i="81" s="1"/>
  <c r="T738" i="3"/>
  <c r="T2" i="81" s="1"/>
  <c r="S738" i="3"/>
  <c r="Q738" i="3"/>
  <c r="Q2" i="81" s="1"/>
  <c r="P738" i="3"/>
  <c r="F738" i="3"/>
  <c r="E738" i="3"/>
  <c r="Y737" i="3"/>
  <c r="Y13" i="122" s="1"/>
  <c r="X737" i="3"/>
  <c r="X13" i="122" s="1"/>
  <c r="W737" i="3"/>
  <c r="W13" i="122" s="1"/>
  <c r="V737" i="3"/>
  <c r="V13" i="122" s="1"/>
  <c r="T737" i="3"/>
  <c r="T13" i="122" s="1"/>
  <c r="S737" i="3"/>
  <c r="S13" i="122" s="1"/>
  <c r="Q737" i="3"/>
  <c r="Q13" i="122" s="1"/>
  <c r="P737" i="3"/>
  <c r="F737" i="3"/>
  <c r="E737" i="3"/>
  <c r="Y736" i="3"/>
  <c r="Y6" i="72" s="1"/>
  <c r="X736" i="3"/>
  <c r="X6" i="72" s="1"/>
  <c r="W736" i="3"/>
  <c r="W6" i="72" s="1"/>
  <c r="V736" i="3"/>
  <c r="V6" i="72" s="1"/>
  <c r="T736" i="3"/>
  <c r="T6" i="72" s="1"/>
  <c r="S736" i="3"/>
  <c r="Q736" i="3"/>
  <c r="Q6" i="72" s="1"/>
  <c r="P736" i="3"/>
  <c r="F736" i="3"/>
  <c r="E736" i="3"/>
  <c r="Y735" i="3"/>
  <c r="Y4" i="151" s="1"/>
  <c r="X735" i="3"/>
  <c r="X4" i="151" s="1"/>
  <c r="W735" i="3"/>
  <c r="W4" i="151" s="1"/>
  <c r="V735" i="3"/>
  <c r="V4" i="151" s="1"/>
  <c r="T735" i="3"/>
  <c r="T4" i="151" s="1"/>
  <c r="S735" i="3"/>
  <c r="Q735" i="3"/>
  <c r="Q4" i="151" s="1"/>
  <c r="P735" i="3"/>
  <c r="P4" i="151" s="1"/>
  <c r="F735" i="3"/>
  <c r="E735" i="3"/>
  <c r="Y734" i="3"/>
  <c r="Y11" i="107" s="1"/>
  <c r="X734" i="3"/>
  <c r="X11" i="107" s="1"/>
  <c r="W734" i="3"/>
  <c r="W11" i="107" s="1"/>
  <c r="V734" i="3"/>
  <c r="V11" i="107" s="1"/>
  <c r="T734" i="3"/>
  <c r="T11" i="107" s="1"/>
  <c r="S734" i="3"/>
  <c r="S11" i="107" s="1"/>
  <c r="Q734" i="3"/>
  <c r="Q11" i="107" s="1"/>
  <c r="P734" i="3"/>
  <c r="P11" i="107" s="1"/>
  <c r="F734" i="3"/>
  <c r="E734" i="3"/>
  <c r="Y733" i="3"/>
  <c r="Y22" i="196" s="1"/>
  <c r="X733" i="3"/>
  <c r="X22" i="196" s="1"/>
  <c r="W733" i="3"/>
  <c r="W22" i="196" s="1"/>
  <c r="V733" i="3"/>
  <c r="V22" i="196" s="1"/>
  <c r="T733" i="3"/>
  <c r="T22" i="196" s="1"/>
  <c r="S733" i="3"/>
  <c r="Q733" i="3"/>
  <c r="Q22" i="196" s="1"/>
  <c r="P733" i="3"/>
  <c r="P22" i="196" s="1"/>
  <c r="F733" i="3"/>
  <c r="E733" i="3"/>
  <c r="Y732" i="3"/>
  <c r="Y14" i="108" s="1"/>
  <c r="X732" i="3"/>
  <c r="X14" i="108" s="1"/>
  <c r="W732" i="3"/>
  <c r="W14" i="108" s="1"/>
  <c r="V732" i="3"/>
  <c r="V14" i="108" s="1"/>
  <c r="T732" i="3"/>
  <c r="T14" i="108" s="1"/>
  <c r="S732" i="3"/>
  <c r="S14" i="108" s="1"/>
  <c r="Q732" i="3"/>
  <c r="Q14" i="108" s="1"/>
  <c r="P732" i="3"/>
  <c r="F732" i="3"/>
  <c r="E732" i="3"/>
  <c r="Y731" i="3"/>
  <c r="Y15" i="177" s="1"/>
  <c r="X731" i="3"/>
  <c r="X15" i="177" s="1"/>
  <c r="W731" i="3"/>
  <c r="W15" i="177" s="1"/>
  <c r="V731" i="3"/>
  <c r="V15" i="177" s="1"/>
  <c r="T731" i="3"/>
  <c r="T15" i="177" s="1"/>
  <c r="S731" i="3"/>
  <c r="S15" i="177" s="1"/>
  <c r="Q731" i="3"/>
  <c r="Q15" i="177" s="1"/>
  <c r="P731" i="3"/>
  <c r="P15" i="177" s="1"/>
  <c r="F731" i="3"/>
  <c r="E731" i="3"/>
  <c r="Y730" i="3"/>
  <c r="Y26" i="196" s="1"/>
  <c r="X730" i="3"/>
  <c r="X26" i="196" s="1"/>
  <c r="W730" i="3"/>
  <c r="W26" i="196" s="1"/>
  <c r="V730" i="3"/>
  <c r="V26" i="196" s="1"/>
  <c r="T730" i="3"/>
  <c r="T26" i="196" s="1"/>
  <c r="S730" i="3"/>
  <c r="Q730" i="3"/>
  <c r="Q26" i="196" s="1"/>
  <c r="P730" i="3"/>
  <c r="F730" i="3"/>
  <c r="E730" i="3"/>
  <c r="Y729" i="3"/>
  <c r="Y3" i="66" s="1"/>
  <c r="X729" i="3"/>
  <c r="X3" i="66" s="1"/>
  <c r="W729" i="3"/>
  <c r="W3" i="66" s="1"/>
  <c r="V729" i="3"/>
  <c r="V3" i="66" s="1"/>
  <c r="T729" i="3"/>
  <c r="T3" i="66" s="1"/>
  <c r="S729" i="3"/>
  <c r="Q729" i="3"/>
  <c r="Q3" i="66" s="1"/>
  <c r="P729" i="3"/>
  <c r="F729" i="3"/>
  <c r="E729" i="3"/>
  <c r="Y728" i="3"/>
  <c r="Y22" i="123" s="1"/>
  <c r="X728" i="3"/>
  <c r="X22" i="123" s="1"/>
  <c r="W728" i="3"/>
  <c r="W22" i="123" s="1"/>
  <c r="V728" i="3"/>
  <c r="V22" i="123" s="1"/>
  <c r="T728" i="3"/>
  <c r="T22" i="123" s="1"/>
  <c r="S728" i="3"/>
  <c r="S22" i="123" s="1"/>
  <c r="Q728" i="3"/>
  <c r="Q22" i="123" s="1"/>
  <c r="P728" i="3"/>
  <c r="P22" i="123" s="1"/>
  <c r="F728" i="3"/>
  <c r="E728" i="3"/>
  <c r="Y727" i="3"/>
  <c r="Y6" i="155" s="1"/>
  <c r="X727" i="3"/>
  <c r="X6" i="155" s="1"/>
  <c r="W727" i="3"/>
  <c r="W6" i="155" s="1"/>
  <c r="V727" i="3"/>
  <c r="V6" i="155" s="1"/>
  <c r="T727" i="3"/>
  <c r="T6" i="155" s="1"/>
  <c r="S727" i="3"/>
  <c r="Q727" i="3"/>
  <c r="Q6" i="155" s="1"/>
  <c r="P727" i="3"/>
  <c r="P6" i="155" s="1"/>
  <c r="F727" i="3"/>
  <c r="E727" i="3"/>
  <c r="Y726" i="3"/>
  <c r="Y5" i="34" s="1"/>
  <c r="X726" i="3"/>
  <c r="X5" i="34" s="1"/>
  <c r="W726" i="3"/>
  <c r="W5" i="34" s="1"/>
  <c r="V726" i="3"/>
  <c r="V5" i="34" s="1"/>
  <c r="T726" i="3"/>
  <c r="T5" i="34" s="1"/>
  <c r="S726" i="3"/>
  <c r="S5" i="34" s="1"/>
  <c r="Q726" i="3"/>
  <c r="Q5" i="34" s="1"/>
  <c r="P726" i="3"/>
  <c r="F726" i="3"/>
  <c r="E726" i="3"/>
  <c r="Y725" i="3"/>
  <c r="Y4" i="132" s="1"/>
  <c r="X725" i="3"/>
  <c r="X4" i="132" s="1"/>
  <c r="W725" i="3"/>
  <c r="W4" i="132" s="1"/>
  <c r="V725" i="3"/>
  <c r="V4" i="132" s="1"/>
  <c r="T725" i="3"/>
  <c r="T4" i="132" s="1"/>
  <c r="S725" i="3"/>
  <c r="Q725" i="3"/>
  <c r="Q4" i="132" s="1"/>
  <c r="P725" i="3"/>
  <c r="P4" i="132" s="1"/>
  <c r="F725" i="3"/>
  <c r="E725" i="3"/>
  <c r="Y724" i="3"/>
  <c r="Y21" i="123" s="1"/>
  <c r="X724" i="3"/>
  <c r="X21" i="123" s="1"/>
  <c r="W724" i="3"/>
  <c r="W21" i="123" s="1"/>
  <c r="V724" i="3"/>
  <c r="V21" i="123" s="1"/>
  <c r="T724" i="3"/>
  <c r="T21" i="123" s="1"/>
  <c r="S724" i="3"/>
  <c r="S21" i="123" s="1"/>
  <c r="Q724" i="3"/>
  <c r="Q21" i="123" s="1"/>
  <c r="P724" i="3"/>
  <c r="F724" i="3"/>
  <c r="E724" i="3"/>
  <c r="Y723" i="3"/>
  <c r="Y8" i="68" s="1"/>
  <c r="X723" i="3"/>
  <c r="X8" i="68" s="1"/>
  <c r="W723" i="3"/>
  <c r="W8" i="68" s="1"/>
  <c r="V723" i="3"/>
  <c r="V8" i="68" s="1"/>
  <c r="T723" i="3"/>
  <c r="T8" i="68" s="1"/>
  <c r="S723" i="3"/>
  <c r="S8" i="68" s="1"/>
  <c r="Q723" i="3"/>
  <c r="Q8" i="68" s="1"/>
  <c r="P723" i="3"/>
  <c r="P8" i="68" s="1"/>
  <c r="F723" i="3"/>
  <c r="E723" i="3"/>
  <c r="Y722" i="3"/>
  <c r="X722" i="3"/>
  <c r="W722" i="3"/>
  <c r="V722" i="3"/>
  <c r="T722" i="3"/>
  <c r="S722" i="3"/>
  <c r="Q722" i="3"/>
  <c r="P722" i="3"/>
  <c r="F722" i="3"/>
  <c r="E722" i="3"/>
  <c r="Y721" i="3"/>
  <c r="Y4" i="111" s="1"/>
  <c r="X721" i="3"/>
  <c r="X4" i="111" s="1"/>
  <c r="W721" i="3"/>
  <c r="W4" i="111" s="1"/>
  <c r="V721" i="3"/>
  <c r="V4" i="111" s="1"/>
  <c r="T721" i="3"/>
  <c r="T4" i="111" s="1"/>
  <c r="S721" i="3"/>
  <c r="Q721" i="3"/>
  <c r="Q4" i="111" s="1"/>
  <c r="P721" i="3"/>
  <c r="F721" i="3"/>
  <c r="E721" i="3"/>
  <c r="Y720" i="3"/>
  <c r="Y6" i="30" s="1"/>
  <c r="X720" i="3"/>
  <c r="X6" i="30" s="1"/>
  <c r="W720" i="3"/>
  <c r="W6" i="30" s="1"/>
  <c r="V720" i="3"/>
  <c r="V6" i="30" s="1"/>
  <c r="T720" i="3"/>
  <c r="T6" i="30" s="1"/>
  <c r="S720" i="3"/>
  <c r="S6" i="30" s="1"/>
  <c r="Q720" i="3"/>
  <c r="Q6" i="30" s="1"/>
  <c r="P720" i="3"/>
  <c r="P6" i="30" s="1"/>
  <c r="F720" i="3"/>
  <c r="E720" i="3"/>
  <c r="Y719" i="3"/>
  <c r="Y11" i="119" s="1"/>
  <c r="X719" i="3"/>
  <c r="X11" i="119" s="1"/>
  <c r="W719" i="3"/>
  <c r="W11" i="119" s="1"/>
  <c r="V719" i="3"/>
  <c r="V11" i="119" s="1"/>
  <c r="T719" i="3"/>
  <c r="T11" i="119" s="1"/>
  <c r="S719" i="3"/>
  <c r="S11" i="119" s="1"/>
  <c r="Q719" i="3"/>
  <c r="Q11" i="119" s="1"/>
  <c r="P719" i="3"/>
  <c r="P11" i="119" s="1"/>
  <c r="F719" i="3"/>
  <c r="E719" i="3"/>
  <c r="Y718" i="3"/>
  <c r="Y5" i="131" s="1"/>
  <c r="X718" i="3"/>
  <c r="X5" i="131" s="1"/>
  <c r="W718" i="3"/>
  <c r="W5" i="131" s="1"/>
  <c r="V718" i="3"/>
  <c r="V5" i="131" s="1"/>
  <c r="T718" i="3"/>
  <c r="T5" i="131" s="1"/>
  <c r="S718" i="3"/>
  <c r="S5" i="131" s="1"/>
  <c r="Q718" i="3"/>
  <c r="Q5" i="131" s="1"/>
  <c r="P718" i="3"/>
  <c r="P5" i="131" s="1"/>
  <c r="F718" i="3"/>
  <c r="E718" i="3"/>
  <c r="Y717" i="3"/>
  <c r="Y23" i="167" s="1"/>
  <c r="X717" i="3"/>
  <c r="X23" i="167" s="1"/>
  <c r="W717" i="3"/>
  <c r="W23" i="167" s="1"/>
  <c r="V717" i="3"/>
  <c r="V23" i="167" s="1"/>
  <c r="T717" i="3"/>
  <c r="T23" i="167" s="1"/>
  <c r="S717" i="3"/>
  <c r="Q717" i="3"/>
  <c r="Q23" i="167" s="1"/>
  <c r="P717" i="3"/>
  <c r="P23" i="167" s="1"/>
  <c r="F717" i="3"/>
  <c r="E717" i="3"/>
  <c r="Y716" i="3"/>
  <c r="Y22" i="168" s="1"/>
  <c r="X716" i="3"/>
  <c r="X22" i="168" s="1"/>
  <c r="W716" i="3"/>
  <c r="W22" i="168" s="1"/>
  <c r="V716" i="3"/>
  <c r="V22" i="168" s="1"/>
  <c r="T716" i="3"/>
  <c r="T22" i="168" s="1"/>
  <c r="S716" i="3"/>
  <c r="S22" i="168" s="1"/>
  <c r="Q716" i="3"/>
  <c r="Q22" i="168" s="1"/>
  <c r="P716" i="3"/>
  <c r="F716" i="3"/>
  <c r="E716" i="3"/>
  <c r="Y715" i="3"/>
  <c r="Y23" i="196" s="1"/>
  <c r="X715" i="3"/>
  <c r="X23" i="196" s="1"/>
  <c r="W715" i="3"/>
  <c r="W23" i="196" s="1"/>
  <c r="V715" i="3"/>
  <c r="V23" i="196" s="1"/>
  <c r="T715" i="3"/>
  <c r="T23" i="196" s="1"/>
  <c r="S715" i="3"/>
  <c r="Q715" i="3"/>
  <c r="Q23" i="196" s="1"/>
  <c r="P715" i="3"/>
  <c r="P23" i="196" s="1"/>
  <c r="F715" i="3"/>
  <c r="E715" i="3"/>
  <c r="Y714" i="3"/>
  <c r="Y13" i="108" s="1"/>
  <c r="X714" i="3"/>
  <c r="X13" i="108" s="1"/>
  <c r="W714" i="3"/>
  <c r="W13" i="108" s="1"/>
  <c r="V714" i="3"/>
  <c r="V13" i="108" s="1"/>
  <c r="T714" i="3"/>
  <c r="T13" i="108" s="1"/>
  <c r="S714" i="3"/>
  <c r="R714" i="3"/>
  <c r="R13" i="108" s="1"/>
  <c r="Q714" i="3"/>
  <c r="Q13" i="108" s="1"/>
  <c r="P714" i="3"/>
  <c r="P13" i="108" s="1"/>
  <c r="F714" i="3"/>
  <c r="E714" i="3"/>
  <c r="Y713" i="3"/>
  <c r="Y5" i="148" s="1"/>
  <c r="X713" i="3"/>
  <c r="X5" i="148" s="1"/>
  <c r="W713" i="3"/>
  <c r="W5" i="148" s="1"/>
  <c r="V713" i="3"/>
  <c r="V5" i="148" s="1"/>
  <c r="T713" i="3"/>
  <c r="T5" i="148" s="1"/>
  <c r="S713" i="3"/>
  <c r="S5" i="148" s="1"/>
  <c r="Q713" i="3"/>
  <c r="Q5" i="148" s="1"/>
  <c r="P713" i="3"/>
  <c r="F713" i="3"/>
  <c r="E713" i="3"/>
  <c r="Y712" i="3"/>
  <c r="Y2" i="55" s="1"/>
  <c r="X712" i="3"/>
  <c r="X2" i="55" s="1"/>
  <c r="W712" i="3"/>
  <c r="W2" i="55" s="1"/>
  <c r="V712" i="3"/>
  <c r="V2" i="55" s="1"/>
  <c r="T712" i="3"/>
  <c r="T2" i="55" s="1"/>
  <c r="S712" i="3"/>
  <c r="S2" i="55" s="1"/>
  <c r="Q712" i="3"/>
  <c r="Q2" i="55" s="1"/>
  <c r="P712" i="3"/>
  <c r="P2" i="55" s="1"/>
  <c r="F712" i="3"/>
  <c r="E712" i="3"/>
  <c r="Y711" i="3"/>
  <c r="Y8" i="102" s="1"/>
  <c r="X711" i="3"/>
  <c r="X8" i="102" s="1"/>
  <c r="W711" i="3"/>
  <c r="W8" i="102" s="1"/>
  <c r="V711" i="3"/>
  <c r="V8" i="102" s="1"/>
  <c r="T711" i="3"/>
  <c r="T8" i="102" s="1"/>
  <c r="S711" i="3"/>
  <c r="S8" i="102" s="1"/>
  <c r="Q711" i="3"/>
  <c r="Q8" i="102" s="1"/>
  <c r="P711" i="3"/>
  <c r="P8" i="102" s="1"/>
  <c r="F711" i="3"/>
  <c r="E711" i="3"/>
  <c r="Y710" i="3"/>
  <c r="Y21" i="167" s="1"/>
  <c r="X710" i="3"/>
  <c r="X21" i="167" s="1"/>
  <c r="W710" i="3"/>
  <c r="W21" i="167" s="1"/>
  <c r="V710" i="3"/>
  <c r="V21" i="167" s="1"/>
  <c r="T710" i="3"/>
  <c r="T21" i="167" s="1"/>
  <c r="S710" i="3"/>
  <c r="S21" i="167" s="1"/>
  <c r="Q710" i="3"/>
  <c r="Q21" i="167" s="1"/>
  <c r="P710" i="3"/>
  <c r="P21" i="167" s="1"/>
  <c r="F710" i="3"/>
  <c r="E710" i="3"/>
  <c r="Y709" i="3"/>
  <c r="Y4" i="67" s="1"/>
  <c r="X709" i="3"/>
  <c r="X4" i="67" s="1"/>
  <c r="W709" i="3"/>
  <c r="W4" i="67" s="1"/>
  <c r="V709" i="3"/>
  <c r="V4" i="67" s="1"/>
  <c r="T709" i="3"/>
  <c r="T4" i="67" s="1"/>
  <c r="S709" i="3"/>
  <c r="Q709" i="3"/>
  <c r="Q4" i="67" s="1"/>
  <c r="P709" i="3"/>
  <c r="P4" i="67" s="1"/>
  <c r="F709" i="3"/>
  <c r="E709" i="3"/>
  <c r="Y708" i="3"/>
  <c r="Y2" i="62" s="1"/>
  <c r="X708" i="3"/>
  <c r="X2" i="62" s="1"/>
  <c r="W708" i="3"/>
  <c r="W2" i="62" s="1"/>
  <c r="V708" i="3"/>
  <c r="V2" i="62" s="1"/>
  <c r="T708" i="3"/>
  <c r="T2" i="62" s="1"/>
  <c r="S708" i="3"/>
  <c r="S2" i="62" s="1"/>
  <c r="Q708" i="3"/>
  <c r="Q2" i="62" s="1"/>
  <c r="P708" i="3"/>
  <c r="F708" i="3"/>
  <c r="E708" i="3"/>
  <c r="Y707" i="3"/>
  <c r="Y3" i="29" s="1"/>
  <c r="X707" i="3"/>
  <c r="X3" i="29" s="1"/>
  <c r="W707" i="3"/>
  <c r="W3" i="29" s="1"/>
  <c r="V707" i="3"/>
  <c r="V3" i="29" s="1"/>
  <c r="T707" i="3"/>
  <c r="T3" i="29" s="1"/>
  <c r="S707" i="3"/>
  <c r="S3" i="29" s="1"/>
  <c r="Q707" i="3"/>
  <c r="Q3" i="29" s="1"/>
  <c r="P707" i="3"/>
  <c r="P3" i="29" s="1"/>
  <c r="F707" i="3"/>
  <c r="E707" i="3"/>
  <c r="Y706" i="3"/>
  <c r="Y7" i="102" s="1"/>
  <c r="X706" i="3"/>
  <c r="X7" i="102" s="1"/>
  <c r="W706" i="3"/>
  <c r="W7" i="102" s="1"/>
  <c r="V706" i="3"/>
  <c r="V7" i="102" s="1"/>
  <c r="T706" i="3"/>
  <c r="T7" i="102" s="1"/>
  <c r="S706" i="3"/>
  <c r="Q706" i="3"/>
  <c r="Q7" i="102" s="1"/>
  <c r="P706" i="3"/>
  <c r="P7" i="102" s="1"/>
  <c r="F706" i="3"/>
  <c r="E706" i="3"/>
  <c r="Y705" i="3"/>
  <c r="Y8" i="121" s="1"/>
  <c r="X705" i="3"/>
  <c r="X8" i="121" s="1"/>
  <c r="W705" i="3"/>
  <c r="W8" i="121" s="1"/>
  <c r="V705" i="3"/>
  <c r="V8" i="121" s="1"/>
  <c r="T705" i="3"/>
  <c r="T8" i="121" s="1"/>
  <c r="S705" i="3"/>
  <c r="S8" i="121" s="1"/>
  <c r="Q705" i="3"/>
  <c r="Q8" i="121" s="1"/>
  <c r="P705" i="3"/>
  <c r="F705" i="3"/>
  <c r="E705" i="3"/>
  <c r="Y704" i="3"/>
  <c r="Y7" i="78" s="1"/>
  <c r="X704" i="3"/>
  <c r="X7" i="78" s="1"/>
  <c r="W704" i="3"/>
  <c r="W7" i="78" s="1"/>
  <c r="V704" i="3"/>
  <c r="V7" i="78" s="1"/>
  <c r="T704" i="3"/>
  <c r="T7" i="78" s="1"/>
  <c r="S704" i="3"/>
  <c r="Q704" i="3"/>
  <c r="Q7" i="78" s="1"/>
  <c r="P704" i="3"/>
  <c r="P7" i="78" s="1"/>
  <c r="F704" i="3"/>
  <c r="E704" i="3"/>
  <c r="Y703" i="3"/>
  <c r="Y5" i="155" s="1"/>
  <c r="X703" i="3"/>
  <c r="X5" i="155" s="1"/>
  <c r="W703" i="3"/>
  <c r="W5" i="155" s="1"/>
  <c r="V703" i="3"/>
  <c r="V5" i="155" s="1"/>
  <c r="T703" i="3"/>
  <c r="T5" i="155" s="1"/>
  <c r="S703" i="3"/>
  <c r="S5" i="155" s="1"/>
  <c r="Q703" i="3"/>
  <c r="Q5" i="155" s="1"/>
  <c r="P703" i="3"/>
  <c r="P5" i="155" s="1"/>
  <c r="F703" i="3"/>
  <c r="E703" i="3"/>
  <c r="Y702" i="3"/>
  <c r="Y4" i="34" s="1"/>
  <c r="X702" i="3"/>
  <c r="X4" i="34" s="1"/>
  <c r="W702" i="3"/>
  <c r="W4" i="34" s="1"/>
  <c r="V702" i="3"/>
  <c r="V4" i="34" s="1"/>
  <c r="T702" i="3"/>
  <c r="T4" i="34" s="1"/>
  <c r="S702" i="3"/>
  <c r="S4" i="34" s="1"/>
  <c r="Q702" i="3"/>
  <c r="Q4" i="34" s="1"/>
  <c r="P702" i="3"/>
  <c r="F702" i="3"/>
  <c r="E702" i="3"/>
  <c r="Y701" i="3"/>
  <c r="Y3" i="64" s="1"/>
  <c r="X701" i="3"/>
  <c r="X3" i="64" s="1"/>
  <c r="W701" i="3"/>
  <c r="W3" i="64" s="1"/>
  <c r="V701" i="3"/>
  <c r="V3" i="64" s="1"/>
  <c r="T701" i="3"/>
  <c r="T3" i="64" s="1"/>
  <c r="S701" i="3"/>
  <c r="Q701" i="3"/>
  <c r="Q3" i="64" s="1"/>
  <c r="P701" i="3"/>
  <c r="P3" i="64" s="1"/>
  <c r="F701" i="3"/>
  <c r="E701" i="3"/>
  <c r="Y700" i="3"/>
  <c r="Y10" i="69" s="1"/>
  <c r="X700" i="3"/>
  <c r="X10" i="69" s="1"/>
  <c r="W700" i="3"/>
  <c r="W10" i="69" s="1"/>
  <c r="V700" i="3"/>
  <c r="V10" i="69" s="1"/>
  <c r="T700" i="3"/>
  <c r="T10" i="69" s="1"/>
  <c r="S700" i="3"/>
  <c r="S10" i="69" s="1"/>
  <c r="Q700" i="3"/>
  <c r="Q10" i="69" s="1"/>
  <c r="P700" i="3"/>
  <c r="F700" i="3"/>
  <c r="E700" i="3"/>
  <c r="Y699" i="3"/>
  <c r="Y10" i="129" s="1"/>
  <c r="X699" i="3"/>
  <c r="X10" i="129" s="1"/>
  <c r="W699" i="3"/>
  <c r="W10" i="129" s="1"/>
  <c r="V699" i="3"/>
  <c r="V10" i="129" s="1"/>
  <c r="T699" i="3"/>
  <c r="T10" i="129" s="1"/>
  <c r="S699" i="3"/>
  <c r="Q699" i="3"/>
  <c r="Q10" i="129" s="1"/>
  <c r="P699" i="3"/>
  <c r="P10" i="129" s="1"/>
  <c r="F699" i="3"/>
  <c r="E699" i="3"/>
  <c r="Y698" i="3"/>
  <c r="Y19" i="196" s="1"/>
  <c r="X698" i="3"/>
  <c r="X19" i="196" s="1"/>
  <c r="W698" i="3"/>
  <c r="W19" i="196" s="1"/>
  <c r="V698" i="3"/>
  <c r="V19" i="196" s="1"/>
  <c r="T698" i="3"/>
  <c r="T19" i="196" s="1"/>
  <c r="S698" i="3"/>
  <c r="Q698" i="3"/>
  <c r="Q19" i="196" s="1"/>
  <c r="P698" i="3"/>
  <c r="P19" i="196" s="1"/>
  <c r="F698" i="3"/>
  <c r="E698" i="3"/>
  <c r="Y697" i="3"/>
  <c r="Y5" i="98" s="1"/>
  <c r="X697" i="3"/>
  <c r="X5" i="98" s="1"/>
  <c r="W697" i="3"/>
  <c r="W5" i="98" s="1"/>
  <c r="V697" i="3"/>
  <c r="V5" i="98" s="1"/>
  <c r="T697" i="3"/>
  <c r="T5" i="98" s="1"/>
  <c r="S697" i="3"/>
  <c r="S5" i="98" s="1"/>
  <c r="Q697" i="3"/>
  <c r="Q5" i="98" s="1"/>
  <c r="P697" i="3"/>
  <c r="F697" i="3"/>
  <c r="E697" i="3"/>
  <c r="Y696" i="3"/>
  <c r="Y7" i="68" s="1"/>
  <c r="X696" i="3"/>
  <c r="X7" i="68" s="1"/>
  <c r="W696" i="3"/>
  <c r="W7" i="68" s="1"/>
  <c r="V696" i="3"/>
  <c r="V7" i="68" s="1"/>
  <c r="T696" i="3"/>
  <c r="T7" i="68" s="1"/>
  <c r="S696" i="3"/>
  <c r="S7" i="68" s="1"/>
  <c r="Q696" i="3"/>
  <c r="Q7" i="68" s="1"/>
  <c r="P696" i="3"/>
  <c r="P7" i="68" s="1"/>
  <c r="F696" i="3"/>
  <c r="E696" i="3"/>
  <c r="Y695" i="3"/>
  <c r="Y53" i="92" s="1"/>
  <c r="X695" i="3"/>
  <c r="X53" i="92" s="1"/>
  <c r="W695" i="3"/>
  <c r="W53" i="92" s="1"/>
  <c r="V695" i="3"/>
  <c r="V53" i="92" s="1"/>
  <c r="T695" i="3"/>
  <c r="T53" i="92" s="1"/>
  <c r="S695" i="3"/>
  <c r="S53" i="92" s="1"/>
  <c r="Q695" i="3"/>
  <c r="Q53" i="92" s="1"/>
  <c r="P695" i="3"/>
  <c r="P53" i="92" s="1"/>
  <c r="F695" i="3"/>
  <c r="E695" i="3"/>
  <c r="Y694" i="3"/>
  <c r="Y13" i="113" s="1"/>
  <c r="X694" i="3"/>
  <c r="X13" i="113" s="1"/>
  <c r="W694" i="3"/>
  <c r="W13" i="113" s="1"/>
  <c r="V694" i="3"/>
  <c r="V13" i="113" s="1"/>
  <c r="T694" i="3"/>
  <c r="T13" i="113" s="1"/>
  <c r="S694" i="3"/>
  <c r="S13" i="113" s="1"/>
  <c r="Q694" i="3"/>
  <c r="Q13" i="113" s="1"/>
  <c r="P694" i="3"/>
  <c r="F694" i="3"/>
  <c r="E694" i="3"/>
  <c r="Y693" i="3"/>
  <c r="Y38" i="185" s="1"/>
  <c r="X693" i="3"/>
  <c r="X38" i="185" s="1"/>
  <c r="W693" i="3"/>
  <c r="W38" i="185" s="1"/>
  <c r="V693" i="3"/>
  <c r="V38" i="185" s="1"/>
  <c r="T693" i="3"/>
  <c r="T38" i="185" s="1"/>
  <c r="S693" i="3"/>
  <c r="Q693" i="3"/>
  <c r="Q38" i="185" s="1"/>
  <c r="P693" i="3"/>
  <c r="P38" i="185" s="1"/>
  <c r="F693" i="3"/>
  <c r="E693" i="3"/>
  <c r="Y692" i="3"/>
  <c r="Y8" i="76" s="1"/>
  <c r="X692" i="3"/>
  <c r="X8" i="76" s="1"/>
  <c r="W692" i="3"/>
  <c r="W8" i="76" s="1"/>
  <c r="V692" i="3"/>
  <c r="V8" i="76" s="1"/>
  <c r="T692" i="3"/>
  <c r="T8" i="76" s="1"/>
  <c r="S692" i="3"/>
  <c r="S8" i="76" s="1"/>
  <c r="Q692" i="3"/>
  <c r="Q8" i="76" s="1"/>
  <c r="P692" i="3"/>
  <c r="F692" i="3"/>
  <c r="E692" i="3"/>
  <c r="Y691" i="3"/>
  <c r="Y12" i="108" s="1"/>
  <c r="X691" i="3"/>
  <c r="X12" i="108" s="1"/>
  <c r="W691" i="3"/>
  <c r="W12" i="108" s="1"/>
  <c r="V691" i="3"/>
  <c r="V12" i="108" s="1"/>
  <c r="U691" i="3"/>
  <c r="U12" i="108" s="1"/>
  <c r="T691" i="3"/>
  <c r="T12" i="108" s="1"/>
  <c r="S691" i="3"/>
  <c r="S12" i="108" s="1"/>
  <c r="Q691" i="3"/>
  <c r="Q12" i="108" s="1"/>
  <c r="P691" i="3"/>
  <c r="P12" i="108" s="1"/>
  <c r="F691" i="3"/>
  <c r="E691" i="3"/>
  <c r="Y690" i="3"/>
  <c r="Y20" i="196" s="1"/>
  <c r="X690" i="3"/>
  <c r="X20" i="196" s="1"/>
  <c r="W690" i="3"/>
  <c r="W20" i="196" s="1"/>
  <c r="V690" i="3"/>
  <c r="V20" i="196" s="1"/>
  <c r="T690" i="3"/>
  <c r="T20" i="196" s="1"/>
  <c r="S690" i="3"/>
  <c r="Q690" i="3"/>
  <c r="Q20" i="196" s="1"/>
  <c r="P690" i="3"/>
  <c r="P20" i="196" s="1"/>
  <c r="F690" i="3"/>
  <c r="E690" i="3"/>
  <c r="Y689" i="3"/>
  <c r="Y22" i="167" s="1"/>
  <c r="X689" i="3"/>
  <c r="X22" i="167" s="1"/>
  <c r="W689" i="3"/>
  <c r="W22" i="167" s="1"/>
  <c r="V689" i="3"/>
  <c r="V22" i="167" s="1"/>
  <c r="T689" i="3"/>
  <c r="T22" i="167" s="1"/>
  <c r="S689" i="3"/>
  <c r="S22" i="167" s="1"/>
  <c r="Q689" i="3"/>
  <c r="Q22" i="167" s="1"/>
  <c r="P689" i="3"/>
  <c r="F689" i="3"/>
  <c r="E689" i="3"/>
  <c r="Y688" i="3"/>
  <c r="Y9" i="76" s="1"/>
  <c r="X688" i="3"/>
  <c r="X9" i="76" s="1"/>
  <c r="W688" i="3"/>
  <c r="W9" i="76" s="1"/>
  <c r="V688" i="3"/>
  <c r="V9" i="76" s="1"/>
  <c r="T688" i="3"/>
  <c r="T9" i="76" s="1"/>
  <c r="S688" i="3"/>
  <c r="S9" i="76" s="1"/>
  <c r="R688" i="3"/>
  <c r="R9" i="76" s="1"/>
  <c r="Q688" i="3"/>
  <c r="Q9" i="76" s="1"/>
  <c r="P688" i="3"/>
  <c r="P9" i="76" s="1"/>
  <c r="F688" i="3"/>
  <c r="E688" i="3"/>
  <c r="Y687" i="3"/>
  <c r="Y8" i="188" s="1"/>
  <c r="X687" i="3"/>
  <c r="X8" i="188" s="1"/>
  <c r="W687" i="3"/>
  <c r="W8" i="188" s="1"/>
  <c r="V687" i="3"/>
  <c r="V8" i="188" s="1"/>
  <c r="T687" i="3"/>
  <c r="T8" i="188" s="1"/>
  <c r="S687" i="3"/>
  <c r="Q687" i="3"/>
  <c r="Q8" i="188" s="1"/>
  <c r="P687" i="3"/>
  <c r="P8" i="188" s="1"/>
  <c r="F687" i="3"/>
  <c r="E687" i="3"/>
  <c r="Y686" i="3"/>
  <c r="Y17" i="49" s="1"/>
  <c r="X686" i="3"/>
  <c r="X17" i="49" s="1"/>
  <c r="W686" i="3"/>
  <c r="W17" i="49" s="1"/>
  <c r="V686" i="3"/>
  <c r="V17" i="49" s="1"/>
  <c r="T686" i="3"/>
  <c r="T17" i="49" s="1"/>
  <c r="S686" i="3"/>
  <c r="S17" i="49" s="1"/>
  <c r="Q686" i="3"/>
  <c r="Q17" i="49" s="1"/>
  <c r="P686" i="3"/>
  <c r="P17" i="49" s="1"/>
  <c r="F686" i="3"/>
  <c r="E686" i="3"/>
  <c r="Y685" i="3"/>
  <c r="Y3" i="100" s="1"/>
  <c r="X685" i="3"/>
  <c r="X3" i="100" s="1"/>
  <c r="W685" i="3"/>
  <c r="W3" i="100" s="1"/>
  <c r="V685" i="3"/>
  <c r="V3" i="100" s="1"/>
  <c r="T685" i="3"/>
  <c r="T3" i="100" s="1"/>
  <c r="S685" i="3"/>
  <c r="Q685" i="3"/>
  <c r="Q3" i="100" s="1"/>
  <c r="P685" i="3"/>
  <c r="P3" i="100" s="1"/>
  <c r="F685" i="3"/>
  <c r="E685" i="3"/>
  <c r="Y684" i="3"/>
  <c r="Y9" i="129" s="1"/>
  <c r="X684" i="3"/>
  <c r="X9" i="129" s="1"/>
  <c r="W684" i="3"/>
  <c r="W9" i="129" s="1"/>
  <c r="V684" i="3"/>
  <c r="V9" i="129" s="1"/>
  <c r="T684" i="3"/>
  <c r="T9" i="129" s="1"/>
  <c r="S684" i="3"/>
  <c r="S9" i="129" s="1"/>
  <c r="Q684" i="3"/>
  <c r="Q9" i="129" s="1"/>
  <c r="P684" i="3"/>
  <c r="F684" i="3"/>
  <c r="E684" i="3"/>
  <c r="Y683" i="3"/>
  <c r="Y18" i="49" s="1"/>
  <c r="X683" i="3"/>
  <c r="X18" i="49" s="1"/>
  <c r="W683" i="3"/>
  <c r="W18" i="49" s="1"/>
  <c r="V683" i="3"/>
  <c r="V18" i="49" s="1"/>
  <c r="T683" i="3"/>
  <c r="T18" i="49" s="1"/>
  <c r="S683" i="3"/>
  <c r="S18" i="49" s="1"/>
  <c r="Q683" i="3"/>
  <c r="Q18" i="49" s="1"/>
  <c r="P683" i="3"/>
  <c r="P18" i="49" s="1"/>
  <c r="F683" i="3"/>
  <c r="E683" i="3"/>
  <c r="Y682" i="3"/>
  <c r="Y4" i="165" s="1"/>
  <c r="X682" i="3"/>
  <c r="X4" i="165" s="1"/>
  <c r="W682" i="3"/>
  <c r="W4" i="165" s="1"/>
  <c r="V682" i="3"/>
  <c r="V4" i="165" s="1"/>
  <c r="T682" i="3"/>
  <c r="T4" i="165" s="1"/>
  <c r="S682" i="3"/>
  <c r="Q682" i="3"/>
  <c r="Q4" i="165" s="1"/>
  <c r="P682" i="3"/>
  <c r="P4" i="165" s="1"/>
  <c r="F682" i="3"/>
  <c r="E682" i="3"/>
  <c r="Y681" i="3"/>
  <c r="Y11" i="122" s="1"/>
  <c r="X681" i="3"/>
  <c r="X11" i="122" s="1"/>
  <c r="W681" i="3"/>
  <c r="W11" i="122" s="1"/>
  <c r="V681" i="3"/>
  <c r="V11" i="122" s="1"/>
  <c r="U681" i="3"/>
  <c r="U11" i="122" s="1"/>
  <c r="T681" i="3"/>
  <c r="T11" i="122" s="1"/>
  <c r="S681" i="3"/>
  <c r="S11" i="122" s="1"/>
  <c r="Q681" i="3"/>
  <c r="Q11" i="122" s="1"/>
  <c r="P681" i="3"/>
  <c r="F681" i="3"/>
  <c r="E681" i="3"/>
  <c r="Y680" i="3"/>
  <c r="Y3" i="62" s="1"/>
  <c r="X680" i="3"/>
  <c r="X3" i="62" s="1"/>
  <c r="W680" i="3"/>
  <c r="W3" i="62" s="1"/>
  <c r="V680" i="3"/>
  <c r="V3" i="62" s="1"/>
  <c r="T680" i="3"/>
  <c r="T3" i="62" s="1"/>
  <c r="S680" i="3"/>
  <c r="S3" i="62" s="1"/>
  <c r="Q680" i="3"/>
  <c r="Q3" i="62" s="1"/>
  <c r="P680" i="3"/>
  <c r="P3" i="62" s="1"/>
  <c r="F680" i="3"/>
  <c r="E680" i="3"/>
  <c r="Y679" i="3"/>
  <c r="Y4" i="192" s="1"/>
  <c r="X679" i="3"/>
  <c r="X4" i="192" s="1"/>
  <c r="W679" i="3"/>
  <c r="W4" i="192" s="1"/>
  <c r="V679" i="3"/>
  <c r="V4" i="192" s="1"/>
  <c r="T679" i="3"/>
  <c r="T4" i="192" s="1"/>
  <c r="S679" i="3"/>
  <c r="S4" i="192" s="1"/>
  <c r="Q679" i="3"/>
  <c r="Q4" i="192" s="1"/>
  <c r="P679" i="3"/>
  <c r="P4" i="192" s="1"/>
  <c r="F679" i="3"/>
  <c r="E679" i="3"/>
  <c r="Y678" i="3"/>
  <c r="Y13" i="177" s="1"/>
  <c r="X678" i="3"/>
  <c r="X13" i="177" s="1"/>
  <c r="W678" i="3"/>
  <c r="W13" i="177" s="1"/>
  <c r="V678" i="3"/>
  <c r="V13" i="177" s="1"/>
  <c r="T678" i="3"/>
  <c r="T13" i="177" s="1"/>
  <c r="S678" i="3"/>
  <c r="S13" i="177" s="1"/>
  <c r="Q678" i="3"/>
  <c r="Q13" i="177" s="1"/>
  <c r="P678" i="3"/>
  <c r="P13" i="177" s="1"/>
  <c r="F678" i="3"/>
  <c r="E678" i="3"/>
  <c r="Y677" i="3"/>
  <c r="Y35" i="185" s="1"/>
  <c r="X677" i="3"/>
  <c r="X35" i="185" s="1"/>
  <c r="W677" i="3"/>
  <c r="W35" i="185" s="1"/>
  <c r="V677" i="3"/>
  <c r="V35" i="185" s="1"/>
  <c r="T677" i="3"/>
  <c r="T35" i="185" s="1"/>
  <c r="S677" i="3"/>
  <c r="Q677" i="3"/>
  <c r="Q35" i="185" s="1"/>
  <c r="P677" i="3"/>
  <c r="P35" i="185" s="1"/>
  <c r="F677" i="3"/>
  <c r="E677" i="3"/>
  <c r="Y676" i="3"/>
  <c r="Y37" i="185" s="1"/>
  <c r="X676" i="3"/>
  <c r="X37" i="185" s="1"/>
  <c r="W676" i="3"/>
  <c r="W37" i="185" s="1"/>
  <c r="V676" i="3"/>
  <c r="V37" i="185" s="1"/>
  <c r="T676" i="3"/>
  <c r="T37" i="185" s="1"/>
  <c r="S676" i="3"/>
  <c r="S37" i="185" s="1"/>
  <c r="Q676" i="3"/>
  <c r="Q37" i="185" s="1"/>
  <c r="P676" i="3"/>
  <c r="F676" i="3"/>
  <c r="E676" i="3"/>
  <c r="Y675" i="3"/>
  <c r="X675" i="3"/>
  <c r="W675" i="3"/>
  <c r="V675" i="3"/>
  <c r="T675" i="3"/>
  <c r="S675" i="3"/>
  <c r="Q675" i="3"/>
  <c r="P675" i="3"/>
  <c r="F675" i="3"/>
  <c r="E675" i="3"/>
  <c r="Y674" i="3"/>
  <c r="Y11" i="113" s="1"/>
  <c r="X674" i="3"/>
  <c r="X11" i="113" s="1"/>
  <c r="W674" i="3"/>
  <c r="W11" i="113" s="1"/>
  <c r="V674" i="3"/>
  <c r="V11" i="113" s="1"/>
  <c r="T674" i="3"/>
  <c r="T11" i="113" s="1"/>
  <c r="S674" i="3"/>
  <c r="Q674" i="3"/>
  <c r="Q11" i="113" s="1"/>
  <c r="P674" i="3"/>
  <c r="P11" i="113" s="1"/>
  <c r="F674" i="3"/>
  <c r="E674" i="3"/>
  <c r="Y673" i="3"/>
  <c r="Y10" i="119" s="1"/>
  <c r="X673" i="3"/>
  <c r="X10" i="119" s="1"/>
  <c r="W673" i="3"/>
  <c r="W10" i="119" s="1"/>
  <c r="V673" i="3"/>
  <c r="V10" i="119" s="1"/>
  <c r="T673" i="3"/>
  <c r="T10" i="119" s="1"/>
  <c r="S673" i="3"/>
  <c r="S10" i="119" s="1"/>
  <c r="Q673" i="3"/>
  <c r="Q10" i="119" s="1"/>
  <c r="P673" i="3"/>
  <c r="F673" i="3"/>
  <c r="E673" i="3"/>
  <c r="Y672" i="3"/>
  <c r="Y4" i="153" s="1"/>
  <c r="X672" i="3"/>
  <c r="X4" i="153" s="1"/>
  <c r="W672" i="3"/>
  <c r="W4" i="153" s="1"/>
  <c r="V672" i="3"/>
  <c r="V4" i="153" s="1"/>
  <c r="T672" i="3"/>
  <c r="T4" i="153" s="1"/>
  <c r="S672" i="3"/>
  <c r="S4" i="153" s="1"/>
  <c r="Q672" i="3"/>
  <c r="Q4" i="153" s="1"/>
  <c r="P672" i="3"/>
  <c r="P4" i="153" s="1"/>
  <c r="F672" i="3"/>
  <c r="E672" i="3"/>
  <c r="Y671" i="3"/>
  <c r="Y19" i="49" s="1"/>
  <c r="X671" i="3"/>
  <c r="X19" i="49" s="1"/>
  <c r="W671" i="3"/>
  <c r="W19" i="49" s="1"/>
  <c r="V671" i="3"/>
  <c r="V19" i="49" s="1"/>
  <c r="T671" i="3"/>
  <c r="T19" i="49" s="1"/>
  <c r="S671" i="3"/>
  <c r="S19" i="49" s="1"/>
  <c r="Q671" i="3"/>
  <c r="Q19" i="49" s="1"/>
  <c r="P671" i="3"/>
  <c r="P19" i="49" s="1"/>
  <c r="F671" i="3"/>
  <c r="E671" i="3"/>
  <c r="Y670" i="3"/>
  <c r="Y36" i="185" s="1"/>
  <c r="X670" i="3"/>
  <c r="X36" i="185" s="1"/>
  <c r="W670" i="3"/>
  <c r="W36" i="185" s="1"/>
  <c r="V670" i="3"/>
  <c r="V36" i="185" s="1"/>
  <c r="T670" i="3"/>
  <c r="T36" i="185" s="1"/>
  <c r="S670" i="3"/>
  <c r="S36" i="185" s="1"/>
  <c r="Q670" i="3"/>
  <c r="Q36" i="185" s="1"/>
  <c r="P670" i="3"/>
  <c r="P36" i="185" s="1"/>
  <c r="F670" i="3"/>
  <c r="E670" i="3"/>
  <c r="Y669" i="3"/>
  <c r="Y21" i="168" s="1"/>
  <c r="X669" i="3"/>
  <c r="X21" i="168" s="1"/>
  <c r="W669" i="3"/>
  <c r="W21" i="168" s="1"/>
  <c r="V669" i="3"/>
  <c r="V21" i="168" s="1"/>
  <c r="T669" i="3"/>
  <c r="T21" i="168" s="1"/>
  <c r="S669" i="3"/>
  <c r="Q669" i="3"/>
  <c r="Q21" i="168" s="1"/>
  <c r="P669" i="3"/>
  <c r="P21" i="168" s="1"/>
  <c r="F669" i="3"/>
  <c r="E669" i="3"/>
  <c r="Y668" i="3"/>
  <c r="Y34" i="185" s="1"/>
  <c r="X668" i="3"/>
  <c r="X34" i="185" s="1"/>
  <c r="W668" i="3"/>
  <c r="W34" i="185" s="1"/>
  <c r="V668" i="3"/>
  <c r="V34" i="185" s="1"/>
  <c r="T668" i="3"/>
  <c r="T34" i="185" s="1"/>
  <c r="S668" i="3"/>
  <c r="S34" i="185" s="1"/>
  <c r="Q668" i="3"/>
  <c r="Q34" i="185" s="1"/>
  <c r="P668" i="3"/>
  <c r="F668" i="3"/>
  <c r="E668" i="3"/>
  <c r="Y667" i="3"/>
  <c r="Y6" i="78" s="1"/>
  <c r="X667" i="3"/>
  <c r="X6" i="78" s="1"/>
  <c r="W667" i="3"/>
  <c r="W6" i="78" s="1"/>
  <c r="V667" i="3"/>
  <c r="V6" i="78" s="1"/>
  <c r="T667" i="3"/>
  <c r="T6" i="78" s="1"/>
  <c r="S667" i="3"/>
  <c r="S6" i="78" s="1"/>
  <c r="Q667" i="3"/>
  <c r="Q6" i="78" s="1"/>
  <c r="P667" i="3"/>
  <c r="P6" i="78" s="1"/>
  <c r="F667" i="3"/>
  <c r="E667" i="3"/>
  <c r="Y666" i="3"/>
  <c r="Y9" i="39" s="1"/>
  <c r="X666" i="3"/>
  <c r="X9" i="39" s="1"/>
  <c r="W666" i="3"/>
  <c r="W9" i="39" s="1"/>
  <c r="V666" i="3"/>
  <c r="V9" i="39" s="1"/>
  <c r="T666" i="3"/>
  <c r="T9" i="39" s="1"/>
  <c r="S666" i="3"/>
  <c r="Q666" i="3"/>
  <c r="Q9" i="39" s="1"/>
  <c r="P666" i="3"/>
  <c r="P9" i="39" s="1"/>
  <c r="F666" i="3"/>
  <c r="E666" i="3"/>
  <c r="Y665" i="3"/>
  <c r="Y3" i="40" s="1"/>
  <c r="X665" i="3"/>
  <c r="X3" i="40" s="1"/>
  <c r="W665" i="3"/>
  <c r="W3" i="40" s="1"/>
  <c r="V665" i="3"/>
  <c r="V3" i="40" s="1"/>
  <c r="T665" i="3"/>
  <c r="T3" i="40" s="1"/>
  <c r="S665" i="3"/>
  <c r="S3" i="40" s="1"/>
  <c r="Q665" i="3"/>
  <c r="Q3" i="40" s="1"/>
  <c r="P665" i="3"/>
  <c r="F665" i="3"/>
  <c r="E665" i="3"/>
  <c r="Y664" i="3"/>
  <c r="Y16" i="120" s="1"/>
  <c r="X664" i="3"/>
  <c r="X16" i="120" s="1"/>
  <c r="W664" i="3"/>
  <c r="W16" i="120" s="1"/>
  <c r="V664" i="3"/>
  <c r="V16" i="120" s="1"/>
  <c r="T664" i="3"/>
  <c r="T16" i="120" s="1"/>
  <c r="S664" i="3"/>
  <c r="S16" i="120" s="1"/>
  <c r="Q664" i="3"/>
  <c r="Q16" i="120" s="1"/>
  <c r="P664" i="3"/>
  <c r="P16" i="120" s="1"/>
  <c r="F664" i="3"/>
  <c r="E664" i="3"/>
  <c r="Y663" i="3"/>
  <c r="Y20" i="167" s="1"/>
  <c r="X663" i="3"/>
  <c r="X20" i="167" s="1"/>
  <c r="W663" i="3"/>
  <c r="W20" i="167" s="1"/>
  <c r="V663" i="3"/>
  <c r="V20" i="167" s="1"/>
  <c r="T663" i="3"/>
  <c r="T20" i="167" s="1"/>
  <c r="S663" i="3"/>
  <c r="S20" i="167" s="1"/>
  <c r="Q663" i="3"/>
  <c r="Q20" i="167" s="1"/>
  <c r="P663" i="3"/>
  <c r="P20" i="167" s="1"/>
  <c r="F663" i="3"/>
  <c r="E663" i="3"/>
  <c r="Y662" i="3"/>
  <c r="Y8" i="12" s="1"/>
  <c r="X662" i="3"/>
  <c r="X8" i="12" s="1"/>
  <c r="W662" i="3"/>
  <c r="W8" i="12" s="1"/>
  <c r="V662" i="3"/>
  <c r="V8" i="12" s="1"/>
  <c r="T662" i="3"/>
  <c r="T8" i="12" s="1"/>
  <c r="S662" i="3"/>
  <c r="S8" i="12" s="1"/>
  <c r="Q662" i="3"/>
  <c r="Q8" i="12" s="1"/>
  <c r="P662" i="3"/>
  <c r="P8" i="12" s="1"/>
  <c r="F662" i="3"/>
  <c r="E662" i="3"/>
  <c r="Y661" i="3"/>
  <c r="Y20" i="171" s="1"/>
  <c r="X661" i="3"/>
  <c r="X20" i="171" s="1"/>
  <c r="W661" i="3"/>
  <c r="W20" i="171" s="1"/>
  <c r="V661" i="3"/>
  <c r="V20" i="171" s="1"/>
  <c r="T661" i="3"/>
  <c r="T20" i="171" s="1"/>
  <c r="S661" i="3"/>
  <c r="Q661" i="3"/>
  <c r="Q20" i="171" s="1"/>
  <c r="P661" i="3"/>
  <c r="P20" i="171" s="1"/>
  <c r="F661" i="3"/>
  <c r="E661" i="3"/>
  <c r="Y660" i="3"/>
  <c r="Y3" i="71" s="1"/>
  <c r="X660" i="3"/>
  <c r="X3" i="71" s="1"/>
  <c r="W660" i="3"/>
  <c r="W3" i="71" s="1"/>
  <c r="V660" i="3"/>
  <c r="V3" i="71" s="1"/>
  <c r="T660" i="3"/>
  <c r="T3" i="71" s="1"/>
  <c r="S660" i="3"/>
  <c r="S3" i="71" s="1"/>
  <c r="Q660" i="3"/>
  <c r="Q3" i="71" s="1"/>
  <c r="P660" i="3"/>
  <c r="F660" i="3"/>
  <c r="E660" i="3"/>
  <c r="Y659" i="3"/>
  <c r="Y2" i="181" s="1"/>
  <c r="X659" i="3"/>
  <c r="X2" i="181" s="1"/>
  <c r="W659" i="3"/>
  <c r="W2" i="181" s="1"/>
  <c r="V659" i="3"/>
  <c r="V2" i="181" s="1"/>
  <c r="U659" i="3"/>
  <c r="U2" i="181" s="1"/>
  <c r="T659" i="3"/>
  <c r="T2" i="181" s="1"/>
  <c r="S659" i="3"/>
  <c r="S2" i="181" s="1"/>
  <c r="Q659" i="3"/>
  <c r="Q2" i="181" s="1"/>
  <c r="P659" i="3"/>
  <c r="P2" i="181" s="1"/>
  <c r="F659" i="3"/>
  <c r="E659" i="3"/>
  <c r="Y658" i="3"/>
  <c r="Y32" i="185" s="1"/>
  <c r="X658" i="3"/>
  <c r="X32" i="185" s="1"/>
  <c r="W658" i="3"/>
  <c r="W32" i="185" s="1"/>
  <c r="V658" i="3"/>
  <c r="V32" i="185" s="1"/>
  <c r="T658" i="3"/>
  <c r="T32" i="185" s="1"/>
  <c r="S658" i="3"/>
  <c r="Q658" i="3"/>
  <c r="Q32" i="185" s="1"/>
  <c r="P658" i="3"/>
  <c r="P32" i="185" s="1"/>
  <c r="F658" i="3"/>
  <c r="E658" i="3"/>
  <c r="Y657" i="3"/>
  <c r="Y3" i="27" s="1"/>
  <c r="X657" i="3"/>
  <c r="X3" i="27" s="1"/>
  <c r="W657" i="3"/>
  <c r="W3" i="27" s="1"/>
  <c r="V657" i="3"/>
  <c r="V3" i="27" s="1"/>
  <c r="T657" i="3"/>
  <c r="T3" i="27" s="1"/>
  <c r="S657" i="3"/>
  <c r="S3" i="27" s="1"/>
  <c r="Q657" i="3"/>
  <c r="Q3" i="27" s="1"/>
  <c r="P657" i="3"/>
  <c r="F657" i="3"/>
  <c r="E657" i="3"/>
  <c r="Y656" i="3"/>
  <c r="Y3" i="63" s="1"/>
  <c r="X656" i="3"/>
  <c r="X3" i="63" s="1"/>
  <c r="W656" i="3"/>
  <c r="W3" i="63" s="1"/>
  <c r="V656" i="3"/>
  <c r="V3" i="63" s="1"/>
  <c r="T656" i="3"/>
  <c r="T3" i="63" s="1"/>
  <c r="S656" i="3"/>
  <c r="S3" i="63" s="1"/>
  <c r="Q656" i="3"/>
  <c r="Q3" i="63" s="1"/>
  <c r="P656" i="3"/>
  <c r="P3" i="63" s="1"/>
  <c r="F656" i="3"/>
  <c r="E656" i="3"/>
  <c r="Y655" i="3"/>
  <c r="Y52" i="92" s="1"/>
  <c r="X655" i="3"/>
  <c r="X52" i="92" s="1"/>
  <c r="W655" i="3"/>
  <c r="W52" i="92" s="1"/>
  <c r="V655" i="3"/>
  <c r="V52" i="92" s="1"/>
  <c r="T655" i="3"/>
  <c r="T52" i="92" s="1"/>
  <c r="S655" i="3"/>
  <c r="S52" i="92" s="1"/>
  <c r="Q655" i="3"/>
  <c r="Q52" i="92" s="1"/>
  <c r="P655" i="3"/>
  <c r="P52" i="92" s="1"/>
  <c r="F655" i="3"/>
  <c r="E655" i="3"/>
  <c r="Y654" i="3"/>
  <c r="Y2" i="132" s="1"/>
  <c r="X654" i="3"/>
  <c r="X2" i="132" s="1"/>
  <c r="W654" i="3"/>
  <c r="W2" i="132" s="1"/>
  <c r="V654" i="3"/>
  <c r="V2" i="132" s="1"/>
  <c r="T654" i="3"/>
  <c r="T2" i="132" s="1"/>
  <c r="S654" i="3"/>
  <c r="S2" i="132" s="1"/>
  <c r="Q654" i="3"/>
  <c r="Q2" i="132" s="1"/>
  <c r="P654" i="3"/>
  <c r="P2" i="132" s="1"/>
  <c r="F654" i="3"/>
  <c r="E654" i="3"/>
  <c r="Y653" i="3"/>
  <c r="Y9" i="109" s="1"/>
  <c r="X653" i="3"/>
  <c r="X9" i="109" s="1"/>
  <c r="W653" i="3"/>
  <c r="W9" i="109" s="1"/>
  <c r="V653" i="3"/>
  <c r="V9" i="109" s="1"/>
  <c r="T653" i="3"/>
  <c r="T9" i="109" s="1"/>
  <c r="S653" i="3"/>
  <c r="Q653" i="3"/>
  <c r="Q9" i="109" s="1"/>
  <c r="P653" i="3"/>
  <c r="P9" i="109" s="1"/>
  <c r="F653" i="3"/>
  <c r="E653" i="3"/>
  <c r="Y652" i="3"/>
  <c r="Y8" i="39" s="1"/>
  <c r="X652" i="3"/>
  <c r="X8" i="39" s="1"/>
  <c r="W652" i="3"/>
  <c r="W8" i="39" s="1"/>
  <c r="V652" i="3"/>
  <c r="V8" i="39" s="1"/>
  <c r="T652" i="3"/>
  <c r="T8" i="39" s="1"/>
  <c r="S652" i="3"/>
  <c r="S8" i="39" s="1"/>
  <c r="Q652" i="3"/>
  <c r="Q8" i="39" s="1"/>
  <c r="P652" i="3"/>
  <c r="F652" i="3"/>
  <c r="E652" i="3"/>
  <c r="Y651" i="3"/>
  <c r="Y6" i="114" s="1"/>
  <c r="X651" i="3"/>
  <c r="X6" i="114" s="1"/>
  <c r="W651" i="3"/>
  <c r="W6" i="114" s="1"/>
  <c r="V651" i="3"/>
  <c r="V6" i="114" s="1"/>
  <c r="T651" i="3"/>
  <c r="T6" i="114" s="1"/>
  <c r="S651" i="3"/>
  <c r="S6" i="114" s="1"/>
  <c r="Q651" i="3"/>
  <c r="Q6" i="114" s="1"/>
  <c r="P651" i="3"/>
  <c r="P6" i="114" s="1"/>
  <c r="F651" i="3"/>
  <c r="E651" i="3"/>
  <c r="Y650" i="3"/>
  <c r="Y33" i="185" s="1"/>
  <c r="X650" i="3"/>
  <c r="X33" i="185" s="1"/>
  <c r="W650" i="3"/>
  <c r="W33" i="185" s="1"/>
  <c r="V650" i="3"/>
  <c r="V33" i="185" s="1"/>
  <c r="T650" i="3"/>
  <c r="T33" i="185" s="1"/>
  <c r="S650" i="3"/>
  <c r="Q650" i="3"/>
  <c r="Q33" i="185" s="1"/>
  <c r="P650" i="3"/>
  <c r="P33" i="185" s="1"/>
  <c r="F650" i="3"/>
  <c r="E650" i="3"/>
  <c r="Y649" i="3"/>
  <c r="Y14" i="177" s="1"/>
  <c r="X649" i="3"/>
  <c r="X14" i="177" s="1"/>
  <c r="W649" i="3"/>
  <c r="W14" i="177" s="1"/>
  <c r="V649" i="3"/>
  <c r="V14" i="177" s="1"/>
  <c r="U649" i="3"/>
  <c r="U14" i="177" s="1"/>
  <c r="T649" i="3"/>
  <c r="T14" i="177" s="1"/>
  <c r="S649" i="3"/>
  <c r="S14" i="177" s="1"/>
  <c r="Q649" i="3"/>
  <c r="Q14" i="177" s="1"/>
  <c r="P649" i="3"/>
  <c r="F649" i="3"/>
  <c r="E649" i="3"/>
  <c r="Y648" i="3"/>
  <c r="Y7" i="188" s="1"/>
  <c r="X648" i="3"/>
  <c r="X7" i="188" s="1"/>
  <c r="W648" i="3"/>
  <c r="W7" i="188" s="1"/>
  <c r="V648" i="3"/>
  <c r="V7" i="188" s="1"/>
  <c r="T648" i="3"/>
  <c r="T7" i="188" s="1"/>
  <c r="S648" i="3"/>
  <c r="S7" i="188" s="1"/>
  <c r="Q648" i="3"/>
  <c r="Q7" i="188" s="1"/>
  <c r="P648" i="3"/>
  <c r="F648" i="3"/>
  <c r="E648" i="3"/>
  <c r="Y647" i="3"/>
  <c r="Y2" i="127" s="1"/>
  <c r="X647" i="3"/>
  <c r="X2" i="127" s="1"/>
  <c r="W647" i="3"/>
  <c r="W2" i="127" s="1"/>
  <c r="V647" i="3"/>
  <c r="V2" i="127" s="1"/>
  <c r="T647" i="3"/>
  <c r="T2" i="127" s="1"/>
  <c r="S647" i="3"/>
  <c r="S2" i="127" s="1"/>
  <c r="Q647" i="3"/>
  <c r="Q2" i="127" s="1"/>
  <c r="P647" i="3"/>
  <c r="P2" i="127" s="1"/>
  <c r="F647" i="3"/>
  <c r="E647" i="3"/>
  <c r="Y646" i="3"/>
  <c r="Y5" i="124" s="1"/>
  <c r="X646" i="3"/>
  <c r="X5" i="124" s="1"/>
  <c r="W646" i="3"/>
  <c r="W5" i="124" s="1"/>
  <c r="V646" i="3"/>
  <c r="V5" i="124" s="1"/>
  <c r="T646" i="3"/>
  <c r="T5" i="124" s="1"/>
  <c r="S646" i="3"/>
  <c r="S5" i="124" s="1"/>
  <c r="Q646" i="3"/>
  <c r="Q5" i="124" s="1"/>
  <c r="P646" i="3"/>
  <c r="P5" i="124" s="1"/>
  <c r="F646" i="3"/>
  <c r="E646" i="3"/>
  <c r="Y645" i="3"/>
  <c r="Y9" i="169" s="1"/>
  <c r="X645" i="3"/>
  <c r="X9" i="169" s="1"/>
  <c r="W645" i="3"/>
  <c r="W9" i="169" s="1"/>
  <c r="V645" i="3"/>
  <c r="V9" i="169" s="1"/>
  <c r="T645" i="3"/>
  <c r="T9" i="169" s="1"/>
  <c r="S645" i="3"/>
  <c r="Q645" i="3"/>
  <c r="Q9" i="169" s="1"/>
  <c r="P645" i="3"/>
  <c r="P9" i="169" s="1"/>
  <c r="F645" i="3"/>
  <c r="E645" i="3"/>
  <c r="Y644" i="3"/>
  <c r="Y2" i="44" s="1"/>
  <c r="X644" i="3"/>
  <c r="X2" i="44" s="1"/>
  <c r="W644" i="3"/>
  <c r="W2" i="44" s="1"/>
  <c r="V644" i="3"/>
  <c r="V2" i="44" s="1"/>
  <c r="T644" i="3"/>
  <c r="T2" i="44" s="1"/>
  <c r="S644" i="3"/>
  <c r="S2" i="44" s="1"/>
  <c r="Q644" i="3"/>
  <c r="Q2" i="44" s="1"/>
  <c r="P644" i="3"/>
  <c r="F644" i="3"/>
  <c r="E644" i="3"/>
  <c r="Y643" i="3"/>
  <c r="Y8" i="129" s="1"/>
  <c r="X643" i="3"/>
  <c r="X8" i="129" s="1"/>
  <c r="W643" i="3"/>
  <c r="W8" i="129" s="1"/>
  <c r="V643" i="3"/>
  <c r="V8" i="129" s="1"/>
  <c r="T643" i="3"/>
  <c r="T8" i="129" s="1"/>
  <c r="S643" i="3"/>
  <c r="S8" i="129" s="1"/>
  <c r="Q643" i="3"/>
  <c r="Q8" i="129" s="1"/>
  <c r="P643" i="3"/>
  <c r="P8" i="129" s="1"/>
  <c r="F643" i="3"/>
  <c r="E643" i="3"/>
  <c r="Y642" i="3"/>
  <c r="Y7" i="76" s="1"/>
  <c r="X642" i="3"/>
  <c r="X7" i="76" s="1"/>
  <c r="W642" i="3"/>
  <c r="W7" i="76" s="1"/>
  <c r="V642" i="3"/>
  <c r="V7" i="76" s="1"/>
  <c r="T642" i="3"/>
  <c r="T7" i="76" s="1"/>
  <c r="S642" i="3"/>
  <c r="Q642" i="3"/>
  <c r="Q7" i="76" s="1"/>
  <c r="P642" i="3"/>
  <c r="P7" i="76" s="1"/>
  <c r="F642" i="3"/>
  <c r="E642" i="3"/>
  <c r="Y641" i="3"/>
  <c r="Y2" i="65" s="1"/>
  <c r="X641" i="3"/>
  <c r="X2" i="65" s="1"/>
  <c r="W641" i="3"/>
  <c r="W2" i="65" s="1"/>
  <c r="V641" i="3"/>
  <c r="V2" i="65" s="1"/>
  <c r="T641" i="3"/>
  <c r="T2" i="65" s="1"/>
  <c r="S641" i="3"/>
  <c r="S2" i="65" s="1"/>
  <c r="Q641" i="3"/>
  <c r="Q2" i="65" s="1"/>
  <c r="P641" i="3"/>
  <c r="F641" i="3"/>
  <c r="E641" i="3"/>
  <c r="Y640" i="3"/>
  <c r="Y50" i="92" s="1"/>
  <c r="X640" i="3"/>
  <c r="X50" i="92" s="1"/>
  <c r="W640" i="3"/>
  <c r="W50" i="92" s="1"/>
  <c r="V640" i="3"/>
  <c r="V50" i="92" s="1"/>
  <c r="T640" i="3"/>
  <c r="T50" i="92" s="1"/>
  <c r="S640" i="3"/>
  <c r="S50" i="92" s="1"/>
  <c r="Q640" i="3"/>
  <c r="Q50" i="92" s="1"/>
  <c r="P640" i="3"/>
  <c r="P50" i="92" s="1"/>
  <c r="F640" i="3"/>
  <c r="E640" i="3"/>
  <c r="Y639" i="3"/>
  <c r="Y4" i="98" s="1"/>
  <c r="X639" i="3"/>
  <c r="X4" i="98" s="1"/>
  <c r="W639" i="3"/>
  <c r="W4" i="98" s="1"/>
  <c r="V639" i="3"/>
  <c r="V4" i="98" s="1"/>
  <c r="T639" i="3"/>
  <c r="T4" i="98" s="1"/>
  <c r="S639" i="3"/>
  <c r="S4" i="98" s="1"/>
  <c r="Q639" i="3"/>
  <c r="Q4" i="98" s="1"/>
  <c r="P639" i="3"/>
  <c r="P4" i="98" s="1"/>
  <c r="F639" i="3"/>
  <c r="E639" i="3"/>
  <c r="Y638" i="3"/>
  <c r="Y18" i="196" s="1"/>
  <c r="X638" i="3"/>
  <c r="X18" i="196" s="1"/>
  <c r="W638" i="3"/>
  <c r="W18" i="196" s="1"/>
  <c r="V638" i="3"/>
  <c r="V18" i="196" s="1"/>
  <c r="T638" i="3"/>
  <c r="T18" i="196" s="1"/>
  <c r="S638" i="3"/>
  <c r="S18" i="196" s="1"/>
  <c r="Q638" i="3"/>
  <c r="Q18" i="196" s="1"/>
  <c r="P638" i="3"/>
  <c r="P18" i="196" s="1"/>
  <c r="F638" i="3"/>
  <c r="E638" i="3"/>
  <c r="Y637" i="3"/>
  <c r="Y16" i="193" s="1"/>
  <c r="X637" i="3"/>
  <c r="X16" i="193" s="1"/>
  <c r="W637" i="3"/>
  <c r="W16" i="193" s="1"/>
  <c r="V637" i="3"/>
  <c r="V16" i="193" s="1"/>
  <c r="T637" i="3"/>
  <c r="T16" i="193" s="1"/>
  <c r="S637" i="3"/>
  <c r="Q637" i="3"/>
  <c r="Q16" i="193" s="1"/>
  <c r="P637" i="3"/>
  <c r="P16" i="193" s="1"/>
  <c r="F637" i="3"/>
  <c r="E637" i="3"/>
  <c r="Y636" i="3"/>
  <c r="Y6" i="48" s="1"/>
  <c r="X636" i="3"/>
  <c r="X6" i="48" s="1"/>
  <c r="W636" i="3"/>
  <c r="W6" i="48" s="1"/>
  <c r="V636" i="3"/>
  <c r="V6" i="48" s="1"/>
  <c r="T636" i="3"/>
  <c r="T6" i="48" s="1"/>
  <c r="S636" i="3"/>
  <c r="S6" i="48" s="1"/>
  <c r="Q636" i="3"/>
  <c r="Q6" i="48" s="1"/>
  <c r="P636" i="3"/>
  <c r="F636" i="3"/>
  <c r="E636" i="3"/>
  <c r="Y635" i="3"/>
  <c r="Y6" i="134" s="1"/>
  <c r="X635" i="3"/>
  <c r="X6" i="134" s="1"/>
  <c r="W635" i="3"/>
  <c r="W6" i="134" s="1"/>
  <c r="V635" i="3"/>
  <c r="V6" i="134" s="1"/>
  <c r="T635" i="3"/>
  <c r="T6" i="134" s="1"/>
  <c r="S635" i="3"/>
  <c r="S6" i="134" s="1"/>
  <c r="Q635" i="3"/>
  <c r="Q6" i="134" s="1"/>
  <c r="P635" i="3"/>
  <c r="P6" i="134" s="1"/>
  <c r="F635" i="3"/>
  <c r="E635" i="3"/>
  <c r="Y634" i="3"/>
  <c r="Y19" i="123" s="1"/>
  <c r="X634" i="3"/>
  <c r="X19" i="123" s="1"/>
  <c r="W634" i="3"/>
  <c r="W19" i="123" s="1"/>
  <c r="V634" i="3"/>
  <c r="V19" i="123" s="1"/>
  <c r="T634" i="3"/>
  <c r="T19" i="123" s="1"/>
  <c r="S634" i="3"/>
  <c r="Q634" i="3"/>
  <c r="Q19" i="123" s="1"/>
  <c r="P634" i="3"/>
  <c r="P19" i="123" s="1"/>
  <c r="F634" i="3"/>
  <c r="E634" i="3"/>
  <c r="Y633" i="3"/>
  <c r="Y21" i="196" s="1"/>
  <c r="X633" i="3"/>
  <c r="X21" i="196" s="1"/>
  <c r="W633" i="3"/>
  <c r="W21" i="196" s="1"/>
  <c r="V633" i="3"/>
  <c r="V21" i="196" s="1"/>
  <c r="T633" i="3"/>
  <c r="T21" i="196" s="1"/>
  <c r="S633" i="3"/>
  <c r="S21" i="196" s="1"/>
  <c r="Q633" i="3"/>
  <c r="Q21" i="196" s="1"/>
  <c r="P633" i="3"/>
  <c r="F633" i="3"/>
  <c r="E633" i="3"/>
  <c r="Y632" i="3"/>
  <c r="Y51" i="92" s="1"/>
  <c r="X632" i="3"/>
  <c r="X51" i="92" s="1"/>
  <c r="W632" i="3"/>
  <c r="W51" i="92" s="1"/>
  <c r="V632" i="3"/>
  <c r="V51" i="92" s="1"/>
  <c r="T632" i="3"/>
  <c r="T51" i="92" s="1"/>
  <c r="S632" i="3"/>
  <c r="S51" i="92" s="1"/>
  <c r="Q632" i="3"/>
  <c r="Q51" i="92" s="1"/>
  <c r="P632" i="3"/>
  <c r="P51" i="92" s="1"/>
  <c r="F632" i="3"/>
  <c r="E632" i="3"/>
  <c r="Y631" i="3"/>
  <c r="Y4" i="86" s="1"/>
  <c r="X631" i="3"/>
  <c r="X4" i="86" s="1"/>
  <c r="W631" i="3"/>
  <c r="W4" i="86" s="1"/>
  <c r="V631" i="3"/>
  <c r="V4" i="86" s="1"/>
  <c r="T631" i="3"/>
  <c r="T4" i="86" s="1"/>
  <c r="S631" i="3"/>
  <c r="S4" i="86" s="1"/>
  <c r="Q631" i="3"/>
  <c r="Q4" i="86" s="1"/>
  <c r="P631" i="3"/>
  <c r="P4" i="86" s="1"/>
  <c r="F631" i="3"/>
  <c r="E631" i="3"/>
  <c r="Y630" i="3"/>
  <c r="Y17" i="196" s="1"/>
  <c r="X630" i="3"/>
  <c r="X17" i="196" s="1"/>
  <c r="W630" i="3"/>
  <c r="W17" i="196" s="1"/>
  <c r="V630" i="3"/>
  <c r="V17" i="196" s="1"/>
  <c r="T630" i="3"/>
  <c r="T17" i="196" s="1"/>
  <c r="S630" i="3"/>
  <c r="S17" i="196" s="1"/>
  <c r="Q630" i="3"/>
  <c r="Q17" i="196" s="1"/>
  <c r="P630" i="3"/>
  <c r="P17" i="196" s="1"/>
  <c r="F630" i="3"/>
  <c r="E630" i="3"/>
  <c r="Y629" i="3"/>
  <c r="Y12" i="177" s="1"/>
  <c r="X629" i="3"/>
  <c r="X12" i="177" s="1"/>
  <c r="W629" i="3"/>
  <c r="W12" i="177" s="1"/>
  <c r="V629" i="3"/>
  <c r="V12" i="177" s="1"/>
  <c r="T629" i="3"/>
  <c r="T12" i="177" s="1"/>
  <c r="S629" i="3"/>
  <c r="Q629" i="3"/>
  <c r="Q12" i="177" s="1"/>
  <c r="P629" i="3"/>
  <c r="P12" i="177" s="1"/>
  <c r="F629" i="3"/>
  <c r="E629" i="3"/>
  <c r="Y628" i="3"/>
  <c r="Y18" i="171" s="1"/>
  <c r="X628" i="3"/>
  <c r="X18" i="171" s="1"/>
  <c r="W628" i="3"/>
  <c r="W18" i="171" s="1"/>
  <c r="V628" i="3"/>
  <c r="V18" i="171" s="1"/>
  <c r="T628" i="3"/>
  <c r="T18" i="171" s="1"/>
  <c r="S628" i="3"/>
  <c r="S18" i="171" s="1"/>
  <c r="Q628" i="3"/>
  <c r="Q18" i="171" s="1"/>
  <c r="P628" i="3"/>
  <c r="F628" i="3"/>
  <c r="E628" i="3"/>
  <c r="Y627" i="3"/>
  <c r="Y5" i="172" s="1"/>
  <c r="X627" i="3"/>
  <c r="X5" i="172" s="1"/>
  <c r="W627" i="3"/>
  <c r="W5" i="172" s="1"/>
  <c r="V627" i="3"/>
  <c r="V5" i="172" s="1"/>
  <c r="T627" i="3"/>
  <c r="T5" i="172" s="1"/>
  <c r="S627" i="3"/>
  <c r="S5" i="172" s="1"/>
  <c r="Q627" i="3"/>
  <c r="Q5" i="172" s="1"/>
  <c r="P627" i="3"/>
  <c r="P5" i="172" s="1"/>
  <c r="F627" i="3"/>
  <c r="E627" i="3"/>
  <c r="Y626" i="3"/>
  <c r="Y7" i="139" s="1"/>
  <c r="X626" i="3"/>
  <c r="X7" i="139" s="1"/>
  <c r="W626" i="3"/>
  <c r="W7" i="139" s="1"/>
  <c r="V626" i="3"/>
  <c r="V7" i="139" s="1"/>
  <c r="T626" i="3"/>
  <c r="T7" i="139" s="1"/>
  <c r="S626" i="3"/>
  <c r="Q626" i="3"/>
  <c r="Q7" i="139" s="1"/>
  <c r="P626" i="3"/>
  <c r="P7" i="139" s="1"/>
  <c r="F626" i="3"/>
  <c r="E626" i="3"/>
  <c r="Y625" i="3"/>
  <c r="Y16" i="49" s="1"/>
  <c r="X625" i="3"/>
  <c r="X16" i="49" s="1"/>
  <c r="W625" i="3"/>
  <c r="W16" i="49" s="1"/>
  <c r="V625" i="3"/>
  <c r="V16" i="49" s="1"/>
  <c r="U625" i="3"/>
  <c r="U16" i="49" s="1"/>
  <c r="T625" i="3"/>
  <c r="T16" i="49" s="1"/>
  <c r="S625" i="3"/>
  <c r="S16" i="49" s="1"/>
  <c r="Q625" i="3"/>
  <c r="Q16" i="49" s="1"/>
  <c r="P625" i="3"/>
  <c r="F625" i="3"/>
  <c r="E625" i="3"/>
  <c r="Y624" i="3"/>
  <c r="Y15" i="120" s="1"/>
  <c r="X624" i="3"/>
  <c r="X15" i="120" s="1"/>
  <c r="W624" i="3"/>
  <c r="W15" i="120" s="1"/>
  <c r="V624" i="3"/>
  <c r="V15" i="120" s="1"/>
  <c r="T624" i="3"/>
  <c r="T15" i="120" s="1"/>
  <c r="S624" i="3"/>
  <c r="S15" i="120" s="1"/>
  <c r="Q624" i="3"/>
  <c r="Q15" i="120" s="1"/>
  <c r="P624" i="3"/>
  <c r="P15" i="120" s="1"/>
  <c r="F624" i="3"/>
  <c r="E624" i="3"/>
  <c r="Y623" i="3"/>
  <c r="Y16" i="56" s="1"/>
  <c r="X623" i="3"/>
  <c r="X16" i="56" s="1"/>
  <c r="W623" i="3"/>
  <c r="W16" i="56" s="1"/>
  <c r="V623" i="3"/>
  <c r="V16" i="56" s="1"/>
  <c r="T623" i="3"/>
  <c r="T16" i="56" s="1"/>
  <c r="S623" i="3"/>
  <c r="S16" i="56" s="1"/>
  <c r="Q623" i="3"/>
  <c r="Q16" i="56" s="1"/>
  <c r="P623" i="3"/>
  <c r="P16" i="56" s="1"/>
  <c r="F623" i="3"/>
  <c r="E623" i="3"/>
  <c r="Y622" i="3"/>
  <c r="Y17" i="167" s="1"/>
  <c r="X622" i="3"/>
  <c r="X17" i="167" s="1"/>
  <c r="W622" i="3"/>
  <c r="W17" i="167" s="1"/>
  <c r="V622" i="3"/>
  <c r="V17" i="167" s="1"/>
  <c r="T622" i="3"/>
  <c r="T17" i="167" s="1"/>
  <c r="S622" i="3"/>
  <c r="S17" i="167" s="1"/>
  <c r="Q622" i="3"/>
  <c r="Q17" i="167" s="1"/>
  <c r="P622" i="3"/>
  <c r="P17" i="167" s="1"/>
  <c r="F622" i="3"/>
  <c r="E622" i="3"/>
  <c r="Y621" i="3"/>
  <c r="Y10" i="80" s="1"/>
  <c r="X621" i="3"/>
  <c r="X10" i="80" s="1"/>
  <c r="W621" i="3"/>
  <c r="W10" i="80" s="1"/>
  <c r="V621" i="3"/>
  <c r="V10" i="80" s="1"/>
  <c r="T621" i="3"/>
  <c r="T10" i="80" s="1"/>
  <c r="S621" i="3"/>
  <c r="Q621" i="3"/>
  <c r="Q10" i="80" s="1"/>
  <c r="P621" i="3"/>
  <c r="P10" i="80" s="1"/>
  <c r="F621" i="3"/>
  <c r="E621" i="3"/>
  <c r="Y620" i="3"/>
  <c r="Y49" i="92" s="1"/>
  <c r="X620" i="3"/>
  <c r="X49" i="92" s="1"/>
  <c r="W620" i="3"/>
  <c r="W49" i="92" s="1"/>
  <c r="V620" i="3"/>
  <c r="V49" i="92" s="1"/>
  <c r="T620" i="3"/>
  <c r="T49" i="92" s="1"/>
  <c r="S620" i="3"/>
  <c r="S49" i="92" s="1"/>
  <c r="Q620" i="3"/>
  <c r="Q49" i="92" s="1"/>
  <c r="P620" i="3"/>
  <c r="F620" i="3"/>
  <c r="E620" i="3"/>
  <c r="Y619" i="3"/>
  <c r="Y6" i="139" s="1"/>
  <c r="X619" i="3"/>
  <c r="X6" i="139" s="1"/>
  <c r="W619" i="3"/>
  <c r="W6" i="139" s="1"/>
  <c r="V619" i="3"/>
  <c r="V6" i="139" s="1"/>
  <c r="T619" i="3"/>
  <c r="T6" i="139" s="1"/>
  <c r="S619" i="3"/>
  <c r="S6" i="139" s="1"/>
  <c r="Q619" i="3"/>
  <c r="Q6" i="139" s="1"/>
  <c r="P619" i="3"/>
  <c r="P6" i="139" s="1"/>
  <c r="F619" i="3"/>
  <c r="E619" i="3"/>
  <c r="Y618" i="3"/>
  <c r="Y2" i="149" s="1"/>
  <c r="X618" i="3"/>
  <c r="X2" i="149" s="1"/>
  <c r="W618" i="3"/>
  <c r="W2" i="149" s="1"/>
  <c r="V618" i="3"/>
  <c r="V2" i="149" s="1"/>
  <c r="T618" i="3"/>
  <c r="T2" i="149" s="1"/>
  <c r="S618" i="3"/>
  <c r="Q618" i="3"/>
  <c r="Q2" i="149" s="1"/>
  <c r="P618" i="3"/>
  <c r="P2" i="149" s="1"/>
  <c r="F618" i="3"/>
  <c r="E618" i="3"/>
  <c r="Y617" i="3"/>
  <c r="Y20" i="38" s="1"/>
  <c r="X617" i="3"/>
  <c r="X20" i="38" s="1"/>
  <c r="W617" i="3"/>
  <c r="W20" i="38" s="1"/>
  <c r="V617" i="3"/>
  <c r="V20" i="38" s="1"/>
  <c r="T617" i="3"/>
  <c r="T20" i="38" s="1"/>
  <c r="S617" i="3"/>
  <c r="S20" i="38" s="1"/>
  <c r="Q617" i="3"/>
  <c r="Q20" i="38" s="1"/>
  <c r="P617" i="3"/>
  <c r="F617" i="3"/>
  <c r="E617" i="3"/>
  <c r="Y616" i="3"/>
  <c r="Y2" i="73" s="1"/>
  <c r="X616" i="3"/>
  <c r="X2" i="73" s="1"/>
  <c r="W616" i="3"/>
  <c r="W2" i="73" s="1"/>
  <c r="V616" i="3"/>
  <c r="V2" i="73" s="1"/>
  <c r="T616" i="3"/>
  <c r="T2" i="73" s="1"/>
  <c r="S616" i="3"/>
  <c r="S2" i="73" s="1"/>
  <c r="Q616" i="3"/>
  <c r="Q2" i="73" s="1"/>
  <c r="P616" i="3"/>
  <c r="P2" i="73" s="1"/>
  <c r="F616" i="3"/>
  <c r="E616" i="3"/>
  <c r="Y615" i="3"/>
  <c r="Y16" i="38" s="1"/>
  <c r="X615" i="3"/>
  <c r="X16" i="38" s="1"/>
  <c r="W615" i="3"/>
  <c r="W16" i="38" s="1"/>
  <c r="V615" i="3"/>
  <c r="V16" i="38" s="1"/>
  <c r="T615" i="3"/>
  <c r="T16" i="38" s="1"/>
  <c r="S615" i="3"/>
  <c r="S16" i="38" s="1"/>
  <c r="Q615" i="3"/>
  <c r="Q16" i="38" s="1"/>
  <c r="P615" i="3"/>
  <c r="P16" i="38" s="1"/>
  <c r="F615" i="3"/>
  <c r="E615" i="3"/>
  <c r="Y614" i="3"/>
  <c r="Y3" i="161" s="1"/>
  <c r="X614" i="3"/>
  <c r="X3" i="161" s="1"/>
  <c r="W614" i="3"/>
  <c r="W3" i="161" s="1"/>
  <c r="V614" i="3"/>
  <c r="V3" i="161" s="1"/>
  <c r="T614" i="3"/>
  <c r="T3" i="161" s="1"/>
  <c r="S614" i="3"/>
  <c r="S3" i="161" s="1"/>
  <c r="Q614" i="3"/>
  <c r="Q3" i="161" s="1"/>
  <c r="P614" i="3"/>
  <c r="P3" i="161" s="1"/>
  <c r="F614" i="3"/>
  <c r="E614" i="3"/>
  <c r="Y613" i="3"/>
  <c r="Y3" i="98" s="1"/>
  <c r="X613" i="3"/>
  <c r="X3" i="98" s="1"/>
  <c r="W613" i="3"/>
  <c r="W3" i="98" s="1"/>
  <c r="V613" i="3"/>
  <c r="V3" i="98" s="1"/>
  <c r="T613" i="3"/>
  <c r="T3" i="98" s="1"/>
  <c r="S613" i="3"/>
  <c r="Q613" i="3"/>
  <c r="Q3" i="98" s="1"/>
  <c r="P613" i="3"/>
  <c r="P3" i="98" s="1"/>
  <c r="F613" i="3"/>
  <c r="E613" i="3"/>
  <c r="Y612" i="3"/>
  <c r="Y6" i="76" s="1"/>
  <c r="X612" i="3"/>
  <c r="X6" i="76" s="1"/>
  <c r="W612" i="3"/>
  <c r="W6" i="76" s="1"/>
  <c r="V612" i="3"/>
  <c r="V6" i="76" s="1"/>
  <c r="T612" i="3"/>
  <c r="T6" i="76" s="1"/>
  <c r="S612" i="3"/>
  <c r="S6" i="76" s="1"/>
  <c r="Q612" i="3"/>
  <c r="Q6" i="76" s="1"/>
  <c r="P612" i="3"/>
  <c r="F612" i="3"/>
  <c r="E612" i="3"/>
  <c r="Y611" i="3"/>
  <c r="Y19" i="38" s="1"/>
  <c r="X611" i="3"/>
  <c r="X19" i="38" s="1"/>
  <c r="W611" i="3"/>
  <c r="W19" i="38" s="1"/>
  <c r="V611" i="3"/>
  <c r="V19" i="38" s="1"/>
  <c r="T611" i="3"/>
  <c r="T19" i="38" s="1"/>
  <c r="S611" i="3"/>
  <c r="S19" i="38" s="1"/>
  <c r="Q611" i="3"/>
  <c r="Q19" i="38" s="1"/>
  <c r="P611" i="3"/>
  <c r="P19" i="38" s="1"/>
  <c r="F611" i="3"/>
  <c r="E611" i="3"/>
  <c r="Y610" i="3"/>
  <c r="Y16" i="196" s="1"/>
  <c r="X610" i="3"/>
  <c r="X16" i="196" s="1"/>
  <c r="W610" i="3"/>
  <c r="W16" i="196" s="1"/>
  <c r="V610" i="3"/>
  <c r="V16" i="196" s="1"/>
  <c r="T610" i="3"/>
  <c r="T16" i="196" s="1"/>
  <c r="S610" i="3"/>
  <c r="Q610" i="3"/>
  <c r="Q16" i="196" s="1"/>
  <c r="P610" i="3"/>
  <c r="P16" i="196" s="1"/>
  <c r="F610" i="3"/>
  <c r="E610" i="3"/>
  <c r="Y609" i="3"/>
  <c r="Y2" i="140" s="1"/>
  <c r="X609" i="3"/>
  <c r="X2" i="140" s="1"/>
  <c r="W609" i="3"/>
  <c r="W2" i="140" s="1"/>
  <c r="V609" i="3"/>
  <c r="V2" i="140" s="1"/>
  <c r="T609" i="3"/>
  <c r="T2" i="140" s="1"/>
  <c r="S609" i="3"/>
  <c r="S2" i="140" s="1"/>
  <c r="Q609" i="3"/>
  <c r="Q2" i="140" s="1"/>
  <c r="P609" i="3"/>
  <c r="F609" i="3"/>
  <c r="E609" i="3"/>
  <c r="Y608" i="3"/>
  <c r="Y19" i="167" s="1"/>
  <c r="X608" i="3"/>
  <c r="X19" i="167" s="1"/>
  <c r="W608" i="3"/>
  <c r="W19" i="167" s="1"/>
  <c r="V608" i="3"/>
  <c r="V19" i="167" s="1"/>
  <c r="U608" i="3"/>
  <c r="U19" i="167" s="1"/>
  <c r="T608" i="3"/>
  <c r="T19" i="167" s="1"/>
  <c r="S608" i="3"/>
  <c r="S19" i="167" s="1"/>
  <c r="Q608" i="3"/>
  <c r="Q19" i="167" s="1"/>
  <c r="P608" i="3"/>
  <c r="P19" i="167" s="1"/>
  <c r="F608" i="3"/>
  <c r="E608" i="3"/>
  <c r="Y607" i="3"/>
  <c r="Y4" i="131" s="1"/>
  <c r="X607" i="3"/>
  <c r="X4" i="131" s="1"/>
  <c r="W607" i="3"/>
  <c r="W4" i="131" s="1"/>
  <c r="V607" i="3"/>
  <c r="V4" i="131" s="1"/>
  <c r="T607" i="3"/>
  <c r="T4" i="131" s="1"/>
  <c r="S607" i="3"/>
  <c r="S4" i="131" s="1"/>
  <c r="Q607" i="3"/>
  <c r="Q4" i="131" s="1"/>
  <c r="P607" i="3"/>
  <c r="P4" i="131" s="1"/>
  <c r="F607" i="3"/>
  <c r="E607" i="3"/>
  <c r="Y606" i="3"/>
  <c r="Y4" i="198" s="1"/>
  <c r="X606" i="3"/>
  <c r="X4" i="198" s="1"/>
  <c r="W606" i="3"/>
  <c r="W4" i="198" s="1"/>
  <c r="V606" i="3"/>
  <c r="V4" i="198" s="1"/>
  <c r="T606" i="3"/>
  <c r="T4" i="198" s="1"/>
  <c r="S606" i="3"/>
  <c r="S4" i="198" s="1"/>
  <c r="Q606" i="3"/>
  <c r="Q4" i="198" s="1"/>
  <c r="P606" i="3"/>
  <c r="P4" i="198" s="1"/>
  <c r="F606" i="3"/>
  <c r="E606" i="3"/>
  <c r="Y605" i="3"/>
  <c r="Y10" i="122" s="1"/>
  <c r="X605" i="3"/>
  <c r="X10" i="122" s="1"/>
  <c r="W605" i="3"/>
  <c r="W10" i="122" s="1"/>
  <c r="V605" i="3"/>
  <c r="V10" i="122" s="1"/>
  <c r="T605" i="3"/>
  <c r="T10" i="122" s="1"/>
  <c r="S605" i="3"/>
  <c r="Q605" i="3"/>
  <c r="Q10" i="122" s="1"/>
  <c r="P605" i="3"/>
  <c r="P10" i="122" s="1"/>
  <c r="F605" i="3"/>
  <c r="E605" i="3"/>
  <c r="Y604" i="3"/>
  <c r="Y8" i="110" s="1"/>
  <c r="X604" i="3"/>
  <c r="X8" i="110" s="1"/>
  <c r="W604" i="3"/>
  <c r="W8" i="110" s="1"/>
  <c r="V604" i="3"/>
  <c r="V8" i="110" s="1"/>
  <c r="T604" i="3"/>
  <c r="T8" i="110" s="1"/>
  <c r="S604" i="3"/>
  <c r="S8" i="110" s="1"/>
  <c r="Q604" i="3"/>
  <c r="Q8" i="110" s="1"/>
  <c r="P604" i="3"/>
  <c r="F604" i="3"/>
  <c r="E604" i="3"/>
  <c r="Y603" i="3"/>
  <c r="Y7" i="39" s="1"/>
  <c r="X603" i="3"/>
  <c r="X7" i="39" s="1"/>
  <c r="W603" i="3"/>
  <c r="W7" i="39" s="1"/>
  <c r="V603" i="3"/>
  <c r="V7" i="39" s="1"/>
  <c r="T603" i="3"/>
  <c r="T7" i="39" s="1"/>
  <c r="S603" i="3"/>
  <c r="S7" i="39" s="1"/>
  <c r="Q603" i="3"/>
  <c r="Q7" i="39" s="1"/>
  <c r="P603" i="3"/>
  <c r="P7" i="39" s="1"/>
  <c r="F603" i="3"/>
  <c r="E603" i="3"/>
  <c r="Y602" i="3"/>
  <c r="Y20" i="168" s="1"/>
  <c r="X602" i="3"/>
  <c r="X20" i="168" s="1"/>
  <c r="W602" i="3"/>
  <c r="W20" i="168" s="1"/>
  <c r="V602" i="3"/>
  <c r="V20" i="168" s="1"/>
  <c r="T602" i="3"/>
  <c r="T20" i="168" s="1"/>
  <c r="S602" i="3"/>
  <c r="R602" i="3"/>
  <c r="R20" i="168" s="1"/>
  <c r="Q602" i="3"/>
  <c r="Q20" i="168" s="1"/>
  <c r="P602" i="3"/>
  <c r="P20" i="168" s="1"/>
  <c r="F602" i="3"/>
  <c r="E602" i="3"/>
  <c r="Y601" i="3"/>
  <c r="Y10" i="113" s="1"/>
  <c r="X601" i="3"/>
  <c r="X10" i="113" s="1"/>
  <c r="W601" i="3"/>
  <c r="W10" i="113" s="1"/>
  <c r="V601" i="3"/>
  <c r="V10" i="113" s="1"/>
  <c r="T601" i="3"/>
  <c r="T10" i="113" s="1"/>
  <c r="S601" i="3"/>
  <c r="S10" i="113" s="1"/>
  <c r="Q601" i="3"/>
  <c r="Q10" i="113" s="1"/>
  <c r="P601" i="3"/>
  <c r="F601" i="3"/>
  <c r="E601" i="3"/>
  <c r="Y600" i="3"/>
  <c r="Y4" i="85" s="1"/>
  <c r="X600" i="3"/>
  <c r="X4" i="85" s="1"/>
  <c r="W600" i="3"/>
  <c r="W4" i="85" s="1"/>
  <c r="V600" i="3"/>
  <c r="V4" i="85" s="1"/>
  <c r="T600" i="3"/>
  <c r="T4" i="85" s="1"/>
  <c r="S600" i="3"/>
  <c r="S4" i="85" s="1"/>
  <c r="Q600" i="3"/>
  <c r="Q4" i="85" s="1"/>
  <c r="P600" i="3"/>
  <c r="P4" i="85" s="1"/>
  <c r="F600" i="3"/>
  <c r="E600" i="3"/>
  <c r="Y599" i="3"/>
  <c r="Y14" i="56" s="1"/>
  <c r="X599" i="3"/>
  <c r="X14" i="56" s="1"/>
  <c r="W599" i="3"/>
  <c r="W14" i="56" s="1"/>
  <c r="V599" i="3"/>
  <c r="V14" i="56" s="1"/>
  <c r="T599" i="3"/>
  <c r="T14" i="56" s="1"/>
  <c r="S599" i="3"/>
  <c r="S14" i="56" s="1"/>
  <c r="Q599" i="3"/>
  <c r="Q14" i="56" s="1"/>
  <c r="P599" i="3"/>
  <c r="P14" i="56" s="1"/>
  <c r="F599" i="3"/>
  <c r="E599" i="3"/>
  <c r="Y598" i="3"/>
  <c r="Y5" i="129" s="1"/>
  <c r="X598" i="3"/>
  <c r="X5" i="129" s="1"/>
  <c r="W598" i="3"/>
  <c r="W5" i="129" s="1"/>
  <c r="V598" i="3"/>
  <c r="V5" i="129" s="1"/>
  <c r="T598" i="3"/>
  <c r="T5" i="129" s="1"/>
  <c r="S598" i="3"/>
  <c r="S5" i="129" s="1"/>
  <c r="Q598" i="3"/>
  <c r="Q5" i="129" s="1"/>
  <c r="P598" i="3"/>
  <c r="P5" i="129" s="1"/>
  <c r="F598" i="3"/>
  <c r="E598" i="3"/>
  <c r="Y597" i="3"/>
  <c r="Y31" i="185" s="1"/>
  <c r="X597" i="3"/>
  <c r="X31" i="185" s="1"/>
  <c r="W597" i="3"/>
  <c r="W31" i="185" s="1"/>
  <c r="V597" i="3"/>
  <c r="V31" i="185" s="1"/>
  <c r="T597" i="3"/>
  <c r="T31" i="185" s="1"/>
  <c r="S597" i="3"/>
  <c r="Q597" i="3"/>
  <c r="Q31" i="185" s="1"/>
  <c r="P597" i="3"/>
  <c r="P31" i="185" s="1"/>
  <c r="F597" i="3"/>
  <c r="E597" i="3"/>
  <c r="Y596" i="3"/>
  <c r="Y15" i="193" s="1"/>
  <c r="X596" i="3"/>
  <c r="X15" i="193" s="1"/>
  <c r="W596" i="3"/>
  <c r="W15" i="193" s="1"/>
  <c r="V596" i="3"/>
  <c r="V15" i="193" s="1"/>
  <c r="T596" i="3"/>
  <c r="T15" i="193" s="1"/>
  <c r="S596" i="3"/>
  <c r="S15" i="193" s="1"/>
  <c r="Q596" i="3"/>
  <c r="Q15" i="193" s="1"/>
  <c r="P596" i="3"/>
  <c r="F596" i="3"/>
  <c r="E596" i="3"/>
  <c r="Y595" i="3"/>
  <c r="Y8" i="80" s="1"/>
  <c r="X595" i="3"/>
  <c r="X8" i="80" s="1"/>
  <c r="W595" i="3"/>
  <c r="W8" i="80" s="1"/>
  <c r="V595" i="3"/>
  <c r="V8" i="80" s="1"/>
  <c r="T595" i="3"/>
  <c r="T8" i="80" s="1"/>
  <c r="S595" i="3"/>
  <c r="S8" i="80" s="1"/>
  <c r="Q595" i="3"/>
  <c r="Q8" i="80" s="1"/>
  <c r="P595" i="3"/>
  <c r="P8" i="80" s="1"/>
  <c r="F595" i="3"/>
  <c r="E595" i="3"/>
  <c r="Y594" i="3"/>
  <c r="Y18" i="123" s="1"/>
  <c r="X594" i="3"/>
  <c r="X18" i="123" s="1"/>
  <c r="W594" i="3"/>
  <c r="W18" i="123" s="1"/>
  <c r="V594" i="3"/>
  <c r="V18" i="123" s="1"/>
  <c r="T594" i="3"/>
  <c r="T18" i="123" s="1"/>
  <c r="S594" i="3"/>
  <c r="Q594" i="3"/>
  <c r="Q18" i="123" s="1"/>
  <c r="P594" i="3"/>
  <c r="P18" i="123" s="1"/>
  <c r="F594" i="3"/>
  <c r="E594" i="3"/>
  <c r="Y593" i="3"/>
  <c r="Y18" i="167" s="1"/>
  <c r="X593" i="3"/>
  <c r="X18" i="167" s="1"/>
  <c r="W593" i="3"/>
  <c r="W18" i="167" s="1"/>
  <c r="V593" i="3"/>
  <c r="V18" i="167" s="1"/>
  <c r="T593" i="3"/>
  <c r="T18" i="167" s="1"/>
  <c r="S593" i="3"/>
  <c r="S18" i="167" s="1"/>
  <c r="Q593" i="3"/>
  <c r="Q18" i="167" s="1"/>
  <c r="P593" i="3"/>
  <c r="F593" i="3"/>
  <c r="E593" i="3"/>
  <c r="Y592" i="3"/>
  <c r="Y5" i="30" s="1"/>
  <c r="X592" i="3"/>
  <c r="X5" i="30" s="1"/>
  <c r="W592" i="3"/>
  <c r="W5" i="30" s="1"/>
  <c r="V592" i="3"/>
  <c r="V5" i="30" s="1"/>
  <c r="T592" i="3"/>
  <c r="T5" i="30" s="1"/>
  <c r="S592" i="3"/>
  <c r="S5" i="30" s="1"/>
  <c r="Q592" i="3"/>
  <c r="Q5" i="30" s="1"/>
  <c r="P592" i="3"/>
  <c r="P5" i="30" s="1"/>
  <c r="F592" i="3"/>
  <c r="E592" i="3"/>
  <c r="Y591" i="3"/>
  <c r="Y48" i="92" s="1"/>
  <c r="X591" i="3"/>
  <c r="X48" i="92" s="1"/>
  <c r="W591" i="3"/>
  <c r="W48" i="92" s="1"/>
  <c r="V591" i="3"/>
  <c r="V48" i="92" s="1"/>
  <c r="T591" i="3"/>
  <c r="T48" i="92" s="1"/>
  <c r="S591" i="3"/>
  <c r="S48" i="92" s="1"/>
  <c r="Q591" i="3"/>
  <c r="Q48" i="92" s="1"/>
  <c r="P591" i="3"/>
  <c r="P48" i="92" s="1"/>
  <c r="F591" i="3"/>
  <c r="E591" i="3"/>
  <c r="Y590" i="3"/>
  <c r="Y2" i="27" s="1"/>
  <c r="X590" i="3"/>
  <c r="X2" i="27" s="1"/>
  <c r="W590" i="3"/>
  <c r="W2" i="27" s="1"/>
  <c r="V590" i="3"/>
  <c r="V2" i="27" s="1"/>
  <c r="T590" i="3"/>
  <c r="T2" i="27" s="1"/>
  <c r="S590" i="3"/>
  <c r="S2" i="27" s="1"/>
  <c r="Q590" i="3"/>
  <c r="Q2" i="27" s="1"/>
  <c r="P590" i="3"/>
  <c r="P2" i="27" s="1"/>
  <c r="F590" i="3"/>
  <c r="E590" i="3"/>
  <c r="Y589" i="3"/>
  <c r="Y10" i="108" s="1"/>
  <c r="X589" i="3"/>
  <c r="X10" i="108" s="1"/>
  <c r="W589" i="3"/>
  <c r="W10" i="108" s="1"/>
  <c r="V589" i="3"/>
  <c r="V10" i="108" s="1"/>
  <c r="T589" i="3"/>
  <c r="T10" i="108" s="1"/>
  <c r="S589" i="3"/>
  <c r="Q589" i="3"/>
  <c r="Q10" i="108" s="1"/>
  <c r="P589" i="3"/>
  <c r="P10" i="108" s="1"/>
  <c r="F589" i="3"/>
  <c r="E589" i="3"/>
  <c r="Y588" i="3"/>
  <c r="Y18" i="38" s="1"/>
  <c r="X588" i="3"/>
  <c r="X18" i="38" s="1"/>
  <c r="W588" i="3"/>
  <c r="W18" i="38" s="1"/>
  <c r="V588" i="3"/>
  <c r="V18" i="38" s="1"/>
  <c r="T588" i="3"/>
  <c r="T18" i="38" s="1"/>
  <c r="S588" i="3"/>
  <c r="S18" i="38" s="1"/>
  <c r="Q588" i="3"/>
  <c r="Q18" i="38" s="1"/>
  <c r="P588" i="3"/>
  <c r="F588" i="3"/>
  <c r="E588" i="3"/>
  <c r="Y587" i="3"/>
  <c r="Y11" i="108" s="1"/>
  <c r="X587" i="3"/>
  <c r="X11" i="108" s="1"/>
  <c r="W587" i="3"/>
  <c r="W11" i="108" s="1"/>
  <c r="V587" i="3"/>
  <c r="V11" i="108" s="1"/>
  <c r="T587" i="3"/>
  <c r="T11" i="108" s="1"/>
  <c r="S587" i="3"/>
  <c r="S11" i="108" s="1"/>
  <c r="Q587" i="3"/>
  <c r="Q11" i="108" s="1"/>
  <c r="P587" i="3"/>
  <c r="P11" i="108" s="1"/>
  <c r="F587" i="3"/>
  <c r="E587" i="3"/>
  <c r="Y586" i="3"/>
  <c r="Y8" i="169" s="1"/>
  <c r="X586" i="3"/>
  <c r="X8" i="169" s="1"/>
  <c r="W586" i="3"/>
  <c r="W8" i="169" s="1"/>
  <c r="V586" i="3"/>
  <c r="V8" i="169" s="1"/>
  <c r="T586" i="3"/>
  <c r="T8" i="169" s="1"/>
  <c r="S586" i="3"/>
  <c r="Q586" i="3"/>
  <c r="Q8" i="169" s="1"/>
  <c r="P586" i="3"/>
  <c r="P8" i="169" s="1"/>
  <c r="F586" i="3"/>
  <c r="E586" i="3"/>
  <c r="Y585" i="3"/>
  <c r="Y12" i="49" s="1"/>
  <c r="X585" i="3"/>
  <c r="X12" i="49" s="1"/>
  <c r="W585" i="3"/>
  <c r="W12" i="49" s="1"/>
  <c r="V585" i="3"/>
  <c r="V12" i="49" s="1"/>
  <c r="T585" i="3"/>
  <c r="T12" i="49" s="1"/>
  <c r="S585" i="3"/>
  <c r="S12" i="49" s="1"/>
  <c r="Q585" i="3"/>
  <c r="Q12" i="49" s="1"/>
  <c r="P585" i="3"/>
  <c r="F585" i="3"/>
  <c r="E585" i="3"/>
  <c r="Y584" i="3"/>
  <c r="Y5" i="102" s="1"/>
  <c r="X584" i="3"/>
  <c r="X5" i="102" s="1"/>
  <c r="W584" i="3"/>
  <c r="W5" i="102" s="1"/>
  <c r="V584" i="3"/>
  <c r="V5" i="102" s="1"/>
  <c r="T584" i="3"/>
  <c r="T5" i="102" s="1"/>
  <c r="S584" i="3"/>
  <c r="S5" i="102" s="1"/>
  <c r="Q584" i="3"/>
  <c r="Q5" i="102" s="1"/>
  <c r="P584" i="3"/>
  <c r="P5" i="102" s="1"/>
  <c r="F584" i="3"/>
  <c r="E584" i="3"/>
  <c r="Y583" i="3"/>
  <c r="Y7" i="129" s="1"/>
  <c r="X583" i="3"/>
  <c r="X7" i="129" s="1"/>
  <c r="W583" i="3"/>
  <c r="W7" i="129" s="1"/>
  <c r="V583" i="3"/>
  <c r="V7" i="129" s="1"/>
  <c r="T583" i="3"/>
  <c r="T7" i="129" s="1"/>
  <c r="S583" i="3"/>
  <c r="S7" i="129" s="1"/>
  <c r="R583" i="3"/>
  <c r="R7" i="129" s="1"/>
  <c r="Q583" i="3"/>
  <c r="Q7" i="129" s="1"/>
  <c r="P583" i="3"/>
  <c r="P7" i="129" s="1"/>
  <c r="F583" i="3"/>
  <c r="E583" i="3"/>
  <c r="Y582" i="3"/>
  <c r="Y12" i="113" s="1"/>
  <c r="X582" i="3"/>
  <c r="X12" i="113" s="1"/>
  <c r="W582" i="3"/>
  <c r="W12" i="113" s="1"/>
  <c r="V582" i="3"/>
  <c r="V12" i="113" s="1"/>
  <c r="T582" i="3"/>
  <c r="T12" i="113" s="1"/>
  <c r="S582" i="3"/>
  <c r="S12" i="113" s="1"/>
  <c r="Q582" i="3"/>
  <c r="Q12" i="113" s="1"/>
  <c r="P582" i="3"/>
  <c r="P12" i="113" s="1"/>
  <c r="F582" i="3"/>
  <c r="E582" i="3"/>
  <c r="Y581" i="3"/>
  <c r="Y3" i="86" s="1"/>
  <c r="X581" i="3"/>
  <c r="X3" i="86" s="1"/>
  <c r="W581" i="3"/>
  <c r="W3" i="86" s="1"/>
  <c r="V581" i="3"/>
  <c r="V3" i="86" s="1"/>
  <c r="T581" i="3"/>
  <c r="T3" i="86" s="1"/>
  <c r="S581" i="3"/>
  <c r="Q581" i="3"/>
  <c r="Q3" i="86" s="1"/>
  <c r="P581" i="3"/>
  <c r="P3" i="86" s="1"/>
  <c r="F581" i="3"/>
  <c r="E581" i="3"/>
  <c r="Y580" i="3"/>
  <c r="Y2" i="20" s="1"/>
  <c r="X580" i="3"/>
  <c r="X2" i="20" s="1"/>
  <c r="W580" i="3"/>
  <c r="W2" i="20" s="1"/>
  <c r="V580" i="3"/>
  <c r="V2" i="20" s="1"/>
  <c r="T580" i="3"/>
  <c r="T2" i="20" s="1"/>
  <c r="S580" i="3"/>
  <c r="S2" i="20" s="1"/>
  <c r="Q580" i="3"/>
  <c r="Q2" i="20" s="1"/>
  <c r="P580" i="3"/>
  <c r="F580" i="3"/>
  <c r="E580" i="3"/>
  <c r="Y579" i="3"/>
  <c r="Y5" i="48" s="1"/>
  <c r="X579" i="3"/>
  <c r="X5" i="48" s="1"/>
  <c r="W579" i="3"/>
  <c r="W5" i="48" s="1"/>
  <c r="V579" i="3"/>
  <c r="V5" i="48" s="1"/>
  <c r="T579" i="3"/>
  <c r="T5" i="48" s="1"/>
  <c r="S579" i="3"/>
  <c r="S5" i="48" s="1"/>
  <c r="Q579" i="3"/>
  <c r="Q5" i="48" s="1"/>
  <c r="P579" i="3"/>
  <c r="P5" i="48" s="1"/>
  <c r="F579" i="3"/>
  <c r="E579" i="3"/>
  <c r="Y578" i="3"/>
  <c r="Y5" i="134" s="1"/>
  <c r="X578" i="3"/>
  <c r="X5" i="134" s="1"/>
  <c r="W578" i="3"/>
  <c r="W5" i="134" s="1"/>
  <c r="V578" i="3"/>
  <c r="V5" i="134" s="1"/>
  <c r="T578" i="3"/>
  <c r="T5" i="134" s="1"/>
  <c r="S578" i="3"/>
  <c r="Q578" i="3"/>
  <c r="Q5" i="134" s="1"/>
  <c r="P578" i="3"/>
  <c r="P5" i="134" s="1"/>
  <c r="F578" i="3"/>
  <c r="E578" i="3"/>
  <c r="Y577" i="3"/>
  <c r="Y10" i="177" s="1"/>
  <c r="X577" i="3"/>
  <c r="X10" i="177" s="1"/>
  <c r="W577" i="3"/>
  <c r="W10" i="177" s="1"/>
  <c r="V577" i="3"/>
  <c r="V10" i="177" s="1"/>
  <c r="T577" i="3"/>
  <c r="T10" i="177" s="1"/>
  <c r="S577" i="3"/>
  <c r="S10" i="177" s="1"/>
  <c r="Q577" i="3"/>
  <c r="Q10" i="177" s="1"/>
  <c r="P577" i="3"/>
  <c r="F577" i="3"/>
  <c r="E577" i="3"/>
  <c r="Y576" i="3"/>
  <c r="Y46" i="92" s="1"/>
  <c r="X576" i="3"/>
  <c r="X46" i="92" s="1"/>
  <c r="W576" i="3"/>
  <c r="W46" i="92" s="1"/>
  <c r="V576" i="3"/>
  <c r="V46" i="92" s="1"/>
  <c r="T576" i="3"/>
  <c r="T46" i="92" s="1"/>
  <c r="S576" i="3"/>
  <c r="S46" i="92" s="1"/>
  <c r="Q576" i="3"/>
  <c r="Q46" i="92" s="1"/>
  <c r="P576" i="3"/>
  <c r="P46" i="92" s="1"/>
  <c r="F576" i="3"/>
  <c r="E576" i="3"/>
  <c r="Y575" i="3"/>
  <c r="Y19" i="171" s="1"/>
  <c r="X575" i="3"/>
  <c r="X19" i="171" s="1"/>
  <c r="W575" i="3"/>
  <c r="W19" i="171" s="1"/>
  <c r="V575" i="3"/>
  <c r="V19" i="171" s="1"/>
  <c r="T575" i="3"/>
  <c r="T19" i="171" s="1"/>
  <c r="S575" i="3"/>
  <c r="S19" i="171" s="1"/>
  <c r="Q575" i="3"/>
  <c r="Q19" i="171" s="1"/>
  <c r="P575" i="3"/>
  <c r="P19" i="171" s="1"/>
  <c r="F575" i="3"/>
  <c r="E575" i="3"/>
  <c r="Y574" i="3"/>
  <c r="Y15" i="38" s="1"/>
  <c r="X574" i="3"/>
  <c r="X15" i="38" s="1"/>
  <c r="W574" i="3"/>
  <c r="W15" i="38" s="1"/>
  <c r="V574" i="3"/>
  <c r="V15" i="38" s="1"/>
  <c r="T574" i="3"/>
  <c r="T15" i="38" s="1"/>
  <c r="S574" i="3"/>
  <c r="S15" i="38" s="1"/>
  <c r="Q574" i="3"/>
  <c r="Q15" i="38" s="1"/>
  <c r="P574" i="3"/>
  <c r="P15" i="38" s="1"/>
  <c r="F574" i="3"/>
  <c r="E574" i="3"/>
  <c r="Y573" i="3"/>
  <c r="Y6" i="93" s="1"/>
  <c r="X573" i="3"/>
  <c r="X6" i="93" s="1"/>
  <c r="W573" i="3"/>
  <c r="W6" i="93" s="1"/>
  <c r="V573" i="3"/>
  <c r="V6" i="93" s="1"/>
  <c r="T573" i="3"/>
  <c r="T6" i="93" s="1"/>
  <c r="S573" i="3"/>
  <c r="Q573" i="3"/>
  <c r="Q6" i="93" s="1"/>
  <c r="P573" i="3"/>
  <c r="P6" i="93" s="1"/>
  <c r="F573" i="3"/>
  <c r="E573" i="3"/>
  <c r="Y572" i="3"/>
  <c r="Y45" i="92" s="1"/>
  <c r="X572" i="3"/>
  <c r="X45" i="92" s="1"/>
  <c r="W572" i="3"/>
  <c r="W45" i="92" s="1"/>
  <c r="V572" i="3"/>
  <c r="V45" i="92" s="1"/>
  <c r="T572" i="3"/>
  <c r="T45" i="92" s="1"/>
  <c r="S572" i="3"/>
  <c r="S45" i="92" s="1"/>
  <c r="Q572" i="3"/>
  <c r="Q45" i="92" s="1"/>
  <c r="P572" i="3"/>
  <c r="F572" i="3"/>
  <c r="E572" i="3"/>
  <c r="Y571" i="3"/>
  <c r="Y3" i="155" s="1"/>
  <c r="X571" i="3"/>
  <c r="X3" i="155" s="1"/>
  <c r="W571" i="3"/>
  <c r="W3" i="155" s="1"/>
  <c r="V571" i="3"/>
  <c r="V3" i="155" s="1"/>
  <c r="T571" i="3"/>
  <c r="T3" i="155" s="1"/>
  <c r="S571" i="3"/>
  <c r="S3" i="155" s="1"/>
  <c r="Q571" i="3"/>
  <c r="Q3" i="155" s="1"/>
  <c r="P571" i="3"/>
  <c r="P3" i="155" s="1"/>
  <c r="F571" i="3"/>
  <c r="E571" i="3"/>
  <c r="Y570" i="3"/>
  <c r="Y7" i="70" s="1"/>
  <c r="X570" i="3"/>
  <c r="X7" i="70" s="1"/>
  <c r="W570" i="3"/>
  <c r="W7" i="70" s="1"/>
  <c r="V570" i="3"/>
  <c r="V7" i="70" s="1"/>
  <c r="T570" i="3"/>
  <c r="T7" i="70" s="1"/>
  <c r="S570" i="3"/>
  <c r="Q570" i="3"/>
  <c r="Q7" i="70" s="1"/>
  <c r="P570" i="3"/>
  <c r="P7" i="70" s="1"/>
  <c r="F570" i="3"/>
  <c r="E570" i="3"/>
  <c r="Y569" i="3"/>
  <c r="Y12" i="168" s="1"/>
  <c r="X569" i="3"/>
  <c r="X12" i="168" s="1"/>
  <c r="W569" i="3"/>
  <c r="W12" i="168" s="1"/>
  <c r="V569" i="3"/>
  <c r="V12" i="168" s="1"/>
  <c r="U569" i="3"/>
  <c r="U12" i="168" s="1"/>
  <c r="T569" i="3"/>
  <c r="T12" i="168" s="1"/>
  <c r="S569" i="3"/>
  <c r="S12" i="168" s="1"/>
  <c r="Q569" i="3"/>
  <c r="Q12" i="168" s="1"/>
  <c r="P569" i="3"/>
  <c r="F569" i="3"/>
  <c r="E569" i="3"/>
  <c r="Y568" i="3"/>
  <c r="Y7" i="80" s="1"/>
  <c r="X568" i="3"/>
  <c r="X7" i="80" s="1"/>
  <c r="W568" i="3"/>
  <c r="W7" i="80" s="1"/>
  <c r="V568" i="3"/>
  <c r="V7" i="80" s="1"/>
  <c r="T568" i="3"/>
  <c r="T7" i="80" s="1"/>
  <c r="S568" i="3"/>
  <c r="S7" i="80" s="1"/>
  <c r="Q568" i="3"/>
  <c r="Q7" i="80" s="1"/>
  <c r="P568" i="3"/>
  <c r="P7" i="80" s="1"/>
  <c r="F568" i="3"/>
  <c r="E568" i="3"/>
  <c r="Y567" i="3"/>
  <c r="Y27" i="185" s="1"/>
  <c r="X567" i="3"/>
  <c r="X27" i="185" s="1"/>
  <c r="W567" i="3"/>
  <c r="W27" i="185" s="1"/>
  <c r="V567" i="3"/>
  <c r="V27" i="185" s="1"/>
  <c r="T567" i="3"/>
  <c r="T27" i="185" s="1"/>
  <c r="S567" i="3"/>
  <c r="S27" i="185" s="1"/>
  <c r="Q567" i="3"/>
  <c r="Q27" i="185" s="1"/>
  <c r="P567" i="3"/>
  <c r="P27" i="185" s="1"/>
  <c r="F567" i="3"/>
  <c r="E567" i="3"/>
  <c r="Y566" i="3"/>
  <c r="Y11" i="116" s="1"/>
  <c r="X566" i="3"/>
  <c r="X11" i="116" s="1"/>
  <c r="W566" i="3"/>
  <c r="W11" i="116" s="1"/>
  <c r="V566" i="3"/>
  <c r="V11" i="116" s="1"/>
  <c r="T566" i="3"/>
  <c r="T11" i="116" s="1"/>
  <c r="S566" i="3"/>
  <c r="S11" i="116" s="1"/>
  <c r="Q566" i="3"/>
  <c r="Q11" i="116" s="1"/>
  <c r="P566" i="3"/>
  <c r="P11" i="116" s="1"/>
  <c r="F566" i="3"/>
  <c r="E566" i="3"/>
  <c r="Y565" i="3"/>
  <c r="Y14" i="120" s="1"/>
  <c r="X565" i="3"/>
  <c r="X14" i="120" s="1"/>
  <c r="W565" i="3"/>
  <c r="W14" i="120" s="1"/>
  <c r="V565" i="3"/>
  <c r="V14" i="120" s="1"/>
  <c r="T565" i="3"/>
  <c r="T14" i="120" s="1"/>
  <c r="S565" i="3"/>
  <c r="Q565" i="3"/>
  <c r="Q14" i="120" s="1"/>
  <c r="P565" i="3"/>
  <c r="P14" i="120" s="1"/>
  <c r="F565" i="3"/>
  <c r="E565" i="3"/>
  <c r="Y564" i="3"/>
  <c r="Y6" i="39" s="1"/>
  <c r="X564" i="3"/>
  <c r="X6" i="39" s="1"/>
  <c r="W564" i="3"/>
  <c r="W6" i="39" s="1"/>
  <c r="V564" i="3"/>
  <c r="V6" i="39" s="1"/>
  <c r="T564" i="3"/>
  <c r="T6" i="39" s="1"/>
  <c r="S564" i="3"/>
  <c r="S6" i="39" s="1"/>
  <c r="Q564" i="3"/>
  <c r="Q6" i="39" s="1"/>
  <c r="P564" i="3"/>
  <c r="F564" i="3"/>
  <c r="E564" i="3"/>
  <c r="Y563" i="3"/>
  <c r="Y29" i="185" s="1"/>
  <c r="X563" i="3"/>
  <c r="X29" i="185" s="1"/>
  <c r="W563" i="3"/>
  <c r="W29" i="185" s="1"/>
  <c r="V563" i="3"/>
  <c r="V29" i="185" s="1"/>
  <c r="T563" i="3"/>
  <c r="T29" i="185" s="1"/>
  <c r="S563" i="3"/>
  <c r="S29" i="185" s="1"/>
  <c r="Q563" i="3"/>
  <c r="Q29" i="185" s="1"/>
  <c r="P563" i="3"/>
  <c r="P29" i="185" s="1"/>
  <c r="F563" i="3"/>
  <c r="E563" i="3"/>
  <c r="Y562" i="3"/>
  <c r="Y3" i="23" s="1"/>
  <c r="X562" i="3"/>
  <c r="X3" i="23" s="1"/>
  <c r="W562" i="3"/>
  <c r="W3" i="23" s="1"/>
  <c r="V562" i="3"/>
  <c r="V3" i="23" s="1"/>
  <c r="T562" i="3"/>
  <c r="T3" i="23" s="1"/>
  <c r="S562" i="3"/>
  <c r="Q562" i="3"/>
  <c r="Q3" i="23" s="1"/>
  <c r="P562" i="3"/>
  <c r="P3" i="23" s="1"/>
  <c r="F562" i="3"/>
  <c r="E562" i="3"/>
  <c r="Y561" i="3"/>
  <c r="Y4" i="134" s="1"/>
  <c r="X561" i="3"/>
  <c r="X4" i="134" s="1"/>
  <c r="W561" i="3"/>
  <c r="W4" i="134" s="1"/>
  <c r="V561" i="3"/>
  <c r="V4" i="134" s="1"/>
  <c r="T561" i="3"/>
  <c r="T4" i="134" s="1"/>
  <c r="S561" i="3"/>
  <c r="S4" i="134" s="1"/>
  <c r="Q561" i="3"/>
  <c r="Q4" i="134" s="1"/>
  <c r="P561" i="3"/>
  <c r="F561" i="3"/>
  <c r="E561" i="3"/>
  <c r="Y560" i="3"/>
  <c r="Y13" i="120" s="1"/>
  <c r="X560" i="3"/>
  <c r="X13" i="120" s="1"/>
  <c r="W560" i="3"/>
  <c r="W13" i="120" s="1"/>
  <c r="V560" i="3"/>
  <c r="V13" i="120" s="1"/>
  <c r="T560" i="3"/>
  <c r="T13" i="120" s="1"/>
  <c r="S560" i="3"/>
  <c r="S13" i="120" s="1"/>
  <c r="Q560" i="3"/>
  <c r="Q13" i="120" s="1"/>
  <c r="P560" i="3"/>
  <c r="P13" i="120" s="1"/>
  <c r="F560" i="3"/>
  <c r="E560" i="3"/>
  <c r="Y559" i="3"/>
  <c r="Y13" i="49" s="1"/>
  <c r="X559" i="3"/>
  <c r="X13" i="49" s="1"/>
  <c r="W559" i="3"/>
  <c r="W13" i="49" s="1"/>
  <c r="V559" i="3"/>
  <c r="V13" i="49" s="1"/>
  <c r="T559" i="3"/>
  <c r="T13" i="49" s="1"/>
  <c r="S559" i="3"/>
  <c r="S13" i="49" s="1"/>
  <c r="Q559" i="3"/>
  <c r="Q13" i="49" s="1"/>
  <c r="P559" i="3"/>
  <c r="P13" i="49" s="1"/>
  <c r="F559" i="3"/>
  <c r="E559" i="3"/>
  <c r="Y558" i="3"/>
  <c r="Y3" i="79" s="1"/>
  <c r="X558" i="3"/>
  <c r="X3" i="79" s="1"/>
  <c r="W558" i="3"/>
  <c r="W3" i="79" s="1"/>
  <c r="V558" i="3"/>
  <c r="V3" i="79" s="1"/>
  <c r="T558" i="3"/>
  <c r="T3" i="79" s="1"/>
  <c r="S558" i="3"/>
  <c r="S3" i="79" s="1"/>
  <c r="Q558" i="3"/>
  <c r="Q3" i="79" s="1"/>
  <c r="P558" i="3"/>
  <c r="P3" i="79" s="1"/>
  <c r="F558" i="3"/>
  <c r="E558" i="3"/>
  <c r="Y557" i="3"/>
  <c r="Y44" i="92" s="1"/>
  <c r="X557" i="3"/>
  <c r="X44" i="92" s="1"/>
  <c r="W557" i="3"/>
  <c r="W44" i="92" s="1"/>
  <c r="V557" i="3"/>
  <c r="V44" i="92" s="1"/>
  <c r="T557" i="3"/>
  <c r="T44" i="92" s="1"/>
  <c r="S557" i="3"/>
  <c r="Q557" i="3"/>
  <c r="Q44" i="92" s="1"/>
  <c r="P557" i="3"/>
  <c r="P44" i="92" s="1"/>
  <c r="F557" i="3"/>
  <c r="E557" i="3"/>
  <c r="Y556" i="3"/>
  <c r="Y7" i="121" s="1"/>
  <c r="X556" i="3"/>
  <c r="X7" i="121" s="1"/>
  <c r="W556" i="3"/>
  <c r="W7" i="121" s="1"/>
  <c r="V556" i="3"/>
  <c r="V7" i="121" s="1"/>
  <c r="T556" i="3"/>
  <c r="T7" i="121" s="1"/>
  <c r="S556" i="3"/>
  <c r="S7" i="121" s="1"/>
  <c r="Q556" i="3"/>
  <c r="Q7" i="121" s="1"/>
  <c r="P556" i="3"/>
  <c r="F556" i="3"/>
  <c r="E556" i="3"/>
  <c r="Y555" i="3"/>
  <c r="Y4" i="61" s="1"/>
  <c r="X555" i="3"/>
  <c r="X4" i="61" s="1"/>
  <c r="W555" i="3"/>
  <c r="W4" i="61" s="1"/>
  <c r="V555" i="3"/>
  <c r="V4" i="61" s="1"/>
  <c r="U555" i="3"/>
  <c r="U4" i="61" s="1"/>
  <c r="T555" i="3"/>
  <c r="T4" i="61" s="1"/>
  <c r="S555" i="3"/>
  <c r="S4" i="61" s="1"/>
  <c r="Q555" i="3"/>
  <c r="Q4" i="61" s="1"/>
  <c r="P555" i="3"/>
  <c r="P4" i="61" s="1"/>
  <c r="F555" i="3"/>
  <c r="E555" i="3"/>
  <c r="Y554" i="3"/>
  <c r="Y5" i="78" s="1"/>
  <c r="X554" i="3"/>
  <c r="X5" i="78" s="1"/>
  <c r="W554" i="3"/>
  <c r="W5" i="78" s="1"/>
  <c r="V554" i="3"/>
  <c r="V5" i="78" s="1"/>
  <c r="T554" i="3"/>
  <c r="T5" i="78" s="1"/>
  <c r="S554" i="3"/>
  <c r="Q554" i="3"/>
  <c r="Q5" i="78" s="1"/>
  <c r="P554" i="3"/>
  <c r="P5" i="78" s="1"/>
  <c r="F554" i="3"/>
  <c r="E554" i="3"/>
  <c r="Y553" i="3"/>
  <c r="Y3" i="32" s="1"/>
  <c r="X553" i="3"/>
  <c r="X3" i="32" s="1"/>
  <c r="W553" i="3"/>
  <c r="W3" i="32" s="1"/>
  <c r="V553" i="3"/>
  <c r="V3" i="32" s="1"/>
  <c r="T553" i="3"/>
  <c r="T3" i="32" s="1"/>
  <c r="S553" i="3"/>
  <c r="S3" i="32" s="1"/>
  <c r="Q553" i="3"/>
  <c r="Q3" i="32" s="1"/>
  <c r="P553" i="3"/>
  <c r="F553" i="3"/>
  <c r="E553" i="3"/>
  <c r="Y552" i="3"/>
  <c r="Y2" i="64" s="1"/>
  <c r="X552" i="3"/>
  <c r="X2" i="64" s="1"/>
  <c r="W552" i="3"/>
  <c r="W2" i="64" s="1"/>
  <c r="V552" i="3"/>
  <c r="V2" i="64" s="1"/>
  <c r="T552" i="3"/>
  <c r="T2" i="64" s="1"/>
  <c r="S552" i="3"/>
  <c r="S2" i="64" s="1"/>
  <c r="Q552" i="3"/>
  <c r="Q2" i="64" s="1"/>
  <c r="P552" i="3"/>
  <c r="P2" i="64" s="1"/>
  <c r="F552" i="3"/>
  <c r="E552" i="3"/>
  <c r="Y551" i="3"/>
  <c r="Y4" i="32" s="1"/>
  <c r="X551" i="3"/>
  <c r="X4" i="32" s="1"/>
  <c r="W551" i="3"/>
  <c r="W4" i="32" s="1"/>
  <c r="V551" i="3"/>
  <c r="V4" i="32" s="1"/>
  <c r="T551" i="3"/>
  <c r="T4" i="32" s="1"/>
  <c r="S551" i="3"/>
  <c r="S4" i="32" s="1"/>
  <c r="Q551" i="3"/>
  <c r="Q4" i="32" s="1"/>
  <c r="P551" i="3"/>
  <c r="P4" i="32" s="1"/>
  <c r="F551" i="3"/>
  <c r="E551" i="3"/>
  <c r="Y550" i="3"/>
  <c r="Y14" i="193" s="1"/>
  <c r="X550" i="3"/>
  <c r="X14" i="193" s="1"/>
  <c r="W550" i="3"/>
  <c r="W14" i="193" s="1"/>
  <c r="V550" i="3"/>
  <c r="V14" i="193" s="1"/>
  <c r="T550" i="3"/>
  <c r="T14" i="193" s="1"/>
  <c r="S550" i="3"/>
  <c r="S14" i="193" s="1"/>
  <c r="Q550" i="3"/>
  <c r="Q14" i="193" s="1"/>
  <c r="P550" i="3"/>
  <c r="P14" i="193" s="1"/>
  <c r="F550" i="3"/>
  <c r="E550" i="3"/>
  <c r="Y549" i="3"/>
  <c r="Y30" i="185" s="1"/>
  <c r="X549" i="3"/>
  <c r="X30" i="185" s="1"/>
  <c r="W549" i="3"/>
  <c r="W30" i="185" s="1"/>
  <c r="V549" i="3"/>
  <c r="V30" i="185" s="1"/>
  <c r="T549" i="3"/>
  <c r="T30" i="185" s="1"/>
  <c r="S549" i="3"/>
  <c r="Q549" i="3"/>
  <c r="Q30" i="185" s="1"/>
  <c r="P549" i="3"/>
  <c r="P30" i="185" s="1"/>
  <c r="F549" i="3"/>
  <c r="E549" i="3"/>
  <c r="Y548" i="3"/>
  <c r="Y28" i="185" s="1"/>
  <c r="X548" i="3"/>
  <c r="X28" i="185" s="1"/>
  <c r="W548" i="3"/>
  <c r="W28" i="185" s="1"/>
  <c r="V548" i="3"/>
  <c r="V28" i="185" s="1"/>
  <c r="T548" i="3"/>
  <c r="T28" i="185" s="1"/>
  <c r="S548" i="3"/>
  <c r="S28" i="185" s="1"/>
  <c r="Q548" i="3"/>
  <c r="Q28" i="185" s="1"/>
  <c r="P548" i="3"/>
  <c r="F548" i="3"/>
  <c r="E548" i="3"/>
  <c r="Y547" i="3"/>
  <c r="Y13" i="193" s="1"/>
  <c r="X547" i="3"/>
  <c r="X13" i="193" s="1"/>
  <c r="W547" i="3"/>
  <c r="W13" i="193" s="1"/>
  <c r="V547" i="3"/>
  <c r="V13" i="193" s="1"/>
  <c r="T547" i="3"/>
  <c r="T13" i="193" s="1"/>
  <c r="S547" i="3"/>
  <c r="S13" i="193" s="1"/>
  <c r="Q547" i="3"/>
  <c r="Q13" i="193" s="1"/>
  <c r="P547" i="3"/>
  <c r="P13" i="193" s="1"/>
  <c r="F547" i="3"/>
  <c r="E547" i="3"/>
  <c r="Y546" i="3"/>
  <c r="Y8" i="143" s="1"/>
  <c r="X546" i="3"/>
  <c r="X8" i="143" s="1"/>
  <c r="W546" i="3"/>
  <c r="W8" i="143" s="1"/>
  <c r="V546" i="3"/>
  <c r="V8" i="143" s="1"/>
  <c r="T546" i="3"/>
  <c r="T8" i="143" s="1"/>
  <c r="S546" i="3"/>
  <c r="Q546" i="3"/>
  <c r="Q8" i="143" s="1"/>
  <c r="P546" i="3"/>
  <c r="P8" i="143" s="1"/>
  <c r="F546" i="3"/>
  <c r="E546" i="3"/>
  <c r="Y545" i="3"/>
  <c r="Y6" i="80" s="1"/>
  <c r="X545" i="3"/>
  <c r="X6" i="80" s="1"/>
  <c r="W545" i="3"/>
  <c r="W6" i="80" s="1"/>
  <c r="V545" i="3"/>
  <c r="V6" i="80" s="1"/>
  <c r="T545" i="3"/>
  <c r="T6" i="80" s="1"/>
  <c r="S545" i="3"/>
  <c r="S6" i="80" s="1"/>
  <c r="Q545" i="3"/>
  <c r="Q6" i="80" s="1"/>
  <c r="P545" i="3"/>
  <c r="F545" i="3"/>
  <c r="E545" i="3"/>
  <c r="Y544" i="3"/>
  <c r="Y3" i="34" s="1"/>
  <c r="X544" i="3"/>
  <c r="X3" i="34" s="1"/>
  <c r="W544" i="3"/>
  <c r="W3" i="34" s="1"/>
  <c r="V544" i="3"/>
  <c r="V3" i="34" s="1"/>
  <c r="T544" i="3"/>
  <c r="T3" i="34" s="1"/>
  <c r="S544" i="3"/>
  <c r="S3" i="34" s="1"/>
  <c r="Q544" i="3"/>
  <c r="Q3" i="34" s="1"/>
  <c r="P544" i="3"/>
  <c r="P3" i="34" s="1"/>
  <c r="F544" i="3"/>
  <c r="E544" i="3"/>
  <c r="Y543" i="3"/>
  <c r="Y15" i="56" s="1"/>
  <c r="X543" i="3"/>
  <c r="X15" i="56" s="1"/>
  <c r="W543" i="3"/>
  <c r="W15" i="56" s="1"/>
  <c r="V543" i="3"/>
  <c r="V15" i="56" s="1"/>
  <c r="T543" i="3"/>
  <c r="T15" i="56" s="1"/>
  <c r="S543" i="3"/>
  <c r="S15" i="56" s="1"/>
  <c r="Q543" i="3"/>
  <c r="Q15" i="56" s="1"/>
  <c r="P543" i="3"/>
  <c r="P15" i="56" s="1"/>
  <c r="F543" i="3"/>
  <c r="E543" i="3"/>
  <c r="Y542" i="3"/>
  <c r="Y9" i="107" s="1"/>
  <c r="X542" i="3"/>
  <c r="X9" i="107" s="1"/>
  <c r="W542" i="3"/>
  <c r="W9" i="107" s="1"/>
  <c r="V542" i="3"/>
  <c r="V9" i="107" s="1"/>
  <c r="T542" i="3"/>
  <c r="T9" i="107" s="1"/>
  <c r="S542" i="3"/>
  <c r="S9" i="107" s="1"/>
  <c r="Q542" i="3"/>
  <c r="Q9" i="107" s="1"/>
  <c r="P542" i="3"/>
  <c r="P9" i="107" s="1"/>
  <c r="F542" i="3"/>
  <c r="E542" i="3"/>
  <c r="Y541" i="3"/>
  <c r="Y3" i="90" s="1"/>
  <c r="X541" i="3"/>
  <c r="X3" i="90" s="1"/>
  <c r="W541" i="3"/>
  <c r="W3" i="90" s="1"/>
  <c r="V541" i="3"/>
  <c r="V3" i="90" s="1"/>
  <c r="T541" i="3"/>
  <c r="T3" i="90" s="1"/>
  <c r="S541" i="3"/>
  <c r="Q541" i="3"/>
  <c r="Q3" i="90" s="1"/>
  <c r="P541" i="3"/>
  <c r="P3" i="90" s="1"/>
  <c r="F541" i="3"/>
  <c r="E541" i="3"/>
  <c r="Y540" i="3"/>
  <c r="Y43" i="92" s="1"/>
  <c r="X540" i="3"/>
  <c r="X43" i="92" s="1"/>
  <c r="W540" i="3"/>
  <c r="W43" i="92" s="1"/>
  <c r="V540" i="3"/>
  <c r="V43" i="92" s="1"/>
  <c r="T540" i="3"/>
  <c r="T43" i="92" s="1"/>
  <c r="S540" i="3"/>
  <c r="S43" i="92" s="1"/>
  <c r="Q540" i="3"/>
  <c r="Q43" i="92" s="1"/>
  <c r="P540" i="3"/>
  <c r="F540" i="3"/>
  <c r="E540" i="3"/>
  <c r="Y539" i="3"/>
  <c r="Y9" i="122" s="1"/>
  <c r="X539" i="3"/>
  <c r="X9" i="122" s="1"/>
  <c r="W539" i="3"/>
  <c r="W9" i="122" s="1"/>
  <c r="V539" i="3"/>
  <c r="V9" i="122" s="1"/>
  <c r="T539" i="3"/>
  <c r="T9" i="122" s="1"/>
  <c r="S539" i="3"/>
  <c r="S9" i="122" s="1"/>
  <c r="Q539" i="3"/>
  <c r="Q9" i="122" s="1"/>
  <c r="P539" i="3"/>
  <c r="P9" i="122" s="1"/>
  <c r="F539" i="3"/>
  <c r="E539" i="3"/>
  <c r="Y538" i="3"/>
  <c r="Y14" i="196" s="1"/>
  <c r="X538" i="3"/>
  <c r="X14" i="196" s="1"/>
  <c r="W538" i="3"/>
  <c r="W14" i="196" s="1"/>
  <c r="V538" i="3"/>
  <c r="V14" i="196" s="1"/>
  <c r="T538" i="3"/>
  <c r="T14" i="196" s="1"/>
  <c r="S538" i="3"/>
  <c r="Q538" i="3"/>
  <c r="Q14" i="196" s="1"/>
  <c r="P538" i="3"/>
  <c r="P14" i="196" s="1"/>
  <c r="F538" i="3"/>
  <c r="E538" i="3"/>
  <c r="Y537" i="3"/>
  <c r="Y8" i="119" s="1"/>
  <c r="X537" i="3"/>
  <c r="X8" i="119" s="1"/>
  <c r="W537" i="3"/>
  <c r="W8" i="119" s="1"/>
  <c r="V537" i="3"/>
  <c r="V8" i="119" s="1"/>
  <c r="T537" i="3"/>
  <c r="T8" i="119" s="1"/>
  <c r="S537" i="3"/>
  <c r="S8" i="119" s="1"/>
  <c r="Q537" i="3"/>
  <c r="Q8" i="119" s="1"/>
  <c r="P537" i="3"/>
  <c r="F537" i="3"/>
  <c r="E537" i="3"/>
  <c r="Y536" i="3"/>
  <c r="Y14" i="38" s="1"/>
  <c r="X536" i="3"/>
  <c r="X14" i="38" s="1"/>
  <c r="W536" i="3"/>
  <c r="W14" i="38" s="1"/>
  <c r="V536" i="3"/>
  <c r="V14" i="38" s="1"/>
  <c r="T536" i="3"/>
  <c r="T14" i="38" s="1"/>
  <c r="S536" i="3"/>
  <c r="S14" i="38" s="1"/>
  <c r="Q536" i="3"/>
  <c r="Q14" i="38" s="1"/>
  <c r="P536" i="3"/>
  <c r="P14" i="38" s="1"/>
  <c r="F536" i="3"/>
  <c r="E536" i="3"/>
  <c r="Y535" i="3"/>
  <c r="Y17" i="123" s="1"/>
  <c r="X535" i="3"/>
  <c r="X17" i="123" s="1"/>
  <c r="W535" i="3"/>
  <c r="W17" i="123" s="1"/>
  <c r="V535" i="3"/>
  <c r="V17" i="123" s="1"/>
  <c r="U535" i="3"/>
  <c r="U17" i="123" s="1"/>
  <c r="T535" i="3"/>
  <c r="T17" i="123" s="1"/>
  <c r="S535" i="3"/>
  <c r="S17" i="123" s="1"/>
  <c r="Q535" i="3"/>
  <c r="Q17" i="123" s="1"/>
  <c r="P535" i="3"/>
  <c r="P17" i="123" s="1"/>
  <c r="F535" i="3"/>
  <c r="E535" i="3"/>
  <c r="Y534" i="3"/>
  <c r="Y5" i="145" s="1"/>
  <c r="X534" i="3"/>
  <c r="X5" i="145" s="1"/>
  <c r="W534" i="3"/>
  <c r="W5" i="145" s="1"/>
  <c r="V534" i="3"/>
  <c r="V5" i="145" s="1"/>
  <c r="T534" i="3"/>
  <c r="T5" i="145" s="1"/>
  <c r="S534" i="3"/>
  <c r="S5" i="145" s="1"/>
  <c r="Q534" i="3"/>
  <c r="Q5" i="145" s="1"/>
  <c r="P534" i="3"/>
  <c r="P5" i="145" s="1"/>
  <c r="F534" i="3"/>
  <c r="E534" i="3"/>
  <c r="Y533" i="3"/>
  <c r="Y3" i="131" s="1"/>
  <c r="X533" i="3"/>
  <c r="X3" i="131" s="1"/>
  <c r="W533" i="3"/>
  <c r="W3" i="131" s="1"/>
  <c r="V533" i="3"/>
  <c r="V3" i="131" s="1"/>
  <c r="T533" i="3"/>
  <c r="T3" i="131" s="1"/>
  <c r="S533" i="3"/>
  <c r="Q533" i="3"/>
  <c r="Q3" i="131" s="1"/>
  <c r="P533" i="3"/>
  <c r="P3" i="131" s="1"/>
  <c r="F533" i="3"/>
  <c r="E533" i="3"/>
  <c r="Y532" i="3"/>
  <c r="Y4" i="12" s="1"/>
  <c r="X532" i="3"/>
  <c r="X4" i="12" s="1"/>
  <c r="W532" i="3"/>
  <c r="W4" i="12" s="1"/>
  <c r="V532" i="3"/>
  <c r="V4" i="12" s="1"/>
  <c r="T532" i="3"/>
  <c r="T4" i="12" s="1"/>
  <c r="S532" i="3"/>
  <c r="S4" i="12" s="1"/>
  <c r="Q532" i="3"/>
  <c r="Q4" i="12" s="1"/>
  <c r="P532" i="3"/>
  <c r="F532" i="3"/>
  <c r="E532" i="3"/>
  <c r="Y531" i="3"/>
  <c r="Y3" i="59" s="1"/>
  <c r="X531" i="3"/>
  <c r="X3" i="59" s="1"/>
  <c r="W531" i="3"/>
  <c r="W3" i="59" s="1"/>
  <c r="V531" i="3"/>
  <c r="V3" i="59" s="1"/>
  <c r="T531" i="3"/>
  <c r="T3" i="59" s="1"/>
  <c r="S531" i="3"/>
  <c r="S3" i="59" s="1"/>
  <c r="Q531" i="3"/>
  <c r="Q3" i="59" s="1"/>
  <c r="P531" i="3"/>
  <c r="P3" i="59" s="1"/>
  <c r="F531" i="3"/>
  <c r="E531" i="3"/>
  <c r="Y530" i="3"/>
  <c r="Y2" i="118" s="1"/>
  <c r="X530" i="3"/>
  <c r="X2" i="118" s="1"/>
  <c r="W530" i="3"/>
  <c r="W2" i="118" s="1"/>
  <c r="V530" i="3"/>
  <c r="V2" i="118" s="1"/>
  <c r="T530" i="3"/>
  <c r="T2" i="118" s="1"/>
  <c r="S530" i="3"/>
  <c r="Q530" i="3"/>
  <c r="Q2" i="118" s="1"/>
  <c r="P530" i="3"/>
  <c r="P2" i="118" s="1"/>
  <c r="F530" i="3"/>
  <c r="E530" i="3"/>
  <c r="Y529" i="3"/>
  <c r="Y16" i="123" s="1"/>
  <c r="X529" i="3"/>
  <c r="X16" i="123" s="1"/>
  <c r="W529" i="3"/>
  <c r="W16" i="123" s="1"/>
  <c r="V529" i="3"/>
  <c r="V16" i="123" s="1"/>
  <c r="T529" i="3"/>
  <c r="T16" i="123" s="1"/>
  <c r="S529" i="3"/>
  <c r="S16" i="123" s="1"/>
  <c r="Q529" i="3"/>
  <c r="Q16" i="123" s="1"/>
  <c r="P529" i="3"/>
  <c r="F529" i="3"/>
  <c r="E529" i="3"/>
  <c r="Y528" i="3"/>
  <c r="X528" i="3"/>
  <c r="W528" i="3"/>
  <c r="V528" i="3"/>
  <c r="T528" i="3"/>
  <c r="S528" i="3"/>
  <c r="Q528" i="3"/>
  <c r="P528" i="3"/>
  <c r="R528" i="3" s="1"/>
  <c r="F528" i="3"/>
  <c r="E528" i="3"/>
  <c r="Y527" i="3"/>
  <c r="Y2" i="117" s="1"/>
  <c r="X527" i="3"/>
  <c r="X2" i="117" s="1"/>
  <c r="W527" i="3"/>
  <c r="W2" i="117" s="1"/>
  <c r="V527" i="3"/>
  <c r="V2" i="117" s="1"/>
  <c r="T527" i="3"/>
  <c r="T2" i="117" s="1"/>
  <c r="S527" i="3"/>
  <c r="S2" i="117" s="1"/>
  <c r="Q527" i="3"/>
  <c r="Q2" i="117" s="1"/>
  <c r="P527" i="3"/>
  <c r="P2" i="117" s="1"/>
  <c r="F527" i="3"/>
  <c r="E527" i="3"/>
  <c r="Y526" i="3"/>
  <c r="Y8" i="177" s="1"/>
  <c r="X526" i="3"/>
  <c r="X8" i="177" s="1"/>
  <c r="W526" i="3"/>
  <c r="W8" i="177" s="1"/>
  <c r="V526" i="3"/>
  <c r="V8" i="177" s="1"/>
  <c r="T526" i="3"/>
  <c r="T8" i="177" s="1"/>
  <c r="S526" i="3"/>
  <c r="S8" i="177" s="1"/>
  <c r="Q526" i="3"/>
  <c r="Q8" i="177" s="1"/>
  <c r="P526" i="3"/>
  <c r="P8" i="177" s="1"/>
  <c r="F526" i="3"/>
  <c r="E526" i="3"/>
  <c r="Y525" i="3"/>
  <c r="Y2" i="34" s="1"/>
  <c r="X525" i="3"/>
  <c r="X2" i="34" s="1"/>
  <c r="W525" i="3"/>
  <c r="W2" i="34" s="1"/>
  <c r="V525" i="3"/>
  <c r="V2" i="34" s="1"/>
  <c r="T525" i="3"/>
  <c r="T2" i="34" s="1"/>
  <c r="S525" i="3"/>
  <c r="Q525" i="3"/>
  <c r="Q2" i="34" s="1"/>
  <c r="P525" i="3"/>
  <c r="P2" i="34" s="1"/>
  <c r="F525" i="3"/>
  <c r="E525" i="3"/>
  <c r="Y524" i="3"/>
  <c r="Y42" i="92" s="1"/>
  <c r="X524" i="3"/>
  <c r="X42" i="92" s="1"/>
  <c r="W524" i="3"/>
  <c r="W42" i="92" s="1"/>
  <c r="V524" i="3"/>
  <c r="V42" i="92" s="1"/>
  <c r="T524" i="3"/>
  <c r="T42" i="92" s="1"/>
  <c r="S524" i="3"/>
  <c r="S42" i="92" s="1"/>
  <c r="Q524" i="3"/>
  <c r="Q42" i="92" s="1"/>
  <c r="P524" i="3"/>
  <c r="F524" i="3"/>
  <c r="E524" i="3"/>
  <c r="Y523" i="3"/>
  <c r="Y15" i="196" s="1"/>
  <c r="X523" i="3"/>
  <c r="X15" i="196" s="1"/>
  <c r="W523" i="3"/>
  <c r="W15" i="196" s="1"/>
  <c r="V523" i="3"/>
  <c r="V15" i="196" s="1"/>
  <c r="T523" i="3"/>
  <c r="T15" i="196" s="1"/>
  <c r="S523" i="3"/>
  <c r="S15" i="196" s="1"/>
  <c r="Q523" i="3"/>
  <c r="Q15" i="196" s="1"/>
  <c r="P523" i="3"/>
  <c r="P15" i="196" s="1"/>
  <c r="F523" i="3"/>
  <c r="E523" i="3"/>
  <c r="Y522" i="3"/>
  <c r="Y6" i="12" s="1"/>
  <c r="X522" i="3"/>
  <c r="X6" i="12" s="1"/>
  <c r="W522" i="3"/>
  <c r="W6" i="12" s="1"/>
  <c r="V522" i="3"/>
  <c r="V6" i="12" s="1"/>
  <c r="T522" i="3"/>
  <c r="T6" i="12" s="1"/>
  <c r="S522" i="3"/>
  <c r="Q522" i="3"/>
  <c r="Q6" i="12" s="1"/>
  <c r="P522" i="3"/>
  <c r="P6" i="12" s="1"/>
  <c r="F522" i="3"/>
  <c r="E522" i="3"/>
  <c r="Y521" i="3"/>
  <c r="Y4" i="31" s="1"/>
  <c r="X521" i="3"/>
  <c r="X4" i="31" s="1"/>
  <c r="W521" i="3"/>
  <c r="W4" i="31" s="1"/>
  <c r="V521" i="3"/>
  <c r="V4" i="31" s="1"/>
  <c r="T521" i="3"/>
  <c r="T4" i="31" s="1"/>
  <c r="S521" i="3"/>
  <c r="S4" i="31" s="1"/>
  <c r="Q521" i="3"/>
  <c r="Q4" i="31" s="1"/>
  <c r="P521" i="3"/>
  <c r="F521" i="3"/>
  <c r="E521" i="3"/>
  <c r="Y520" i="3"/>
  <c r="Y16" i="167" s="1"/>
  <c r="X520" i="3"/>
  <c r="X16" i="167" s="1"/>
  <c r="W520" i="3"/>
  <c r="W16" i="167" s="1"/>
  <c r="V520" i="3"/>
  <c r="V16" i="167" s="1"/>
  <c r="T520" i="3"/>
  <c r="T16" i="167" s="1"/>
  <c r="S520" i="3"/>
  <c r="S16" i="167" s="1"/>
  <c r="Q520" i="3"/>
  <c r="Q16" i="167" s="1"/>
  <c r="P520" i="3"/>
  <c r="P16" i="167" s="1"/>
  <c r="F520" i="3"/>
  <c r="E520" i="3"/>
  <c r="Y519" i="3"/>
  <c r="Y2" i="77" s="1"/>
  <c r="X519" i="3"/>
  <c r="X2" i="77" s="1"/>
  <c r="W519" i="3"/>
  <c r="W2" i="77" s="1"/>
  <c r="V519" i="3"/>
  <c r="V2" i="77" s="1"/>
  <c r="T519" i="3"/>
  <c r="T2" i="77" s="1"/>
  <c r="S519" i="3"/>
  <c r="S2" i="77" s="1"/>
  <c r="Q519" i="3"/>
  <c r="Q2" i="77" s="1"/>
  <c r="P519" i="3"/>
  <c r="P2" i="77" s="1"/>
  <c r="F519" i="3"/>
  <c r="E519" i="3"/>
  <c r="Y518" i="3"/>
  <c r="Y13" i="56" s="1"/>
  <c r="X518" i="3"/>
  <c r="X13" i="56" s="1"/>
  <c r="W518" i="3"/>
  <c r="W13" i="56" s="1"/>
  <c r="V518" i="3"/>
  <c r="V13" i="56" s="1"/>
  <c r="T518" i="3"/>
  <c r="T13" i="56" s="1"/>
  <c r="S518" i="3"/>
  <c r="S13" i="56" s="1"/>
  <c r="Q518" i="3"/>
  <c r="Q13" i="56" s="1"/>
  <c r="P518" i="3"/>
  <c r="P13" i="56" s="1"/>
  <c r="F518" i="3"/>
  <c r="E518" i="3"/>
  <c r="Y517" i="3"/>
  <c r="Y3" i="136" s="1"/>
  <c r="X517" i="3"/>
  <c r="X3" i="136" s="1"/>
  <c r="W517" i="3"/>
  <c r="W3" i="136" s="1"/>
  <c r="V517" i="3"/>
  <c r="V3" i="136" s="1"/>
  <c r="T517" i="3"/>
  <c r="T3" i="136" s="1"/>
  <c r="S517" i="3"/>
  <c r="Q517" i="3"/>
  <c r="Q3" i="136" s="1"/>
  <c r="P517" i="3"/>
  <c r="P3" i="136" s="1"/>
  <c r="F517" i="3"/>
  <c r="E517" i="3"/>
  <c r="Y516" i="3"/>
  <c r="Y9" i="69" s="1"/>
  <c r="X516" i="3"/>
  <c r="X9" i="69" s="1"/>
  <c r="W516" i="3"/>
  <c r="W9" i="69" s="1"/>
  <c r="V516" i="3"/>
  <c r="V9" i="69" s="1"/>
  <c r="T516" i="3"/>
  <c r="T9" i="69" s="1"/>
  <c r="S516" i="3"/>
  <c r="S9" i="69" s="1"/>
  <c r="Q516" i="3"/>
  <c r="Q9" i="69" s="1"/>
  <c r="P516" i="3"/>
  <c r="F516" i="3"/>
  <c r="E516" i="3"/>
  <c r="Y515" i="3"/>
  <c r="Y2" i="158" s="1"/>
  <c r="X515" i="3"/>
  <c r="X2" i="158" s="1"/>
  <c r="W515" i="3"/>
  <c r="W2" i="158" s="1"/>
  <c r="V515" i="3"/>
  <c r="V2" i="158" s="1"/>
  <c r="T515" i="3"/>
  <c r="T2" i="158" s="1"/>
  <c r="S515" i="3"/>
  <c r="S2" i="158" s="1"/>
  <c r="Q515" i="3"/>
  <c r="Q2" i="158" s="1"/>
  <c r="P515" i="3"/>
  <c r="P2" i="158" s="1"/>
  <c r="F515" i="3"/>
  <c r="E515" i="3"/>
  <c r="Y514" i="3"/>
  <c r="Y4" i="124" s="1"/>
  <c r="X514" i="3"/>
  <c r="X4" i="124" s="1"/>
  <c r="W514" i="3"/>
  <c r="W4" i="124" s="1"/>
  <c r="V514" i="3"/>
  <c r="V4" i="124" s="1"/>
  <c r="T514" i="3"/>
  <c r="T4" i="124" s="1"/>
  <c r="S514" i="3"/>
  <c r="Q514" i="3"/>
  <c r="Q4" i="124" s="1"/>
  <c r="P514" i="3"/>
  <c r="P4" i="124" s="1"/>
  <c r="F514" i="3"/>
  <c r="E514" i="3"/>
  <c r="Y513" i="3"/>
  <c r="Y11" i="196" s="1"/>
  <c r="X513" i="3"/>
  <c r="X11" i="196" s="1"/>
  <c r="W513" i="3"/>
  <c r="W11" i="196" s="1"/>
  <c r="V513" i="3"/>
  <c r="V11" i="196" s="1"/>
  <c r="T513" i="3"/>
  <c r="T11" i="196" s="1"/>
  <c r="S513" i="3"/>
  <c r="S11" i="196" s="1"/>
  <c r="Q513" i="3"/>
  <c r="Q11" i="196" s="1"/>
  <c r="P513" i="3"/>
  <c r="F513" i="3"/>
  <c r="E513" i="3"/>
  <c r="Y512" i="3"/>
  <c r="Y10" i="116" s="1"/>
  <c r="X512" i="3"/>
  <c r="X10" i="116" s="1"/>
  <c r="W512" i="3"/>
  <c r="W10" i="116" s="1"/>
  <c r="V512" i="3"/>
  <c r="V10" i="116" s="1"/>
  <c r="T512" i="3"/>
  <c r="T10" i="116" s="1"/>
  <c r="S512" i="3"/>
  <c r="S10" i="116" s="1"/>
  <c r="Q512" i="3"/>
  <c r="Q10" i="116" s="1"/>
  <c r="P512" i="3"/>
  <c r="P10" i="116" s="1"/>
  <c r="F512" i="3"/>
  <c r="E512" i="3"/>
  <c r="Y511" i="3"/>
  <c r="Y6" i="35" s="1"/>
  <c r="X511" i="3"/>
  <c r="X6" i="35" s="1"/>
  <c r="W511" i="3"/>
  <c r="W6" i="35" s="1"/>
  <c r="V511" i="3"/>
  <c r="V6" i="35" s="1"/>
  <c r="T511" i="3"/>
  <c r="T6" i="35" s="1"/>
  <c r="S511" i="3"/>
  <c r="S6" i="35" s="1"/>
  <c r="Q511" i="3"/>
  <c r="Q6" i="35" s="1"/>
  <c r="P511" i="3"/>
  <c r="P6" i="35" s="1"/>
  <c r="F511" i="3"/>
  <c r="E511" i="3"/>
  <c r="Y510" i="3"/>
  <c r="Y3" i="134" s="1"/>
  <c r="X510" i="3"/>
  <c r="X3" i="134" s="1"/>
  <c r="W510" i="3"/>
  <c r="W3" i="134" s="1"/>
  <c r="V510" i="3"/>
  <c r="V3" i="134" s="1"/>
  <c r="T510" i="3"/>
  <c r="T3" i="134" s="1"/>
  <c r="S510" i="3"/>
  <c r="S3" i="134" s="1"/>
  <c r="Q510" i="3"/>
  <c r="Q3" i="134" s="1"/>
  <c r="P510" i="3"/>
  <c r="P3" i="134" s="1"/>
  <c r="F510" i="3"/>
  <c r="E510" i="3"/>
  <c r="Y509" i="3"/>
  <c r="Y12" i="196" s="1"/>
  <c r="X509" i="3"/>
  <c r="X12" i="196" s="1"/>
  <c r="W509" i="3"/>
  <c r="W12" i="196" s="1"/>
  <c r="V509" i="3"/>
  <c r="V12" i="196" s="1"/>
  <c r="T509" i="3"/>
  <c r="T12" i="196" s="1"/>
  <c r="S509" i="3"/>
  <c r="Q509" i="3"/>
  <c r="Q12" i="196" s="1"/>
  <c r="P509" i="3"/>
  <c r="P12" i="196" s="1"/>
  <c r="F509" i="3"/>
  <c r="E509" i="3"/>
  <c r="Y508" i="3"/>
  <c r="Y11" i="56" s="1"/>
  <c r="X508" i="3"/>
  <c r="X11" i="56" s="1"/>
  <c r="W508" i="3"/>
  <c r="W11" i="56" s="1"/>
  <c r="V508" i="3"/>
  <c r="V11" i="56" s="1"/>
  <c r="T508" i="3"/>
  <c r="T11" i="56" s="1"/>
  <c r="S508" i="3"/>
  <c r="S11" i="56" s="1"/>
  <c r="Q508" i="3"/>
  <c r="Q11" i="56" s="1"/>
  <c r="P508" i="3"/>
  <c r="F508" i="3"/>
  <c r="E508" i="3"/>
  <c r="Y507" i="3"/>
  <c r="Y8" i="107" s="1"/>
  <c r="X507" i="3"/>
  <c r="X8" i="107" s="1"/>
  <c r="W507" i="3"/>
  <c r="W8" i="107" s="1"/>
  <c r="V507" i="3"/>
  <c r="V8" i="107" s="1"/>
  <c r="T507" i="3"/>
  <c r="T8" i="107" s="1"/>
  <c r="S507" i="3"/>
  <c r="S8" i="107" s="1"/>
  <c r="Q507" i="3"/>
  <c r="Q8" i="107" s="1"/>
  <c r="P507" i="3"/>
  <c r="P8" i="107" s="1"/>
  <c r="F507" i="3"/>
  <c r="E507" i="3"/>
  <c r="Y506" i="3"/>
  <c r="Y26" i="185" s="1"/>
  <c r="X506" i="3"/>
  <c r="X26" i="185" s="1"/>
  <c r="W506" i="3"/>
  <c r="W26" i="185" s="1"/>
  <c r="V506" i="3"/>
  <c r="V26" i="185" s="1"/>
  <c r="T506" i="3"/>
  <c r="T26" i="185" s="1"/>
  <c r="S506" i="3"/>
  <c r="Q506" i="3"/>
  <c r="Q26" i="185" s="1"/>
  <c r="P506" i="3"/>
  <c r="P26" i="185" s="1"/>
  <c r="F506" i="3"/>
  <c r="E506" i="3"/>
  <c r="Y505" i="3"/>
  <c r="Y3" i="124" s="1"/>
  <c r="X505" i="3"/>
  <c r="X3" i="124" s="1"/>
  <c r="W505" i="3"/>
  <c r="W3" i="124" s="1"/>
  <c r="V505" i="3"/>
  <c r="V3" i="124" s="1"/>
  <c r="T505" i="3"/>
  <c r="T3" i="124" s="1"/>
  <c r="S505" i="3"/>
  <c r="S3" i="124" s="1"/>
  <c r="Q505" i="3"/>
  <c r="Q3" i="124" s="1"/>
  <c r="P505" i="3"/>
  <c r="F505" i="3"/>
  <c r="E505" i="3"/>
  <c r="Y504" i="3"/>
  <c r="Y4" i="197" s="1"/>
  <c r="X504" i="3"/>
  <c r="X4" i="197" s="1"/>
  <c r="W504" i="3"/>
  <c r="W4" i="197" s="1"/>
  <c r="V504" i="3"/>
  <c r="V4" i="197" s="1"/>
  <c r="T504" i="3"/>
  <c r="T4" i="197" s="1"/>
  <c r="S504" i="3"/>
  <c r="S4" i="197" s="1"/>
  <c r="Q504" i="3"/>
  <c r="Q4" i="197" s="1"/>
  <c r="P504" i="3"/>
  <c r="P4" i="197" s="1"/>
  <c r="F504" i="3"/>
  <c r="E504" i="3"/>
  <c r="Y503" i="3"/>
  <c r="Y2" i="137" s="1"/>
  <c r="X503" i="3"/>
  <c r="X2" i="137" s="1"/>
  <c r="W503" i="3"/>
  <c r="W2" i="137" s="1"/>
  <c r="V503" i="3"/>
  <c r="V2" i="137" s="1"/>
  <c r="U503" i="3"/>
  <c r="U2" i="137" s="1"/>
  <c r="T503" i="3"/>
  <c r="T2" i="137" s="1"/>
  <c r="S503" i="3"/>
  <c r="S2" i="137" s="1"/>
  <c r="Q503" i="3"/>
  <c r="Q2" i="137" s="1"/>
  <c r="P503" i="3"/>
  <c r="P2" i="137" s="1"/>
  <c r="F503" i="3"/>
  <c r="E503" i="3"/>
  <c r="Y502" i="3"/>
  <c r="Y7" i="174" s="1"/>
  <c r="X502" i="3"/>
  <c r="X7" i="174" s="1"/>
  <c r="W502" i="3"/>
  <c r="W7" i="174" s="1"/>
  <c r="V502" i="3"/>
  <c r="V7" i="174" s="1"/>
  <c r="T502" i="3"/>
  <c r="T7" i="174" s="1"/>
  <c r="S502" i="3"/>
  <c r="S7" i="174" s="1"/>
  <c r="Q502" i="3"/>
  <c r="Q7" i="174" s="1"/>
  <c r="P502" i="3"/>
  <c r="P7" i="174" s="1"/>
  <c r="F502" i="3"/>
  <c r="E502" i="3"/>
  <c r="Y501" i="3"/>
  <c r="Y2" i="66" s="1"/>
  <c r="X501" i="3"/>
  <c r="X2" i="66" s="1"/>
  <c r="W501" i="3"/>
  <c r="W2" i="66" s="1"/>
  <c r="V501" i="3"/>
  <c r="V2" i="66" s="1"/>
  <c r="T501" i="3"/>
  <c r="T2" i="66" s="1"/>
  <c r="S501" i="3"/>
  <c r="Q501" i="3"/>
  <c r="Q2" i="66" s="1"/>
  <c r="P501" i="3"/>
  <c r="P2" i="66" s="1"/>
  <c r="F501" i="3"/>
  <c r="E501" i="3"/>
  <c r="Y40" i="92"/>
  <c r="X40" i="92"/>
  <c r="W40" i="92"/>
  <c r="V40" i="92"/>
  <c r="T40" i="92"/>
  <c r="S40" i="92"/>
  <c r="Q40" i="92"/>
  <c r="Y500" i="3"/>
  <c r="Y4" i="145" s="1"/>
  <c r="X500" i="3"/>
  <c r="X4" i="145" s="1"/>
  <c r="W500" i="3"/>
  <c r="W4" i="145" s="1"/>
  <c r="V500" i="3"/>
  <c r="V4" i="145" s="1"/>
  <c r="T500" i="3"/>
  <c r="T4" i="145" s="1"/>
  <c r="S500" i="3"/>
  <c r="S4" i="145" s="1"/>
  <c r="Q500" i="3"/>
  <c r="Q4" i="145" s="1"/>
  <c r="P500" i="3"/>
  <c r="P4" i="145" s="1"/>
  <c r="F500" i="3"/>
  <c r="E500" i="3"/>
  <c r="Y499" i="3"/>
  <c r="Y6" i="68" s="1"/>
  <c r="X499" i="3"/>
  <c r="X6" i="68" s="1"/>
  <c r="W499" i="3"/>
  <c r="W6" i="68" s="1"/>
  <c r="V499" i="3"/>
  <c r="V6" i="68" s="1"/>
  <c r="T499" i="3"/>
  <c r="T6" i="68" s="1"/>
  <c r="S499" i="3"/>
  <c r="Q499" i="3"/>
  <c r="Q6" i="68" s="1"/>
  <c r="P499" i="3"/>
  <c r="P6" i="68" s="1"/>
  <c r="F499" i="3"/>
  <c r="E499" i="3"/>
  <c r="Y498" i="3"/>
  <c r="Y4" i="78" s="1"/>
  <c r="X498" i="3"/>
  <c r="X4" i="78" s="1"/>
  <c r="W498" i="3"/>
  <c r="W4" i="78" s="1"/>
  <c r="V498" i="3"/>
  <c r="V4" i="78" s="1"/>
  <c r="T498" i="3"/>
  <c r="T4" i="78" s="1"/>
  <c r="S498" i="3"/>
  <c r="S4" i="78" s="1"/>
  <c r="Q498" i="3"/>
  <c r="Q4" i="78" s="1"/>
  <c r="P498" i="3"/>
  <c r="F498" i="3"/>
  <c r="E498" i="3"/>
  <c r="Y497" i="3"/>
  <c r="X497" i="3"/>
  <c r="W497" i="3"/>
  <c r="V497" i="3"/>
  <c r="V2" i="165" s="1"/>
  <c r="T497" i="3"/>
  <c r="S497" i="3"/>
  <c r="Q497" i="3"/>
  <c r="P497" i="3"/>
  <c r="F497" i="3"/>
  <c r="E497" i="3"/>
  <c r="Y496" i="3"/>
  <c r="Y8" i="69" s="1"/>
  <c r="X496" i="3"/>
  <c r="X8" i="69" s="1"/>
  <c r="W496" i="3"/>
  <c r="W8" i="69" s="1"/>
  <c r="V496" i="3"/>
  <c r="V8" i="69" s="1"/>
  <c r="T496" i="3"/>
  <c r="T8" i="69" s="1"/>
  <c r="S496" i="3"/>
  <c r="S8" i="69" s="1"/>
  <c r="Q496" i="3"/>
  <c r="Q8" i="69" s="1"/>
  <c r="P496" i="3"/>
  <c r="P8" i="69" s="1"/>
  <c r="F496" i="3"/>
  <c r="E496" i="3"/>
  <c r="Y495" i="3"/>
  <c r="Y19" i="168" s="1"/>
  <c r="X495" i="3"/>
  <c r="X19" i="168" s="1"/>
  <c r="W495" i="3"/>
  <c r="W19" i="168" s="1"/>
  <c r="V495" i="3"/>
  <c r="V19" i="168" s="1"/>
  <c r="T495" i="3"/>
  <c r="T19" i="168" s="1"/>
  <c r="S495" i="3"/>
  <c r="S19" i="168" s="1"/>
  <c r="Q495" i="3"/>
  <c r="Q19" i="168" s="1"/>
  <c r="P495" i="3"/>
  <c r="P19" i="168" s="1"/>
  <c r="F495" i="3"/>
  <c r="E495" i="3"/>
  <c r="Y494" i="3"/>
  <c r="Y7" i="143" s="1"/>
  <c r="X494" i="3"/>
  <c r="X7" i="143" s="1"/>
  <c r="W494" i="3"/>
  <c r="W7" i="143" s="1"/>
  <c r="V494" i="3"/>
  <c r="V7" i="143" s="1"/>
  <c r="T494" i="3"/>
  <c r="T7" i="143" s="1"/>
  <c r="S494" i="3"/>
  <c r="Q494" i="3"/>
  <c r="Q7" i="143" s="1"/>
  <c r="P494" i="3"/>
  <c r="P7" i="143" s="1"/>
  <c r="F494" i="3"/>
  <c r="E494" i="3"/>
  <c r="Y493" i="3"/>
  <c r="Y9" i="196" s="1"/>
  <c r="X493" i="3"/>
  <c r="X9" i="196" s="1"/>
  <c r="W493" i="3"/>
  <c r="W9" i="196" s="1"/>
  <c r="V493" i="3"/>
  <c r="V9" i="196" s="1"/>
  <c r="T493" i="3"/>
  <c r="T9" i="196" s="1"/>
  <c r="S493" i="3"/>
  <c r="S9" i="196" s="1"/>
  <c r="Q493" i="3"/>
  <c r="Q9" i="196" s="1"/>
  <c r="P493" i="3"/>
  <c r="F493" i="3"/>
  <c r="E493" i="3"/>
  <c r="Y492" i="3"/>
  <c r="Y2" i="91" s="1"/>
  <c r="X492" i="3"/>
  <c r="X2" i="91" s="1"/>
  <c r="W492" i="3"/>
  <c r="W2" i="91" s="1"/>
  <c r="V492" i="3"/>
  <c r="V2" i="91" s="1"/>
  <c r="T492" i="3"/>
  <c r="T2" i="91" s="1"/>
  <c r="S492" i="3"/>
  <c r="S2" i="91" s="1"/>
  <c r="Q492" i="3"/>
  <c r="Q2" i="91" s="1"/>
  <c r="P492" i="3"/>
  <c r="P2" i="91" s="1"/>
  <c r="F492" i="3"/>
  <c r="E492" i="3"/>
  <c r="Y491" i="3"/>
  <c r="Y15" i="167" s="1"/>
  <c r="X491" i="3"/>
  <c r="X15" i="167" s="1"/>
  <c r="W491" i="3"/>
  <c r="W15" i="167" s="1"/>
  <c r="V491" i="3"/>
  <c r="V15" i="167" s="1"/>
  <c r="T491" i="3"/>
  <c r="T15" i="167" s="1"/>
  <c r="S491" i="3"/>
  <c r="Q491" i="3"/>
  <c r="Q15" i="167" s="1"/>
  <c r="P491" i="3"/>
  <c r="P15" i="167" s="1"/>
  <c r="F491" i="3"/>
  <c r="E491" i="3"/>
  <c r="Y490" i="3"/>
  <c r="Y17" i="171" s="1"/>
  <c r="X490" i="3"/>
  <c r="X17" i="171" s="1"/>
  <c r="W490" i="3"/>
  <c r="W17" i="171" s="1"/>
  <c r="V490" i="3"/>
  <c r="V17" i="171" s="1"/>
  <c r="T490" i="3"/>
  <c r="T17" i="171" s="1"/>
  <c r="S490" i="3"/>
  <c r="S17" i="171" s="1"/>
  <c r="Q490" i="3"/>
  <c r="Q17" i="171" s="1"/>
  <c r="P490" i="3"/>
  <c r="F490" i="3"/>
  <c r="E490" i="3"/>
  <c r="Y489" i="3"/>
  <c r="Y16" i="171" s="1"/>
  <c r="X489" i="3"/>
  <c r="X16" i="171" s="1"/>
  <c r="W489" i="3"/>
  <c r="W16" i="171" s="1"/>
  <c r="V489" i="3"/>
  <c r="V16" i="171" s="1"/>
  <c r="T489" i="3"/>
  <c r="T16" i="171" s="1"/>
  <c r="S489" i="3"/>
  <c r="S16" i="171" s="1"/>
  <c r="Q489" i="3"/>
  <c r="Q16" i="171" s="1"/>
  <c r="P489" i="3"/>
  <c r="P16" i="171" s="1"/>
  <c r="F489" i="3"/>
  <c r="E489" i="3"/>
  <c r="Y488" i="3"/>
  <c r="Y15" i="123" s="1"/>
  <c r="X488" i="3"/>
  <c r="X15" i="123" s="1"/>
  <c r="W488" i="3"/>
  <c r="W15" i="123" s="1"/>
  <c r="V488" i="3"/>
  <c r="V15" i="123" s="1"/>
  <c r="T488" i="3"/>
  <c r="T15" i="123" s="1"/>
  <c r="S488" i="3"/>
  <c r="S15" i="123" s="1"/>
  <c r="Q488" i="3"/>
  <c r="Q15" i="123" s="1"/>
  <c r="P488" i="3"/>
  <c r="P15" i="123" s="1"/>
  <c r="F488" i="3"/>
  <c r="E488" i="3"/>
  <c r="Y487" i="3"/>
  <c r="Y6" i="121" s="1"/>
  <c r="X487" i="3"/>
  <c r="X6" i="121" s="1"/>
  <c r="W487" i="3"/>
  <c r="W6" i="121" s="1"/>
  <c r="V487" i="3"/>
  <c r="V6" i="121" s="1"/>
  <c r="T487" i="3"/>
  <c r="T6" i="121" s="1"/>
  <c r="S487" i="3"/>
  <c r="S6" i="121" s="1"/>
  <c r="Q487" i="3"/>
  <c r="Q6" i="121" s="1"/>
  <c r="P487" i="3"/>
  <c r="P6" i="121" s="1"/>
  <c r="F487" i="3"/>
  <c r="E487" i="3"/>
  <c r="Y486" i="3"/>
  <c r="Y6" i="188" s="1"/>
  <c r="X486" i="3"/>
  <c r="X6" i="188" s="1"/>
  <c r="W486" i="3"/>
  <c r="W6" i="188" s="1"/>
  <c r="V486" i="3"/>
  <c r="V6" i="188" s="1"/>
  <c r="T486" i="3"/>
  <c r="T6" i="188" s="1"/>
  <c r="S486" i="3"/>
  <c r="Q486" i="3"/>
  <c r="Q6" i="188" s="1"/>
  <c r="P486" i="3"/>
  <c r="P6" i="188" s="1"/>
  <c r="F486" i="3"/>
  <c r="E486" i="3"/>
  <c r="Y485" i="3"/>
  <c r="X485" i="3"/>
  <c r="W485" i="3"/>
  <c r="V485" i="3"/>
  <c r="T485" i="3"/>
  <c r="S485" i="3"/>
  <c r="Q485" i="3"/>
  <c r="P485" i="3"/>
  <c r="F485" i="3"/>
  <c r="E485" i="3"/>
  <c r="Y484" i="3"/>
  <c r="Y4" i="30" s="1"/>
  <c r="X484" i="3"/>
  <c r="X4" i="30" s="1"/>
  <c r="W484" i="3"/>
  <c r="W4" i="30" s="1"/>
  <c r="V484" i="3"/>
  <c r="V4" i="30" s="1"/>
  <c r="T484" i="3"/>
  <c r="T4" i="30" s="1"/>
  <c r="S484" i="3"/>
  <c r="S4" i="30" s="1"/>
  <c r="Q484" i="3"/>
  <c r="Q4" i="30" s="1"/>
  <c r="P484" i="3"/>
  <c r="P4" i="30" s="1"/>
  <c r="F484" i="3"/>
  <c r="E484" i="3"/>
  <c r="Y483" i="3"/>
  <c r="Y3" i="145" s="1"/>
  <c r="X483" i="3"/>
  <c r="X3" i="145" s="1"/>
  <c r="W483" i="3"/>
  <c r="W3" i="145" s="1"/>
  <c r="V483" i="3"/>
  <c r="V3" i="145" s="1"/>
  <c r="T483" i="3"/>
  <c r="T3" i="145" s="1"/>
  <c r="S483" i="3"/>
  <c r="Q483" i="3"/>
  <c r="Q3" i="145" s="1"/>
  <c r="P483" i="3"/>
  <c r="P3" i="145" s="1"/>
  <c r="F483" i="3"/>
  <c r="E483" i="3"/>
  <c r="Y482" i="3"/>
  <c r="Y7" i="116" s="1"/>
  <c r="X482" i="3"/>
  <c r="X7" i="116" s="1"/>
  <c r="W482" i="3"/>
  <c r="W7" i="116" s="1"/>
  <c r="V482" i="3"/>
  <c r="V7" i="116" s="1"/>
  <c r="T482" i="3"/>
  <c r="T7" i="116" s="1"/>
  <c r="S482" i="3"/>
  <c r="S7" i="116" s="1"/>
  <c r="Q482" i="3"/>
  <c r="Q7" i="116" s="1"/>
  <c r="P482" i="3"/>
  <c r="F482" i="3"/>
  <c r="E482" i="3"/>
  <c r="Y481" i="3"/>
  <c r="Y5" i="12" s="1"/>
  <c r="X481" i="3"/>
  <c r="X5" i="12" s="1"/>
  <c r="W481" i="3"/>
  <c r="W5" i="12" s="1"/>
  <c r="V481" i="3"/>
  <c r="V5" i="12" s="1"/>
  <c r="T481" i="3"/>
  <c r="T5" i="12" s="1"/>
  <c r="S481" i="3"/>
  <c r="S5" i="12" s="1"/>
  <c r="Q481" i="3"/>
  <c r="Q5" i="12" s="1"/>
  <c r="P481" i="3"/>
  <c r="P5" i="12" s="1"/>
  <c r="F481" i="3"/>
  <c r="E481" i="3"/>
  <c r="Y480" i="3"/>
  <c r="Y3" i="191" s="1"/>
  <c r="X480" i="3"/>
  <c r="X3" i="191" s="1"/>
  <c r="W480" i="3"/>
  <c r="W3" i="191" s="1"/>
  <c r="V480" i="3"/>
  <c r="V3" i="191" s="1"/>
  <c r="T480" i="3"/>
  <c r="T3" i="191" s="1"/>
  <c r="S480" i="3"/>
  <c r="S3" i="191" s="1"/>
  <c r="Q480" i="3"/>
  <c r="Q3" i="191" s="1"/>
  <c r="P480" i="3"/>
  <c r="P3" i="191" s="1"/>
  <c r="F480" i="3"/>
  <c r="E480" i="3"/>
  <c r="Y479" i="3"/>
  <c r="Y3" i="85" s="1"/>
  <c r="X479" i="3"/>
  <c r="X3" i="85" s="1"/>
  <c r="W479" i="3"/>
  <c r="W3" i="85" s="1"/>
  <c r="V479" i="3"/>
  <c r="V3" i="85" s="1"/>
  <c r="T479" i="3"/>
  <c r="T3" i="85" s="1"/>
  <c r="S479" i="3"/>
  <c r="S3" i="85" s="1"/>
  <c r="Q479" i="3"/>
  <c r="Q3" i="85" s="1"/>
  <c r="P479" i="3"/>
  <c r="P3" i="85" s="1"/>
  <c r="F479" i="3"/>
  <c r="E479" i="3"/>
  <c r="Y478" i="3"/>
  <c r="Y39" i="92" s="1"/>
  <c r="X478" i="3"/>
  <c r="X39" i="92" s="1"/>
  <c r="W478" i="3"/>
  <c r="W39" i="92" s="1"/>
  <c r="V478" i="3"/>
  <c r="V39" i="92" s="1"/>
  <c r="T478" i="3"/>
  <c r="T39" i="92" s="1"/>
  <c r="S478" i="3"/>
  <c r="Q478" i="3"/>
  <c r="Q39" i="92" s="1"/>
  <c r="P478" i="3"/>
  <c r="P39" i="92" s="1"/>
  <c r="F478" i="3"/>
  <c r="E478" i="3"/>
  <c r="Y477" i="3"/>
  <c r="Y9" i="108" s="1"/>
  <c r="X477" i="3"/>
  <c r="X9" i="108" s="1"/>
  <c r="W477" i="3"/>
  <c r="W9" i="108" s="1"/>
  <c r="V477" i="3"/>
  <c r="V9" i="108" s="1"/>
  <c r="T477" i="3"/>
  <c r="T9" i="108" s="1"/>
  <c r="S477" i="3"/>
  <c r="S9" i="108" s="1"/>
  <c r="Q477" i="3"/>
  <c r="Q9" i="108" s="1"/>
  <c r="P477" i="3"/>
  <c r="F477" i="3"/>
  <c r="E477" i="3"/>
  <c r="Y476" i="3"/>
  <c r="Y12" i="193" s="1"/>
  <c r="X476" i="3"/>
  <c r="X12" i="193" s="1"/>
  <c r="W476" i="3"/>
  <c r="W12" i="193" s="1"/>
  <c r="V476" i="3"/>
  <c r="V12" i="193" s="1"/>
  <c r="T476" i="3"/>
  <c r="T12" i="193" s="1"/>
  <c r="S476" i="3"/>
  <c r="S12" i="193" s="1"/>
  <c r="Q476" i="3"/>
  <c r="Q12" i="193" s="1"/>
  <c r="P476" i="3"/>
  <c r="P12" i="193" s="1"/>
  <c r="F476" i="3"/>
  <c r="E476" i="3"/>
  <c r="Y475" i="3"/>
  <c r="Y3" i="67" s="1"/>
  <c r="X475" i="3"/>
  <c r="X3" i="67" s="1"/>
  <c r="W475" i="3"/>
  <c r="W3" i="67" s="1"/>
  <c r="V475" i="3"/>
  <c r="V3" i="67" s="1"/>
  <c r="T475" i="3"/>
  <c r="T3" i="67" s="1"/>
  <c r="S475" i="3"/>
  <c r="Q475" i="3"/>
  <c r="Q3" i="67" s="1"/>
  <c r="P475" i="3"/>
  <c r="P3" i="67" s="1"/>
  <c r="F475" i="3"/>
  <c r="E475" i="3"/>
  <c r="Y474" i="3"/>
  <c r="Y5" i="114" s="1"/>
  <c r="X474" i="3"/>
  <c r="X5" i="114" s="1"/>
  <c r="W474" i="3"/>
  <c r="W5" i="114" s="1"/>
  <c r="V474" i="3"/>
  <c r="V5" i="114" s="1"/>
  <c r="T474" i="3"/>
  <c r="T5" i="114" s="1"/>
  <c r="S474" i="3"/>
  <c r="S5" i="114" s="1"/>
  <c r="Q474" i="3"/>
  <c r="Q5" i="114" s="1"/>
  <c r="P474" i="3"/>
  <c r="F474" i="3"/>
  <c r="E474" i="3"/>
  <c r="Y473" i="3"/>
  <c r="Y8" i="116" s="1"/>
  <c r="X473" i="3"/>
  <c r="X8" i="116" s="1"/>
  <c r="W473" i="3"/>
  <c r="W8" i="116" s="1"/>
  <c r="V473" i="3"/>
  <c r="V8" i="116" s="1"/>
  <c r="T473" i="3"/>
  <c r="T8" i="116" s="1"/>
  <c r="S473" i="3"/>
  <c r="S8" i="116" s="1"/>
  <c r="Q473" i="3"/>
  <c r="Q8" i="116" s="1"/>
  <c r="P473" i="3"/>
  <c r="P8" i="116" s="1"/>
  <c r="F473" i="3"/>
  <c r="E473" i="3"/>
  <c r="Y472" i="3"/>
  <c r="Y25" i="185" s="1"/>
  <c r="X472" i="3"/>
  <c r="X25" i="185" s="1"/>
  <c r="W472" i="3"/>
  <c r="W25" i="185" s="1"/>
  <c r="V472" i="3"/>
  <c r="V25" i="185" s="1"/>
  <c r="U472" i="3"/>
  <c r="U25" i="185" s="1"/>
  <c r="T472" i="3"/>
  <c r="T25" i="185" s="1"/>
  <c r="S472" i="3"/>
  <c r="S25" i="185" s="1"/>
  <c r="Q472" i="3"/>
  <c r="Q25" i="185" s="1"/>
  <c r="P472" i="3"/>
  <c r="P25" i="185" s="1"/>
  <c r="F472" i="3"/>
  <c r="E472" i="3"/>
  <c r="Y471" i="3"/>
  <c r="Y2" i="59" s="1"/>
  <c r="X471" i="3"/>
  <c r="X2" i="59" s="1"/>
  <c r="W471" i="3"/>
  <c r="W2" i="59" s="1"/>
  <c r="V471" i="3"/>
  <c r="V2" i="59" s="1"/>
  <c r="T471" i="3"/>
  <c r="T2" i="59" s="1"/>
  <c r="S471" i="3"/>
  <c r="S2" i="59" s="1"/>
  <c r="Q471" i="3"/>
  <c r="Q2" i="59" s="1"/>
  <c r="P471" i="3"/>
  <c r="P2" i="59" s="1"/>
  <c r="F471" i="3"/>
  <c r="E471" i="3"/>
  <c r="Y470" i="3"/>
  <c r="Y5" i="74" s="1"/>
  <c r="X470" i="3"/>
  <c r="X5" i="74" s="1"/>
  <c r="W470" i="3"/>
  <c r="W5" i="74" s="1"/>
  <c r="V470" i="3"/>
  <c r="V5" i="74" s="1"/>
  <c r="T470" i="3"/>
  <c r="T5" i="74" s="1"/>
  <c r="S470" i="3"/>
  <c r="Q470" i="3"/>
  <c r="Q5" i="74" s="1"/>
  <c r="P470" i="3"/>
  <c r="P5" i="74" s="1"/>
  <c r="F470" i="3"/>
  <c r="E470" i="3"/>
  <c r="Y469" i="3"/>
  <c r="Y3" i="125" s="1"/>
  <c r="X469" i="3"/>
  <c r="X3" i="125" s="1"/>
  <c r="W469" i="3"/>
  <c r="W3" i="125" s="1"/>
  <c r="V469" i="3"/>
  <c r="V3" i="125" s="1"/>
  <c r="T469" i="3"/>
  <c r="T3" i="125" s="1"/>
  <c r="S469" i="3"/>
  <c r="S3" i="125" s="1"/>
  <c r="Q469" i="3"/>
  <c r="Q3" i="125" s="1"/>
  <c r="P469" i="3"/>
  <c r="F469" i="3"/>
  <c r="E469" i="3"/>
  <c r="Y468" i="3"/>
  <c r="Y38" i="92" s="1"/>
  <c r="X468" i="3"/>
  <c r="X38" i="92" s="1"/>
  <c r="W468" i="3"/>
  <c r="W38" i="92" s="1"/>
  <c r="V468" i="3"/>
  <c r="V38" i="92" s="1"/>
  <c r="T468" i="3"/>
  <c r="T38" i="92" s="1"/>
  <c r="S468" i="3"/>
  <c r="S38" i="92" s="1"/>
  <c r="Q468" i="3"/>
  <c r="Q38" i="92" s="1"/>
  <c r="P468" i="3"/>
  <c r="P38" i="92" s="1"/>
  <c r="F468" i="3"/>
  <c r="E468" i="3"/>
  <c r="Y467" i="3"/>
  <c r="Y3" i="183" s="1"/>
  <c r="X467" i="3"/>
  <c r="X3" i="183" s="1"/>
  <c r="W467" i="3"/>
  <c r="W3" i="183" s="1"/>
  <c r="V467" i="3"/>
  <c r="V3" i="183" s="1"/>
  <c r="T467" i="3"/>
  <c r="T3" i="183" s="1"/>
  <c r="S467" i="3"/>
  <c r="Q467" i="3"/>
  <c r="Q3" i="183" s="1"/>
  <c r="P467" i="3"/>
  <c r="P3" i="183" s="1"/>
  <c r="F467" i="3"/>
  <c r="E467" i="3"/>
  <c r="Y466" i="3"/>
  <c r="Y8" i="122" s="1"/>
  <c r="X466" i="3"/>
  <c r="X8" i="122" s="1"/>
  <c r="W466" i="3"/>
  <c r="W8" i="122" s="1"/>
  <c r="V466" i="3"/>
  <c r="V8" i="122" s="1"/>
  <c r="T466" i="3"/>
  <c r="T8" i="122" s="1"/>
  <c r="S466" i="3"/>
  <c r="S8" i="122" s="1"/>
  <c r="Q466" i="3"/>
  <c r="Q8" i="122" s="1"/>
  <c r="P466" i="3"/>
  <c r="F466" i="3"/>
  <c r="E466" i="3"/>
  <c r="Y465" i="3"/>
  <c r="Y13" i="38" s="1"/>
  <c r="X465" i="3"/>
  <c r="X13" i="38" s="1"/>
  <c r="W465" i="3"/>
  <c r="W13" i="38" s="1"/>
  <c r="V465" i="3"/>
  <c r="V13" i="38" s="1"/>
  <c r="T465" i="3"/>
  <c r="T13" i="38" s="1"/>
  <c r="S465" i="3"/>
  <c r="S13" i="38" s="1"/>
  <c r="Q465" i="3"/>
  <c r="Q13" i="38" s="1"/>
  <c r="P465" i="3"/>
  <c r="P13" i="38" s="1"/>
  <c r="F465" i="3"/>
  <c r="E465" i="3"/>
  <c r="Y464" i="3"/>
  <c r="Y11" i="177" s="1"/>
  <c r="X464" i="3"/>
  <c r="X11" i="177" s="1"/>
  <c r="W464" i="3"/>
  <c r="W11" i="177" s="1"/>
  <c r="V464" i="3"/>
  <c r="V11" i="177" s="1"/>
  <c r="T464" i="3"/>
  <c r="T11" i="177" s="1"/>
  <c r="S464" i="3"/>
  <c r="S11" i="177" s="1"/>
  <c r="Q464" i="3"/>
  <c r="Q11" i="177" s="1"/>
  <c r="P464" i="3"/>
  <c r="P11" i="177" s="1"/>
  <c r="F464" i="3"/>
  <c r="E464" i="3"/>
  <c r="Y463" i="3"/>
  <c r="Y8" i="109" s="1"/>
  <c r="X463" i="3"/>
  <c r="X8" i="109" s="1"/>
  <c r="W463" i="3"/>
  <c r="W8" i="109" s="1"/>
  <c r="V463" i="3"/>
  <c r="V8" i="109" s="1"/>
  <c r="T463" i="3"/>
  <c r="T8" i="109" s="1"/>
  <c r="S463" i="3"/>
  <c r="S8" i="109" s="1"/>
  <c r="Q463" i="3"/>
  <c r="Q8" i="109" s="1"/>
  <c r="P463" i="3"/>
  <c r="P8" i="109" s="1"/>
  <c r="F463" i="3"/>
  <c r="E463" i="3"/>
  <c r="Y462" i="3"/>
  <c r="Y5" i="139" s="1"/>
  <c r="X462" i="3"/>
  <c r="X5" i="139" s="1"/>
  <c r="W462" i="3"/>
  <c r="W5" i="139" s="1"/>
  <c r="V462" i="3"/>
  <c r="V5" i="139" s="1"/>
  <c r="T462" i="3"/>
  <c r="T5" i="139" s="1"/>
  <c r="S462" i="3"/>
  <c r="Q462" i="3"/>
  <c r="Q5" i="139" s="1"/>
  <c r="P462" i="3"/>
  <c r="P5" i="139" s="1"/>
  <c r="F462" i="3"/>
  <c r="E462" i="3"/>
  <c r="Y461" i="3"/>
  <c r="Y3" i="41" s="1"/>
  <c r="X461" i="3"/>
  <c r="X3" i="41" s="1"/>
  <c r="W461" i="3"/>
  <c r="W3" i="41" s="1"/>
  <c r="V461" i="3"/>
  <c r="V3" i="41" s="1"/>
  <c r="T461" i="3"/>
  <c r="T3" i="41" s="1"/>
  <c r="S461" i="3"/>
  <c r="S3" i="41" s="1"/>
  <c r="Q461" i="3"/>
  <c r="Q3" i="41" s="1"/>
  <c r="P461" i="3"/>
  <c r="F461" i="3"/>
  <c r="E461" i="3"/>
  <c r="Y460" i="3"/>
  <c r="Y6" i="101" s="1"/>
  <c r="X460" i="3"/>
  <c r="X6" i="101" s="1"/>
  <c r="W460" i="3"/>
  <c r="W6" i="101" s="1"/>
  <c r="V460" i="3"/>
  <c r="V6" i="101" s="1"/>
  <c r="T460" i="3"/>
  <c r="T6" i="101" s="1"/>
  <c r="S460" i="3"/>
  <c r="S6" i="101" s="1"/>
  <c r="Q460" i="3"/>
  <c r="Q6" i="101" s="1"/>
  <c r="P460" i="3"/>
  <c r="P6" i="101" s="1"/>
  <c r="F460" i="3"/>
  <c r="E460" i="3"/>
  <c r="Y459" i="3"/>
  <c r="Y5" i="121" s="1"/>
  <c r="X459" i="3"/>
  <c r="X5" i="121" s="1"/>
  <c r="W459" i="3"/>
  <c r="W5" i="121" s="1"/>
  <c r="V459" i="3"/>
  <c r="V5" i="121" s="1"/>
  <c r="T459" i="3"/>
  <c r="T5" i="121" s="1"/>
  <c r="S459" i="3"/>
  <c r="Q459" i="3"/>
  <c r="Q5" i="121" s="1"/>
  <c r="P459" i="3"/>
  <c r="P5" i="121" s="1"/>
  <c r="F459" i="3"/>
  <c r="E459" i="3"/>
  <c r="Y458" i="3"/>
  <c r="Y6" i="116" s="1"/>
  <c r="X458" i="3"/>
  <c r="X6" i="116" s="1"/>
  <c r="W458" i="3"/>
  <c r="W6" i="116" s="1"/>
  <c r="V458" i="3"/>
  <c r="V6" i="116" s="1"/>
  <c r="T458" i="3"/>
  <c r="T6" i="116" s="1"/>
  <c r="S458" i="3"/>
  <c r="S6" i="116" s="1"/>
  <c r="Q458" i="3"/>
  <c r="Q6" i="116" s="1"/>
  <c r="P458" i="3"/>
  <c r="F458" i="3"/>
  <c r="E458" i="3"/>
  <c r="Y457" i="3"/>
  <c r="Y18" i="168" s="1"/>
  <c r="X457" i="3"/>
  <c r="X18" i="168" s="1"/>
  <c r="W457" i="3"/>
  <c r="W18" i="168" s="1"/>
  <c r="V457" i="3"/>
  <c r="V18" i="168" s="1"/>
  <c r="T457" i="3"/>
  <c r="T18" i="168" s="1"/>
  <c r="S457" i="3"/>
  <c r="S18" i="168" s="1"/>
  <c r="Q457" i="3"/>
  <c r="Q18" i="168" s="1"/>
  <c r="P457" i="3"/>
  <c r="P18" i="168" s="1"/>
  <c r="F457" i="3"/>
  <c r="E457" i="3"/>
  <c r="Y456" i="3"/>
  <c r="Y4" i="129" s="1"/>
  <c r="X456" i="3"/>
  <c r="X4" i="129" s="1"/>
  <c r="W456" i="3"/>
  <c r="W4" i="129" s="1"/>
  <c r="V456" i="3"/>
  <c r="V4" i="129" s="1"/>
  <c r="T456" i="3"/>
  <c r="T4" i="129" s="1"/>
  <c r="S456" i="3"/>
  <c r="S4" i="129" s="1"/>
  <c r="Q456" i="3"/>
  <c r="Q4" i="129" s="1"/>
  <c r="P456" i="3"/>
  <c r="P4" i="129" s="1"/>
  <c r="F456" i="3"/>
  <c r="E456" i="3"/>
  <c r="Y455" i="3"/>
  <c r="Y5" i="76" s="1"/>
  <c r="X455" i="3"/>
  <c r="X5" i="76" s="1"/>
  <c r="W455" i="3"/>
  <c r="W5" i="76" s="1"/>
  <c r="V455" i="3"/>
  <c r="V5" i="76" s="1"/>
  <c r="T455" i="3"/>
  <c r="T5" i="76" s="1"/>
  <c r="S455" i="3"/>
  <c r="S5" i="76" s="1"/>
  <c r="Q455" i="3"/>
  <c r="Q5" i="76" s="1"/>
  <c r="P455" i="3"/>
  <c r="P5" i="76" s="1"/>
  <c r="F455" i="3"/>
  <c r="E455" i="3"/>
  <c r="Y454" i="3"/>
  <c r="Y13" i="196" s="1"/>
  <c r="X454" i="3"/>
  <c r="X13" i="196" s="1"/>
  <c r="W454" i="3"/>
  <c r="W13" i="196" s="1"/>
  <c r="V454" i="3"/>
  <c r="V13" i="196" s="1"/>
  <c r="T454" i="3"/>
  <c r="T13" i="196" s="1"/>
  <c r="S454" i="3"/>
  <c r="Q454" i="3"/>
  <c r="Q13" i="196" s="1"/>
  <c r="P454" i="3"/>
  <c r="P13" i="196" s="1"/>
  <c r="F454" i="3"/>
  <c r="E454" i="3"/>
  <c r="Y453" i="3"/>
  <c r="Y4" i="39" s="1"/>
  <c r="X453" i="3"/>
  <c r="X4" i="39" s="1"/>
  <c r="W453" i="3"/>
  <c r="W4" i="39" s="1"/>
  <c r="V453" i="3"/>
  <c r="V4" i="39" s="1"/>
  <c r="T453" i="3"/>
  <c r="T4" i="39" s="1"/>
  <c r="S453" i="3"/>
  <c r="S4" i="39" s="1"/>
  <c r="Q453" i="3"/>
  <c r="Q4" i="39" s="1"/>
  <c r="P453" i="3"/>
  <c r="F453" i="3"/>
  <c r="E453" i="3"/>
  <c r="Y452" i="3"/>
  <c r="Y5" i="169" s="1"/>
  <c r="X452" i="3"/>
  <c r="X5" i="169" s="1"/>
  <c r="W452" i="3"/>
  <c r="W5" i="169" s="1"/>
  <c r="V452" i="3"/>
  <c r="V5" i="169" s="1"/>
  <c r="T452" i="3"/>
  <c r="T5" i="169" s="1"/>
  <c r="S452" i="3"/>
  <c r="S5" i="169" s="1"/>
  <c r="Q452" i="3"/>
  <c r="Q5" i="169" s="1"/>
  <c r="P452" i="3"/>
  <c r="P5" i="169" s="1"/>
  <c r="F452" i="3"/>
  <c r="E452" i="3"/>
  <c r="Y451" i="3"/>
  <c r="Y7" i="177" s="1"/>
  <c r="X451" i="3"/>
  <c r="X7" i="177" s="1"/>
  <c r="W451" i="3"/>
  <c r="W7" i="177" s="1"/>
  <c r="V451" i="3"/>
  <c r="V7" i="177" s="1"/>
  <c r="T451" i="3"/>
  <c r="T7" i="177" s="1"/>
  <c r="S451" i="3"/>
  <c r="Q451" i="3"/>
  <c r="Q7" i="177" s="1"/>
  <c r="P451" i="3"/>
  <c r="P7" i="177" s="1"/>
  <c r="F451" i="3"/>
  <c r="E451" i="3"/>
  <c r="Y450" i="3"/>
  <c r="X450" i="3"/>
  <c r="W450" i="3"/>
  <c r="V450" i="3"/>
  <c r="T450" i="3"/>
  <c r="S450" i="3"/>
  <c r="U450" i="3" s="1"/>
  <c r="Q450" i="3"/>
  <c r="P450" i="3"/>
  <c r="F450" i="3"/>
  <c r="E450" i="3"/>
  <c r="Y449" i="3"/>
  <c r="Y3" i="192" s="1"/>
  <c r="X449" i="3"/>
  <c r="X3" i="192" s="1"/>
  <c r="W449" i="3"/>
  <c r="W3" i="192" s="1"/>
  <c r="V449" i="3"/>
  <c r="V3" i="192" s="1"/>
  <c r="T449" i="3"/>
  <c r="T3" i="192" s="1"/>
  <c r="S449" i="3"/>
  <c r="S3" i="192" s="1"/>
  <c r="Q449" i="3"/>
  <c r="Q3" i="192" s="1"/>
  <c r="P449" i="3"/>
  <c r="P3" i="192" s="1"/>
  <c r="F449" i="3"/>
  <c r="E449" i="3"/>
  <c r="Y448" i="3"/>
  <c r="Y9" i="116" s="1"/>
  <c r="X448" i="3"/>
  <c r="X9" i="116" s="1"/>
  <c r="W448" i="3"/>
  <c r="W9" i="116" s="1"/>
  <c r="V448" i="3"/>
  <c r="V9" i="116" s="1"/>
  <c r="T448" i="3"/>
  <c r="T9" i="116" s="1"/>
  <c r="S448" i="3"/>
  <c r="S9" i="116" s="1"/>
  <c r="Q448" i="3"/>
  <c r="Q9" i="116" s="1"/>
  <c r="P448" i="3"/>
  <c r="P9" i="116" s="1"/>
  <c r="F448" i="3"/>
  <c r="E448" i="3"/>
  <c r="Y447" i="3"/>
  <c r="Y8" i="74" s="1"/>
  <c r="X447" i="3"/>
  <c r="X8" i="74" s="1"/>
  <c r="W447" i="3"/>
  <c r="W8" i="74" s="1"/>
  <c r="V447" i="3"/>
  <c r="V8" i="74" s="1"/>
  <c r="T447" i="3"/>
  <c r="T8" i="74" s="1"/>
  <c r="S447" i="3"/>
  <c r="S8" i="74" s="1"/>
  <c r="Q447" i="3"/>
  <c r="Q8" i="74" s="1"/>
  <c r="P447" i="3"/>
  <c r="P8" i="74" s="1"/>
  <c r="F447" i="3"/>
  <c r="E447" i="3"/>
  <c r="Y446" i="3"/>
  <c r="Y11" i="193" s="1"/>
  <c r="X446" i="3"/>
  <c r="X11" i="193" s="1"/>
  <c r="W446" i="3"/>
  <c r="W11" i="193" s="1"/>
  <c r="V446" i="3"/>
  <c r="V11" i="193" s="1"/>
  <c r="T446" i="3"/>
  <c r="T11" i="193" s="1"/>
  <c r="S446" i="3"/>
  <c r="Q446" i="3"/>
  <c r="Q11" i="193" s="1"/>
  <c r="P446" i="3"/>
  <c r="P11" i="193" s="1"/>
  <c r="F446" i="3"/>
  <c r="E446" i="3"/>
  <c r="Y445" i="3"/>
  <c r="Y7" i="169" s="1"/>
  <c r="X445" i="3"/>
  <c r="X7" i="169" s="1"/>
  <c r="W445" i="3"/>
  <c r="W7" i="169" s="1"/>
  <c r="V445" i="3"/>
  <c r="V7" i="169" s="1"/>
  <c r="T445" i="3"/>
  <c r="T7" i="169" s="1"/>
  <c r="S445" i="3"/>
  <c r="S7" i="169" s="1"/>
  <c r="Q445" i="3"/>
  <c r="Q7" i="169" s="1"/>
  <c r="P445" i="3"/>
  <c r="F445" i="3"/>
  <c r="E445" i="3"/>
  <c r="Y444" i="3"/>
  <c r="Y4" i="172" s="1"/>
  <c r="X444" i="3"/>
  <c r="X4" i="172" s="1"/>
  <c r="W444" i="3"/>
  <c r="W4" i="172" s="1"/>
  <c r="V444" i="3"/>
  <c r="V4" i="172" s="1"/>
  <c r="T444" i="3"/>
  <c r="T4" i="172" s="1"/>
  <c r="S444" i="3"/>
  <c r="S4" i="172" s="1"/>
  <c r="Q444" i="3"/>
  <c r="Q4" i="172" s="1"/>
  <c r="P444" i="3"/>
  <c r="P4" i="172" s="1"/>
  <c r="F444" i="3"/>
  <c r="E444" i="3"/>
  <c r="Y443" i="3"/>
  <c r="Y11" i="38" s="1"/>
  <c r="X443" i="3"/>
  <c r="X11" i="38" s="1"/>
  <c r="W443" i="3"/>
  <c r="W11" i="38" s="1"/>
  <c r="V443" i="3"/>
  <c r="V11" i="38" s="1"/>
  <c r="T443" i="3"/>
  <c r="T11" i="38" s="1"/>
  <c r="S443" i="3"/>
  <c r="Q443" i="3"/>
  <c r="Q11" i="38" s="1"/>
  <c r="P443" i="3"/>
  <c r="P11" i="38" s="1"/>
  <c r="F443" i="3"/>
  <c r="E443" i="3"/>
  <c r="Y442" i="3"/>
  <c r="Y3" i="30" s="1"/>
  <c r="X442" i="3"/>
  <c r="X3" i="30" s="1"/>
  <c r="W442" i="3"/>
  <c r="W3" i="30" s="1"/>
  <c r="V442" i="3"/>
  <c r="V3" i="30" s="1"/>
  <c r="T442" i="3"/>
  <c r="T3" i="30" s="1"/>
  <c r="S442" i="3"/>
  <c r="S3" i="30" s="1"/>
  <c r="Q442" i="3"/>
  <c r="Q3" i="30" s="1"/>
  <c r="P442" i="3"/>
  <c r="F442" i="3"/>
  <c r="E442" i="3"/>
  <c r="Y441" i="3"/>
  <c r="Y19" i="185" s="1"/>
  <c r="X441" i="3"/>
  <c r="X19" i="185" s="1"/>
  <c r="W441" i="3"/>
  <c r="W19" i="185" s="1"/>
  <c r="V441" i="3"/>
  <c r="V19" i="185" s="1"/>
  <c r="T441" i="3"/>
  <c r="T19" i="185" s="1"/>
  <c r="S441" i="3"/>
  <c r="S19" i="185" s="1"/>
  <c r="Q441" i="3"/>
  <c r="Q19" i="185" s="1"/>
  <c r="P441" i="3"/>
  <c r="P19" i="185" s="1"/>
  <c r="F441" i="3"/>
  <c r="E441" i="3"/>
  <c r="Y440" i="3"/>
  <c r="Y4" i="76" s="1"/>
  <c r="X440" i="3"/>
  <c r="X4" i="76" s="1"/>
  <c r="W440" i="3"/>
  <c r="W4" i="76" s="1"/>
  <c r="V440" i="3"/>
  <c r="V4" i="76" s="1"/>
  <c r="U440" i="3"/>
  <c r="U4" i="76" s="1"/>
  <c r="T440" i="3"/>
  <c r="T4" i="76" s="1"/>
  <c r="S440" i="3"/>
  <c r="S4" i="76" s="1"/>
  <c r="Q440" i="3"/>
  <c r="Q4" i="76" s="1"/>
  <c r="P440" i="3"/>
  <c r="P4" i="76" s="1"/>
  <c r="F440" i="3"/>
  <c r="E440" i="3"/>
  <c r="Y439" i="3"/>
  <c r="Y6" i="184" s="1"/>
  <c r="X439" i="3"/>
  <c r="X6" i="184" s="1"/>
  <c r="W439" i="3"/>
  <c r="W6" i="184" s="1"/>
  <c r="V439" i="3"/>
  <c r="V6" i="184" s="1"/>
  <c r="T439" i="3"/>
  <c r="T6" i="184" s="1"/>
  <c r="S439" i="3"/>
  <c r="S6" i="184" s="1"/>
  <c r="Q439" i="3"/>
  <c r="Q6" i="184" s="1"/>
  <c r="P439" i="3"/>
  <c r="P6" i="184" s="1"/>
  <c r="F439" i="3"/>
  <c r="E439" i="3"/>
  <c r="Y438" i="3"/>
  <c r="X438" i="3"/>
  <c r="W438" i="3"/>
  <c r="V438" i="3"/>
  <c r="T438" i="3"/>
  <c r="S438" i="3"/>
  <c r="Q438" i="3"/>
  <c r="P438" i="3"/>
  <c r="F438" i="3"/>
  <c r="E438" i="3"/>
  <c r="Y437" i="3"/>
  <c r="Y3" i="111" s="1"/>
  <c r="X437" i="3"/>
  <c r="X3" i="111" s="1"/>
  <c r="W437" i="3"/>
  <c r="W3" i="111" s="1"/>
  <c r="V437" i="3"/>
  <c r="V3" i="111" s="1"/>
  <c r="T437" i="3"/>
  <c r="T3" i="111" s="1"/>
  <c r="S437" i="3"/>
  <c r="S3" i="111" s="1"/>
  <c r="Q437" i="3"/>
  <c r="Q3" i="111" s="1"/>
  <c r="P437" i="3"/>
  <c r="F437" i="3"/>
  <c r="E437" i="3"/>
  <c r="Y436" i="3"/>
  <c r="Y24" i="185" s="1"/>
  <c r="X436" i="3"/>
  <c r="X24" i="185" s="1"/>
  <c r="W436" i="3"/>
  <c r="W24" i="185" s="1"/>
  <c r="V436" i="3"/>
  <c r="V24" i="185" s="1"/>
  <c r="T436" i="3"/>
  <c r="T24" i="185" s="1"/>
  <c r="S436" i="3"/>
  <c r="S24" i="185" s="1"/>
  <c r="Q436" i="3"/>
  <c r="Q24" i="185" s="1"/>
  <c r="P436" i="3"/>
  <c r="P24" i="185" s="1"/>
  <c r="F436" i="3"/>
  <c r="E436" i="3"/>
  <c r="Y435" i="3"/>
  <c r="Y35" i="92" s="1"/>
  <c r="X435" i="3"/>
  <c r="X35" i="92" s="1"/>
  <c r="W435" i="3"/>
  <c r="W35" i="92" s="1"/>
  <c r="V435" i="3"/>
  <c r="V35" i="92" s="1"/>
  <c r="T435" i="3"/>
  <c r="T35" i="92" s="1"/>
  <c r="S435" i="3"/>
  <c r="Q435" i="3"/>
  <c r="Q35" i="92" s="1"/>
  <c r="P435" i="3"/>
  <c r="P35" i="92" s="1"/>
  <c r="F435" i="3"/>
  <c r="E435" i="3"/>
  <c r="Y434" i="3"/>
  <c r="Y8" i="196" s="1"/>
  <c r="X434" i="3"/>
  <c r="X8" i="196" s="1"/>
  <c r="W434" i="3"/>
  <c r="W8" i="196" s="1"/>
  <c r="V434" i="3"/>
  <c r="V8" i="196" s="1"/>
  <c r="T434" i="3"/>
  <c r="T8" i="196" s="1"/>
  <c r="S434" i="3"/>
  <c r="S8" i="196" s="1"/>
  <c r="Q434" i="3"/>
  <c r="Q8" i="196" s="1"/>
  <c r="P434" i="3"/>
  <c r="F434" i="3"/>
  <c r="E434" i="3"/>
  <c r="Y433" i="3"/>
  <c r="Y8" i="108" s="1"/>
  <c r="X433" i="3"/>
  <c r="X8" i="108" s="1"/>
  <c r="W433" i="3"/>
  <c r="W8" i="108" s="1"/>
  <c r="V433" i="3"/>
  <c r="V8" i="108" s="1"/>
  <c r="T433" i="3"/>
  <c r="T8" i="108" s="1"/>
  <c r="S433" i="3"/>
  <c r="S8" i="108" s="1"/>
  <c r="Q433" i="3"/>
  <c r="Q8" i="108" s="1"/>
  <c r="P433" i="3"/>
  <c r="P8" i="108" s="1"/>
  <c r="F433" i="3"/>
  <c r="E433" i="3"/>
  <c r="Y432" i="3"/>
  <c r="Y14" i="167" s="1"/>
  <c r="X432" i="3"/>
  <c r="X14" i="167" s="1"/>
  <c r="W432" i="3"/>
  <c r="W14" i="167" s="1"/>
  <c r="V432" i="3"/>
  <c r="V14" i="167" s="1"/>
  <c r="T432" i="3"/>
  <c r="T14" i="167" s="1"/>
  <c r="S432" i="3"/>
  <c r="S14" i="167" s="1"/>
  <c r="Q432" i="3"/>
  <c r="Q14" i="167" s="1"/>
  <c r="P432" i="3"/>
  <c r="P14" i="167" s="1"/>
  <c r="F432" i="3"/>
  <c r="E432" i="3"/>
  <c r="Y431" i="3"/>
  <c r="Y6" i="169" s="1"/>
  <c r="X431" i="3"/>
  <c r="X6" i="169" s="1"/>
  <c r="W431" i="3"/>
  <c r="W6" i="169" s="1"/>
  <c r="V431" i="3"/>
  <c r="V6" i="169" s="1"/>
  <c r="T431" i="3"/>
  <c r="T6" i="169" s="1"/>
  <c r="S431" i="3"/>
  <c r="S6" i="169" s="1"/>
  <c r="Q431" i="3"/>
  <c r="Q6" i="169" s="1"/>
  <c r="P431" i="3"/>
  <c r="P6" i="169" s="1"/>
  <c r="F431" i="3"/>
  <c r="E431" i="3"/>
  <c r="Y430" i="3"/>
  <c r="Y2" i="67" s="1"/>
  <c r="X430" i="3"/>
  <c r="X2" i="67" s="1"/>
  <c r="W430" i="3"/>
  <c r="W2" i="67" s="1"/>
  <c r="V430" i="3"/>
  <c r="V2" i="67" s="1"/>
  <c r="T430" i="3"/>
  <c r="T2" i="67" s="1"/>
  <c r="S430" i="3"/>
  <c r="Q430" i="3"/>
  <c r="Q2" i="67" s="1"/>
  <c r="P430" i="3"/>
  <c r="P2" i="67" s="1"/>
  <c r="F430" i="3"/>
  <c r="E430" i="3"/>
  <c r="Y429" i="3"/>
  <c r="Y6" i="22" s="1"/>
  <c r="X429" i="3"/>
  <c r="X6" i="22" s="1"/>
  <c r="W429" i="3"/>
  <c r="W6" i="22" s="1"/>
  <c r="V429" i="3"/>
  <c r="V6" i="22" s="1"/>
  <c r="T429" i="3"/>
  <c r="T6" i="22" s="1"/>
  <c r="S429" i="3"/>
  <c r="S6" i="22" s="1"/>
  <c r="Q429" i="3"/>
  <c r="Q6" i="22" s="1"/>
  <c r="P429" i="3"/>
  <c r="F429" i="3"/>
  <c r="E429" i="3"/>
  <c r="Y428" i="3"/>
  <c r="Y5" i="188" s="1"/>
  <c r="X428" i="3"/>
  <c r="X5" i="188" s="1"/>
  <c r="W428" i="3"/>
  <c r="W5" i="188" s="1"/>
  <c r="V428" i="3"/>
  <c r="V5" i="188" s="1"/>
  <c r="T428" i="3"/>
  <c r="T5" i="188" s="1"/>
  <c r="S428" i="3"/>
  <c r="S5" i="188" s="1"/>
  <c r="Q428" i="3"/>
  <c r="Q5" i="188" s="1"/>
  <c r="P428" i="3"/>
  <c r="P5" i="188" s="1"/>
  <c r="F428" i="3"/>
  <c r="E428" i="3"/>
  <c r="Y427" i="3"/>
  <c r="Y4" i="102" s="1"/>
  <c r="X427" i="3"/>
  <c r="X4" i="102" s="1"/>
  <c r="W427" i="3"/>
  <c r="W4" i="102" s="1"/>
  <c r="V427" i="3"/>
  <c r="V4" i="102" s="1"/>
  <c r="T427" i="3"/>
  <c r="T4" i="102" s="1"/>
  <c r="S427" i="3"/>
  <c r="Q427" i="3"/>
  <c r="Q4" i="102" s="1"/>
  <c r="P427" i="3"/>
  <c r="P4" i="102" s="1"/>
  <c r="F427" i="3"/>
  <c r="E427" i="3"/>
  <c r="Y426" i="3"/>
  <c r="Y15" i="171" s="1"/>
  <c r="X426" i="3"/>
  <c r="X15" i="171" s="1"/>
  <c r="W426" i="3"/>
  <c r="W15" i="171" s="1"/>
  <c r="V426" i="3"/>
  <c r="V15" i="171" s="1"/>
  <c r="T426" i="3"/>
  <c r="T15" i="171" s="1"/>
  <c r="S426" i="3"/>
  <c r="S15" i="171" s="1"/>
  <c r="Q426" i="3"/>
  <c r="Q15" i="171" s="1"/>
  <c r="P426" i="3"/>
  <c r="F426" i="3"/>
  <c r="E426" i="3"/>
  <c r="Y425" i="3"/>
  <c r="Y10" i="196" s="1"/>
  <c r="X425" i="3"/>
  <c r="X10" i="196" s="1"/>
  <c r="W425" i="3"/>
  <c r="W10" i="196" s="1"/>
  <c r="V425" i="3"/>
  <c r="V10" i="196" s="1"/>
  <c r="T425" i="3"/>
  <c r="T10" i="196" s="1"/>
  <c r="S425" i="3"/>
  <c r="S10" i="196" s="1"/>
  <c r="Q425" i="3"/>
  <c r="Q10" i="196" s="1"/>
  <c r="P425" i="3"/>
  <c r="P10" i="196" s="1"/>
  <c r="F425" i="3"/>
  <c r="E425" i="3"/>
  <c r="Y424" i="3"/>
  <c r="Y2" i="97" s="1"/>
  <c r="X424" i="3"/>
  <c r="X2" i="97" s="1"/>
  <c r="W424" i="3"/>
  <c r="W2" i="97" s="1"/>
  <c r="V424" i="3"/>
  <c r="V2" i="97" s="1"/>
  <c r="T424" i="3"/>
  <c r="T2" i="97" s="1"/>
  <c r="S424" i="3"/>
  <c r="S2" i="97" s="1"/>
  <c r="Q424" i="3"/>
  <c r="Q2" i="97" s="1"/>
  <c r="P424" i="3"/>
  <c r="P2" i="97" s="1"/>
  <c r="F424" i="3"/>
  <c r="E424" i="3"/>
  <c r="Y423" i="3"/>
  <c r="Y5" i="72" s="1"/>
  <c r="X423" i="3"/>
  <c r="X5" i="72" s="1"/>
  <c r="W423" i="3"/>
  <c r="W5" i="72" s="1"/>
  <c r="V423" i="3"/>
  <c r="V5" i="72" s="1"/>
  <c r="T423" i="3"/>
  <c r="T5" i="72" s="1"/>
  <c r="S423" i="3"/>
  <c r="S5" i="72" s="1"/>
  <c r="Q423" i="3"/>
  <c r="Q5" i="72" s="1"/>
  <c r="P423" i="3"/>
  <c r="P5" i="72" s="1"/>
  <c r="F423" i="3"/>
  <c r="E423" i="3"/>
  <c r="Y422" i="3"/>
  <c r="Y8" i="113" s="1"/>
  <c r="X422" i="3"/>
  <c r="X8" i="113" s="1"/>
  <c r="W422" i="3"/>
  <c r="W8" i="113" s="1"/>
  <c r="V422" i="3"/>
  <c r="V8" i="113" s="1"/>
  <c r="T422" i="3"/>
  <c r="T8" i="113" s="1"/>
  <c r="S422" i="3"/>
  <c r="Q422" i="3"/>
  <c r="Q8" i="113" s="1"/>
  <c r="P422" i="3"/>
  <c r="P8" i="113" s="1"/>
  <c r="F422" i="3"/>
  <c r="E422" i="3"/>
  <c r="Y421" i="3"/>
  <c r="Y34" i="92" s="1"/>
  <c r="X421" i="3"/>
  <c r="X34" i="92" s="1"/>
  <c r="W421" i="3"/>
  <c r="W34" i="92" s="1"/>
  <c r="V421" i="3"/>
  <c r="V34" i="92" s="1"/>
  <c r="T421" i="3"/>
  <c r="T34" i="92" s="1"/>
  <c r="S421" i="3"/>
  <c r="S34" i="92" s="1"/>
  <c r="Q421" i="3"/>
  <c r="Q34" i="92" s="1"/>
  <c r="P421" i="3"/>
  <c r="F421" i="3"/>
  <c r="E421" i="3"/>
  <c r="Y420" i="3"/>
  <c r="Y3" i="33" s="1"/>
  <c r="X420" i="3"/>
  <c r="X3" i="33" s="1"/>
  <c r="W420" i="3"/>
  <c r="W3" i="33" s="1"/>
  <c r="V420" i="3"/>
  <c r="V3" i="33" s="1"/>
  <c r="T420" i="3"/>
  <c r="T3" i="33" s="1"/>
  <c r="S420" i="3"/>
  <c r="S3" i="33" s="1"/>
  <c r="Q420" i="3"/>
  <c r="Q3" i="33" s="1"/>
  <c r="P420" i="3"/>
  <c r="P3" i="33" s="1"/>
  <c r="F420" i="3"/>
  <c r="E420" i="3"/>
  <c r="Y419" i="3"/>
  <c r="Y7" i="122" s="1"/>
  <c r="X419" i="3"/>
  <c r="X7" i="122" s="1"/>
  <c r="W419" i="3"/>
  <c r="W7" i="122" s="1"/>
  <c r="V419" i="3"/>
  <c r="V7" i="122" s="1"/>
  <c r="T419" i="3"/>
  <c r="T7" i="122" s="1"/>
  <c r="S419" i="3"/>
  <c r="Q419" i="3"/>
  <c r="Q7" i="122" s="1"/>
  <c r="P419" i="3"/>
  <c r="P7" i="122" s="1"/>
  <c r="F419" i="3"/>
  <c r="E419" i="3"/>
  <c r="Y418" i="3"/>
  <c r="Y11" i="49" s="1"/>
  <c r="X418" i="3"/>
  <c r="X11" i="49" s="1"/>
  <c r="W418" i="3"/>
  <c r="W11" i="49" s="1"/>
  <c r="V418" i="3"/>
  <c r="V11" i="49" s="1"/>
  <c r="T418" i="3"/>
  <c r="T11" i="49" s="1"/>
  <c r="S418" i="3"/>
  <c r="S11" i="49" s="1"/>
  <c r="Q418" i="3"/>
  <c r="Q11" i="49" s="1"/>
  <c r="P418" i="3"/>
  <c r="F418" i="3"/>
  <c r="E418" i="3"/>
  <c r="Y417" i="3"/>
  <c r="Y20" i="185" s="1"/>
  <c r="X417" i="3"/>
  <c r="X20" i="185" s="1"/>
  <c r="W417" i="3"/>
  <c r="W20" i="185" s="1"/>
  <c r="V417" i="3"/>
  <c r="V20" i="185" s="1"/>
  <c r="T417" i="3"/>
  <c r="T20" i="185" s="1"/>
  <c r="S417" i="3"/>
  <c r="S20" i="185" s="1"/>
  <c r="R417" i="3"/>
  <c r="R20" i="185" s="1"/>
  <c r="Q417" i="3"/>
  <c r="Q20" i="185" s="1"/>
  <c r="P417" i="3"/>
  <c r="P20" i="185" s="1"/>
  <c r="F417" i="3"/>
  <c r="E417" i="3"/>
  <c r="Y416" i="3"/>
  <c r="Y7" i="128" s="1"/>
  <c r="X416" i="3"/>
  <c r="X7" i="128" s="1"/>
  <c r="W416" i="3"/>
  <c r="W7" i="128" s="1"/>
  <c r="V416" i="3"/>
  <c r="V7" i="128" s="1"/>
  <c r="T416" i="3"/>
  <c r="T7" i="128" s="1"/>
  <c r="S416" i="3"/>
  <c r="S7" i="128" s="1"/>
  <c r="Q416" i="3"/>
  <c r="Q7" i="128" s="1"/>
  <c r="P416" i="3"/>
  <c r="P7" i="128" s="1"/>
  <c r="F416" i="3"/>
  <c r="E416" i="3"/>
  <c r="Y415" i="3"/>
  <c r="Y3" i="165" s="1"/>
  <c r="X415" i="3"/>
  <c r="X3" i="165" s="1"/>
  <c r="W415" i="3"/>
  <c r="W3" i="165" s="1"/>
  <c r="V415" i="3"/>
  <c r="V3" i="165" s="1"/>
  <c r="T415" i="3"/>
  <c r="T3" i="165" s="1"/>
  <c r="S415" i="3"/>
  <c r="S3" i="165" s="1"/>
  <c r="Q415" i="3"/>
  <c r="Q3" i="165" s="1"/>
  <c r="P415" i="3"/>
  <c r="P3" i="165" s="1"/>
  <c r="F415" i="3"/>
  <c r="E415" i="3"/>
  <c r="Y414" i="3"/>
  <c r="Y12" i="38" s="1"/>
  <c r="X414" i="3"/>
  <c r="X12" i="38" s="1"/>
  <c r="W414" i="3"/>
  <c r="W12" i="38" s="1"/>
  <c r="V414" i="3"/>
  <c r="V12" i="38" s="1"/>
  <c r="T414" i="3"/>
  <c r="T12" i="38" s="1"/>
  <c r="S414" i="3"/>
  <c r="Q414" i="3"/>
  <c r="Q12" i="38" s="1"/>
  <c r="P414" i="3"/>
  <c r="P12" i="38" s="1"/>
  <c r="F414" i="3"/>
  <c r="E414" i="3"/>
  <c r="Y413" i="3"/>
  <c r="Y33" i="92" s="1"/>
  <c r="X413" i="3"/>
  <c r="X33" i="92" s="1"/>
  <c r="W413" i="3"/>
  <c r="W33" i="92" s="1"/>
  <c r="V413" i="3"/>
  <c r="V33" i="92" s="1"/>
  <c r="T413" i="3"/>
  <c r="T33" i="92" s="1"/>
  <c r="S413" i="3"/>
  <c r="S33" i="92" s="1"/>
  <c r="Q413" i="3"/>
  <c r="Q33" i="92" s="1"/>
  <c r="P413" i="3"/>
  <c r="F413" i="3"/>
  <c r="E413" i="3"/>
  <c r="Y412" i="3"/>
  <c r="Y2" i="36" s="1"/>
  <c r="X412" i="3"/>
  <c r="X2" i="36" s="1"/>
  <c r="W412" i="3"/>
  <c r="W2" i="36" s="1"/>
  <c r="V412" i="3"/>
  <c r="V2" i="36" s="1"/>
  <c r="T412" i="3"/>
  <c r="T2" i="36" s="1"/>
  <c r="S412" i="3"/>
  <c r="S2" i="36" s="1"/>
  <c r="Q412" i="3"/>
  <c r="Q2" i="36" s="1"/>
  <c r="P412" i="3"/>
  <c r="P2" i="36" s="1"/>
  <c r="F412" i="3"/>
  <c r="E412" i="3"/>
  <c r="Y411" i="3"/>
  <c r="Y2" i="71" s="1"/>
  <c r="X411" i="3"/>
  <c r="X2" i="71" s="1"/>
  <c r="W411" i="3"/>
  <c r="W2" i="71" s="1"/>
  <c r="V411" i="3"/>
  <c r="V2" i="71" s="1"/>
  <c r="T411" i="3"/>
  <c r="T2" i="71" s="1"/>
  <c r="S411" i="3"/>
  <c r="Q411" i="3"/>
  <c r="Q2" i="71" s="1"/>
  <c r="P411" i="3"/>
  <c r="P2" i="71" s="1"/>
  <c r="F411" i="3"/>
  <c r="E411" i="3"/>
  <c r="Y410" i="3"/>
  <c r="Y7" i="108" s="1"/>
  <c r="X410" i="3"/>
  <c r="X7" i="108" s="1"/>
  <c r="W410" i="3"/>
  <c r="W7" i="108" s="1"/>
  <c r="V410" i="3"/>
  <c r="V7" i="108" s="1"/>
  <c r="T410" i="3"/>
  <c r="T7" i="108" s="1"/>
  <c r="S410" i="3"/>
  <c r="S7" i="108" s="1"/>
  <c r="Q410" i="3"/>
  <c r="Q7" i="108" s="1"/>
  <c r="P410" i="3"/>
  <c r="F410" i="3"/>
  <c r="E410" i="3"/>
  <c r="Y409" i="3"/>
  <c r="Y2" i="145" s="1"/>
  <c r="X409" i="3"/>
  <c r="X2" i="145" s="1"/>
  <c r="W409" i="3"/>
  <c r="W2" i="145" s="1"/>
  <c r="V409" i="3"/>
  <c r="V2" i="145" s="1"/>
  <c r="U409" i="3"/>
  <c r="U2" i="145" s="1"/>
  <c r="T409" i="3"/>
  <c r="T2" i="145" s="1"/>
  <c r="S409" i="3"/>
  <c r="S2" i="145" s="1"/>
  <c r="Q409" i="3"/>
  <c r="Q2" i="145" s="1"/>
  <c r="P409" i="3"/>
  <c r="P2" i="145" s="1"/>
  <c r="F409" i="3"/>
  <c r="E409" i="3"/>
  <c r="Y408" i="3"/>
  <c r="Y22" i="185" s="1"/>
  <c r="X408" i="3"/>
  <c r="X22" i="185" s="1"/>
  <c r="W408" i="3"/>
  <c r="W22" i="185" s="1"/>
  <c r="V408" i="3"/>
  <c r="V22" i="185" s="1"/>
  <c r="T408" i="3"/>
  <c r="T22" i="185" s="1"/>
  <c r="S408" i="3"/>
  <c r="S22" i="185" s="1"/>
  <c r="Q408" i="3"/>
  <c r="Q22" i="185" s="1"/>
  <c r="P408" i="3"/>
  <c r="P22" i="185" s="1"/>
  <c r="F408" i="3"/>
  <c r="E408" i="3"/>
  <c r="Y407" i="3"/>
  <c r="Y21" i="185" s="1"/>
  <c r="X407" i="3"/>
  <c r="X21" i="185" s="1"/>
  <c r="W407" i="3"/>
  <c r="W21" i="185" s="1"/>
  <c r="V407" i="3"/>
  <c r="V21" i="185" s="1"/>
  <c r="T407" i="3"/>
  <c r="T21" i="185" s="1"/>
  <c r="S407" i="3"/>
  <c r="S21" i="185" s="1"/>
  <c r="R407" i="3"/>
  <c r="R21" i="185" s="1"/>
  <c r="Q407" i="3"/>
  <c r="Q21" i="185" s="1"/>
  <c r="P407" i="3"/>
  <c r="P21" i="185" s="1"/>
  <c r="F407" i="3"/>
  <c r="E407" i="3"/>
  <c r="Y406" i="3"/>
  <c r="Y5" i="22" s="1"/>
  <c r="X406" i="3"/>
  <c r="X5" i="22" s="1"/>
  <c r="W406" i="3"/>
  <c r="W5" i="22" s="1"/>
  <c r="V406" i="3"/>
  <c r="V5" i="22" s="1"/>
  <c r="T406" i="3"/>
  <c r="T5" i="22" s="1"/>
  <c r="S406" i="3"/>
  <c r="Q406" i="3"/>
  <c r="Q5" i="22" s="1"/>
  <c r="P406" i="3"/>
  <c r="P5" i="22" s="1"/>
  <c r="F406" i="3"/>
  <c r="E406" i="3"/>
  <c r="Y405" i="3"/>
  <c r="Y2" i="86" s="1"/>
  <c r="X405" i="3"/>
  <c r="X2" i="86" s="1"/>
  <c r="W405" i="3"/>
  <c r="W2" i="86" s="1"/>
  <c r="V405" i="3"/>
  <c r="V2" i="86" s="1"/>
  <c r="T405" i="3"/>
  <c r="T2" i="86" s="1"/>
  <c r="S405" i="3"/>
  <c r="S2" i="86" s="1"/>
  <c r="Q405" i="3"/>
  <c r="Q2" i="86" s="1"/>
  <c r="P405" i="3"/>
  <c r="F405" i="3"/>
  <c r="E405" i="3"/>
  <c r="Y404" i="3"/>
  <c r="Y7" i="50" s="1"/>
  <c r="X404" i="3"/>
  <c r="X7" i="50" s="1"/>
  <c r="W404" i="3"/>
  <c r="W7" i="50" s="1"/>
  <c r="V404" i="3"/>
  <c r="V7" i="50" s="1"/>
  <c r="T404" i="3"/>
  <c r="T7" i="50" s="1"/>
  <c r="S404" i="3"/>
  <c r="S7" i="50" s="1"/>
  <c r="Q404" i="3"/>
  <c r="Q7" i="50" s="1"/>
  <c r="P404" i="3"/>
  <c r="P7" i="50" s="1"/>
  <c r="F404" i="3"/>
  <c r="E404" i="3"/>
  <c r="Y403" i="3"/>
  <c r="Y10" i="56" s="1"/>
  <c r="X403" i="3"/>
  <c r="X10" i="56" s="1"/>
  <c r="W403" i="3"/>
  <c r="W10" i="56" s="1"/>
  <c r="V403" i="3"/>
  <c r="V10" i="56" s="1"/>
  <c r="T403" i="3"/>
  <c r="T10" i="56" s="1"/>
  <c r="S403" i="3"/>
  <c r="Q403" i="3"/>
  <c r="Q10" i="56" s="1"/>
  <c r="P403" i="3"/>
  <c r="P10" i="56" s="1"/>
  <c r="F403" i="3"/>
  <c r="E403" i="3"/>
  <c r="Y402" i="3"/>
  <c r="Y13" i="123" s="1"/>
  <c r="X402" i="3"/>
  <c r="X13" i="123" s="1"/>
  <c r="W402" i="3"/>
  <c r="W13" i="123" s="1"/>
  <c r="V402" i="3"/>
  <c r="V13" i="123" s="1"/>
  <c r="T402" i="3"/>
  <c r="T13" i="123" s="1"/>
  <c r="S402" i="3"/>
  <c r="S13" i="123" s="1"/>
  <c r="Q402" i="3"/>
  <c r="Q13" i="123" s="1"/>
  <c r="P402" i="3"/>
  <c r="F402" i="3"/>
  <c r="E402" i="3"/>
  <c r="Y401" i="3"/>
  <c r="Y32" i="92" s="1"/>
  <c r="X401" i="3"/>
  <c r="X32" i="92" s="1"/>
  <c r="W401" i="3"/>
  <c r="W32" i="92" s="1"/>
  <c r="V401" i="3"/>
  <c r="V32" i="92" s="1"/>
  <c r="T401" i="3"/>
  <c r="T32" i="92" s="1"/>
  <c r="S401" i="3"/>
  <c r="S32" i="92" s="1"/>
  <c r="Q401" i="3"/>
  <c r="Q32" i="92" s="1"/>
  <c r="P401" i="3"/>
  <c r="P32" i="92" s="1"/>
  <c r="F401" i="3"/>
  <c r="E401" i="3"/>
  <c r="Y400" i="3"/>
  <c r="Y9" i="120" s="1"/>
  <c r="X400" i="3"/>
  <c r="X9" i="120" s="1"/>
  <c r="W400" i="3"/>
  <c r="W9" i="120" s="1"/>
  <c r="V400" i="3"/>
  <c r="V9" i="120" s="1"/>
  <c r="T400" i="3"/>
  <c r="T9" i="120" s="1"/>
  <c r="S400" i="3"/>
  <c r="S9" i="120" s="1"/>
  <c r="Q400" i="3"/>
  <c r="Q9" i="120" s="1"/>
  <c r="P400" i="3"/>
  <c r="P9" i="120" s="1"/>
  <c r="F400" i="3"/>
  <c r="E400" i="3"/>
  <c r="Y399" i="3"/>
  <c r="Y2" i="155" s="1"/>
  <c r="X399" i="3"/>
  <c r="X2" i="155" s="1"/>
  <c r="W399" i="3"/>
  <c r="W2" i="155" s="1"/>
  <c r="V399" i="3"/>
  <c r="V2" i="155" s="1"/>
  <c r="T399" i="3"/>
  <c r="T2" i="155" s="1"/>
  <c r="S399" i="3"/>
  <c r="S2" i="155" s="1"/>
  <c r="Q399" i="3"/>
  <c r="Q2" i="155" s="1"/>
  <c r="P399" i="3"/>
  <c r="P2" i="155" s="1"/>
  <c r="F399" i="3"/>
  <c r="E399" i="3"/>
  <c r="Y398" i="3"/>
  <c r="Y5" i="190" s="1"/>
  <c r="X398" i="3"/>
  <c r="X5" i="190" s="1"/>
  <c r="W398" i="3"/>
  <c r="W5" i="190" s="1"/>
  <c r="V398" i="3"/>
  <c r="V5" i="190" s="1"/>
  <c r="T398" i="3"/>
  <c r="T5" i="190" s="1"/>
  <c r="S398" i="3"/>
  <c r="Q398" i="3"/>
  <c r="Q5" i="190" s="1"/>
  <c r="P398" i="3"/>
  <c r="P5" i="190" s="1"/>
  <c r="F398" i="3"/>
  <c r="E398" i="3"/>
  <c r="Y397" i="3"/>
  <c r="Y2" i="189" s="1"/>
  <c r="X397" i="3"/>
  <c r="X2" i="189" s="1"/>
  <c r="W397" i="3"/>
  <c r="W2" i="189" s="1"/>
  <c r="V397" i="3"/>
  <c r="V2" i="189" s="1"/>
  <c r="T397" i="3"/>
  <c r="T2" i="189" s="1"/>
  <c r="S397" i="3"/>
  <c r="S2" i="189" s="1"/>
  <c r="Q397" i="3"/>
  <c r="Q2" i="189" s="1"/>
  <c r="P397" i="3"/>
  <c r="F397" i="3"/>
  <c r="E397" i="3"/>
  <c r="Y396" i="3"/>
  <c r="Y9" i="38" s="1"/>
  <c r="X396" i="3"/>
  <c r="X9" i="38" s="1"/>
  <c r="W396" i="3"/>
  <c r="W9" i="38" s="1"/>
  <c r="V396" i="3"/>
  <c r="V9" i="38" s="1"/>
  <c r="T396" i="3"/>
  <c r="T9" i="38" s="1"/>
  <c r="S396" i="3"/>
  <c r="S9" i="38" s="1"/>
  <c r="Q396" i="3"/>
  <c r="Q9" i="38" s="1"/>
  <c r="P396" i="3"/>
  <c r="P9" i="38" s="1"/>
  <c r="F396" i="3"/>
  <c r="E396" i="3"/>
  <c r="Y395" i="3"/>
  <c r="Y10" i="49" s="1"/>
  <c r="X395" i="3"/>
  <c r="X10" i="49" s="1"/>
  <c r="W395" i="3"/>
  <c r="W10" i="49" s="1"/>
  <c r="V395" i="3"/>
  <c r="V10" i="49" s="1"/>
  <c r="T395" i="3"/>
  <c r="T10" i="49" s="1"/>
  <c r="S395" i="3"/>
  <c r="Q395" i="3"/>
  <c r="Q10" i="49" s="1"/>
  <c r="P395" i="3"/>
  <c r="P10" i="49" s="1"/>
  <c r="F395" i="3"/>
  <c r="E395" i="3"/>
  <c r="Y394" i="3"/>
  <c r="Y31" i="92" s="1"/>
  <c r="X394" i="3"/>
  <c r="X31" i="92" s="1"/>
  <c r="W394" i="3"/>
  <c r="W31" i="92" s="1"/>
  <c r="V394" i="3"/>
  <c r="V31" i="92" s="1"/>
  <c r="T394" i="3"/>
  <c r="T31" i="92" s="1"/>
  <c r="S394" i="3"/>
  <c r="S31" i="92" s="1"/>
  <c r="Q394" i="3"/>
  <c r="Q31" i="92" s="1"/>
  <c r="P394" i="3"/>
  <c r="F394" i="3"/>
  <c r="E394" i="3"/>
  <c r="Y393" i="3"/>
  <c r="Y6" i="119" s="1"/>
  <c r="X393" i="3"/>
  <c r="X6" i="119" s="1"/>
  <c r="W393" i="3"/>
  <c r="W6" i="119" s="1"/>
  <c r="V393" i="3"/>
  <c r="V6" i="119" s="1"/>
  <c r="T393" i="3"/>
  <c r="T6" i="119" s="1"/>
  <c r="S393" i="3"/>
  <c r="S6" i="119" s="1"/>
  <c r="Q393" i="3"/>
  <c r="Q6" i="119" s="1"/>
  <c r="P393" i="3"/>
  <c r="P6" i="119" s="1"/>
  <c r="F393" i="3"/>
  <c r="E393" i="3"/>
  <c r="Y392" i="3"/>
  <c r="Y3" i="189" s="1"/>
  <c r="X392" i="3"/>
  <c r="X3" i="189" s="1"/>
  <c r="W392" i="3"/>
  <c r="W3" i="189" s="1"/>
  <c r="V392" i="3"/>
  <c r="V3" i="189" s="1"/>
  <c r="T392" i="3"/>
  <c r="T3" i="189" s="1"/>
  <c r="S392" i="3"/>
  <c r="S3" i="189" s="1"/>
  <c r="Q392" i="3"/>
  <c r="Q3" i="189" s="1"/>
  <c r="P392" i="3"/>
  <c r="P3" i="189" s="1"/>
  <c r="F392" i="3"/>
  <c r="E392" i="3"/>
  <c r="Y391" i="3"/>
  <c r="Y12" i="123" s="1"/>
  <c r="X391" i="3"/>
  <c r="X12" i="123" s="1"/>
  <c r="W391" i="3"/>
  <c r="W12" i="123" s="1"/>
  <c r="V391" i="3"/>
  <c r="V12" i="123" s="1"/>
  <c r="T391" i="3"/>
  <c r="T12" i="123" s="1"/>
  <c r="S391" i="3"/>
  <c r="S12" i="123" s="1"/>
  <c r="Q391" i="3"/>
  <c r="Q12" i="123" s="1"/>
  <c r="P391" i="3"/>
  <c r="P12" i="123" s="1"/>
  <c r="F391" i="3"/>
  <c r="E391" i="3"/>
  <c r="Y390" i="3"/>
  <c r="Y7" i="110" s="1"/>
  <c r="X390" i="3"/>
  <c r="X7" i="110" s="1"/>
  <c r="W390" i="3"/>
  <c r="W7" i="110" s="1"/>
  <c r="V390" i="3"/>
  <c r="V7" i="110" s="1"/>
  <c r="T390" i="3"/>
  <c r="T7" i="110" s="1"/>
  <c r="S390" i="3"/>
  <c r="Q390" i="3"/>
  <c r="Q7" i="110" s="1"/>
  <c r="P390" i="3"/>
  <c r="P7" i="110" s="1"/>
  <c r="F390" i="3"/>
  <c r="E390" i="3"/>
  <c r="Y389" i="3"/>
  <c r="X389" i="3"/>
  <c r="W389" i="3"/>
  <c r="V389" i="3"/>
  <c r="T389" i="3"/>
  <c r="S389" i="3"/>
  <c r="Q389" i="3"/>
  <c r="P389" i="3"/>
  <c r="F389" i="3"/>
  <c r="E389" i="3"/>
  <c r="Y388" i="3"/>
  <c r="Y7" i="196" s="1"/>
  <c r="X388" i="3"/>
  <c r="X7" i="196" s="1"/>
  <c r="W388" i="3"/>
  <c r="W7" i="196" s="1"/>
  <c r="V388" i="3"/>
  <c r="V7" i="196" s="1"/>
  <c r="T388" i="3"/>
  <c r="T7" i="196" s="1"/>
  <c r="S388" i="3"/>
  <c r="S7" i="196" s="1"/>
  <c r="Q388" i="3"/>
  <c r="Q7" i="196" s="1"/>
  <c r="P388" i="3"/>
  <c r="P7" i="196" s="1"/>
  <c r="F388" i="3"/>
  <c r="E388" i="3"/>
  <c r="Y387" i="3"/>
  <c r="Y6" i="113" s="1"/>
  <c r="X387" i="3"/>
  <c r="X6" i="113" s="1"/>
  <c r="W387" i="3"/>
  <c r="W6" i="113" s="1"/>
  <c r="V387" i="3"/>
  <c r="V6" i="113" s="1"/>
  <c r="T387" i="3"/>
  <c r="T6" i="113" s="1"/>
  <c r="S387" i="3"/>
  <c r="Q387" i="3"/>
  <c r="Q6" i="113" s="1"/>
  <c r="P387" i="3"/>
  <c r="P6" i="113" s="1"/>
  <c r="F387" i="3"/>
  <c r="E387" i="3"/>
  <c r="Y386" i="3"/>
  <c r="Y4" i="48" s="1"/>
  <c r="X386" i="3"/>
  <c r="X4" i="48" s="1"/>
  <c r="W386" i="3"/>
  <c r="W4" i="48" s="1"/>
  <c r="V386" i="3"/>
  <c r="V4" i="48" s="1"/>
  <c r="T386" i="3"/>
  <c r="T4" i="48" s="1"/>
  <c r="S386" i="3"/>
  <c r="S4" i="48" s="1"/>
  <c r="Q386" i="3"/>
  <c r="Q4" i="48" s="1"/>
  <c r="P386" i="3"/>
  <c r="F386" i="3"/>
  <c r="E386" i="3"/>
  <c r="Y385" i="3"/>
  <c r="Y7" i="138" s="1"/>
  <c r="X385" i="3"/>
  <c r="X7" i="138" s="1"/>
  <c r="W385" i="3"/>
  <c r="W7" i="138" s="1"/>
  <c r="V385" i="3"/>
  <c r="V7" i="138" s="1"/>
  <c r="T385" i="3"/>
  <c r="T7" i="138" s="1"/>
  <c r="S385" i="3"/>
  <c r="S7" i="138" s="1"/>
  <c r="Q385" i="3"/>
  <c r="Q7" i="138" s="1"/>
  <c r="P385" i="3"/>
  <c r="P7" i="138" s="1"/>
  <c r="F385" i="3"/>
  <c r="E385" i="3"/>
  <c r="Y384" i="3"/>
  <c r="Y4" i="175" s="1"/>
  <c r="X384" i="3"/>
  <c r="X4" i="175" s="1"/>
  <c r="W384" i="3"/>
  <c r="W4" i="175" s="1"/>
  <c r="V384" i="3"/>
  <c r="V4" i="175" s="1"/>
  <c r="T384" i="3"/>
  <c r="T4" i="175" s="1"/>
  <c r="S384" i="3"/>
  <c r="S4" i="175" s="1"/>
  <c r="Q384" i="3"/>
  <c r="Q4" i="175" s="1"/>
  <c r="P384" i="3"/>
  <c r="P4" i="175" s="1"/>
  <c r="F384" i="3"/>
  <c r="E384" i="3"/>
  <c r="Y383" i="3"/>
  <c r="Y17" i="168" s="1"/>
  <c r="X383" i="3"/>
  <c r="X17" i="168" s="1"/>
  <c r="W383" i="3"/>
  <c r="W17" i="168" s="1"/>
  <c r="V383" i="3"/>
  <c r="V17" i="168" s="1"/>
  <c r="T383" i="3"/>
  <c r="T17" i="168" s="1"/>
  <c r="S383" i="3"/>
  <c r="S17" i="168" s="1"/>
  <c r="Q383" i="3"/>
  <c r="Q17" i="168" s="1"/>
  <c r="P383" i="3"/>
  <c r="P17" i="168" s="1"/>
  <c r="F383" i="3"/>
  <c r="E383" i="3"/>
  <c r="Y382" i="3"/>
  <c r="Y2" i="79" s="1"/>
  <c r="X382" i="3"/>
  <c r="X2" i="79" s="1"/>
  <c r="W382" i="3"/>
  <c r="W2" i="79" s="1"/>
  <c r="V382" i="3"/>
  <c r="V2" i="79" s="1"/>
  <c r="T382" i="3"/>
  <c r="T2" i="79" s="1"/>
  <c r="S382" i="3"/>
  <c r="Q382" i="3"/>
  <c r="Q2" i="79" s="1"/>
  <c r="P382" i="3"/>
  <c r="P2" i="79" s="1"/>
  <c r="F382" i="3"/>
  <c r="E382" i="3"/>
  <c r="Y381" i="3"/>
  <c r="Y14" i="123" s="1"/>
  <c r="X381" i="3"/>
  <c r="X14" i="123" s="1"/>
  <c r="W381" i="3"/>
  <c r="W14" i="123" s="1"/>
  <c r="V381" i="3"/>
  <c r="V14" i="123" s="1"/>
  <c r="T381" i="3"/>
  <c r="T14" i="123" s="1"/>
  <c r="S381" i="3"/>
  <c r="S14" i="123" s="1"/>
  <c r="Q381" i="3"/>
  <c r="Q14" i="123" s="1"/>
  <c r="P381" i="3"/>
  <c r="F381" i="3"/>
  <c r="E381" i="3"/>
  <c r="Y380" i="3"/>
  <c r="Y8" i="38" s="1"/>
  <c r="X380" i="3"/>
  <c r="X8" i="38" s="1"/>
  <c r="W380" i="3"/>
  <c r="W8" i="38" s="1"/>
  <c r="V380" i="3"/>
  <c r="V8" i="38" s="1"/>
  <c r="T380" i="3"/>
  <c r="T8" i="38" s="1"/>
  <c r="S380" i="3"/>
  <c r="S8" i="38" s="1"/>
  <c r="Q380" i="3"/>
  <c r="Q8" i="38" s="1"/>
  <c r="P380" i="3"/>
  <c r="P8" i="38" s="1"/>
  <c r="F380" i="3"/>
  <c r="E380" i="3"/>
  <c r="Y379" i="3"/>
  <c r="X379" i="3"/>
  <c r="W379" i="3"/>
  <c r="V379" i="3"/>
  <c r="T379" i="3"/>
  <c r="S379" i="3"/>
  <c r="Q379" i="3"/>
  <c r="P379" i="3"/>
  <c r="F379" i="3"/>
  <c r="E379" i="3"/>
  <c r="Y378" i="3"/>
  <c r="Y4" i="156" s="1"/>
  <c r="X378" i="3"/>
  <c r="X4" i="156" s="1"/>
  <c r="W378" i="3"/>
  <c r="W4" i="156" s="1"/>
  <c r="V378" i="3"/>
  <c r="V4" i="156" s="1"/>
  <c r="T378" i="3"/>
  <c r="T4" i="156" s="1"/>
  <c r="S378" i="3"/>
  <c r="S4" i="156" s="1"/>
  <c r="Q378" i="3"/>
  <c r="Q4" i="156" s="1"/>
  <c r="P378" i="3"/>
  <c r="F378" i="3"/>
  <c r="E378" i="3"/>
  <c r="Y377" i="3"/>
  <c r="Y3" i="76" s="1"/>
  <c r="X377" i="3"/>
  <c r="X3" i="76" s="1"/>
  <c r="W377" i="3"/>
  <c r="W3" i="76" s="1"/>
  <c r="V377" i="3"/>
  <c r="V3" i="76" s="1"/>
  <c r="U377" i="3"/>
  <c r="U3" i="76" s="1"/>
  <c r="T377" i="3"/>
  <c r="T3" i="76" s="1"/>
  <c r="S377" i="3"/>
  <c r="S3" i="76" s="1"/>
  <c r="Q377" i="3"/>
  <c r="Q3" i="76" s="1"/>
  <c r="P377" i="3"/>
  <c r="P3" i="76" s="1"/>
  <c r="F377" i="3"/>
  <c r="E377" i="3"/>
  <c r="Y376" i="3"/>
  <c r="Y7" i="38" s="1"/>
  <c r="X376" i="3"/>
  <c r="X7" i="38" s="1"/>
  <c r="W376" i="3"/>
  <c r="W7" i="38" s="1"/>
  <c r="V376" i="3"/>
  <c r="V7" i="38" s="1"/>
  <c r="T376" i="3"/>
  <c r="T7" i="38" s="1"/>
  <c r="S376" i="3"/>
  <c r="S7" i="38" s="1"/>
  <c r="Q376" i="3"/>
  <c r="Q7" i="38" s="1"/>
  <c r="P376" i="3"/>
  <c r="P7" i="38" s="1"/>
  <c r="F376" i="3"/>
  <c r="E376" i="3"/>
  <c r="Y375" i="3"/>
  <c r="Y4" i="72" s="1"/>
  <c r="X375" i="3"/>
  <c r="X4" i="72" s="1"/>
  <c r="W375" i="3"/>
  <c r="W4" i="72" s="1"/>
  <c r="V375" i="3"/>
  <c r="V4" i="72" s="1"/>
  <c r="T375" i="3"/>
  <c r="T4" i="72" s="1"/>
  <c r="S375" i="3"/>
  <c r="S4" i="72" s="1"/>
  <c r="Q375" i="3"/>
  <c r="Q4" i="72" s="1"/>
  <c r="P375" i="3"/>
  <c r="P4" i="72" s="1"/>
  <c r="F375" i="3"/>
  <c r="E375" i="3"/>
  <c r="Y374" i="3"/>
  <c r="Y4" i="121" s="1"/>
  <c r="X374" i="3"/>
  <c r="X4" i="121" s="1"/>
  <c r="W374" i="3"/>
  <c r="W4" i="121" s="1"/>
  <c r="V374" i="3"/>
  <c r="V4" i="121" s="1"/>
  <c r="T374" i="3"/>
  <c r="T4" i="121" s="1"/>
  <c r="S374" i="3"/>
  <c r="Q374" i="3"/>
  <c r="Q4" i="121" s="1"/>
  <c r="P374" i="3"/>
  <c r="P4" i="121" s="1"/>
  <c r="F374" i="3"/>
  <c r="E374" i="3"/>
  <c r="Y373" i="3"/>
  <c r="Y4" i="74" s="1"/>
  <c r="X373" i="3"/>
  <c r="X4" i="74" s="1"/>
  <c r="W373" i="3"/>
  <c r="W4" i="74" s="1"/>
  <c r="V373" i="3"/>
  <c r="V4" i="74" s="1"/>
  <c r="T373" i="3"/>
  <c r="T4" i="74" s="1"/>
  <c r="S373" i="3"/>
  <c r="S4" i="74" s="1"/>
  <c r="Q373" i="3"/>
  <c r="Q4" i="74" s="1"/>
  <c r="P373" i="3"/>
  <c r="F373" i="3"/>
  <c r="E373" i="3"/>
  <c r="Y372" i="3"/>
  <c r="Y5" i="159" s="1"/>
  <c r="X372" i="3"/>
  <c r="X5" i="159" s="1"/>
  <c r="W372" i="3"/>
  <c r="W5" i="159" s="1"/>
  <c r="V372" i="3"/>
  <c r="V5" i="159" s="1"/>
  <c r="T372" i="3"/>
  <c r="T5" i="159" s="1"/>
  <c r="S372" i="3"/>
  <c r="S5" i="159" s="1"/>
  <c r="Q372" i="3"/>
  <c r="Q5" i="159" s="1"/>
  <c r="P372" i="3"/>
  <c r="P5" i="159" s="1"/>
  <c r="F372" i="3"/>
  <c r="E372" i="3"/>
  <c r="Y371" i="3"/>
  <c r="X371" i="3"/>
  <c r="W371" i="3"/>
  <c r="V371" i="3"/>
  <c r="T371" i="3"/>
  <c r="S371" i="3"/>
  <c r="Q371" i="3"/>
  <c r="P371" i="3"/>
  <c r="F371" i="3"/>
  <c r="E371" i="3"/>
  <c r="Y370" i="3"/>
  <c r="Y2" i="63" s="1"/>
  <c r="X370" i="3"/>
  <c r="X2" i="63" s="1"/>
  <c r="W370" i="3"/>
  <c r="W2" i="63" s="1"/>
  <c r="V370" i="3"/>
  <c r="V2" i="63" s="1"/>
  <c r="U370" i="3"/>
  <c r="U2" i="63" s="1"/>
  <c r="T370" i="3"/>
  <c r="T2" i="63" s="1"/>
  <c r="S370" i="3"/>
  <c r="S2" i="63" s="1"/>
  <c r="Q370" i="3"/>
  <c r="Q2" i="63" s="1"/>
  <c r="P370" i="3"/>
  <c r="F370" i="3"/>
  <c r="E370" i="3"/>
  <c r="Y369" i="3"/>
  <c r="Y6" i="122" s="1"/>
  <c r="X369" i="3"/>
  <c r="X6" i="122" s="1"/>
  <c r="W369" i="3"/>
  <c r="W6" i="122" s="1"/>
  <c r="V369" i="3"/>
  <c r="V6" i="122" s="1"/>
  <c r="T369" i="3"/>
  <c r="T6" i="122" s="1"/>
  <c r="S369" i="3"/>
  <c r="S6" i="122" s="1"/>
  <c r="Q369" i="3"/>
  <c r="Q6" i="122" s="1"/>
  <c r="P369" i="3"/>
  <c r="P6" i="122" s="1"/>
  <c r="F369" i="3"/>
  <c r="E369" i="3"/>
  <c r="Y368" i="3"/>
  <c r="Y4" i="169" s="1"/>
  <c r="X368" i="3"/>
  <c r="X4" i="169" s="1"/>
  <c r="W368" i="3"/>
  <c r="W4" i="169" s="1"/>
  <c r="V368" i="3"/>
  <c r="V4" i="169" s="1"/>
  <c r="T368" i="3"/>
  <c r="T4" i="169" s="1"/>
  <c r="S368" i="3"/>
  <c r="S4" i="169" s="1"/>
  <c r="Q368" i="3"/>
  <c r="Q4" i="169" s="1"/>
  <c r="P368" i="3"/>
  <c r="P4" i="169" s="1"/>
  <c r="F368" i="3"/>
  <c r="E368" i="3"/>
  <c r="Y367" i="3"/>
  <c r="Y10" i="193" s="1"/>
  <c r="X367" i="3"/>
  <c r="X10" i="193" s="1"/>
  <c r="W367" i="3"/>
  <c r="W10" i="193" s="1"/>
  <c r="V367" i="3"/>
  <c r="V10" i="193" s="1"/>
  <c r="T367" i="3"/>
  <c r="T10" i="193" s="1"/>
  <c r="S367" i="3"/>
  <c r="S10" i="193" s="1"/>
  <c r="Q367" i="3"/>
  <c r="Q10" i="193" s="1"/>
  <c r="P367" i="3"/>
  <c r="P10" i="193" s="1"/>
  <c r="F367" i="3"/>
  <c r="E367" i="3"/>
  <c r="Y366" i="3"/>
  <c r="Y7" i="119" s="1"/>
  <c r="X366" i="3"/>
  <c r="X7" i="119" s="1"/>
  <c r="W366" i="3"/>
  <c r="W7" i="119" s="1"/>
  <c r="V366" i="3"/>
  <c r="V7" i="119" s="1"/>
  <c r="T366" i="3"/>
  <c r="T7" i="119" s="1"/>
  <c r="S366" i="3"/>
  <c r="Q366" i="3"/>
  <c r="Q7" i="119" s="1"/>
  <c r="P366" i="3"/>
  <c r="P7" i="119" s="1"/>
  <c r="F366" i="3"/>
  <c r="E366" i="3"/>
  <c r="Y365" i="3"/>
  <c r="Y2" i="125" s="1"/>
  <c r="X365" i="3"/>
  <c r="X2" i="125" s="1"/>
  <c r="W365" i="3"/>
  <c r="W2" i="125" s="1"/>
  <c r="V365" i="3"/>
  <c r="V2" i="125" s="1"/>
  <c r="T365" i="3"/>
  <c r="T2" i="125" s="1"/>
  <c r="S365" i="3"/>
  <c r="S2" i="125" s="1"/>
  <c r="Q365" i="3"/>
  <c r="Q2" i="125" s="1"/>
  <c r="P365" i="3"/>
  <c r="F365" i="3"/>
  <c r="E365" i="3"/>
  <c r="Y364" i="3"/>
  <c r="Y16" i="185" s="1"/>
  <c r="X364" i="3"/>
  <c r="X16" i="185" s="1"/>
  <c r="W364" i="3"/>
  <c r="W16" i="185" s="1"/>
  <c r="V364" i="3"/>
  <c r="V16" i="185" s="1"/>
  <c r="T364" i="3"/>
  <c r="T16" i="185" s="1"/>
  <c r="S364" i="3"/>
  <c r="S16" i="185" s="1"/>
  <c r="Q364" i="3"/>
  <c r="Q16" i="185" s="1"/>
  <c r="P364" i="3"/>
  <c r="P16" i="185" s="1"/>
  <c r="F364" i="3"/>
  <c r="E364" i="3"/>
  <c r="Y363" i="3"/>
  <c r="Y6" i="108" s="1"/>
  <c r="X363" i="3"/>
  <c r="X6" i="108" s="1"/>
  <c r="W363" i="3"/>
  <c r="W6" i="108" s="1"/>
  <c r="V363" i="3"/>
  <c r="V6" i="108" s="1"/>
  <c r="T363" i="3"/>
  <c r="T6" i="108" s="1"/>
  <c r="S363" i="3"/>
  <c r="Q363" i="3"/>
  <c r="Q6" i="108" s="1"/>
  <c r="P363" i="3"/>
  <c r="P6" i="108" s="1"/>
  <c r="F363" i="3"/>
  <c r="E363" i="3"/>
  <c r="Y362" i="3"/>
  <c r="Y30" i="92" s="1"/>
  <c r="X362" i="3"/>
  <c r="X30" i="92" s="1"/>
  <c r="W362" i="3"/>
  <c r="W30" i="92" s="1"/>
  <c r="V362" i="3"/>
  <c r="V30" i="92" s="1"/>
  <c r="T362" i="3"/>
  <c r="T30" i="92" s="1"/>
  <c r="S362" i="3"/>
  <c r="S30" i="92" s="1"/>
  <c r="Q362" i="3"/>
  <c r="Q30" i="92" s="1"/>
  <c r="P362" i="3"/>
  <c r="F362" i="3"/>
  <c r="E362" i="3"/>
  <c r="Y361" i="3"/>
  <c r="Y8" i="49" s="1"/>
  <c r="X361" i="3"/>
  <c r="X8" i="49" s="1"/>
  <c r="W361" i="3"/>
  <c r="W8" i="49" s="1"/>
  <c r="V361" i="3"/>
  <c r="V8" i="49" s="1"/>
  <c r="T361" i="3"/>
  <c r="T8" i="49" s="1"/>
  <c r="S361" i="3"/>
  <c r="S8" i="49" s="1"/>
  <c r="R361" i="3"/>
  <c r="R8" i="49" s="1"/>
  <c r="Q361" i="3"/>
  <c r="Q8" i="49" s="1"/>
  <c r="P361" i="3"/>
  <c r="P8" i="49" s="1"/>
  <c r="F361" i="3"/>
  <c r="E361" i="3"/>
  <c r="Y360" i="3"/>
  <c r="Y9" i="56" s="1"/>
  <c r="X360" i="3"/>
  <c r="X9" i="56" s="1"/>
  <c r="W360" i="3"/>
  <c r="W9" i="56" s="1"/>
  <c r="V360" i="3"/>
  <c r="V9" i="56" s="1"/>
  <c r="T360" i="3"/>
  <c r="T9" i="56" s="1"/>
  <c r="S360" i="3"/>
  <c r="S9" i="56" s="1"/>
  <c r="Q360" i="3"/>
  <c r="Q9" i="56" s="1"/>
  <c r="P360" i="3"/>
  <c r="P9" i="56" s="1"/>
  <c r="F360" i="3"/>
  <c r="E360" i="3"/>
  <c r="Y359" i="3"/>
  <c r="Y3" i="130" s="1"/>
  <c r="X359" i="3"/>
  <c r="X3" i="130" s="1"/>
  <c r="W359" i="3"/>
  <c r="W3" i="130" s="1"/>
  <c r="V359" i="3"/>
  <c r="V3" i="130" s="1"/>
  <c r="T359" i="3"/>
  <c r="T3" i="130" s="1"/>
  <c r="S359" i="3"/>
  <c r="S3" i="130" s="1"/>
  <c r="Q359" i="3"/>
  <c r="Q3" i="130" s="1"/>
  <c r="P359" i="3"/>
  <c r="P3" i="130" s="1"/>
  <c r="F359" i="3"/>
  <c r="E359" i="3"/>
  <c r="Y358" i="3"/>
  <c r="Y29" i="92" s="1"/>
  <c r="X358" i="3"/>
  <c r="X29" i="92" s="1"/>
  <c r="W358" i="3"/>
  <c r="W29" i="92" s="1"/>
  <c r="V358" i="3"/>
  <c r="V29" i="92" s="1"/>
  <c r="T358" i="3"/>
  <c r="T29" i="92" s="1"/>
  <c r="S358" i="3"/>
  <c r="Q358" i="3"/>
  <c r="Q29" i="92" s="1"/>
  <c r="P358" i="3"/>
  <c r="P29" i="92" s="1"/>
  <c r="F358" i="3"/>
  <c r="E358" i="3"/>
  <c r="Y357" i="3"/>
  <c r="Y5" i="119" s="1"/>
  <c r="X357" i="3"/>
  <c r="X5" i="119" s="1"/>
  <c r="W357" i="3"/>
  <c r="W5" i="119" s="1"/>
  <c r="V357" i="3"/>
  <c r="V5" i="119" s="1"/>
  <c r="T357" i="3"/>
  <c r="T5" i="119" s="1"/>
  <c r="S357" i="3"/>
  <c r="S5" i="119" s="1"/>
  <c r="Q357" i="3"/>
  <c r="Q5" i="119" s="1"/>
  <c r="P357" i="3"/>
  <c r="F357" i="3"/>
  <c r="E357" i="3"/>
  <c r="Y356" i="3"/>
  <c r="Y4" i="163" s="1"/>
  <c r="X356" i="3"/>
  <c r="X4" i="163" s="1"/>
  <c r="W356" i="3"/>
  <c r="W4" i="163" s="1"/>
  <c r="V356" i="3"/>
  <c r="V4" i="163" s="1"/>
  <c r="T356" i="3"/>
  <c r="T4" i="163" s="1"/>
  <c r="S356" i="3"/>
  <c r="S4" i="163" s="1"/>
  <c r="Q356" i="3"/>
  <c r="Q4" i="163" s="1"/>
  <c r="P356" i="3"/>
  <c r="P4" i="163" s="1"/>
  <c r="F356" i="3"/>
  <c r="E356" i="3"/>
  <c r="Y355" i="3"/>
  <c r="Y4" i="190" s="1"/>
  <c r="X355" i="3"/>
  <c r="X4" i="190" s="1"/>
  <c r="W355" i="3"/>
  <c r="W4" i="190" s="1"/>
  <c r="V355" i="3"/>
  <c r="V4" i="190" s="1"/>
  <c r="T355" i="3"/>
  <c r="T4" i="190" s="1"/>
  <c r="S355" i="3"/>
  <c r="R355" i="3"/>
  <c r="R4" i="190" s="1"/>
  <c r="Q355" i="3"/>
  <c r="Q4" i="190" s="1"/>
  <c r="P355" i="3"/>
  <c r="P4" i="190" s="1"/>
  <c r="F355" i="3"/>
  <c r="E355" i="3"/>
  <c r="Y354" i="3"/>
  <c r="Y5" i="108" s="1"/>
  <c r="X354" i="3"/>
  <c r="X5" i="108" s="1"/>
  <c r="W354" i="3"/>
  <c r="W5" i="108" s="1"/>
  <c r="V354" i="3"/>
  <c r="V5" i="108" s="1"/>
  <c r="T354" i="3"/>
  <c r="T5" i="108" s="1"/>
  <c r="S354" i="3"/>
  <c r="S5" i="108" s="1"/>
  <c r="Q354" i="3"/>
  <c r="Q5" i="108" s="1"/>
  <c r="P354" i="3"/>
  <c r="F354" i="3"/>
  <c r="E354" i="3"/>
  <c r="Y353" i="3"/>
  <c r="Y4" i="114" s="1"/>
  <c r="X353" i="3"/>
  <c r="X4" i="114" s="1"/>
  <c r="W353" i="3"/>
  <c r="W4" i="114" s="1"/>
  <c r="V353" i="3"/>
  <c r="V4" i="114" s="1"/>
  <c r="T353" i="3"/>
  <c r="T4" i="114" s="1"/>
  <c r="S353" i="3"/>
  <c r="S4" i="114" s="1"/>
  <c r="Q353" i="3"/>
  <c r="Q4" i="114" s="1"/>
  <c r="P353" i="3"/>
  <c r="P4" i="114" s="1"/>
  <c r="F353" i="3"/>
  <c r="E353" i="3"/>
  <c r="Y352" i="3"/>
  <c r="Y2" i="183" s="1"/>
  <c r="X352" i="3"/>
  <c r="X2" i="183" s="1"/>
  <c r="W352" i="3"/>
  <c r="W2" i="183" s="1"/>
  <c r="V352" i="3"/>
  <c r="V2" i="183" s="1"/>
  <c r="T352" i="3"/>
  <c r="T2" i="183" s="1"/>
  <c r="S352" i="3"/>
  <c r="S2" i="183" s="1"/>
  <c r="Q352" i="3"/>
  <c r="Q2" i="183" s="1"/>
  <c r="P352" i="3"/>
  <c r="P2" i="183" s="1"/>
  <c r="F352" i="3"/>
  <c r="E352" i="3"/>
  <c r="Y351" i="3"/>
  <c r="Y28" i="92" s="1"/>
  <c r="X351" i="3"/>
  <c r="X28" i="92" s="1"/>
  <c r="W351" i="3"/>
  <c r="W28" i="92" s="1"/>
  <c r="V351" i="3"/>
  <c r="V28" i="92" s="1"/>
  <c r="T351" i="3"/>
  <c r="T28" i="92" s="1"/>
  <c r="S351" i="3"/>
  <c r="S28" i="92" s="1"/>
  <c r="Q351" i="3"/>
  <c r="Q28" i="92" s="1"/>
  <c r="P351" i="3"/>
  <c r="P28" i="92" s="1"/>
  <c r="F351" i="3"/>
  <c r="E351" i="3"/>
  <c r="Y350" i="3"/>
  <c r="Y18" i="185" s="1"/>
  <c r="X350" i="3"/>
  <c r="X18" i="185" s="1"/>
  <c r="W350" i="3"/>
  <c r="W18" i="185" s="1"/>
  <c r="V350" i="3"/>
  <c r="V18" i="185" s="1"/>
  <c r="T350" i="3"/>
  <c r="T18" i="185" s="1"/>
  <c r="S350" i="3"/>
  <c r="Q350" i="3"/>
  <c r="Q18" i="185" s="1"/>
  <c r="P350" i="3"/>
  <c r="P18" i="185" s="1"/>
  <c r="F350" i="3"/>
  <c r="E350" i="3"/>
  <c r="Y349" i="3"/>
  <c r="Y15" i="185" s="1"/>
  <c r="X349" i="3"/>
  <c r="X15" i="185" s="1"/>
  <c r="W349" i="3"/>
  <c r="W15" i="185" s="1"/>
  <c r="V349" i="3"/>
  <c r="V15" i="185" s="1"/>
  <c r="T349" i="3"/>
  <c r="T15" i="185" s="1"/>
  <c r="S349" i="3"/>
  <c r="S15" i="185" s="1"/>
  <c r="Q349" i="3"/>
  <c r="Q15" i="185" s="1"/>
  <c r="P349" i="3"/>
  <c r="F349" i="3"/>
  <c r="E349" i="3"/>
  <c r="Y348" i="3"/>
  <c r="Y4" i="139" s="1"/>
  <c r="X348" i="3"/>
  <c r="X4" i="139" s="1"/>
  <c r="W348" i="3"/>
  <c r="W4" i="139" s="1"/>
  <c r="V348" i="3"/>
  <c r="V4" i="139" s="1"/>
  <c r="T348" i="3"/>
  <c r="T4" i="139" s="1"/>
  <c r="S348" i="3"/>
  <c r="S4" i="139" s="1"/>
  <c r="Q348" i="3"/>
  <c r="Q4" i="139" s="1"/>
  <c r="P348" i="3"/>
  <c r="P4" i="139" s="1"/>
  <c r="F348" i="3"/>
  <c r="E348" i="3"/>
  <c r="Y347" i="3"/>
  <c r="Y3" i="175" s="1"/>
  <c r="X347" i="3"/>
  <c r="X3" i="175" s="1"/>
  <c r="W347" i="3"/>
  <c r="W3" i="175" s="1"/>
  <c r="V347" i="3"/>
  <c r="V3" i="175" s="1"/>
  <c r="T347" i="3"/>
  <c r="T3" i="175" s="1"/>
  <c r="S347" i="3"/>
  <c r="Q347" i="3"/>
  <c r="Q3" i="175" s="1"/>
  <c r="P347" i="3"/>
  <c r="P3" i="175" s="1"/>
  <c r="F347" i="3"/>
  <c r="E347" i="3"/>
  <c r="Y346" i="3"/>
  <c r="Y3" i="172" s="1"/>
  <c r="X346" i="3"/>
  <c r="X3" i="172" s="1"/>
  <c r="W346" i="3"/>
  <c r="W3" i="172" s="1"/>
  <c r="V346" i="3"/>
  <c r="V3" i="172" s="1"/>
  <c r="T346" i="3"/>
  <c r="T3" i="172" s="1"/>
  <c r="S346" i="3"/>
  <c r="S3" i="172" s="1"/>
  <c r="Q346" i="3"/>
  <c r="Q3" i="172" s="1"/>
  <c r="P346" i="3"/>
  <c r="F346" i="3"/>
  <c r="E346" i="3"/>
  <c r="Y345" i="3"/>
  <c r="Y6" i="177" s="1"/>
  <c r="X345" i="3"/>
  <c r="X6" i="177" s="1"/>
  <c r="W345" i="3"/>
  <c r="W6" i="177" s="1"/>
  <c r="V345" i="3"/>
  <c r="V6" i="177" s="1"/>
  <c r="U345" i="3"/>
  <c r="U6" i="177" s="1"/>
  <c r="T345" i="3"/>
  <c r="T6" i="177" s="1"/>
  <c r="S345" i="3"/>
  <c r="S6" i="177" s="1"/>
  <c r="Q345" i="3"/>
  <c r="Q6" i="177" s="1"/>
  <c r="P345" i="3"/>
  <c r="P6" i="177" s="1"/>
  <c r="F345" i="3"/>
  <c r="E345" i="3"/>
  <c r="Y344" i="3"/>
  <c r="Y6" i="107" s="1"/>
  <c r="X344" i="3"/>
  <c r="X6" i="107" s="1"/>
  <c r="W344" i="3"/>
  <c r="W6" i="107" s="1"/>
  <c r="V344" i="3"/>
  <c r="V6" i="107" s="1"/>
  <c r="T344" i="3"/>
  <c r="T6" i="107" s="1"/>
  <c r="S344" i="3"/>
  <c r="S6" i="107" s="1"/>
  <c r="Q344" i="3"/>
  <c r="Q6" i="107" s="1"/>
  <c r="P344" i="3"/>
  <c r="P6" i="107" s="1"/>
  <c r="F344" i="3"/>
  <c r="E344" i="3"/>
  <c r="Y343" i="3"/>
  <c r="Y6" i="110" s="1"/>
  <c r="X343" i="3"/>
  <c r="X6" i="110" s="1"/>
  <c r="W343" i="3"/>
  <c r="W6" i="110" s="1"/>
  <c r="V343" i="3"/>
  <c r="V6" i="110" s="1"/>
  <c r="T343" i="3"/>
  <c r="T6" i="110" s="1"/>
  <c r="S343" i="3"/>
  <c r="S6" i="110" s="1"/>
  <c r="R343" i="3"/>
  <c r="R6" i="110" s="1"/>
  <c r="Q343" i="3"/>
  <c r="Q6" i="110" s="1"/>
  <c r="P343" i="3"/>
  <c r="P6" i="110" s="1"/>
  <c r="F343" i="3"/>
  <c r="E343" i="3"/>
  <c r="Y342" i="3"/>
  <c r="Y5" i="113" s="1"/>
  <c r="X342" i="3"/>
  <c r="X5" i="113" s="1"/>
  <c r="W342" i="3"/>
  <c r="W5" i="113" s="1"/>
  <c r="V342" i="3"/>
  <c r="V5" i="113" s="1"/>
  <c r="T342" i="3"/>
  <c r="T5" i="113" s="1"/>
  <c r="S342" i="3"/>
  <c r="Q342" i="3"/>
  <c r="Q5" i="113" s="1"/>
  <c r="P342" i="3"/>
  <c r="P5" i="113" s="1"/>
  <c r="F342" i="3"/>
  <c r="E342" i="3"/>
  <c r="Y341" i="3"/>
  <c r="Y13" i="173" s="1"/>
  <c r="X341" i="3"/>
  <c r="X13" i="173" s="1"/>
  <c r="W341" i="3"/>
  <c r="W13" i="173" s="1"/>
  <c r="V341" i="3"/>
  <c r="V13" i="173" s="1"/>
  <c r="T341" i="3"/>
  <c r="T13" i="173" s="1"/>
  <c r="S341" i="3"/>
  <c r="S13" i="173" s="1"/>
  <c r="Q341" i="3"/>
  <c r="Q13" i="173" s="1"/>
  <c r="P341" i="3"/>
  <c r="F341" i="3"/>
  <c r="E341" i="3"/>
  <c r="Y340" i="3"/>
  <c r="Y17" i="185" s="1"/>
  <c r="X340" i="3"/>
  <c r="X17" i="185" s="1"/>
  <c r="W340" i="3"/>
  <c r="W17" i="185" s="1"/>
  <c r="V340" i="3"/>
  <c r="V17" i="185" s="1"/>
  <c r="T340" i="3"/>
  <c r="T17" i="185" s="1"/>
  <c r="S340" i="3"/>
  <c r="S17" i="185" s="1"/>
  <c r="Q340" i="3"/>
  <c r="Q17" i="185" s="1"/>
  <c r="P340" i="3"/>
  <c r="P17" i="185" s="1"/>
  <c r="F340" i="3"/>
  <c r="E340" i="3"/>
  <c r="Y339" i="3"/>
  <c r="Y9" i="49" s="1"/>
  <c r="X339" i="3"/>
  <c r="X9" i="49" s="1"/>
  <c r="W339" i="3"/>
  <c r="W9" i="49" s="1"/>
  <c r="V339" i="3"/>
  <c r="V9" i="49" s="1"/>
  <c r="T339" i="3"/>
  <c r="T9" i="49" s="1"/>
  <c r="S339" i="3"/>
  <c r="Q339" i="3"/>
  <c r="Q9" i="49" s="1"/>
  <c r="P339" i="3"/>
  <c r="P9" i="49" s="1"/>
  <c r="F339" i="3"/>
  <c r="E339" i="3"/>
  <c r="Y338" i="3"/>
  <c r="Y2" i="100" s="1"/>
  <c r="X338" i="3"/>
  <c r="X2" i="100" s="1"/>
  <c r="W338" i="3"/>
  <c r="W2" i="100" s="1"/>
  <c r="V338" i="3"/>
  <c r="V2" i="100" s="1"/>
  <c r="T338" i="3"/>
  <c r="T2" i="100" s="1"/>
  <c r="S338" i="3"/>
  <c r="S2" i="100" s="1"/>
  <c r="Q338" i="3"/>
  <c r="Q2" i="100" s="1"/>
  <c r="P338" i="3"/>
  <c r="F338" i="3"/>
  <c r="E338" i="3"/>
  <c r="Y337" i="3"/>
  <c r="Y3" i="78" s="1"/>
  <c r="X337" i="3"/>
  <c r="X3" i="78" s="1"/>
  <c r="W337" i="3"/>
  <c r="W3" i="78" s="1"/>
  <c r="V337" i="3"/>
  <c r="V3" i="78" s="1"/>
  <c r="T337" i="3"/>
  <c r="T3" i="78" s="1"/>
  <c r="S337" i="3"/>
  <c r="S3" i="78" s="1"/>
  <c r="Q337" i="3"/>
  <c r="Q3" i="78" s="1"/>
  <c r="P337" i="3"/>
  <c r="P3" i="78" s="1"/>
  <c r="F337" i="3"/>
  <c r="E337" i="3"/>
  <c r="Y336" i="3"/>
  <c r="Y12" i="185" s="1"/>
  <c r="X336" i="3"/>
  <c r="X12" i="185" s="1"/>
  <c r="W336" i="3"/>
  <c r="W12" i="185" s="1"/>
  <c r="V336" i="3"/>
  <c r="V12" i="185" s="1"/>
  <c r="T336" i="3"/>
  <c r="T12" i="185" s="1"/>
  <c r="S336" i="3"/>
  <c r="S12" i="185" s="1"/>
  <c r="Q336" i="3"/>
  <c r="Q12" i="185" s="1"/>
  <c r="P336" i="3"/>
  <c r="P12" i="185" s="1"/>
  <c r="F336" i="3"/>
  <c r="E336" i="3"/>
  <c r="Y335" i="3"/>
  <c r="Y2" i="41" s="1"/>
  <c r="X335" i="3"/>
  <c r="X2" i="41" s="1"/>
  <c r="W335" i="3"/>
  <c r="W2" i="41" s="1"/>
  <c r="V335" i="3"/>
  <c r="V2" i="41" s="1"/>
  <c r="T335" i="3"/>
  <c r="T2" i="41" s="1"/>
  <c r="S335" i="3"/>
  <c r="S2" i="41" s="1"/>
  <c r="Q335" i="3"/>
  <c r="Q2" i="41" s="1"/>
  <c r="P335" i="3"/>
  <c r="P2" i="41" s="1"/>
  <c r="F335" i="3"/>
  <c r="E335" i="3"/>
  <c r="Y334" i="3"/>
  <c r="Y27" i="92" s="1"/>
  <c r="X334" i="3"/>
  <c r="X27" i="92" s="1"/>
  <c r="W334" i="3"/>
  <c r="W27" i="92" s="1"/>
  <c r="V334" i="3"/>
  <c r="V27" i="92" s="1"/>
  <c r="T334" i="3"/>
  <c r="T27" i="92" s="1"/>
  <c r="S334" i="3"/>
  <c r="Q334" i="3"/>
  <c r="Q27" i="92" s="1"/>
  <c r="P334" i="3"/>
  <c r="P27" i="92" s="1"/>
  <c r="F334" i="3"/>
  <c r="E334" i="3"/>
  <c r="Y333" i="3"/>
  <c r="Y7" i="109" s="1"/>
  <c r="X333" i="3"/>
  <c r="X7" i="109" s="1"/>
  <c r="W333" i="3"/>
  <c r="W7" i="109" s="1"/>
  <c r="V333" i="3"/>
  <c r="V7" i="109" s="1"/>
  <c r="T333" i="3"/>
  <c r="T7" i="109" s="1"/>
  <c r="S333" i="3"/>
  <c r="S7" i="109" s="1"/>
  <c r="Q333" i="3"/>
  <c r="Q7" i="109" s="1"/>
  <c r="P333" i="3"/>
  <c r="F333" i="3"/>
  <c r="E333" i="3"/>
  <c r="Y332" i="3"/>
  <c r="X332" i="3"/>
  <c r="W332" i="3"/>
  <c r="V332" i="3"/>
  <c r="T332" i="3"/>
  <c r="U332" i="3" s="1"/>
  <c r="S332" i="3"/>
  <c r="Q332" i="3"/>
  <c r="P332" i="3"/>
  <c r="F332" i="3"/>
  <c r="E332" i="3"/>
  <c r="Y331" i="3"/>
  <c r="Y14" i="171" s="1"/>
  <c r="X331" i="3"/>
  <c r="X14" i="171" s="1"/>
  <c r="W331" i="3"/>
  <c r="W14" i="171" s="1"/>
  <c r="V331" i="3"/>
  <c r="V14" i="171" s="1"/>
  <c r="T331" i="3"/>
  <c r="T14" i="171" s="1"/>
  <c r="S331" i="3"/>
  <c r="Q331" i="3"/>
  <c r="Q14" i="171" s="1"/>
  <c r="P331" i="3"/>
  <c r="P14" i="171" s="1"/>
  <c r="F331" i="3"/>
  <c r="E331" i="3"/>
  <c r="Y330" i="3"/>
  <c r="Y2" i="96" s="1"/>
  <c r="X330" i="3"/>
  <c r="X2" i="96" s="1"/>
  <c r="W330" i="3"/>
  <c r="W2" i="96" s="1"/>
  <c r="V330" i="3"/>
  <c r="V2" i="96" s="1"/>
  <c r="T330" i="3"/>
  <c r="T2" i="96" s="1"/>
  <c r="S330" i="3"/>
  <c r="S2" i="96" s="1"/>
  <c r="Q330" i="3"/>
  <c r="Q2" i="96" s="1"/>
  <c r="P330" i="3"/>
  <c r="F330" i="3"/>
  <c r="E330" i="3"/>
  <c r="Y329" i="3"/>
  <c r="Y6" i="38" s="1"/>
  <c r="X329" i="3"/>
  <c r="X6" i="38" s="1"/>
  <c r="W329" i="3"/>
  <c r="W6" i="38" s="1"/>
  <c r="V329" i="3"/>
  <c r="V6" i="38" s="1"/>
  <c r="T329" i="3"/>
  <c r="T6" i="38" s="1"/>
  <c r="S329" i="3"/>
  <c r="S6" i="38" s="1"/>
  <c r="Q329" i="3"/>
  <c r="Q6" i="38" s="1"/>
  <c r="P329" i="3"/>
  <c r="P6" i="38" s="1"/>
  <c r="F329" i="3"/>
  <c r="E329" i="3"/>
  <c r="Y328" i="3"/>
  <c r="Y4" i="119" s="1"/>
  <c r="X328" i="3"/>
  <c r="X4" i="119" s="1"/>
  <c r="W328" i="3"/>
  <c r="W4" i="119" s="1"/>
  <c r="V328" i="3"/>
  <c r="V4" i="119" s="1"/>
  <c r="T328" i="3"/>
  <c r="T4" i="119" s="1"/>
  <c r="S328" i="3"/>
  <c r="S4" i="119" s="1"/>
  <c r="Q328" i="3"/>
  <c r="Q4" i="119" s="1"/>
  <c r="P328" i="3"/>
  <c r="P4" i="119" s="1"/>
  <c r="F328" i="3"/>
  <c r="E328" i="3"/>
  <c r="Y327" i="3"/>
  <c r="Y5" i="116" s="1"/>
  <c r="X327" i="3"/>
  <c r="X5" i="116" s="1"/>
  <c r="W327" i="3"/>
  <c r="W5" i="116" s="1"/>
  <c r="V327" i="3"/>
  <c r="V5" i="116" s="1"/>
  <c r="T327" i="3"/>
  <c r="T5" i="116" s="1"/>
  <c r="S327" i="3"/>
  <c r="S5" i="116" s="1"/>
  <c r="Q327" i="3"/>
  <c r="Q5" i="116" s="1"/>
  <c r="P327" i="3"/>
  <c r="P5" i="116" s="1"/>
  <c r="F327" i="3"/>
  <c r="E327" i="3"/>
  <c r="Y326" i="3"/>
  <c r="Y2" i="37" s="1"/>
  <c r="X326" i="3"/>
  <c r="X2" i="37" s="1"/>
  <c r="W326" i="3"/>
  <c r="W2" i="37" s="1"/>
  <c r="V326" i="3"/>
  <c r="V2" i="37" s="1"/>
  <c r="T326" i="3"/>
  <c r="T2" i="37" s="1"/>
  <c r="S326" i="3"/>
  <c r="Q326" i="3"/>
  <c r="Q2" i="37" s="1"/>
  <c r="P326" i="3"/>
  <c r="P2" i="37" s="1"/>
  <c r="F326" i="3"/>
  <c r="E326" i="3"/>
  <c r="Y325" i="3"/>
  <c r="Y3" i="169" s="1"/>
  <c r="X325" i="3"/>
  <c r="X3" i="169" s="1"/>
  <c r="W325" i="3"/>
  <c r="W3" i="169" s="1"/>
  <c r="V325" i="3"/>
  <c r="V3" i="169" s="1"/>
  <c r="T325" i="3"/>
  <c r="T3" i="169" s="1"/>
  <c r="S325" i="3"/>
  <c r="S3" i="169" s="1"/>
  <c r="Q325" i="3"/>
  <c r="Q3" i="169" s="1"/>
  <c r="P325" i="3"/>
  <c r="F325" i="3"/>
  <c r="E325" i="3"/>
  <c r="Y324" i="3"/>
  <c r="Y7" i="69" s="1"/>
  <c r="X324" i="3"/>
  <c r="X7" i="69" s="1"/>
  <c r="W324" i="3"/>
  <c r="W7" i="69" s="1"/>
  <c r="V324" i="3"/>
  <c r="V7" i="69" s="1"/>
  <c r="T324" i="3"/>
  <c r="T7" i="69" s="1"/>
  <c r="S324" i="3"/>
  <c r="S7" i="69" s="1"/>
  <c r="Q324" i="3"/>
  <c r="Q7" i="69" s="1"/>
  <c r="P324" i="3"/>
  <c r="P7" i="69" s="1"/>
  <c r="F324" i="3"/>
  <c r="E324" i="3"/>
  <c r="Y323" i="3"/>
  <c r="Y5" i="68" s="1"/>
  <c r="X323" i="3"/>
  <c r="X5" i="68" s="1"/>
  <c r="W323" i="3"/>
  <c r="W5" i="68" s="1"/>
  <c r="V323" i="3"/>
  <c r="V5" i="68" s="1"/>
  <c r="T323" i="3"/>
  <c r="T5" i="68" s="1"/>
  <c r="S323" i="3"/>
  <c r="Q323" i="3"/>
  <c r="Q5" i="68" s="1"/>
  <c r="P323" i="3"/>
  <c r="P5" i="68" s="1"/>
  <c r="F323" i="3"/>
  <c r="E323" i="3"/>
  <c r="Y322" i="3"/>
  <c r="Y2" i="161" s="1"/>
  <c r="X322" i="3"/>
  <c r="X2" i="161" s="1"/>
  <c r="W322" i="3"/>
  <c r="W2" i="161" s="1"/>
  <c r="V322" i="3"/>
  <c r="V2" i="161" s="1"/>
  <c r="T322" i="3"/>
  <c r="T2" i="161" s="1"/>
  <c r="S322" i="3"/>
  <c r="S2" i="161" s="1"/>
  <c r="Q322" i="3"/>
  <c r="Q2" i="161" s="1"/>
  <c r="P322" i="3"/>
  <c r="F322" i="3"/>
  <c r="E322" i="3"/>
  <c r="Y321" i="3"/>
  <c r="Y26" i="92" s="1"/>
  <c r="X321" i="3"/>
  <c r="X26" i="92" s="1"/>
  <c r="W321" i="3"/>
  <c r="W26" i="92" s="1"/>
  <c r="V321" i="3"/>
  <c r="V26" i="92" s="1"/>
  <c r="T321" i="3"/>
  <c r="T26" i="92" s="1"/>
  <c r="S321" i="3"/>
  <c r="S26" i="92" s="1"/>
  <c r="R321" i="3"/>
  <c r="R26" i="92" s="1"/>
  <c r="Q321" i="3"/>
  <c r="Q26" i="92" s="1"/>
  <c r="P321" i="3"/>
  <c r="P26" i="92" s="1"/>
  <c r="F321" i="3"/>
  <c r="E321" i="3"/>
  <c r="Y320" i="3"/>
  <c r="Y5" i="112" s="1"/>
  <c r="X320" i="3"/>
  <c r="X5" i="112" s="1"/>
  <c r="W320" i="3"/>
  <c r="W5" i="112" s="1"/>
  <c r="V320" i="3"/>
  <c r="V5" i="112" s="1"/>
  <c r="T320" i="3"/>
  <c r="T5" i="112" s="1"/>
  <c r="S320" i="3"/>
  <c r="S5" i="112" s="1"/>
  <c r="Q320" i="3"/>
  <c r="Q5" i="112" s="1"/>
  <c r="P320" i="3"/>
  <c r="P5" i="112" s="1"/>
  <c r="F320" i="3"/>
  <c r="E320" i="3"/>
  <c r="Y319" i="3"/>
  <c r="Y4" i="68" s="1"/>
  <c r="X319" i="3"/>
  <c r="X4" i="68" s="1"/>
  <c r="W319" i="3"/>
  <c r="W4" i="68" s="1"/>
  <c r="V319" i="3"/>
  <c r="V4" i="68" s="1"/>
  <c r="T319" i="3"/>
  <c r="T4" i="68" s="1"/>
  <c r="S319" i="3"/>
  <c r="S4" i="68" s="1"/>
  <c r="Q319" i="3"/>
  <c r="Q4" i="68" s="1"/>
  <c r="P319" i="3"/>
  <c r="P4" i="68" s="1"/>
  <c r="F319" i="3"/>
  <c r="E319" i="3"/>
  <c r="Y318" i="3"/>
  <c r="Y13" i="167" s="1"/>
  <c r="X318" i="3"/>
  <c r="X13" i="167" s="1"/>
  <c r="W318" i="3"/>
  <c r="W13" i="167" s="1"/>
  <c r="V318" i="3"/>
  <c r="V13" i="167" s="1"/>
  <c r="T318" i="3"/>
  <c r="T13" i="167" s="1"/>
  <c r="S318" i="3"/>
  <c r="Q318" i="3"/>
  <c r="Q13" i="167" s="1"/>
  <c r="P318" i="3"/>
  <c r="P13" i="167" s="1"/>
  <c r="F318" i="3"/>
  <c r="E318" i="3"/>
  <c r="Y317" i="3"/>
  <c r="Y2" i="90" s="1"/>
  <c r="X317" i="3"/>
  <c r="X2" i="90" s="1"/>
  <c r="W317" i="3"/>
  <c r="W2" i="90" s="1"/>
  <c r="V317" i="3"/>
  <c r="V2" i="90" s="1"/>
  <c r="T317" i="3"/>
  <c r="T2" i="90" s="1"/>
  <c r="S317" i="3"/>
  <c r="S2" i="90" s="1"/>
  <c r="Q317" i="3"/>
  <c r="Q2" i="90" s="1"/>
  <c r="P317" i="3"/>
  <c r="F317" i="3"/>
  <c r="E317" i="3"/>
  <c r="Y316" i="3"/>
  <c r="Y13" i="171" s="1"/>
  <c r="X316" i="3"/>
  <c r="X13" i="171" s="1"/>
  <c r="W316" i="3"/>
  <c r="W13" i="171" s="1"/>
  <c r="V316" i="3"/>
  <c r="V13" i="171" s="1"/>
  <c r="T316" i="3"/>
  <c r="T13" i="171" s="1"/>
  <c r="S316" i="3"/>
  <c r="S13" i="171" s="1"/>
  <c r="Q316" i="3"/>
  <c r="Q13" i="171" s="1"/>
  <c r="P316" i="3"/>
  <c r="P13" i="171" s="1"/>
  <c r="F316" i="3"/>
  <c r="E316" i="3"/>
  <c r="Y315" i="3"/>
  <c r="X315" i="3"/>
  <c r="W315" i="3"/>
  <c r="V315" i="3"/>
  <c r="T315" i="3"/>
  <c r="S315" i="3"/>
  <c r="Q315" i="3"/>
  <c r="P315" i="3"/>
  <c r="R315" i="3" s="1"/>
  <c r="F315" i="3"/>
  <c r="E315" i="3"/>
  <c r="Y314" i="3"/>
  <c r="Y11" i="123" s="1"/>
  <c r="X314" i="3"/>
  <c r="X11" i="123" s="1"/>
  <c r="W314" i="3"/>
  <c r="W11" i="123" s="1"/>
  <c r="V314" i="3"/>
  <c r="V11" i="123" s="1"/>
  <c r="T314" i="3"/>
  <c r="T11" i="123" s="1"/>
  <c r="S314" i="3"/>
  <c r="S11" i="123" s="1"/>
  <c r="Q314" i="3"/>
  <c r="Q11" i="123" s="1"/>
  <c r="P314" i="3"/>
  <c r="F314" i="3"/>
  <c r="E314" i="3"/>
  <c r="Y313" i="3"/>
  <c r="Y2" i="98" s="1"/>
  <c r="X313" i="3"/>
  <c r="X2" i="98" s="1"/>
  <c r="W313" i="3"/>
  <c r="W2" i="98" s="1"/>
  <c r="V313" i="3"/>
  <c r="V2" i="98" s="1"/>
  <c r="T313" i="3"/>
  <c r="T2" i="98" s="1"/>
  <c r="S313" i="3"/>
  <c r="S2" i="98" s="1"/>
  <c r="Q313" i="3"/>
  <c r="Q2" i="98" s="1"/>
  <c r="P313" i="3"/>
  <c r="P2" i="98" s="1"/>
  <c r="F313" i="3"/>
  <c r="E313" i="3"/>
  <c r="Y312" i="3"/>
  <c r="Y5" i="38" s="1"/>
  <c r="X312" i="3"/>
  <c r="X5" i="38" s="1"/>
  <c r="W312" i="3"/>
  <c r="W5" i="38" s="1"/>
  <c r="V312" i="3"/>
  <c r="V5" i="38" s="1"/>
  <c r="T312" i="3"/>
  <c r="T5" i="38" s="1"/>
  <c r="S312" i="3"/>
  <c r="S5" i="38" s="1"/>
  <c r="Q312" i="3"/>
  <c r="Q5" i="38" s="1"/>
  <c r="P312" i="3"/>
  <c r="P5" i="38" s="1"/>
  <c r="F312" i="3"/>
  <c r="E312" i="3"/>
  <c r="Y311" i="3"/>
  <c r="Y16" i="168" s="1"/>
  <c r="X311" i="3"/>
  <c r="X16" i="168" s="1"/>
  <c r="W311" i="3"/>
  <c r="W16" i="168" s="1"/>
  <c r="V311" i="3"/>
  <c r="V16" i="168" s="1"/>
  <c r="T311" i="3"/>
  <c r="T16" i="168" s="1"/>
  <c r="S311" i="3"/>
  <c r="S16" i="168" s="1"/>
  <c r="Q311" i="3"/>
  <c r="Q16" i="168" s="1"/>
  <c r="P311" i="3"/>
  <c r="P16" i="168" s="1"/>
  <c r="F311" i="3"/>
  <c r="E311" i="3"/>
  <c r="Y310" i="3"/>
  <c r="Y25" i="92" s="1"/>
  <c r="X310" i="3"/>
  <c r="X25" i="92" s="1"/>
  <c r="W310" i="3"/>
  <c r="W25" i="92" s="1"/>
  <c r="V310" i="3"/>
  <c r="V25" i="92" s="1"/>
  <c r="T310" i="3"/>
  <c r="T25" i="92" s="1"/>
  <c r="S310" i="3"/>
  <c r="Q310" i="3"/>
  <c r="Q25" i="92" s="1"/>
  <c r="P310" i="3"/>
  <c r="P25" i="92" s="1"/>
  <c r="F310" i="3"/>
  <c r="E310" i="3"/>
  <c r="Y309" i="3"/>
  <c r="Y4" i="116" s="1"/>
  <c r="X309" i="3"/>
  <c r="X4" i="116" s="1"/>
  <c r="W309" i="3"/>
  <c r="W4" i="116" s="1"/>
  <c r="V309" i="3"/>
  <c r="V4" i="116" s="1"/>
  <c r="T309" i="3"/>
  <c r="T4" i="116" s="1"/>
  <c r="S309" i="3"/>
  <c r="S4" i="116" s="1"/>
  <c r="Q309" i="3"/>
  <c r="Q4" i="116" s="1"/>
  <c r="P309" i="3"/>
  <c r="F309" i="3"/>
  <c r="E309" i="3"/>
  <c r="Y308" i="3"/>
  <c r="Y6" i="196" s="1"/>
  <c r="X308" i="3"/>
  <c r="X6" i="196" s="1"/>
  <c r="W308" i="3"/>
  <c r="W6" i="196" s="1"/>
  <c r="V308" i="3"/>
  <c r="V6" i="196" s="1"/>
  <c r="T308" i="3"/>
  <c r="T6" i="196" s="1"/>
  <c r="S308" i="3"/>
  <c r="S6" i="196" s="1"/>
  <c r="Q308" i="3"/>
  <c r="Q6" i="196" s="1"/>
  <c r="P308" i="3"/>
  <c r="P6" i="196" s="1"/>
  <c r="F308" i="3"/>
  <c r="E308" i="3"/>
  <c r="Y307" i="3"/>
  <c r="Y23" i="92" s="1"/>
  <c r="X307" i="3"/>
  <c r="X23" i="92" s="1"/>
  <c r="W307" i="3"/>
  <c r="W23" i="92" s="1"/>
  <c r="V307" i="3"/>
  <c r="V23" i="92" s="1"/>
  <c r="T307" i="3"/>
  <c r="T23" i="92" s="1"/>
  <c r="S307" i="3"/>
  <c r="Q307" i="3"/>
  <c r="Q23" i="92" s="1"/>
  <c r="P307" i="3"/>
  <c r="P23" i="92" s="1"/>
  <c r="F307" i="3"/>
  <c r="E307" i="3"/>
  <c r="Y306" i="3"/>
  <c r="Y4" i="108" s="1"/>
  <c r="X306" i="3"/>
  <c r="X4" i="108" s="1"/>
  <c r="W306" i="3"/>
  <c r="W4" i="108" s="1"/>
  <c r="V306" i="3"/>
  <c r="V4" i="108" s="1"/>
  <c r="T306" i="3"/>
  <c r="T4" i="108" s="1"/>
  <c r="S306" i="3"/>
  <c r="S4" i="108" s="1"/>
  <c r="Q306" i="3"/>
  <c r="Q4" i="108" s="1"/>
  <c r="P306" i="3"/>
  <c r="F306" i="3"/>
  <c r="E306" i="3"/>
  <c r="Y305" i="3"/>
  <c r="Y14" i="185" s="1"/>
  <c r="X305" i="3"/>
  <c r="X14" i="185" s="1"/>
  <c r="W305" i="3"/>
  <c r="W14" i="185" s="1"/>
  <c r="V305" i="3"/>
  <c r="V14" i="185" s="1"/>
  <c r="T305" i="3"/>
  <c r="T14" i="185" s="1"/>
  <c r="S305" i="3"/>
  <c r="S14" i="185" s="1"/>
  <c r="R305" i="3"/>
  <c r="R14" i="185" s="1"/>
  <c r="Q305" i="3"/>
  <c r="Q14" i="185" s="1"/>
  <c r="P305" i="3"/>
  <c r="P14" i="185" s="1"/>
  <c r="F305" i="3"/>
  <c r="E305" i="3"/>
  <c r="Y304" i="3"/>
  <c r="Y24" i="92" s="1"/>
  <c r="X304" i="3"/>
  <c r="X24" i="92" s="1"/>
  <c r="W304" i="3"/>
  <c r="W24" i="92" s="1"/>
  <c r="V304" i="3"/>
  <c r="V24" i="92" s="1"/>
  <c r="T304" i="3"/>
  <c r="T24" i="92" s="1"/>
  <c r="S304" i="3"/>
  <c r="S24" i="92" s="1"/>
  <c r="Q304" i="3"/>
  <c r="Q24" i="92" s="1"/>
  <c r="P304" i="3"/>
  <c r="P24" i="92" s="1"/>
  <c r="F304" i="3"/>
  <c r="E304" i="3"/>
  <c r="Y303" i="3"/>
  <c r="Y5" i="35" s="1"/>
  <c r="X303" i="3"/>
  <c r="X5" i="35" s="1"/>
  <c r="W303" i="3"/>
  <c r="W5" i="35" s="1"/>
  <c r="V303" i="3"/>
  <c r="V5" i="35" s="1"/>
  <c r="T303" i="3"/>
  <c r="T5" i="35" s="1"/>
  <c r="S303" i="3"/>
  <c r="S5" i="35" s="1"/>
  <c r="Q303" i="3"/>
  <c r="Q5" i="35" s="1"/>
  <c r="P303" i="3"/>
  <c r="P5" i="35" s="1"/>
  <c r="F303" i="3"/>
  <c r="E303" i="3"/>
  <c r="Y302" i="3"/>
  <c r="Y22" i="92" s="1"/>
  <c r="X302" i="3"/>
  <c r="X22" i="92" s="1"/>
  <c r="W302" i="3"/>
  <c r="W22" i="92" s="1"/>
  <c r="V302" i="3"/>
  <c r="V22" i="92" s="1"/>
  <c r="T302" i="3"/>
  <c r="T22" i="92" s="1"/>
  <c r="S302" i="3"/>
  <c r="Q302" i="3"/>
  <c r="Q22" i="92" s="1"/>
  <c r="P302" i="3"/>
  <c r="P22" i="92" s="1"/>
  <c r="F302" i="3"/>
  <c r="E302" i="3"/>
  <c r="Y301" i="3"/>
  <c r="Y3" i="107" s="1"/>
  <c r="X301" i="3"/>
  <c r="X3" i="107" s="1"/>
  <c r="W301" i="3"/>
  <c r="W3" i="107" s="1"/>
  <c r="V301" i="3"/>
  <c r="V3" i="107" s="1"/>
  <c r="T301" i="3"/>
  <c r="T3" i="107" s="1"/>
  <c r="S301" i="3"/>
  <c r="S3" i="107" s="1"/>
  <c r="Q301" i="3"/>
  <c r="Q3" i="107" s="1"/>
  <c r="P301" i="3"/>
  <c r="F301" i="3"/>
  <c r="E301" i="3"/>
  <c r="Y300" i="3"/>
  <c r="Y2" i="191" s="1"/>
  <c r="X300" i="3"/>
  <c r="X2" i="191" s="1"/>
  <c r="W300" i="3"/>
  <c r="W2" i="191" s="1"/>
  <c r="V300" i="3"/>
  <c r="V2" i="191" s="1"/>
  <c r="T300" i="3"/>
  <c r="T2" i="191" s="1"/>
  <c r="S300" i="3"/>
  <c r="S2" i="191" s="1"/>
  <c r="Q300" i="3"/>
  <c r="Q2" i="191" s="1"/>
  <c r="P300" i="3"/>
  <c r="P2" i="191" s="1"/>
  <c r="F300" i="3"/>
  <c r="E300" i="3"/>
  <c r="Y299" i="3"/>
  <c r="Y3" i="108" s="1"/>
  <c r="X299" i="3"/>
  <c r="X3" i="108" s="1"/>
  <c r="W299" i="3"/>
  <c r="W3" i="108" s="1"/>
  <c r="V299" i="3"/>
  <c r="V3" i="108" s="1"/>
  <c r="T299" i="3"/>
  <c r="T3" i="108" s="1"/>
  <c r="S299" i="3"/>
  <c r="Q299" i="3"/>
  <c r="Q3" i="108" s="1"/>
  <c r="P299" i="3"/>
  <c r="P3" i="108" s="1"/>
  <c r="F299" i="3"/>
  <c r="E299" i="3"/>
  <c r="Y298" i="3"/>
  <c r="Y3" i="148" s="1"/>
  <c r="X298" i="3"/>
  <c r="X3" i="148" s="1"/>
  <c r="W298" i="3"/>
  <c r="W3" i="148" s="1"/>
  <c r="V298" i="3"/>
  <c r="V3" i="148" s="1"/>
  <c r="T298" i="3"/>
  <c r="T3" i="148" s="1"/>
  <c r="S298" i="3"/>
  <c r="S3" i="148" s="1"/>
  <c r="Q298" i="3"/>
  <c r="Q3" i="148" s="1"/>
  <c r="P298" i="3"/>
  <c r="F298" i="3"/>
  <c r="E298" i="3"/>
  <c r="Y297" i="3"/>
  <c r="Y5" i="101" s="1"/>
  <c r="X297" i="3"/>
  <c r="X5" i="101" s="1"/>
  <c r="W297" i="3"/>
  <c r="W5" i="101" s="1"/>
  <c r="V297" i="3"/>
  <c r="V5" i="101" s="1"/>
  <c r="T297" i="3"/>
  <c r="T5" i="101" s="1"/>
  <c r="S297" i="3"/>
  <c r="S5" i="101" s="1"/>
  <c r="Q297" i="3"/>
  <c r="Q5" i="101" s="1"/>
  <c r="P297" i="3"/>
  <c r="P5" i="101" s="1"/>
  <c r="F297" i="3"/>
  <c r="E297" i="3"/>
  <c r="Y296" i="3"/>
  <c r="Y6" i="128" s="1"/>
  <c r="X296" i="3"/>
  <c r="X6" i="128" s="1"/>
  <c r="W296" i="3"/>
  <c r="W6" i="128" s="1"/>
  <c r="V296" i="3"/>
  <c r="V6" i="128" s="1"/>
  <c r="T296" i="3"/>
  <c r="T6" i="128" s="1"/>
  <c r="S296" i="3"/>
  <c r="S6" i="128" s="1"/>
  <c r="R296" i="3"/>
  <c r="R6" i="128" s="1"/>
  <c r="Q296" i="3"/>
  <c r="Q6" i="128" s="1"/>
  <c r="P296" i="3"/>
  <c r="P6" i="128" s="1"/>
  <c r="F296" i="3"/>
  <c r="E296" i="3"/>
  <c r="Y295" i="3"/>
  <c r="Y4" i="107" s="1"/>
  <c r="X295" i="3"/>
  <c r="X4" i="107" s="1"/>
  <c r="W295" i="3"/>
  <c r="W4" i="107" s="1"/>
  <c r="V295" i="3"/>
  <c r="V4" i="107" s="1"/>
  <c r="T295" i="3"/>
  <c r="T4" i="107" s="1"/>
  <c r="S295" i="3"/>
  <c r="S4" i="107" s="1"/>
  <c r="Q295" i="3"/>
  <c r="Q4" i="107" s="1"/>
  <c r="P295" i="3"/>
  <c r="P4" i="107" s="1"/>
  <c r="F295" i="3"/>
  <c r="E295" i="3"/>
  <c r="Y294" i="3"/>
  <c r="Y2" i="87" s="1"/>
  <c r="X294" i="3"/>
  <c r="X2" i="87" s="1"/>
  <c r="W294" i="3"/>
  <c r="W2" i="87" s="1"/>
  <c r="V294" i="3"/>
  <c r="V2" i="87" s="1"/>
  <c r="T294" i="3"/>
  <c r="T2" i="87" s="1"/>
  <c r="S294" i="3"/>
  <c r="Q294" i="3"/>
  <c r="Q2" i="87" s="1"/>
  <c r="P294" i="3"/>
  <c r="P2" i="87" s="1"/>
  <c r="F294" i="3"/>
  <c r="E294" i="3"/>
  <c r="Y293" i="3"/>
  <c r="X293" i="3"/>
  <c r="W293" i="3"/>
  <c r="V293" i="3"/>
  <c r="T293" i="3"/>
  <c r="S293" i="3"/>
  <c r="Q293" i="3"/>
  <c r="P293" i="3"/>
  <c r="F293" i="3"/>
  <c r="E293" i="3"/>
  <c r="Y292" i="3"/>
  <c r="X292" i="3"/>
  <c r="W292" i="3"/>
  <c r="V292" i="3"/>
  <c r="T292" i="3"/>
  <c r="U292" i="3" s="1"/>
  <c r="S292" i="3"/>
  <c r="Q292" i="3"/>
  <c r="P292" i="3"/>
  <c r="F292" i="3"/>
  <c r="E292" i="3"/>
  <c r="Y291" i="3"/>
  <c r="X291" i="3"/>
  <c r="W291" i="3"/>
  <c r="V291" i="3"/>
  <c r="T291" i="3"/>
  <c r="S291" i="3"/>
  <c r="Q291" i="3"/>
  <c r="P291" i="3"/>
  <c r="F291" i="3"/>
  <c r="E291" i="3"/>
  <c r="Y290" i="3"/>
  <c r="Y15" i="168" s="1"/>
  <c r="X290" i="3"/>
  <c r="X15" i="168" s="1"/>
  <c r="W290" i="3"/>
  <c r="W15" i="168" s="1"/>
  <c r="V290" i="3"/>
  <c r="V15" i="168" s="1"/>
  <c r="T290" i="3"/>
  <c r="T15" i="168" s="1"/>
  <c r="S290" i="3"/>
  <c r="S15" i="168" s="1"/>
  <c r="Q290" i="3"/>
  <c r="Q15" i="168" s="1"/>
  <c r="P290" i="3"/>
  <c r="F290" i="3"/>
  <c r="E290" i="3"/>
  <c r="Y289" i="3"/>
  <c r="Y4" i="196" s="1"/>
  <c r="X289" i="3"/>
  <c r="X4" i="196" s="1"/>
  <c r="W289" i="3"/>
  <c r="W4" i="196" s="1"/>
  <c r="V289" i="3"/>
  <c r="V4" i="196" s="1"/>
  <c r="T289" i="3"/>
  <c r="T4" i="196" s="1"/>
  <c r="S289" i="3"/>
  <c r="S4" i="196" s="1"/>
  <c r="Q289" i="3"/>
  <c r="Q4" i="196" s="1"/>
  <c r="P289" i="3"/>
  <c r="P4" i="196" s="1"/>
  <c r="F289" i="3"/>
  <c r="E289" i="3"/>
  <c r="Y288" i="3"/>
  <c r="Y5" i="196" s="1"/>
  <c r="X288" i="3"/>
  <c r="X5" i="196" s="1"/>
  <c r="W288" i="3"/>
  <c r="W5" i="196" s="1"/>
  <c r="V288" i="3"/>
  <c r="V5" i="196" s="1"/>
  <c r="T288" i="3"/>
  <c r="T5" i="196" s="1"/>
  <c r="S288" i="3"/>
  <c r="S5" i="196" s="1"/>
  <c r="Q288" i="3"/>
  <c r="Q5" i="196" s="1"/>
  <c r="P288" i="3"/>
  <c r="P5" i="196" s="1"/>
  <c r="F288" i="3"/>
  <c r="E288" i="3"/>
  <c r="Y287" i="3"/>
  <c r="Y2" i="23" s="1"/>
  <c r="X287" i="3"/>
  <c r="X2" i="23" s="1"/>
  <c r="W287" i="3"/>
  <c r="W2" i="23" s="1"/>
  <c r="V287" i="3"/>
  <c r="V2" i="23" s="1"/>
  <c r="T287" i="3"/>
  <c r="T2" i="23" s="1"/>
  <c r="S287" i="3"/>
  <c r="S2" i="23" s="1"/>
  <c r="Q287" i="3"/>
  <c r="Q2" i="23" s="1"/>
  <c r="P287" i="3"/>
  <c r="P2" i="23" s="1"/>
  <c r="F287" i="3"/>
  <c r="E287" i="3"/>
  <c r="Y286" i="3"/>
  <c r="Y2" i="32" s="1"/>
  <c r="X286" i="3"/>
  <c r="X2" i="32" s="1"/>
  <c r="W286" i="3"/>
  <c r="W2" i="32" s="1"/>
  <c r="V286" i="3"/>
  <c r="V2" i="32" s="1"/>
  <c r="T286" i="3"/>
  <c r="T2" i="32" s="1"/>
  <c r="S286" i="3"/>
  <c r="Q286" i="3"/>
  <c r="Q2" i="32" s="1"/>
  <c r="P286" i="3"/>
  <c r="P2" i="32" s="1"/>
  <c r="F286" i="3"/>
  <c r="E286" i="3"/>
  <c r="Y285" i="3"/>
  <c r="X285" i="3"/>
  <c r="W285" i="3"/>
  <c r="V285" i="3"/>
  <c r="T285" i="3"/>
  <c r="S285" i="3"/>
  <c r="Q285" i="3"/>
  <c r="P285" i="3"/>
  <c r="F285" i="3"/>
  <c r="E285" i="3"/>
  <c r="Y284" i="3"/>
  <c r="Y5" i="184" s="1"/>
  <c r="X284" i="3"/>
  <c r="X5" i="184" s="1"/>
  <c r="W284" i="3"/>
  <c r="W5" i="184" s="1"/>
  <c r="V284" i="3"/>
  <c r="V5" i="184" s="1"/>
  <c r="T284" i="3"/>
  <c r="T5" i="184" s="1"/>
  <c r="S284" i="3"/>
  <c r="S5" i="184" s="1"/>
  <c r="Q284" i="3"/>
  <c r="Q5" i="184" s="1"/>
  <c r="P284" i="3"/>
  <c r="P5" i="184" s="1"/>
  <c r="F284" i="3"/>
  <c r="E284" i="3"/>
  <c r="Y283" i="3"/>
  <c r="X283" i="3"/>
  <c r="W283" i="3"/>
  <c r="V283" i="3"/>
  <c r="T283" i="3"/>
  <c r="S283" i="3"/>
  <c r="R283" i="3"/>
  <c r="Q283" i="3"/>
  <c r="P283" i="3"/>
  <c r="F283" i="3"/>
  <c r="E283" i="3"/>
  <c r="Y282" i="3"/>
  <c r="Y6" i="174" s="1"/>
  <c r="X282" i="3"/>
  <c r="X6" i="174" s="1"/>
  <c r="W282" i="3"/>
  <c r="W6" i="174" s="1"/>
  <c r="V282" i="3"/>
  <c r="V6" i="174" s="1"/>
  <c r="T282" i="3"/>
  <c r="T6" i="174" s="1"/>
  <c r="S282" i="3"/>
  <c r="S6" i="174" s="1"/>
  <c r="Q282" i="3"/>
  <c r="Q6" i="174" s="1"/>
  <c r="P282" i="3"/>
  <c r="F282" i="3"/>
  <c r="E282" i="3"/>
  <c r="Y281" i="3"/>
  <c r="Y9" i="193" s="1"/>
  <c r="X281" i="3"/>
  <c r="X9" i="193" s="1"/>
  <c r="W281" i="3"/>
  <c r="W9" i="193" s="1"/>
  <c r="V281" i="3"/>
  <c r="V9" i="193" s="1"/>
  <c r="T281" i="3"/>
  <c r="T9" i="193" s="1"/>
  <c r="S281" i="3"/>
  <c r="S9" i="193" s="1"/>
  <c r="Q281" i="3"/>
  <c r="Q9" i="193" s="1"/>
  <c r="P281" i="3"/>
  <c r="P9" i="193" s="1"/>
  <c r="F281" i="3"/>
  <c r="E281" i="3"/>
  <c r="Y280" i="3"/>
  <c r="Y2" i="136" s="1"/>
  <c r="X280" i="3"/>
  <c r="X2" i="136" s="1"/>
  <c r="W280" i="3"/>
  <c r="W2" i="136" s="1"/>
  <c r="V280" i="3"/>
  <c r="V2" i="136" s="1"/>
  <c r="T280" i="3"/>
  <c r="T2" i="136" s="1"/>
  <c r="S280" i="3"/>
  <c r="S2" i="136" s="1"/>
  <c r="Q280" i="3"/>
  <c r="Q2" i="136" s="1"/>
  <c r="P280" i="3"/>
  <c r="P2" i="136" s="1"/>
  <c r="F280" i="3"/>
  <c r="E280" i="3"/>
  <c r="Y279" i="3"/>
  <c r="Y6" i="69" s="1"/>
  <c r="X279" i="3"/>
  <c r="X6" i="69" s="1"/>
  <c r="W279" i="3"/>
  <c r="W6" i="69" s="1"/>
  <c r="V279" i="3"/>
  <c r="V6" i="69" s="1"/>
  <c r="T279" i="3"/>
  <c r="T6" i="69" s="1"/>
  <c r="S279" i="3"/>
  <c r="S6" i="69" s="1"/>
  <c r="Q279" i="3"/>
  <c r="Q6" i="69" s="1"/>
  <c r="P279" i="3"/>
  <c r="P6" i="69" s="1"/>
  <c r="F279" i="3"/>
  <c r="E279" i="3"/>
  <c r="Y278" i="3"/>
  <c r="Y5" i="122" s="1"/>
  <c r="X278" i="3"/>
  <c r="X5" i="122" s="1"/>
  <c r="W278" i="3"/>
  <c r="W5" i="122" s="1"/>
  <c r="V278" i="3"/>
  <c r="V5" i="122" s="1"/>
  <c r="T278" i="3"/>
  <c r="T5" i="122" s="1"/>
  <c r="S278" i="3"/>
  <c r="Q278" i="3"/>
  <c r="Q5" i="122" s="1"/>
  <c r="P278" i="3"/>
  <c r="P5" i="122" s="1"/>
  <c r="F278" i="3"/>
  <c r="E278" i="3"/>
  <c r="Y277" i="3"/>
  <c r="Y2" i="113" s="1"/>
  <c r="X277" i="3"/>
  <c r="X2" i="113" s="1"/>
  <c r="W277" i="3"/>
  <c r="W2" i="113" s="1"/>
  <c r="V277" i="3"/>
  <c r="V2" i="113" s="1"/>
  <c r="T277" i="3"/>
  <c r="T2" i="113" s="1"/>
  <c r="S277" i="3"/>
  <c r="S2" i="113" s="1"/>
  <c r="Q277" i="3"/>
  <c r="Q2" i="113" s="1"/>
  <c r="P277" i="3"/>
  <c r="F277" i="3"/>
  <c r="E277" i="3"/>
  <c r="Y276" i="3"/>
  <c r="Y2" i="78" s="1"/>
  <c r="X276" i="3"/>
  <c r="X2" i="78" s="1"/>
  <c r="W276" i="3"/>
  <c r="W2" i="78" s="1"/>
  <c r="V276" i="3"/>
  <c r="V2" i="78" s="1"/>
  <c r="T276" i="3"/>
  <c r="T2" i="78" s="1"/>
  <c r="S276" i="3"/>
  <c r="S2" i="78" s="1"/>
  <c r="Q276" i="3"/>
  <c r="Q2" i="78" s="1"/>
  <c r="P276" i="3"/>
  <c r="P2" i="78" s="1"/>
  <c r="F276" i="3"/>
  <c r="E276" i="3"/>
  <c r="Y275" i="3"/>
  <c r="Y5" i="177" s="1"/>
  <c r="X275" i="3"/>
  <c r="X5" i="177" s="1"/>
  <c r="W275" i="3"/>
  <c r="W5" i="177" s="1"/>
  <c r="V275" i="3"/>
  <c r="V5" i="177" s="1"/>
  <c r="T275" i="3"/>
  <c r="T5" i="177" s="1"/>
  <c r="S275" i="3"/>
  <c r="Q275" i="3"/>
  <c r="Q5" i="177" s="1"/>
  <c r="P275" i="3"/>
  <c r="P5" i="177" s="1"/>
  <c r="F275" i="3"/>
  <c r="E275" i="3"/>
  <c r="Y274" i="3"/>
  <c r="Y5" i="128" s="1"/>
  <c r="X274" i="3"/>
  <c r="X5" i="128" s="1"/>
  <c r="W274" i="3"/>
  <c r="W5" i="128" s="1"/>
  <c r="V274" i="3"/>
  <c r="V5" i="128" s="1"/>
  <c r="T274" i="3"/>
  <c r="T5" i="128" s="1"/>
  <c r="S274" i="3"/>
  <c r="S5" i="128" s="1"/>
  <c r="Q274" i="3"/>
  <c r="Q5" i="128" s="1"/>
  <c r="P274" i="3"/>
  <c r="F274" i="3"/>
  <c r="E274" i="3"/>
  <c r="Y273" i="3"/>
  <c r="Y21" i="92" s="1"/>
  <c r="X273" i="3"/>
  <c r="X21" i="92" s="1"/>
  <c r="W273" i="3"/>
  <c r="W21" i="92" s="1"/>
  <c r="V273" i="3"/>
  <c r="V21" i="92" s="1"/>
  <c r="T273" i="3"/>
  <c r="T21" i="92" s="1"/>
  <c r="S273" i="3"/>
  <c r="S21" i="92" s="1"/>
  <c r="Q273" i="3"/>
  <c r="Q21" i="92" s="1"/>
  <c r="P273" i="3"/>
  <c r="P21" i="92" s="1"/>
  <c r="F273" i="3"/>
  <c r="E273" i="3"/>
  <c r="Y272" i="3"/>
  <c r="Y4" i="101" s="1"/>
  <c r="X272" i="3"/>
  <c r="X4" i="101" s="1"/>
  <c r="W272" i="3"/>
  <c r="W4" i="101" s="1"/>
  <c r="V272" i="3"/>
  <c r="V4" i="101" s="1"/>
  <c r="T272" i="3"/>
  <c r="T4" i="101" s="1"/>
  <c r="S272" i="3"/>
  <c r="S4" i="101" s="1"/>
  <c r="Q272" i="3"/>
  <c r="Q4" i="101" s="1"/>
  <c r="P272" i="3"/>
  <c r="P4" i="101" s="1"/>
  <c r="F272" i="3"/>
  <c r="E272" i="3"/>
  <c r="Y271" i="3"/>
  <c r="Y2" i="134" s="1"/>
  <c r="X271" i="3"/>
  <c r="X2" i="134" s="1"/>
  <c r="W271" i="3"/>
  <c r="W2" i="134" s="1"/>
  <c r="V271" i="3"/>
  <c r="V2" i="134" s="1"/>
  <c r="T271" i="3"/>
  <c r="T2" i="134" s="1"/>
  <c r="S271" i="3"/>
  <c r="S2" i="134" s="1"/>
  <c r="Q271" i="3"/>
  <c r="Q2" i="134" s="1"/>
  <c r="P271" i="3"/>
  <c r="P2" i="134" s="1"/>
  <c r="F271" i="3"/>
  <c r="E271" i="3"/>
  <c r="Y270" i="3"/>
  <c r="Y11" i="185" s="1"/>
  <c r="X270" i="3"/>
  <c r="X11" i="185" s="1"/>
  <c r="W270" i="3"/>
  <c r="W11" i="185" s="1"/>
  <c r="V270" i="3"/>
  <c r="V11" i="185" s="1"/>
  <c r="T270" i="3"/>
  <c r="T11" i="185" s="1"/>
  <c r="S270" i="3"/>
  <c r="Q270" i="3"/>
  <c r="Q11" i="185" s="1"/>
  <c r="P270" i="3"/>
  <c r="P11" i="185" s="1"/>
  <c r="F270" i="3"/>
  <c r="E270" i="3"/>
  <c r="Y269" i="3"/>
  <c r="Y8" i="56" s="1"/>
  <c r="X269" i="3"/>
  <c r="X8" i="56" s="1"/>
  <c r="W269" i="3"/>
  <c r="W8" i="56" s="1"/>
  <c r="V269" i="3"/>
  <c r="V8" i="56" s="1"/>
  <c r="T269" i="3"/>
  <c r="T8" i="56" s="1"/>
  <c r="S269" i="3"/>
  <c r="S8" i="56" s="1"/>
  <c r="Q269" i="3"/>
  <c r="Q8" i="56" s="1"/>
  <c r="P269" i="3"/>
  <c r="F269" i="3"/>
  <c r="E269" i="3"/>
  <c r="Y268" i="3"/>
  <c r="X268" i="3"/>
  <c r="W268" i="3"/>
  <c r="V268" i="3"/>
  <c r="T268" i="3"/>
  <c r="S268" i="3"/>
  <c r="U268" i="3" s="1"/>
  <c r="Q268" i="3"/>
  <c r="P268" i="3"/>
  <c r="F268" i="3"/>
  <c r="E268" i="3"/>
  <c r="Y267" i="3"/>
  <c r="Y10" i="185" s="1"/>
  <c r="X267" i="3"/>
  <c r="X10" i="185" s="1"/>
  <c r="W267" i="3"/>
  <c r="W10" i="185" s="1"/>
  <c r="V267" i="3"/>
  <c r="V10" i="185" s="1"/>
  <c r="T267" i="3"/>
  <c r="T10" i="185" s="1"/>
  <c r="S267" i="3"/>
  <c r="R267" i="3"/>
  <c r="R10" i="185" s="1"/>
  <c r="Q267" i="3"/>
  <c r="Q10" i="185" s="1"/>
  <c r="P267" i="3"/>
  <c r="P10" i="185" s="1"/>
  <c r="F267" i="3"/>
  <c r="E267" i="3"/>
  <c r="Y266" i="3"/>
  <c r="Y4" i="22" s="1"/>
  <c r="X266" i="3"/>
  <c r="X4" i="22" s="1"/>
  <c r="W266" i="3"/>
  <c r="W4" i="22" s="1"/>
  <c r="V266" i="3"/>
  <c r="V4" i="22" s="1"/>
  <c r="T266" i="3"/>
  <c r="T4" i="22" s="1"/>
  <c r="S266" i="3"/>
  <c r="S4" i="22" s="1"/>
  <c r="Q266" i="3"/>
  <c r="Q4" i="22" s="1"/>
  <c r="P266" i="3"/>
  <c r="F266" i="3"/>
  <c r="E266" i="3"/>
  <c r="Y265" i="3"/>
  <c r="Y8" i="120" s="1"/>
  <c r="X265" i="3"/>
  <c r="X8" i="120" s="1"/>
  <c r="W265" i="3"/>
  <c r="W8" i="120" s="1"/>
  <c r="V265" i="3"/>
  <c r="V8" i="120" s="1"/>
  <c r="T265" i="3"/>
  <c r="T8" i="120" s="1"/>
  <c r="S265" i="3"/>
  <c r="S8" i="120" s="1"/>
  <c r="Q265" i="3"/>
  <c r="Q8" i="120" s="1"/>
  <c r="P265" i="3"/>
  <c r="P8" i="120" s="1"/>
  <c r="F265" i="3"/>
  <c r="E265" i="3"/>
  <c r="Y264" i="3"/>
  <c r="Y12" i="171" s="1"/>
  <c r="X264" i="3"/>
  <c r="X12" i="171" s="1"/>
  <c r="W264" i="3"/>
  <c r="W12" i="171" s="1"/>
  <c r="V264" i="3"/>
  <c r="V12" i="171" s="1"/>
  <c r="T264" i="3"/>
  <c r="T12" i="171" s="1"/>
  <c r="S264" i="3"/>
  <c r="S12" i="171" s="1"/>
  <c r="Q264" i="3"/>
  <c r="Q12" i="171" s="1"/>
  <c r="P264" i="3"/>
  <c r="P12" i="171" s="1"/>
  <c r="F264" i="3"/>
  <c r="E264" i="3"/>
  <c r="Y263" i="3"/>
  <c r="Y11" i="167" s="1"/>
  <c r="X263" i="3"/>
  <c r="X11" i="167" s="1"/>
  <c r="W263" i="3"/>
  <c r="W11" i="167" s="1"/>
  <c r="V263" i="3"/>
  <c r="V11" i="167" s="1"/>
  <c r="T263" i="3"/>
  <c r="S263" i="3"/>
  <c r="S11" i="167" s="1"/>
  <c r="Q263" i="3"/>
  <c r="Q11" i="167" s="1"/>
  <c r="P263" i="3"/>
  <c r="P11" i="167" s="1"/>
  <c r="F263" i="3"/>
  <c r="E263" i="3"/>
  <c r="Y262" i="3"/>
  <c r="Y3" i="116" s="1"/>
  <c r="X262" i="3"/>
  <c r="X3" i="116" s="1"/>
  <c r="W262" i="3"/>
  <c r="W3" i="116" s="1"/>
  <c r="V262" i="3"/>
  <c r="V3" i="116" s="1"/>
  <c r="T262" i="3"/>
  <c r="T3" i="116" s="1"/>
  <c r="S262" i="3"/>
  <c r="Q262" i="3"/>
  <c r="P262" i="3"/>
  <c r="P3" i="116" s="1"/>
  <c r="F262" i="3"/>
  <c r="E262" i="3"/>
  <c r="Y261" i="3"/>
  <c r="Y8" i="193" s="1"/>
  <c r="X261" i="3"/>
  <c r="X8" i="193" s="1"/>
  <c r="W261" i="3"/>
  <c r="W8" i="193" s="1"/>
  <c r="V261" i="3"/>
  <c r="V8" i="193" s="1"/>
  <c r="T261" i="3"/>
  <c r="T8" i="193" s="1"/>
  <c r="S261" i="3"/>
  <c r="S8" i="193" s="1"/>
  <c r="Q261" i="3"/>
  <c r="Q8" i="193" s="1"/>
  <c r="P261" i="3"/>
  <c r="F261" i="3"/>
  <c r="E261" i="3"/>
  <c r="Y260" i="3"/>
  <c r="Y2" i="102" s="1"/>
  <c r="X260" i="3"/>
  <c r="X2" i="102" s="1"/>
  <c r="W260" i="3"/>
  <c r="W2" i="102" s="1"/>
  <c r="V260" i="3"/>
  <c r="V2" i="102" s="1"/>
  <c r="T260" i="3"/>
  <c r="T2" i="102" s="1"/>
  <c r="S260" i="3"/>
  <c r="S2" i="102" s="1"/>
  <c r="Q260" i="3"/>
  <c r="Q2" i="102" s="1"/>
  <c r="P260" i="3"/>
  <c r="P2" i="102" s="1"/>
  <c r="F260" i="3"/>
  <c r="E260" i="3"/>
  <c r="Y259" i="3"/>
  <c r="Y20" i="92" s="1"/>
  <c r="X259" i="3"/>
  <c r="X20" i="92" s="1"/>
  <c r="W259" i="3"/>
  <c r="W20" i="92" s="1"/>
  <c r="V259" i="3"/>
  <c r="V20" i="92" s="1"/>
  <c r="T259" i="3"/>
  <c r="T20" i="92" s="1"/>
  <c r="S259" i="3"/>
  <c r="Q259" i="3"/>
  <c r="Q20" i="92" s="1"/>
  <c r="P259" i="3"/>
  <c r="P20" i="92" s="1"/>
  <c r="F259" i="3"/>
  <c r="E259" i="3"/>
  <c r="Y258" i="3"/>
  <c r="Y2" i="76" s="1"/>
  <c r="X258" i="3"/>
  <c r="X2" i="76" s="1"/>
  <c r="W258" i="3"/>
  <c r="W2" i="76" s="1"/>
  <c r="V258" i="3"/>
  <c r="V2" i="76" s="1"/>
  <c r="T258" i="3"/>
  <c r="T2" i="76" s="1"/>
  <c r="S258" i="3"/>
  <c r="S2" i="76" s="1"/>
  <c r="Q258" i="3"/>
  <c r="Q2" i="76" s="1"/>
  <c r="P258" i="3"/>
  <c r="F258" i="3"/>
  <c r="E258" i="3"/>
  <c r="Y257" i="3"/>
  <c r="Y5" i="110" s="1"/>
  <c r="X257" i="3"/>
  <c r="X5" i="110" s="1"/>
  <c r="W257" i="3"/>
  <c r="W5" i="110" s="1"/>
  <c r="V257" i="3"/>
  <c r="V5" i="110" s="1"/>
  <c r="T257" i="3"/>
  <c r="T5" i="110" s="1"/>
  <c r="S257" i="3"/>
  <c r="S5" i="110" s="1"/>
  <c r="Q257" i="3"/>
  <c r="Q5" i="110" s="1"/>
  <c r="P257" i="3"/>
  <c r="P5" i="110" s="1"/>
  <c r="F257" i="3"/>
  <c r="E257" i="3"/>
  <c r="Y256" i="3"/>
  <c r="Y7" i="120" s="1"/>
  <c r="X256" i="3"/>
  <c r="X7" i="120" s="1"/>
  <c r="W256" i="3"/>
  <c r="W7" i="120" s="1"/>
  <c r="V256" i="3"/>
  <c r="V7" i="120" s="1"/>
  <c r="T256" i="3"/>
  <c r="T7" i="120" s="1"/>
  <c r="S256" i="3"/>
  <c r="S7" i="120" s="1"/>
  <c r="Q256" i="3"/>
  <c r="Q7" i="120" s="1"/>
  <c r="P256" i="3"/>
  <c r="P7" i="120" s="1"/>
  <c r="F256" i="3"/>
  <c r="E256" i="3"/>
  <c r="Y255" i="3"/>
  <c r="Y4" i="110" s="1"/>
  <c r="X255" i="3"/>
  <c r="X4" i="110" s="1"/>
  <c r="W255" i="3"/>
  <c r="W4" i="110" s="1"/>
  <c r="V255" i="3"/>
  <c r="V4" i="110" s="1"/>
  <c r="T255" i="3"/>
  <c r="S255" i="3"/>
  <c r="S4" i="110" s="1"/>
  <c r="Q255" i="3"/>
  <c r="Q4" i="110" s="1"/>
  <c r="P255" i="3"/>
  <c r="P4" i="110" s="1"/>
  <c r="F255" i="3"/>
  <c r="E255" i="3"/>
  <c r="Y254" i="3"/>
  <c r="Y11" i="171" s="1"/>
  <c r="X254" i="3"/>
  <c r="X11" i="171" s="1"/>
  <c r="W254" i="3"/>
  <c r="W11" i="171" s="1"/>
  <c r="V254" i="3"/>
  <c r="V11" i="171" s="1"/>
  <c r="T254" i="3"/>
  <c r="T11" i="171" s="1"/>
  <c r="S254" i="3"/>
  <c r="Q254" i="3"/>
  <c r="P254" i="3"/>
  <c r="P11" i="171" s="1"/>
  <c r="F254" i="3"/>
  <c r="E254" i="3"/>
  <c r="Y253" i="3"/>
  <c r="Y4" i="128" s="1"/>
  <c r="X253" i="3"/>
  <c r="X4" i="128" s="1"/>
  <c r="W253" i="3"/>
  <c r="W4" i="128" s="1"/>
  <c r="V253" i="3"/>
  <c r="V4" i="128" s="1"/>
  <c r="T253" i="3"/>
  <c r="T4" i="128" s="1"/>
  <c r="S253" i="3"/>
  <c r="S4" i="128" s="1"/>
  <c r="Q253" i="3"/>
  <c r="Q4" i="128" s="1"/>
  <c r="P253" i="3"/>
  <c r="F253" i="3"/>
  <c r="E253" i="3"/>
  <c r="Y252" i="3"/>
  <c r="Y4" i="38" s="1"/>
  <c r="X252" i="3"/>
  <c r="X4" i="38" s="1"/>
  <c r="W252" i="3"/>
  <c r="W4" i="38" s="1"/>
  <c r="V252" i="3"/>
  <c r="V4" i="38" s="1"/>
  <c r="T252" i="3"/>
  <c r="T4" i="38" s="1"/>
  <c r="S252" i="3"/>
  <c r="S4" i="38" s="1"/>
  <c r="Q252" i="3"/>
  <c r="Q4" i="38" s="1"/>
  <c r="P252" i="3"/>
  <c r="P4" i="38" s="1"/>
  <c r="F252" i="3"/>
  <c r="E252" i="3"/>
  <c r="Y251" i="3"/>
  <c r="Y6" i="70" s="1"/>
  <c r="X251" i="3"/>
  <c r="X6" i="70" s="1"/>
  <c r="W251" i="3"/>
  <c r="W6" i="70" s="1"/>
  <c r="V251" i="3"/>
  <c r="V6" i="70" s="1"/>
  <c r="T251" i="3"/>
  <c r="T6" i="70" s="1"/>
  <c r="S251" i="3"/>
  <c r="Q251" i="3"/>
  <c r="Q6" i="70" s="1"/>
  <c r="P251" i="3"/>
  <c r="P6" i="70" s="1"/>
  <c r="F251" i="3"/>
  <c r="E251" i="3"/>
  <c r="Y250" i="3"/>
  <c r="X250" i="3"/>
  <c r="W250" i="3"/>
  <c r="V250" i="3"/>
  <c r="T250" i="3"/>
  <c r="S250" i="3"/>
  <c r="Q250" i="3"/>
  <c r="P250" i="3"/>
  <c r="F250" i="3"/>
  <c r="E250" i="3"/>
  <c r="Y249" i="3"/>
  <c r="X249" i="3"/>
  <c r="W249" i="3"/>
  <c r="V249" i="3"/>
  <c r="T249" i="3"/>
  <c r="T2" i="170" s="1"/>
  <c r="S249" i="3"/>
  <c r="Q249" i="3"/>
  <c r="P249" i="3"/>
  <c r="R249" i="3" s="1"/>
  <c r="F249" i="3"/>
  <c r="E249" i="3"/>
  <c r="Y248" i="3"/>
  <c r="Y2" i="195" s="1"/>
  <c r="X248" i="3"/>
  <c r="X2" i="195" s="1"/>
  <c r="W248" i="3"/>
  <c r="W2" i="195" s="1"/>
  <c r="V248" i="3"/>
  <c r="V2" i="195" s="1"/>
  <c r="T248" i="3"/>
  <c r="T2" i="195" s="1"/>
  <c r="S248" i="3"/>
  <c r="S2" i="195" s="1"/>
  <c r="Q248" i="3"/>
  <c r="Q2" i="195" s="1"/>
  <c r="P248" i="3"/>
  <c r="P2" i="195" s="1"/>
  <c r="F248" i="3"/>
  <c r="E248" i="3"/>
  <c r="Y247" i="3"/>
  <c r="Y3" i="80" s="1"/>
  <c r="X247" i="3"/>
  <c r="X3" i="80" s="1"/>
  <c r="W247" i="3"/>
  <c r="W3" i="80" s="1"/>
  <c r="V247" i="3"/>
  <c r="V3" i="80" s="1"/>
  <c r="T247" i="3"/>
  <c r="S247" i="3"/>
  <c r="S3" i="80" s="1"/>
  <c r="Q247" i="3"/>
  <c r="Q3" i="80" s="1"/>
  <c r="P247" i="3"/>
  <c r="P3" i="80" s="1"/>
  <c r="F247" i="3"/>
  <c r="E247" i="3"/>
  <c r="Y246" i="3"/>
  <c r="Y9" i="185" s="1"/>
  <c r="X246" i="3"/>
  <c r="X9" i="185" s="1"/>
  <c r="W246" i="3"/>
  <c r="W9" i="185" s="1"/>
  <c r="V246" i="3"/>
  <c r="V9" i="185" s="1"/>
  <c r="T246" i="3"/>
  <c r="T9" i="185" s="1"/>
  <c r="S246" i="3"/>
  <c r="Q246" i="3"/>
  <c r="P246" i="3"/>
  <c r="P9" i="185" s="1"/>
  <c r="F246" i="3"/>
  <c r="E246" i="3"/>
  <c r="Y245" i="3"/>
  <c r="Y3" i="102" s="1"/>
  <c r="X245" i="3"/>
  <c r="X3" i="102" s="1"/>
  <c r="W245" i="3"/>
  <c r="W3" i="102" s="1"/>
  <c r="V245" i="3"/>
  <c r="V3" i="102" s="1"/>
  <c r="T245" i="3"/>
  <c r="T3" i="102" s="1"/>
  <c r="S245" i="3"/>
  <c r="S3" i="102" s="1"/>
  <c r="Q245" i="3"/>
  <c r="Q3" i="102" s="1"/>
  <c r="P245" i="3"/>
  <c r="F245" i="3"/>
  <c r="E245" i="3"/>
  <c r="Y244" i="3"/>
  <c r="Y3" i="156" s="1"/>
  <c r="X244" i="3"/>
  <c r="X3" i="156" s="1"/>
  <c r="W244" i="3"/>
  <c r="W3" i="156" s="1"/>
  <c r="V244" i="3"/>
  <c r="V3" i="156" s="1"/>
  <c r="T244" i="3"/>
  <c r="T3" i="156" s="1"/>
  <c r="S244" i="3"/>
  <c r="S3" i="156" s="1"/>
  <c r="Q244" i="3"/>
  <c r="Q3" i="156" s="1"/>
  <c r="P244" i="3"/>
  <c r="P3" i="156" s="1"/>
  <c r="F244" i="3"/>
  <c r="E244" i="3"/>
  <c r="Y243" i="3"/>
  <c r="Y6" i="50" s="1"/>
  <c r="X243" i="3"/>
  <c r="X6" i="50" s="1"/>
  <c r="W243" i="3"/>
  <c r="W6" i="50" s="1"/>
  <c r="V243" i="3"/>
  <c r="V6" i="50" s="1"/>
  <c r="T243" i="3"/>
  <c r="T6" i="50" s="1"/>
  <c r="S243" i="3"/>
  <c r="Q243" i="3"/>
  <c r="Q6" i="50" s="1"/>
  <c r="P243" i="3"/>
  <c r="P6" i="50" s="1"/>
  <c r="F243" i="3"/>
  <c r="E243" i="3"/>
  <c r="Y242" i="3"/>
  <c r="X242" i="3"/>
  <c r="W242" i="3"/>
  <c r="V242" i="3"/>
  <c r="T242" i="3"/>
  <c r="S242" i="3"/>
  <c r="U242" i="3" s="1"/>
  <c r="Q242" i="3"/>
  <c r="P242" i="3"/>
  <c r="F242" i="3"/>
  <c r="E242" i="3"/>
  <c r="Y241" i="3"/>
  <c r="Y5" i="120" s="1"/>
  <c r="X241" i="3"/>
  <c r="X5" i="120" s="1"/>
  <c r="W241" i="3"/>
  <c r="W5" i="120" s="1"/>
  <c r="V241" i="3"/>
  <c r="V5" i="120" s="1"/>
  <c r="T241" i="3"/>
  <c r="T5" i="120" s="1"/>
  <c r="S241" i="3"/>
  <c r="S5" i="120" s="1"/>
  <c r="Q241" i="3"/>
  <c r="Q5" i="120" s="1"/>
  <c r="P241" i="3"/>
  <c r="P5" i="120" s="1"/>
  <c r="F241" i="3"/>
  <c r="E241" i="3"/>
  <c r="Y240" i="3"/>
  <c r="Y19" i="92" s="1"/>
  <c r="X240" i="3"/>
  <c r="X19" i="92" s="1"/>
  <c r="W240" i="3"/>
  <c r="W19" i="92" s="1"/>
  <c r="V240" i="3"/>
  <c r="V19" i="92" s="1"/>
  <c r="T240" i="3"/>
  <c r="T19" i="92" s="1"/>
  <c r="S240" i="3"/>
  <c r="S19" i="92" s="1"/>
  <c r="Q240" i="3"/>
  <c r="Q19" i="92" s="1"/>
  <c r="P240" i="3"/>
  <c r="P19" i="92" s="1"/>
  <c r="F240" i="3"/>
  <c r="E240" i="3"/>
  <c r="Y239" i="3"/>
  <c r="Y14" i="168" s="1"/>
  <c r="X239" i="3"/>
  <c r="X14" i="168" s="1"/>
  <c r="W239" i="3"/>
  <c r="W14" i="168" s="1"/>
  <c r="V239" i="3"/>
  <c r="V14" i="168" s="1"/>
  <c r="T239" i="3"/>
  <c r="S239" i="3"/>
  <c r="S14" i="168" s="1"/>
  <c r="Q239" i="3"/>
  <c r="Q14" i="168" s="1"/>
  <c r="P239" i="3"/>
  <c r="P14" i="168" s="1"/>
  <c r="F239" i="3"/>
  <c r="E239" i="3"/>
  <c r="Y238" i="3"/>
  <c r="Y10" i="123" s="1"/>
  <c r="X238" i="3"/>
  <c r="X10" i="123" s="1"/>
  <c r="W238" i="3"/>
  <c r="W10" i="123" s="1"/>
  <c r="V238" i="3"/>
  <c r="V10" i="123" s="1"/>
  <c r="T238" i="3"/>
  <c r="T10" i="123" s="1"/>
  <c r="S238" i="3"/>
  <c r="Q238" i="3"/>
  <c r="P238" i="3"/>
  <c r="P10" i="123" s="1"/>
  <c r="F238" i="3"/>
  <c r="E238" i="3"/>
  <c r="Y237" i="3"/>
  <c r="X237" i="3"/>
  <c r="W237" i="3"/>
  <c r="V237" i="3"/>
  <c r="T237" i="3"/>
  <c r="S237" i="3"/>
  <c r="Q237" i="3"/>
  <c r="P237" i="3"/>
  <c r="F237" i="3"/>
  <c r="E237" i="3"/>
  <c r="Y236" i="3"/>
  <c r="Y7" i="56" s="1"/>
  <c r="X236" i="3"/>
  <c r="X7" i="56" s="1"/>
  <c r="W236" i="3"/>
  <c r="W7" i="56" s="1"/>
  <c r="V236" i="3"/>
  <c r="V7" i="56" s="1"/>
  <c r="T236" i="3"/>
  <c r="T7" i="56" s="1"/>
  <c r="S236" i="3"/>
  <c r="S7" i="56" s="1"/>
  <c r="Q236" i="3"/>
  <c r="Q7" i="56" s="1"/>
  <c r="P236" i="3"/>
  <c r="P7" i="56" s="1"/>
  <c r="F236" i="3"/>
  <c r="E236" i="3"/>
  <c r="Y235" i="3"/>
  <c r="Y4" i="188" s="1"/>
  <c r="X235" i="3"/>
  <c r="X4" i="188" s="1"/>
  <c r="W235" i="3"/>
  <c r="W4" i="188" s="1"/>
  <c r="V235" i="3"/>
  <c r="V4" i="188" s="1"/>
  <c r="T235" i="3"/>
  <c r="T4" i="188" s="1"/>
  <c r="S235" i="3"/>
  <c r="Q235" i="3"/>
  <c r="Q4" i="188" s="1"/>
  <c r="P235" i="3"/>
  <c r="P4" i="188" s="1"/>
  <c r="F235" i="3"/>
  <c r="E235" i="3"/>
  <c r="Y234" i="3"/>
  <c r="Y12" i="173" s="1"/>
  <c r="X234" i="3"/>
  <c r="X12" i="173" s="1"/>
  <c r="W234" i="3"/>
  <c r="W12" i="173" s="1"/>
  <c r="V234" i="3"/>
  <c r="V12" i="173" s="1"/>
  <c r="T234" i="3"/>
  <c r="T12" i="173" s="1"/>
  <c r="S234" i="3"/>
  <c r="S12" i="173" s="1"/>
  <c r="Q234" i="3"/>
  <c r="Q12" i="173" s="1"/>
  <c r="P234" i="3"/>
  <c r="F234" i="3"/>
  <c r="E234" i="3"/>
  <c r="Y233" i="3"/>
  <c r="Y2" i="192" s="1"/>
  <c r="X233" i="3"/>
  <c r="X2" i="192" s="1"/>
  <c r="W233" i="3"/>
  <c r="W2" i="192" s="1"/>
  <c r="V233" i="3"/>
  <c r="V2" i="192" s="1"/>
  <c r="T233" i="3"/>
  <c r="T2" i="192" s="1"/>
  <c r="S233" i="3"/>
  <c r="S2" i="192" s="1"/>
  <c r="Q233" i="3"/>
  <c r="Q2" i="192" s="1"/>
  <c r="P233" i="3"/>
  <c r="P2" i="192" s="1"/>
  <c r="F233" i="3"/>
  <c r="E233" i="3"/>
  <c r="Y232" i="3"/>
  <c r="Y11" i="173" s="1"/>
  <c r="X232" i="3"/>
  <c r="X11" i="173" s="1"/>
  <c r="W232" i="3"/>
  <c r="W11" i="173" s="1"/>
  <c r="V232" i="3"/>
  <c r="V11" i="173" s="1"/>
  <c r="T232" i="3"/>
  <c r="T11" i="173" s="1"/>
  <c r="S232" i="3"/>
  <c r="S11" i="173" s="1"/>
  <c r="Q232" i="3"/>
  <c r="Q11" i="173" s="1"/>
  <c r="P232" i="3"/>
  <c r="P11" i="173" s="1"/>
  <c r="F232" i="3"/>
  <c r="E232" i="3"/>
  <c r="Y231" i="3"/>
  <c r="X231" i="3"/>
  <c r="W231" i="3"/>
  <c r="V231" i="3"/>
  <c r="T231" i="3"/>
  <c r="S231" i="3"/>
  <c r="Q231" i="3"/>
  <c r="P231" i="3"/>
  <c r="R231" i="3" s="1"/>
  <c r="F231" i="3"/>
  <c r="E231" i="3"/>
  <c r="Y230" i="3"/>
  <c r="Y5" i="138" s="1"/>
  <c r="X230" i="3"/>
  <c r="X5" i="138" s="1"/>
  <c r="W230" i="3"/>
  <c r="W5" i="138" s="1"/>
  <c r="V230" i="3"/>
  <c r="V5" i="138" s="1"/>
  <c r="T230" i="3"/>
  <c r="T5" i="138" s="1"/>
  <c r="S230" i="3"/>
  <c r="Q230" i="3"/>
  <c r="P230" i="3"/>
  <c r="P5" i="138" s="1"/>
  <c r="F230" i="3"/>
  <c r="E230" i="3"/>
  <c r="Y229" i="3"/>
  <c r="Y6" i="120" s="1"/>
  <c r="X229" i="3"/>
  <c r="X6" i="120" s="1"/>
  <c r="W229" i="3"/>
  <c r="W6" i="120" s="1"/>
  <c r="V229" i="3"/>
  <c r="V6" i="120" s="1"/>
  <c r="T229" i="3"/>
  <c r="T6" i="120" s="1"/>
  <c r="S229" i="3"/>
  <c r="S6" i="120" s="1"/>
  <c r="Q229" i="3"/>
  <c r="Q6" i="120" s="1"/>
  <c r="P229" i="3"/>
  <c r="F229" i="3"/>
  <c r="E229" i="3"/>
  <c r="Y228" i="3"/>
  <c r="Y5" i="69" s="1"/>
  <c r="X228" i="3"/>
  <c r="X5" i="69" s="1"/>
  <c r="W228" i="3"/>
  <c r="W5" i="69" s="1"/>
  <c r="V228" i="3"/>
  <c r="V5" i="69" s="1"/>
  <c r="T228" i="3"/>
  <c r="T5" i="69" s="1"/>
  <c r="S228" i="3"/>
  <c r="S5" i="69" s="1"/>
  <c r="Q228" i="3"/>
  <c r="Q5" i="69" s="1"/>
  <c r="P228" i="3"/>
  <c r="P5" i="69" s="1"/>
  <c r="F228" i="3"/>
  <c r="E228" i="3"/>
  <c r="Y227" i="3"/>
  <c r="Y7" i="193" s="1"/>
  <c r="X227" i="3"/>
  <c r="X7" i="193" s="1"/>
  <c r="W227" i="3"/>
  <c r="W7" i="193" s="1"/>
  <c r="V227" i="3"/>
  <c r="V7" i="193" s="1"/>
  <c r="T227" i="3"/>
  <c r="T7" i="193" s="1"/>
  <c r="S227" i="3"/>
  <c r="Q227" i="3"/>
  <c r="Q7" i="193" s="1"/>
  <c r="P227" i="3"/>
  <c r="P7" i="193" s="1"/>
  <c r="F227" i="3"/>
  <c r="E227" i="3"/>
  <c r="Y226" i="3"/>
  <c r="X226" i="3"/>
  <c r="W226" i="3"/>
  <c r="V226" i="3"/>
  <c r="T226" i="3"/>
  <c r="S226" i="3"/>
  <c r="U226" i="3" s="1"/>
  <c r="Q226" i="3"/>
  <c r="P226" i="3"/>
  <c r="F226" i="3"/>
  <c r="E226" i="3"/>
  <c r="Y225" i="3"/>
  <c r="Y3" i="38" s="1"/>
  <c r="X225" i="3"/>
  <c r="X3" i="38" s="1"/>
  <c r="W225" i="3"/>
  <c r="W3" i="38" s="1"/>
  <c r="V225" i="3"/>
  <c r="V3" i="38" s="1"/>
  <c r="T225" i="3"/>
  <c r="T3" i="38" s="1"/>
  <c r="S225" i="3"/>
  <c r="S3" i="38" s="1"/>
  <c r="Q225" i="3"/>
  <c r="Q3" i="38" s="1"/>
  <c r="P225" i="3"/>
  <c r="P3" i="38" s="1"/>
  <c r="F225" i="3"/>
  <c r="E225" i="3"/>
  <c r="Y224" i="3"/>
  <c r="Y18" i="92" s="1"/>
  <c r="X224" i="3"/>
  <c r="X18" i="92" s="1"/>
  <c r="W224" i="3"/>
  <c r="W18" i="92" s="1"/>
  <c r="V224" i="3"/>
  <c r="V18" i="92" s="1"/>
  <c r="T224" i="3"/>
  <c r="T18" i="92" s="1"/>
  <c r="S224" i="3"/>
  <c r="S18" i="92" s="1"/>
  <c r="Q224" i="3"/>
  <c r="Q18" i="92" s="1"/>
  <c r="P224" i="3"/>
  <c r="P18" i="92" s="1"/>
  <c r="F224" i="3"/>
  <c r="E224" i="3"/>
  <c r="Y223" i="3"/>
  <c r="Y8" i="185" s="1"/>
  <c r="X223" i="3"/>
  <c r="X8" i="185" s="1"/>
  <c r="W223" i="3"/>
  <c r="W8" i="185" s="1"/>
  <c r="V223" i="3"/>
  <c r="V8" i="185" s="1"/>
  <c r="T223" i="3"/>
  <c r="S223" i="3"/>
  <c r="S8" i="185" s="1"/>
  <c r="Q223" i="3"/>
  <c r="Q8" i="185" s="1"/>
  <c r="P223" i="3"/>
  <c r="P8" i="185" s="1"/>
  <c r="F223" i="3"/>
  <c r="E223" i="3"/>
  <c r="Y222" i="3"/>
  <c r="Y2" i="29" s="1"/>
  <c r="X222" i="3"/>
  <c r="X2" i="29" s="1"/>
  <c r="W222" i="3"/>
  <c r="W2" i="29" s="1"/>
  <c r="V222" i="3"/>
  <c r="V2" i="29" s="1"/>
  <c r="T222" i="3"/>
  <c r="T2" i="29" s="1"/>
  <c r="S222" i="3"/>
  <c r="Q222" i="3"/>
  <c r="P222" i="3"/>
  <c r="P2" i="29" s="1"/>
  <c r="F222" i="3"/>
  <c r="E222" i="3"/>
  <c r="Y221" i="3"/>
  <c r="Y3" i="42" s="1"/>
  <c r="X221" i="3"/>
  <c r="X3" i="42" s="1"/>
  <c r="W221" i="3"/>
  <c r="W3" i="42" s="1"/>
  <c r="V221" i="3"/>
  <c r="V3" i="42" s="1"/>
  <c r="T221" i="3"/>
  <c r="S221" i="3"/>
  <c r="S3" i="42" s="1"/>
  <c r="Q221" i="3"/>
  <c r="Q3" i="42" s="1"/>
  <c r="P221" i="3"/>
  <c r="F221" i="3"/>
  <c r="E221" i="3"/>
  <c r="Y220" i="3"/>
  <c r="Y17" i="92" s="1"/>
  <c r="X220" i="3"/>
  <c r="X17" i="92" s="1"/>
  <c r="W220" i="3"/>
  <c r="W17" i="92" s="1"/>
  <c r="V220" i="3"/>
  <c r="V17" i="92" s="1"/>
  <c r="T220" i="3"/>
  <c r="T17" i="92" s="1"/>
  <c r="S220" i="3"/>
  <c r="S17" i="92" s="1"/>
  <c r="Q220" i="3"/>
  <c r="Q17" i="92" s="1"/>
  <c r="P220" i="3"/>
  <c r="P17" i="92" s="1"/>
  <c r="F220" i="3"/>
  <c r="E220" i="3"/>
  <c r="Y219" i="3"/>
  <c r="X219" i="3"/>
  <c r="W219" i="3"/>
  <c r="V219" i="3"/>
  <c r="T219" i="3"/>
  <c r="T2" i="187" s="1"/>
  <c r="S219" i="3"/>
  <c r="Q219" i="3"/>
  <c r="P219" i="3"/>
  <c r="R219" i="3" s="1"/>
  <c r="F219" i="3"/>
  <c r="E219" i="3"/>
  <c r="Y218" i="3"/>
  <c r="Y4" i="122" s="1"/>
  <c r="X218" i="3"/>
  <c r="X4" i="122" s="1"/>
  <c r="W218" i="3"/>
  <c r="W4" i="122" s="1"/>
  <c r="V218" i="3"/>
  <c r="V4" i="122" s="1"/>
  <c r="T218" i="3"/>
  <c r="T4" i="122" s="1"/>
  <c r="S218" i="3"/>
  <c r="S4" i="122" s="1"/>
  <c r="Q218" i="3"/>
  <c r="Q4" i="122" s="1"/>
  <c r="P218" i="3"/>
  <c r="F218" i="3"/>
  <c r="E218" i="3"/>
  <c r="Y217" i="3"/>
  <c r="Y11" i="168" s="1"/>
  <c r="X217" i="3"/>
  <c r="X11" i="168" s="1"/>
  <c r="W217" i="3"/>
  <c r="W11" i="168" s="1"/>
  <c r="V217" i="3"/>
  <c r="V11" i="168" s="1"/>
  <c r="T217" i="3"/>
  <c r="T11" i="168" s="1"/>
  <c r="S217" i="3"/>
  <c r="S11" i="168" s="1"/>
  <c r="Q217" i="3"/>
  <c r="Q11" i="168" s="1"/>
  <c r="P217" i="3"/>
  <c r="P11" i="168" s="1"/>
  <c r="F217" i="3"/>
  <c r="E217" i="3"/>
  <c r="Y216" i="3"/>
  <c r="Y9" i="167" s="1"/>
  <c r="X216" i="3"/>
  <c r="X9" i="167" s="1"/>
  <c r="W216" i="3"/>
  <c r="W9" i="167" s="1"/>
  <c r="V216" i="3"/>
  <c r="V9" i="167" s="1"/>
  <c r="T216" i="3"/>
  <c r="T9" i="167" s="1"/>
  <c r="S216" i="3"/>
  <c r="S9" i="167" s="1"/>
  <c r="Q216" i="3"/>
  <c r="Q9" i="167" s="1"/>
  <c r="P216" i="3"/>
  <c r="P9" i="167" s="1"/>
  <c r="F216" i="3"/>
  <c r="E216" i="3"/>
  <c r="Y215" i="3"/>
  <c r="Y2" i="156" s="1"/>
  <c r="X215" i="3"/>
  <c r="X2" i="156" s="1"/>
  <c r="W215" i="3"/>
  <c r="W2" i="156" s="1"/>
  <c r="V215" i="3"/>
  <c r="V2" i="156" s="1"/>
  <c r="T215" i="3"/>
  <c r="S215" i="3"/>
  <c r="S2" i="156" s="1"/>
  <c r="Q215" i="3"/>
  <c r="Q2" i="156" s="1"/>
  <c r="P215" i="3"/>
  <c r="P2" i="156" s="1"/>
  <c r="F215" i="3"/>
  <c r="E215" i="3"/>
  <c r="Y214" i="3"/>
  <c r="Y3" i="129" s="1"/>
  <c r="X214" i="3"/>
  <c r="X3" i="129" s="1"/>
  <c r="W214" i="3"/>
  <c r="W3" i="129" s="1"/>
  <c r="V214" i="3"/>
  <c r="V3" i="129" s="1"/>
  <c r="T214" i="3"/>
  <c r="T3" i="129" s="1"/>
  <c r="S214" i="3"/>
  <c r="Q214" i="3"/>
  <c r="P214" i="3"/>
  <c r="P3" i="129" s="1"/>
  <c r="F214" i="3"/>
  <c r="E214" i="3"/>
  <c r="Y213" i="3"/>
  <c r="Y4" i="35" s="1"/>
  <c r="X213" i="3"/>
  <c r="X4" i="35" s="1"/>
  <c r="W213" i="3"/>
  <c r="W4" i="35" s="1"/>
  <c r="V213" i="3"/>
  <c r="V4" i="35" s="1"/>
  <c r="T213" i="3"/>
  <c r="T4" i="35" s="1"/>
  <c r="S213" i="3"/>
  <c r="S4" i="35" s="1"/>
  <c r="Q213" i="3"/>
  <c r="Q4" i="35" s="1"/>
  <c r="P213" i="3"/>
  <c r="F213" i="3"/>
  <c r="E213" i="3"/>
  <c r="Y212" i="3"/>
  <c r="Y3" i="188" s="1"/>
  <c r="X212" i="3"/>
  <c r="X3" i="188" s="1"/>
  <c r="W212" i="3"/>
  <c r="W3" i="188" s="1"/>
  <c r="V212" i="3"/>
  <c r="V3" i="188" s="1"/>
  <c r="T212" i="3"/>
  <c r="T3" i="188" s="1"/>
  <c r="S212" i="3"/>
  <c r="S3" i="188" s="1"/>
  <c r="Q212" i="3"/>
  <c r="Q3" i="188" s="1"/>
  <c r="P212" i="3"/>
  <c r="P3" i="188" s="1"/>
  <c r="F212" i="3"/>
  <c r="E212" i="3"/>
  <c r="Y211" i="3"/>
  <c r="Y3" i="35" s="1"/>
  <c r="X211" i="3"/>
  <c r="X3" i="35" s="1"/>
  <c r="W211" i="3"/>
  <c r="W3" i="35" s="1"/>
  <c r="V211" i="3"/>
  <c r="V3" i="35" s="1"/>
  <c r="T211" i="3"/>
  <c r="T3" i="35" s="1"/>
  <c r="S211" i="3"/>
  <c r="Q211" i="3"/>
  <c r="Q3" i="35" s="1"/>
  <c r="P211" i="3"/>
  <c r="P3" i="35" s="1"/>
  <c r="F211" i="3"/>
  <c r="E211" i="3"/>
  <c r="Y210" i="3"/>
  <c r="Y4" i="80" s="1"/>
  <c r="X210" i="3"/>
  <c r="X4" i="80" s="1"/>
  <c r="W210" i="3"/>
  <c r="W4" i="80" s="1"/>
  <c r="V210" i="3"/>
  <c r="V4" i="80" s="1"/>
  <c r="T210" i="3"/>
  <c r="T4" i="80" s="1"/>
  <c r="S210" i="3"/>
  <c r="S4" i="80" s="1"/>
  <c r="Q210" i="3"/>
  <c r="Q4" i="80" s="1"/>
  <c r="P210" i="3"/>
  <c r="F210" i="3"/>
  <c r="E210" i="3"/>
  <c r="Y209" i="3"/>
  <c r="Y16" i="92" s="1"/>
  <c r="X209" i="3"/>
  <c r="X16" i="92" s="1"/>
  <c r="W209" i="3"/>
  <c r="W16" i="92" s="1"/>
  <c r="V209" i="3"/>
  <c r="V16" i="92" s="1"/>
  <c r="T209" i="3"/>
  <c r="T16" i="92" s="1"/>
  <c r="S209" i="3"/>
  <c r="S16" i="92" s="1"/>
  <c r="Q209" i="3"/>
  <c r="Q16" i="92" s="1"/>
  <c r="P209" i="3"/>
  <c r="P16" i="92" s="1"/>
  <c r="F209" i="3"/>
  <c r="E209" i="3"/>
  <c r="Y208" i="3"/>
  <c r="Y10" i="167" s="1"/>
  <c r="X208" i="3"/>
  <c r="X10" i="167" s="1"/>
  <c r="W208" i="3"/>
  <c r="W10" i="167" s="1"/>
  <c r="V208" i="3"/>
  <c r="V10" i="167" s="1"/>
  <c r="T208" i="3"/>
  <c r="T10" i="167" s="1"/>
  <c r="S208" i="3"/>
  <c r="S10" i="167" s="1"/>
  <c r="Q208" i="3"/>
  <c r="Q10" i="167" s="1"/>
  <c r="P208" i="3"/>
  <c r="P10" i="167" s="1"/>
  <c r="F208" i="3"/>
  <c r="E208" i="3"/>
  <c r="Y207" i="3"/>
  <c r="Y6" i="193" s="1"/>
  <c r="X207" i="3"/>
  <c r="X6" i="193" s="1"/>
  <c r="W207" i="3"/>
  <c r="W6" i="193" s="1"/>
  <c r="V207" i="3"/>
  <c r="V6" i="193" s="1"/>
  <c r="T207" i="3"/>
  <c r="S207" i="3"/>
  <c r="S6" i="193" s="1"/>
  <c r="Q207" i="3"/>
  <c r="Q6" i="193" s="1"/>
  <c r="P207" i="3"/>
  <c r="P6" i="193" s="1"/>
  <c r="F207" i="3"/>
  <c r="E207" i="3"/>
  <c r="Y206" i="3"/>
  <c r="Y5" i="93" s="1"/>
  <c r="X206" i="3"/>
  <c r="X5" i="93" s="1"/>
  <c r="W206" i="3"/>
  <c r="W5" i="93" s="1"/>
  <c r="V206" i="3"/>
  <c r="V5" i="93" s="1"/>
  <c r="T206" i="3"/>
  <c r="T5" i="93" s="1"/>
  <c r="S206" i="3"/>
  <c r="Q206" i="3"/>
  <c r="P206" i="3"/>
  <c r="P5" i="93" s="1"/>
  <c r="F206" i="3"/>
  <c r="E206" i="3"/>
  <c r="Y205" i="3"/>
  <c r="Y3" i="12" s="1"/>
  <c r="X205" i="3"/>
  <c r="X3" i="12" s="1"/>
  <c r="W205" i="3"/>
  <c r="W3" i="12" s="1"/>
  <c r="V205" i="3"/>
  <c r="V3" i="12" s="1"/>
  <c r="T205" i="3"/>
  <c r="S205" i="3"/>
  <c r="S3" i="12" s="1"/>
  <c r="Q205" i="3"/>
  <c r="Q3" i="12" s="1"/>
  <c r="P205" i="3"/>
  <c r="F205" i="3"/>
  <c r="E205" i="3"/>
  <c r="Y204" i="3"/>
  <c r="X204" i="3"/>
  <c r="W204" i="3"/>
  <c r="V204" i="3"/>
  <c r="T204" i="3"/>
  <c r="S204" i="3"/>
  <c r="U204" i="3" s="1"/>
  <c r="Q204" i="3"/>
  <c r="P204" i="3"/>
  <c r="F204" i="3"/>
  <c r="E204" i="3"/>
  <c r="Y203" i="3"/>
  <c r="Y13" i="168" s="1"/>
  <c r="X203" i="3"/>
  <c r="X13" i="168" s="1"/>
  <c r="W203" i="3"/>
  <c r="W13" i="168" s="1"/>
  <c r="V203" i="3"/>
  <c r="V13" i="168" s="1"/>
  <c r="T203" i="3"/>
  <c r="T13" i="168" s="1"/>
  <c r="S203" i="3"/>
  <c r="Q203" i="3"/>
  <c r="Q13" i="168" s="1"/>
  <c r="P203" i="3"/>
  <c r="P13" i="168" s="1"/>
  <c r="F203" i="3"/>
  <c r="E203" i="3"/>
  <c r="Y202" i="3"/>
  <c r="X202" i="3"/>
  <c r="W202" i="3"/>
  <c r="V202" i="3"/>
  <c r="U202" i="3"/>
  <c r="T202" i="3"/>
  <c r="S202" i="3"/>
  <c r="Q202" i="3"/>
  <c r="P202" i="3"/>
  <c r="F202" i="3"/>
  <c r="E202" i="3"/>
  <c r="Y201" i="3"/>
  <c r="Y3" i="101" s="1"/>
  <c r="X201" i="3"/>
  <c r="X3" i="101" s="1"/>
  <c r="W201" i="3"/>
  <c r="W3" i="101" s="1"/>
  <c r="V201" i="3"/>
  <c r="V3" i="101" s="1"/>
  <c r="T201" i="3"/>
  <c r="T3" i="101" s="1"/>
  <c r="S201" i="3"/>
  <c r="S3" i="101" s="1"/>
  <c r="Q201" i="3"/>
  <c r="Q3" i="101" s="1"/>
  <c r="P201" i="3"/>
  <c r="P3" i="101" s="1"/>
  <c r="F201" i="3"/>
  <c r="E201" i="3"/>
  <c r="Y200" i="3"/>
  <c r="Y4" i="177" s="1"/>
  <c r="X200" i="3"/>
  <c r="X4" i="177" s="1"/>
  <c r="W200" i="3"/>
  <c r="W4" i="177" s="1"/>
  <c r="V200" i="3"/>
  <c r="V4" i="177" s="1"/>
  <c r="T200" i="3"/>
  <c r="T4" i="177" s="1"/>
  <c r="S200" i="3"/>
  <c r="S4" i="177" s="1"/>
  <c r="Q200" i="3"/>
  <c r="Q4" i="177" s="1"/>
  <c r="P200" i="3"/>
  <c r="P4" i="177" s="1"/>
  <c r="F200" i="3"/>
  <c r="E200" i="3"/>
  <c r="Y199" i="3"/>
  <c r="X199" i="3"/>
  <c r="W199" i="3"/>
  <c r="V199" i="3"/>
  <c r="T199" i="3"/>
  <c r="S199" i="3"/>
  <c r="Q199" i="3"/>
  <c r="P199" i="3"/>
  <c r="R199" i="3" s="1"/>
  <c r="F199" i="3"/>
  <c r="E199" i="3"/>
  <c r="Y198" i="3"/>
  <c r="Y3" i="190" s="1"/>
  <c r="X198" i="3"/>
  <c r="X3" i="190" s="1"/>
  <c r="W198" i="3"/>
  <c r="W3" i="190" s="1"/>
  <c r="V198" i="3"/>
  <c r="V3" i="190" s="1"/>
  <c r="T198" i="3"/>
  <c r="T3" i="190" s="1"/>
  <c r="S198" i="3"/>
  <c r="Q198" i="3"/>
  <c r="P198" i="3"/>
  <c r="P3" i="190" s="1"/>
  <c r="F198" i="3"/>
  <c r="E198" i="3"/>
  <c r="Y197" i="3"/>
  <c r="X197" i="3"/>
  <c r="W197" i="3"/>
  <c r="V197" i="3"/>
  <c r="T197" i="3"/>
  <c r="S197" i="3"/>
  <c r="Q197" i="3"/>
  <c r="P197" i="3"/>
  <c r="F197" i="3"/>
  <c r="E197" i="3"/>
  <c r="Y196" i="3"/>
  <c r="X196" i="3"/>
  <c r="W196" i="3"/>
  <c r="W2" i="12" s="1"/>
  <c r="V196" i="3"/>
  <c r="T196" i="3"/>
  <c r="S196" i="3"/>
  <c r="Q196" i="3"/>
  <c r="P196" i="3"/>
  <c r="F196" i="3"/>
  <c r="E196" i="3"/>
  <c r="Y195" i="3"/>
  <c r="X195" i="3"/>
  <c r="W195" i="3"/>
  <c r="V195" i="3"/>
  <c r="T195" i="3"/>
  <c r="S195" i="3"/>
  <c r="Q195" i="3"/>
  <c r="P195" i="3"/>
  <c r="F195" i="3"/>
  <c r="E195" i="3"/>
  <c r="Y194" i="3"/>
  <c r="Y3" i="72" s="1"/>
  <c r="X194" i="3"/>
  <c r="X3" i="72" s="1"/>
  <c r="W194" i="3"/>
  <c r="W3" i="72" s="1"/>
  <c r="V194" i="3"/>
  <c r="V3" i="72" s="1"/>
  <c r="T194" i="3"/>
  <c r="T3" i="72" s="1"/>
  <c r="S194" i="3"/>
  <c r="S3" i="72" s="1"/>
  <c r="Q194" i="3"/>
  <c r="Q3" i="72" s="1"/>
  <c r="F194" i="3"/>
  <c r="E194" i="3"/>
  <c r="Y193" i="3"/>
  <c r="Y3" i="61" s="1"/>
  <c r="X193" i="3"/>
  <c r="X3" i="61" s="1"/>
  <c r="W193" i="3"/>
  <c r="W3" i="61" s="1"/>
  <c r="V193" i="3"/>
  <c r="V3" i="61" s="1"/>
  <c r="T193" i="3"/>
  <c r="T3" i="61" s="1"/>
  <c r="S193" i="3"/>
  <c r="Q193" i="3"/>
  <c r="P193" i="3"/>
  <c r="P3" i="61" s="1"/>
  <c r="F193" i="3"/>
  <c r="E193" i="3"/>
  <c r="Y192" i="3"/>
  <c r="Y8" i="171" s="1"/>
  <c r="X192" i="3"/>
  <c r="X8" i="171" s="1"/>
  <c r="W192" i="3"/>
  <c r="W8" i="171" s="1"/>
  <c r="V192" i="3"/>
  <c r="V8" i="171" s="1"/>
  <c r="T192" i="3"/>
  <c r="S192" i="3"/>
  <c r="S8" i="171" s="1"/>
  <c r="Q192" i="3"/>
  <c r="Q8" i="171" s="1"/>
  <c r="P192" i="3"/>
  <c r="F192" i="3"/>
  <c r="E192" i="3"/>
  <c r="Y191" i="3"/>
  <c r="Y2" i="68" s="1"/>
  <c r="X191" i="3"/>
  <c r="X2" i="68" s="1"/>
  <c r="W191" i="3"/>
  <c r="W2" i="68" s="1"/>
  <c r="V191" i="3"/>
  <c r="V2" i="68" s="1"/>
  <c r="T191" i="3"/>
  <c r="T2" i="68" s="1"/>
  <c r="S191" i="3"/>
  <c r="S2" i="68" s="1"/>
  <c r="Q191" i="3"/>
  <c r="P191" i="3"/>
  <c r="P2" i="68" s="1"/>
  <c r="F191" i="3"/>
  <c r="E191" i="3"/>
  <c r="Y190" i="3"/>
  <c r="Y4" i="112" s="1"/>
  <c r="X190" i="3"/>
  <c r="X4" i="112" s="1"/>
  <c r="W190" i="3"/>
  <c r="W4" i="112" s="1"/>
  <c r="V190" i="3"/>
  <c r="V4" i="112" s="1"/>
  <c r="T190" i="3"/>
  <c r="T4" i="112" s="1"/>
  <c r="S190" i="3"/>
  <c r="Q190" i="3"/>
  <c r="Q4" i="112" s="1"/>
  <c r="P190" i="3"/>
  <c r="P4" i="112" s="1"/>
  <c r="F190" i="3"/>
  <c r="E190" i="3"/>
  <c r="Y189" i="3"/>
  <c r="Y5" i="49" s="1"/>
  <c r="X189" i="3"/>
  <c r="X5" i="49" s="1"/>
  <c r="W189" i="3"/>
  <c r="W5" i="49" s="1"/>
  <c r="V189" i="3"/>
  <c r="V5" i="49" s="1"/>
  <c r="T189" i="3"/>
  <c r="T5" i="49" s="1"/>
  <c r="S189" i="3"/>
  <c r="S5" i="49" s="1"/>
  <c r="Q189" i="3"/>
  <c r="Q5" i="49" s="1"/>
  <c r="P189" i="3"/>
  <c r="F189" i="3"/>
  <c r="E189" i="3"/>
  <c r="Y188" i="3"/>
  <c r="Y2" i="101" s="1"/>
  <c r="X188" i="3"/>
  <c r="X2" i="101" s="1"/>
  <c r="W188" i="3"/>
  <c r="W2" i="101" s="1"/>
  <c r="V188" i="3"/>
  <c r="V2" i="101" s="1"/>
  <c r="T188" i="3"/>
  <c r="T2" i="101" s="1"/>
  <c r="S188" i="3"/>
  <c r="S2" i="101" s="1"/>
  <c r="Q188" i="3"/>
  <c r="Q2" i="101" s="1"/>
  <c r="P188" i="3"/>
  <c r="P2" i="101" s="1"/>
  <c r="F188" i="3"/>
  <c r="E188" i="3"/>
  <c r="Y187" i="3"/>
  <c r="Y7" i="185" s="1"/>
  <c r="X187" i="3"/>
  <c r="X7" i="185" s="1"/>
  <c r="W187" i="3"/>
  <c r="W7" i="185" s="1"/>
  <c r="V187" i="3"/>
  <c r="V7" i="185" s="1"/>
  <c r="U187" i="3"/>
  <c r="U7" i="185" s="1"/>
  <c r="T187" i="3"/>
  <c r="T7" i="185" s="1"/>
  <c r="S187" i="3"/>
  <c r="S7" i="185" s="1"/>
  <c r="Q187" i="3"/>
  <c r="Q7" i="185" s="1"/>
  <c r="P187" i="3"/>
  <c r="P7" i="185" s="1"/>
  <c r="F187" i="3"/>
  <c r="E187" i="3"/>
  <c r="Y186" i="3"/>
  <c r="Y3" i="151" s="1"/>
  <c r="X186" i="3"/>
  <c r="X3" i="151" s="1"/>
  <c r="W186" i="3"/>
  <c r="W3" i="151" s="1"/>
  <c r="V186" i="3"/>
  <c r="V3" i="151" s="1"/>
  <c r="T186" i="3"/>
  <c r="S186" i="3"/>
  <c r="S3" i="151" s="1"/>
  <c r="Q186" i="3"/>
  <c r="Q3" i="151" s="1"/>
  <c r="P186" i="3"/>
  <c r="P3" i="151" s="1"/>
  <c r="F186" i="3"/>
  <c r="E186" i="3"/>
  <c r="Y185" i="3"/>
  <c r="X185" i="3"/>
  <c r="W185" i="3"/>
  <c r="V185" i="3"/>
  <c r="T185" i="3"/>
  <c r="S185" i="3"/>
  <c r="Q185" i="3"/>
  <c r="P185" i="3"/>
  <c r="F185" i="3"/>
  <c r="E185" i="3"/>
  <c r="Y184" i="3"/>
  <c r="Y10" i="173" s="1"/>
  <c r="X184" i="3"/>
  <c r="X10" i="173" s="1"/>
  <c r="W184" i="3"/>
  <c r="W10" i="173" s="1"/>
  <c r="V184" i="3"/>
  <c r="V10" i="173" s="1"/>
  <c r="T184" i="3"/>
  <c r="S184" i="3"/>
  <c r="S10" i="173" s="1"/>
  <c r="Q184" i="3"/>
  <c r="Q10" i="173" s="1"/>
  <c r="P184" i="3"/>
  <c r="F184" i="3"/>
  <c r="E184" i="3"/>
  <c r="Y183" i="3"/>
  <c r="Y2" i="162" s="1"/>
  <c r="X183" i="3"/>
  <c r="X2" i="162" s="1"/>
  <c r="W183" i="3"/>
  <c r="W2" i="162" s="1"/>
  <c r="V183" i="3"/>
  <c r="V2" i="162" s="1"/>
  <c r="T183" i="3"/>
  <c r="T2" i="162" s="1"/>
  <c r="S183" i="3"/>
  <c r="S2" i="162" s="1"/>
  <c r="Q183" i="3"/>
  <c r="Q2" i="162" s="1"/>
  <c r="P183" i="3"/>
  <c r="P2" i="162" s="1"/>
  <c r="F183" i="3"/>
  <c r="E183" i="3"/>
  <c r="Y182" i="3"/>
  <c r="Y9" i="123" s="1"/>
  <c r="X182" i="3"/>
  <c r="X9" i="123" s="1"/>
  <c r="W182" i="3"/>
  <c r="W9" i="123" s="1"/>
  <c r="V182" i="3"/>
  <c r="V9" i="123" s="1"/>
  <c r="T182" i="3"/>
  <c r="T9" i="123" s="1"/>
  <c r="S182" i="3"/>
  <c r="Q182" i="3"/>
  <c r="Q9" i="123" s="1"/>
  <c r="P182" i="3"/>
  <c r="P9" i="123" s="1"/>
  <c r="F182" i="3"/>
  <c r="E182" i="3"/>
  <c r="Y181" i="3"/>
  <c r="Y15" i="92" s="1"/>
  <c r="X181" i="3"/>
  <c r="X15" i="92" s="1"/>
  <c r="W181" i="3"/>
  <c r="W15" i="92" s="1"/>
  <c r="V181" i="3"/>
  <c r="V15" i="92" s="1"/>
  <c r="T181" i="3"/>
  <c r="T15" i="92" s="1"/>
  <c r="S181" i="3"/>
  <c r="S15" i="92" s="1"/>
  <c r="Q181" i="3"/>
  <c r="Q15" i="92" s="1"/>
  <c r="P181" i="3"/>
  <c r="F181" i="3"/>
  <c r="E181" i="3"/>
  <c r="Y180" i="3"/>
  <c r="Y2" i="115" s="1"/>
  <c r="X180" i="3"/>
  <c r="X2" i="115" s="1"/>
  <c r="W180" i="3"/>
  <c r="W2" i="115" s="1"/>
  <c r="V180" i="3"/>
  <c r="V2" i="115" s="1"/>
  <c r="T180" i="3"/>
  <c r="T2" i="115" s="1"/>
  <c r="S180" i="3"/>
  <c r="S2" i="115" s="1"/>
  <c r="Q180" i="3"/>
  <c r="Q2" i="115" s="1"/>
  <c r="P180" i="3"/>
  <c r="P2" i="115" s="1"/>
  <c r="F180" i="3"/>
  <c r="E180" i="3"/>
  <c r="Y179" i="3"/>
  <c r="Y9" i="168" s="1"/>
  <c r="X179" i="3"/>
  <c r="X9" i="168" s="1"/>
  <c r="W179" i="3"/>
  <c r="W9" i="168" s="1"/>
  <c r="V179" i="3"/>
  <c r="V9" i="168" s="1"/>
  <c r="T179" i="3"/>
  <c r="T9" i="168" s="1"/>
  <c r="S179" i="3"/>
  <c r="S9" i="168" s="1"/>
  <c r="Q179" i="3"/>
  <c r="Q9" i="168" s="1"/>
  <c r="P179" i="3"/>
  <c r="P9" i="168" s="1"/>
  <c r="F179" i="3"/>
  <c r="E179" i="3"/>
  <c r="Y178" i="3"/>
  <c r="Y14" i="92" s="1"/>
  <c r="X178" i="3"/>
  <c r="X14" i="92" s="1"/>
  <c r="W178" i="3"/>
  <c r="W14" i="92" s="1"/>
  <c r="V178" i="3"/>
  <c r="V14" i="92" s="1"/>
  <c r="T178" i="3"/>
  <c r="S178" i="3"/>
  <c r="S14" i="92" s="1"/>
  <c r="Q178" i="3"/>
  <c r="Q14" i="92" s="1"/>
  <c r="P178" i="3"/>
  <c r="P14" i="92" s="1"/>
  <c r="F178" i="3"/>
  <c r="E178" i="3"/>
  <c r="Y177" i="3"/>
  <c r="Y4" i="184" s="1"/>
  <c r="X177" i="3"/>
  <c r="X4" i="184" s="1"/>
  <c r="W177" i="3"/>
  <c r="W4" i="184" s="1"/>
  <c r="V177" i="3"/>
  <c r="V4" i="184" s="1"/>
  <c r="T177" i="3"/>
  <c r="T4" i="184" s="1"/>
  <c r="S177" i="3"/>
  <c r="Q177" i="3"/>
  <c r="P177" i="3"/>
  <c r="P4" i="184" s="1"/>
  <c r="F177" i="3"/>
  <c r="E177" i="3"/>
  <c r="Y176" i="3"/>
  <c r="Y10" i="168" s="1"/>
  <c r="X176" i="3"/>
  <c r="X10" i="168" s="1"/>
  <c r="W176" i="3"/>
  <c r="W10" i="168" s="1"/>
  <c r="V176" i="3"/>
  <c r="V10" i="168" s="1"/>
  <c r="T176" i="3"/>
  <c r="S176" i="3"/>
  <c r="S10" i="168" s="1"/>
  <c r="Q176" i="3"/>
  <c r="Q10" i="168" s="1"/>
  <c r="P176" i="3"/>
  <c r="F176" i="3"/>
  <c r="E176" i="3"/>
  <c r="Y175" i="3"/>
  <c r="Y4" i="49" s="1"/>
  <c r="X175" i="3"/>
  <c r="X4" i="49" s="1"/>
  <c r="W175" i="3"/>
  <c r="W4" i="49" s="1"/>
  <c r="V175" i="3"/>
  <c r="V4" i="49" s="1"/>
  <c r="T175" i="3"/>
  <c r="T4" i="49" s="1"/>
  <c r="S175" i="3"/>
  <c r="S4" i="49" s="1"/>
  <c r="Q175" i="3"/>
  <c r="Q4" i="49" s="1"/>
  <c r="P175" i="3"/>
  <c r="P4" i="49" s="1"/>
  <c r="F175" i="3"/>
  <c r="E175" i="3"/>
  <c r="Y174" i="3"/>
  <c r="Y2" i="22" s="1"/>
  <c r="X174" i="3"/>
  <c r="X2" i="22" s="1"/>
  <c r="W174" i="3"/>
  <c r="W2" i="22" s="1"/>
  <c r="V174" i="3"/>
  <c r="V2" i="22" s="1"/>
  <c r="T174" i="3"/>
  <c r="T2" i="22" s="1"/>
  <c r="S174" i="3"/>
  <c r="Q174" i="3"/>
  <c r="Q2" i="22" s="1"/>
  <c r="P174" i="3"/>
  <c r="P2" i="22" s="1"/>
  <c r="F174" i="3"/>
  <c r="E174" i="3"/>
  <c r="Y173" i="3"/>
  <c r="Y6" i="49" s="1"/>
  <c r="X173" i="3"/>
  <c r="X6" i="49" s="1"/>
  <c r="W173" i="3"/>
  <c r="W6" i="49" s="1"/>
  <c r="V173" i="3"/>
  <c r="V6" i="49" s="1"/>
  <c r="T173" i="3"/>
  <c r="T6" i="49" s="1"/>
  <c r="S173" i="3"/>
  <c r="S6" i="49" s="1"/>
  <c r="Q173" i="3"/>
  <c r="Q6" i="49" s="1"/>
  <c r="P173" i="3"/>
  <c r="F173" i="3"/>
  <c r="E173" i="3"/>
  <c r="Y172" i="3"/>
  <c r="Y2" i="40" s="1"/>
  <c r="X172" i="3"/>
  <c r="X2" i="40" s="1"/>
  <c r="W172" i="3"/>
  <c r="W2" i="40" s="1"/>
  <c r="V172" i="3"/>
  <c r="V2" i="40" s="1"/>
  <c r="T172" i="3"/>
  <c r="T2" i="40" s="1"/>
  <c r="S172" i="3"/>
  <c r="S2" i="40" s="1"/>
  <c r="Q172" i="3"/>
  <c r="Q2" i="40" s="1"/>
  <c r="P172" i="3"/>
  <c r="P2" i="40" s="1"/>
  <c r="F172" i="3"/>
  <c r="E172" i="3"/>
  <c r="Y171" i="3"/>
  <c r="Y13" i="92" s="1"/>
  <c r="X171" i="3"/>
  <c r="X13" i="92" s="1"/>
  <c r="W171" i="3"/>
  <c r="W13" i="92" s="1"/>
  <c r="V171" i="3"/>
  <c r="V13" i="92" s="1"/>
  <c r="T171" i="3"/>
  <c r="T13" i="92" s="1"/>
  <c r="S171" i="3"/>
  <c r="S13" i="92" s="1"/>
  <c r="Q171" i="3"/>
  <c r="Q13" i="92" s="1"/>
  <c r="P171" i="3"/>
  <c r="P13" i="92" s="1"/>
  <c r="F171" i="3"/>
  <c r="E171" i="3"/>
  <c r="Y170" i="3"/>
  <c r="Y4" i="69" s="1"/>
  <c r="X170" i="3"/>
  <c r="X4" i="69" s="1"/>
  <c r="W170" i="3"/>
  <c r="W4" i="69" s="1"/>
  <c r="V170" i="3"/>
  <c r="V4" i="69" s="1"/>
  <c r="T170" i="3"/>
  <c r="S170" i="3"/>
  <c r="S4" i="69" s="1"/>
  <c r="Q170" i="3"/>
  <c r="Q4" i="69" s="1"/>
  <c r="P170" i="3"/>
  <c r="P4" i="69" s="1"/>
  <c r="F170" i="3"/>
  <c r="E170" i="3"/>
  <c r="Y169" i="3"/>
  <c r="X169" i="3"/>
  <c r="W169" i="3"/>
  <c r="V169" i="3"/>
  <c r="T169" i="3"/>
  <c r="S169" i="3"/>
  <c r="Q169" i="3"/>
  <c r="P169" i="3"/>
  <c r="F169" i="3"/>
  <c r="E169" i="3"/>
  <c r="Y168" i="3"/>
  <c r="Y2" i="108" s="1"/>
  <c r="X168" i="3"/>
  <c r="X2" i="108" s="1"/>
  <c r="W168" i="3"/>
  <c r="W2" i="108" s="1"/>
  <c r="V168" i="3"/>
  <c r="V2" i="108" s="1"/>
  <c r="T168" i="3"/>
  <c r="S168" i="3"/>
  <c r="S2" i="108" s="1"/>
  <c r="Q168" i="3"/>
  <c r="Q2" i="108" s="1"/>
  <c r="P168" i="3"/>
  <c r="F168" i="3"/>
  <c r="E168" i="3"/>
  <c r="Y167" i="3"/>
  <c r="Y6" i="103" s="1"/>
  <c r="X167" i="3"/>
  <c r="X6" i="103" s="1"/>
  <c r="W167" i="3"/>
  <c r="W6" i="103" s="1"/>
  <c r="V167" i="3"/>
  <c r="V6" i="103" s="1"/>
  <c r="T167" i="3"/>
  <c r="T6" i="103" s="1"/>
  <c r="S167" i="3"/>
  <c r="S6" i="103" s="1"/>
  <c r="Q167" i="3"/>
  <c r="Q6" i="103" s="1"/>
  <c r="P167" i="3"/>
  <c r="P6" i="103" s="1"/>
  <c r="F167" i="3"/>
  <c r="E167" i="3"/>
  <c r="Y166" i="3"/>
  <c r="X166" i="3"/>
  <c r="W166" i="3"/>
  <c r="V166" i="3"/>
  <c r="T166" i="3"/>
  <c r="T3" i="196" s="1"/>
  <c r="S166" i="3"/>
  <c r="Q166" i="3"/>
  <c r="P166" i="3"/>
  <c r="F166" i="3"/>
  <c r="E166" i="3"/>
  <c r="Y165" i="3"/>
  <c r="Y12" i="92" s="1"/>
  <c r="X165" i="3"/>
  <c r="X12" i="92" s="1"/>
  <c r="W165" i="3"/>
  <c r="W12" i="92" s="1"/>
  <c r="V165" i="3"/>
  <c r="V12" i="92" s="1"/>
  <c r="T165" i="3"/>
  <c r="T12" i="92" s="1"/>
  <c r="S165" i="3"/>
  <c r="S12" i="92" s="1"/>
  <c r="Q165" i="3"/>
  <c r="Q12" i="92" s="1"/>
  <c r="P165" i="3"/>
  <c r="F165" i="3"/>
  <c r="E165" i="3"/>
  <c r="Y164" i="3"/>
  <c r="Y10" i="171" s="1"/>
  <c r="X164" i="3"/>
  <c r="X10" i="171" s="1"/>
  <c r="W164" i="3"/>
  <c r="W10" i="171" s="1"/>
  <c r="V164" i="3"/>
  <c r="V10" i="171" s="1"/>
  <c r="T164" i="3"/>
  <c r="T10" i="171" s="1"/>
  <c r="S164" i="3"/>
  <c r="S10" i="171" s="1"/>
  <c r="Q164" i="3"/>
  <c r="Q10" i="171" s="1"/>
  <c r="P164" i="3"/>
  <c r="P10" i="171" s="1"/>
  <c r="F164" i="3"/>
  <c r="E164" i="3"/>
  <c r="Y163" i="3"/>
  <c r="Y2" i="142" s="1"/>
  <c r="X163" i="3"/>
  <c r="X2" i="142" s="1"/>
  <c r="W163" i="3"/>
  <c r="W2" i="142" s="1"/>
  <c r="V163" i="3"/>
  <c r="V2" i="142" s="1"/>
  <c r="T163" i="3"/>
  <c r="T2" i="142" s="1"/>
  <c r="S163" i="3"/>
  <c r="S2" i="142" s="1"/>
  <c r="Q163" i="3"/>
  <c r="Q2" i="142" s="1"/>
  <c r="P163" i="3"/>
  <c r="P2" i="142" s="1"/>
  <c r="F163" i="3"/>
  <c r="E163" i="3"/>
  <c r="Y162" i="3"/>
  <c r="Y6" i="109" s="1"/>
  <c r="X162" i="3"/>
  <c r="X6" i="109" s="1"/>
  <c r="W162" i="3"/>
  <c r="W6" i="109" s="1"/>
  <c r="V162" i="3"/>
  <c r="V6" i="109" s="1"/>
  <c r="T162" i="3"/>
  <c r="T6" i="109" s="1"/>
  <c r="S162" i="3"/>
  <c r="S6" i="109" s="1"/>
  <c r="Q162" i="3"/>
  <c r="Q6" i="109" s="1"/>
  <c r="P162" i="3"/>
  <c r="P6" i="109" s="1"/>
  <c r="F162" i="3"/>
  <c r="E162" i="3"/>
  <c r="Y161" i="3"/>
  <c r="Y2" i="139" s="1"/>
  <c r="X161" i="3"/>
  <c r="X2" i="139" s="1"/>
  <c r="W161" i="3"/>
  <c r="W2" i="139" s="1"/>
  <c r="V161" i="3"/>
  <c r="V2" i="139" s="1"/>
  <c r="T161" i="3"/>
  <c r="T2" i="139" s="1"/>
  <c r="S161" i="3"/>
  <c r="Q161" i="3"/>
  <c r="Q2" i="139" s="1"/>
  <c r="P161" i="3"/>
  <c r="P2" i="139" s="1"/>
  <c r="F161" i="3"/>
  <c r="E161" i="3"/>
  <c r="Y160" i="3"/>
  <c r="Y3" i="128" s="1"/>
  <c r="X160" i="3"/>
  <c r="X3" i="128" s="1"/>
  <c r="W160" i="3"/>
  <c r="W3" i="128" s="1"/>
  <c r="V160" i="3"/>
  <c r="V3" i="128" s="1"/>
  <c r="T160" i="3"/>
  <c r="T3" i="128" s="1"/>
  <c r="S160" i="3"/>
  <c r="S3" i="128" s="1"/>
  <c r="Q160" i="3"/>
  <c r="Q3" i="128" s="1"/>
  <c r="P160" i="3"/>
  <c r="F160" i="3"/>
  <c r="E160" i="3"/>
  <c r="Y159" i="3"/>
  <c r="X159" i="3"/>
  <c r="W159" i="3"/>
  <c r="V159" i="3"/>
  <c r="T159" i="3"/>
  <c r="S159" i="3"/>
  <c r="U159" i="3" s="1"/>
  <c r="Q159" i="3"/>
  <c r="P159" i="3"/>
  <c r="F159" i="3"/>
  <c r="E159" i="3"/>
  <c r="Y158" i="3"/>
  <c r="Y2" i="114" s="1"/>
  <c r="X158" i="3"/>
  <c r="X2" i="114" s="1"/>
  <c r="W158" i="3"/>
  <c r="W2" i="114" s="1"/>
  <c r="V158" i="3"/>
  <c r="V2" i="114" s="1"/>
  <c r="T158" i="3"/>
  <c r="T2" i="114" s="1"/>
  <c r="S158" i="3"/>
  <c r="S2" i="114" s="1"/>
  <c r="Q158" i="3"/>
  <c r="Q2" i="114" s="1"/>
  <c r="P158" i="3"/>
  <c r="P2" i="114" s="1"/>
  <c r="F158" i="3"/>
  <c r="E158" i="3"/>
  <c r="Y157" i="3"/>
  <c r="Y3" i="143" s="1"/>
  <c r="X157" i="3"/>
  <c r="X3" i="143" s="1"/>
  <c r="W157" i="3"/>
  <c r="W3" i="143" s="1"/>
  <c r="V157" i="3"/>
  <c r="V3" i="143" s="1"/>
  <c r="T157" i="3"/>
  <c r="T3" i="143" s="1"/>
  <c r="S157" i="3"/>
  <c r="S3" i="143" s="1"/>
  <c r="Q157" i="3"/>
  <c r="Q3" i="143" s="1"/>
  <c r="P157" i="3"/>
  <c r="P3" i="143" s="1"/>
  <c r="F157" i="3"/>
  <c r="E157" i="3"/>
  <c r="Y156" i="3"/>
  <c r="Y3" i="180" s="1"/>
  <c r="X156" i="3"/>
  <c r="X3" i="180" s="1"/>
  <c r="W156" i="3"/>
  <c r="W3" i="180" s="1"/>
  <c r="V156" i="3"/>
  <c r="V3" i="180" s="1"/>
  <c r="U156" i="3"/>
  <c r="U3" i="180" s="1"/>
  <c r="T156" i="3"/>
  <c r="T3" i="180" s="1"/>
  <c r="S156" i="3"/>
  <c r="S3" i="180" s="1"/>
  <c r="Q156" i="3"/>
  <c r="Q3" i="180" s="1"/>
  <c r="P156" i="3"/>
  <c r="P3" i="180" s="1"/>
  <c r="F156" i="3"/>
  <c r="E156" i="3"/>
  <c r="Y155" i="3"/>
  <c r="Y11" i="92" s="1"/>
  <c r="X155" i="3"/>
  <c r="X11" i="92" s="1"/>
  <c r="W155" i="3"/>
  <c r="W11" i="92" s="1"/>
  <c r="V155" i="3"/>
  <c r="V11" i="92" s="1"/>
  <c r="T155" i="3"/>
  <c r="T11" i="92" s="1"/>
  <c r="S155" i="3"/>
  <c r="S11" i="92" s="1"/>
  <c r="Q155" i="3"/>
  <c r="Q11" i="92" s="1"/>
  <c r="P155" i="3"/>
  <c r="P11" i="92" s="1"/>
  <c r="F155" i="3"/>
  <c r="E155" i="3"/>
  <c r="Y154" i="3"/>
  <c r="Y2" i="135" s="1"/>
  <c r="X154" i="3"/>
  <c r="X2" i="135" s="1"/>
  <c r="W154" i="3"/>
  <c r="W2" i="135" s="1"/>
  <c r="V154" i="3"/>
  <c r="V2" i="135" s="1"/>
  <c r="T154" i="3"/>
  <c r="T2" i="135" s="1"/>
  <c r="S154" i="3"/>
  <c r="S2" i="135" s="1"/>
  <c r="Q154" i="3"/>
  <c r="Q2" i="135" s="1"/>
  <c r="P154" i="3"/>
  <c r="P2" i="135" s="1"/>
  <c r="F154" i="3"/>
  <c r="E154" i="3"/>
  <c r="Y153" i="3"/>
  <c r="Y5" i="185" s="1"/>
  <c r="X153" i="3"/>
  <c r="X5" i="185" s="1"/>
  <c r="W153" i="3"/>
  <c r="W5" i="185" s="1"/>
  <c r="V153" i="3"/>
  <c r="V5" i="185" s="1"/>
  <c r="T153" i="3"/>
  <c r="T5" i="185" s="1"/>
  <c r="S153" i="3"/>
  <c r="S5" i="185" s="1"/>
  <c r="Q153" i="3"/>
  <c r="Q5" i="185" s="1"/>
  <c r="P153" i="3"/>
  <c r="P5" i="185" s="1"/>
  <c r="F153" i="3"/>
  <c r="E153" i="3"/>
  <c r="Y152" i="3"/>
  <c r="Y9" i="173" s="1"/>
  <c r="X152" i="3"/>
  <c r="X9" i="173" s="1"/>
  <c r="W152" i="3"/>
  <c r="W9" i="173" s="1"/>
  <c r="V152" i="3"/>
  <c r="V9" i="173" s="1"/>
  <c r="T152" i="3"/>
  <c r="T9" i="173" s="1"/>
  <c r="S152" i="3"/>
  <c r="S9" i="173" s="1"/>
  <c r="Q152" i="3"/>
  <c r="Q9" i="173" s="1"/>
  <c r="P152" i="3"/>
  <c r="P9" i="173" s="1"/>
  <c r="F152" i="3"/>
  <c r="E152" i="3"/>
  <c r="Y151" i="3"/>
  <c r="Y3" i="135" s="1"/>
  <c r="X151" i="3"/>
  <c r="X3" i="135" s="1"/>
  <c r="W151" i="3"/>
  <c r="W3" i="135" s="1"/>
  <c r="V151" i="3"/>
  <c r="V3" i="135" s="1"/>
  <c r="T151" i="3"/>
  <c r="T3" i="135" s="1"/>
  <c r="S151" i="3"/>
  <c r="S3" i="135" s="1"/>
  <c r="Q151" i="3"/>
  <c r="Q3" i="135" s="1"/>
  <c r="P151" i="3"/>
  <c r="P3" i="135" s="1"/>
  <c r="F151" i="3"/>
  <c r="E151" i="3"/>
  <c r="Y150" i="3"/>
  <c r="Y5" i="109" s="1"/>
  <c r="X150" i="3"/>
  <c r="X5" i="109" s="1"/>
  <c r="W150" i="3"/>
  <c r="W5" i="109" s="1"/>
  <c r="V150" i="3"/>
  <c r="V5" i="109" s="1"/>
  <c r="T150" i="3"/>
  <c r="T5" i="109" s="1"/>
  <c r="S150" i="3"/>
  <c r="S5" i="109" s="1"/>
  <c r="Q150" i="3"/>
  <c r="Q5" i="109" s="1"/>
  <c r="P150" i="3"/>
  <c r="P5" i="109" s="1"/>
  <c r="F150" i="3"/>
  <c r="E150" i="3"/>
  <c r="Y149" i="3"/>
  <c r="Y6" i="185" s="1"/>
  <c r="X149" i="3"/>
  <c r="X6" i="185" s="1"/>
  <c r="W149" i="3"/>
  <c r="W6" i="185" s="1"/>
  <c r="V149" i="3"/>
  <c r="V6" i="185" s="1"/>
  <c r="U149" i="3"/>
  <c r="U6" i="185" s="1"/>
  <c r="T149" i="3"/>
  <c r="T6" i="185" s="1"/>
  <c r="S149" i="3"/>
  <c r="S6" i="185" s="1"/>
  <c r="Q149" i="3"/>
  <c r="Q6" i="185" s="1"/>
  <c r="P149" i="3"/>
  <c r="P6" i="185" s="1"/>
  <c r="F149" i="3"/>
  <c r="E149" i="3"/>
  <c r="Y148" i="3"/>
  <c r="Y10" i="92" s="1"/>
  <c r="X148" i="3"/>
  <c r="X10" i="92" s="1"/>
  <c r="W148" i="3"/>
  <c r="W10" i="92" s="1"/>
  <c r="V148" i="3"/>
  <c r="V10" i="92" s="1"/>
  <c r="T148" i="3"/>
  <c r="T10" i="92" s="1"/>
  <c r="S148" i="3"/>
  <c r="S10" i="92" s="1"/>
  <c r="Q148" i="3"/>
  <c r="Q10" i="92" s="1"/>
  <c r="P148" i="3"/>
  <c r="P10" i="92" s="1"/>
  <c r="F148" i="3"/>
  <c r="E148" i="3"/>
  <c r="Y147" i="3"/>
  <c r="X147" i="3"/>
  <c r="W147" i="3"/>
  <c r="V147" i="3"/>
  <c r="T147" i="3"/>
  <c r="S147" i="3"/>
  <c r="Q147" i="3"/>
  <c r="P147" i="3"/>
  <c r="F147" i="3"/>
  <c r="E147" i="3"/>
  <c r="Y146" i="3"/>
  <c r="Y4" i="120" s="1"/>
  <c r="X146" i="3"/>
  <c r="X4" i="120" s="1"/>
  <c r="W146" i="3"/>
  <c r="W4" i="120" s="1"/>
  <c r="V146" i="3"/>
  <c r="V4" i="120" s="1"/>
  <c r="T146" i="3"/>
  <c r="T4" i="120" s="1"/>
  <c r="S146" i="3"/>
  <c r="S4" i="120" s="1"/>
  <c r="Q146" i="3"/>
  <c r="Q4" i="120" s="1"/>
  <c r="P146" i="3"/>
  <c r="P4" i="120" s="1"/>
  <c r="F146" i="3"/>
  <c r="E146" i="3"/>
  <c r="Y145" i="3"/>
  <c r="Y7" i="168" s="1"/>
  <c r="X145" i="3"/>
  <c r="X7" i="168" s="1"/>
  <c r="W145" i="3"/>
  <c r="W7" i="168" s="1"/>
  <c r="V145" i="3"/>
  <c r="V7" i="168" s="1"/>
  <c r="T145" i="3"/>
  <c r="T7" i="168" s="1"/>
  <c r="S145" i="3"/>
  <c r="S7" i="168" s="1"/>
  <c r="Q145" i="3"/>
  <c r="Q7" i="168" s="1"/>
  <c r="P145" i="3"/>
  <c r="P7" i="168" s="1"/>
  <c r="F145" i="3"/>
  <c r="E145" i="3"/>
  <c r="Y144" i="3"/>
  <c r="Y3" i="114" s="1"/>
  <c r="X144" i="3"/>
  <c r="X3" i="114" s="1"/>
  <c r="W144" i="3"/>
  <c r="W3" i="114" s="1"/>
  <c r="V144" i="3"/>
  <c r="V3" i="114" s="1"/>
  <c r="T144" i="3"/>
  <c r="T3" i="114" s="1"/>
  <c r="S144" i="3"/>
  <c r="S3" i="114" s="1"/>
  <c r="Q144" i="3"/>
  <c r="Q3" i="114" s="1"/>
  <c r="P144" i="3"/>
  <c r="P3" i="114" s="1"/>
  <c r="F144" i="3"/>
  <c r="E144" i="3"/>
  <c r="Y143" i="3"/>
  <c r="X143" i="3"/>
  <c r="W143" i="3"/>
  <c r="V143" i="3"/>
  <c r="T143" i="3"/>
  <c r="S143" i="3"/>
  <c r="Q143" i="3"/>
  <c r="P143" i="3"/>
  <c r="F143" i="3"/>
  <c r="E143" i="3"/>
  <c r="Y142" i="3"/>
  <c r="Y6" i="168" s="1"/>
  <c r="X142" i="3"/>
  <c r="X6" i="168" s="1"/>
  <c r="W142" i="3"/>
  <c r="W6" i="168" s="1"/>
  <c r="V142" i="3"/>
  <c r="V6" i="168" s="1"/>
  <c r="T142" i="3"/>
  <c r="T6" i="168" s="1"/>
  <c r="S142" i="3"/>
  <c r="S6" i="168" s="1"/>
  <c r="Q142" i="3"/>
  <c r="Q6" i="168" s="1"/>
  <c r="P142" i="3"/>
  <c r="P6" i="168" s="1"/>
  <c r="F142" i="3"/>
  <c r="E142" i="3"/>
  <c r="Y141" i="3"/>
  <c r="Y9" i="171" s="1"/>
  <c r="X141" i="3"/>
  <c r="X9" i="171" s="1"/>
  <c r="W141" i="3"/>
  <c r="W9" i="171" s="1"/>
  <c r="V141" i="3"/>
  <c r="V9" i="171" s="1"/>
  <c r="T141" i="3"/>
  <c r="T9" i="171" s="1"/>
  <c r="S141" i="3"/>
  <c r="S9" i="171" s="1"/>
  <c r="Q141" i="3"/>
  <c r="Q9" i="171" s="1"/>
  <c r="P141" i="3"/>
  <c r="P9" i="171" s="1"/>
  <c r="F141" i="3"/>
  <c r="E141" i="3"/>
  <c r="Y140" i="3"/>
  <c r="Y6" i="56" s="1"/>
  <c r="X140" i="3"/>
  <c r="X6" i="56" s="1"/>
  <c r="W140" i="3"/>
  <c r="W6" i="56" s="1"/>
  <c r="V140" i="3"/>
  <c r="V6" i="56" s="1"/>
  <c r="T140" i="3"/>
  <c r="T6" i="56" s="1"/>
  <c r="S140" i="3"/>
  <c r="S6" i="56" s="1"/>
  <c r="Q140" i="3"/>
  <c r="Q6" i="56" s="1"/>
  <c r="P140" i="3"/>
  <c r="P6" i="56" s="1"/>
  <c r="F140" i="3"/>
  <c r="E140" i="3"/>
  <c r="Y139" i="3"/>
  <c r="Y8" i="167" s="1"/>
  <c r="X139" i="3"/>
  <c r="X8" i="167" s="1"/>
  <c r="W139" i="3"/>
  <c r="W8" i="167" s="1"/>
  <c r="V139" i="3"/>
  <c r="V8" i="167" s="1"/>
  <c r="T139" i="3"/>
  <c r="T8" i="167" s="1"/>
  <c r="S139" i="3"/>
  <c r="S8" i="167" s="1"/>
  <c r="Q139" i="3"/>
  <c r="Q8" i="167" s="1"/>
  <c r="P139" i="3"/>
  <c r="P8" i="167" s="1"/>
  <c r="F139" i="3"/>
  <c r="E139" i="3"/>
  <c r="Y138" i="3"/>
  <c r="Y7" i="171" s="1"/>
  <c r="X138" i="3"/>
  <c r="X7" i="171" s="1"/>
  <c r="W138" i="3"/>
  <c r="W7" i="171" s="1"/>
  <c r="V138" i="3"/>
  <c r="V7" i="171" s="1"/>
  <c r="T138" i="3"/>
  <c r="T7" i="171" s="1"/>
  <c r="S138" i="3"/>
  <c r="S7" i="171" s="1"/>
  <c r="Q138" i="3"/>
  <c r="Q7" i="171" s="1"/>
  <c r="P138" i="3"/>
  <c r="P7" i="171" s="1"/>
  <c r="F138" i="3"/>
  <c r="E138" i="3"/>
  <c r="Y137" i="3"/>
  <c r="Y4" i="143" s="1"/>
  <c r="X137" i="3"/>
  <c r="X4" i="143" s="1"/>
  <c r="W137" i="3"/>
  <c r="W4" i="143" s="1"/>
  <c r="V137" i="3"/>
  <c r="V4" i="143" s="1"/>
  <c r="T137" i="3"/>
  <c r="T4" i="143" s="1"/>
  <c r="S137" i="3"/>
  <c r="S4" i="143" s="1"/>
  <c r="Q137" i="3"/>
  <c r="Q4" i="143" s="1"/>
  <c r="P137" i="3"/>
  <c r="P4" i="143" s="1"/>
  <c r="F137" i="3"/>
  <c r="E137" i="3"/>
  <c r="Y136" i="3"/>
  <c r="Y5" i="56" s="1"/>
  <c r="X136" i="3"/>
  <c r="X5" i="56" s="1"/>
  <c r="W136" i="3"/>
  <c r="W5" i="56" s="1"/>
  <c r="V136" i="3"/>
  <c r="V5" i="56" s="1"/>
  <c r="T136" i="3"/>
  <c r="T5" i="56" s="1"/>
  <c r="S136" i="3"/>
  <c r="S5" i="56" s="1"/>
  <c r="Q136" i="3"/>
  <c r="Q5" i="56" s="1"/>
  <c r="P136" i="3"/>
  <c r="P5" i="56" s="1"/>
  <c r="F136" i="3"/>
  <c r="E136" i="3"/>
  <c r="Y135" i="3"/>
  <c r="Y2" i="172" s="1"/>
  <c r="X135" i="3"/>
  <c r="X2" i="172" s="1"/>
  <c r="W135" i="3"/>
  <c r="W2" i="172" s="1"/>
  <c r="V135" i="3"/>
  <c r="V2" i="172" s="1"/>
  <c r="T135" i="3"/>
  <c r="T2" i="172" s="1"/>
  <c r="S135" i="3"/>
  <c r="S2" i="172" s="1"/>
  <c r="Q135" i="3"/>
  <c r="Q2" i="172" s="1"/>
  <c r="P135" i="3"/>
  <c r="P2" i="172" s="1"/>
  <c r="F135" i="3"/>
  <c r="E135" i="3"/>
  <c r="Y134" i="3"/>
  <c r="X134" i="3"/>
  <c r="W134" i="3"/>
  <c r="V134" i="3"/>
  <c r="T134" i="3"/>
  <c r="S134" i="3"/>
  <c r="Q134" i="3"/>
  <c r="P134" i="3"/>
  <c r="F134" i="3"/>
  <c r="E134" i="3"/>
  <c r="Y133" i="3"/>
  <c r="Y3" i="112" s="1"/>
  <c r="X133" i="3"/>
  <c r="X3" i="112" s="1"/>
  <c r="W133" i="3"/>
  <c r="W3" i="112" s="1"/>
  <c r="V133" i="3"/>
  <c r="V3" i="112" s="1"/>
  <c r="T133" i="3"/>
  <c r="T3" i="112" s="1"/>
  <c r="S133" i="3"/>
  <c r="S3" i="112" s="1"/>
  <c r="Q133" i="3"/>
  <c r="Q3" i="112" s="1"/>
  <c r="P133" i="3"/>
  <c r="P3" i="112" s="1"/>
  <c r="F133" i="3"/>
  <c r="E133" i="3"/>
  <c r="Y132" i="3"/>
  <c r="Y8" i="173" s="1"/>
  <c r="X132" i="3"/>
  <c r="X8" i="173" s="1"/>
  <c r="W132" i="3"/>
  <c r="W8" i="173" s="1"/>
  <c r="V132" i="3"/>
  <c r="V8" i="173" s="1"/>
  <c r="T132" i="3"/>
  <c r="T8" i="173" s="1"/>
  <c r="S132" i="3"/>
  <c r="S8" i="173" s="1"/>
  <c r="Q132" i="3"/>
  <c r="Q8" i="173" s="1"/>
  <c r="P132" i="3"/>
  <c r="P8" i="173" s="1"/>
  <c r="F132" i="3"/>
  <c r="E132" i="3"/>
  <c r="Y131" i="3"/>
  <c r="Y4" i="93" s="1"/>
  <c r="X131" i="3"/>
  <c r="X4" i="93" s="1"/>
  <c r="W131" i="3"/>
  <c r="W4" i="93" s="1"/>
  <c r="V131" i="3"/>
  <c r="V4" i="93" s="1"/>
  <c r="T131" i="3"/>
  <c r="T4" i="93" s="1"/>
  <c r="S131" i="3"/>
  <c r="S4" i="93" s="1"/>
  <c r="Q131" i="3"/>
  <c r="Q4" i="93" s="1"/>
  <c r="P131" i="3"/>
  <c r="P4" i="93" s="1"/>
  <c r="F131" i="3"/>
  <c r="E131" i="3"/>
  <c r="Y130" i="3"/>
  <c r="Y3" i="88" s="1"/>
  <c r="X130" i="3"/>
  <c r="X3" i="88" s="1"/>
  <c r="W130" i="3"/>
  <c r="W3" i="88" s="1"/>
  <c r="V130" i="3"/>
  <c r="V3" i="88" s="1"/>
  <c r="T130" i="3"/>
  <c r="T3" i="88" s="1"/>
  <c r="S130" i="3"/>
  <c r="S3" i="88" s="1"/>
  <c r="Q130" i="3"/>
  <c r="Q3" i="88" s="1"/>
  <c r="P130" i="3"/>
  <c r="P3" i="88" s="1"/>
  <c r="F130" i="3"/>
  <c r="E130" i="3"/>
  <c r="Y129" i="3"/>
  <c r="Y4" i="50" s="1"/>
  <c r="X129" i="3"/>
  <c r="X4" i="50" s="1"/>
  <c r="W129" i="3"/>
  <c r="W4" i="50" s="1"/>
  <c r="V129" i="3"/>
  <c r="V4" i="50" s="1"/>
  <c r="T129" i="3"/>
  <c r="T4" i="50" s="1"/>
  <c r="S129" i="3"/>
  <c r="S4" i="50" s="1"/>
  <c r="Q129" i="3"/>
  <c r="Q4" i="50" s="1"/>
  <c r="P129" i="3"/>
  <c r="P4" i="50" s="1"/>
  <c r="F129" i="3"/>
  <c r="E129" i="3"/>
  <c r="Y128" i="3"/>
  <c r="Y6" i="171" s="1"/>
  <c r="X128" i="3"/>
  <c r="X6" i="171" s="1"/>
  <c r="W128" i="3"/>
  <c r="W6" i="171" s="1"/>
  <c r="V128" i="3"/>
  <c r="V6" i="171" s="1"/>
  <c r="T128" i="3"/>
  <c r="T6" i="171" s="1"/>
  <c r="S128" i="3"/>
  <c r="S6" i="171" s="1"/>
  <c r="Q128" i="3"/>
  <c r="Q6" i="171" s="1"/>
  <c r="P128" i="3"/>
  <c r="P6" i="171" s="1"/>
  <c r="F128" i="3"/>
  <c r="E128" i="3"/>
  <c r="Y127" i="3"/>
  <c r="X127" i="3"/>
  <c r="W127" i="3"/>
  <c r="V127" i="3"/>
  <c r="T127" i="3"/>
  <c r="S127" i="3"/>
  <c r="Q127" i="3"/>
  <c r="P127" i="3"/>
  <c r="R127" i="3" s="1"/>
  <c r="F127" i="3"/>
  <c r="E127" i="3"/>
  <c r="Y126" i="3"/>
  <c r="Y4" i="56" s="1"/>
  <c r="X126" i="3"/>
  <c r="X4" i="56" s="1"/>
  <c r="W126" i="3"/>
  <c r="W4" i="56" s="1"/>
  <c r="V126" i="3"/>
  <c r="V4" i="56" s="1"/>
  <c r="T126" i="3"/>
  <c r="T4" i="56" s="1"/>
  <c r="S126" i="3"/>
  <c r="S4" i="56" s="1"/>
  <c r="Q126" i="3"/>
  <c r="Q4" i="56" s="1"/>
  <c r="P126" i="3"/>
  <c r="P4" i="56" s="1"/>
  <c r="F126" i="3"/>
  <c r="E126" i="3"/>
  <c r="Y125" i="3"/>
  <c r="Y2" i="185" s="1"/>
  <c r="X125" i="3"/>
  <c r="X2" i="185" s="1"/>
  <c r="W125" i="3"/>
  <c r="W2" i="185" s="1"/>
  <c r="V125" i="3"/>
  <c r="V2" i="185" s="1"/>
  <c r="T125" i="3"/>
  <c r="T2" i="185" s="1"/>
  <c r="S125" i="3"/>
  <c r="S2" i="185" s="1"/>
  <c r="Q125" i="3"/>
  <c r="Q2" i="185" s="1"/>
  <c r="P125" i="3"/>
  <c r="P2" i="185" s="1"/>
  <c r="F125" i="3"/>
  <c r="E125" i="3"/>
  <c r="Y124" i="3"/>
  <c r="Y3" i="110" s="1"/>
  <c r="X124" i="3"/>
  <c r="X3" i="110" s="1"/>
  <c r="W124" i="3"/>
  <c r="W3" i="110" s="1"/>
  <c r="V124" i="3"/>
  <c r="V3" i="110" s="1"/>
  <c r="T124" i="3"/>
  <c r="T3" i="110" s="1"/>
  <c r="S124" i="3"/>
  <c r="S3" i="110" s="1"/>
  <c r="Q124" i="3"/>
  <c r="Q3" i="110" s="1"/>
  <c r="P124" i="3"/>
  <c r="P3" i="110" s="1"/>
  <c r="F124" i="3"/>
  <c r="E124" i="3"/>
  <c r="Y123" i="3"/>
  <c r="Y4" i="138" s="1"/>
  <c r="X123" i="3"/>
  <c r="X4" i="138" s="1"/>
  <c r="W123" i="3"/>
  <c r="W4" i="138" s="1"/>
  <c r="V123" i="3"/>
  <c r="V4" i="138" s="1"/>
  <c r="T123" i="3"/>
  <c r="T4" i="138" s="1"/>
  <c r="S123" i="3"/>
  <c r="S4" i="138" s="1"/>
  <c r="Q123" i="3"/>
  <c r="Q4" i="138" s="1"/>
  <c r="P123" i="3"/>
  <c r="P4" i="138" s="1"/>
  <c r="F123" i="3"/>
  <c r="E123" i="3"/>
  <c r="Y122" i="3"/>
  <c r="X122" i="3"/>
  <c r="W122" i="3"/>
  <c r="V122" i="3"/>
  <c r="T122" i="3"/>
  <c r="S122" i="3"/>
  <c r="Q122" i="3"/>
  <c r="P122" i="3"/>
  <c r="F122" i="3"/>
  <c r="E122" i="3"/>
  <c r="Y121" i="3"/>
  <c r="Y4" i="185" s="1"/>
  <c r="X121" i="3"/>
  <c r="X4" i="185" s="1"/>
  <c r="W121" i="3"/>
  <c r="W4" i="185" s="1"/>
  <c r="V121" i="3"/>
  <c r="V4" i="185" s="1"/>
  <c r="T121" i="3"/>
  <c r="T4" i="185" s="1"/>
  <c r="S121" i="3"/>
  <c r="S4" i="185" s="1"/>
  <c r="Q121" i="3"/>
  <c r="Q4" i="185" s="1"/>
  <c r="P121" i="3"/>
  <c r="P4" i="185" s="1"/>
  <c r="F121" i="3"/>
  <c r="E121" i="3"/>
  <c r="Y120" i="3"/>
  <c r="Y5" i="50" s="1"/>
  <c r="X120" i="3"/>
  <c r="X5" i="50" s="1"/>
  <c r="W120" i="3"/>
  <c r="W5" i="50" s="1"/>
  <c r="V120" i="3"/>
  <c r="V5" i="50" s="1"/>
  <c r="T120" i="3"/>
  <c r="T5" i="50" s="1"/>
  <c r="S120" i="3"/>
  <c r="S5" i="50" s="1"/>
  <c r="Q120" i="3"/>
  <c r="Q5" i="50" s="1"/>
  <c r="P120" i="3"/>
  <c r="P5" i="50" s="1"/>
  <c r="F120" i="3"/>
  <c r="E120" i="3"/>
  <c r="Y119" i="3"/>
  <c r="Y3" i="69" s="1"/>
  <c r="X119" i="3"/>
  <c r="X3" i="69" s="1"/>
  <c r="W119" i="3"/>
  <c r="W3" i="69" s="1"/>
  <c r="V119" i="3"/>
  <c r="V3" i="69" s="1"/>
  <c r="T119" i="3"/>
  <c r="T3" i="69" s="1"/>
  <c r="S119" i="3"/>
  <c r="S3" i="69" s="1"/>
  <c r="Q119" i="3"/>
  <c r="Q3" i="69" s="1"/>
  <c r="P119" i="3"/>
  <c r="P3" i="69" s="1"/>
  <c r="F119" i="3"/>
  <c r="E119" i="3"/>
  <c r="Y118" i="3"/>
  <c r="Y8" i="92" s="1"/>
  <c r="X118" i="3"/>
  <c r="X8" i="92" s="1"/>
  <c r="W118" i="3"/>
  <c r="W8" i="92" s="1"/>
  <c r="V118" i="3"/>
  <c r="V8" i="92" s="1"/>
  <c r="T118" i="3"/>
  <c r="T8" i="92" s="1"/>
  <c r="S118" i="3"/>
  <c r="S8" i="92" s="1"/>
  <c r="Q118" i="3"/>
  <c r="Q8" i="92" s="1"/>
  <c r="P118" i="3"/>
  <c r="P8" i="92" s="1"/>
  <c r="F118" i="3"/>
  <c r="E118" i="3"/>
  <c r="Y117" i="3"/>
  <c r="Y8" i="123" s="1"/>
  <c r="X117" i="3"/>
  <c r="X8" i="123" s="1"/>
  <c r="W117" i="3"/>
  <c r="W8" i="123" s="1"/>
  <c r="V117" i="3"/>
  <c r="V8" i="123" s="1"/>
  <c r="T117" i="3"/>
  <c r="T8" i="123" s="1"/>
  <c r="S117" i="3"/>
  <c r="S8" i="123" s="1"/>
  <c r="Q117" i="3"/>
  <c r="Q8" i="123" s="1"/>
  <c r="P117" i="3"/>
  <c r="P8" i="123" s="1"/>
  <c r="F117" i="3"/>
  <c r="E117" i="3"/>
  <c r="Y116" i="3"/>
  <c r="Y9" i="92" s="1"/>
  <c r="X116" i="3"/>
  <c r="X9" i="92" s="1"/>
  <c r="W116" i="3"/>
  <c r="W9" i="92" s="1"/>
  <c r="V116" i="3"/>
  <c r="V9" i="92" s="1"/>
  <c r="T116" i="3"/>
  <c r="T9" i="92" s="1"/>
  <c r="S116" i="3"/>
  <c r="S9" i="92" s="1"/>
  <c r="Q116" i="3"/>
  <c r="Q9" i="92" s="1"/>
  <c r="P116" i="3"/>
  <c r="P9" i="92" s="1"/>
  <c r="F116" i="3"/>
  <c r="E116" i="3"/>
  <c r="Y115" i="3"/>
  <c r="Y2" i="119" s="1"/>
  <c r="X115" i="3"/>
  <c r="X2" i="119" s="1"/>
  <c r="W115" i="3"/>
  <c r="W2" i="119" s="1"/>
  <c r="V115" i="3"/>
  <c r="V2" i="119" s="1"/>
  <c r="T115" i="3"/>
  <c r="T2" i="119" s="1"/>
  <c r="S115" i="3"/>
  <c r="S2" i="119" s="1"/>
  <c r="Q115" i="3"/>
  <c r="Q2" i="119" s="1"/>
  <c r="P115" i="3"/>
  <c r="P2" i="119" s="1"/>
  <c r="F115" i="3"/>
  <c r="E115" i="3"/>
  <c r="Y114" i="3"/>
  <c r="Y5" i="193" s="1"/>
  <c r="X114" i="3"/>
  <c r="X5" i="193" s="1"/>
  <c r="W114" i="3"/>
  <c r="W5" i="193" s="1"/>
  <c r="V114" i="3"/>
  <c r="V5" i="193" s="1"/>
  <c r="T114" i="3"/>
  <c r="T5" i="193" s="1"/>
  <c r="S114" i="3"/>
  <c r="S5" i="193" s="1"/>
  <c r="Q114" i="3"/>
  <c r="Q5" i="193" s="1"/>
  <c r="P114" i="3"/>
  <c r="P5" i="193" s="1"/>
  <c r="F114" i="3"/>
  <c r="E114" i="3"/>
  <c r="Y113" i="3"/>
  <c r="X113" i="3"/>
  <c r="W113" i="3"/>
  <c r="V113" i="3"/>
  <c r="T113" i="3"/>
  <c r="S113" i="3"/>
  <c r="Q113" i="3"/>
  <c r="P113" i="3"/>
  <c r="F113" i="3"/>
  <c r="E113" i="3"/>
  <c r="Y112" i="3"/>
  <c r="Y5" i="103" s="1"/>
  <c r="X112" i="3"/>
  <c r="X5" i="103" s="1"/>
  <c r="W112" i="3"/>
  <c r="W5" i="103" s="1"/>
  <c r="V112" i="3"/>
  <c r="V5" i="103" s="1"/>
  <c r="T112" i="3"/>
  <c r="T5" i="103" s="1"/>
  <c r="S112" i="3"/>
  <c r="S5" i="103" s="1"/>
  <c r="Q112" i="3"/>
  <c r="Q5" i="103" s="1"/>
  <c r="P112" i="3"/>
  <c r="P5" i="103" s="1"/>
  <c r="F112" i="3"/>
  <c r="E112" i="3"/>
  <c r="Y111" i="3"/>
  <c r="Y3" i="49" s="1"/>
  <c r="X111" i="3"/>
  <c r="X3" i="49" s="1"/>
  <c r="W111" i="3"/>
  <c r="W3" i="49" s="1"/>
  <c r="V111" i="3"/>
  <c r="V3" i="49" s="1"/>
  <c r="T111" i="3"/>
  <c r="T3" i="49" s="1"/>
  <c r="S111" i="3"/>
  <c r="S3" i="49" s="1"/>
  <c r="Q111" i="3"/>
  <c r="Q3" i="49" s="1"/>
  <c r="P111" i="3"/>
  <c r="P3" i="49" s="1"/>
  <c r="F111" i="3"/>
  <c r="E111" i="3"/>
  <c r="Y110" i="3"/>
  <c r="Y7" i="123" s="1"/>
  <c r="X110" i="3"/>
  <c r="X7" i="123" s="1"/>
  <c r="W110" i="3"/>
  <c r="W7" i="123" s="1"/>
  <c r="V110" i="3"/>
  <c r="V7" i="123" s="1"/>
  <c r="T110" i="3"/>
  <c r="T7" i="123" s="1"/>
  <c r="S110" i="3"/>
  <c r="S7" i="123" s="1"/>
  <c r="Q110" i="3"/>
  <c r="Q7" i="123" s="1"/>
  <c r="P110" i="3"/>
  <c r="P7" i="123" s="1"/>
  <c r="F110" i="3"/>
  <c r="E110" i="3"/>
  <c r="Y109" i="3"/>
  <c r="Y2" i="188" s="1"/>
  <c r="X109" i="3"/>
  <c r="X2" i="188" s="1"/>
  <c r="W109" i="3"/>
  <c r="W2" i="188" s="1"/>
  <c r="V109" i="3"/>
  <c r="V2" i="188" s="1"/>
  <c r="U109" i="3"/>
  <c r="U2" i="188" s="1"/>
  <c r="T109" i="3"/>
  <c r="T2" i="188" s="1"/>
  <c r="S109" i="3"/>
  <c r="S2" i="188" s="1"/>
  <c r="Q109" i="3"/>
  <c r="Q2" i="188" s="1"/>
  <c r="P109" i="3"/>
  <c r="P2" i="188" s="1"/>
  <c r="F109" i="3"/>
  <c r="E109" i="3"/>
  <c r="Y108" i="3"/>
  <c r="Y2" i="148" s="1"/>
  <c r="X108" i="3"/>
  <c r="X2" i="148" s="1"/>
  <c r="W108" i="3"/>
  <c r="W2" i="148" s="1"/>
  <c r="V108" i="3"/>
  <c r="V2" i="148" s="1"/>
  <c r="T108" i="3"/>
  <c r="T2" i="148" s="1"/>
  <c r="S108" i="3"/>
  <c r="S2" i="148" s="1"/>
  <c r="Q108" i="3"/>
  <c r="Q2" i="148" s="1"/>
  <c r="P108" i="3"/>
  <c r="P2" i="148" s="1"/>
  <c r="F108" i="3"/>
  <c r="E108" i="3"/>
  <c r="Y107" i="3"/>
  <c r="Y2" i="179" s="1"/>
  <c r="X107" i="3"/>
  <c r="X2" i="179" s="1"/>
  <c r="W107" i="3"/>
  <c r="W2" i="179" s="1"/>
  <c r="V107" i="3"/>
  <c r="V2" i="179" s="1"/>
  <c r="T107" i="3"/>
  <c r="T2" i="179" s="1"/>
  <c r="S107" i="3"/>
  <c r="S2" i="179" s="1"/>
  <c r="Q107" i="3"/>
  <c r="Q2" i="179" s="1"/>
  <c r="P107" i="3"/>
  <c r="P2" i="179" s="1"/>
  <c r="F107" i="3"/>
  <c r="E107" i="3"/>
  <c r="Y106" i="3"/>
  <c r="Y3" i="185" s="1"/>
  <c r="X106" i="3"/>
  <c r="X3" i="185" s="1"/>
  <c r="W106" i="3"/>
  <c r="W3" i="185" s="1"/>
  <c r="V106" i="3"/>
  <c r="V3" i="185" s="1"/>
  <c r="T106" i="3"/>
  <c r="T3" i="185" s="1"/>
  <c r="S106" i="3"/>
  <c r="S3" i="185" s="1"/>
  <c r="Q106" i="3"/>
  <c r="Q3" i="185" s="1"/>
  <c r="P106" i="3"/>
  <c r="P3" i="185" s="1"/>
  <c r="F106" i="3"/>
  <c r="E106" i="3"/>
  <c r="Y105" i="3"/>
  <c r="Y7" i="92" s="1"/>
  <c r="X105" i="3"/>
  <c r="X7" i="92" s="1"/>
  <c r="W105" i="3"/>
  <c r="W7" i="92" s="1"/>
  <c r="V105" i="3"/>
  <c r="V7" i="92" s="1"/>
  <c r="T105" i="3"/>
  <c r="T7" i="92" s="1"/>
  <c r="S105" i="3"/>
  <c r="S7" i="92" s="1"/>
  <c r="Q105" i="3"/>
  <c r="Q7" i="92" s="1"/>
  <c r="P105" i="3"/>
  <c r="P7" i="92" s="1"/>
  <c r="F105" i="3"/>
  <c r="E105" i="3"/>
  <c r="Y104" i="3"/>
  <c r="Y3" i="120" s="1"/>
  <c r="X104" i="3"/>
  <c r="X3" i="120" s="1"/>
  <c r="W104" i="3"/>
  <c r="W3" i="120" s="1"/>
  <c r="V104" i="3"/>
  <c r="V3" i="120" s="1"/>
  <c r="T104" i="3"/>
  <c r="T3" i="120" s="1"/>
  <c r="S104" i="3"/>
  <c r="S3" i="120" s="1"/>
  <c r="Q104" i="3"/>
  <c r="Q3" i="120" s="1"/>
  <c r="P104" i="3"/>
  <c r="P3" i="120" s="1"/>
  <c r="F104" i="3"/>
  <c r="E104" i="3"/>
  <c r="Y103" i="3"/>
  <c r="X103" i="3"/>
  <c r="W103" i="3"/>
  <c r="V103" i="3"/>
  <c r="T103" i="3"/>
  <c r="S103" i="3"/>
  <c r="Q103" i="3"/>
  <c r="P103" i="3"/>
  <c r="R103" i="3" s="1"/>
  <c r="F103" i="3"/>
  <c r="E103" i="3"/>
  <c r="Y102" i="3"/>
  <c r="Y6" i="92" s="1"/>
  <c r="X102" i="3"/>
  <c r="X6" i="92" s="1"/>
  <c r="W102" i="3"/>
  <c r="W6" i="92" s="1"/>
  <c r="V102" i="3"/>
  <c r="V6" i="92" s="1"/>
  <c r="T102" i="3"/>
  <c r="T6" i="92" s="1"/>
  <c r="S102" i="3"/>
  <c r="S6" i="92" s="1"/>
  <c r="Q102" i="3"/>
  <c r="Q6" i="92" s="1"/>
  <c r="P102" i="3"/>
  <c r="P6" i="92" s="1"/>
  <c r="F102" i="3"/>
  <c r="E102" i="3"/>
  <c r="Y101" i="3"/>
  <c r="X101" i="3"/>
  <c r="W101" i="3"/>
  <c r="V101" i="3"/>
  <c r="T101" i="3"/>
  <c r="S101" i="3"/>
  <c r="U101" i="3" s="1"/>
  <c r="Q101" i="3"/>
  <c r="P101" i="3"/>
  <c r="F101" i="3"/>
  <c r="E101" i="3"/>
  <c r="Y100" i="3"/>
  <c r="X100" i="3"/>
  <c r="W100" i="3"/>
  <c r="V100" i="3"/>
  <c r="T100" i="3"/>
  <c r="S100" i="3"/>
  <c r="U100" i="3" s="1"/>
  <c r="Q100" i="3"/>
  <c r="P100" i="3"/>
  <c r="R100" i="3" s="1"/>
  <c r="F100" i="3"/>
  <c r="E100" i="3"/>
  <c r="Y99" i="3"/>
  <c r="X99" i="3"/>
  <c r="W99" i="3"/>
  <c r="V99" i="3"/>
  <c r="T99" i="3"/>
  <c r="S99" i="3"/>
  <c r="Q99" i="3"/>
  <c r="P99" i="3"/>
  <c r="F99" i="3"/>
  <c r="E99" i="3"/>
  <c r="Y98" i="3"/>
  <c r="Y4" i="193" s="1"/>
  <c r="X98" i="3"/>
  <c r="X4" i="193" s="1"/>
  <c r="W98" i="3"/>
  <c r="W4" i="193" s="1"/>
  <c r="V98" i="3"/>
  <c r="V4" i="193" s="1"/>
  <c r="T98" i="3"/>
  <c r="T4" i="193" s="1"/>
  <c r="S98" i="3"/>
  <c r="S4" i="193" s="1"/>
  <c r="Q98" i="3"/>
  <c r="Q4" i="193" s="1"/>
  <c r="P98" i="3"/>
  <c r="P4" i="193" s="1"/>
  <c r="F98" i="3"/>
  <c r="E98" i="3"/>
  <c r="Y97" i="3"/>
  <c r="X97" i="3"/>
  <c r="W97" i="3"/>
  <c r="V97" i="3"/>
  <c r="T97" i="3"/>
  <c r="S97" i="3"/>
  <c r="Q97" i="3"/>
  <c r="P97" i="3"/>
  <c r="F97" i="3"/>
  <c r="E97" i="3"/>
  <c r="Y96" i="3"/>
  <c r="Y5" i="92" s="1"/>
  <c r="X96" i="3"/>
  <c r="X5" i="92" s="1"/>
  <c r="W96" i="3"/>
  <c r="W5" i="92" s="1"/>
  <c r="V96" i="3"/>
  <c r="V5" i="92" s="1"/>
  <c r="T96" i="3"/>
  <c r="T5" i="92" s="1"/>
  <c r="S96" i="3"/>
  <c r="S5" i="92" s="1"/>
  <c r="Q96" i="3"/>
  <c r="Q5" i="92" s="1"/>
  <c r="P96" i="3"/>
  <c r="P5" i="92" s="1"/>
  <c r="F96" i="3"/>
  <c r="E96" i="3"/>
  <c r="Y95" i="3"/>
  <c r="X95" i="3"/>
  <c r="W95" i="3"/>
  <c r="V95" i="3"/>
  <c r="T95" i="3"/>
  <c r="S95" i="3"/>
  <c r="Q95" i="3"/>
  <c r="P95" i="3"/>
  <c r="R95" i="3" s="1"/>
  <c r="F95" i="3"/>
  <c r="E95" i="3"/>
  <c r="Y94" i="3"/>
  <c r="Y3" i="93" s="1"/>
  <c r="X94" i="3"/>
  <c r="X3" i="93" s="1"/>
  <c r="W94" i="3"/>
  <c r="W3" i="93" s="1"/>
  <c r="V94" i="3"/>
  <c r="V3" i="93" s="1"/>
  <c r="T94" i="3"/>
  <c r="T3" i="93" s="1"/>
  <c r="S94" i="3"/>
  <c r="S3" i="93" s="1"/>
  <c r="Q94" i="3"/>
  <c r="Q3" i="93" s="1"/>
  <c r="P94" i="3"/>
  <c r="P3" i="93" s="1"/>
  <c r="F94" i="3"/>
  <c r="E94" i="3"/>
  <c r="Y93" i="3"/>
  <c r="X93" i="3"/>
  <c r="W93" i="3"/>
  <c r="V93" i="3"/>
  <c r="T93" i="3"/>
  <c r="S93" i="3"/>
  <c r="U93" i="3" s="1"/>
  <c r="Q93" i="3"/>
  <c r="P93" i="3"/>
  <c r="F93" i="3"/>
  <c r="E93" i="3"/>
  <c r="Y92" i="3"/>
  <c r="Y5" i="123" s="1"/>
  <c r="X92" i="3"/>
  <c r="X5" i="123" s="1"/>
  <c r="W92" i="3"/>
  <c r="W5" i="123" s="1"/>
  <c r="V92" i="3"/>
  <c r="V5" i="123" s="1"/>
  <c r="T92" i="3"/>
  <c r="T5" i="123" s="1"/>
  <c r="S92" i="3"/>
  <c r="S5" i="123" s="1"/>
  <c r="Q92" i="3"/>
  <c r="Q5" i="123" s="1"/>
  <c r="P92" i="3"/>
  <c r="P5" i="123" s="1"/>
  <c r="F92" i="3"/>
  <c r="E92" i="3"/>
  <c r="Y91" i="3"/>
  <c r="Y5" i="174" s="1"/>
  <c r="X91" i="3"/>
  <c r="X5" i="174" s="1"/>
  <c r="W91" i="3"/>
  <c r="W5" i="174" s="1"/>
  <c r="V91" i="3"/>
  <c r="V5" i="174" s="1"/>
  <c r="T91" i="3"/>
  <c r="T5" i="174" s="1"/>
  <c r="S91" i="3"/>
  <c r="S5" i="174" s="1"/>
  <c r="Q91" i="3"/>
  <c r="Q5" i="174" s="1"/>
  <c r="P91" i="3"/>
  <c r="P5" i="174" s="1"/>
  <c r="F91" i="3"/>
  <c r="E91" i="3"/>
  <c r="Y90" i="3"/>
  <c r="Y4" i="123" s="1"/>
  <c r="X90" i="3"/>
  <c r="X4" i="123" s="1"/>
  <c r="W90" i="3"/>
  <c r="W4" i="123" s="1"/>
  <c r="V90" i="3"/>
  <c r="V4" i="123" s="1"/>
  <c r="T90" i="3"/>
  <c r="T4" i="123" s="1"/>
  <c r="S90" i="3"/>
  <c r="S4" i="123" s="1"/>
  <c r="Q90" i="3"/>
  <c r="Q4" i="123" s="1"/>
  <c r="P90" i="3"/>
  <c r="P4" i="123" s="1"/>
  <c r="F90" i="3"/>
  <c r="E90" i="3"/>
  <c r="Y89" i="3"/>
  <c r="X89" i="3"/>
  <c r="W89" i="3"/>
  <c r="V89" i="3"/>
  <c r="T89" i="3"/>
  <c r="S89" i="3"/>
  <c r="Q89" i="3"/>
  <c r="P89" i="3"/>
  <c r="F89" i="3"/>
  <c r="E89" i="3"/>
  <c r="Y88" i="3"/>
  <c r="Y2" i="57" s="1"/>
  <c r="X88" i="3"/>
  <c r="X2" i="57" s="1"/>
  <c r="W88" i="3"/>
  <c r="W2" i="57" s="1"/>
  <c r="V88" i="3"/>
  <c r="V2" i="57" s="1"/>
  <c r="T88" i="3"/>
  <c r="T2" i="57" s="1"/>
  <c r="S88" i="3"/>
  <c r="S2" i="57" s="1"/>
  <c r="Q88" i="3"/>
  <c r="Q2" i="57" s="1"/>
  <c r="P88" i="3"/>
  <c r="P2" i="57" s="1"/>
  <c r="F88" i="3"/>
  <c r="E88" i="3"/>
  <c r="Y87" i="3"/>
  <c r="X87" i="3"/>
  <c r="W87" i="3"/>
  <c r="V87" i="3"/>
  <c r="T87" i="3"/>
  <c r="S87" i="3"/>
  <c r="Q87" i="3"/>
  <c r="P87" i="3"/>
  <c r="R87" i="3" s="1"/>
  <c r="F87" i="3"/>
  <c r="E87" i="3"/>
  <c r="Y86" i="3"/>
  <c r="Y3" i="121" s="1"/>
  <c r="X86" i="3"/>
  <c r="X3" i="121" s="1"/>
  <c r="W86" i="3"/>
  <c r="W3" i="121" s="1"/>
  <c r="V86" i="3"/>
  <c r="V3" i="121" s="1"/>
  <c r="T86" i="3"/>
  <c r="T3" i="121" s="1"/>
  <c r="S86" i="3"/>
  <c r="S3" i="121" s="1"/>
  <c r="Q86" i="3"/>
  <c r="Q3" i="121" s="1"/>
  <c r="P86" i="3"/>
  <c r="P3" i="121" s="1"/>
  <c r="F86" i="3"/>
  <c r="E86" i="3"/>
  <c r="Y85" i="3"/>
  <c r="X85" i="3"/>
  <c r="W85" i="3"/>
  <c r="V85" i="3"/>
  <c r="T85" i="3"/>
  <c r="S85" i="3"/>
  <c r="S2" i="31" s="1"/>
  <c r="Q85" i="3"/>
  <c r="P85" i="3"/>
  <c r="F85" i="3"/>
  <c r="E85" i="3"/>
  <c r="Y84" i="3"/>
  <c r="X84" i="3"/>
  <c r="W84" i="3"/>
  <c r="V84" i="3"/>
  <c r="T84" i="3"/>
  <c r="S84" i="3"/>
  <c r="U84" i="3" s="1"/>
  <c r="Q84" i="3"/>
  <c r="P84" i="3"/>
  <c r="R84" i="3" s="1"/>
  <c r="F84" i="3"/>
  <c r="E84" i="3"/>
  <c r="Y83" i="3"/>
  <c r="Y2" i="69" s="1"/>
  <c r="X83" i="3"/>
  <c r="X2" i="69" s="1"/>
  <c r="W83" i="3"/>
  <c r="W2" i="69" s="1"/>
  <c r="V83" i="3"/>
  <c r="V2" i="69" s="1"/>
  <c r="T83" i="3"/>
  <c r="T2" i="69" s="1"/>
  <c r="S83" i="3"/>
  <c r="S2" i="69" s="1"/>
  <c r="Q83" i="3"/>
  <c r="Q2" i="69" s="1"/>
  <c r="P83" i="3"/>
  <c r="P2" i="69" s="1"/>
  <c r="F83" i="3"/>
  <c r="E83" i="3"/>
  <c r="Y82" i="3"/>
  <c r="Y5" i="171" s="1"/>
  <c r="X82" i="3"/>
  <c r="X5" i="171" s="1"/>
  <c r="W82" i="3"/>
  <c r="W5" i="171" s="1"/>
  <c r="V82" i="3"/>
  <c r="V5" i="171" s="1"/>
  <c r="T82" i="3"/>
  <c r="T5" i="171" s="1"/>
  <c r="S82" i="3"/>
  <c r="S5" i="171" s="1"/>
  <c r="Q82" i="3"/>
  <c r="Q5" i="171" s="1"/>
  <c r="P82" i="3"/>
  <c r="P5" i="171" s="1"/>
  <c r="F82" i="3"/>
  <c r="E82" i="3"/>
  <c r="Y81" i="3"/>
  <c r="Y3" i="198" s="1"/>
  <c r="X81" i="3"/>
  <c r="X3" i="198" s="1"/>
  <c r="W81" i="3"/>
  <c r="W3" i="198" s="1"/>
  <c r="V81" i="3"/>
  <c r="V3" i="198" s="1"/>
  <c r="T81" i="3"/>
  <c r="T3" i="198" s="1"/>
  <c r="S81" i="3"/>
  <c r="S3" i="198" s="1"/>
  <c r="Q81" i="3"/>
  <c r="Q3" i="198" s="1"/>
  <c r="P81" i="3"/>
  <c r="P3" i="198" s="1"/>
  <c r="F81" i="3"/>
  <c r="E81" i="3"/>
  <c r="Y80" i="3"/>
  <c r="X80" i="3"/>
  <c r="W80" i="3"/>
  <c r="V80" i="3"/>
  <c r="T80" i="3"/>
  <c r="S80" i="3"/>
  <c r="Q80" i="3"/>
  <c r="P80" i="3"/>
  <c r="F80" i="3"/>
  <c r="E80" i="3"/>
  <c r="Y79" i="3"/>
  <c r="X79" i="3"/>
  <c r="W79" i="3"/>
  <c r="V79" i="3"/>
  <c r="T79" i="3"/>
  <c r="S79" i="3"/>
  <c r="Q79" i="3"/>
  <c r="P79" i="3"/>
  <c r="R79" i="3" s="1"/>
  <c r="F79" i="3"/>
  <c r="E79" i="3"/>
  <c r="Y78" i="3"/>
  <c r="Y4" i="109" s="1"/>
  <c r="X78" i="3"/>
  <c r="X4" i="109" s="1"/>
  <c r="W78" i="3"/>
  <c r="W4" i="109" s="1"/>
  <c r="V78" i="3"/>
  <c r="V4" i="109" s="1"/>
  <c r="T78" i="3"/>
  <c r="T4" i="109" s="1"/>
  <c r="S78" i="3"/>
  <c r="S4" i="109" s="1"/>
  <c r="Q78" i="3"/>
  <c r="Q4" i="109" s="1"/>
  <c r="P78" i="3"/>
  <c r="P4" i="109" s="1"/>
  <c r="F78" i="3"/>
  <c r="E78" i="3"/>
  <c r="Y77" i="3"/>
  <c r="X77" i="3"/>
  <c r="W77" i="3"/>
  <c r="V77" i="3"/>
  <c r="T77" i="3"/>
  <c r="S77" i="3"/>
  <c r="U77" i="3" s="1"/>
  <c r="Q77" i="3"/>
  <c r="P77" i="3"/>
  <c r="F77" i="3"/>
  <c r="E77" i="3"/>
  <c r="Y76" i="3"/>
  <c r="X76" i="3"/>
  <c r="W76" i="3"/>
  <c r="V76" i="3"/>
  <c r="T76" i="3"/>
  <c r="U76" i="3" s="1"/>
  <c r="S76" i="3"/>
  <c r="Q76" i="3"/>
  <c r="P76" i="3"/>
  <c r="F76" i="3"/>
  <c r="E76" i="3"/>
  <c r="Y75" i="3"/>
  <c r="Y7" i="173" s="1"/>
  <c r="X75" i="3"/>
  <c r="X7" i="173" s="1"/>
  <c r="W75" i="3"/>
  <c r="W7" i="173" s="1"/>
  <c r="V75" i="3"/>
  <c r="V7" i="173" s="1"/>
  <c r="T75" i="3"/>
  <c r="T7" i="173" s="1"/>
  <c r="S75" i="3"/>
  <c r="S7" i="173" s="1"/>
  <c r="Q75" i="3"/>
  <c r="Q7" i="173" s="1"/>
  <c r="P75" i="3"/>
  <c r="P7" i="173" s="1"/>
  <c r="F75" i="3"/>
  <c r="E75" i="3"/>
  <c r="Y74" i="3"/>
  <c r="Y7" i="167" s="1"/>
  <c r="X74" i="3"/>
  <c r="X7" i="167" s="1"/>
  <c r="W74" i="3"/>
  <c r="W7" i="167" s="1"/>
  <c r="V74" i="3"/>
  <c r="V7" i="167" s="1"/>
  <c r="T74" i="3"/>
  <c r="T7" i="167" s="1"/>
  <c r="S74" i="3"/>
  <c r="S7" i="167" s="1"/>
  <c r="Q74" i="3"/>
  <c r="Q7" i="167" s="1"/>
  <c r="P74" i="3"/>
  <c r="P7" i="167" s="1"/>
  <c r="F74" i="3"/>
  <c r="E74" i="3"/>
  <c r="Y73" i="3"/>
  <c r="Y6" i="167" s="1"/>
  <c r="X73" i="3"/>
  <c r="X6" i="167" s="1"/>
  <c r="W73" i="3"/>
  <c r="W6" i="167" s="1"/>
  <c r="V73" i="3"/>
  <c r="V6" i="167" s="1"/>
  <c r="T73" i="3"/>
  <c r="T6" i="167" s="1"/>
  <c r="S73" i="3"/>
  <c r="S6" i="167" s="1"/>
  <c r="Q73" i="3"/>
  <c r="Q6" i="167" s="1"/>
  <c r="P73" i="3"/>
  <c r="P6" i="167" s="1"/>
  <c r="F73" i="3"/>
  <c r="E73" i="3"/>
  <c r="Y72" i="3"/>
  <c r="Y3" i="138" s="1"/>
  <c r="X72" i="3"/>
  <c r="X3" i="138" s="1"/>
  <c r="W72" i="3"/>
  <c r="W3" i="138" s="1"/>
  <c r="V72" i="3"/>
  <c r="V3" i="138" s="1"/>
  <c r="T72" i="3"/>
  <c r="T3" i="138" s="1"/>
  <c r="S72" i="3"/>
  <c r="S3" i="138" s="1"/>
  <c r="Q72" i="3"/>
  <c r="Q3" i="138" s="1"/>
  <c r="P72" i="3"/>
  <c r="P3" i="138" s="1"/>
  <c r="F72" i="3"/>
  <c r="E72" i="3"/>
  <c r="Y71" i="3"/>
  <c r="X71" i="3"/>
  <c r="W71" i="3"/>
  <c r="V71" i="3"/>
  <c r="T71" i="3"/>
  <c r="S71" i="3"/>
  <c r="Q71" i="3"/>
  <c r="P71" i="3"/>
  <c r="R71" i="3" s="1"/>
  <c r="F71" i="3"/>
  <c r="E71" i="3"/>
  <c r="Y70" i="3"/>
  <c r="X70" i="3"/>
  <c r="W70" i="3"/>
  <c r="V70" i="3"/>
  <c r="T70" i="3"/>
  <c r="S70" i="3"/>
  <c r="Q70" i="3"/>
  <c r="P70" i="3"/>
  <c r="F70" i="3"/>
  <c r="E70" i="3"/>
  <c r="Y69" i="3"/>
  <c r="Y4" i="168" s="1"/>
  <c r="X69" i="3"/>
  <c r="X4" i="168" s="1"/>
  <c r="W69" i="3"/>
  <c r="W4" i="168" s="1"/>
  <c r="V69" i="3"/>
  <c r="V4" i="168" s="1"/>
  <c r="T69" i="3"/>
  <c r="T4" i="168" s="1"/>
  <c r="S69" i="3"/>
  <c r="S4" i="168" s="1"/>
  <c r="Q69" i="3"/>
  <c r="Q4" i="168" s="1"/>
  <c r="P69" i="3"/>
  <c r="P4" i="168" s="1"/>
  <c r="F69" i="3"/>
  <c r="E69" i="3"/>
  <c r="Y68" i="3"/>
  <c r="Y5" i="173" s="1"/>
  <c r="X68" i="3"/>
  <c r="X5" i="173" s="1"/>
  <c r="W68" i="3"/>
  <c r="W5" i="173" s="1"/>
  <c r="V68" i="3"/>
  <c r="V5" i="173" s="1"/>
  <c r="T68" i="3"/>
  <c r="T5" i="173" s="1"/>
  <c r="S68" i="3"/>
  <c r="S5" i="173" s="1"/>
  <c r="Q68" i="3"/>
  <c r="Q5" i="173" s="1"/>
  <c r="P68" i="3"/>
  <c r="P5" i="173" s="1"/>
  <c r="F68" i="3"/>
  <c r="E68" i="3"/>
  <c r="Y67" i="3"/>
  <c r="Y3" i="168" s="1"/>
  <c r="X67" i="3"/>
  <c r="X3" i="168" s="1"/>
  <c r="W67" i="3"/>
  <c r="W3" i="168" s="1"/>
  <c r="V67" i="3"/>
  <c r="V3" i="168" s="1"/>
  <c r="T67" i="3"/>
  <c r="T3" i="168" s="1"/>
  <c r="S67" i="3"/>
  <c r="S3" i="168" s="1"/>
  <c r="Q67" i="3"/>
  <c r="Q3" i="168" s="1"/>
  <c r="P67" i="3"/>
  <c r="P3" i="168" s="1"/>
  <c r="F67" i="3"/>
  <c r="E67" i="3"/>
  <c r="Y66" i="3"/>
  <c r="Y5" i="70" s="1"/>
  <c r="X66" i="3"/>
  <c r="X5" i="70" s="1"/>
  <c r="W66" i="3"/>
  <c r="W5" i="70" s="1"/>
  <c r="V66" i="3"/>
  <c r="V5" i="70" s="1"/>
  <c r="T66" i="3"/>
  <c r="T5" i="70" s="1"/>
  <c r="S66" i="3"/>
  <c r="S5" i="70" s="1"/>
  <c r="Q66" i="3"/>
  <c r="Q5" i="70" s="1"/>
  <c r="P66" i="3"/>
  <c r="P5" i="70" s="1"/>
  <c r="F66" i="3"/>
  <c r="E66" i="3"/>
  <c r="Y65" i="3"/>
  <c r="Y2" i="74" s="1"/>
  <c r="X65" i="3"/>
  <c r="X2" i="74" s="1"/>
  <c r="W65" i="3"/>
  <c r="W2" i="74" s="1"/>
  <c r="V65" i="3"/>
  <c r="V2" i="74" s="1"/>
  <c r="T65" i="3"/>
  <c r="T2" i="74" s="1"/>
  <c r="S65" i="3"/>
  <c r="S2" i="74" s="1"/>
  <c r="Q65" i="3"/>
  <c r="Q2" i="74" s="1"/>
  <c r="P65" i="3"/>
  <c r="P2" i="74" s="1"/>
  <c r="F65" i="3"/>
  <c r="E65" i="3"/>
  <c r="Y64" i="3"/>
  <c r="Y4" i="173" s="1"/>
  <c r="X64" i="3"/>
  <c r="X4" i="173" s="1"/>
  <c r="W64" i="3"/>
  <c r="W4" i="173" s="1"/>
  <c r="V64" i="3"/>
  <c r="V4" i="173" s="1"/>
  <c r="T64" i="3"/>
  <c r="T4" i="173" s="1"/>
  <c r="S64" i="3"/>
  <c r="S4" i="173" s="1"/>
  <c r="Q64" i="3"/>
  <c r="Q4" i="173" s="1"/>
  <c r="P64" i="3"/>
  <c r="P4" i="173" s="1"/>
  <c r="F64" i="3"/>
  <c r="E64" i="3"/>
  <c r="Y63" i="3"/>
  <c r="Y5" i="168" s="1"/>
  <c r="X63" i="3"/>
  <c r="X5" i="168" s="1"/>
  <c r="W63" i="3"/>
  <c r="W5" i="168" s="1"/>
  <c r="V63" i="3"/>
  <c r="V5" i="168" s="1"/>
  <c r="T63" i="3"/>
  <c r="T5" i="168" s="1"/>
  <c r="S63" i="3"/>
  <c r="S5" i="168" s="1"/>
  <c r="Q63" i="3"/>
  <c r="Q5" i="168" s="1"/>
  <c r="P63" i="3"/>
  <c r="P5" i="168" s="1"/>
  <c r="F63" i="3"/>
  <c r="E63" i="3"/>
  <c r="Y62" i="3"/>
  <c r="Y2" i="49" s="1"/>
  <c r="X62" i="3"/>
  <c r="X2" i="49" s="1"/>
  <c r="W62" i="3"/>
  <c r="W2" i="49" s="1"/>
  <c r="V62" i="3"/>
  <c r="V2" i="49" s="1"/>
  <c r="T62" i="3"/>
  <c r="T2" i="49" s="1"/>
  <c r="S62" i="3"/>
  <c r="S2" i="49" s="1"/>
  <c r="Q62" i="3"/>
  <c r="Q2" i="49" s="1"/>
  <c r="P62" i="3"/>
  <c r="P2" i="49" s="1"/>
  <c r="F62" i="3"/>
  <c r="E62" i="3"/>
  <c r="Y61" i="3"/>
  <c r="Y3" i="56" s="1"/>
  <c r="X61" i="3"/>
  <c r="X3" i="56" s="1"/>
  <c r="W61" i="3"/>
  <c r="W3" i="56" s="1"/>
  <c r="V61" i="3"/>
  <c r="V3" i="56" s="1"/>
  <c r="T61" i="3"/>
  <c r="T3" i="56" s="1"/>
  <c r="S61" i="3"/>
  <c r="S3" i="56" s="1"/>
  <c r="Q61" i="3"/>
  <c r="Q3" i="56" s="1"/>
  <c r="P61" i="3"/>
  <c r="P3" i="56" s="1"/>
  <c r="F61" i="3"/>
  <c r="E61" i="3"/>
  <c r="Y60" i="3"/>
  <c r="Y4" i="92" s="1"/>
  <c r="X60" i="3"/>
  <c r="X4" i="92" s="1"/>
  <c r="W60" i="3"/>
  <c r="W4" i="92" s="1"/>
  <c r="V60" i="3"/>
  <c r="V4" i="92" s="1"/>
  <c r="T60" i="3"/>
  <c r="T4" i="92" s="1"/>
  <c r="S60" i="3"/>
  <c r="S4" i="92" s="1"/>
  <c r="Q60" i="3"/>
  <c r="Q4" i="92" s="1"/>
  <c r="P60" i="3"/>
  <c r="P4" i="92" s="1"/>
  <c r="F60" i="3"/>
  <c r="E60" i="3"/>
  <c r="Y59" i="3"/>
  <c r="X59" i="3"/>
  <c r="W59" i="3"/>
  <c r="V59" i="3"/>
  <c r="T59" i="3"/>
  <c r="S59" i="3"/>
  <c r="Q59" i="3"/>
  <c r="P59" i="3"/>
  <c r="F59" i="3"/>
  <c r="E59" i="3"/>
  <c r="Y58" i="3"/>
  <c r="Y2" i="84" s="1"/>
  <c r="X58" i="3"/>
  <c r="X2" i="84" s="1"/>
  <c r="W58" i="3"/>
  <c r="W2" i="84" s="1"/>
  <c r="V58" i="3"/>
  <c r="V2" i="84" s="1"/>
  <c r="T58" i="3"/>
  <c r="T2" i="84" s="1"/>
  <c r="S58" i="3"/>
  <c r="S2" i="84" s="1"/>
  <c r="Q58" i="3"/>
  <c r="Q2" i="84" s="1"/>
  <c r="P58" i="3"/>
  <c r="P2" i="84" s="1"/>
  <c r="F58" i="3"/>
  <c r="E58" i="3"/>
  <c r="Y57" i="3"/>
  <c r="Y6" i="173" s="1"/>
  <c r="X57" i="3"/>
  <c r="X6" i="173" s="1"/>
  <c r="W57" i="3"/>
  <c r="W6" i="173" s="1"/>
  <c r="V57" i="3"/>
  <c r="V6" i="173" s="1"/>
  <c r="T57" i="3"/>
  <c r="T6" i="173" s="1"/>
  <c r="S57" i="3"/>
  <c r="S6" i="173" s="1"/>
  <c r="Q57" i="3"/>
  <c r="Q6" i="173" s="1"/>
  <c r="P57" i="3"/>
  <c r="P6" i="173" s="1"/>
  <c r="F57" i="3"/>
  <c r="E57" i="3"/>
  <c r="Y56" i="3"/>
  <c r="Y2" i="184" s="1"/>
  <c r="X56" i="3"/>
  <c r="X2" i="184" s="1"/>
  <c r="W56" i="3"/>
  <c r="W2" i="184" s="1"/>
  <c r="V56" i="3"/>
  <c r="V2" i="184" s="1"/>
  <c r="T56" i="3"/>
  <c r="T2" i="184" s="1"/>
  <c r="S56" i="3"/>
  <c r="S2" i="184" s="1"/>
  <c r="Q56" i="3"/>
  <c r="Q2" i="184" s="1"/>
  <c r="P56" i="3"/>
  <c r="P2" i="184" s="1"/>
  <c r="F56" i="3"/>
  <c r="E56" i="3"/>
  <c r="Y55" i="3"/>
  <c r="X55" i="3"/>
  <c r="W55" i="3"/>
  <c r="V55" i="3"/>
  <c r="T55" i="3"/>
  <c r="S55" i="3"/>
  <c r="Q55" i="3"/>
  <c r="P55" i="3"/>
  <c r="F55" i="3"/>
  <c r="E55" i="3"/>
  <c r="Y54" i="3"/>
  <c r="Y2" i="110" s="1"/>
  <c r="X54" i="3"/>
  <c r="X2" i="110" s="1"/>
  <c r="W54" i="3"/>
  <c r="W2" i="110" s="1"/>
  <c r="V54" i="3"/>
  <c r="V2" i="110" s="1"/>
  <c r="T54" i="3"/>
  <c r="T2" i="110" s="1"/>
  <c r="S54" i="3"/>
  <c r="S2" i="110" s="1"/>
  <c r="Q54" i="3"/>
  <c r="Q2" i="110" s="1"/>
  <c r="P54" i="3"/>
  <c r="P2" i="110" s="1"/>
  <c r="F54" i="3"/>
  <c r="E54" i="3"/>
  <c r="Y53" i="3"/>
  <c r="Y3" i="173" s="1"/>
  <c r="X53" i="3"/>
  <c r="X3" i="173" s="1"/>
  <c r="W53" i="3"/>
  <c r="W3" i="173" s="1"/>
  <c r="V53" i="3"/>
  <c r="V3" i="173" s="1"/>
  <c r="T53" i="3"/>
  <c r="T3" i="173" s="1"/>
  <c r="S53" i="3"/>
  <c r="S3" i="173" s="1"/>
  <c r="Q53" i="3"/>
  <c r="Q3" i="173" s="1"/>
  <c r="P53" i="3"/>
  <c r="P3" i="173" s="1"/>
  <c r="F53" i="3"/>
  <c r="E53" i="3"/>
  <c r="Y52" i="3"/>
  <c r="X52" i="3"/>
  <c r="W52" i="3"/>
  <c r="V52" i="3"/>
  <c r="T52" i="3"/>
  <c r="S52" i="3"/>
  <c r="Q52" i="3"/>
  <c r="P52" i="3"/>
  <c r="R52" i="3" s="1"/>
  <c r="F52" i="3"/>
  <c r="E52" i="3"/>
  <c r="Y51" i="3"/>
  <c r="Y4" i="70" s="1"/>
  <c r="X51" i="3"/>
  <c r="X4" i="70" s="1"/>
  <c r="W51" i="3"/>
  <c r="W4" i="70" s="1"/>
  <c r="V51" i="3"/>
  <c r="V4" i="70" s="1"/>
  <c r="T51" i="3"/>
  <c r="T4" i="70" s="1"/>
  <c r="S51" i="3"/>
  <c r="S4" i="70" s="1"/>
  <c r="Q51" i="3"/>
  <c r="Q4" i="70" s="1"/>
  <c r="P51" i="3"/>
  <c r="P4" i="70" s="1"/>
  <c r="F51" i="3"/>
  <c r="E51" i="3"/>
  <c r="Y50" i="3"/>
  <c r="X50" i="3"/>
  <c r="W50" i="3"/>
  <c r="V50" i="3"/>
  <c r="T50" i="3"/>
  <c r="S50" i="3"/>
  <c r="Q50" i="3"/>
  <c r="P50" i="3"/>
  <c r="F50" i="3"/>
  <c r="E50" i="3"/>
  <c r="Y49" i="3"/>
  <c r="Y4" i="174" s="1"/>
  <c r="X49" i="3"/>
  <c r="X4" i="174" s="1"/>
  <c r="W49" i="3"/>
  <c r="W4" i="174" s="1"/>
  <c r="V49" i="3"/>
  <c r="V4" i="174" s="1"/>
  <c r="T49" i="3"/>
  <c r="T4" i="174" s="1"/>
  <c r="S49" i="3"/>
  <c r="S4" i="174" s="1"/>
  <c r="Q49" i="3"/>
  <c r="Q4" i="174" s="1"/>
  <c r="P49" i="3"/>
  <c r="P4" i="174" s="1"/>
  <c r="F49" i="3"/>
  <c r="E49" i="3"/>
  <c r="Y48" i="3"/>
  <c r="Y3" i="193" s="1"/>
  <c r="X48" i="3"/>
  <c r="X3" i="193" s="1"/>
  <c r="W48" i="3"/>
  <c r="W3" i="193" s="1"/>
  <c r="V48" i="3"/>
  <c r="V3" i="193" s="1"/>
  <c r="T48" i="3"/>
  <c r="T3" i="193" s="1"/>
  <c r="S48" i="3"/>
  <c r="S3" i="193" s="1"/>
  <c r="Q48" i="3"/>
  <c r="Q3" i="193" s="1"/>
  <c r="P48" i="3"/>
  <c r="P3" i="193" s="1"/>
  <c r="F48" i="3"/>
  <c r="E48" i="3"/>
  <c r="Y47" i="3"/>
  <c r="Y2" i="168" s="1"/>
  <c r="X47" i="3"/>
  <c r="X2" i="168" s="1"/>
  <c r="W47" i="3"/>
  <c r="W2" i="168" s="1"/>
  <c r="V47" i="3"/>
  <c r="V2" i="168" s="1"/>
  <c r="T47" i="3"/>
  <c r="T2" i="168" s="1"/>
  <c r="S47" i="3"/>
  <c r="S2" i="168" s="1"/>
  <c r="Q47" i="3"/>
  <c r="Q2" i="168" s="1"/>
  <c r="P47" i="3"/>
  <c r="P2" i="168" s="1"/>
  <c r="F47" i="3"/>
  <c r="E47" i="3"/>
  <c r="Y46" i="3"/>
  <c r="Y3" i="103" s="1"/>
  <c r="X46" i="3"/>
  <c r="X3" i="103" s="1"/>
  <c r="W46" i="3"/>
  <c r="W3" i="103" s="1"/>
  <c r="V46" i="3"/>
  <c r="V3" i="103" s="1"/>
  <c r="T46" i="3"/>
  <c r="T3" i="103" s="1"/>
  <c r="S46" i="3"/>
  <c r="S3" i="103" s="1"/>
  <c r="Q46" i="3"/>
  <c r="Q3" i="103" s="1"/>
  <c r="P46" i="3"/>
  <c r="P3" i="103" s="1"/>
  <c r="F46" i="3"/>
  <c r="E46" i="3"/>
  <c r="Y45" i="3"/>
  <c r="Y5" i="167" s="1"/>
  <c r="X45" i="3"/>
  <c r="X5" i="167" s="1"/>
  <c r="W45" i="3"/>
  <c r="W5" i="167" s="1"/>
  <c r="V45" i="3"/>
  <c r="V5" i="167" s="1"/>
  <c r="T45" i="3"/>
  <c r="T5" i="167" s="1"/>
  <c r="S45" i="3"/>
  <c r="S5" i="167" s="1"/>
  <c r="Q45" i="3"/>
  <c r="Q5" i="167" s="1"/>
  <c r="P45" i="3"/>
  <c r="P5" i="167" s="1"/>
  <c r="F45" i="3"/>
  <c r="E45" i="3"/>
  <c r="Y44" i="3"/>
  <c r="Y2" i="180" s="1"/>
  <c r="X44" i="3"/>
  <c r="X2" i="180" s="1"/>
  <c r="W44" i="3"/>
  <c r="W2" i="180" s="1"/>
  <c r="V44" i="3"/>
  <c r="V2" i="180" s="1"/>
  <c r="T44" i="3"/>
  <c r="T2" i="180" s="1"/>
  <c r="S44" i="3"/>
  <c r="S2" i="180" s="1"/>
  <c r="Q44" i="3"/>
  <c r="Q2" i="180" s="1"/>
  <c r="P44" i="3"/>
  <c r="P2" i="180" s="1"/>
  <c r="F44" i="3"/>
  <c r="E44" i="3"/>
  <c r="Y43" i="3"/>
  <c r="Y3" i="174" s="1"/>
  <c r="X43" i="3"/>
  <c r="X3" i="174" s="1"/>
  <c r="W43" i="3"/>
  <c r="W3" i="174" s="1"/>
  <c r="V43" i="3"/>
  <c r="V3" i="174" s="1"/>
  <c r="T43" i="3"/>
  <c r="T3" i="174" s="1"/>
  <c r="S43" i="3"/>
  <c r="S3" i="174" s="1"/>
  <c r="Q43" i="3"/>
  <c r="Q3" i="174" s="1"/>
  <c r="P43" i="3"/>
  <c r="P3" i="174" s="1"/>
  <c r="F43" i="3"/>
  <c r="E43" i="3"/>
  <c r="Y42" i="3"/>
  <c r="X42" i="3"/>
  <c r="W42" i="3"/>
  <c r="V42" i="3"/>
  <c r="T42" i="3"/>
  <c r="S42" i="3"/>
  <c r="Q42" i="3"/>
  <c r="P42" i="3"/>
  <c r="F42" i="3"/>
  <c r="E42" i="3"/>
  <c r="Y41" i="3"/>
  <c r="X41" i="3"/>
  <c r="W41" i="3"/>
  <c r="V41" i="3"/>
  <c r="T41" i="3"/>
  <c r="S41" i="3"/>
  <c r="Q41" i="3"/>
  <c r="P41" i="3"/>
  <c r="F41" i="3"/>
  <c r="E41" i="3"/>
  <c r="Y40" i="3"/>
  <c r="X40" i="3"/>
  <c r="W40" i="3"/>
  <c r="V40" i="3"/>
  <c r="T40" i="3"/>
  <c r="S40" i="3"/>
  <c r="Q40" i="3"/>
  <c r="P40" i="3"/>
  <c r="F40" i="3"/>
  <c r="E40" i="3"/>
  <c r="Y39" i="3"/>
  <c r="X39" i="3"/>
  <c r="W39" i="3"/>
  <c r="V39" i="3"/>
  <c r="T39" i="3"/>
  <c r="S39" i="3"/>
  <c r="Q39" i="3"/>
  <c r="P39" i="3"/>
  <c r="F39" i="3"/>
  <c r="E39" i="3"/>
  <c r="Y38" i="3"/>
  <c r="Y3" i="50" s="1"/>
  <c r="X38" i="3"/>
  <c r="X3" i="50" s="1"/>
  <c r="W38" i="3"/>
  <c r="W3" i="50" s="1"/>
  <c r="V38" i="3"/>
  <c r="V3" i="50" s="1"/>
  <c r="T38" i="3"/>
  <c r="T3" i="50" s="1"/>
  <c r="S38" i="3"/>
  <c r="S3" i="50" s="1"/>
  <c r="Q38" i="3"/>
  <c r="Q3" i="50" s="1"/>
  <c r="P38" i="3"/>
  <c r="P3" i="50" s="1"/>
  <c r="F38" i="3"/>
  <c r="E38" i="3"/>
  <c r="Y37" i="3"/>
  <c r="Y2" i="17" s="1"/>
  <c r="X37" i="3"/>
  <c r="X2" i="17" s="1"/>
  <c r="W37" i="3"/>
  <c r="W2" i="17" s="1"/>
  <c r="V37" i="3"/>
  <c r="V2" i="17" s="1"/>
  <c r="T37" i="3"/>
  <c r="T2" i="17" s="1"/>
  <c r="S37" i="3"/>
  <c r="S2" i="17" s="1"/>
  <c r="Q37" i="3"/>
  <c r="Q2" i="17" s="1"/>
  <c r="P37" i="3"/>
  <c r="P2" i="17" s="1"/>
  <c r="F37" i="3"/>
  <c r="E37" i="3"/>
  <c r="Y36" i="3"/>
  <c r="Y2" i="197" s="1"/>
  <c r="X36" i="3"/>
  <c r="X2" i="197" s="1"/>
  <c r="W36" i="3"/>
  <c r="W2" i="197" s="1"/>
  <c r="V36" i="3"/>
  <c r="V2" i="197" s="1"/>
  <c r="T36" i="3"/>
  <c r="T2" i="197" s="1"/>
  <c r="S36" i="3"/>
  <c r="S2" i="197" s="1"/>
  <c r="Q36" i="3"/>
  <c r="Q2" i="197" s="1"/>
  <c r="P36" i="3"/>
  <c r="P2" i="197" s="1"/>
  <c r="F36" i="3"/>
  <c r="E36" i="3"/>
  <c r="Y35" i="3"/>
  <c r="Y3" i="109" s="1"/>
  <c r="X35" i="3"/>
  <c r="X3" i="109" s="1"/>
  <c r="W35" i="3"/>
  <c r="W3" i="109" s="1"/>
  <c r="V35" i="3"/>
  <c r="V3" i="109" s="1"/>
  <c r="T35" i="3"/>
  <c r="T3" i="109" s="1"/>
  <c r="S35" i="3"/>
  <c r="S3" i="109" s="1"/>
  <c r="Q35" i="3"/>
  <c r="Q3" i="109" s="1"/>
  <c r="P35" i="3"/>
  <c r="P3" i="109" s="1"/>
  <c r="F35" i="3"/>
  <c r="E35" i="3"/>
  <c r="Y34" i="3"/>
  <c r="X34" i="3"/>
  <c r="W34" i="3"/>
  <c r="V34" i="3"/>
  <c r="T34" i="3"/>
  <c r="S34" i="3"/>
  <c r="Q34" i="3"/>
  <c r="P34" i="3"/>
  <c r="F34" i="3"/>
  <c r="E34" i="3"/>
  <c r="Y33" i="3"/>
  <c r="Y2" i="26" s="1"/>
  <c r="X33" i="3"/>
  <c r="X2" i="26" s="1"/>
  <c r="W33" i="3"/>
  <c r="W2" i="26" s="1"/>
  <c r="V33" i="3"/>
  <c r="V2" i="26" s="1"/>
  <c r="T33" i="3"/>
  <c r="T2" i="26" s="1"/>
  <c r="S33" i="3"/>
  <c r="S2" i="26" s="1"/>
  <c r="Q33" i="3"/>
  <c r="Q2" i="26" s="1"/>
  <c r="P33" i="3"/>
  <c r="P2" i="26" s="1"/>
  <c r="F33" i="3"/>
  <c r="E33" i="3"/>
  <c r="Y32" i="3"/>
  <c r="Y2" i="152" s="1"/>
  <c r="X32" i="3"/>
  <c r="X2" i="152" s="1"/>
  <c r="W32" i="3"/>
  <c r="W2" i="152" s="1"/>
  <c r="V32" i="3"/>
  <c r="V2" i="152" s="1"/>
  <c r="T32" i="3"/>
  <c r="T2" i="152" s="1"/>
  <c r="S32" i="3"/>
  <c r="S2" i="152" s="1"/>
  <c r="Q32" i="3"/>
  <c r="Q2" i="152" s="1"/>
  <c r="P32" i="3"/>
  <c r="P2" i="152" s="1"/>
  <c r="F32" i="3"/>
  <c r="E32" i="3"/>
  <c r="Y31" i="3"/>
  <c r="X31" i="3"/>
  <c r="W31" i="3"/>
  <c r="V31" i="3"/>
  <c r="T31" i="3"/>
  <c r="S31" i="3"/>
  <c r="Q31" i="3"/>
  <c r="P31" i="3"/>
  <c r="F31" i="3"/>
  <c r="E31" i="3"/>
  <c r="Y30" i="3"/>
  <c r="X30" i="3"/>
  <c r="W30" i="3"/>
  <c r="V30" i="3"/>
  <c r="T30" i="3"/>
  <c r="S30" i="3"/>
  <c r="Q30" i="3"/>
  <c r="P30" i="3"/>
  <c r="F30" i="3"/>
  <c r="E30" i="3"/>
  <c r="Y29" i="3"/>
  <c r="Y2" i="109" s="1"/>
  <c r="X29" i="3"/>
  <c r="X2" i="109" s="1"/>
  <c r="W29" i="3"/>
  <c r="W2" i="109" s="1"/>
  <c r="V29" i="3"/>
  <c r="V2" i="109" s="1"/>
  <c r="T29" i="3"/>
  <c r="T2" i="109" s="1"/>
  <c r="S29" i="3"/>
  <c r="S2" i="109" s="1"/>
  <c r="Q29" i="3"/>
  <c r="Q2" i="109" s="1"/>
  <c r="P29" i="3"/>
  <c r="P2" i="109" s="1"/>
  <c r="F29" i="3"/>
  <c r="E29" i="3"/>
  <c r="Y28" i="3"/>
  <c r="Y2" i="121" s="1"/>
  <c r="X28" i="3"/>
  <c r="X2" i="121" s="1"/>
  <c r="W28" i="3"/>
  <c r="W2" i="121" s="1"/>
  <c r="V28" i="3"/>
  <c r="V2" i="121" s="1"/>
  <c r="T28" i="3"/>
  <c r="T2" i="121" s="1"/>
  <c r="S28" i="3"/>
  <c r="S2" i="121" s="1"/>
  <c r="Q28" i="3"/>
  <c r="Q2" i="121" s="1"/>
  <c r="P28" i="3"/>
  <c r="P2" i="121" s="1"/>
  <c r="F28" i="3"/>
  <c r="E28" i="3"/>
  <c r="Y27" i="3"/>
  <c r="X27" i="3"/>
  <c r="W27" i="3"/>
  <c r="V27" i="3"/>
  <c r="T27" i="3"/>
  <c r="S27" i="3"/>
  <c r="Q27" i="3"/>
  <c r="P27" i="3"/>
  <c r="F27" i="3"/>
  <c r="E27" i="3"/>
  <c r="Y26" i="3"/>
  <c r="X26" i="3"/>
  <c r="W26" i="3"/>
  <c r="V26" i="3"/>
  <c r="T26" i="3"/>
  <c r="S26" i="3"/>
  <c r="Q26" i="3"/>
  <c r="P26" i="3"/>
  <c r="F26" i="3"/>
  <c r="E26" i="3"/>
  <c r="Y25" i="3"/>
  <c r="Y2" i="88" s="1"/>
  <c r="X25" i="3"/>
  <c r="X2" i="88" s="1"/>
  <c r="W25" i="3"/>
  <c r="W2" i="88" s="1"/>
  <c r="V25" i="3"/>
  <c r="V2" i="88" s="1"/>
  <c r="T25" i="3"/>
  <c r="T2" i="88" s="1"/>
  <c r="S25" i="3"/>
  <c r="S2" i="88" s="1"/>
  <c r="Q25" i="3"/>
  <c r="Q2" i="88" s="1"/>
  <c r="P25" i="3"/>
  <c r="P2" i="88" s="1"/>
  <c r="F25" i="3"/>
  <c r="E25" i="3"/>
  <c r="Y24" i="3"/>
  <c r="X24" i="3"/>
  <c r="W24" i="3"/>
  <c r="V24" i="3"/>
  <c r="T24" i="3"/>
  <c r="S24" i="3"/>
  <c r="Q24" i="3"/>
  <c r="P24" i="3"/>
  <c r="F24" i="3"/>
  <c r="E24" i="3"/>
  <c r="Y23" i="3"/>
  <c r="X23" i="3"/>
  <c r="W23" i="3"/>
  <c r="V23" i="3"/>
  <c r="T23" i="3"/>
  <c r="S23" i="3"/>
  <c r="Q23" i="3"/>
  <c r="P23" i="3"/>
  <c r="F23" i="3"/>
  <c r="E23" i="3"/>
  <c r="Y22" i="3"/>
  <c r="X22" i="3"/>
  <c r="W22" i="3"/>
  <c r="V22" i="3"/>
  <c r="T22" i="3"/>
  <c r="S22" i="3"/>
  <c r="Q22" i="3"/>
  <c r="P22" i="3"/>
  <c r="F22" i="3"/>
  <c r="E22" i="3"/>
  <c r="Y21" i="3"/>
  <c r="Y4" i="167" s="1"/>
  <c r="X21" i="3"/>
  <c r="X4" i="167" s="1"/>
  <c r="W21" i="3"/>
  <c r="W4" i="167" s="1"/>
  <c r="V21" i="3"/>
  <c r="V4" i="167" s="1"/>
  <c r="T21" i="3"/>
  <c r="T4" i="167" s="1"/>
  <c r="S21" i="3"/>
  <c r="S4" i="167" s="1"/>
  <c r="Q21" i="3"/>
  <c r="Q4" i="167" s="1"/>
  <c r="P21" i="3"/>
  <c r="P4" i="167" s="1"/>
  <c r="F21" i="3"/>
  <c r="E21" i="3"/>
  <c r="Y20" i="3"/>
  <c r="X20" i="3"/>
  <c r="W20" i="3"/>
  <c r="V20" i="3"/>
  <c r="T20" i="3"/>
  <c r="S20" i="3"/>
  <c r="Q20" i="3"/>
  <c r="P20" i="3"/>
  <c r="R20" i="3" s="1"/>
  <c r="F20" i="3"/>
  <c r="E20" i="3"/>
  <c r="Y19" i="3"/>
  <c r="Y3" i="153" s="1"/>
  <c r="X19" i="3"/>
  <c r="X3" i="153" s="1"/>
  <c r="W19" i="3"/>
  <c r="W3" i="153" s="1"/>
  <c r="V19" i="3"/>
  <c r="V3" i="153" s="1"/>
  <c r="T19" i="3"/>
  <c r="T3" i="153" s="1"/>
  <c r="S19" i="3"/>
  <c r="S3" i="153" s="1"/>
  <c r="Q19" i="3"/>
  <c r="Q3" i="153" s="1"/>
  <c r="P19" i="3"/>
  <c r="P3" i="153" s="1"/>
  <c r="F19" i="3"/>
  <c r="E19" i="3"/>
  <c r="Y18" i="3"/>
  <c r="X18" i="3"/>
  <c r="W18" i="3"/>
  <c r="V18" i="3"/>
  <c r="T18" i="3"/>
  <c r="S18" i="3"/>
  <c r="Q18" i="3"/>
  <c r="P18" i="3"/>
  <c r="F18" i="3"/>
  <c r="E18" i="3"/>
  <c r="Y17" i="3"/>
  <c r="Y2" i="92" s="1"/>
  <c r="X17" i="3"/>
  <c r="X2" i="92" s="1"/>
  <c r="W17" i="3"/>
  <c r="W2" i="92" s="1"/>
  <c r="V17" i="3"/>
  <c r="V2" i="92" s="1"/>
  <c r="T17" i="3"/>
  <c r="T2" i="92" s="1"/>
  <c r="S17" i="3"/>
  <c r="S2" i="92" s="1"/>
  <c r="Q17" i="3"/>
  <c r="Q2" i="92" s="1"/>
  <c r="P17" i="3"/>
  <c r="P2" i="92" s="1"/>
  <c r="F17" i="3"/>
  <c r="E17" i="3"/>
  <c r="Y16" i="3"/>
  <c r="Y4" i="171" s="1"/>
  <c r="X16" i="3"/>
  <c r="X4" i="171" s="1"/>
  <c r="W16" i="3"/>
  <c r="W4" i="171" s="1"/>
  <c r="V16" i="3"/>
  <c r="V4" i="171" s="1"/>
  <c r="T16" i="3"/>
  <c r="T4" i="171" s="1"/>
  <c r="S16" i="3"/>
  <c r="S4" i="171" s="1"/>
  <c r="Q16" i="3"/>
  <c r="Q4" i="171" s="1"/>
  <c r="P16" i="3"/>
  <c r="P4" i="171" s="1"/>
  <c r="F16" i="3"/>
  <c r="E16" i="3"/>
  <c r="Y15" i="3"/>
  <c r="X15" i="3"/>
  <c r="W15" i="3"/>
  <c r="V15" i="3"/>
  <c r="T15" i="3"/>
  <c r="S15" i="3"/>
  <c r="Q15" i="3"/>
  <c r="P15" i="3"/>
  <c r="R15" i="3" s="1"/>
  <c r="F15" i="3"/>
  <c r="E15" i="3"/>
  <c r="Y14" i="3"/>
  <c r="Y2" i="103" s="1"/>
  <c r="X14" i="3"/>
  <c r="X2" i="103" s="1"/>
  <c r="W14" i="3"/>
  <c r="W2" i="103" s="1"/>
  <c r="V14" i="3"/>
  <c r="V2" i="103" s="1"/>
  <c r="T14" i="3"/>
  <c r="T2" i="103" s="1"/>
  <c r="S14" i="3"/>
  <c r="S2" i="103" s="1"/>
  <c r="Q14" i="3"/>
  <c r="Q2" i="103" s="1"/>
  <c r="P14" i="3"/>
  <c r="P2" i="103" s="1"/>
  <c r="F14" i="3"/>
  <c r="E14" i="3"/>
  <c r="Y13" i="3"/>
  <c r="Y3" i="167" s="1"/>
  <c r="X13" i="3"/>
  <c r="X3" i="167" s="1"/>
  <c r="W13" i="3"/>
  <c r="W3" i="167" s="1"/>
  <c r="V13" i="3"/>
  <c r="V3" i="167" s="1"/>
  <c r="T13" i="3"/>
  <c r="T3" i="167" s="1"/>
  <c r="S13" i="3"/>
  <c r="S3" i="167" s="1"/>
  <c r="Q13" i="3"/>
  <c r="Q3" i="167" s="1"/>
  <c r="P13" i="3"/>
  <c r="P3" i="167" s="1"/>
  <c r="F13" i="3"/>
  <c r="E13" i="3"/>
  <c r="Y12" i="3"/>
  <c r="X12" i="3"/>
  <c r="W12" i="3"/>
  <c r="V12" i="3"/>
  <c r="T12" i="3"/>
  <c r="S12" i="3"/>
  <c r="Q12" i="3"/>
  <c r="P12" i="3"/>
  <c r="R12" i="3" s="1"/>
  <c r="F12" i="3"/>
  <c r="E12" i="3"/>
  <c r="Y11" i="3"/>
  <c r="X11" i="3"/>
  <c r="W11" i="3"/>
  <c r="V11" i="3"/>
  <c r="T11" i="3"/>
  <c r="S11" i="3"/>
  <c r="Q11" i="3"/>
  <c r="P11" i="3"/>
  <c r="F11" i="3"/>
  <c r="E11" i="3"/>
  <c r="Y10" i="3"/>
  <c r="X10" i="3"/>
  <c r="W10" i="3"/>
  <c r="V10" i="3"/>
  <c r="T10" i="3"/>
  <c r="S10" i="3"/>
  <c r="Q10" i="3"/>
  <c r="P10" i="3"/>
  <c r="F10" i="3"/>
  <c r="E10" i="3"/>
  <c r="Y9" i="3"/>
  <c r="X9" i="3"/>
  <c r="W9" i="3"/>
  <c r="V9" i="3"/>
  <c r="T9" i="3"/>
  <c r="S9" i="3"/>
  <c r="Q9" i="3"/>
  <c r="R9" i="3" s="1"/>
  <c r="P9" i="3"/>
  <c r="F9" i="3"/>
  <c r="E9" i="3"/>
  <c r="Y8" i="3"/>
  <c r="X8" i="3"/>
  <c r="W8" i="3"/>
  <c r="V8" i="3"/>
  <c r="T8" i="3"/>
  <c r="S8" i="3"/>
  <c r="Q8" i="3"/>
  <c r="P8" i="3"/>
  <c r="F8" i="3"/>
  <c r="E8" i="3"/>
  <c r="Y7" i="3"/>
  <c r="Y2" i="171" s="1"/>
  <c r="X7" i="3"/>
  <c r="X2" i="171" s="1"/>
  <c r="W7" i="3"/>
  <c r="W2" i="171" s="1"/>
  <c r="V7" i="3"/>
  <c r="V2" i="171" s="1"/>
  <c r="T7" i="3"/>
  <c r="T2" i="171" s="1"/>
  <c r="S7" i="3"/>
  <c r="S2" i="171" s="1"/>
  <c r="Q7" i="3"/>
  <c r="Q2" i="171" s="1"/>
  <c r="P7" i="3"/>
  <c r="P2" i="171" s="1"/>
  <c r="F7" i="3"/>
  <c r="E7" i="3"/>
  <c r="Y6" i="3"/>
  <c r="X6" i="3"/>
  <c r="W6" i="3"/>
  <c r="V6" i="3"/>
  <c r="T6" i="3"/>
  <c r="S6" i="3"/>
  <c r="Q6" i="3"/>
  <c r="P6" i="3"/>
  <c r="F6" i="3"/>
  <c r="E6" i="3"/>
  <c r="Y5" i="3"/>
  <c r="X5" i="3"/>
  <c r="W5" i="3"/>
  <c r="V5" i="3"/>
  <c r="T5" i="3"/>
  <c r="S5" i="3"/>
  <c r="Q5" i="3"/>
  <c r="P5" i="3"/>
  <c r="F5" i="3"/>
  <c r="E5" i="3"/>
  <c r="H3" i="3"/>
  <c r="T2" i="3"/>
  <c r="O2" i="3"/>
  <c r="N2" i="3"/>
  <c r="Y2" i="3" s="1"/>
  <c r="M2" i="3"/>
  <c r="L2" i="3"/>
  <c r="X2" i="3" s="1"/>
  <c r="K2" i="3"/>
  <c r="J2" i="3"/>
  <c r="I2" i="3"/>
  <c r="H2" i="3"/>
  <c r="V2" i="3" s="1"/>
  <c r="H12" i="1" s="1"/>
  <c r="G25" i="1"/>
  <c r="F25" i="1"/>
  <c r="E25" i="1"/>
  <c r="D25" i="1"/>
  <c r="C25" i="1"/>
  <c r="F24" i="1"/>
  <c r="T7" i="1"/>
  <c r="P7" i="1"/>
  <c r="P8" i="1" s="1"/>
  <c r="Q8" i="1" s="1"/>
  <c r="T6" i="1"/>
  <c r="P3" i="1"/>
  <c r="P4" i="1" s="1"/>
  <c r="Q4" i="1" s="1"/>
  <c r="U125" i="3" l="1"/>
  <c r="U2" i="185" s="1"/>
  <c r="U296" i="3"/>
  <c r="U6" i="128" s="1"/>
  <c r="R76" i="3"/>
  <c r="U61" i="3"/>
  <c r="U3" i="56" s="1"/>
  <c r="U80" i="3"/>
  <c r="U116" i="3"/>
  <c r="U9" i="92" s="1"/>
  <c r="R143" i="3"/>
  <c r="R147" i="3"/>
  <c r="R171" i="3"/>
  <c r="R13" i="92" s="1"/>
  <c r="R178" i="3"/>
  <c r="R14" i="92" s="1"/>
  <c r="U216" i="3"/>
  <c r="U9" i="167" s="1"/>
  <c r="U233" i="3"/>
  <c r="U2" i="192" s="1"/>
  <c r="U250" i="3"/>
  <c r="U260" i="3"/>
  <c r="U2" i="102" s="1"/>
  <c r="U282" i="3"/>
  <c r="U6" i="174" s="1"/>
  <c r="U286" i="3"/>
  <c r="U2" i="32" s="1"/>
  <c r="U297" i="3"/>
  <c r="U5" i="101" s="1"/>
  <c r="U300" i="3"/>
  <c r="U2" i="191" s="1"/>
  <c r="U320" i="3"/>
  <c r="U5" i="112" s="1"/>
  <c r="U338" i="3"/>
  <c r="U2" i="100" s="1"/>
  <c r="U360" i="3"/>
  <c r="U9" i="56" s="1"/>
  <c r="R371" i="3"/>
  <c r="R387" i="3"/>
  <c r="R6" i="113" s="1"/>
  <c r="R393" i="3"/>
  <c r="R6" i="119" s="1"/>
  <c r="U402" i="3"/>
  <c r="U13" i="123" s="1"/>
  <c r="U425" i="3"/>
  <c r="U10" i="196" s="1"/>
  <c r="R443" i="3"/>
  <c r="R11" i="38" s="1"/>
  <c r="U452" i="3"/>
  <c r="U5" i="169" s="1"/>
  <c r="R459" i="3"/>
  <c r="R5" i="121" s="1"/>
  <c r="R489" i="3"/>
  <c r="R16" i="171" s="1"/>
  <c r="R506" i="3"/>
  <c r="R26" i="185" s="1"/>
  <c r="U515" i="3"/>
  <c r="U2" i="158" s="1"/>
  <c r="R522" i="3"/>
  <c r="R6" i="12" s="1"/>
  <c r="R552" i="3"/>
  <c r="R2" i="64" s="1"/>
  <c r="R576" i="3"/>
  <c r="R46" i="92" s="1"/>
  <c r="R592" i="3"/>
  <c r="R5" i="30" s="1"/>
  <c r="U611" i="3"/>
  <c r="U19" i="38" s="1"/>
  <c r="R622" i="3"/>
  <c r="R17" i="167" s="1"/>
  <c r="R632" i="3"/>
  <c r="R51" i="92" s="1"/>
  <c r="R646" i="3"/>
  <c r="R5" i="124" s="1"/>
  <c r="U667" i="3"/>
  <c r="U6" i="78" s="1"/>
  <c r="U689" i="3"/>
  <c r="U22" i="167" s="1"/>
  <c r="P13" i="113"/>
  <c r="R694" i="3"/>
  <c r="R13" i="113" s="1"/>
  <c r="U753" i="3"/>
  <c r="U9" i="172" s="1"/>
  <c r="S5" i="71"/>
  <c r="U895" i="3"/>
  <c r="U5" i="71" s="1"/>
  <c r="U906" i="3"/>
  <c r="U10" i="12" s="1"/>
  <c r="U925" i="3"/>
  <c r="U24" i="108" s="1"/>
  <c r="L8" i="96"/>
  <c r="N12" i="85"/>
  <c r="P25" i="49"/>
  <c r="R877" i="3"/>
  <c r="R25" i="49" s="1"/>
  <c r="U5" i="3"/>
  <c r="U55" i="3"/>
  <c r="U69" i="3"/>
  <c r="U4" i="168" s="1"/>
  <c r="R182" i="3"/>
  <c r="R9" i="123" s="1"/>
  <c r="U191" i="3"/>
  <c r="U2" i="68" s="1"/>
  <c r="R203" i="3"/>
  <c r="R13" i="168" s="1"/>
  <c r="U220" i="3"/>
  <c r="U17" i="92" s="1"/>
  <c r="R241" i="3"/>
  <c r="R5" i="120" s="1"/>
  <c r="U264" i="3"/>
  <c r="U12" i="171" s="1"/>
  <c r="U280" i="3"/>
  <c r="U2" i="136" s="1"/>
  <c r="U289" i="3"/>
  <c r="U4" i="196" s="1"/>
  <c r="U314" i="3"/>
  <c r="U11" i="123" s="1"/>
  <c r="U329" i="3"/>
  <c r="U6" i="38" s="1"/>
  <c r="U352" i="3"/>
  <c r="U2" i="183" s="1"/>
  <c r="U384" i="3"/>
  <c r="U4" i="175" s="1"/>
  <c r="U396" i="3"/>
  <c r="U9" i="38" s="1"/>
  <c r="R424" i="3"/>
  <c r="R2" i="97" s="1"/>
  <c r="R438" i="3"/>
  <c r="U456" i="3"/>
  <c r="U4" i="129" s="1"/>
  <c r="U492" i="3"/>
  <c r="U2" i="91" s="1"/>
  <c r="R497" i="3"/>
  <c r="U519" i="3"/>
  <c r="U2" i="77" s="1"/>
  <c r="R570" i="3"/>
  <c r="R7" i="70" s="1"/>
  <c r="U579" i="3"/>
  <c r="U5" i="48" s="1"/>
  <c r="R586" i="3"/>
  <c r="R8" i="169" s="1"/>
  <c r="R616" i="3"/>
  <c r="R2" i="73" s="1"/>
  <c r="R626" i="3"/>
  <c r="R7" i="139" s="1"/>
  <c r="U635" i="3"/>
  <c r="U6" i="134" s="1"/>
  <c r="R654" i="3"/>
  <c r="R2" i="132" s="1"/>
  <c r="R818" i="3"/>
  <c r="R24" i="167" s="1"/>
  <c r="R821" i="3"/>
  <c r="R5" i="73" s="1"/>
  <c r="U835" i="3"/>
  <c r="U24" i="123" s="1"/>
  <c r="U846" i="3"/>
  <c r="U14" i="80" s="1"/>
  <c r="X8" i="37"/>
  <c r="U175" i="3"/>
  <c r="U4" i="49" s="1"/>
  <c r="R179" i="3"/>
  <c r="R9" i="168" s="1"/>
  <c r="R265" i="3"/>
  <c r="R8" i="120" s="1"/>
  <c r="R385" i="3"/>
  <c r="R7" i="138" s="1"/>
  <c r="R401" i="3"/>
  <c r="R32" i="92" s="1"/>
  <c r="U420" i="3"/>
  <c r="U3" i="33" s="1"/>
  <c r="R451" i="3"/>
  <c r="R7" i="177" s="1"/>
  <c r="R457" i="3"/>
  <c r="R18" i="168" s="1"/>
  <c r="U466" i="3"/>
  <c r="U8" i="122" s="1"/>
  <c r="U489" i="3"/>
  <c r="U16" i="171" s="1"/>
  <c r="R514" i="3"/>
  <c r="R4" i="124" s="1"/>
  <c r="R520" i="3"/>
  <c r="R16" i="167" s="1"/>
  <c r="U529" i="3"/>
  <c r="U16" i="123" s="1"/>
  <c r="U567" i="3"/>
  <c r="U27" i="185" s="1"/>
  <c r="U599" i="3"/>
  <c r="U14" i="56" s="1"/>
  <c r="U619" i="3"/>
  <c r="U6" i="139" s="1"/>
  <c r="R640" i="3"/>
  <c r="R50" i="92" s="1"/>
  <c r="P7" i="188"/>
  <c r="R648" i="3"/>
  <c r="R7" i="188" s="1"/>
  <c r="P5" i="34"/>
  <c r="R726" i="3"/>
  <c r="R5" i="34" s="1"/>
  <c r="S3" i="66"/>
  <c r="U729" i="3"/>
  <c r="U3" i="66" s="1"/>
  <c r="U814" i="3"/>
  <c r="U24" i="38" s="1"/>
  <c r="R858" i="3"/>
  <c r="R9" i="68" s="1"/>
  <c r="P3" i="96"/>
  <c r="R866" i="3"/>
  <c r="R3" i="96" s="1"/>
  <c r="S2" i="3"/>
  <c r="R235" i="3"/>
  <c r="R4" i="188" s="1"/>
  <c r="R299" i="3"/>
  <c r="R3" i="108" s="1"/>
  <c r="R328" i="3"/>
  <c r="R4" i="119" s="1"/>
  <c r="U274" i="3"/>
  <c r="U5" i="128" s="1"/>
  <c r="U293" i="3"/>
  <c r="U321" i="3"/>
  <c r="U26" i="92" s="1"/>
  <c r="U324" i="3"/>
  <c r="U7" i="69" s="1"/>
  <c r="U346" i="3"/>
  <c r="U3" i="172" s="1"/>
  <c r="U361" i="3"/>
  <c r="U8" i="49" s="1"/>
  <c r="U364" i="3"/>
  <c r="U16" i="185" s="1"/>
  <c r="U378" i="3"/>
  <c r="U4" i="156" s="1"/>
  <c r="R392" i="3"/>
  <c r="R3" i="189" s="1"/>
  <c r="R411" i="3"/>
  <c r="R2" i="71" s="1"/>
  <c r="U417" i="3"/>
  <c r="U20" i="185" s="1"/>
  <c r="U434" i="3"/>
  <c r="U8" i="196" s="1"/>
  <c r="U441" i="3"/>
  <c r="U19" i="185" s="1"/>
  <c r="R471" i="3"/>
  <c r="R2" i="59" s="1"/>
  <c r="U473" i="3"/>
  <c r="U8" i="116" s="1"/>
  <c r="R481" i="3"/>
  <c r="R5" i="12" s="1"/>
  <c r="U504" i="3"/>
  <c r="U4" i="197" s="1"/>
  <c r="R534" i="3"/>
  <c r="R5" i="145" s="1"/>
  <c r="U536" i="3"/>
  <c r="U14" i="38" s="1"/>
  <c r="R544" i="3"/>
  <c r="R3" i="34" s="1"/>
  <c r="U583" i="3"/>
  <c r="U7" i="129" s="1"/>
  <c r="R718" i="3"/>
  <c r="R5" i="131" s="1"/>
  <c r="R722" i="3"/>
  <c r="P59" i="92"/>
  <c r="R834" i="3"/>
  <c r="R59" i="92" s="1"/>
  <c r="K2" i="16"/>
  <c r="G2" i="16"/>
  <c r="N9" i="128"/>
  <c r="U117" i="3"/>
  <c r="U8" i="123" s="1"/>
  <c r="U132" i="3"/>
  <c r="U8" i="173" s="1"/>
  <c r="R225" i="3"/>
  <c r="R3" i="38" s="1"/>
  <c r="U85" i="3"/>
  <c r="R233" i="3"/>
  <c r="R2" i="192" s="1"/>
  <c r="R279" i="3"/>
  <c r="R6" i="69" s="1"/>
  <c r="U281" i="3"/>
  <c r="U9" i="193" s="1"/>
  <c r="R291" i="3"/>
  <c r="R297" i="3"/>
  <c r="R5" i="101" s="1"/>
  <c r="R331" i="3"/>
  <c r="R14" i="171" s="1"/>
  <c r="R347" i="3"/>
  <c r="R3" i="175" s="1"/>
  <c r="R360" i="3"/>
  <c r="R9" i="56" s="1"/>
  <c r="R379" i="3"/>
  <c r="U388" i="3"/>
  <c r="U7" i="196" s="1"/>
  <c r="R395" i="3"/>
  <c r="R10" i="49" s="1"/>
  <c r="R425" i="3"/>
  <c r="R10" i="196" s="1"/>
  <c r="U448" i="3"/>
  <c r="U9" i="116" s="1"/>
  <c r="U460" i="3"/>
  <c r="U6" i="101" s="1"/>
  <c r="R488" i="3"/>
  <c r="R15" i="123" s="1"/>
  <c r="U511" i="3"/>
  <c r="U6" i="35" s="1"/>
  <c r="U523" i="3"/>
  <c r="U15" i="196" s="1"/>
  <c r="R551" i="3"/>
  <c r="R4" i="32" s="1"/>
  <c r="R578" i="3"/>
  <c r="R5" i="134" s="1"/>
  <c r="R584" i="3"/>
  <c r="R5" i="102" s="1"/>
  <c r="U593" i="3"/>
  <c r="U18" i="167" s="1"/>
  <c r="R634" i="3"/>
  <c r="R19" i="123" s="1"/>
  <c r="P3" i="73"/>
  <c r="R809" i="3"/>
  <c r="R3" i="73" s="1"/>
  <c r="U1030" i="3"/>
  <c r="U2" i="126" s="1"/>
  <c r="I65" i="12"/>
  <c r="U4" i="65"/>
  <c r="S6" i="72"/>
  <c r="U736" i="3"/>
  <c r="U6" i="72" s="1"/>
  <c r="R259" i="3"/>
  <c r="R20" i="92" s="1"/>
  <c r="U232" i="3"/>
  <c r="U11" i="173" s="1"/>
  <c r="U45" i="3"/>
  <c r="U5" i="167" s="1"/>
  <c r="U133" i="3"/>
  <c r="U3" i="112" s="1"/>
  <c r="U148" i="3"/>
  <c r="U10" i="92" s="1"/>
  <c r="R156" i="3"/>
  <c r="R3" i="180" s="1"/>
  <c r="R187" i="3"/>
  <c r="R7" i="185" s="1"/>
  <c r="U256" i="3"/>
  <c r="U7" i="120" s="1"/>
  <c r="U265" i="3"/>
  <c r="U8" i="120" s="1"/>
  <c r="U288" i="3"/>
  <c r="U5" i="196" s="1"/>
  <c r="U306" i="3"/>
  <c r="U4" i="108" s="1"/>
  <c r="U328" i="3"/>
  <c r="U4" i="119" s="1"/>
  <c r="U344" i="3"/>
  <c r="U6" i="107" s="1"/>
  <c r="U353" i="3"/>
  <c r="U4" i="114" s="1"/>
  <c r="U356" i="3"/>
  <c r="U4" i="163" s="1"/>
  <c r="U376" i="3"/>
  <c r="U7" i="38" s="1"/>
  <c r="U408" i="3"/>
  <c r="U22" i="185" s="1"/>
  <c r="R449" i="3"/>
  <c r="R3" i="192" s="1"/>
  <c r="R465" i="3"/>
  <c r="R13" i="38" s="1"/>
  <c r="U484" i="3"/>
  <c r="U4" i="30" s="1"/>
  <c r="R512" i="3"/>
  <c r="R10" i="116" s="1"/>
  <c r="U547" i="3"/>
  <c r="U13" i="193" s="1"/>
  <c r="U561" i="3"/>
  <c r="U4" i="134" s="1"/>
  <c r="U568" i="3"/>
  <c r="U7" i="80" s="1"/>
  <c r="R598" i="3"/>
  <c r="R5" i="129" s="1"/>
  <c r="U600" i="3"/>
  <c r="U4" i="85" s="1"/>
  <c r="R608" i="3"/>
  <c r="R19" i="167" s="1"/>
  <c r="R682" i="3"/>
  <c r="R4" i="165" s="1"/>
  <c r="U695" i="3"/>
  <c r="U53" i="92" s="1"/>
  <c r="R746" i="3"/>
  <c r="R22" i="49" s="1"/>
  <c r="R768" i="3"/>
  <c r="R39" i="185" s="1"/>
  <c r="S21" i="38"/>
  <c r="U779" i="3"/>
  <c r="U21" i="38" s="1"/>
  <c r="P12" i="129"/>
  <c r="R784" i="3"/>
  <c r="R12" i="129" s="1"/>
  <c r="R948" i="3"/>
  <c r="R17" i="122" s="1"/>
  <c r="R337" i="3"/>
  <c r="R3" i="78" s="1"/>
  <c r="R353" i="3"/>
  <c r="R4" i="114" s="1"/>
  <c r="R239" i="3"/>
  <c r="R14" i="168" s="1"/>
  <c r="U248" i="3"/>
  <c r="U2" i="195" s="1"/>
  <c r="U312" i="3"/>
  <c r="U5" i="38" s="1"/>
  <c r="U29" i="3"/>
  <c r="U2" i="109" s="1"/>
  <c r="U165" i="3"/>
  <c r="U12" i="92" s="1"/>
  <c r="U68" i="3"/>
  <c r="U5" i="173" s="1"/>
  <c r="U141" i="3"/>
  <c r="U9" i="171" s="1"/>
  <c r="U183" i="3"/>
  <c r="U2" i="162" s="1"/>
  <c r="U208" i="3"/>
  <c r="U10" i="167" s="1"/>
  <c r="R240" i="3"/>
  <c r="R19" i="92" s="1"/>
  <c r="R264" i="3"/>
  <c r="R12" i="171" s="1"/>
  <c r="R273" i="3"/>
  <c r="R21" i="92" s="1"/>
  <c r="R289" i="3"/>
  <c r="R4" i="196" s="1"/>
  <c r="R311" i="3"/>
  <c r="R16" i="168" s="1"/>
  <c r="U313" i="3"/>
  <c r="U2" i="98" s="1"/>
  <c r="R323" i="3"/>
  <c r="R5" i="68" s="1"/>
  <c r="R329" i="3"/>
  <c r="R6" i="38" s="1"/>
  <c r="R363" i="3"/>
  <c r="R6" i="108" s="1"/>
  <c r="U392" i="3"/>
  <c r="U3" i="189" s="1"/>
  <c r="U428" i="3"/>
  <c r="U5" i="188" s="1"/>
  <c r="U442" i="3"/>
  <c r="U3" i="30" s="1"/>
  <c r="R456" i="3"/>
  <c r="R4" i="129" s="1"/>
  <c r="R475" i="3"/>
  <c r="R3" i="67" s="1"/>
  <c r="U481" i="3"/>
  <c r="U5" i="12" s="1"/>
  <c r="U498" i="3"/>
  <c r="U4" i="78" s="1"/>
  <c r="U505" i="3"/>
  <c r="U3" i="124" s="1"/>
  <c r="R519" i="3"/>
  <c r="R2" i="77" s="1"/>
  <c r="R538" i="3"/>
  <c r="R14" i="196" s="1"/>
  <c r="U544" i="3"/>
  <c r="U3" i="34" s="1"/>
  <c r="U575" i="3"/>
  <c r="U19" i="171" s="1"/>
  <c r="U587" i="3"/>
  <c r="U11" i="108" s="1"/>
  <c r="R615" i="3"/>
  <c r="R16" i="38" s="1"/>
  <c r="U631" i="3"/>
  <c r="U4" i="86" s="1"/>
  <c r="S39" i="185"/>
  <c r="U768" i="3"/>
  <c r="U39" i="185" s="1"/>
  <c r="R776" i="3"/>
  <c r="R9" i="143" s="1"/>
  <c r="U917" i="3"/>
  <c r="U4" i="100" s="1"/>
  <c r="R937" i="3"/>
  <c r="R3" i="118" s="1"/>
  <c r="R961" i="3"/>
  <c r="W9" i="195"/>
  <c r="R1024" i="3"/>
  <c r="R3" i="197" s="1"/>
  <c r="M20" i="22"/>
  <c r="I20" i="22"/>
  <c r="H23" i="23"/>
  <c r="V6" i="26"/>
  <c r="J6" i="29"/>
  <c r="J113" i="38"/>
  <c r="J26" i="39"/>
  <c r="K8" i="42"/>
  <c r="I5" i="44"/>
  <c r="X11" i="52"/>
  <c r="V12" i="57"/>
  <c r="I6" i="59"/>
  <c r="X7" i="60"/>
  <c r="L5" i="62"/>
  <c r="X5" i="62" s="1"/>
  <c r="K14" i="63"/>
  <c r="L5" i="66"/>
  <c r="K32" i="68"/>
  <c r="Q32" i="68" s="1"/>
  <c r="H19" i="69"/>
  <c r="J56" i="71"/>
  <c r="J12" i="72"/>
  <c r="L34" i="79"/>
  <c r="H34" i="79"/>
  <c r="V34" i="79" s="1"/>
  <c r="O12" i="85"/>
  <c r="L194" i="90"/>
  <c r="J8" i="96"/>
  <c r="I17" i="98"/>
  <c r="V17" i="98" s="1"/>
  <c r="M9" i="99"/>
  <c r="X9" i="99" s="1"/>
  <c r="I11" i="100"/>
  <c r="J11" i="111"/>
  <c r="L8" i="112"/>
  <c r="H12" i="117"/>
  <c r="L12" i="117"/>
  <c r="X12" i="117" s="1"/>
  <c r="O13" i="118"/>
  <c r="O72" i="119"/>
  <c r="H27" i="122"/>
  <c r="I34" i="124"/>
  <c r="J14" i="125"/>
  <c r="L12" i="126"/>
  <c r="Y7" i="127"/>
  <c r="O6" i="130"/>
  <c r="M42" i="131"/>
  <c r="T15" i="132"/>
  <c r="M15" i="134"/>
  <c r="K12" i="135"/>
  <c r="Q12" i="135" s="1"/>
  <c r="L5" i="142"/>
  <c r="M14" i="145"/>
  <c r="M10" i="146"/>
  <c r="X10" i="146" s="1"/>
  <c r="I10" i="146"/>
  <c r="W23" i="147"/>
  <c r="J5" i="150"/>
  <c r="J17" i="151"/>
  <c r="K8" i="153"/>
  <c r="H17" i="156"/>
  <c r="V6" i="158"/>
  <c r="K17" i="161"/>
  <c r="M18" i="163"/>
  <c r="M26" i="166"/>
  <c r="T130" i="170"/>
  <c r="X5" i="179"/>
  <c r="L19" i="181"/>
  <c r="J11" i="184"/>
  <c r="M24" i="192"/>
  <c r="J13" i="194"/>
  <c r="L9" i="195"/>
  <c r="N7" i="198"/>
  <c r="U985" i="3"/>
  <c r="U1024" i="3"/>
  <c r="Q1044" i="3"/>
  <c r="Q1047" i="3"/>
  <c r="I2" i="16"/>
  <c r="V2" i="16" s="1"/>
  <c r="H17" i="1" s="1"/>
  <c r="N20" i="22"/>
  <c r="L28" i="33"/>
  <c r="I10" i="36"/>
  <c r="Q10" i="36" s="1"/>
  <c r="T8" i="37"/>
  <c r="J162" i="49"/>
  <c r="I15" i="50"/>
  <c r="I9" i="61"/>
  <c r="L14" i="63"/>
  <c r="M5" i="66"/>
  <c r="L32" i="68"/>
  <c r="I19" i="69"/>
  <c r="I10" i="77"/>
  <c r="M10" i="77"/>
  <c r="X8" i="81"/>
  <c r="L67" i="86"/>
  <c r="K11" i="93"/>
  <c r="J21" i="97"/>
  <c r="K17" i="109"/>
  <c r="M70" i="110"/>
  <c r="K11" i="111"/>
  <c r="H13" i="118"/>
  <c r="N19" i="121"/>
  <c r="J40" i="123"/>
  <c r="J34" i="124"/>
  <c r="T7" i="127"/>
  <c r="L9" i="128"/>
  <c r="H6" i="130"/>
  <c r="L12" i="135"/>
  <c r="O8" i="136"/>
  <c r="T8" i="136" s="1"/>
  <c r="K12" i="138"/>
  <c r="Q12" i="138" s="1"/>
  <c r="J25" i="139"/>
  <c r="M5" i="142"/>
  <c r="L19" i="143"/>
  <c r="N14" i="145"/>
  <c r="I33" i="148"/>
  <c r="N14" i="149"/>
  <c r="K5" i="150"/>
  <c r="N8" i="165"/>
  <c r="X9" i="195"/>
  <c r="R670" i="3"/>
  <c r="R36" i="185" s="1"/>
  <c r="R720" i="3"/>
  <c r="R6" i="30" s="1"/>
  <c r="J2" i="16"/>
  <c r="M8" i="20"/>
  <c r="J23" i="23"/>
  <c r="L6" i="29"/>
  <c r="J19" i="30"/>
  <c r="H17" i="32"/>
  <c r="J10" i="36"/>
  <c r="M53" i="40"/>
  <c r="M8" i="42"/>
  <c r="J9" i="61"/>
  <c r="N5" i="62"/>
  <c r="S5" i="62" s="1"/>
  <c r="L14" i="64"/>
  <c r="N5" i="66"/>
  <c r="J19" i="69"/>
  <c r="J10" i="77"/>
  <c r="I12" i="85"/>
  <c r="N194" i="90"/>
  <c r="K17" i="98"/>
  <c r="Q17" i="98" s="1"/>
  <c r="O9" i="99"/>
  <c r="T9" i="99" s="1"/>
  <c r="M90" i="107"/>
  <c r="I17" i="114"/>
  <c r="L14" i="125"/>
  <c r="N12" i="126"/>
  <c r="O42" i="131"/>
  <c r="J31" i="137"/>
  <c r="N8" i="141"/>
  <c r="S8" i="141" s="1"/>
  <c r="N5" i="142"/>
  <c r="M19" i="143"/>
  <c r="O10" i="146"/>
  <c r="L5" i="150"/>
  <c r="L17" i="151"/>
  <c r="N7" i="152"/>
  <c r="L7" i="152"/>
  <c r="M8" i="153"/>
  <c r="K128" i="155"/>
  <c r="J17" i="156"/>
  <c r="N7" i="159"/>
  <c r="M17" i="161"/>
  <c r="O18" i="163"/>
  <c r="T18" i="163" s="1"/>
  <c r="O8" i="165"/>
  <c r="M15" i="173"/>
  <c r="I15" i="173"/>
  <c r="M12" i="174"/>
  <c r="L16" i="180"/>
  <c r="N9" i="182"/>
  <c r="J9" i="182"/>
  <c r="L11" i="184"/>
  <c r="N136" i="185"/>
  <c r="H9" i="187"/>
  <c r="H30" i="188"/>
  <c r="H13" i="189"/>
  <c r="V13" i="189" s="1"/>
  <c r="H5" i="191"/>
  <c r="L13" i="194"/>
  <c r="N9" i="195"/>
  <c r="H7" i="198"/>
  <c r="U655" i="3"/>
  <c r="U52" i="92" s="1"/>
  <c r="U673" i="3"/>
  <c r="U10" i="119" s="1"/>
  <c r="U705" i="3"/>
  <c r="U8" i="121" s="1"/>
  <c r="U723" i="3"/>
  <c r="U8" i="68" s="1"/>
  <c r="U737" i="3"/>
  <c r="U13" i="122" s="1"/>
  <c r="U958" i="3"/>
  <c r="U16" i="107" s="1"/>
  <c r="X1042" i="3"/>
  <c r="X1044" i="3"/>
  <c r="T1045" i="3"/>
  <c r="T1048" i="3"/>
  <c r="H20" i="22"/>
  <c r="P13" i="25"/>
  <c r="Q6" i="26"/>
  <c r="I13" i="27"/>
  <c r="M6" i="29"/>
  <c r="M113" i="38"/>
  <c r="N53" i="40"/>
  <c r="L5" i="44"/>
  <c r="Q12" i="57"/>
  <c r="V7" i="60"/>
  <c r="N16" i="67"/>
  <c r="M56" i="71"/>
  <c r="N78" i="73"/>
  <c r="J78" i="73"/>
  <c r="N48" i="74"/>
  <c r="K34" i="79"/>
  <c r="M61" i="80"/>
  <c r="L21" i="97"/>
  <c r="H21" i="97"/>
  <c r="V21" i="97" s="1"/>
  <c r="H9" i="99"/>
  <c r="V9" i="99" s="1"/>
  <c r="M10" i="101"/>
  <c r="T10" i="101" s="1"/>
  <c r="N9" i="103"/>
  <c r="M11" i="111"/>
  <c r="O8" i="112"/>
  <c r="J17" i="114"/>
  <c r="X10" i="115"/>
  <c r="L23" i="116"/>
  <c r="K12" i="117"/>
  <c r="Q12" i="117" s="1"/>
  <c r="O12" i="117"/>
  <c r="T12" i="117" s="1"/>
  <c r="J13" i="118"/>
  <c r="K27" i="122"/>
  <c r="L34" i="124"/>
  <c r="Q7" i="127"/>
  <c r="H15" i="134"/>
  <c r="N12" i="135"/>
  <c r="S12" i="135" s="1"/>
  <c r="K31" i="137"/>
  <c r="L25" i="139"/>
  <c r="O8" i="141"/>
  <c r="T8" i="141" s="1"/>
  <c r="O5" i="142"/>
  <c r="H14" i="145"/>
  <c r="H10" i="146"/>
  <c r="H14" i="149"/>
  <c r="M5" i="150"/>
  <c r="T5" i="150" s="1"/>
  <c r="M17" i="151"/>
  <c r="O7" i="152"/>
  <c r="M7" i="152"/>
  <c r="O7" i="159"/>
  <c r="N17" i="161"/>
  <c r="V5" i="162"/>
  <c r="H8" i="165"/>
  <c r="L95" i="167"/>
  <c r="J16" i="169"/>
  <c r="H23" i="171"/>
  <c r="I10" i="175"/>
  <c r="O19" i="181"/>
  <c r="M10" i="183"/>
  <c r="M11" i="184"/>
  <c r="H17" i="190"/>
  <c r="I5" i="191"/>
  <c r="X5" i="17"/>
  <c r="Q16" i="48"/>
  <c r="X4" i="65"/>
  <c r="V5" i="66"/>
  <c r="V10" i="77"/>
  <c r="Q6" i="87"/>
  <c r="V9" i="88"/>
  <c r="Y23" i="147"/>
  <c r="H7" i="152"/>
  <c r="U986" i="3"/>
  <c r="U14" i="102" s="1"/>
  <c r="R1012" i="3"/>
  <c r="R1015" i="3"/>
  <c r="R11" i="39" s="1"/>
  <c r="X11" i="31"/>
  <c r="X8" i="42"/>
  <c r="S5" i="44"/>
  <c r="T56" i="71"/>
  <c r="O12" i="72"/>
  <c r="S24" i="82"/>
  <c r="X6" i="87"/>
  <c r="Y11" i="100"/>
  <c r="X6" i="130"/>
  <c r="L16" i="169"/>
  <c r="J23" i="171"/>
  <c r="N23" i="171"/>
  <c r="H12" i="174"/>
  <c r="O16" i="180"/>
  <c r="Y16" i="180" s="1"/>
  <c r="I19" i="181"/>
  <c r="I9" i="182"/>
  <c r="Q9" i="182" s="1"/>
  <c r="O10" i="183"/>
  <c r="O11" i="184"/>
  <c r="K13" i="189"/>
  <c r="K5" i="191"/>
  <c r="Q2" i="3"/>
  <c r="U24" i="3"/>
  <c r="R28" i="3"/>
  <c r="R2" i="121" s="1"/>
  <c r="U31" i="3"/>
  <c r="R39" i="3"/>
  <c r="R60" i="3"/>
  <c r="R4" i="92" s="1"/>
  <c r="R67" i="3"/>
  <c r="R3" i="168" s="1"/>
  <c r="R83" i="3"/>
  <c r="R2" i="69" s="1"/>
  <c r="U95" i="3"/>
  <c r="R99" i="3"/>
  <c r="R115" i="3"/>
  <c r="R2" i="119" s="1"/>
  <c r="R131" i="3"/>
  <c r="R4" i="93" s="1"/>
  <c r="U143" i="3"/>
  <c r="R166" i="3"/>
  <c r="U171" i="3"/>
  <c r="U13" i="92" s="1"/>
  <c r="U194" i="3"/>
  <c r="U3" i="72" s="1"/>
  <c r="R201" i="3"/>
  <c r="R3" i="101" s="1"/>
  <c r="R207" i="3"/>
  <c r="R6" i="193" s="1"/>
  <c r="U209" i="3"/>
  <c r="U16" i="92" s="1"/>
  <c r="U218" i="3"/>
  <c r="U4" i="122" s="1"/>
  <c r="U224" i="3"/>
  <c r="U18" i="92" s="1"/>
  <c r="R255" i="3"/>
  <c r="R4" i="110" s="1"/>
  <c r="U276" i="3"/>
  <c r="U2" i="78" s="1"/>
  <c r="U290" i="3"/>
  <c r="U15" i="168" s="1"/>
  <c r="U298" i="3"/>
  <c r="U3" i="148" s="1"/>
  <c r="U304" i="3"/>
  <c r="U24" i="92" s="1"/>
  <c r="R319" i="3"/>
  <c r="R4" i="68" s="1"/>
  <c r="U340" i="3"/>
  <c r="U17" i="185" s="1"/>
  <c r="U354" i="3"/>
  <c r="U5" i="108" s="1"/>
  <c r="U362" i="3"/>
  <c r="U30" i="92" s="1"/>
  <c r="U368" i="3"/>
  <c r="U4" i="169" s="1"/>
  <c r="R383" i="3"/>
  <c r="R17" i="168" s="1"/>
  <c r="U404" i="3"/>
  <c r="U7" i="50" s="1"/>
  <c r="U418" i="3"/>
  <c r="U11" i="49" s="1"/>
  <c r="U426" i="3"/>
  <c r="U15" i="171" s="1"/>
  <c r="U432" i="3"/>
  <c r="U14" i="167" s="1"/>
  <c r="T37" i="92"/>
  <c r="R447" i="3"/>
  <c r="R8" i="74" s="1"/>
  <c r="U468" i="3"/>
  <c r="U38" i="92" s="1"/>
  <c r="U482" i="3"/>
  <c r="U7" i="116" s="1"/>
  <c r="U490" i="3"/>
  <c r="U17" i="171" s="1"/>
  <c r="U496" i="3"/>
  <c r="U8" i="69" s="1"/>
  <c r="R510" i="3"/>
  <c r="R3" i="134" s="1"/>
  <c r="U531" i="3"/>
  <c r="U3" i="59" s="1"/>
  <c r="U545" i="3"/>
  <c r="U6" i="80" s="1"/>
  <c r="U553" i="3"/>
  <c r="U3" i="32" s="1"/>
  <c r="U559" i="3"/>
  <c r="U13" i="49" s="1"/>
  <c r="R574" i="3"/>
  <c r="R15" i="38" s="1"/>
  <c r="U595" i="3"/>
  <c r="U8" i="80" s="1"/>
  <c r="U609" i="3"/>
  <c r="U2" i="140" s="1"/>
  <c r="R618" i="3"/>
  <c r="R2" i="149" s="1"/>
  <c r="R624" i="3"/>
  <c r="R15" i="120" s="1"/>
  <c r="R630" i="3"/>
  <c r="R17" i="196" s="1"/>
  <c r="U640" i="3"/>
  <c r="U50" i="92" s="1"/>
  <c r="U651" i="3"/>
  <c r="U6" i="114" s="1"/>
  <c r="U657" i="3"/>
  <c r="U3" i="27" s="1"/>
  <c r="U663" i="3"/>
  <c r="U20" i="167" s="1"/>
  <c r="R666" i="3"/>
  <c r="R9" i="39" s="1"/>
  <c r="R672" i="3"/>
  <c r="R4" i="153" s="1"/>
  <c r="R680" i="3"/>
  <c r="R3" i="62" s="1"/>
  <c r="R686" i="3"/>
  <c r="R17" i="49" s="1"/>
  <c r="R698" i="3"/>
  <c r="R19" i="196" s="1"/>
  <c r="R712" i="3"/>
  <c r="R2" i="55" s="1"/>
  <c r="S23" i="196"/>
  <c r="U715" i="3"/>
  <c r="U23" i="196" s="1"/>
  <c r="S18" i="120"/>
  <c r="U785" i="3"/>
  <c r="U18" i="120" s="1"/>
  <c r="U798" i="3"/>
  <c r="U12" i="107" s="1"/>
  <c r="P6" i="131"/>
  <c r="R813" i="3"/>
  <c r="R6" i="131" s="1"/>
  <c r="R826" i="3"/>
  <c r="R3" i="36" s="1"/>
  <c r="T4" i="90"/>
  <c r="U839" i="3"/>
  <c r="U4" i="90" s="1"/>
  <c r="P15" i="107"/>
  <c r="R862" i="3"/>
  <c r="R15" i="107" s="1"/>
  <c r="R369" i="3"/>
  <c r="R6" i="122" s="1"/>
  <c r="R375" i="3"/>
  <c r="R4" i="72" s="1"/>
  <c r="U385" i="3"/>
  <c r="U7" i="138" s="1"/>
  <c r="U393" i="3"/>
  <c r="U6" i="119" s="1"/>
  <c r="U410" i="3"/>
  <c r="U7" i="108" s="1"/>
  <c r="U416" i="3"/>
  <c r="U7" i="128" s="1"/>
  <c r="R419" i="3"/>
  <c r="R7" i="122" s="1"/>
  <c r="U424" i="3"/>
  <c r="U2" i="97" s="1"/>
  <c r="R427" i="3"/>
  <c r="R4" i="102" s="1"/>
  <c r="R433" i="3"/>
  <c r="R8" i="108" s="1"/>
  <c r="R439" i="3"/>
  <c r="R6" i="184" s="1"/>
  <c r="U449" i="3"/>
  <c r="U3" i="192" s="1"/>
  <c r="U457" i="3"/>
  <c r="U18" i="168" s="1"/>
  <c r="U474" i="3"/>
  <c r="U5" i="114" s="1"/>
  <c r="U480" i="3"/>
  <c r="U3" i="191" s="1"/>
  <c r="R483" i="3"/>
  <c r="R3" i="145" s="1"/>
  <c r="U488" i="3"/>
  <c r="U15" i="123" s="1"/>
  <c r="R491" i="3"/>
  <c r="R15" i="167" s="1"/>
  <c r="R502" i="3"/>
  <c r="R7" i="174" s="1"/>
  <c r="U512" i="3"/>
  <c r="U10" i="116" s="1"/>
  <c r="U520" i="3"/>
  <c r="U16" i="167" s="1"/>
  <c r="U537" i="3"/>
  <c r="U8" i="119" s="1"/>
  <c r="U543" i="3"/>
  <c r="U15" i="56" s="1"/>
  <c r="R546" i="3"/>
  <c r="R8" i="143" s="1"/>
  <c r="U551" i="3"/>
  <c r="U4" i="32" s="1"/>
  <c r="R554" i="3"/>
  <c r="R5" i="78" s="1"/>
  <c r="R560" i="3"/>
  <c r="R13" i="120" s="1"/>
  <c r="R566" i="3"/>
  <c r="R11" i="116" s="1"/>
  <c r="U576" i="3"/>
  <c r="U46" i="92" s="1"/>
  <c r="U584" i="3"/>
  <c r="U5" i="102" s="1"/>
  <c r="U601" i="3"/>
  <c r="U10" i="113" s="1"/>
  <c r="U607" i="3"/>
  <c r="U4" i="131" s="1"/>
  <c r="R610" i="3"/>
  <c r="R16" i="196" s="1"/>
  <c r="U615" i="3"/>
  <c r="U16" i="38" s="1"/>
  <c r="U632" i="3"/>
  <c r="U51" i="92" s="1"/>
  <c r="U643" i="3"/>
  <c r="U8" i="129" s="1"/>
  <c r="R647" i="3"/>
  <c r="R2" i="127" s="1"/>
  <c r="R658" i="3"/>
  <c r="R32" i="185" s="1"/>
  <c r="R664" i="3"/>
  <c r="R16" i="120" s="1"/>
  <c r="R678" i="3"/>
  <c r="R13" i="177" s="1"/>
  <c r="P26" i="196"/>
  <c r="R730" i="3"/>
  <c r="R26" i="196" s="1"/>
  <c r="S5" i="86"/>
  <c r="U771" i="3"/>
  <c r="U5" i="86" s="1"/>
  <c r="P21" i="49"/>
  <c r="R783" i="3"/>
  <c r="R21" i="49" s="1"/>
  <c r="S3" i="36"/>
  <c r="U826" i="3"/>
  <c r="U3" i="36" s="1"/>
  <c r="Q19" i="108"/>
  <c r="R837" i="3"/>
  <c r="R19" i="108" s="1"/>
  <c r="T60" i="92"/>
  <c r="U850" i="3"/>
  <c r="U60" i="92" s="1"/>
  <c r="U92" i="3"/>
  <c r="U5" i="123" s="1"/>
  <c r="U108" i="3"/>
  <c r="U2" i="148" s="1"/>
  <c r="U124" i="3"/>
  <c r="U3" i="110" s="1"/>
  <c r="U140" i="3"/>
  <c r="U6" i="56" s="1"/>
  <c r="R170" i="3"/>
  <c r="R4" i="69" s="1"/>
  <c r="S27" i="196"/>
  <c r="U793" i="3"/>
  <c r="U27" i="196" s="1"/>
  <c r="S20" i="113"/>
  <c r="U823" i="3"/>
  <c r="U20" i="113" s="1"/>
  <c r="P2" i="3"/>
  <c r="R2" i="3" s="1"/>
  <c r="U13" i="3"/>
  <c r="U3" i="167" s="1"/>
  <c r="R36" i="3"/>
  <c r="R2" i="197" s="1"/>
  <c r="U21" i="3"/>
  <c r="U4" i="167" s="1"/>
  <c r="U50" i="3"/>
  <c r="U53" i="3"/>
  <c r="U3" i="173" s="1"/>
  <c r="R68" i="3"/>
  <c r="R5" i="173" s="1"/>
  <c r="R116" i="3"/>
  <c r="R9" i="92" s="1"/>
  <c r="U122" i="3"/>
  <c r="R132" i="3"/>
  <c r="R8" i="173" s="1"/>
  <c r="R148" i="3"/>
  <c r="R10" i="92" s="1"/>
  <c r="R186" i="3"/>
  <c r="R3" i="151" s="1"/>
  <c r="U210" i="3"/>
  <c r="U4" i="80" s="1"/>
  <c r="R217" i="3"/>
  <c r="R11" i="168" s="1"/>
  <c r="R223" i="3"/>
  <c r="R8" i="185" s="1"/>
  <c r="R256" i="3"/>
  <c r="R7" i="120" s="1"/>
  <c r="R275" i="3"/>
  <c r="R5" i="177" s="1"/>
  <c r="R281" i="3"/>
  <c r="R9" i="193" s="1"/>
  <c r="R295" i="3"/>
  <c r="R4" i="107" s="1"/>
  <c r="R303" i="3"/>
  <c r="R5" i="35" s="1"/>
  <c r="U316" i="3"/>
  <c r="U13" i="171" s="1"/>
  <c r="R339" i="3"/>
  <c r="R9" i="49" s="1"/>
  <c r="R345" i="3"/>
  <c r="R6" i="177" s="1"/>
  <c r="R359" i="3"/>
  <c r="R3" i="130" s="1"/>
  <c r="R367" i="3"/>
  <c r="R10" i="193" s="1"/>
  <c r="U380" i="3"/>
  <c r="U8" i="38" s="1"/>
  <c r="R403" i="3"/>
  <c r="R10" i="56" s="1"/>
  <c r="R409" i="3"/>
  <c r="R2" i="145" s="1"/>
  <c r="R423" i="3"/>
  <c r="R5" i="72" s="1"/>
  <c r="R431" i="3"/>
  <c r="R6" i="169" s="1"/>
  <c r="U444" i="3"/>
  <c r="U4" i="172" s="1"/>
  <c r="R467" i="3"/>
  <c r="R3" i="183" s="1"/>
  <c r="R473" i="3"/>
  <c r="R8" i="116" s="1"/>
  <c r="R487" i="3"/>
  <c r="R6" i="121" s="1"/>
  <c r="R495" i="3"/>
  <c r="R19" i="168" s="1"/>
  <c r="U497" i="3"/>
  <c r="U507" i="3"/>
  <c r="U8" i="107" s="1"/>
  <c r="R530" i="3"/>
  <c r="R2" i="118" s="1"/>
  <c r="R536" i="3"/>
  <c r="R14" i="38" s="1"/>
  <c r="R550" i="3"/>
  <c r="R14" i="193" s="1"/>
  <c r="R558" i="3"/>
  <c r="R3" i="79" s="1"/>
  <c r="U571" i="3"/>
  <c r="U3" i="155" s="1"/>
  <c r="R594" i="3"/>
  <c r="R18" i="123" s="1"/>
  <c r="R600" i="3"/>
  <c r="R4" i="85" s="1"/>
  <c r="R614" i="3"/>
  <c r="R3" i="161" s="1"/>
  <c r="U627" i="3"/>
  <c r="U5" i="172" s="1"/>
  <c r="U641" i="3"/>
  <c r="U2" i="65" s="1"/>
  <c r="R650" i="3"/>
  <c r="R33" i="185" s="1"/>
  <c r="R656" i="3"/>
  <c r="R3" i="63" s="1"/>
  <c r="R662" i="3"/>
  <c r="R8" i="12" s="1"/>
  <c r="U672" i="3"/>
  <c r="U4" i="153" s="1"/>
  <c r="U683" i="3"/>
  <c r="U18" i="49" s="1"/>
  <c r="S8" i="188"/>
  <c r="U687" i="3"/>
  <c r="U8" i="188" s="1"/>
  <c r="R690" i="3"/>
  <c r="R20" i="196" s="1"/>
  <c r="R696" i="3"/>
  <c r="R7" i="68" s="1"/>
  <c r="S10" i="129"/>
  <c r="U699" i="3"/>
  <c r="U10" i="129" s="1"/>
  <c r="R710" i="3"/>
  <c r="R21" i="167" s="1"/>
  <c r="P2" i="81"/>
  <c r="R738" i="3"/>
  <c r="R2" i="81" s="1"/>
  <c r="R758" i="3"/>
  <c r="R16" i="108" s="1"/>
  <c r="S4" i="161"/>
  <c r="U790" i="3"/>
  <c r="U4" i="161" s="1"/>
  <c r="U803" i="3"/>
  <c r="U56" i="92" s="1"/>
  <c r="U806" i="3"/>
  <c r="U18" i="113" s="1"/>
  <c r="R810" i="3"/>
  <c r="R5" i="41" s="1"/>
  <c r="R845" i="3"/>
  <c r="R3" i="77" s="1"/>
  <c r="T9" i="68"/>
  <c r="U858" i="3"/>
  <c r="U9" i="68" s="1"/>
  <c r="U8" i="3"/>
  <c r="U15" i="3"/>
  <c r="R23" i="3"/>
  <c r="U40" i="3"/>
  <c r="R44" i="3"/>
  <c r="R2" i="180" s="1"/>
  <c r="R55" i="3"/>
  <c r="R75" i="3"/>
  <c r="R7" i="173" s="1"/>
  <c r="U87" i="3"/>
  <c r="R91" i="3"/>
  <c r="R5" i="174" s="1"/>
  <c r="R107" i="3"/>
  <c r="R2" i="179" s="1"/>
  <c r="R123" i="3"/>
  <c r="R4" i="138" s="1"/>
  <c r="R139" i="3"/>
  <c r="R8" i="167" s="1"/>
  <c r="U157" i="3"/>
  <c r="U3" i="143" s="1"/>
  <c r="R161" i="3"/>
  <c r="R2" i="139" s="1"/>
  <c r="U163" i="3"/>
  <c r="U2" i="142" s="1"/>
  <c r="U179" i="3"/>
  <c r="U9" i="168" s="1"/>
  <c r="R200" i="3"/>
  <c r="R4" i="177" s="1"/>
  <c r="R215" i="3"/>
  <c r="R2" i="156" s="1"/>
  <c r="U225" i="3"/>
  <c r="U3" i="38" s="1"/>
  <c r="U234" i="3"/>
  <c r="U12" i="173" s="1"/>
  <c r="U240" i="3"/>
  <c r="U19" i="92" s="1"/>
  <c r="R247" i="3"/>
  <c r="R3" i="80" s="1"/>
  <c r="U258" i="3"/>
  <c r="U2" i="76" s="1"/>
  <c r="U266" i="3"/>
  <c r="U4" i="22" s="1"/>
  <c r="U272" i="3"/>
  <c r="U4" i="101" s="1"/>
  <c r="R287" i="3"/>
  <c r="R2" i="23" s="1"/>
  <c r="U308" i="3"/>
  <c r="U6" i="196" s="1"/>
  <c r="U322" i="3"/>
  <c r="U2" i="161" s="1"/>
  <c r="U330" i="3"/>
  <c r="U2" i="96" s="1"/>
  <c r="U336" i="3"/>
  <c r="U12" i="185" s="1"/>
  <c r="R351" i="3"/>
  <c r="R28" i="92" s="1"/>
  <c r="U372" i="3"/>
  <c r="U5" i="159" s="1"/>
  <c r="U386" i="3"/>
  <c r="U4" i="48" s="1"/>
  <c r="U394" i="3"/>
  <c r="U31" i="92" s="1"/>
  <c r="U400" i="3"/>
  <c r="U9" i="120" s="1"/>
  <c r="R415" i="3"/>
  <c r="R3" i="165" s="1"/>
  <c r="U436" i="3"/>
  <c r="U24" i="185" s="1"/>
  <c r="U458" i="3"/>
  <c r="U6" i="116" s="1"/>
  <c r="U464" i="3"/>
  <c r="U11" i="177" s="1"/>
  <c r="R479" i="3"/>
  <c r="R3" i="85" s="1"/>
  <c r="U500" i="3"/>
  <c r="U4" i="145" s="1"/>
  <c r="U513" i="3"/>
  <c r="U11" i="196" s="1"/>
  <c r="U521" i="3"/>
  <c r="U4" i="31" s="1"/>
  <c r="U527" i="3"/>
  <c r="U2" i="117" s="1"/>
  <c r="R542" i="3"/>
  <c r="R9" i="107" s="1"/>
  <c r="U563" i="3"/>
  <c r="U29" i="185" s="1"/>
  <c r="U577" i="3"/>
  <c r="U10" i="177" s="1"/>
  <c r="U585" i="3"/>
  <c r="U12" i="49" s="1"/>
  <c r="U591" i="3"/>
  <c r="U48" i="92" s="1"/>
  <c r="R606" i="3"/>
  <c r="R4" i="198" s="1"/>
  <c r="U633" i="3"/>
  <c r="U21" i="196" s="1"/>
  <c r="U639" i="3"/>
  <c r="U4" i="98" s="1"/>
  <c r="R642" i="3"/>
  <c r="R7" i="76" s="1"/>
  <c r="U647" i="3"/>
  <c r="U2" i="127" s="1"/>
  <c r="U664" i="3"/>
  <c r="U16" i="120" s="1"/>
  <c r="U675" i="3"/>
  <c r="R679" i="3"/>
  <c r="R4" i="192" s="1"/>
  <c r="S6" i="155"/>
  <c r="U727" i="3"/>
  <c r="U6" i="155" s="1"/>
  <c r="U751" i="3"/>
  <c r="U15" i="129" s="1"/>
  <c r="P28" i="196"/>
  <c r="R805" i="3"/>
  <c r="R28" i="196" s="1"/>
  <c r="S41" i="185"/>
  <c r="U831" i="3"/>
  <c r="U41" i="185" s="1"/>
  <c r="S5" i="66"/>
  <c r="U2" i="3"/>
  <c r="U12" i="3"/>
  <c r="R101" i="3"/>
  <c r="U552" i="3"/>
  <c r="U2" i="64" s="1"/>
  <c r="R704" i="3"/>
  <c r="R7" i="78" s="1"/>
  <c r="S4" i="151"/>
  <c r="U735" i="3"/>
  <c r="U4" i="151" s="1"/>
  <c r="P6" i="72"/>
  <c r="R736" i="3"/>
  <c r="R6" i="72" s="1"/>
  <c r="R752" i="3"/>
  <c r="R22" i="38" s="1"/>
  <c r="P3" i="117"/>
  <c r="R767" i="3"/>
  <c r="R3" i="117" s="1"/>
  <c r="P57" i="92"/>
  <c r="R802" i="3"/>
  <c r="R57" i="92" s="1"/>
  <c r="S10" i="155"/>
  <c r="U842" i="3"/>
  <c r="U10" i="155" s="1"/>
  <c r="T3" i="96"/>
  <c r="U866" i="3"/>
  <c r="U3" i="96" s="1"/>
  <c r="S7" i="78"/>
  <c r="U704" i="3"/>
  <c r="U7" i="78" s="1"/>
  <c r="S4" i="111"/>
  <c r="U721" i="3"/>
  <c r="U4" i="111" s="1"/>
  <c r="Q10" i="169"/>
  <c r="R743" i="3"/>
  <c r="R10" i="169" s="1"/>
  <c r="P54" i="92"/>
  <c r="R750" i="3"/>
  <c r="R54" i="92" s="1"/>
  <c r="S16" i="177"/>
  <c r="U777" i="3"/>
  <c r="U16" i="177" s="1"/>
  <c r="S24" i="167"/>
  <c r="U818" i="3"/>
  <c r="U24" i="167" s="1"/>
  <c r="P5" i="156"/>
  <c r="R854" i="3"/>
  <c r="R5" i="156" s="1"/>
  <c r="U37" i="3"/>
  <c r="U2" i="17" s="1"/>
  <c r="R92" i="3"/>
  <c r="R5" i="123" s="1"/>
  <c r="R108" i="3"/>
  <c r="R2" i="148" s="1"/>
  <c r="R124" i="3"/>
  <c r="R3" i="110" s="1"/>
  <c r="R140" i="3"/>
  <c r="R6" i="56" s="1"/>
  <c r="R162" i="3"/>
  <c r="R6" i="109" s="1"/>
  <c r="U200" i="3"/>
  <c r="U4" i="177" s="1"/>
  <c r="R216" i="3"/>
  <c r="R9" i="167" s="1"/>
  <c r="U244" i="3"/>
  <c r="U3" i="156" s="1"/>
  <c r="R257" i="3"/>
  <c r="R5" i="110" s="1"/>
  <c r="R263" i="3"/>
  <c r="R11" i="167" s="1"/>
  <c r="R271" i="3"/>
  <c r="R2" i="134" s="1"/>
  <c r="U284" i="3"/>
  <c r="U5" i="184" s="1"/>
  <c r="R307" i="3"/>
  <c r="R23" i="92" s="1"/>
  <c r="R313" i="3"/>
  <c r="R2" i="98" s="1"/>
  <c r="R327" i="3"/>
  <c r="R5" i="116" s="1"/>
  <c r="R335" i="3"/>
  <c r="R2" i="41" s="1"/>
  <c r="U348" i="3"/>
  <c r="U4" i="139" s="1"/>
  <c r="R377" i="3"/>
  <c r="R3" i="76" s="1"/>
  <c r="R391" i="3"/>
  <c r="R12" i="123" s="1"/>
  <c r="R399" i="3"/>
  <c r="R2" i="155" s="1"/>
  <c r="U412" i="3"/>
  <c r="U2" i="36" s="1"/>
  <c r="R435" i="3"/>
  <c r="R35" i="92" s="1"/>
  <c r="R441" i="3"/>
  <c r="R19" i="185" s="1"/>
  <c r="R455" i="3"/>
  <c r="R5" i="76" s="1"/>
  <c r="R463" i="3"/>
  <c r="R8" i="109" s="1"/>
  <c r="U476" i="3"/>
  <c r="U12" i="193" s="1"/>
  <c r="R499" i="3"/>
  <c r="R6" i="68" s="1"/>
  <c r="R504" i="3"/>
  <c r="R4" i="197" s="1"/>
  <c r="R518" i="3"/>
  <c r="R13" i="56" s="1"/>
  <c r="R526" i="3"/>
  <c r="R8" i="177" s="1"/>
  <c r="U539" i="3"/>
  <c r="U9" i="122" s="1"/>
  <c r="R562" i="3"/>
  <c r="R3" i="23" s="1"/>
  <c r="R568" i="3"/>
  <c r="R7" i="80" s="1"/>
  <c r="R582" i="3"/>
  <c r="R12" i="113" s="1"/>
  <c r="R590" i="3"/>
  <c r="R2" i="27" s="1"/>
  <c r="U603" i="3"/>
  <c r="U7" i="39" s="1"/>
  <c r="U617" i="3"/>
  <c r="U20" i="38" s="1"/>
  <c r="U623" i="3"/>
  <c r="U16" i="56" s="1"/>
  <c r="R638" i="3"/>
  <c r="R18" i="196" s="1"/>
  <c r="U665" i="3"/>
  <c r="U3" i="40" s="1"/>
  <c r="U671" i="3"/>
  <c r="U19" i="49" s="1"/>
  <c r="R674" i="3"/>
  <c r="R11" i="113" s="1"/>
  <c r="U679" i="3"/>
  <c r="U4" i="192" s="1"/>
  <c r="P4" i="34"/>
  <c r="R702" i="3"/>
  <c r="R4" i="34" s="1"/>
  <c r="U739" i="3"/>
  <c r="S10" i="169"/>
  <c r="U743" i="3"/>
  <c r="U10" i="169" s="1"/>
  <c r="P2" i="25"/>
  <c r="R744" i="3"/>
  <c r="R2" i="25" s="1"/>
  <c r="S4" i="195"/>
  <c r="U763" i="3"/>
  <c r="U4" i="195" s="1"/>
  <c r="P11" i="129"/>
  <c r="R775" i="3"/>
  <c r="R11" i="129" s="1"/>
  <c r="Q8" i="78"/>
  <c r="R829" i="3"/>
  <c r="R8" i="78" s="1"/>
  <c r="T29" i="49"/>
  <c r="U871" i="3"/>
  <c r="U29" i="49" s="1"/>
  <c r="R878" i="3"/>
  <c r="R33" i="196" s="1"/>
  <c r="R881" i="3"/>
  <c r="R3" i="126" s="1"/>
  <c r="R889" i="3"/>
  <c r="R31" i="38" s="1"/>
  <c r="U907" i="3"/>
  <c r="U31" i="49" s="1"/>
  <c r="U918" i="3"/>
  <c r="U17" i="80" s="1"/>
  <c r="U926" i="3"/>
  <c r="U7" i="148" s="1"/>
  <c r="U937" i="3"/>
  <c r="U3" i="118" s="1"/>
  <c r="R949" i="3"/>
  <c r="R34" i="38" s="1"/>
  <c r="U959" i="3"/>
  <c r="U11" i="172" s="1"/>
  <c r="U962" i="3"/>
  <c r="U47" i="185" s="1"/>
  <c r="R977" i="3"/>
  <c r="R31" i="113" s="1"/>
  <c r="U987" i="3"/>
  <c r="U11" i="76" s="1"/>
  <c r="R1016" i="3"/>
  <c r="R12" i="39" s="1"/>
  <c r="X6" i="26"/>
  <c r="I26" i="39"/>
  <c r="X9" i="187"/>
  <c r="R873" i="3"/>
  <c r="R21" i="108" s="1"/>
  <c r="U883" i="3"/>
  <c r="U8" i="35" s="1"/>
  <c r="U891" i="3"/>
  <c r="U4" i="117" s="1"/>
  <c r="U897" i="3"/>
  <c r="U899" i="3"/>
  <c r="U63" i="92" s="1"/>
  <c r="U902" i="3"/>
  <c r="U3" i="149" s="1"/>
  <c r="U910" i="3"/>
  <c r="U15" i="119" s="1"/>
  <c r="U913" i="3"/>
  <c r="U25" i="113" s="1"/>
  <c r="U921" i="3"/>
  <c r="U3" i="146" s="1"/>
  <c r="U929" i="3"/>
  <c r="U25" i="108" s="1"/>
  <c r="R941" i="3"/>
  <c r="R13" i="76" s="1"/>
  <c r="R944" i="3"/>
  <c r="R64" i="92" s="1"/>
  <c r="R952" i="3"/>
  <c r="R13" i="80" s="1"/>
  <c r="R966" i="3"/>
  <c r="R10" i="35" s="1"/>
  <c r="U982" i="3"/>
  <c r="U7" i="124" s="1"/>
  <c r="U990" i="3"/>
  <c r="U7" i="34" s="1"/>
  <c r="R994" i="3"/>
  <c r="R70" i="92" s="1"/>
  <c r="U998" i="3"/>
  <c r="U13" i="12" s="1"/>
  <c r="U1001" i="3"/>
  <c r="U21" i="56" s="1"/>
  <c r="R1019" i="3"/>
  <c r="R17" i="38" s="1"/>
  <c r="U1021" i="3"/>
  <c r="U4" i="181" s="1"/>
  <c r="R1027" i="3"/>
  <c r="R2" i="146" s="1"/>
  <c r="V1043" i="3"/>
  <c r="S1043" i="3"/>
  <c r="U1043" i="3" s="1"/>
  <c r="T1044" i="3"/>
  <c r="X1047" i="3"/>
  <c r="P1048" i="3"/>
  <c r="R1048" i="3" s="1"/>
  <c r="G1" i="16"/>
  <c r="N8" i="20"/>
  <c r="O20" i="22"/>
  <c r="Y20" i="22" s="1"/>
  <c r="I23" i="23"/>
  <c r="V23" i="23" s="1"/>
  <c r="T13" i="25"/>
  <c r="T6" i="26"/>
  <c r="K13" i="27"/>
  <c r="O13" i="27"/>
  <c r="N6" i="29"/>
  <c r="K19" i="30"/>
  <c r="V11" i="31"/>
  <c r="O17" i="32"/>
  <c r="K28" i="33"/>
  <c r="Q28" i="33" s="1"/>
  <c r="M38" i="34"/>
  <c r="X38" i="34" s="1"/>
  <c r="O53" i="40"/>
  <c r="K53" i="40"/>
  <c r="H5" i="44"/>
  <c r="L16" i="48"/>
  <c r="Q9" i="53"/>
  <c r="N6" i="59"/>
  <c r="Y6" i="59" s="1"/>
  <c r="P7" i="60"/>
  <c r="H9" i="61"/>
  <c r="V9" i="61" s="1"/>
  <c r="N14" i="64"/>
  <c r="O32" i="68"/>
  <c r="K8" i="96"/>
  <c r="T12" i="126"/>
  <c r="S15" i="132"/>
  <c r="U834" i="3"/>
  <c r="U59" i="92" s="1"/>
  <c r="R846" i="3"/>
  <c r="R14" i="80" s="1"/>
  <c r="R849" i="3"/>
  <c r="R32" i="196" s="1"/>
  <c r="R857" i="3"/>
  <c r="R865" i="3"/>
  <c r="R7" i="22" s="1"/>
  <c r="U875" i="3"/>
  <c r="U14" i="129" s="1"/>
  <c r="U886" i="3"/>
  <c r="U10" i="172" s="1"/>
  <c r="U894" i="3"/>
  <c r="U9" i="12" s="1"/>
  <c r="R906" i="3"/>
  <c r="R10" i="12" s="1"/>
  <c r="R917" i="3"/>
  <c r="R4" i="100" s="1"/>
  <c r="R925" i="3"/>
  <c r="R24" i="108" s="1"/>
  <c r="R936" i="3"/>
  <c r="R65" i="92" s="1"/>
  <c r="U946" i="3"/>
  <c r="U12" i="116" s="1"/>
  <c r="U954" i="3"/>
  <c r="U33" i="49" s="1"/>
  <c r="R958" i="3"/>
  <c r="R16" i="107" s="1"/>
  <c r="R969" i="3"/>
  <c r="R27" i="168" s="1"/>
  <c r="U974" i="3"/>
  <c r="U18" i="56" s="1"/>
  <c r="R986" i="3"/>
  <c r="R14" i="102" s="1"/>
  <c r="U996" i="3"/>
  <c r="U18" i="177" s="1"/>
  <c r="R1002" i="3"/>
  <c r="R7" i="93" s="1"/>
  <c r="R1005" i="3"/>
  <c r="R35" i="113" s="1"/>
  <c r="U1013" i="3"/>
  <c r="U3" i="39" s="1"/>
  <c r="U1029" i="3"/>
  <c r="U4" i="137" s="1"/>
  <c r="P1042" i="3"/>
  <c r="W1044" i="3"/>
  <c r="S1046" i="3"/>
  <c r="H65" i="12"/>
  <c r="V65" i="12" s="1"/>
  <c r="H2" i="16"/>
  <c r="P2" i="16" s="1"/>
  <c r="Q5" i="17"/>
  <c r="T8" i="20"/>
  <c r="T10" i="36"/>
  <c r="Q8" i="37"/>
  <c r="M16" i="48"/>
  <c r="O162" i="49"/>
  <c r="O36" i="56"/>
  <c r="X10" i="77"/>
  <c r="U696" i="3"/>
  <c r="U7" i="68" s="1"/>
  <c r="U707" i="3"/>
  <c r="U3" i="29" s="1"/>
  <c r="R711" i="3"/>
  <c r="R8" i="102" s="1"/>
  <c r="R728" i="3"/>
  <c r="R22" i="123" s="1"/>
  <c r="R734" i="3"/>
  <c r="R11" i="107" s="1"/>
  <c r="R742" i="3"/>
  <c r="R17" i="56" s="1"/>
  <c r="U755" i="3"/>
  <c r="U24" i="168" s="1"/>
  <c r="U761" i="3"/>
  <c r="U2" i="150" s="1"/>
  <c r="U769" i="3"/>
  <c r="U25" i="196" s="1"/>
  <c r="R778" i="3"/>
  <c r="R4" i="63" s="1"/>
  <c r="U780" i="3"/>
  <c r="U15" i="122" s="1"/>
  <c r="R786" i="3"/>
  <c r="R17" i="193" s="1"/>
  <c r="R789" i="3"/>
  <c r="R7" i="74" s="1"/>
  <c r="R797" i="3"/>
  <c r="R3" i="166" s="1"/>
  <c r="U799" i="3"/>
  <c r="U12" i="169" s="1"/>
  <c r="U810" i="3"/>
  <c r="U5" i="41" s="1"/>
  <c r="R822" i="3"/>
  <c r="R25" i="38" s="1"/>
  <c r="R830" i="3"/>
  <c r="R58" i="92" s="1"/>
  <c r="R841" i="3"/>
  <c r="R6" i="145" s="1"/>
  <c r="U851" i="3"/>
  <c r="U26" i="168" s="1"/>
  <c r="U859" i="3"/>
  <c r="U10" i="110" s="1"/>
  <c r="U867" i="3"/>
  <c r="U4" i="115" s="1"/>
  <c r="U870" i="3"/>
  <c r="U44" i="185" s="1"/>
  <c r="U878" i="3"/>
  <c r="U33" i="196" s="1"/>
  <c r="R882" i="3"/>
  <c r="R3" i="150" s="1"/>
  <c r="R890" i="3"/>
  <c r="R15" i="80" s="1"/>
  <c r="R898" i="3"/>
  <c r="R30" i="38" s="1"/>
  <c r="R909" i="3"/>
  <c r="R6" i="161" s="1"/>
  <c r="R920" i="3"/>
  <c r="R16" i="122" s="1"/>
  <c r="R928" i="3"/>
  <c r="R3" i="82" s="1"/>
  <c r="U938" i="3"/>
  <c r="U14" i="76" s="1"/>
  <c r="U949" i="3"/>
  <c r="U34" i="38" s="1"/>
  <c r="U963" i="3"/>
  <c r="U12" i="155" s="1"/>
  <c r="R978" i="3"/>
  <c r="R69" i="92" s="1"/>
  <c r="R981" i="3"/>
  <c r="R6" i="90" s="1"/>
  <c r="R989" i="3"/>
  <c r="R14" i="155" s="1"/>
  <c r="R997" i="3"/>
  <c r="R10" i="47" s="1"/>
  <c r="R1003" i="3"/>
  <c r="U1016" i="3"/>
  <c r="U12" i="39" s="1"/>
  <c r="U1032" i="3"/>
  <c r="U4" i="99" s="1"/>
  <c r="Q1042" i="3"/>
  <c r="T1046" i="3"/>
  <c r="X1048" i="3"/>
  <c r="H8" i="20"/>
  <c r="K23" i="23"/>
  <c r="M13" i="27"/>
  <c r="M19" i="30"/>
  <c r="I17" i="32"/>
  <c r="Q17" i="32" s="1"/>
  <c r="M28" i="33"/>
  <c r="X28" i="33" s="1"/>
  <c r="O38" i="34"/>
  <c r="K43" i="35"/>
  <c r="H10" i="36"/>
  <c r="V10" i="36" s="1"/>
  <c r="H26" i="39"/>
  <c r="V26" i="39" s="1"/>
  <c r="I53" i="40"/>
  <c r="V53" i="40" s="1"/>
  <c r="N8" i="42"/>
  <c r="S8" i="42" s="1"/>
  <c r="N16" i="48"/>
  <c r="H36" i="56"/>
  <c r="X12" i="57"/>
  <c r="Q24" i="82"/>
  <c r="V13" i="140"/>
  <c r="P13" i="140"/>
  <c r="T9" i="187"/>
  <c r="U713" i="3"/>
  <c r="U5" i="148" s="1"/>
  <c r="U719" i="3"/>
  <c r="U11" i="119" s="1"/>
  <c r="R762" i="3"/>
  <c r="R10" i="102" s="1"/>
  <c r="U767" i="3"/>
  <c r="U3" i="117" s="1"/>
  <c r="R770" i="3"/>
  <c r="R14" i="122" s="1"/>
  <c r="U775" i="3"/>
  <c r="U11" i="129" s="1"/>
  <c r="U783" i="3"/>
  <c r="U21" i="49" s="1"/>
  <c r="R792" i="3"/>
  <c r="R8" i="139" s="1"/>
  <c r="U802" i="3"/>
  <c r="U57" i="92" s="1"/>
  <c r="R814" i="3"/>
  <c r="R24" i="38" s="1"/>
  <c r="R817" i="3"/>
  <c r="R27" i="38" s="1"/>
  <c r="R825" i="3"/>
  <c r="R4" i="125" s="1"/>
  <c r="R833" i="3"/>
  <c r="R24" i="49" s="1"/>
  <c r="U843" i="3"/>
  <c r="U19" i="113" s="1"/>
  <c r="U854" i="3"/>
  <c r="U5" i="156" s="1"/>
  <c r="U862" i="3"/>
  <c r="U15" i="107" s="1"/>
  <c r="R874" i="3"/>
  <c r="R12" i="102" s="1"/>
  <c r="R885" i="3"/>
  <c r="R28" i="38" s="1"/>
  <c r="R893" i="3"/>
  <c r="R32" i="38" s="1"/>
  <c r="R901" i="3"/>
  <c r="R5" i="63" s="1"/>
  <c r="U903" i="3"/>
  <c r="U10" i="68" s="1"/>
  <c r="U914" i="3"/>
  <c r="U34" i="196" s="1"/>
  <c r="U922" i="3"/>
  <c r="U19" i="193" s="1"/>
  <c r="U930" i="3"/>
  <c r="U26" i="113" s="1"/>
  <c r="U933" i="3"/>
  <c r="U16" i="76" s="1"/>
  <c r="U941" i="3"/>
  <c r="U13" i="76" s="1"/>
  <c r="R945" i="3"/>
  <c r="R10" i="109" s="1"/>
  <c r="R953" i="3"/>
  <c r="R66" i="92" s="1"/>
  <c r="U955" i="3"/>
  <c r="U16" i="80" s="1"/>
  <c r="U961" i="3"/>
  <c r="U966" i="3"/>
  <c r="U10" i="35" s="1"/>
  <c r="R973" i="3"/>
  <c r="R10" i="74" s="1"/>
  <c r="U983" i="3"/>
  <c r="U71" i="92" s="1"/>
  <c r="U991" i="3"/>
  <c r="U35" i="38" s="1"/>
  <c r="U994" i="3"/>
  <c r="U70" i="92" s="1"/>
  <c r="U999" i="3"/>
  <c r="U3" i="44" s="1"/>
  <c r="U1011" i="3"/>
  <c r="U7" i="113" s="1"/>
  <c r="U1022" i="3"/>
  <c r="U5" i="181" s="1"/>
  <c r="T1041" i="3"/>
  <c r="Q1043" i="3"/>
  <c r="V1045" i="3"/>
  <c r="Y1046" i="3"/>
  <c r="T1047" i="3"/>
  <c r="J65" i="12"/>
  <c r="Y5" i="17"/>
  <c r="I8" i="20"/>
  <c r="V12" i="21"/>
  <c r="L23" i="23"/>
  <c r="X23" i="23" s="1"/>
  <c r="N19" i="30"/>
  <c r="Q11" i="31"/>
  <c r="J17" i="32"/>
  <c r="N28" i="33"/>
  <c r="L43" i="35"/>
  <c r="J53" i="40"/>
  <c r="O8" i="42"/>
  <c r="T8" i="42" s="1"/>
  <c r="I162" i="49"/>
  <c r="H15" i="50"/>
  <c r="V15" i="50" s="1"/>
  <c r="M6" i="59"/>
  <c r="T6" i="59" s="1"/>
  <c r="W7" i="60"/>
  <c r="O5" i="62"/>
  <c r="T5" i="62" s="1"/>
  <c r="W4" i="65"/>
  <c r="I11" i="70"/>
  <c r="Q11" i="70" s="1"/>
  <c r="I78" i="73"/>
  <c r="P5" i="91"/>
  <c r="R5" i="91" s="1"/>
  <c r="W5" i="91"/>
  <c r="U1041" i="3"/>
  <c r="P26" i="39"/>
  <c r="L19" i="69"/>
  <c r="S8" i="89"/>
  <c r="Y8" i="89"/>
  <c r="U697" i="3"/>
  <c r="U5" i="98" s="1"/>
  <c r="U703" i="3"/>
  <c r="U5" i="155" s="1"/>
  <c r="R706" i="3"/>
  <c r="R7" i="102" s="1"/>
  <c r="U711" i="3"/>
  <c r="U8" i="102" s="1"/>
  <c r="U731" i="3"/>
  <c r="U15" i="177" s="1"/>
  <c r="R735" i="3"/>
  <c r="R4" i="151" s="1"/>
  <c r="R754" i="3"/>
  <c r="R17" i="113" s="1"/>
  <c r="R760" i="3"/>
  <c r="R23" i="123" s="1"/>
  <c r="R766" i="3"/>
  <c r="R16" i="113" s="1"/>
  <c r="R774" i="3"/>
  <c r="R7" i="172" s="1"/>
  <c r="R782" i="3"/>
  <c r="R7" i="48" s="1"/>
  <c r="R790" i="3"/>
  <c r="R4" i="161" s="1"/>
  <c r="R801" i="3"/>
  <c r="R13" i="119" s="1"/>
  <c r="U811" i="3"/>
  <c r="U10" i="76" s="1"/>
  <c r="U822" i="3"/>
  <c r="U25" i="38" s="1"/>
  <c r="U830" i="3"/>
  <c r="U58" i="92" s="1"/>
  <c r="R842" i="3"/>
  <c r="R10" i="155" s="1"/>
  <c r="R853" i="3"/>
  <c r="R26" i="49" s="1"/>
  <c r="R861" i="3"/>
  <c r="R13" i="129" s="1"/>
  <c r="R869" i="3"/>
  <c r="R5" i="161" s="1"/>
  <c r="U882" i="3"/>
  <c r="U3" i="150" s="1"/>
  <c r="U890" i="3"/>
  <c r="U15" i="80" s="1"/>
  <c r="U898" i="3"/>
  <c r="U30" i="38" s="1"/>
  <c r="R910" i="3"/>
  <c r="R15" i="119" s="1"/>
  <c r="R913" i="3"/>
  <c r="R25" i="113" s="1"/>
  <c r="R921" i="3"/>
  <c r="R3" i="146" s="1"/>
  <c r="R929" i="3"/>
  <c r="R25" i="108" s="1"/>
  <c r="R940" i="3"/>
  <c r="R2" i="89" s="1"/>
  <c r="U950" i="3"/>
  <c r="U17" i="107" s="1"/>
  <c r="R965" i="3"/>
  <c r="R19" i="120" s="1"/>
  <c r="U978" i="3"/>
  <c r="U69" i="92" s="1"/>
  <c r="R982" i="3"/>
  <c r="R7" i="124" s="1"/>
  <c r="R990" i="3"/>
  <c r="R7" i="34" s="1"/>
  <c r="R998" i="3"/>
  <c r="R13" i="12" s="1"/>
  <c r="R1007" i="3"/>
  <c r="U1020" i="3"/>
  <c r="U3" i="181" s="1"/>
  <c r="U1025" i="3"/>
  <c r="U2" i="198" s="1"/>
  <c r="U1028" i="3"/>
  <c r="U3" i="137" s="1"/>
  <c r="R1031" i="3"/>
  <c r="R3" i="99" s="1"/>
  <c r="U1033" i="3"/>
  <c r="U2" i="35" s="1"/>
  <c r="Q1041" i="3"/>
  <c r="P1045" i="3"/>
  <c r="Y1048" i="3"/>
  <c r="L65" i="12"/>
  <c r="V5" i="17"/>
  <c r="K8" i="20"/>
  <c r="L20" i="22"/>
  <c r="X20" i="22" s="1"/>
  <c r="N23" i="23"/>
  <c r="X13" i="25"/>
  <c r="H13" i="27"/>
  <c r="V13" i="27" s="1"/>
  <c r="K6" i="29"/>
  <c r="Q6" i="29" s="1"/>
  <c r="H19" i="30"/>
  <c r="H28" i="33"/>
  <c r="V28" i="33" s="1"/>
  <c r="J38" i="34"/>
  <c r="N43" i="35"/>
  <c r="K113" i="38"/>
  <c r="K26" i="39"/>
  <c r="Q26" i="39" s="1"/>
  <c r="L53" i="40"/>
  <c r="X53" i="40" s="1"/>
  <c r="K13" i="41"/>
  <c r="W13" i="41" s="1"/>
  <c r="I8" i="42"/>
  <c r="Q8" i="42" s="1"/>
  <c r="M5" i="44"/>
  <c r="X5" i="44" s="1"/>
  <c r="K162" i="49"/>
  <c r="J15" i="50"/>
  <c r="K36" i="56"/>
  <c r="M16" i="67"/>
  <c r="N10" i="101"/>
  <c r="K17" i="114"/>
  <c r="U874" i="3"/>
  <c r="U12" i="102" s="1"/>
  <c r="R886" i="3"/>
  <c r="R10" i="172" s="1"/>
  <c r="R894" i="3"/>
  <c r="R9" i="12" s="1"/>
  <c r="R905" i="3"/>
  <c r="R48" i="185" s="1"/>
  <c r="R916" i="3"/>
  <c r="R9" i="188" s="1"/>
  <c r="R924" i="3"/>
  <c r="R24" i="113" s="1"/>
  <c r="R932" i="3"/>
  <c r="R3" i="97" s="1"/>
  <c r="U934" i="3"/>
  <c r="U30" i="49" s="1"/>
  <c r="U945" i="3"/>
  <c r="U10" i="109" s="1"/>
  <c r="U953" i="3"/>
  <c r="U66" i="92" s="1"/>
  <c r="R957" i="3"/>
  <c r="R10" i="188" s="1"/>
  <c r="U967" i="3"/>
  <c r="U23" i="108" s="1"/>
  <c r="U970" i="3"/>
  <c r="U26" i="108" s="1"/>
  <c r="R974" i="3"/>
  <c r="R18" i="56" s="1"/>
  <c r="U995" i="3"/>
  <c r="U5" i="125" s="1"/>
  <c r="U1006" i="3"/>
  <c r="U3" i="194" s="1"/>
  <c r="R1029" i="3"/>
  <c r="R4" i="137" s="1"/>
  <c r="T1042" i="3"/>
  <c r="Q1045" i="3"/>
  <c r="P1047" i="3"/>
  <c r="M65" i="12"/>
  <c r="T23" i="23"/>
  <c r="I19" i="30"/>
  <c r="M17" i="32"/>
  <c r="X10" i="36"/>
  <c r="V8" i="37"/>
  <c r="J16" i="48"/>
  <c r="H162" i="49"/>
  <c r="H11" i="70"/>
  <c r="T10" i="183"/>
  <c r="X9" i="53"/>
  <c r="N14" i="63"/>
  <c r="O78" i="73"/>
  <c r="N259" i="76"/>
  <c r="K10" i="77"/>
  <c r="Q10" i="77" s="1"/>
  <c r="I36" i="78"/>
  <c r="O61" i="80"/>
  <c r="P24" i="82"/>
  <c r="R24" i="82" s="1"/>
  <c r="X8" i="84"/>
  <c r="H12" i="85"/>
  <c r="Y6" i="87"/>
  <c r="J9" i="88"/>
  <c r="P9" i="88" s="1"/>
  <c r="N9" i="88"/>
  <c r="X8" i="89"/>
  <c r="I8" i="96"/>
  <c r="N21" i="97"/>
  <c r="N9" i="99"/>
  <c r="S9" i="99" s="1"/>
  <c r="H10" i="101"/>
  <c r="K61" i="102"/>
  <c r="K70" i="110"/>
  <c r="L11" i="111"/>
  <c r="X11" i="111" s="1"/>
  <c r="N12" i="117"/>
  <c r="J12" i="117"/>
  <c r="N72" i="119"/>
  <c r="K19" i="121"/>
  <c r="I27" i="122"/>
  <c r="N34" i="124"/>
  <c r="N14" i="125"/>
  <c r="H12" i="126"/>
  <c r="V12" i="126" s="1"/>
  <c r="S7" i="127"/>
  <c r="U7" i="127" s="1"/>
  <c r="T6" i="130"/>
  <c r="K6" i="130"/>
  <c r="L42" i="131"/>
  <c r="J15" i="134"/>
  <c r="N15" i="134"/>
  <c r="H12" i="135"/>
  <c r="V12" i="135" s="1"/>
  <c r="J12" i="138"/>
  <c r="T5" i="142"/>
  <c r="X19" i="143"/>
  <c r="H33" i="148"/>
  <c r="V33" i="148" s="1"/>
  <c r="L8" i="153"/>
  <c r="H128" i="155"/>
  <c r="I17" i="156"/>
  <c r="Q17" i="156" s="1"/>
  <c r="M17" i="156"/>
  <c r="K7" i="159"/>
  <c r="Q7" i="159" s="1"/>
  <c r="Q5" i="162"/>
  <c r="I18" i="163"/>
  <c r="O26" i="166"/>
  <c r="K95" i="167"/>
  <c r="O23" i="171"/>
  <c r="O77" i="172"/>
  <c r="L15" i="173"/>
  <c r="X15" i="173" s="1"/>
  <c r="N10" i="175"/>
  <c r="N27" i="177"/>
  <c r="H7" i="178"/>
  <c r="M16" i="180"/>
  <c r="T16" i="180" s="1"/>
  <c r="K19" i="181"/>
  <c r="Q19" i="181" s="1"/>
  <c r="K125" i="196"/>
  <c r="X7" i="197"/>
  <c r="O15" i="134"/>
  <c r="H7" i="159"/>
  <c r="V7" i="159" s="1"/>
  <c r="L302" i="168"/>
  <c r="H19" i="181"/>
  <c r="V19" i="181" s="1"/>
  <c r="O24" i="192"/>
  <c r="K56" i="71"/>
  <c r="Q56" i="71" s="1"/>
  <c r="K12" i="72"/>
  <c r="H48" i="74"/>
  <c r="M34" i="79"/>
  <c r="J12" i="85"/>
  <c r="V194" i="90"/>
  <c r="L11" i="93"/>
  <c r="L17" i="98"/>
  <c r="J11" i="100"/>
  <c r="J10" i="101"/>
  <c r="I61" i="102"/>
  <c r="H90" i="107"/>
  <c r="I70" i="110"/>
  <c r="H17" i="114"/>
  <c r="V17" i="114" s="1"/>
  <c r="I23" i="116"/>
  <c r="M19" i="121"/>
  <c r="X19" i="121" s="1"/>
  <c r="H14" i="125"/>
  <c r="V14" i="125" s="1"/>
  <c r="J12" i="126"/>
  <c r="W12" i="126" s="1"/>
  <c r="I6" i="130"/>
  <c r="L12" i="138"/>
  <c r="K25" i="139"/>
  <c r="K8" i="141"/>
  <c r="I5" i="142"/>
  <c r="O14" i="145"/>
  <c r="T14" i="145" s="1"/>
  <c r="N10" i="146"/>
  <c r="J33" i="148"/>
  <c r="O14" i="149"/>
  <c r="T7" i="152"/>
  <c r="J128" i="155"/>
  <c r="W6" i="158"/>
  <c r="K18" i="163"/>
  <c r="K8" i="165"/>
  <c r="I26" i="166"/>
  <c r="I77" i="172"/>
  <c r="H10" i="175"/>
  <c r="H27" i="177"/>
  <c r="J7" i="178"/>
  <c r="M19" i="181"/>
  <c r="X19" i="181" s="1"/>
  <c r="L9" i="182"/>
  <c r="X9" i="182" s="1"/>
  <c r="I10" i="183"/>
  <c r="V10" i="183" s="1"/>
  <c r="N11" i="184"/>
  <c r="I9" i="187"/>
  <c r="V9" i="187" s="1"/>
  <c r="H24" i="192"/>
  <c r="J44" i="193"/>
  <c r="M125" i="196"/>
  <c r="X125" i="196" s="1"/>
  <c r="N7" i="197"/>
  <c r="K14" i="64"/>
  <c r="O5" i="66"/>
  <c r="Y5" i="66" s="1"/>
  <c r="J11" i="70"/>
  <c r="W11" i="70" s="1"/>
  <c r="L12" i="72"/>
  <c r="M259" i="76"/>
  <c r="N10" i="77"/>
  <c r="N34" i="79"/>
  <c r="J61" i="80"/>
  <c r="X24" i="82"/>
  <c r="T8" i="84"/>
  <c r="N67" i="86"/>
  <c r="V8" i="89"/>
  <c r="K194" i="90"/>
  <c r="Q194" i="90" s="1"/>
  <c r="K10" i="101"/>
  <c r="Q10" i="101" s="1"/>
  <c r="J61" i="102"/>
  <c r="K9" i="103"/>
  <c r="I72" i="119"/>
  <c r="H86" i="129"/>
  <c r="I15" i="132"/>
  <c r="Q15" i="132"/>
  <c r="W13" i="140"/>
  <c r="V14" i="145"/>
  <c r="T10" i="146"/>
  <c r="K33" i="148"/>
  <c r="Q33" i="148" s="1"/>
  <c r="X17" i="156"/>
  <c r="X18" i="163"/>
  <c r="N26" i="166"/>
  <c r="N95" i="167"/>
  <c r="N302" i="168"/>
  <c r="X130" i="170"/>
  <c r="O15" i="173"/>
  <c r="T15" i="173" s="1"/>
  <c r="I27" i="177"/>
  <c r="V16" i="180"/>
  <c r="M5" i="191"/>
  <c r="X5" i="191" s="1"/>
  <c r="I24" i="192"/>
  <c r="O9" i="195"/>
  <c r="T9" i="195" s="1"/>
  <c r="N125" i="196"/>
  <c r="O7" i="197"/>
  <c r="T7" i="197" s="1"/>
  <c r="N36" i="56"/>
  <c r="M12" i="72"/>
  <c r="K78" i="73"/>
  <c r="Q78" i="73" s="1"/>
  <c r="Q34" i="79"/>
  <c r="V8" i="84"/>
  <c r="L12" i="85"/>
  <c r="X12" i="85" s="1"/>
  <c r="Q8" i="89"/>
  <c r="L10" i="101"/>
  <c r="S10" i="101" s="1"/>
  <c r="U10" i="101" s="1"/>
  <c r="H9" i="103"/>
  <c r="M17" i="109"/>
  <c r="O23" i="116"/>
  <c r="J72" i="119"/>
  <c r="O19" i="121"/>
  <c r="X12" i="126"/>
  <c r="I25" i="139"/>
  <c r="Q13" i="140"/>
  <c r="I7" i="152"/>
  <c r="V7" i="152" s="1"/>
  <c r="L128" i="155"/>
  <c r="T5" i="162"/>
  <c r="K26" i="166"/>
  <c r="Q26" i="166" s="1"/>
  <c r="K302" i="168"/>
  <c r="S5" i="179"/>
  <c r="W9" i="182"/>
  <c r="Q10" i="183"/>
  <c r="L30" i="188"/>
  <c r="M17" i="190"/>
  <c r="N5" i="191"/>
  <c r="S5" i="191" s="1"/>
  <c r="J24" i="192"/>
  <c r="N24" i="192"/>
  <c r="O13" i="194"/>
  <c r="Y13" i="194" s="1"/>
  <c r="O125" i="196"/>
  <c r="H7" i="197"/>
  <c r="J5" i="62"/>
  <c r="M14" i="64"/>
  <c r="L16" i="67"/>
  <c r="J32" i="68"/>
  <c r="L11" i="70"/>
  <c r="X11" i="70" s="1"/>
  <c r="N56" i="71"/>
  <c r="N12" i="72"/>
  <c r="S12" i="72" s="1"/>
  <c r="L78" i="73"/>
  <c r="S78" i="73" s="1"/>
  <c r="M12" i="85"/>
  <c r="T12" i="85" s="1"/>
  <c r="Q67" i="86"/>
  <c r="M194" i="90"/>
  <c r="X194" i="90" s="1"/>
  <c r="N8" i="96"/>
  <c r="K21" i="97"/>
  <c r="Q21" i="97" s="1"/>
  <c r="O17" i="98"/>
  <c r="K9" i="99"/>
  <c r="Q9" i="99" s="1"/>
  <c r="L61" i="102"/>
  <c r="M9" i="103"/>
  <c r="K90" i="107"/>
  <c r="N17" i="109"/>
  <c r="Q10" i="115"/>
  <c r="N13" i="118"/>
  <c r="K72" i="119"/>
  <c r="Q72" i="119" s="1"/>
  <c r="L36" i="120"/>
  <c r="H19" i="121"/>
  <c r="V19" i="121" s="1"/>
  <c r="K40" i="123"/>
  <c r="K34" i="124"/>
  <c r="Q34" i="124" s="1"/>
  <c r="H9" i="128"/>
  <c r="M12" i="135"/>
  <c r="N31" i="137"/>
  <c r="S31" i="137" s="1"/>
  <c r="N25" i="139"/>
  <c r="S25" i="139" s="1"/>
  <c r="X13" i="140"/>
  <c r="I19" i="143"/>
  <c r="V19" i="143" s="1"/>
  <c r="X23" i="147"/>
  <c r="M33" i="148"/>
  <c r="J14" i="149"/>
  <c r="N5" i="150"/>
  <c r="Y5" i="150" s="1"/>
  <c r="K17" i="151"/>
  <c r="Q17" i="151" s="1"/>
  <c r="I8" i="153"/>
  <c r="V8" i="153" s="1"/>
  <c r="M128" i="155"/>
  <c r="N17" i="156"/>
  <c r="O17" i="161"/>
  <c r="T17" i="161" s="1"/>
  <c r="N18" i="163"/>
  <c r="L26" i="166"/>
  <c r="H302" i="168"/>
  <c r="L77" i="172"/>
  <c r="M7" i="178"/>
  <c r="X7" i="178" s="1"/>
  <c r="T5" i="179"/>
  <c r="J16" i="180"/>
  <c r="O9" i="182"/>
  <c r="T9" i="182" s="1"/>
  <c r="L10" i="183"/>
  <c r="X10" i="183" s="1"/>
  <c r="I11" i="184"/>
  <c r="I30" i="188"/>
  <c r="N17" i="190"/>
  <c r="K24" i="192"/>
  <c r="M44" i="193"/>
  <c r="I44" i="193"/>
  <c r="V44" i="193" s="1"/>
  <c r="H13" i="194"/>
  <c r="I9" i="195"/>
  <c r="V9" i="195" s="1"/>
  <c r="I7" i="197"/>
  <c r="I7" i="198"/>
  <c r="V7" i="198" s="1"/>
  <c r="L17" i="114"/>
  <c r="T13" i="118"/>
  <c r="Q27" i="122"/>
  <c r="Q7" i="152"/>
  <c r="T17" i="156"/>
  <c r="L17" i="161"/>
  <c r="K16" i="169"/>
  <c r="L10" i="175"/>
  <c r="P13" i="189"/>
  <c r="M36" i="56"/>
  <c r="X6" i="59"/>
  <c r="Q5" i="66"/>
  <c r="K12" i="85"/>
  <c r="Q12" i="85" s="1"/>
  <c r="T6" i="87"/>
  <c r="O194" i="90"/>
  <c r="M11" i="93"/>
  <c r="V8" i="96"/>
  <c r="T9" i="103"/>
  <c r="L13" i="118"/>
  <c r="X13" i="118" s="1"/>
  <c r="M34" i="124"/>
  <c r="T34" i="124" s="1"/>
  <c r="J9" i="128"/>
  <c r="N6" i="130"/>
  <c r="K42" i="131"/>
  <c r="I15" i="134"/>
  <c r="V15" i="134" s="1"/>
  <c r="O12" i="135"/>
  <c r="H8" i="136"/>
  <c r="V8" i="136" s="1"/>
  <c r="L8" i="136"/>
  <c r="Y5" i="142"/>
  <c r="L14" i="145"/>
  <c r="X14" i="149"/>
  <c r="Q8" i="153"/>
  <c r="T6" i="158"/>
  <c r="H18" i="163"/>
  <c r="V18" i="163" s="1"/>
  <c r="J302" i="168"/>
  <c r="V130" i="170"/>
  <c r="M10" i="175"/>
  <c r="T10" i="175" s="1"/>
  <c r="K7" i="178"/>
  <c r="J19" i="181"/>
  <c r="N10" i="183"/>
  <c r="K30" i="188"/>
  <c r="Q13" i="189"/>
  <c r="F5" i="160"/>
  <c r="G5" i="160" s="1"/>
  <c r="F9" i="128"/>
  <c r="G4" i="128" s="1"/>
  <c r="F7" i="197"/>
  <c r="G4" i="197" s="1"/>
  <c r="F5" i="19"/>
  <c r="G5" i="19" s="1"/>
  <c r="F5" i="66"/>
  <c r="G3" i="66" s="1"/>
  <c r="F8" i="84"/>
  <c r="F5" i="154"/>
  <c r="G5" i="154" s="1"/>
  <c r="F7" i="54"/>
  <c r="G5" i="54" s="1"/>
  <c r="F6" i="133"/>
  <c r="G4" i="133" s="1"/>
  <c r="F8" i="144"/>
  <c r="G5" i="144" s="1"/>
  <c r="F5" i="179"/>
  <c r="G5" i="179" s="1"/>
  <c r="G2" i="65"/>
  <c r="F8" i="20"/>
  <c r="G5" i="20" s="1"/>
  <c r="F28" i="33"/>
  <c r="G5" i="33" s="1"/>
  <c r="F5" i="17"/>
  <c r="G5" i="17" s="1"/>
  <c r="F1" i="16"/>
  <c r="F9" i="61"/>
  <c r="G7" i="61" s="1"/>
  <c r="F15" i="134"/>
  <c r="G6" i="134" s="1"/>
  <c r="F36" i="56"/>
  <c r="G12" i="56" s="1"/>
  <c r="F8" i="136"/>
  <c r="G2" i="136" s="1"/>
  <c r="Y2" i="16"/>
  <c r="F8" i="37"/>
  <c r="G3" i="37" s="1"/>
  <c r="F9" i="53"/>
  <c r="G3" i="53" s="1"/>
  <c r="F5" i="62"/>
  <c r="G3" i="62" s="1"/>
  <c r="F12" i="135"/>
  <c r="G8" i="135" s="1"/>
  <c r="F5" i="191"/>
  <c r="G5" i="191" s="1"/>
  <c r="F43" i="35"/>
  <c r="G5" i="35" s="1"/>
  <c r="F14" i="125"/>
  <c r="G5" i="125" s="1"/>
  <c r="F6" i="130"/>
  <c r="G2" i="130" s="1"/>
  <c r="F17" i="109"/>
  <c r="G15" i="109" s="1"/>
  <c r="F9" i="195"/>
  <c r="G2" i="195" s="1"/>
  <c r="F6" i="29"/>
  <c r="G2" i="29" s="1"/>
  <c r="F12" i="72"/>
  <c r="G4" i="72" s="1"/>
  <c r="F13" i="140"/>
  <c r="G4" i="140" s="1"/>
  <c r="F5" i="162"/>
  <c r="G3" i="162" s="1"/>
  <c r="F8" i="165"/>
  <c r="G4" i="165" s="1"/>
  <c r="F24" i="192"/>
  <c r="F5" i="91"/>
  <c r="G3" i="91" s="1"/>
  <c r="F23" i="147"/>
  <c r="G14" i="147" s="1"/>
  <c r="F7" i="159"/>
  <c r="G2" i="159" s="1"/>
  <c r="F8" i="186"/>
  <c r="G2" i="186" s="1"/>
  <c r="F13" i="27"/>
  <c r="G10" i="27" s="1"/>
  <c r="F9" i="103"/>
  <c r="G5" i="103" s="1"/>
  <c r="F7" i="198"/>
  <c r="G2" i="198" s="1"/>
  <c r="AB2" i="16"/>
  <c r="F13" i="118"/>
  <c r="G5" i="118" s="1"/>
  <c r="F17" i="151"/>
  <c r="G9" i="151" s="1"/>
  <c r="F77" i="172"/>
  <c r="G39" i="172" s="1"/>
  <c r="F19" i="181"/>
  <c r="G5" i="181" s="1"/>
  <c r="F9" i="99"/>
  <c r="G7" i="99" s="1"/>
  <c r="F15" i="132"/>
  <c r="G5" i="132" s="1"/>
  <c r="F10" i="175"/>
  <c r="G5" i="175" s="1"/>
  <c r="F9" i="182"/>
  <c r="G6" i="182" s="1"/>
  <c r="F20" i="22"/>
  <c r="G11" i="22" s="1"/>
  <c r="F95" i="167"/>
  <c r="G34" i="167" s="1"/>
  <c r="F27" i="177"/>
  <c r="G27" i="177" s="1"/>
  <c r="F1043" i="3"/>
  <c r="F8" i="42"/>
  <c r="G4" i="42" s="1"/>
  <c r="F16" i="48"/>
  <c r="G10" i="48" s="1"/>
  <c r="F8" i="81"/>
  <c r="G5" i="81" s="1"/>
  <c r="F8" i="106"/>
  <c r="G5" i="106" s="1"/>
  <c r="F23" i="171"/>
  <c r="G12" i="171" s="1"/>
  <c r="F17" i="190"/>
  <c r="G9" i="190" s="1"/>
  <c r="F13" i="194"/>
  <c r="G6" i="194" s="1"/>
  <c r="U2" i="167"/>
  <c r="T34" i="16"/>
  <c r="U2" i="70"/>
  <c r="T21" i="16"/>
  <c r="R2" i="56"/>
  <c r="U2" i="151"/>
  <c r="T17" i="16"/>
  <c r="R4" i="103"/>
  <c r="Q26" i="16"/>
  <c r="U2" i="112"/>
  <c r="U2" i="153"/>
  <c r="U4" i="103"/>
  <c r="T26" i="16"/>
  <c r="R2" i="123"/>
  <c r="R3" i="171"/>
  <c r="Q4" i="16"/>
  <c r="U2" i="173"/>
  <c r="T39" i="16"/>
  <c r="U2" i="174"/>
  <c r="T22" i="16"/>
  <c r="R3" i="74"/>
  <c r="Q45" i="16"/>
  <c r="U2" i="33"/>
  <c r="T24" i="16"/>
  <c r="U2" i="85"/>
  <c r="T25" i="16"/>
  <c r="R3" i="196"/>
  <c r="R2" i="85"/>
  <c r="Q25" i="16"/>
  <c r="R2" i="70"/>
  <c r="Q21" i="16"/>
  <c r="R2" i="169"/>
  <c r="U2" i="141"/>
  <c r="R2" i="112"/>
  <c r="R6" i="123"/>
  <c r="Q24" i="16"/>
  <c r="R2" i="33"/>
  <c r="R2" i="163"/>
  <c r="Q56" i="16"/>
  <c r="U2" i="178"/>
  <c r="T50" i="16"/>
  <c r="U2" i="42"/>
  <c r="T47" i="16"/>
  <c r="U2" i="165"/>
  <c r="X2" i="93"/>
  <c r="T8" i="168"/>
  <c r="S5" i="16"/>
  <c r="T3" i="70"/>
  <c r="X2" i="193"/>
  <c r="W19" i="16"/>
  <c r="V2" i="173"/>
  <c r="U39" i="16"/>
  <c r="W2" i="61"/>
  <c r="P2" i="39"/>
  <c r="S2" i="169"/>
  <c r="R2" i="190"/>
  <c r="Q3" i="184"/>
  <c r="P12" i="16"/>
  <c r="Q2" i="128"/>
  <c r="P38" i="16"/>
  <c r="S2" i="163"/>
  <c r="R56" i="16"/>
  <c r="X2" i="80"/>
  <c r="W29" i="16"/>
  <c r="W2" i="116"/>
  <c r="V16" i="16"/>
  <c r="P3" i="128"/>
  <c r="R160" i="3"/>
  <c r="R3" i="128" s="1"/>
  <c r="S13" i="167"/>
  <c r="U318" i="3"/>
  <c r="U13" i="167" s="1"/>
  <c r="S2" i="79"/>
  <c r="U382" i="3"/>
  <c r="U2" i="79" s="1"/>
  <c r="P6" i="22"/>
  <c r="R429" i="3"/>
  <c r="R6" i="22" s="1"/>
  <c r="S11" i="193"/>
  <c r="U446" i="3"/>
  <c r="U11" i="193" s="1"/>
  <c r="P9" i="196"/>
  <c r="R493" i="3"/>
  <c r="R9" i="196" s="1"/>
  <c r="Q2" i="93"/>
  <c r="Y2" i="167"/>
  <c r="X34" i="16"/>
  <c r="W8" i="168"/>
  <c r="V5" i="16"/>
  <c r="V2" i="70"/>
  <c r="U21" i="16"/>
  <c r="T2" i="50"/>
  <c r="S14" i="16"/>
  <c r="W2" i="93"/>
  <c r="R7" i="3"/>
  <c r="R2" i="171" s="1"/>
  <c r="P3" i="171"/>
  <c r="O4" i="16"/>
  <c r="X3" i="171"/>
  <c r="W4" i="16"/>
  <c r="S8" i="168"/>
  <c r="R5" i="16"/>
  <c r="V2" i="196"/>
  <c r="U7" i="16"/>
  <c r="Q2" i="153"/>
  <c r="Y2" i="153"/>
  <c r="U16" i="3"/>
  <c r="U4" i="171" s="1"/>
  <c r="S3" i="70"/>
  <c r="Q2" i="129"/>
  <c r="P6" i="16"/>
  <c r="Y2" i="129"/>
  <c r="X6" i="16"/>
  <c r="W2" i="193"/>
  <c r="V19" i="16"/>
  <c r="S2" i="177"/>
  <c r="R8" i="16"/>
  <c r="V2" i="61"/>
  <c r="W2" i="60"/>
  <c r="R31" i="3"/>
  <c r="U32" i="3"/>
  <c r="U2" i="152" s="1"/>
  <c r="S3" i="177"/>
  <c r="P2" i="72"/>
  <c r="O40" i="16"/>
  <c r="X2" i="72"/>
  <c r="W40" i="16"/>
  <c r="S2" i="143"/>
  <c r="R28" i="16"/>
  <c r="R47" i="3"/>
  <c r="R2" i="168" s="1"/>
  <c r="U48" i="3"/>
  <c r="U3" i="193" s="1"/>
  <c r="S2" i="178"/>
  <c r="R50" i="16"/>
  <c r="Q3" i="92"/>
  <c r="P15" i="16"/>
  <c r="Y3" i="92"/>
  <c r="X15" i="16"/>
  <c r="U56" i="3"/>
  <c r="U2" i="184" s="1"/>
  <c r="V2" i="38"/>
  <c r="U37" i="16"/>
  <c r="R63" i="3"/>
  <c r="R5" i="168" s="1"/>
  <c r="U64" i="3"/>
  <c r="U4" i="173" s="1"/>
  <c r="W2" i="39"/>
  <c r="U72" i="3"/>
  <c r="U3" i="138" s="1"/>
  <c r="Q2" i="190"/>
  <c r="Y2" i="190"/>
  <c r="T2" i="138"/>
  <c r="S54" i="16"/>
  <c r="Q3" i="123"/>
  <c r="Y3" i="123"/>
  <c r="T2" i="31"/>
  <c r="U88" i="3"/>
  <c r="U2" i="57" s="1"/>
  <c r="P3" i="184"/>
  <c r="O12" i="16"/>
  <c r="X3" i="184"/>
  <c r="W12" i="16"/>
  <c r="T2" i="120"/>
  <c r="S43" i="16"/>
  <c r="U96" i="3"/>
  <c r="U5" i="92" s="1"/>
  <c r="P2" i="130"/>
  <c r="X2" i="130"/>
  <c r="Q2" i="122"/>
  <c r="P58" i="16"/>
  <c r="Y2" i="122"/>
  <c r="X58" i="16"/>
  <c r="U104" i="3"/>
  <c r="U3" i="120" s="1"/>
  <c r="R111" i="3"/>
  <c r="R3" i="49" s="1"/>
  <c r="U112" i="3"/>
  <c r="U5" i="103" s="1"/>
  <c r="P2" i="128"/>
  <c r="O38" i="16"/>
  <c r="X2" i="128"/>
  <c r="W38" i="16"/>
  <c r="R119" i="3"/>
  <c r="R3" i="69" s="1"/>
  <c r="U120" i="3"/>
  <c r="U5" i="50" s="1"/>
  <c r="R47" i="16"/>
  <c r="S2" i="42"/>
  <c r="U128" i="3"/>
  <c r="U6" i="171" s="1"/>
  <c r="W2" i="80"/>
  <c r="V29" i="16"/>
  <c r="R135" i="3"/>
  <c r="R2" i="172" s="1"/>
  <c r="U136" i="3"/>
  <c r="U5" i="56" s="1"/>
  <c r="U144" i="3"/>
  <c r="U3" i="114" s="1"/>
  <c r="V2" i="116"/>
  <c r="U16" i="16"/>
  <c r="R151" i="3"/>
  <c r="R3" i="135" s="1"/>
  <c r="U152" i="3"/>
  <c r="U9" i="173" s="1"/>
  <c r="T2" i="111"/>
  <c r="S23" i="16"/>
  <c r="X3" i="196"/>
  <c r="U167" i="3"/>
  <c r="U6" i="103" s="1"/>
  <c r="P2" i="108"/>
  <c r="R168" i="3"/>
  <c r="R2" i="108" s="1"/>
  <c r="W3" i="163"/>
  <c r="V36" i="16"/>
  <c r="R172" i="3"/>
  <c r="R2" i="40" s="1"/>
  <c r="R174" i="3"/>
  <c r="R2" i="22" s="1"/>
  <c r="Q4" i="184"/>
  <c r="R177" i="3"/>
  <c r="R4" i="184" s="1"/>
  <c r="P10" i="173"/>
  <c r="R184" i="3"/>
  <c r="R10" i="173" s="1"/>
  <c r="W4" i="148"/>
  <c r="V42" i="16"/>
  <c r="R188" i="3"/>
  <c r="R2" i="101" s="1"/>
  <c r="R190" i="3"/>
  <c r="R4" i="112" s="1"/>
  <c r="Q3" i="61"/>
  <c r="R193" i="3"/>
  <c r="R3" i="61" s="1"/>
  <c r="Q2" i="12"/>
  <c r="P57" i="16"/>
  <c r="R196" i="3"/>
  <c r="X3" i="122"/>
  <c r="W20" i="16"/>
  <c r="V3" i="22"/>
  <c r="U46" i="16"/>
  <c r="T6" i="193"/>
  <c r="U207" i="3"/>
  <c r="U6" i="193" s="1"/>
  <c r="P2" i="187"/>
  <c r="T8" i="185"/>
  <c r="U223" i="3"/>
  <c r="U8" i="185" s="1"/>
  <c r="X2" i="107"/>
  <c r="W27" i="16"/>
  <c r="Q10" i="123"/>
  <c r="R238" i="3"/>
  <c r="R10" i="123" s="1"/>
  <c r="P3" i="102"/>
  <c r="R245" i="3"/>
  <c r="R3" i="102" s="1"/>
  <c r="W6" i="138"/>
  <c r="V10" i="16"/>
  <c r="S6" i="70"/>
  <c r="U251" i="3"/>
  <c r="U6" i="70" s="1"/>
  <c r="P4" i="22"/>
  <c r="R266" i="3"/>
  <c r="R4" i="22" s="1"/>
  <c r="S12" i="167"/>
  <c r="R49" i="16"/>
  <c r="S5" i="177"/>
  <c r="U275" i="3"/>
  <c r="U5" i="177" s="1"/>
  <c r="U3" i="113"/>
  <c r="P3" i="148"/>
  <c r="R298" i="3"/>
  <c r="R3" i="148" s="1"/>
  <c r="S23" i="92"/>
  <c r="U307" i="3"/>
  <c r="U23" i="92" s="1"/>
  <c r="P2" i="96"/>
  <c r="R330" i="3"/>
  <c r="R2" i="96" s="1"/>
  <c r="S9" i="49"/>
  <c r="U339" i="3"/>
  <c r="U9" i="49" s="1"/>
  <c r="P30" i="92"/>
  <c r="R362" i="3"/>
  <c r="R30" i="92" s="1"/>
  <c r="S4" i="159"/>
  <c r="U371" i="3"/>
  <c r="Q2" i="194"/>
  <c r="P55" i="16"/>
  <c r="P31" i="92"/>
  <c r="R394" i="3"/>
  <c r="R31" i="92" s="1"/>
  <c r="S10" i="56"/>
  <c r="U403" i="3"/>
  <c r="U10" i="56" s="1"/>
  <c r="P15" i="171"/>
  <c r="R426" i="3"/>
  <c r="R15" i="171" s="1"/>
  <c r="S35" i="92"/>
  <c r="U435" i="3"/>
  <c r="U35" i="92" s="1"/>
  <c r="P6" i="116"/>
  <c r="R458" i="3"/>
  <c r="R6" i="116" s="1"/>
  <c r="S3" i="183"/>
  <c r="U467" i="3"/>
  <c r="U3" i="183" s="1"/>
  <c r="Q3" i="142"/>
  <c r="P31" i="16"/>
  <c r="P17" i="171"/>
  <c r="R490" i="3"/>
  <c r="R17" i="171" s="1"/>
  <c r="S6" i="68"/>
  <c r="U499" i="3"/>
  <c r="U6" i="68" s="1"/>
  <c r="P4" i="31"/>
  <c r="R521" i="3"/>
  <c r="R4" i="31" s="1"/>
  <c r="S2" i="118"/>
  <c r="U530" i="3"/>
  <c r="U2" i="118" s="1"/>
  <c r="P3" i="32"/>
  <c r="R553" i="3"/>
  <c r="R3" i="32" s="1"/>
  <c r="S3" i="23"/>
  <c r="U562" i="3"/>
  <c r="U3" i="23" s="1"/>
  <c r="P12" i="49"/>
  <c r="R585" i="3"/>
  <c r="R12" i="49" s="1"/>
  <c r="S18" i="123"/>
  <c r="U594" i="3"/>
  <c r="U18" i="123" s="1"/>
  <c r="U616" i="3"/>
  <c r="U2" i="73" s="1"/>
  <c r="P20" i="38"/>
  <c r="R617" i="3"/>
  <c r="R20" i="38" s="1"/>
  <c r="S7" i="139"/>
  <c r="U626" i="3"/>
  <c r="U7" i="139" s="1"/>
  <c r="U648" i="3"/>
  <c r="U7" i="188" s="1"/>
  <c r="P14" i="177"/>
  <c r="R649" i="3"/>
  <c r="R14" i="177" s="1"/>
  <c r="S32" i="185"/>
  <c r="U658" i="3"/>
  <c r="U32" i="185" s="1"/>
  <c r="U4" i="40"/>
  <c r="T11" i="16"/>
  <c r="U680" i="3"/>
  <c r="U3" i="62" s="1"/>
  <c r="P11" i="122"/>
  <c r="R681" i="3"/>
  <c r="R11" i="122" s="1"/>
  <c r="S20" i="196"/>
  <c r="U690" i="3"/>
  <c r="U20" i="196" s="1"/>
  <c r="U712" i="3"/>
  <c r="U2" i="55" s="1"/>
  <c r="P5" i="148"/>
  <c r="R713" i="3"/>
  <c r="R5" i="148" s="1"/>
  <c r="S2" i="147"/>
  <c r="U722" i="3"/>
  <c r="U3" i="20"/>
  <c r="U744" i="3"/>
  <c r="U2" i="25" s="1"/>
  <c r="P15" i="108"/>
  <c r="R745" i="3"/>
  <c r="R15" i="108" s="1"/>
  <c r="S17" i="113"/>
  <c r="U754" i="3"/>
  <c r="U17" i="113" s="1"/>
  <c r="U776" i="3"/>
  <c r="U9" i="143" s="1"/>
  <c r="P16" i="177"/>
  <c r="R777" i="3"/>
  <c r="R16" i="177" s="1"/>
  <c r="R2" i="182"/>
  <c r="Q41" i="16"/>
  <c r="S33" i="113"/>
  <c r="U960" i="3"/>
  <c r="U33" i="113" s="1"/>
  <c r="S36" i="38"/>
  <c r="U992" i="3"/>
  <c r="U36" i="38" s="1"/>
  <c r="U3" i="197"/>
  <c r="Q3" i="137"/>
  <c r="R1028" i="3"/>
  <c r="R3" i="137" s="1"/>
  <c r="Y3" i="171"/>
  <c r="X4" i="16"/>
  <c r="P2" i="193"/>
  <c r="O19" i="16"/>
  <c r="S2" i="56"/>
  <c r="T2" i="177"/>
  <c r="S8" i="16"/>
  <c r="P2" i="60"/>
  <c r="S2" i="123"/>
  <c r="P2" i="80"/>
  <c r="O29" i="16"/>
  <c r="S2" i="22"/>
  <c r="U174" i="3"/>
  <c r="U2" i="22" s="1"/>
  <c r="S4" i="112"/>
  <c r="U190" i="3"/>
  <c r="U4" i="112" s="1"/>
  <c r="V7" i="49"/>
  <c r="U51" i="16"/>
  <c r="P4" i="80"/>
  <c r="R210" i="3"/>
  <c r="R4" i="80" s="1"/>
  <c r="S10" i="123"/>
  <c r="U238" i="3"/>
  <c r="U10" i="123" s="1"/>
  <c r="R2" i="159"/>
  <c r="Q18" i="16"/>
  <c r="T5" i="39"/>
  <c r="S48" i="16"/>
  <c r="P49" i="92"/>
  <c r="R620" i="3"/>
  <c r="R49" i="92" s="1"/>
  <c r="S16" i="193"/>
  <c r="U637" i="3"/>
  <c r="U16" i="193" s="1"/>
  <c r="S21" i="168"/>
  <c r="U669" i="3"/>
  <c r="U21" i="168" s="1"/>
  <c r="P9" i="129"/>
  <c r="R684" i="3"/>
  <c r="R9" i="129" s="1"/>
  <c r="S22" i="196"/>
  <c r="U733" i="3"/>
  <c r="U22" i="196" s="1"/>
  <c r="V3" i="20"/>
  <c r="P24" i="196"/>
  <c r="R748" i="3"/>
  <c r="R24" i="196" s="1"/>
  <c r="S5" i="85"/>
  <c r="U765" i="3"/>
  <c r="U5" i="85" s="1"/>
  <c r="P15" i="122"/>
  <c r="R780" i="3"/>
  <c r="R15" i="122" s="1"/>
  <c r="S17" i="193"/>
  <c r="U786" i="3"/>
  <c r="U17" i="193" s="1"/>
  <c r="S5" i="151"/>
  <c r="U820" i="3"/>
  <c r="U5" i="151" s="1"/>
  <c r="S4" i="125"/>
  <c r="U825" i="3"/>
  <c r="U4" i="125" s="1"/>
  <c r="S7" i="131"/>
  <c r="U852" i="3"/>
  <c r="U7" i="131" s="1"/>
  <c r="S2" i="182"/>
  <c r="R41" i="16"/>
  <c r="U857" i="3"/>
  <c r="S33" i="38"/>
  <c r="U884" i="3"/>
  <c r="U33" i="38" s="1"/>
  <c r="S31" i="38"/>
  <c r="U889" i="3"/>
  <c r="U31" i="38" s="1"/>
  <c r="S22" i="108"/>
  <c r="U915" i="3"/>
  <c r="U22" i="108" s="1"/>
  <c r="S16" i="122"/>
  <c r="U920" i="3"/>
  <c r="U16" i="122" s="1"/>
  <c r="S4" i="88"/>
  <c r="U947" i="3"/>
  <c r="U4" i="88" s="1"/>
  <c r="S13" i="80"/>
  <c r="U952" i="3"/>
  <c r="U13" i="80" s="1"/>
  <c r="V3" i="197"/>
  <c r="W2" i="196"/>
  <c r="V7" i="16"/>
  <c r="T3" i="177"/>
  <c r="Q2" i="72"/>
  <c r="P40" i="16"/>
  <c r="W2" i="38"/>
  <c r="V37" i="16"/>
  <c r="R3" i="123"/>
  <c r="Q2" i="130"/>
  <c r="S6" i="123"/>
  <c r="R57" i="16"/>
  <c r="S2" i="12"/>
  <c r="U2" i="30"/>
  <c r="T33" i="16"/>
  <c r="P2" i="107"/>
  <c r="O27" i="16"/>
  <c r="R226" i="3"/>
  <c r="V2" i="131"/>
  <c r="U32" i="16"/>
  <c r="T3" i="80"/>
  <c r="U247" i="3"/>
  <c r="U3" i="80" s="1"/>
  <c r="X6" i="138"/>
  <c r="W10" i="16"/>
  <c r="Q3" i="116"/>
  <c r="R262" i="3"/>
  <c r="R3" i="116" s="1"/>
  <c r="P7" i="109"/>
  <c r="R333" i="3"/>
  <c r="R7" i="109" s="1"/>
  <c r="S12" i="196"/>
  <c r="U509" i="3"/>
  <c r="U12" i="196" s="1"/>
  <c r="F1045" i="3"/>
  <c r="F1042" i="3"/>
  <c r="F1041" i="3"/>
  <c r="F1047" i="3"/>
  <c r="Y2" i="93"/>
  <c r="W2" i="167"/>
  <c r="V34" i="16"/>
  <c r="U10" i="3"/>
  <c r="X2" i="196"/>
  <c r="W7" i="16"/>
  <c r="S2" i="153"/>
  <c r="U18" i="3"/>
  <c r="S2" i="129"/>
  <c r="R6" i="16"/>
  <c r="Y2" i="193"/>
  <c r="X19" i="16"/>
  <c r="W2" i="173"/>
  <c r="V39" i="16"/>
  <c r="U34" i="3"/>
  <c r="W2" i="151"/>
  <c r="V17" i="16"/>
  <c r="R49" i="3"/>
  <c r="R4" i="174" s="1"/>
  <c r="S3" i="92"/>
  <c r="R15" i="16"/>
  <c r="R57" i="3"/>
  <c r="R6" i="173" s="1"/>
  <c r="U58" i="3"/>
  <c r="U2" i="84" s="1"/>
  <c r="P2" i="38"/>
  <c r="O37" i="16"/>
  <c r="X2" i="38"/>
  <c r="W37" i="16"/>
  <c r="R65" i="3"/>
  <c r="R2" i="74" s="1"/>
  <c r="U66" i="3"/>
  <c r="U5" i="70" s="1"/>
  <c r="Q2" i="39"/>
  <c r="Y2" i="39"/>
  <c r="T2" i="169"/>
  <c r="R73" i="3"/>
  <c r="R6" i="167" s="1"/>
  <c r="U74" i="3"/>
  <c r="U7" i="167" s="1"/>
  <c r="S2" i="190"/>
  <c r="V2" i="138"/>
  <c r="U54" i="16"/>
  <c r="T2" i="123"/>
  <c r="W2" i="141"/>
  <c r="R81" i="3"/>
  <c r="R3" i="198" s="1"/>
  <c r="U82" i="3"/>
  <c r="U5" i="171" s="1"/>
  <c r="S3" i="123"/>
  <c r="V2" i="31"/>
  <c r="T2" i="112"/>
  <c r="R89" i="3"/>
  <c r="U90" i="3"/>
  <c r="U4" i="123" s="1"/>
  <c r="V2" i="120"/>
  <c r="U43" i="16"/>
  <c r="T2" i="33"/>
  <c r="S24" i="16"/>
  <c r="R97" i="3"/>
  <c r="U98" i="3"/>
  <c r="U4" i="193" s="1"/>
  <c r="S2" i="122"/>
  <c r="R58" i="16"/>
  <c r="T6" i="123"/>
  <c r="R105" i="3"/>
  <c r="R7" i="92" s="1"/>
  <c r="U106" i="3"/>
  <c r="U3" i="185" s="1"/>
  <c r="R113" i="3"/>
  <c r="U114" i="3"/>
  <c r="U5" i="193" s="1"/>
  <c r="R121" i="3"/>
  <c r="R4" i="185" s="1"/>
  <c r="T2" i="163"/>
  <c r="S56" i="16"/>
  <c r="R129" i="3"/>
  <c r="R4" i="50" s="1"/>
  <c r="U130" i="3"/>
  <c r="U3" i="88" s="1"/>
  <c r="Q2" i="80"/>
  <c r="P29" i="16"/>
  <c r="Y2" i="80"/>
  <c r="X29" i="16"/>
  <c r="R137" i="3"/>
  <c r="R4" i="143" s="1"/>
  <c r="U138" i="3"/>
  <c r="U7" i="171" s="1"/>
  <c r="T2" i="85"/>
  <c r="S25" i="16"/>
  <c r="R145" i="3"/>
  <c r="R7" i="168" s="1"/>
  <c r="U146" i="3"/>
  <c r="U4" i="120" s="1"/>
  <c r="P2" i="116"/>
  <c r="O16" i="16"/>
  <c r="X2" i="116"/>
  <c r="W16" i="16"/>
  <c r="R153" i="3"/>
  <c r="R5" i="185" s="1"/>
  <c r="U154" i="3"/>
  <c r="U2" i="135" s="1"/>
  <c r="V2" i="111"/>
  <c r="U23" i="16"/>
  <c r="Q3" i="196"/>
  <c r="Y3" i="163"/>
  <c r="X36" i="16"/>
  <c r="T4" i="69"/>
  <c r="U170" i="3"/>
  <c r="U4" i="69" s="1"/>
  <c r="Y4" i="148"/>
  <c r="X42" i="16"/>
  <c r="T3" i="151"/>
  <c r="U186" i="3"/>
  <c r="U3" i="151" s="1"/>
  <c r="Q2" i="68"/>
  <c r="R191" i="3"/>
  <c r="R2" i="68" s="1"/>
  <c r="P3" i="122"/>
  <c r="O20" i="16"/>
  <c r="R197" i="3"/>
  <c r="R3" i="68"/>
  <c r="Q53" i="16"/>
  <c r="Q5" i="93"/>
  <c r="R206" i="3"/>
  <c r="R5" i="93" s="1"/>
  <c r="R208" i="3"/>
  <c r="R10" i="167" s="1"/>
  <c r="P4" i="35"/>
  <c r="R213" i="3"/>
  <c r="R4" i="35" s="1"/>
  <c r="R2" i="187"/>
  <c r="Q2" i="29"/>
  <c r="R222" i="3"/>
  <c r="R2" i="29" s="1"/>
  <c r="R224" i="3"/>
  <c r="R18" i="92" s="1"/>
  <c r="P6" i="120"/>
  <c r="R229" i="3"/>
  <c r="R6" i="120" s="1"/>
  <c r="S4" i="188"/>
  <c r="U235" i="3"/>
  <c r="U4" i="188" s="1"/>
  <c r="U249" i="3"/>
  <c r="P6" i="138"/>
  <c r="O10" i="16"/>
  <c r="R250" i="3"/>
  <c r="S3" i="116"/>
  <c r="U262" i="3"/>
  <c r="U3" i="116" s="1"/>
  <c r="U12" i="167"/>
  <c r="T49" i="16"/>
  <c r="U273" i="3"/>
  <c r="U21" i="92" s="1"/>
  <c r="P5" i="128"/>
  <c r="R274" i="3"/>
  <c r="R5" i="128" s="1"/>
  <c r="S2" i="159"/>
  <c r="R18" i="16"/>
  <c r="U283" i="3"/>
  <c r="U305" i="3"/>
  <c r="U14" i="185" s="1"/>
  <c r="P4" i="108"/>
  <c r="R306" i="3"/>
  <c r="R4" i="108" s="1"/>
  <c r="S7" i="107"/>
  <c r="U315" i="3"/>
  <c r="U5" i="107"/>
  <c r="T9" i="16"/>
  <c r="U337" i="3"/>
  <c r="U3" i="78" s="1"/>
  <c r="P2" i="100"/>
  <c r="R338" i="3"/>
  <c r="R2" i="100" s="1"/>
  <c r="S3" i="175"/>
  <c r="U347" i="3"/>
  <c r="U3" i="175" s="1"/>
  <c r="U369" i="3"/>
  <c r="U6" i="122" s="1"/>
  <c r="P2" i="63"/>
  <c r="R370" i="3"/>
  <c r="R2" i="63" s="1"/>
  <c r="S23" i="185"/>
  <c r="R44" i="16"/>
  <c r="U379" i="3"/>
  <c r="U401" i="3"/>
  <c r="U32" i="92" s="1"/>
  <c r="P13" i="123"/>
  <c r="R402" i="3"/>
  <c r="R13" i="123" s="1"/>
  <c r="S2" i="71"/>
  <c r="U411" i="3"/>
  <c r="U2" i="71" s="1"/>
  <c r="U433" i="3"/>
  <c r="U8" i="108" s="1"/>
  <c r="P8" i="196"/>
  <c r="R434" i="3"/>
  <c r="R8" i="196" s="1"/>
  <c r="S11" i="38"/>
  <c r="U443" i="3"/>
  <c r="U11" i="38" s="1"/>
  <c r="U465" i="3"/>
  <c r="U13" i="38" s="1"/>
  <c r="P8" i="122"/>
  <c r="R466" i="3"/>
  <c r="R8" i="122" s="1"/>
  <c r="S3" i="67"/>
  <c r="U475" i="3"/>
  <c r="U3" i="67" s="1"/>
  <c r="P4" i="78"/>
  <c r="R498" i="3"/>
  <c r="R4" i="78" s="1"/>
  <c r="S26" i="185"/>
  <c r="U506" i="3"/>
  <c r="U26" i="185" s="1"/>
  <c r="U528" i="3"/>
  <c r="P16" i="123"/>
  <c r="R529" i="3"/>
  <c r="R16" i="123" s="1"/>
  <c r="S14" i="196"/>
  <c r="U538" i="3"/>
  <c r="U14" i="196" s="1"/>
  <c r="U560" i="3"/>
  <c r="U13" i="120" s="1"/>
  <c r="P4" i="134"/>
  <c r="R561" i="3"/>
  <c r="R4" i="134" s="1"/>
  <c r="S7" i="70"/>
  <c r="U570" i="3"/>
  <c r="U7" i="70" s="1"/>
  <c r="U592" i="3"/>
  <c r="U5" i="30" s="1"/>
  <c r="P18" i="167"/>
  <c r="R593" i="3"/>
  <c r="R18" i="167" s="1"/>
  <c r="S20" i="168"/>
  <c r="U602" i="3"/>
  <c r="U20" i="168" s="1"/>
  <c r="U624" i="3"/>
  <c r="U15" i="120" s="1"/>
  <c r="P16" i="49"/>
  <c r="R625" i="3"/>
  <c r="R16" i="49" s="1"/>
  <c r="S19" i="123"/>
  <c r="U634" i="3"/>
  <c r="U19" i="123" s="1"/>
  <c r="U656" i="3"/>
  <c r="U3" i="63" s="1"/>
  <c r="P3" i="27"/>
  <c r="R657" i="3"/>
  <c r="R3" i="27" s="1"/>
  <c r="S9" i="39"/>
  <c r="U666" i="3"/>
  <c r="U9" i="39" s="1"/>
  <c r="U688" i="3"/>
  <c r="U9" i="76" s="1"/>
  <c r="P22" i="167"/>
  <c r="R689" i="3"/>
  <c r="R22" i="167" s="1"/>
  <c r="S19" i="196"/>
  <c r="U698" i="3"/>
  <c r="U19" i="196" s="1"/>
  <c r="U720" i="3"/>
  <c r="U6" i="30" s="1"/>
  <c r="P4" i="111"/>
  <c r="R721" i="3"/>
  <c r="R4" i="111" s="1"/>
  <c r="S26" i="196"/>
  <c r="U730" i="3"/>
  <c r="U26" i="196" s="1"/>
  <c r="U752" i="3"/>
  <c r="U22" i="38" s="1"/>
  <c r="P9" i="172"/>
  <c r="R753" i="3"/>
  <c r="R9" i="172" s="1"/>
  <c r="S10" i="102"/>
  <c r="U762" i="3"/>
  <c r="U10" i="102" s="1"/>
  <c r="P53" i="185"/>
  <c r="R975" i="3"/>
  <c r="R53" i="185" s="1"/>
  <c r="U979" i="3"/>
  <c r="U34" i="113" s="1"/>
  <c r="P34" i="49"/>
  <c r="R980" i="3"/>
  <c r="R34" i="49" s="1"/>
  <c r="S11" i="39"/>
  <c r="U1015" i="3"/>
  <c r="U11" i="39" s="1"/>
  <c r="P2" i="93"/>
  <c r="X2" i="60"/>
  <c r="S3" i="74"/>
  <c r="R45" i="16"/>
  <c r="T2" i="143"/>
  <c r="S28" i="16"/>
  <c r="T2" i="178"/>
  <c r="S50" i="16"/>
  <c r="S4" i="184"/>
  <c r="U177" i="3"/>
  <c r="U4" i="184" s="1"/>
  <c r="Y3" i="122"/>
  <c r="X20" i="16"/>
  <c r="T3" i="42"/>
  <c r="U221" i="3"/>
  <c r="U3" i="42" s="1"/>
  <c r="P8" i="56"/>
  <c r="R269" i="3"/>
  <c r="R8" i="56" s="1"/>
  <c r="V3" i="113"/>
  <c r="R7" i="107"/>
  <c r="P2" i="125"/>
  <c r="R365" i="3"/>
  <c r="R2" i="125" s="1"/>
  <c r="P3" i="41"/>
  <c r="R461" i="3"/>
  <c r="R3" i="41" s="1"/>
  <c r="S39" i="92"/>
  <c r="U478" i="3"/>
  <c r="U39" i="92" s="1"/>
  <c r="T2" i="165"/>
  <c r="P42" i="92"/>
  <c r="R524" i="3"/>
  <c r="R42" i="92" s="1"/>
  <c r="P2" i="196"/>
  <c r="O7" i="16"/>
  <c r="T2" i="70"/>
  <c r="S21" i="16"/>
  <c r="R17" i="3"/>
  <c r="R2" i="92" s="1"/>
  <c r="Q2" i="193"/>
  <c r="P19" i="16"/>
  <c r="T2" i="56"/>
  <c r="R25" i="3"/>
  <c r="R2" i="88" s="1"/>
  <c r="U26" i="3"/>
  <c r="P2" i="61"/>
  <c r="X2" i="61"/>
  <c r="Q2" i="60"/>
  <c r="Y2" i="60"/>
  <c r="T2" i="174"/>
  <c r="S22" i="16"/>
  <c r="R33" i="3"/>
  <c r="R2" i="26" s="1"/>
  <c r="T3" i="74"/>
  <c r="S45" i="16"/>
  <c r="R41" i="3"/>
  <c r="U42" i="3"/>
  <c r="T4" i="103"/>
  <c r="S26" i="16"/>
  <c r="W2" i="50"/>
  <c r="V14" i="16"/>
  <c r="R6" i="3"/>
  <c r="U7" i="3"/>
  <c r="U2" i="171" s="1"/>
  <c r="P2" i="167"/>
  <c r="O34" i="16"/>
  <c r="X2" i="167"/>
  <c r="W34" i="16"/>
  <c r="S3" i="171"/>
  <c r="R4" i="16"/>
  <c r="V8" i="168"/>
  <c r="U5" i="16"/>
  <c r="Q2" i="196"/>
  <c r="P7" i="16"/>
  <c r="Y2" i="196"/>
  <c r="X7" i="16"/>
  <c r="T2" i="153"/>
  <c r="R14" i="3"/>
  <c r="R2" i="103" s="1"/>
  <c r="V3" i="70"/>
  <c r="T2" i="129"/>
  <c r="S6" i="16"/>
  <c r="R22" i="3"/>
  <c r="U23" i="3"/>
  <c r="P2" i="173"/>
  <c r="O39" i="16"/>
  <c r="X2" i="173"/>
  <c r="W39" i="16"/>
  <c r="V2" i="177"/>
  <c r="U8" i="16"/>
  <c r="Q2" i="61"/>
  <c r="Y2" i="61"/>
  <c r="R30" i="3"/>
  <c r="V3" i="177"/>
  <c r="R38" i="3"/>
  <c r="R3" i="50" s="1"/>
  <c r="U39" i="3"/>
  <c r="P2" i="151"/>
  <c r="O17" i="16"/>
  <c r="X2" i="151"/>
  <c r="W17" i="16"/>
  <c r="S2" i="72"/>
  <c r="R40" i="16"/>
  <c r="V2" i="143"/>
  <c r="U28" i="16"/>
  <c r="R46" i="3"/>
  <c r="R3" i="103" s="1"/>
  <c r="U47" i="3"/>
  <c r="U2" i="168" s="1"/>
  <c r="V2" i="178"/>
  <c r="U50" i="16"/>
  <c r="T3" i="92"/>
  <c r="S15" i="16"/>
  <c r="R54" i="3"/>
  <c r="R2" i="110" s="1"/>
  <c r="Q2" i="38"/>
  <c r="P37" i="16"/>
  <c r="Y2" i="38"/>
  <c r="X37" i="16"/>
  <c r="R62" i="3"/>
  <c r="R2" i="49" s="1"/>
  <c r="U63" i="3"/>
  <c r="U5" i="168" s="1"/>
  <c r="R70" i="3"/>
  <c r="U71" i="3"/>
  <c r="T2" i="190"/>
  <c r="W2" i="138"/>
  <c r="V54" i="16"/>
  <c r="R78" i="3"/>
  <c r="R4" i="109" s="1"/>
  <c r="U79" i="3"/>
  <c r="P2" i="141"/>
  <c r="X2" i="141"/>
  <c r="T3" i="123"/>
  <c r="W2" i="31"/>
  <c r="R86" i="3"/>
  <c r="R3" i="121" s="1"/>
  <c r="S3" i="184"/>
  <c r="R12" i="16"/>
  <c r="W2" i="120"/>
  <c r="V43" i="16"/>
  <c r="R94" i="3"/>
  <c r="R3" i="93" s="1"/>
  <c r="S2" i="130"/>
  <c r="T2" i="122"/>
  <c r="S58" i="16"/>
  <c r="R102" i="3"/>
  <c r="R6" i="92" s="1"/>
  <c r="U103" i="3"/>
  <c r="R110" i="3"/>
  <c r="R7" i="123" s="1"/>
  <c r="U111" i="3"/>
  <c r="U3" i="49" s="1"/>
  <c r="S2" i="128"/>
  <c r="R38" i="16"/>
  <c r="R118" i="3"/>
  <c r="R8" i="92" s="1"/>
  <c r="U119" i="3"/>
  <c r="U3" i="69" s="1"/>
  <c r="V2" i="42"/>
  <c r="U47" i="16"/>
  <c r="R126" i="3"/>
  <c r="R4" i="56" s="1"/>
  <c r="U127" i="3"/>
  <c r="R134" i="3"/>
  <c r="U135" i="3"/>
  <c r="U2" i="172" s="1"/>
  <c r="R142" i="3"/>
  <c r="R6" i="168" s="1"/>
  <c r="Q2" i="116"/>
  <c r="P16" i="16"/>
  <c r="Y2" i="116"/>
  <c r="X16" i="16"/>
  <c r="R150" i="3"/>
  <c r="R5" i="109" s="1"/>
  <c r="U151" i="3"/>
  <c r="U3" i="135" s="1"/>
  <c r="R158" i="3"/>
  <c r="R2" i="114" s="1"/>
  <c r="R164" i="3"/>
  <c r="R10" i="171" s="1"/>
  <c r="T2" i="108"/>
  <c r="U168" i="3"/>
  <c r="U2" i="108" s="1"/>
  <c r="U172" i="3"/>
  <c r="U2" i="40" s="1"/>
  <c r="P6" i="49"/>
  <c r="R173" i="3"/>
  <c r="R6" i="49" s="1"/>
  <c r="U181" i="3"/>
  <c r="U15" i="92" s="1"/>
  <c r="T10" i="173"/>
  <c r="U184" i="3"/>
  <c r="U10" i="173" s="1"/>
  <c r="U188" i="3"/>
  <c r="U2" i="101" s="1"/>
  <c r="P5" i="49"/>
  <c r="R189" i="3"/>
  <c r="R5" i="49" s="1"/>
  <c r="X7" i="49"/>
  <c r="W51" i="16"/>
  <c r="U196" i="3"/>
  <c r="Q3" i="122"/>
  <c r="P20" i="16"/>
  <c r="W2" i="30"/>
  <c r="V33" i="16"/>
  <c r="S13" i="168"/>
  <c r="U203" i="3"/>
  <c r="U13" i="168" s="1"/>
  <c r="X46" i="16"/>
  <c r="Y3" i="22"/>
  <c r="S5" i="93"/>
  <c r="U206" i="3"/>
  <c r="U5" i="93" s="1"/>
  <c r="U212" i="3"/>
  <c r="U3" i="188" s="1"/>
  <c r="S2" i="187"/>
  <c r="U219" i="3"/>
  <c r="S2" i="29"/>
  <c r="U222" i="3"/>
  <c r="U2" i="29" s="1"/>
  <c r="U228" i="3"/>
  <c r="U5" i="69" s="1"/>
  <c r="T3" i="119"/>
  <c r="S30" i="16"/>
  <c r="U231" i="3"/>
  <c r="X2" i="131"/>
  <c r="W32" i="16"/>
  <c r="U2" i="48"/>
  <c r="T13" i="16"/>
  <c r="Q9" i="185"/>
  <c r="R246" i="3"/>
  <c r="R9" i="185" s="1"/>
  <c r="R248" i="3"/>
  <c r="R2" i="195" s="1"/>
  <c r="P4" i="128"/>
  <c r="R253" i="3"/>
  <c r="R4" i="128" s="1"/>
  <c r="S20" i="92"/>
  <c r="U259" i="3"/>
  <c r="U20" i="92" s="1"/>
  <c r="V12" i="167"/>
  <c r="U49" i="16"/>
  <c r="R272" i="3"/>
  <c r="R4" i="101" s="1"/>
  <c r="P2" i="113"/>
  <c r="R277" i="3"/>
  <c r="R2" i="113" s="1"/>
  <c r="X2" i="175"/>
  <c r="R2" i="124"/>
  <c r="Q35" i="16"/>
  <c r="S2" i="87"/>
  <c r="U294" i="3"/>
  <c r="U2" i="87" s="1"/>
  <c r="R304" i="3"/>
  <c r="R24" i="92" s="1"/>
  <c r="P4" i="116"/>
  <c r="R309" i="3"/>
  <c r="R4" i="116" s="1"/>
  <c r="S2" i="37"/>
  <c r="U326" i="3"/>
  <c r="U2" i="37" s="1"/>
  <c r="V5" i="107"/>
  <c r="U9" i="16"/>
  <c r="R336" i="3"/>
  <c r="R12" i="185" s="1"/>
  <c r="P13" i="173"/>
  <c r="R341" i="3"/>
  <c r="R13" i="173" s="1"/>
  <c r="S29" i="92"/>
  <c r="U358" i="3"/>
  <c r="U29" i="92" s="1"/>
  <c r="R368" i="3"/>
  <c r="R4" i="169" s="1"/>
  <c r="P4" i="74"/>
  <c r="R373" i="3"/>
  <c r="R4" i="74" s="1"/>
  <c r="S7" i="110"/>
  <c r="U390" i="3"/>
  <c r="U7" i="110" s="1"/>
  <c r="R400" i="3"/>
  <c r="R9" i="120" s="1"/>
  <c r="P2" i="86"/>
  <c r="R405" i="3"/>
  <c r="R2" i="86" s="1"/>
  <c r="S8" i="113"/>
  <c r="U422" i="3"/>
  <c r="U8" i="113" s="1"/>
  <c r="R432" i="3"/>
  <c r="R14" i="167" s="1"/>
  <c r="P3" i="111"/>
  <c r="R437" i="3"/>
  <c r="R3" i="111" s="1"/>
  <c r="S13" i="196"/>
  <c r="U454" i="3"/>
  <c r="U13" i="196" s="1"/>
  <c r="R464" i="3"/>
  <c r="R11" i="177" s="1"/>
  <c r="P3" i="125"/>
  <c r="R469" i="3"/>
  <c r="R3" i="125" s="1"/>
  <c r="S6" i="188"/>
  <c r="U486" i="3"/>
  <c r="U6" i="188" s="1"/>
  <c r="R496" i="3"/>
  <c r="R8" i="69" s="1"/>
  <c r="P40" i="92"/>
  <c r="R40" i="92"/>
  <c r="S3" i="136"/>
  <c r="U517" i="3"/>
  <c r="U3" i="136" s="1"/>
  <c r="R527" i="3"/>
  <c r="R2" i="117" s="1"/>
  <c r="P4" i="12"/>
  <c r="R532" i="3"/>
  <c r="R4" i="12" s="1"/>
  <c r="S30" i="185"/>
  <c r="U549" i="3"/>
  <c r="U30" i="185" s="1"/>
  <c r="R559" i="3"/>
  <c r="R13" i="49" s="1"/>
  <c r="P6" i="39"/>
  <c r="R564" i="3"/>
  <c r="R6" i="39" s="1"/>
  <c r="S3" i="86"/>
  <c r="U581" i="3"/>
  <c r="U3" i="86" s="1"/>
  <c r="R591" i="3"/>
  <c r="R48" i="92" s="1"/>
  <c r="P15" i="193"/>
  <c r="R596" i="3"/>
  <c r="R15" i="193" s="1"/>
  <c r="S3" i="98"/>
  <c r="U613" i="3"/>
  <c r="U3" i="98" s="1"/>
  <c r="R623" i="3"/>
  <c r="R16" i="56" s="1"/>
  <c r="P18" i="171"/>
  <c r="R628" i="3"/>
  <c r="R18" i="171" s="1"/>
  <c r="S9" i="169"/>
  <c r="U645" i="3"/>
  <c r="U9" i="169" s="1"/>
  <c r="R655" i="3"/>
  <c r="R52" i="92" s="1"/>
  <c r="P3" i="71"/>
  <c r="R660" i="3"/>
  <c r="R3" i="71" s="1"/>
  <c r="S35" i="185"/>
  <c r="U677" i="3"/>
  <c r="U35" i="185" s="1"/>
  <c r="R687" i="3"/>
  <c r="R8" i="188" s="1"/>
  <c r="P8" i="76"/>
  <c r="R692" i="3"/>
  <c r="R8" i="76" s="1"/>
  <c r="S4" i="67"/>
  <c r="U709" i="3"/>
  <c r="U4" i="67" s="1"/>
  <c r="R719" i="3"/>
  <c r="R11" i="119" s="1"/>
  <c r="P21" i="123"/>
  <c r="R724" i="3"/>
  <c r="R21" i="123" s="1"/>
  <c r="S8" i="172"/>
  <c r="U741" i="3"/>
  <c r="U8" i="172" s="1"/>
  <c r="R751" i="3"/>
  <c r="R15" i="129" s="1"/>
  <c r="P7" i="12"/>
  <c r="R756" i="3"/>
  <c r="R7" i="12" s="1"/>
  <c r="S17" i="108"/>
  <c r="U773" i="3"/>
  <c r="U17" i="108" s="1"/>
  <c r="U784" i="3"/>
  <c r="U12" i="129" s="1"/>
  <c r="P18" i="120"/>
  <c r="R785" i="3"/>
  <c r="R18" i="120" s="1"/>
  <c r="T4" i="152"/>
  <c r="U815" i="3"/>
  <c r="U4" i="152" s="1"/>
  <c r="P2" i="52"/>
  <c r="R840" i="3"/>
  <c r="R2" i="52" s="1"/>
  <c r="T43" i="185"/>
  <c r="U847" i="3"/>
  <c r="U43" i="185" s="1"/>
  <c r="P11" i="155"/>
  <c r="R872" i="3"/>
  <c r="R11" i="155" s="1"/>
  <c r="T62" i="92"/>
  <c r="U879" i="3"/>
  <c r="U62" i="92" s="1"/>
  <c r="P6" i="73"/>
  <c r="R904" i="3"/>
  <c r="R6" i="73" s="1"/>
  <c r="T7" i="72"/>
  <c r="U911" i="3"/>
  <c r="U7" i="72" s="1"/>
  <c r="P6" i="190"/>
  <c r="R935" i="3"/>
  <c r="R6" i="190" s="1"/>
  <c r="T22" i="113"/>
  <c r="U942" i="3"/>
  <c r="U22" i="113" s="1"/>
  <c r="S10" i="38"/>
  <c r="U1018" i="3"/>
  <c r="U10" i="38" s="1"/>
  <c r="U1048" i="3"/>
  <c r="F2" i="3"/>
  <c r="G24" i="3" s="1"/>
  <c r="P2" i="50"/>
  <c r="O14" i="16"/>
  <c r="T3" i="171"/>
  <c r="S4" i="16"/>
  <c r="R11" i="3"/>
  <c r="S2" i="193"/>
  <c r="R19" i="16"/>
  <c r="V2" i="56"/>
  <c r="Q2" i="173"/>
  <c r="P39" i="16"/>
  <c r="Y2" i="173"/>
  <c r="X39" i="16"/>
  <c r="W3" i="177"/>
  <c r="U36" i="3"/>
  <c r="U2" i="197" s="1"/>
  <c r="Q2" i="151"/>
  <c r="P17" i="16"/>
  <c r="T2" i="72"/>
  <c r="S40" i="16"/>
  <c r="W2" i="143"/>
  <c r="V28" i="16"/>
  <c r="R43" i="3"/>
  <c r="R3" i="174" s="1"/>
  <c r="U44" i="3"/>
  <c r="U2" i="180" s="1"/>
  <c r="S2" i="39"/>
  <c r="V2" i="169"/>
  <c r="U2" i="190"/>
  <c r="P2" i="138"/>
  <c r="O54" i="16"/>
  <c r="X2" i="138"/>
  <c r="W54" i="16"/>
  <c r="V2" i="123"/>
  <c r="Q2" i="141"/>
  <c r="Y2" i="141"/>
  <c r="U3" i="123"/>
  <c r="P2" i="31"/>
  <c r="X2" i="31"/>
  <c r="V2" i="112"/>
  <c r="T3" i="184"/>
  <c r="S12" i="16"/>
  <c r="P2" i="120"/>
  <c r="O43" i="16"/>
  <c r="X2" i="120"/>
  <c r="W43" i="16"/>
  <c r="U24" i="16"/>
  <c r="V2" i="33"/>
  <c r="T2" i="130"/>
  <c r="U2" i="122"/>
  <c r="T58" i="16"/>
  <c r="V6" i="123"/>
  <c r="T2" i="128"/>
  <c r="S38" i="16"/>
  <c r="W2" i="42"/>
  <c r="V47" i="16"/>
  <c r="V2" i="163"/>
  <c r="U56" i="16"/>
  <c r="S2" i="80"/>
  <c r="R29" i="16"/>
  <c r="V2" i="85"/>
  <c r="U25" i="16"/>
  <c r="R2" i="116"/>
  <c r="Q16" i="16"/>
  <c r="R155" i="3"/>
  <c r="R11" i="92" s="1"/>
  <c r="X2" i="111"/>
  <c r="W23" i="16"/>
  <c r="S3" i="196"/>
  <c r="U166" i="3"/>
  <c r="Q3" i="163"/>
  <c r="P36" i="16"/>
  <c r="R169" i="3"/>
  <c r="P10" i="168"/>
  <c r="R176" i="3"/>
  <c r="R10" i="168" s="1"/>
  <c r="R180" i="3"/>
  <c r="R2" i="115" s="1"/>
  <c r="Q4" i="148"/>
  <c r="P42" i="16"/>
  <c r="R185" i="3"/>
  <c r="P8" i="171"/>
  <c r="R192" i="3"/>
  <c r="R8" i="171" s="1"/>
  <c r="P7" i="49"/>
  <c r="O51" i="16"/>
  <c r="V2" i="12"/>
  <c r="U57" i="16"/>
  <c r="T3" i="68"/>
  <c r="S53" i="16"/>
  <c r="U199" i="3"/>
  <c r="X2" i="30"/>
  <c r="W33" i="16"/>
  <c r="P46" i="16"/>
  <c r="Q3" i="22"/>
  <c r="T2" i="156"/>
  <c r="U215" i="3"/>
  <c r="U2" i="156" s="1"/>
  <c r="V3" i="119"/>
  <c r="U30" i="16"/>
  <c r="P12" i="173"/>
  <c r="R234" i="3"/>
  <c r="R12" i="173" s="1"/>
  <c r="Y2" i="131"/>
  <c r="X32" i="16"/>
  <c r="R243" i="3"/>
  <c r="R6" i="50" s="1"/>
  <c r="S9" i="185"/>
  <c r="U246" i="3"/>
  <c r="U9" i="185" s="1"/>
  <c r="U252" i="3"/>
  <c r="U4" i="38" s="1"/>
  <c r="T4" i="110"/>
  <c r="U255" i="3"/>
  <c r="U4" i="110" s="1"/>
  <c r="P6" i="174"/>
  <c r="R282" i="3"/>
  <c r="R6" i="174" s="1"/>
  <c r="Y2" i="175"/>
  <c r="S2" i="124"/>
  <c r="R35" i="16"/>
  <c r="U291" i="3"/>
  <c r="P11" i="123"/>
  <c r="R314" i="3"/>
  <c r="R11" i="123" s="1"/>
  <c r="S5" i="68"/>
  <c r="U323" i="3"/>
  <c r="U5" i="68" s="1"/>
  <c r="P3" i="172"/>
  <c r="R346" i="3"/>
  <c r="R3" i="172" s="1"/>
  <c r="S4" i="190"/>
  <c r="U355" i="3"/>
  <c r="U4" i="190" s="1"/>
  <c r="P4" i="156"/>
  <c r="R378" i="3"/>
  <c r="R4" i="156" s="1"/>
  <c r="S6" i="113"/>
  <c r="U387" i="3"/>
  <c r="U6" i="113" s="1"/>
  <c r="P7" i="108"/>
  <c r="R410" i="3"/>
  <c r="R7" i="108" s="1"/>
  <c r="S7" i="122"/>
  <c r="U419" i="3"/>
  <c r="U7" i="122" s="1"/>
  <c r="P3" i="30"/>
  <c r="R442" i="3"/>
  <c r="R3" i="30" s="1"/>
  <c r="W11" i="120"/>
  <c r="W10" i="120"/>
  <c r="S7" i="177"/>
  <c r="U451" i="3"/>
  <c r="U7" i="177" s="1"/>
  <c r="P5" i="114"/>
  <c r="R474" i="3"/>
  <c r="R5" i="114" s="1"/>
  <c r="S3" i="145"/>
  <c r="U483" i="3"/>
  <c r="U3" i="145" s="1"/>
  <c r="P3" i="124"/>
  <c r="R505" i="3"/>
  <c r="R3" i="124" s="1"/>
  <c r="S4" i="124"/>
  <c r="U514" i="3"/>
  <c r="U4" i="124" s="1"/>
  <c r="P8" i="119"/>
  <c r="R537" i="3"/>
  <c r="R8" i="119" s="1"/>
  <c r="S8" i="143"/>
  <c r="U546" i="3"/>
  <c r="U8" i="143" s="1"/>
  <c r="P12" i="168"/>
  <c r="R569" i="3"/>
  <c r="R12" i="168" s="1"/>
  <c r="S5" i="134"/>
  <c r="U578" i="3"/>
  <c r="U5" i="134" s="1"/>
  <c r="P10" i="113"/>
  <c r="R601" i="3"/>
  <c r="R10" i="113" s="1"/>
  <c r="S16" i="196"/>
  <c r="U610" i="3"/>
  <c r="U16" i="196" s="1"/>
  <c r="P21" i="196"/>
  <c r="R633" i="3"/>
  <c r="R21" i="196" s="1"/>
  <c r="S7" i="76"/>
  <c r="U642" i="3"/>
  <c r="U7" i="76" s="1"/>
  <c r="P3" i="40"/>
  <c r="R665" i="3"/>
  <c r="R3" i="40" s="1"/>
  <c r="S11" i="113"/>
  <c r="U674" i="3"/>
  <c r="U11" i="113" s="1"/>
  <c r="P5" i="98"/>
  <c r="R697" i="3"/>
  <c r="R5" i="98" s="1"/>
  <c r="S7" i="102"/>
  <c r="U706" i="3"/>
  <c r="U7" i="102" s="1"/>
  <c r="U728" i="3"/>
  <c r="U22" i="123" s="1"/>
  <c r="P3" i="66"/>
  <c r="R729" i="3"/>
  <c r="R3" i="66" s="1"/>
  <c r="S2" i="81"/>
  <c r="U738" i="3"/>
  <c r="U2" i="81" s="1"/>
  <c r="U760" i="3"/>
  <c r="U23" i="123" s="1"/>
  <c r="P2" i="150"/>
  <c r="R761" i="3"/>
  <c r="R2" i="150" s="1"/>
  <c r="S14" i="122"/>
  <c r="U770" i="3"/>
  <c r="U14" i="122" s="1"/>
  <c r="S8" i="139"/>
  <c r="U792" i="3"/>
  <c r="U8" i="139" s="1"/>
  <c r="P40" i="185"/>
  <c r="R795" i="3"/>
  <c r="R40" i="185" s="1"/>
  <c r="P10" i="76"/>
  <c r="R811" i="3"/>
  <c r="R10" i="76" s="1"/>
  <c r="P19" i="113"/>
  <c r="R843" i="3"/>
  <c r="R19" i="113" s="1"/>
  <c r="P14" i="129"/>
  <c r="R875" i="3"/>
  <c r="R14" i="129" s="1"/>
  <c r="P31" i="49"/>
  <c r="R907" i="3"/>
  <c r="R31" i="49" s="1"/>
  <c r="P14" i="76"/>
  <c r="R938" i="3"/>
  <c r="R14" i="76" s="1"/>
  <c r="V2" i="21"/>
  <c r="U52" i="16"/>
  <c r="S1042" i="3"/>
  <c r="U1042" i="3" s="1"/>
  <c r="Y1042" i="3"/>
  <c r="V2" i="167"/>
  <c r="U34" i="16"/>
  <c r="S2" i="174"/>
  <c r="R22" i="16"/>
  <c r="V2" i="151"/>
  <c r="U17" i="16"/>
  <c r="U2" i="138"/>
  <c r="T54" i="16"/>
  <c r="Y3" i="184"/>
  <c r="X12" i="16"/>
  <c r="T2" i="42"/>
  <c r="S47" i="16"/>
  <c r="U2" i="111"/>
  <c r="T23" i="16"/>
  <c r="P3" i="196"/>
  <c r="V4" i="40"/>
  <c r="U11" i="16"/>
  <c r="X2" i="50"/>
  <c r="W14" i="16"/>
  <c r="S2" i="93"/>
  <c r="Q2" i="167"/>
  <c r="P34" i="16"/>
  <c r="W3" i="70"/>
  <c r="R19" i="3"/>
  <c r="R3" i="153" s="1"/>
  <c r="U20" i="3"/>
  <c r="W2" i="177"/>
  <c r="V8" i="16"/>
  <c r="R27" i="3"/>
  <c r="U28" i="3"/>
  <c r="U2" i="121" s="1"/>
  <c r="S2" i="60"/>
  <c r="V2" i="174"/>
  <c r="U22" i="16"/>
  <c r="R35" i="3"/>
  <c r="R3" i="109" s="1"/>
  <c r="V3" i="74"/>
  <c r="U45" i="16"/>
  <c r="Y2" i="151"/>
  <c r="X17" i="16"/>
  <c r="W2" i="178"/>
  <c r="V50" i="16"/>
  <c r="R51" i="3"/>
  <c r="R4" i="70" s="1"/>
  <c r="U52" i="3"/>
  <c r="V4" i="103"/>
  <c r="U26" i="16"/>
  <c r="R59" i="3"/>
  <c r="U60" i="3"/>
  <c r="U4" i="92" s="1"/>
  <c r="W2" i="3"/>
  <c r="H13" i="1" s="1"/>
  <c r="Q2" i="50"/>
  <c r="P14" i="16"/>
  <c r="Y2" i="50"/>
  <c r="X14" i="16"/>
  <c r="T2" i="93"/>
  <c r="R8" i="3"/>
  <c r="U9" i="3"/>
  <c r="P8" i="168"/>
  <c r="O5" i="16"/>
  <c r="X8" i="168"/>
  <c r="W5" i="16"/>
  <c r="S2" i="196"/>
  <c r="R7" i="16"/>
  <c r="V2" i="153"/>
  <c r="W2" i="70"/>
  <c r="V21" i="16"/>
  <c r="R16" i="3"/>
  <c r="R4" i="171" s="1"/>
  <c r="U17" i="3"/>
  <c r="U2" i="92" s="1"/>
  <c r="P3" i="70"/>
  <c r="X3" i="70"/>
  <c r="V2" i="129"/>
  <c r="U6" i="16"/>
  <c r="T2" i="193"/>
  <c r="S19" i="16"/>
  <c r="W2" i="56"/>
  <c r="R24" i="3"/>
  <c r="U25" i="3"/>
  <c r="U2" i="88" s="1"/>
  <c r="P2" i="177"/>
  <c r="O8" i="16"/>
  <c r="X2" i="177"/>
  <c r="W8" i="16"/>
  <c r="S2" i="61"/>
  <c r="T2" i="60"/>
  <c r="W2" i="174"/>
  <c r="V22" i="16"/>
  <c r="R32" i="3"/>
  <c r="R2" i="152" s="1"/>
  <c r="U33" i="3"/>
  <c r="U2" i="26" s="1"/>
  <c r="P3" i="177"/>
  <c r="X3" i="177"/>
  <c r="W3" i="74"/>
  <c r="V45" i="16"/>
  <c r="R40" i="3"/>
  <c r="U41" i="3"/>
  <c r="P2" i="143"/>
  <c r="O28" i="16"/>
  <c r="X2" i="143"/>
  <c r="W28" i="16"/>
  <c r="R48" i="3"/>
  <c r="R3" i="193" s="1"/>
  <c r="U49" i="3"/>
  <c r="U4" i="174" s="1"/>
  <c r="P2" i="178"/>
  <c r="O50" i="16"/>
  <c r="X2" i="178"/>
  <c r="W50" i="16"/>
  <c r="V3" i="92"/>
  <c r="U15" i="16"/>
  <c r="W4" i="103"/>
  <c r="V26" i="16"/>
  <c r="R56" i="3"/>
  <c r="R2" i="184" s="1"/>
  <c r="U57" i="3"/>
  <c r="U6" i="173" s="1"/>
  <c r="S2" i="38"/>
  <c r="R37" i="16"/>
  <c r="R64" i="3"/>
  <c r="R4" i="173" s="1"/>
  <c r="U65" i="3"/>
  <c r="U2" i="74" s="1"/>
  <c r="T2" i="39"/>
  <c r="W2" i="169"/>
  <c r="R72" i="3"/>
  <c r="R3" i="138" s="1"/>
  <c r="U73" i="3"/>
  <c r="U6" i="167" s="1"/>
  <c r="V2" i="190"/>
  <c r="Q2" i="138"/>
  <c r="P54" i="16"/>
  <c r="Y2" i="138"/>
  <c r="X54" i="16"/>
  <c r="W2" i="123"/>
  <c r="R80" i="3"/>
  <c r="U81" i="3"/>
  <c r="U3" i="198" s="1"/>
  <c r="V3" i="123"/>
  <c r="Q2" i="31"/>
  <c r="Y2" i="31"/>
  <c r="W2" i="112"/>
  <c r="R88" i="3"/>
  <c r="R2" i="57" s="1"/>
  <c r="U89" i="3"/>
  <c r="Q2" i="120"/>
  <c r="P43" i="16"/>
  <c r="Y2" i="120"/>
  <c r="X43" i="16"/>
  <c r="V24" i="16"/>
  <c r="W2" i="33"/>
  <c r="R96" i="3"/>
  <c r="R5" i="92" s="1"/>
  <c r="U97" i="3"/>
  <c r="V2" i="122"/>
  <c r="U58" i="16"/>
  <c r="W6" i="123"/>
  <c r="R104" i="3"/>
  <c r="R3" i="120" s="1"/>
  <c r="U105" i="3"/>
  <c r="U7" i="92" s="1"/>
  <c r="R112" i="3"/>
  <c r="R5" i="103" s="1"/>
  <c r="U113" i="3"/>
  <c r="R120" i="3"/>
  <c r="R5" i="50" s="1"/>
  <c r="U121" i="3"/>
  <c r="U4" i="185" s="1"/>
  <c r="P2" i="42"/>
  <c r="O47" i="16"/>
  <c r="X2" i="42"/>
  <c r="W47" i="16"/>
  <c r="W2" i="163"/>
  <c r="V56" i="16"/>
  <c r="R128" i="3"/>
  <c r="R6" i="171" s="1"/>
  <c r="U129" i="3"/>
  <c r="U4" i="50" s="1"/>
  <c r="T2" i="80"/>
  <c r="S29" i="16"/>
  <c r="R136" i="3"/>
  <c r="R5" i="56" s="1"/>
  <c r="U137" i="3"/>
  <c r="U4" i="143" s="1"/>
  <c r="W2" i="85"/>
  <c r="V25" i="16"/>
  <c r="R144" i="3"/>
  <c r="R3" i="114" s="1"/>
  <c r="U145" i="3"/>
  <c r="U7" i="168" s="1"/>
  <c r="S2" i="116"/>
  <c r="R16" i="16"/>
  <c r="R152" i="3"/>
  <c r="R9" i="173" s="1"/>
  <c r="U153" i="3"/>
  <c r="U5" i="185" s="1"/>
  <c r="P2" i="111"/>
  <c r="O23" i="16"/>
  <c r="R159" i="3"/>
  <c r="Y2" i="111"/>
  <c r="X23" i="16"/>
  <c r="U162" i="3"/>
  <c r="U6" i="109" s="1"/>
  <c r="S3" i="163"/>
  <c r="R36" i="16"/>
  <c r="U169" i="3"/>
  <c r="S9" i="123"/>
  <c r="U182" i="3"/>
  <c r="U9" i="123" s="1"/>
  <c r="S4" i="148"/>
  <c r="R42" i="16"/>
  <c r="U185" i="3"/>
  <c r="T3" i="122"/>
  <c r="S20" i="16"/>
  <c r="U197" i="3"/>
  <c r="V3" i="68"/>
  <c r="U53" i="16"/>
  <c r="U201" i="3"/>
  <c r="U3" i="101" s="1"/>
  <c r="P2" i="30"/>
  <c r="O33" i="16"/>
  <c r="R202" i="3"/>
  <c r="R46" i="16"/>
  <c r="S3" i="22"/>
  <c r="U217" i="3"/>
  <c r="U11" i="168" s="1"/>
  <c r="P4" i="122"/>
  <c r="R218" i="3"/>
  <c r="R4" i="122" s="1"/>
  <c r="V2" i="187"/>
  <c r="U2" i="107"/>
  <c r="T27" i="16"/>
  <c r="Q5" i="138"/>
  <c r="R230" i="3"/>
  <c r="R5" i="138" s="1"/>
  <c r="W3" i="119"/>
  <c r="V30" i="16"/>
  <c r="R232" i="3"/>
  <c r="R11" i="173" s="1"/>
  <c r="P2" i="131"/>
  <c r="O32" i="16"/>
  <c r="R237" i="3"/>
  <c r="W2" i="48"/>
  <c r="V13" i="16"/>
  <c r="S6" i="50"/>
  <c r="U243" i="3"/>
  <c r="U6" i="50" s="1"/>
  <c r="U257" i="3"/>
  <c r="U5" i="110" s="1"/>
  <c r="P2" i="76"/>
  <c r="R258" i="3"/>
  <c r="R2" i="76" s="1"/>
  <c r="S11" i="185"/>
  <c r="U270" i="3"/>
  <c r="U11" i="185" s="1"/>
  <c r="R280" i="3"/>
  <c r="R2" i="136" s="1"/>
  <c r="P2" i="175"/>
  <c r="R285" i="3"/>
  <c r="S22" i="92"/>
  <c r="U302" i="3"/>
  <c r="U22" i="92" s="1"/>
  <c r="R312" i="3"/>
  <c r="R5" i="38" s="1"/>
  <c r="P2" i="90"/>
  <c r="R317" i="3"/>
  <c r="R2" i="90" s="1"/>
  <c r="S27" i="92"/>
  <c r="U334" i="3"/>
  <c r="U27" i="92" s="1"/>
  <c r="R344" i="3"/>
  <c r="R6" i="107" s="1"/>
  <c r="P15" i="185"/>
  <c r="R349" i="3"/>
  <c r="R15" i="185" s="1"/>
  <c r="S7" i="119"/>
  <c r="U366" i="3"/>
  <c r="U7" i="119" s="1"/>
  <c r="R376" i="3"/>
  <c r="R7" i="38" s="1"/>
  <c r="P14" i="123"/>
  <c r="R381" i="3"/>
  <c r="R14" i="123" s="1"/>
  <c r="X2" i="194"/>
  <c r="W55" i="16"/>
  <c r="S5" i="190"/>
  <c r="U398" i="3"/>
  <c r="U5" i="190" s="1"/>
  <c r="R408" i="3"/>
  <c r="R22" i="185" s="1"/>
  <c r="P33" i="92"/>
  <c r="R413" i="3"/>
  <c r="R33" i="92" s="1"/>
  <c r="S2" i="67"/>
  <c r="U430" i="3"/>
  <c r="U2" i="67" s="1"/>
  <c r="R440" i="3"/>
  <c r="R4" i="76" s="1"/>
  <c r="P7" i="169"/>
  <c r="R445" i="3"/>
  <c r="R7" i="169" s="1"/>
  <c r="X11" i="120"/>
  <c r="X10" i="120"/>
  <c r="S5" i="139"/>
  <c r="U462" i="3"/>
  <c r="U5" i="139" s="1"/>
  <c r="R472" i="3"/>
  <c r="R25" i="185" s="1"/>
  <c r="P9" i="108"/>
  <c r="R477" i="3"/>
  <c r="R9" i="108" s="1"/>
  <c r="X3" i="142"/>
  <c r="W31" i="16"/>
  <c r="S7" i="143"/>
  <c r="U494" i="3"/>
  <c r="U7" i="143" s="1"/>
  <c r="R503" i="3"/>
  <c r="R2" i="137" s="1"/>
  <c r="P11" i="56"/>
  <c r="R508" i="3"/>
  <c r="R11" i="56" s="1"/>
  <c r="S2" i="34"/>
  <c r="U525" i="3"/>
  <c r="U2" i="34" s="1"/>
  <c r="R535" i="3"/>
  <c r="R17" i="123" s="1"/>
  <c r="P43" i="92"/>
  <c r="R540" i="3"/>
  <c r="R43" i="92" s="1"/>
  <c r="S44" i="92"/>
  <c r="U557" i="3"/>
  <c r="U44" i="92" s="1"/>
  <c r="R567" i="3"/>
  <c r="R27" i="185" s="1"/>
  <c r="P45" i="92"/>
  <c r="R572" i="3"/>
  <c r="R45" i="92" s="1"/>
  <c r="S10" i="108"/>
  <c r="U589" i="3"/>
  <c r="U10" i="108" s="1"/>
  <c r="R599" i="3"/>
  <c r="R14" i="56" s="1"/>
  <c r="P8" i="110"/>
  <c r="R604" i="3"/>
  <c r="R8" i="110" s="1"/>
  <c r="S10" i="80"/>
  <c r="U621" i="3"/>
  <c r="U10" i="80" s="1"/>
  <c r="R631" i="3"/>
  <c r="R4" i="86" s="1"/>
  <c r="P6" i="48"/>
  <c r="R636" i="3"/>
  <c r="R6" i="48" s="1"/>
  <c r="S9" i="109"/>
  <c r="U653" i="3"/>
  <c r="U9" i="109" s="1"/>
  <c r="R663" i="3"/>
  <c r="R20" i="167" s="1"/>
  <c r="P34" i="185"/>
  <c r="R668" i="3"/>
  <c r="R34" i="185" s="1"/>
  <c r="S3" i="100"/>
  <c r="U685" i="3"/>
  <c r="U3" i="100" s="1"/>
  <c r="R695" i="3"/>
  <c r="R53" i="92" s="1"/>
  <c r="P10" i="69"/>
  <c r="R700" i="3"/>
  <c r="R10" i="69" s="1"/>
  <c r="S23" i="167"/>
  <c r="U717" i="3"/>
  <c r="U23" i="167" s="1"/>
  <c r="R727" i="3"/>
  <c r="R6" i="155" s="1"/>
  <c r="P14" i="108"/>
  <c r="R732" i="3"/>
  <c r="R14" i="108" s="1"/>
  <c r="S15" i="113"/>
  <c r="U749" i="3"/>
  <c r="U15" i="113" s="1"/>
  <c r="R759" i="3"/>
  <c r="R14" i="113" s="1"/>
  <c r="P2" i="53"/>
  <c r="R764" i="3"/>
  <c r="R2" i="53" s="1"/>
  <c r="R970" i="3"/>
  <c r="R26" i="108" s="1"/>
  <c r="S2" i="70"/>
  <c r="R21" i="16"/>
  <c r="R2" i="129"/>
  <c r="Q6" i="16"/>
  <c r="R3" i="92"/>
  <c r="Q15" i="16"/>
  <c r="V2" i="141"/>
  <c r="U2" i="31"/>
  <c r="U2" i="120"/>
  <c r="T43" i="16"/>
  <c r="R24" i="16"/>
  <c r="S2" i="33"/>
  <c r="Y2" i="130"/>
  <c r="R2" i="122"/>
  <c r="Q58" i="16"/>
  <c r="Y2" i="128"/>
  <c r="X38" i="16"/>
  <c r="S3" i="61"/>
  <c r="U193" i="3"/>
  <c r="U3" i="61" s="1"/>
  <c r="P3" i="107"/>
  <c r="R301" i="3"/>
  <c r="R3" i="107" s="1"/>
  <c r="S18" i="185"/>
  <c r="U350" i="3"/>
  <c r="U18" i="185" s="1"/>
  <c r="R23" i="185"/>
  <c r="Q44" i="16"/>
  <c r="S3" i="90"/>
  <c r="U541" i="3"/>
  <c r="U3" i="90" s="1"/>
  <c r="V2" i="50"/>
  <c r="U14" i="16"/>
  <c r="R5" i="3"/>
  <c r="U6" i="3"/>
  <c r="S2" i="167"/>
  <c r="R34" i="16"/>
  <c r="V3" i="171"/>
  <c r="U4" i="16"/>
  <c r="Q8" i="168"/>
  <c r="P5" i="16"/>
  <c r="Y8" i="168"/>
  <c r="X5" i="16"/>
  <c r="T2" i="196"/>
  <c r="S7" i="16"/>
  <c r="W2" i="153"/>
  <c r="R13" i="3"/>
  <c r="R3" i="167" s="1"/>
  <c r="U14" i="3"/>
  <c r="U2" i="103" s="1"/>
  <c r="P2" i="70"/>
  <c r="O21" i="16"/>
  <c r="X2" i="70"/>
  <c r="W21" i="16"/>
  <c r="Q3" i="70"/>
  <c r="Y3" i="70"/>
  <c r="W2" i="129"/>
  <c r="V6" i="16"/>
  <c r="R21" i="3"/>
  <c r="R4" i="167" s="1"/>
  <c r="U22" i="3"/>
  <c r="P2" i="56"/>
  <c r="X2" i="56"/>
  <c r="S2" i="173"/>
  <c r="R39" i="16"/>
  <c r="Q2" i="177"/>
  <c r="P8" i="16"/>
  <c r="Y2" i="177"/>
  <c r="X8" i="16"/>
  <c r="T2" i="61"/>
  <c r="R29" i="3"/>
  <c r="R2" i="109" s="1"/>
  <c r="U30" i="3"/>
  <c r="P2" i="174"/>
  <c r="O22" i="16"/>
  <c r="X2" i="174"/>
  <c r="W22" i="16"/>
  <c r="Q3" i="177"/>
  <c r="Y3" i="177"/>
  <c r="R37" i="3"/>
  <c r="R2" i="17" s="1"/>
  <c r="U38" i="3"/>
  <c r="U3" i="50" s="1"/>
  <c r="P3" i="74"/>
  <c r="O45" i="16"/>
  <c r="X3" i="74"/>
  <c r="W45" i="16"/>
  <c r="S2" i="151"/>
  <c r="R17" i="16"/>
  <c r="V2" i="72"/>
  <c r="U40" i="16"/>
  <c r="Q2" i="143"/>
  <c r="P28" i="16"/>
  <c r="Y2" i="143"/>
  <c r="X28" i="16"/>
  <c r="R45" i="3"/>
  <c r="R5" i="167" s="1"/>
  <c r="U46" i="3"/>
  <c r="U3" i="103" s="1"/>
  <c r="Q2" i="178"/>
  <c r="P50" i="16"/>
  <c r="Y2" i="178"/>
  <c r="X50" i="16"/>
  <c r="W3" i="92"/>
  <c r="V15" i="16"/>
  <c r="R53" i="3"/>
  <c r="R3" i="173" s="1"/>
  <c r="U54" i="3"/>
  <c r="U2" i="110" s="1"/>
  <c r="P4" i="103"/>
  <c r="O26" i="16"/>
  <c r="X4" i="103"/>
  <c r="W26" i="16"/>
  <c r="T2" i="38"/>
  <c r="S37" i="16"/>
  <c r="R61" i="3"/>
  <c r="R3" i="56" s="1"/>
  <c r="U62" i="3"/>
  <c r="U2" i="49" s="1"/>
  <c r="R69" i="3"/>
  <c r="R4" i="168" s="1"/>
  <c r="U70" i="3"/>
  <c r="P2" i="169"/>
  <c r="X2" i="169"/>
  <c r="W2" i="190"/>
  <c r="R77" i="3"/>
  <c r="U78" i="3"/>
  <c r="U4" i="109" s="1"/>
  <c r="P2" i="123"/>
  <c r="X2" i="123"/>
  <c r="S2" i="141"/>
  <c r="W3" i="123"/>
  <c r="R85" i="3"/>
  <c r="U86" i="3"/>
  <c r="U3" i="121" s="1"/>
  <c r="P2" i="112"/>
  <c r="X2" i="112"/>
  <c r="V3" i="184"/>
  <c r="U12" i="16"/>
  <c r="R93" i="3"/>
  <c r="U94" i="3"/>
  <c r="U3" i="93" s="1"/>
  <c r="O24" i="16"/>
  <c r="P2" i="33"/>
  <c r="W24" i="16"/>
  <c r="X2" i="33"/>
  <c r="V2" i="130"/>
  <c r="W2" i="122"/>
  <c r="V58" i="16"/>
  <c r="U102" i="3"/>
  <c r="U6" i="92" s="1"/>
  <c r="P6" i="123"/>
  <c r="X6" i="123"/>
  <c r="R109" i="3"/>
  <c r="R2" i="188" s="1"/>
  <c r="U110" i="3"/>
  <c r="U7" i="123" s="1"/>
  <c r="V2" i="128"/>
  <c r="U38" i="16"/>
  <c r="R117" i="3"/>
  <c r="R8" i="123" s="1"/>
  <c r="U118" i="3"/>
  <c r="U8" i="92" s="1"/>
  <c r="Q2" i="42"/>
  <c r="P47" i="16"/>
  <c r="Y2" i="42"/>
  <c r="X47" i="16"/>
  <c r="R125" i="3"/>
  <c r="R2" i="185" s="1"/>
  <c r="U126" i="3"/>
  <c r="U4" i="56" s="1"/>
  <c r="P2" i="163"/>
  <c r="O56" i="16"/>
  <c r="X2" i="163"/>
  <c r="W56" i="16"/>
  <c r="R133" i="3"/>
  <c r="R3" i="112" s="1"/>
  <c r="U134" i="3"/>
  <c r="R141" i="3"/>
  <c r="R9" i="171" s="1"/>
  <c r="U142" i="3"/>
  <c r="U6" i="168" s="1"/>
  <c r="P2" i="85"/>
  <c r="O25" i="16"/>
  <c r="X2" i="85"/>
  <c r="W25" i="16"/>
  <c r="T2" i="116"/>
  <c r="S16" i="16"/>
  <c r="R149" i="3"/>
  <c r="R6" i="185" s="1"/>
  <c r="U150" i="3"/>
  <c r="U5" i="109" s="1"/>
  <c r="R157" i="3"/>
  <c r="R3" i="143" s="1"/>
  <c r="U158" i="3"/>
  <c r="U2" i="114" s="1"/>
  <c r="Q2" i="111"/>
  <c r="P23" i="16"/>
  <c r="U164" i="3"/>
  <c r="U10" i="171" s="1"/>
  <c r="P12" i="92"/>
  <c r="R165" i="3"/>
  <c r="R12" i="92" s="1"/>
  <c r="V3" i="196"/>
  <c r="T3" i="163"/>
  <c r="S36" i="16"/>
  <c r="T14" i="92"/>
  <c r="U178" i="3"/>
  <c r="U14" i="92" s="1"/>
  <c r="T4" i="148"/>
  <c r="S42" i="16"/>
  <c r="R195" i="3"/>
  <c r="V3" i="122"/>
  <c r="U20" i="16"/>
  <c r="Q3" i="190"/>
  <c r="R198" i="3"/>
  <c r="R3" i="190" s="1"/>
  <c r="W3" i="68"/>
  <c r="P3" i="12"/>
  <c r="R205" i="3"/>
  <c r="R3" i="12" s="1"/>
  <c r="R209" i="3"/>
  <c r="R16" i="92" s="1"/>
  <c r="R211" i="3"/>
  <c r="R3" i="35" s="1"/>
  <c r="Q3" i="129"/>
  <c r="R214" i="3"/>
  <c r="R3" i="129" s="1"/>
  <c r="P3" i="42"/>
  <c r="R221" i="3"/>
  <c r="R3" i="42" s="1"/>
  <c r="R227" i="3"/>
  <c r="R7" i="193" s="1"/>
  <c r="S5" i="138"/>
  <c r="U230" i="3"/>
  <c r="U5" i="138" s="1"/>
  <c r="U236" i="3"/>
  <c r="U7" i="56" s="1"/>
  <c r="Q2" i="131"/>
  <c r="P32" i="16"/>
  <c r="T14" i="168"/>
  <c r="U239" i="3"/>
  <c r="U14" i="168" s="1"/>
  <c r="X2" i="48"/>
  <c r="W13" i="16"/>
  <c r="U6" i="138"/>
  <c r="Q11" i="171"/>
  <c r="R254" i="3"/>
  <c r="R11" i="171" s="1"/>
  <c r="F1044" i="3"/>
  <c r="P8" i="193"/>
  <c r="R261" i="3"/>
  <c r="R8" i="193" s="1"/>
  <c r="S10" i="185"/>
  <c r="U267" i="3"/>
  <c r="U10" i="185" s="1"/>
  <c r="Q2" i="175"/>
  <c r="P15" i="168"/>
  <c r="R290" i="3"/>
  <c r="R15" i="168" s="1"/>
  <c r="S3" i="108"/>
  <c r="U299" i="3"/>
  <c r="U3" i="108" s="1"/>
  <c r="P2" i="161"/>
  <c r="R322" i="3"/>
  <c r="R2" i="161" s="1"/>
  <c r="S14" i="171"/>
  <c r="U331" i="3"/>
  <c r="U14" i="171" s="1"/>
  <c r="P5" i="108"/>
  <c r="R354" i="3"/>
  <c r="R5" i="108" s="1"/>
  <c r="S6" i="108"/>
  <c r="U363" i="3"/>
  <c r="U6" i="108" s="1"/>
  <c r="P4" i="48"/>
  <c r="R386" i="3"/>
  <c r="R4" i="48" s="1"/>
  <c r="Y2" i="194"/>
  <c r="X55" i="16"/>
  <c r="S10" i="49"/>
  <c r="U395" i="3"/>
  <c r="U10" i="49" s="1"/>
  <c r="P11" i="49"/>
  <c r="R418" i="3"/>
  <c r="R11" i="49" s="1"/>
  <c r="S4" i="102"/>
  <c r="U427" i="3"/>
  <c r="U4" i="102" s="1"/>
  <c r="R37" i="92"/>
  <c r="P10" i="120"/>
  <c r="P11" i="120"/>
  <c r="R450" i="3"/>
  <c r="S5" i="121"/>
  <c r="U459" i="3"/>
  <c r="U5" i="121" s="1"/>
  <c r="P7" i="116"/>
  <c r="R482" i="3"/>
  <c r="R7" i="116" s="1"/>
  <c r="Y3" i="142"/>
  <c r="X31" i="16"/>
  <c r="S15" i="167"/>
  <c r="U491" i="3"/>
  <c r="U15" i="167" s="1"/>
  <c r="P11" i="196"/>
  <c r="R513" i="3"/>
  <c r="R11" i="196" s="1"/>
  <c r="S6" i="12"/>
  <c r="U522" i="3"/>
  <c r="U6" i="12" s="1"/>
  <c r="P6" i="80"/>
  <c r="R545" i="3"/>
  <c r="R6" i="80" s="1"/>
  <c r="S5" i="78"/>
  <c r="U554" i="3"/>
  <c r="U5" i="78" s="1"/>
  <c r="P10" i="177"/>
  <c r="R577" i="3"/>
  <c r="R10" i="177" s="1"/>
  <c r="S8" i="169"/>
  <c r="U586" i="3"/>
  <c r="U8" i="169" s="1"/>
  <c r="P2" i="140"/>
  <c r="R609" i="3"/>
  <c r="R2" i="140" s="1"/>
  <c r="S2" i="149"/>
  <c r="U618" i="3"/>
  <c r="U2" i="149" s="1"/>
  <c r="P2" i="65"/>
  <c r="R641" i="3"/>
  <c r="R2" i="65" s="1"/>
  <c r="S33" i="185"/>
  <c r="U650" i="3"/>
  <c r="U33" i="185" s="1"/>
  <c r="P10" i="119"/>
  <c r="R673" i="3"/>
  <c r="R10" i="119" s="1"/>
  <c r="S4" i="165"/>
  <c r="U682" i="3"/>
  <c r="U4" i="165" s="1"/>
  <c r="P8" i="121"/>
  <c r="R705" i="3"/>
  <c r="R8" i="121" s="1"/>
  <c r="S13" i="108"/>
  <c r="U714" i="3"/>
  <c r="U13" i="108" s="1"/>
  <c r="P13" i="122"/>
  <c r="R737" i="3"/>
  <c r="R13" i="122" s="1"/>
  <c r="S22" i="49"/>
  <c r="U746" i="3"/>
  <c r="U22" i="49" s="1"/>
  <c r="P25" i="196"/>
  <c r="R769" i="3"/>
  <c r="R25" i="196" s="1"/>
  <c r="S4" i="63"/>
  <c r="U778" i="3"/>
  <c r="U4" i="63" s="1"/>
  <c r="S6" i="151"/>
  <c r="U781" i="3"/>
  <c r="U6" i="151" s="1"/>
  <c r="S23" i="38"/>
  <c r="U788" i="3"/>
  <c r="U23" i="38" s="1"/>
  <c r="Q13" i="107"/>
  <c r="R838" i="3"/>
  <c r="R13" i="107" s="1"/>
  <c r="Q44" i="185"/>
  <c r="R870" i="3"/>
  <c r="R44" i="185" s="1"/>
  <c r="Q3" i="149"/>
  <c r="R902" i="3"/>
  <c r="R3" i="149" s="1"/>
  <c r="Q16" i="76"/>
  <c r="R933" i="3"/>
  <c r="R16" i="76" s="1"/>
  <c r="V53" i="16"/>
  <c r="U2" i="50"/>
  <c r="T14" i="16"/>
  <c r="Q3" i="171"/>
  <c r="P4" i="16"/>
  <c r="R2" i="153"/>
  <c r="Y2" i="72"/>
  <c r="X40" i="16"/>
  <c r="S4" i="103"/>
  <c r="R26" i="16"/>
  <c r="X2" i="39"/>
  <c r="S2" i="112"/>
  <c r="S2" i="85"/>
  <c r="R25" i="16"/>
  <c r="Y3" i="196"/>
  <c r="T3" i="12"/>
  <c r="U205" i="3"/>
  <c r="U3" i="12" s="1"/>
  <c r="P2" i="189"/>
  <c r="R397" i="3"/>
  <c r="R2" i="189" s="1"/>
  <c r="S12" i="38"/>
  <c r="U414" i="3"/>
  <c r="U12" i="38" s="1"/>
  <c r="P7" i="121"/>
  <c r="R556" i="3"/>
  <c r="R7" i="121" s="1"/>
  <c r="S6" i="93"/>
  <c r="U573" i="3"/>
  <c r="U6" i="93" s="1"/>
  <c r="P18" i="38"/>
  <c r="R588" i="3"/>
  <c r="R18" i="38" s="1"/>
  <c r="S10" i="122"/>
  <c r="U605" i="3"/>
  <c r="U10" i="122" s="1"/>
  <c r="P8" i="39"/>
  <c r="R652" i="3"/>
  <c r="R8" i="39" s="1"/>
  <c r="S3" i="64"/>
  <c r="U701" i="3"/>
  <c r="U3" i="64" s="1"/>
  <c r="P22" i="168"/>
  <c r="R716" i="3"/>
  <c r="R22" i="168" s="1"/>
  <c r="S2" i="50"/>
  <c r="R14" i="16"/>
  <c r="V2" i="93"/>
  <c r="T2" i="167"/>
  <c r="S34" i="16"/>
  <c r="W3" i="171"/>
  <c r="V4" i="16"/>
  <c r="R10" i="3"/>
  <c r="U11" i="3"/>
  <c r="P2" i="153"/>
  <c r="X2" i="153"/>
  <c r="Q2" i="70"/>
  <c r="P21" i="16"/>
  <c r="Y2" i="70"/>
  <c r="X21" i="16"/>
  <c r="R18" i="3"/>
  <c r="U19" i="3"/>
  <c r="U3" i="153" s="1"/>
  <c r="P2" i="129"/>
  <c r="O6" i="16"/>
  <c r="X2" i="129"/>
  <c r="W6" i="16"/>
  <c r="V2" i="193"/>
  <c r="U19" i="16"/>
  <c r="Q2" i="56"/>
  <c r="Y2" i="56"/>
  <c r="T2" i="173"/>
  <c r="S39" i="16"/>
  <c r="R26" i="3"/>
  <c r="U27" i="3"/>
  <c r="V2" i="60"/>
  <c r="Q2" i="174"/>
  <c r="P22" i="16"/>
  <c r="Y2" i="174"/>
  <c r="X22" i="16"/>
  <c r="R34" i="3"/>
  <c r="U35" i="3"/>
  <c r="U3" i="109" s="1"/>
  <c r="Q3" i="74"/>
  <c r="P45" i="16"/>
  <c r="Y3" i="74"/>
  <c r="X45" i="16"/>
  <c r="T2" i="151"/>
  <c r="S17" i="16"/>
  <c r="W2" i="72"/>
  <c r="V40" i="16"/>
  <c r="R42" i="3"/>
  <c r="U43" i="3"/>
  <c r="U3" i="174" s="1"/>
  <c r="R50" i="3"/>
  <c r="U51" i="3"/>
  <c r="U4" i="70" s="1"/>
  <c r="P3" i="92"/>
  <c r="O15" i="16"/>
  <c r="X3" i="92"/>
  <c r="W15" i="16"/>
  <c r="Q4" i="103"/>
  <c r="P26" i="16"/>
  <c r="Y4" i="103"/>
  <c r="X26" i="16"/>
  <c r="R58" i="3"/>
  <c r="R2" i="84" s="1"/>
  <c r="U59" i="3"/>
  <c r="R66" i="3"/>
  <c r="R5" i="70" s="1"/>
  <c r="U67" i="3"/>
  <c r="U3" i="168" s="1"/>
  <c r="V2" i="39"/>
  <c r="Q2" i="169"/>
  <c r="Y2" i="169"/>
  <c r="R74" i="3"/>
  <c r="R7" i="167" s="1"/>
  <c r="U75" i="3"/>
  <c r="U7" i="173" s="1"/>
  <c r="P2" i="190"/>
  <c r="X2" i="190"/>
  <c r="S2" i="138"/>
  <c r="R54" i="16"/>
  <c r="Q2" i="123"/>
  <c r="Y2" i="123"/>
  <c r="T2" i="141"/>
  <c r="R82" i="3"/>
  <c r="R5" i="171" s="1"/>
  <c r="U83" i="3"/>
  <c r="U2" i="69" s="1"/>
  <c r="P3" i="123"/>
  <c r="X3" i="123"/>
  <c r="Q2" i="112"/>
  <c r="Y2" i="112"/>
  <c r="W3" i="184"/>
  <c r="V12" i="16"/>
  <c r="R90" i="3"/>
  <c r="R4" i="123" s="1"/>
  <c r="U91" i="3"/>
  <c r="U5" i="174" s="1"/>
  <c r="S2" i="120"/>
  <c r="R43" i="16"/>
  <c r="P24" i="16"/>
  <c r="Q2" i="33"/>
  <c r="X24" i="16"/>
  <c r="Y2" i="33"/>
  <c r="W2" i="130"/>
  <c r="R98" i="3"/>
  <c r="R4" i="193" s="1"/>
  <c r="U99" i="3"/>
  <c r="P2" i="122"/>
  <c r="O58" i="16"/>
  <c r="X2" i="122"/>
  <c r="W58" i="16"/>
  <c r="Q6" i="123"/>
  <c r="Y6" i="123"/>
  <c r="R106" i="3"/>
  <c r="R3" i="185" s="1"/>
  <c r="U107" i="3"/>
  <c r="U2" i="179" s="1"/>
  <c r="W2" i="128"/>
  <c r="V38" i="16"/>
  <c r="R114" i="3"/>
  <c r="R5" i="193" s="1"/>
  <c r="U115" i="3"/>
  <c r="U2" i="119" s="1"/>
  <c r="R122" i="3"/>
  <c r="U123" i="3"/>
  <c r="U4" i="138" s="1"/>
  <c r="Q2" i="163"/>
  <c r="P56" i="16"/>
  <c r="Y2" i="163"/>
  <c r="X56" i="16"/>
  <c r="R130" i="3"/>
  <c r="R3" i="88" s="1"/>
  <c r="U131" i="3"/>
  <c r="U4" i="93" s="1"/>
  <c r="V2" i="80"/>
  <c r="U29" i="16"/>
  <c r="R138" i="3"/>
  <c r="R7" i="171" s="1"/>
  <c r="U139" i="3"/>
  <c r="U8" i="167" s="1"/>
  <c r="Q2" i="85"/>
  <c r="P25" i="16"/>
  <c r="Y2" i="85"/>
  <c r="X25" i="16"/>
  <c r="R146" i="3"/>
  <c r="R4" i="120" s="1"/>
  <c r="U147" i="3"/>
  <c r="R154" i="3"/>
  <c r="R2" i="135" s="1"/>
  <c r="U155" i="3"/>
  <c r="U11" i="92" s="1"/>
  <c r="S2" i="111"/>
  <c r="R23" i="16"/>
  <c r="S2" i="139"/>
  <c r="U161" i="3"/>
  <c r="U2" i="139" s="1"/>
  <c r="R163" i="3"/>
  <c r="R2" i="142" s="1"/>
  <c r="U173" i="3"/>
  <c r="U6" i="49" s="1"/>
  <c r="T10" i="168"/>
  <c r="U176" i="3"/>
  <c r="U10" i="168" s="1"/>
  <c r="U180" i="3"/>
  <c r="U2" i="115" s="1"/>
  <c r="P15" i="92"/>
  <c r="R181" i="3"/>
  <c r="R15" i="92" s="1"/>
  <c r="U189" i="3"/>
  <c r="U5" i="49" s="1"/>
  <c r="T8" i="171"/>
  <c r="U192" i="3"/>
  <c r="U8" i="171" s="1"/>
  <c r="S7" i="49"/>
  <c r="R51" i="16"/>
  <c r="U195" i="3"/>
  <c r="Y2" i="12"/>
  <c r="X57" i="16"/>
  <c r="S3" i="190"/>
  <c r="U198" i="3"/>
  <c r="U3" i="190" s="1"/>
  <c r="R33" i="16"/>
  <c r="S2" i="30"/>
  <c r="T46" i="16"/>
  <c r="U3" i="22"/>
  <c r="S3" i="35"/>
  <c r="U211" i="3"/>
  <c r="U3" i="35" s="1"/>
  <c r="S3" i="129"/>
  <c r="U214" i="3"/>
  <c r="U3" i="129" s="1"/>
  <c r="X2" i="187"/>
  <c r="W2" i="107"/>
  <c r="V27" i="16"/>
  <c r="S7" i="193"/>
  <c r="U227" i="3"/>
  <c r="U7" i="193" s="1"/>
  <c r="U241" i="3"/>
  <c r="U5" i="120" s="1"/>
  <c r="P2" i="48"/>
  <c r="O13" i="16"/>
  <c r="R242" i="3"/>
  <c r="R2" i="170"/>
  <c r="R251" i="3"/>
  <c r="R6" i="70" s="1"/>
  <c r="S11" i="171"/>
  <c r="U254" i="3"/>
  <c r="U11" i="171" s="1"/>
  <c r="T11" i="167"/>
  <c r="U263" i="3"/>
  <c r="U11" i="167" s="1"/>
  <c r="S5" i="122"/>
  <c r="U278" i="3"/>
  <c r="U5" i="122" s="1"/>
  <c r="R288" i="3"/>
  <c r="R5" i="196" s="1"/>
  <c r="R293" i="3"/>
  <c r="S25" i="92"/>
  <c r="U310" i="3"/>
  <c r="U25" i="92" s="1"/>
  <c r="R320" i="3"/>
  <c r="R5" i="112" s="1"/>
  <c r="P3" i="169"/>
  <c r="R325" i="3"/>
  <c r="R3" i="169" s="1"/>
  <c r="S5" i="113"/>
  <c r="U342" i="3"/>
  <c r="U5" i="113" s="1"/>
  <c r="R352" i="3"/>
  <c r="R2" i="183" s="1"/>
  <c r="P5" i="119"/>
  <c r="R357" i="3"/>
  <c r="R5" i="119" s="1"/>
  <c r="R4" i="159"/>
  <c r="S4" i="121"/>
  <c r="U374" i="3"/>
  <c r="U4" i="121" s="1"/>
  <c r="R384" i="3"/>
  <c r="R4" i="175" s="1"/>
  <c r="P2" i="194"/>
  <c r="O55" i="16"/>
  <c r="R389" i="3"/>
  <c r="S5" i="22"/>
  <c r="U406" i="3"/>
  <c r="U5" i="22" s="1"/>
  <c r="R416" i="3"/>
  <c r="R7" i="128" s="1"/>
  <c r="P34" i="92"/>
  <c r="R421" i="3"/>
  <c r="R34" i="92" s="1"/>
  <c r="S37" i="92"/>
  <c r="U438" i="3"/>
  <c r="R448" i="3"/>
  <c r="R9" i="116" s="1"/>
  <c r="P4" i="39"/>
  <c r="R453" i="3"/>
  <c r="R4" i="39" s="1"/>
  <c r="S5" i="74"/>
  <c r="U470" i="3"/>
  <c r="U5" i="74" s="1"/>
  <c r="R480" i="3"/>
  <c r="R3" i="191" s="1"/>
  <c r="P3" i="142"/>
  <c r="O31" i="16"/>
  <c r="R485" i="3"/>
  <c r="S2" i="66"/>
  <c r="U501" i="3"/>
  <c r="U2" i="66" s="1"/>
  <c r="R511" i="3"/>
  <c r="R6" i="35" s="1"/>
  <c r="P9" i="69"/>
  <c r="R516" i="3"/>
  <c r="R9" i="69" s="1"/>
  <c r="S3" i="131"/>
  <c r="U533" i="3"/>
  <c r="U3" i="131" s="1"/>
  <c r="R543" i="3"/>
  <c r="R15" i="56" s="1"/>
  <c r="P28" i="185"/>
  <c r="R548" i="3"/>
  <c r="R28" i="185" s="1"/>
  <c r="S14" i="120"/>
  <c r="U565" i="3"/>
  <c r="U14" i="120" s="1"/>
  <c r="R575" i="3"/>
  <c r="R19" i="171" s="1"/>
  <c r="P2" i="20"/>
  <c r="R580" i="3"/>
  <c r="R2" i="20" s="1"/>
  <c r="S31" i="185"/>
  <c r="U597" i="3"/>
  <c r="U31" i="185" s="1"/>
  <c r="R607" i="3"/>
  <c r="R4" i="131" s="1"/>
  <c r="P6" i="76"/>
  <c r="R612" i="3"/>
  <c r="R6" i="76" s="1"/>
  <c r="S12" i="177"/>
  <c r="U629" i="3"/>
  <c r="U12" i="177" s="1"/>
  <c r="R639" i="3"/>
  <c r="R4" i="98" s="1"/>
  <c r="P2" i="44"/>
  <c r="R644" i="3"/>
  <c r="R2" i="44" s="1"/>
  <c r="S20" i="171"/>
  <c r="U661" i="3"/>
  <c r="U20" i="171" s="1"/>
  <c r="R671" i="3"/>
  <c r="R19" i="49" s="1"/>
  <c r="P37" i="185"/>
  <c r="R676" i="3"/>
  <c r="R37" i="185" s="1"/>
  <c r="S38" i="185"/>
  <c r="U693" i="3"/>
  <c r="U38" i="185" s="1"/>
  <c r="R703" i="3"/>
  <c r="R5" i="155" s="1"/>
  <c r="P2" i="62"/>
  <c r="R708" i="3"/>
  <c r="R2" i="62" s="1"/>
  <c r="R2" i="147"/>
  <c r="S4" i="132"/>
  <c r="U725" i="3"/>
  <c r="U4" i="132" s="1"/>
  <c r="P12" i="119"/>
  <c r="R740" i="3"/>
  <c r="R12" i="119" s="1"/>
  <c r="S8" i="155"/>
  <c r="U757" i="3"/>
  <c r="U8" i="155" s="1"/>
  <c r="P55" i="92"/>
  <c r="R772" i="3"/>
  <c r="R55" i="92" s="1"/>
  <c r="P29" i="196"/>
  <c r="R791" i="3"/>
  <c r="R29" i="196" s="1"/>
  <c r="S13" i="119"/>
  <c r="U801" i="3"/>
  <c r="U13" i="119" s="1"/>
  <c r="P26" i="38"/>
  <c r="R804" i="3"/>
  <c r="R26" i="38" s="1"/>
  <c r="S10" i="188"/>
  <c r="U957" i="3"/>
  <c r="U10" i="188" s="1"/>
  <c r="S14" i="155"/>
  <c r="U989" i="3"/>
  <c r="U14" i="155" s="1"/>
  <c r="P2" i="126"/>
  <c r="R1030" i="3"/>
  <c r="R2" i="126" s="1"/>
  <c r="T10" i="16"/>
  <c r="S2" i="32"/>
  <c r="Q7" i="49"/>
  <c r="P51" i="16"/>
  <c r="Y7" i="49"/>
  <c r="X51" i="16"/>
  <c r="S57" i="16"/>
  <c r="W3" i="122"/>
  <c r="V20" i="16"/>
  <c r="V2" i="30"/>
  <c r="U33" i="16"/>
  <c r="S46" i="16"/>
  <c r="T3" i="22"/>
  <c r="Q2" i="187"/>
  <c r="Y2" i="187"/>
  <c r="V2" i="107"/>
  <c r="U27" i="16"/>
  <c r="W2" i="131"/>
  <c r="V32" i="16"/>
  <c r="V2" i="48"/>
  <c r="U13" i="16"/>
  <c r="S2" i="170"/>
  <c r="V6" i="138"/>
  <c r="U10" i="16"/>
  <c r="T12" i="167"/>
  <c r="S49" i="16"/>
  <c r="R270" i="3"/>
  <c r="R11" i="185" s="1"/>
  <c r="U271" i="3"/>
  <c r="U2" i="134" s="1"/>
  <c r="R278" i="3"/>
  <c r="R5" i="122" s="1"/>
  <c r="U279" i="3"/>
  <c r="U6" i="69" s="1"/>
  <c r="Q2" i="159"/>
  <c r="P18" i="16"/>
  <c r="Y2" i="159"/>
  <c r="X18" i="16"/>
  <c r="W2" i="175"/>
  <c r="R286" i="3"/>
  <c r="R2" i="32" s="1"/>
  <c r="U287" i="3"/>
  <c r="U2" i="23" s="1"/>
  <c r="Q2" i="124"/>
  <c r="P35" i="16"/>
  <c r="Y2" i="124"/>
  <c r="X35" i="16"/>
  <c r="T3" i="113"/>
  <c r="R294" i="3"/>
  <c r="R2" i="87" s="1"/>
  <c r="U295" i="3"/>
  <c r="U4" i="107" s="1"/>
  <c r="R302" i="3"/>
  <c r="R22" i="92" s="1"/>
  <c r="U303" i="3"/>
  <c r="U5" i="35" s="1"/>
  <c r="R310" i="3"/>
  <c r="R25" i="92" s="1"/>
  <c r="U311" i="3"/>
  <c r="U16" i="168" s="1"/>
  <c r="Q7" i="107"/>
  <c r="Y7" i="107"/>
  <c r="R318" i="3"/>
  <c r="R13" i="167" s="1"/>
  <c r="U319" i="3"/>
  <c r="U4" i="68" s="1"/>
  <c r="R326" i="3"/>
  <c r="R2" i="37" s="1"/>
  <c r="U327" i="3"/>
  <c r="U5" i="116" s="1"/>
  <c r="T5" i="107"/>
  <c r="S9" i="16"/>
  <c r="R334" i="3"/>
  <c r="R27" i="92" s="1"/>
  <c r="U335" i="3"/>
  <c r="U2" i="41" s="1"/>
  <c r="R342" i="3"/>
  <c r="R5" i="113" s="1"/>
  <c r="U343" i="3"/>
  <c r="U6" i="110" s="1"/>
  <c r="R350" i="3"/>
  <c r="R18" i="185" s="1"/>
  <c r="U351" i="3"/>
  <c r="U28" i="92" s="1"/>
  <c r="R358" i="3"/>
  <c r="R29" i="92" s="1"/>
  <c r="U359" i="3"/>
  <c r="U3" i="130" s="1"/>
  <c r="R366" i="3"/>
  <c r="R7" i="119" s="1"/>
  <c r="U367" i="3"/>
  <c r="U10" i="193" s="1"/>
  <c r="Q4" i="159"/>
  <c r="Y4" i="159"/>
  <c r="R374" i="3"/>
  <c r="R4" i="121" s="1"/>
  <c r="U375" i="3"/>
  <c r="U4" i="72" s="1"/>
  <c r="Q23" i="185"/>
  <c r="P44" i="16"/>
  <c r="Y23" i="185"/>
  <c r="X44" i="16"/>
  <c r="R382" i="3"/>
  <c r="R2" i="79" s="1"/>
  <c r="U383" i="3"/>
  <c r="U17" i="168" s="1"/>
  <c r="W2" i="194"/>
  <c r="V55" i="16"/>
  <c r="R390" i="3"/>
  <c r="R7" i="110" s="1"/>
  <c r="U391" i="3"/>
  <c r="U12" i="123" s="1"/>
  <c r="R398" i="3"/>
  <c r="R5" i="190" s="1"/>
  <c r="U399" i="3"/>
  <c r="U2" i="155" s="1"/>
  <c r="R406" i="3"/>
  <c r="R5" i="22" s="1"/>
  <c r="U407" i="3"/>
  <c r="U21" i="185" s="1"/>
  <c r="R414" i="3"/>
  <c r="R12" i="38" s="1"/>
  <c r="U415" i="3"/>
  <c r="U3" i="165" s="1"/>
  <c r="R422" i="3"/>
  <c r="R8" i="113" s="1"/>
  <c r="U423" i="3"/>
  <c r="U5" i="72" s="1"/>
  <c r="R430" i="3"/>
  <c r="R2" i="67" s="1"/>
  <c r="U431" i="3"/>
  <c r="U6" i="169" s="1"/>
  <c r="U439" i="3"/>
  <c r="U6" i="184" s="1"/>
  <c r="R446" i="3"/>
  <c r="R11" i="193" s="1"/>
  <c r="U447" i="3"/>
  <c r="U8" i="74" s="1"/>
  <c r="V11" i="120"/>
  <c r="V10" i="120"/>
  <c r="R454" i="3"/>
  <c r="R13" i="196" s="1"/>
  <c r="U455" i="3"/>
  <c r="U5" i="76" s="1"/>
  <c r="R462" i="3"/>
  <c r="R5" i="139" s="1"/>
  <c r="U463" i="3"/>
  <c r="U8" i="109" s="1"/>
  <c r="R470" i="3"/>
  <c r="R5" i="74" s="1"/>
  <c r="U471" i="3"/>
  <c r="U2" i="59" s="1"/>
  <c r="R478" i="3"/>
  <c r="R39" i="92" s="1"/>
  <c r="U479" i="3"/>
  <c r="U3" i="85" s="1"/>
  <c r="W3" i="142"/>
  <c r="V31" i="16"/>
  <c r="R486" i="3"/>
  <c r="R6" i="188" s="1"/>
  <c r="U487" i="3"/>
  <c r="U6" i="121" s="1"/>
  <c r="R494" i="3"/>
  <c r="R7" i="143" s="1"/>
  <c r="U495" i="3"/>
  <c r="U19" i="168" s="1"/>
  <c r="S2" i="165"/>
  <c r="R501" i="3"/>
  <c r="R2" i="66" s="1"/>
  <c r="U502" i="3"/>
  <c r="U7" i="174" s="1"/>
  <c r="R509" i="3"/>
  <c r="R12" i="196" s="1"/>
  <c r="U510" i="3"/>
  <c r="U3" i="134" s="1"/>
  <c r="R517" i="3"/>
  <c r="R3" i="136" s="1"/>
  <c r="U518" i="3"/>
  <c r="U13" i="56" s="1"/>
  <c r="R525" i="3"/>
  <c r="R2" i="34" s="1"/>
  <c r="U526" i="3"/>
  <c r="U8" i="177" s="1"/>
  <c r="S5" i="39"/>
  <c r="R48" i="16"/>
  <c r="R533" i="3"/>
  <c r="R3" i="131" s="1"/>
  <c r="U534" i="3"/>
  <c r="U5" i="145" s="1"/>
  <c r="R541" i="3"/>
  <c r="R3" i="90" s="1"/>
  <c r="U542" i="3"/>
  <c r="U9" i="107" s="1"/>
  <c r="R549" i="3"/>
  <c r="R30" i="185" s="1"/>
  <c r="U550" i="3"/>
  <c r="U14" i="193" s="1"/>
  <c r="R557" i="3"/>
  <c r="R44" i="92" s="1"/>
  <c r="U558" i="3"/>
  <c r="U3" i="79" s="1"/>
  <c r="R565" i="3"/>
  <c r="R14" i="120" s="1"/>
  <c r="U566" i="3"/>
  <c r="U11" i="116" s="1"/>
  <c r="R573" i="3"/>
  <c r="R6" i="93" s="1"/>
  <c r="U574" i="3"/>
  <c r="U15" i="38" s="1"/>
  <c r="R581" i="3"/>
  <c r="R3" i="86" s="1"/>
  <c r="U582" i="3"/>
  <c r="U12" i="113" s="1"/>
  <c r="R589" i="3"/>
  <c r="R10" i="108" s="1"/>
  <c r="U590" i="3"/>
  <c r="U2" i="27" s="1"/>
  <c r="R597" i="3"/>
  <c r="R31" i="185" s="1"/>
  <c r="U598" i="3"/>
  <c r="U5" i="129" s="1"/>
  <c r="R605" i="3"/>
  <c r="R10" i="122" s="1"/>
  <c r="U606" i="3"/>
  <c r="U4" i="198" s="1"/>
  <c r="R613" i="3"/>
  <c r="R3" i="98" s="1"/>
  <c r="U614" i="3"/>
  <c r="U3" i="161" s="1"/>
  <c r="R621" i="3"/>
  <c r="R10" i="80" s="1"/>
  <c r="U622" i="3"/>
  <c r="U17" i="167" s="1"/>
  <c r="R629" i="3"/>
  <c r="R12" i="177" s="1"/>
  <c r="U630" i="3"/>
  <c r="U17" i="196" s="1"/>
  <c r="R637" i="3"/>
  <c r="R16" i="193" s="1"/>
  <c r="U638" i="3"/>
  <c r="U18" i="196" s="1"/>
  <c r="R645" i="3"/>
  <c r="R9" i="169" s="1"/>
  <c r="U646" i="3"/>
  <c r="U5" i="124" s="1"/>
  <c r="R653" i="3"/>
  <c r="R9" i="109" s="1"/>
  <c r="U654" i="3"/>
  <c r="U2" i="132" s="1"/>
  <c r="R661" i="3"/>
  <c r="R20" i="171" s="1"/>
  <c r="U662" i="3"/>
  <c r="U8" i="12" s="1"/>
  <c r="R669" i="3"/>
  <c r="R21" i="168" s="1"/>
  <c r="U670" i="3"/>
  <c r="U36" i="185" s="1"/>
  <c r="T4" i="40"/>
  <c r="S11" i="16"/>
  <c r="R677" i="3"/>
  <c r="R35" i="185" s="1"/>
  <c r="U678" i="3"/>
  <c r="U13" i="177" s="1"/>
  <c r="R685" i="3"/>
  <c r="R3" i="100" s="1"/>
  <c r="U686" i="3"/>
  <c r="U17" i="49" s="1"/>
  <c r="R693" i="3"/>
  <c r="R38" i="185" s="1"/>
  <c r="U694" i="3"/>
  <c r="U13" i="113" s="1"/>
  <c r="R701" i="3"/>
  <c r="R3" i="64" s="1"/>
  <c r="U702" i="3"/>
  <c r="U4" i="34" s="1"/>
  <c r="R709" i="3"/>
  <c r="R4" i="67" s="1"/>
  <c r="U710" i="3"/>
  <c r="U21" i="167" s="1"/>
  <c r="R717" i="3"/>
  <c r="R23" i="167" s="1"/>
  <c r="U718" i="3"/>
  <c r="U5" i="131" s="1"/>
  <c r="Q2" i="147"/>
  <c r="Y2" i="147"/>
  <c r="R725" i="3"/>
  <c r="R4" i="132" s="1"/>
  <c r="U726" i="3"/>
  <c r="U5" i="34" s="1"/>
  <c r="R733" i="3"/>
  <c r="R22" i="196" s="1"/>
  <c r="U734" i="3"/>
  <c r="U11" i="107" s="1"/>
  <c r="T3" i="20"/>
  <c r="R741" i="3"/>
  <c r="R8" i="172" s="1"/>
  <c r="U742" i="3"/>
  <c r="U17" i="56" s="1"/>
  <c r="R749" i="3"/>
  <c r="R15" i="113" s="1"/>
  <c r="U750" i="3"/>
  <c r="U54" i="92" s="1"/>
  <c r="R757" i="3"/>
  <c r="R8" i="155" s="1"/>
  <c r="U758" i="3"/>
  <c r="U16" i="108" s="1"/>
  <c r="R765" i="3"/>
  <c r="R5" i="85" s="1"/>
  <c r="U766" i="3"/>
  <c r="U16" i="113" s="1"/>
  <c r="R773" i="3"/>
  <c r="R17" i="108" s="1"/>
  <c r="U774" i="3"/>
  <c r="U7" i="172" s="1"/>
  <c r="R781" i="3"/>
  <c r="R6" i="151" s="1"/>
  <c r="U782" i="3"/>
  <c r="U7" i="48" s="1"/>
  <c r="R794" i="3"/>
  <c r="R17" i="120" s="1"/>
  <c r="S5" i="32"/>
  <c r="U796" i="3"/>
  <c r="U5" i="32" s="1"/>
  <c r="P12" i="169"/>
  <c r="R799" i="3"/>
  <c r="R12" i="169" s="1"/>
  <c r="S28" i="196"/>
  <c r="U805" i="3"/>
  <c r="U28" i="196" s="1"/>
  <c r="U807" i="3"/>
  <c r="U6" i="172" s="1"/>
  <c r="P11" i="169"/>
  <c r="R808" i="3"/>
  <c r="R11" i="169" s="1"/>
  <c r="S27" i="38"/>
  <c r="U817" i="3"/>
  <c r="U27" i="38" s="1"/>
  <c r="P24" i="123"/>
  <c r="R835" i="3"/>
  <c r="R24" i="123" s="1"/>
  <c r="S32" i="196"/>
  <c r="U849" i="3"/>
  <c r="U32" i="196" s="1"/>
  <c r="P4" i="115"/>
  <c r="R867" i="3"/>
  <c r="R4" i="115" s="1"/>
  <c r="S3" i="126"/>
  <c r="U881" i="3"/>
  <c r="U3" i="126" s="1"/>
  <c r="P63" i="92"/>
  <c r="R899" i="3"/>
  <c r="R63" i="92" s="1"/>
  <c r="S28" i="113"/>
  <c r="U28" i="113"/>
  <c r="P26" i="113"/>
  <c r="R930" i="3"/>
  <c r="R26" i="113" s="1"/>
  <c r="S64" i="92"/>
  <c r="U944" i="3"/>
  <c r="U64" i="92" s="1"/>
  <c r="R962" i="3"/>
  <c r="R47" i="185" s="1"/>
  <c r="U971" i="3"/>
  <c r="U9" i="131" s="1"/>
  <c r="P16" i="119"/>
  <c r="R972" i="3"/>
  <c r="R16" i="119" s="1"/>
  <c r="S7" i="40"/>
  <c r="U984" i="3"/>
  <c r="U7" i="40" s="1"/>
  <c r="R1020" i="3"/>
  <c r="R3" i="181" s="1"/>
  <c r="P2" i="198"/>
  <c r="R1025" i="3"/>
  <c r="R2" i="198" s="1"/>
  <c r="S3" i="99"/>
  <c r="U1031" i="3"/>
  <c r="U3" i="99" s="1"/>
  <c r="S2" i="166"/>
  <c r="U1034" i="3"/>
  <c r="U2" i="166" s="1"/>
  <c r="P1044" i="3"/>
  <c r="R1044" i="3" s="1"/>
  <c r="G6" i="29"/>
  <c r="W2" i="111"/>
  <c r="V23" i="16"/>
  <c r="T7" i="49"/>
  <c r="S51" i="16"/>
  <c r="P3" i="68"/>
  <c r="O53" i="16"/>
  <c r="X3" i="68"/>
  <c r="W53" i="16"/>
  <c r="P33" i="16"/>
  <c r="Q2" i="30"/>
  <c r="X33" i="16"/>
  <c r="Y2" i="30"/>
  <c r="W3" i="22"/>
  <c r="V46" i="16"/>
  <c r="Q2" i="107"/>
  <c r="P27" i="16"/>
  <c r="Y2" i="107"/>
  <c r="X27" i="16"/>
  <c r="P3" i="119"/>
  <c r="O30" i="16"/>
  <c r="X3" i="119"/>
  <c r="W30" i="16"/>
  <c r="Q2" i="48"/>
  <c r="P13" i="16"/>
  <c r="Y2" i="48"/>
  <c r="X13" i="16"/>
  <c r="V2" i="170"/>
  <c r="Q6" i="138"/>
  <c r="P10" i="16"/>
  <c r="Y6" i="138"/>
  <c r="X10" i="16"/>
  <c r="W12" i="167"/>
  <c r="T2" i="159"/>
  <c r="S18" i="16"/>
  <c r="T2" i="124"/>
  <c r="S35" i="16"/>
  <c r="W3" i="113"/>
  <c r="T7" i="107"/>
  <c r="W5" i="107"/>
  <c r="V9" i="16"/>
  <c r="T4" i="159"/>
  <c r="T23" i="185"/>
  <c r="S44" i="16"/>
  <c r="Q10" i="120"/>
  <c r="Q11" i="120"/>
  <c r="Y10" i="120"/>
  <c r="Y11" i="120"/>
  <c r="V5" i="39"/>
  <c r="U48" i="16"/>
  <c r="W4" i="40"/>
  <c r="V11" i="16"/>
  <c r="T2" i="147"/>
  <c r="P11" i="102"/>
  <c r="R787" i="3"/>
  <c r="R11" i="102" s="1"/>
  <c r="P7" i="35"/>
  <c r="R816" i="3"/>
  <c r="R7" i="35" s="1"/>
  <c r="S7" i="86"/>
  <c r="U828" i="3"/>
  <c r="U7" i="86" s="1"/>
  <c r="P31" i="196"/>
  <c r="R848" i="3"/>
  <c r="R31" i="196" s="1"/>
  <c r="S61" i="92"/>
  <c r="U860" i="3"/>
  <c r="U61" i="92" s="1"/>
  <c r="P25" i="167"/>
  <c r="R880" i="3"/>
  <c r="R25" i="167" s="1"/>
  <c r="S17" i="177"/>
  <c r="U892" i="3"/>
  <c r="U17" i="177" s="1"/>
  <c r="P32" i="49"/>
  <c r="R912" i="3"/>
  <c r="R32" i="49" s="1"/>
  <c r="S9" i="74"/>
  <c r="U923" i="3"/>
  <c r="U9" i="74" s="1"/>
  <c r="P4" i="166"/>
  <c r="R943" i="3"/>
  <c r="R4" i="166" s="1"/>
  <c r="S19" i="120"/>
  <c r="U965" i="3"/>
  <c r="U19" i="120" s="1"/>
  <c r="P71" i="92"/>
  <c r="R983" i="3"/>
  <c r="R71" i="92" s="1"/>
  <c r="S10" i="47"/>
  <c r="U997" i="3"/>
  <c r="U10" i="47" s="1"/>
  <c r="W2" i="21"/>
  <c r="V52" i="16"/>
  <c r="P2" i="35"/>
  <c r="R1033" i="3"/>
  <c r="R2" i="35" s="1"/>
  <c r="U1046" i="3"/>
  <c r="R1047" i="3"/>
  <c r="P8" i="20"/>
  <c r="W8" i="20"/>
  <c r="V3" i="163"/>
  <c r="U36" i="16"/>
  <c r="V4" i="148"/>
  <c r="U42" i="16"/>
  <c r="R194" i="3"/>
  <c r="R3" i="72" s="1"/>
  <c r="P2" i="12"/>
  <c r="O57" i="16"/>
  <c r="X2" i="12"/>
  <c r="W57" i="16"/>
  <c r="S3" i="122"/>
  <c r="R20" i="16"/>
  <c r="Q3" i="68"/>
  <c r="P53" i="16"/>
  <c r="Y3" i="68"/>
  <c r="X53" i="16"/>
  <c r="O46" i="16"/>
  <c r="P3" i="22"/>
  <c r="W46" i="16"/>
  <c r="X3" i="22"/>
  <c r="Q3" i="119"/>
  <c r="P30" i="16"/>
  <c r="Y3" i="119"/>
  <c r="X30" i="16"/>
  <c r="S2" i="131"/>
  <c r="R32" i="16"/>
  <c r="W2" i="170"/>
  <c r="P12" i="167"/>
  <c r="O49" i="16"/>
  <c r="X12" i="167"/>
  <c r="W49" i="16"/>
  <c r="S2" i="175"/>
  <c r="P3" i="113"/>
  <c r="X3" i="113"/>
  <c r="P5" i="107"/>
  <c r="O9" i="16"/>
  <c r="X5" i="107"/>
  <c r="W9" i="16"/>
  <c r="S2" i="194"/>
  <c r="R55" i="16"/>
  <c r="V37" i="92"/>
  <c r="S3" i="142"/>
  <c r="R31" i="16"/>
  <c r="W2" i="165"/>
  <c r="W5" i="39"/>
  <c r="V48" i="16"/>
  <c r="P4" i="40"/>
  <c r="O11" i="16"/>
  <c r="X4" i="40"/>
  <c r="W11" i="16"/>
  <c r="S3" i="166"/>
  <c r="U797" i="3"/>
  <c r="U3" i="166" s="1"/>
  <c r="P6" i="112"/>
  <c r="R800" i="3"/>
  <c r="R6" i="112" s="1"/>
  <c r="S26" i="38"/>
  <c r="U804" i="3"/>
  <c r="U26" i="38" s="1"/>
  <c r="P18" i="108"/>
  <c r="R819" i="3"/>
  <c r="R18" i="108" s="1"/>
  <c r="S24" i="49"/>
  <c r="U833" i="3"/>
  <c r="U24" i="49" s="1"/>
  <c r="P26" i="168"/>
  <c r="R851" i="3"/>
  <c r="R26" i="168" s="1"/>
  <c r="S7" i="22"/>
  <c r="U865" i="3"/>
  <c r="U7" i="22" s="1"/>
  <c r="P8" i="35"/>
  <c r="R883" i="3"/>
  <c r="R8" i="35" s="1"/>
  <c r="P34" i="196"/>
  <c r="R914" i="3"/>
  <c r="R34" i="196" s="1"/>
  <c r="S3" i="82"/>
  <c r="U928" i="3"/>
  <c r="U3" i="82" s="1"/>
  <c r="P12" i="116"/>
  <c r="R946" i="3"/>
  <c r="R12" i="116" s="1"/>
  <c r="P52" i="185"/>
  <c r="R956" i="3"/>
  <c r="R52" i="185" s="1"/>
  <c r="S4" i="189"/>
  <c r="U968" i="3"/>
  <c r="U4" i="189" s="1"/>
  <c r="P15" i="155"/>
  <c r="R988" i="3"/>
  <c r="R15" i="155" s="1"/>
  <c r="S2" i="99"/>
  <c r="U1000" i="3"/>
  <c r="U2" i="99" s="1"/>
  <c r="S35" i="113"/>
  <c r="U1005" i="3"/>
  <c r="U35" i="113" s="1"/>
  <c r="S13" i="39"/>
  <c r="U1008" i="3"/>
  <c r="U13" i="39" s="1"/>
  <c r="P10" i="39"/>
  <c r="R1014" i="3"/>
  <c r="R10" i="39" s="1"/>
  <c r="S3" i="195"/>
  <c r="U1023" i="3"/>
  <c r="U3" i="195" s="1"/>
  <c r="T2" i="12"/>
  <c r="V49" i="16"/>
  <c r="K20" i="22"/>
  <c r="Q20" i="22" s="1"/>
  <c r="Y6" i="26"/>
  <c r="S6" i="26"/>
  <c r="U6" i="26" s="1"/>
  <c r="Y19" i="30"/>
  <c r="S43" i="35"/>
  <c r="S2" i="107"/>
  <c r="R27" i="16"/>
  <c r="R3" i="119"/>
  <c r="Q30" i="16"/>
  <c r="T2" i="131"/>
  <c r="S32" i="16"/>
  <c r="S2" i="48"/>
  <c r="R13" i="16"/>
  <c r="P2" i="170"/>
  <c r="X2" i="170"/>
  <c r="S6" i="138"/>
  <c r="R10" i="16"/>
  <c r="Q12" i="167"/>
  <c r="P49" i="16"/>
  <c r="Y12" i="167"/>
  <c r="X49" i="16"/>
  <c r="V2" i="159"/>
  <c r="U18" i="16"/>
  <c r="T2" i="175"/>
  <c r="V2" i="124"/>
  <c r="U35" i="16"/>
  <c r="Q3" i="113"/>
  <c r="Y3" i="113"/>
  <c r="V7" i="107"/>
  <c r="Q5" i="107"/>
  <c r="P9" i="16"/>
  <c r="Y5" i="107"/>
  <c r="X9" i="16"/>
  <c r="V4" i="159"/>
  <c r="V23" i="185"/>
  <c r="U44" i="16"/>
  <c r="T2" i="194"/>
  <c r="S55" i="16"/>
  <c r="W37" i="92"/>
  <c r="S10" i="120"/>
  <c r="S11" i="120"/>
  <c r="T3" i="142"/>
  <c r="S31" i="16"/>
  <c r="P2" i="165"/>
  <c r="X2" i="165"/>
  <c r="P5" i="39"/>
  <c r="O48" i="16"/>
  <c r="X5" i="39"/>
  <c r="W48" i="16"/>
  <c r="Q4" i="40"/>
  <c r="P11" i="16"/>
  <c r="Y4" i="40"/>
  <c r="X11" i="16"/>
  <c r="V2" i="147"/>
  <c r="Q3" i="20"/>
  <c r="Y3" i="20"/>
  <c r="S7" i="74"/>
  <c r="U789" i="3"/>
  <c r="U7" i="74" s="1"/>
  <c r="P3" i="187"/>
  <c r="R824" i="3"/>
  <c r="R3" i="187" s="1"/>
  <c r="S8" i="138"/>
  <c r="U836" i="3"/>
  <c r="U8" i="138" s="1"/>
  <c r="P42" i="185"/>
  <c r="R856" i="3"/>
  <c r="R42" i="185" s="1"/>
  <c r="S4" i="23"/>
  <c r="U868" i="3"/>
  <c r="U4" i="23" s="1"/>
  <c r="P4" i="96"/>
  <c r="R888" i="3"/>
  <c r="R4" i="96" s="1"/>
  <c r="S16" i="129"/>
  <c r="U900" i="3"/>
  <c r="U16" i="129" s="1"/>
  <c r="P6" i="63"/>
  <c r="R919" i="3"/>
  <c r="R6" i="63" s="1"/>
  <c r="S8" i="73"/>
  <c r="U931" i="3"/>
  <c r="U8" i="73" s="1"/>
  <c r="P3" i="178"/>
  <c r="R951" i="3"/>
  <c r="R3" i="178" s="1"/>
  <c r="P11" i="172"/>
  <c r="R959" i="3"/>
  <c r="R11" i="172" s="1"/>
  <c r="S10" i="74"/>
  <c r="U973" i="3"/>
  <c r="U10" i="74" s="1"/>
  <c r="P35" i="38"/>
  <c r="R991" i="3"/>
  <c r="R35" i="38" s="1"/>
  <c r="P18" i="177"/>
  <c r="R996" i="3"/>
  <c r="R18" i="177" s="1"/>
  <c r="R1017" i="3"/>
  <c r="S3" i="159"/>
  <c r="U1026" i="3"/>
  <c r="U3" i="159" s="1"/>
  <c r="R1042" i="3"/>
  <c r="R1045" i="3"/>
  <c r="V1046" i="3"/>
  <c r="P5" i="17"/>
  <c r="R5" i="17" s="1"/>
  <c r="W5" i="17"/>
  <c r="P23" i="23"/>
  <c r="W23" i="23"/>
  <c r="S28" i="33"/>
  <c r="G31" i="35"/>
  <c r="O43" i="35"/>
  <c r="Y43" i="35" s="1"/>
  <c r="U160" i="3"/>
  <c r="U3" i="128" s="1"/>
  <c r="W3" i="196"/>
  <c r="R167" i="3"/>
  <c r="R6" i="103" s="1"/>
  <c r="P3" i="163"/>
  <c r="O36" i="16"/>
  <c r="X3" i="163"/>
  <c r="W36" i="16"/>
  <c r="R175" i="3"/>
  <c r="R4" i="49" s="1"/>
  <c r="R183" i="3"/>
  <c r="R2" i="162" s="1"/>
  <c r="P4" i="148"/>
  <c r="O42" i="16"/>
  <c r="X4" i="148"/>
  <c r="W42" i="16"/>
  <c r="W7" i="49"/>
  <c r="V51" i="16"/>
  <c r="S3" i="68"/>
  <c r="R53" i="16"/>
  <c r="T2" i="30"/>
  <c r="S33" i="16"/>
  <c r="R204" i="3"/>
  <c r="R212" i="3"/>
  <c r="R3" i="188" s="1"/>
  <c r="U213" i="3"/>
  <c r="U4" i="35" s="1"/>
  <c r="W2" i="187"/>
  <c r="R220" i="3"/>
  <c r="R17" i="92" s="1"/>
  <c r="T2" i="107"/>
  <c r="S27" i="16"/>
  <c r="R228" i="3"/>
  <c r="R5" i="69" s="1"/>
  <c r="U229" i="3"/>
  <c r="U6" i="120" s="1"/>
  <c r="S3" i="119"/>
  <c r="R30" i="16"/>
  <c r="R236" i="3"/>
  <c r="R7" i="56" s="1"/>
  <c r="U237" i="3"/>
  <c r="T2" i="48"/>
  <c r="S13" i="16"/>
  <c r="R244" i="3"/>
  <c r="R3" i="156" s="1"/>
  <c r="U245" i="3"/>
  <c r="U3" i="102" s="1"/>
  <c r="Q2" i="170"/>
  <c r="Y2" i="170"/>
  <c r="T6" i="138"/>
  <c r="S10" i="16"/>
  <c r="R252" i="3"/>
  <c r="R4" i="38" s="1"/>
  <c r="U253" i="3"/>
  <c r="U4" i="128" s="1"/>
  <c r="R260" i="3"/>
  <c r="R2" i="102" s="1"/>
  <c r="U261" i="3"/>
  <c r="U8" i="193" s="1"/>
  <c r="R268" i="3"/>
  <c r="U269" i="3"/>
  <c r="U8" i="56" s="1"/>
  <c r="R276" i="3"/>
  <c r="R2" i="78" s="1"/>
  <c r="U277" i="3"/>
  <c r="U2" i="113" s="1"/>
  <c r="W2" i="159"/>
  <c r="V18" i="16"/>
  <c r="R284" i="3"/>
  <c r="R5" i="184" s="1"/>
  <c r="U285" i="3"/>
  <c r="W2" i="124"/>
  <c r="V35" i="16"/>
  <c r="R292" i="3"/>
  <c r="R300" i="3"/>
  <c r="R2" i="191" s="1"/>
  <c r="U301" i="3"/>
  <c r="U3" i="107" s="1"/>
  <c r="R308" i="3"/>
  <c r="R6" i="196" s="1"/>
  <c r="U309" i="3"/>
  <c r="U4" i="116" s="1"/>
  <c r="W7" i="107"/>
  <c r="R316" i="3"/>
  <c r="R13" i="171" s="1"/>
  <c r="U317" i="3"/>
  <c r="U2" i="90" s="1"/>
  <c r="R324" i="3"/>
  <c r="R7" i="69" s="1"/>
  <c r="U325" i="3"/>
  <c r="U3" i="169" s="1"/>
  <c r="R332" i="3"/>
  <c r="U333" i="3"/>
  <c r="U7" i="109" s="1"/>
  <c r="R340" i="3"/>
  <c r="R17" i="185" s="1"/>
  <c r="U341" i="3"/>
  <c r="U13" i="173" s="1"/>
  <c r="R348" i="3"/>
  <c r="R4" i="139" s="1"/>
  <c r="U349" i="3"/>
  <c r="U15" i="185" s="1"/>
  <c r="R356" i="3"/>
  <c r="R4" i="163" s="1"/>
  <c r="U357" i="3"/>
  <c r="U5" i="119" s="1"/>
  <c r="R364" i="3"/>
  <c r="R16" i="185" s="1"/>
  <c r="U365" i="3"/>
  <c r="U2" i="125" s="1"/>
  <c r="W4" i="159"/>
  <c r="R372" i="3"/>
  <c r="R5" i="159" s="1"/>
  <c r="U373" i="3"/>
  <c r="U4" i="74" s="1"/>
  <c r="W23" i="185"/>
  <c r="V44" i="16"/>
  <c r="R380" i="3"/>
  <c r="R8" i="38" s="1"/>
  <c r="U381" i="3"/>
  <c r="U14" i="123" s="1"/>
  <c r="R388" i="3"/>
  <c r="R7" i="196" s="1"/>
  <c r="U389" i="3"/>
  <c r="R396" i="3"/>
  <c r="R9" i="38" s="1"/>
  <c r="U397" i="3"/>
  <c r="U2" i="189" s="1"/>
  <c r="R404" i="3"/>
  <c r="R7" i="50" s="1"/>
  <c r="U405" i="3"/>
  <c r="U2" i="86" s="1"/>
  <c r="R412" i="3"/>
  <c r="R2" i="36" s="1"/>
  <c r="U413" i="3"/>
  <c r="U33" i="92" s="1"/>
  <c r="R420" i="3"/>
  <c r="R3" i="33" s="1"/>
  <c r="U421" i="3"/>
  <c r="U34" i="92" s="1"/>
  <c r="R428" i="3"/>
  <c r="R5" i="188" s="1"/>
  <c r="U429" i="3"/>
  <c r="U6" i="22" s="1"/>
  <c r="R436" i="3"/>
  <c r="R24" i="185" s="1"/>
  <c r="U437" i="3"/>
  <c r="U3" i="111" s="1"/>
  <c r="P37" i="92"/>
  <c r="X37" i="92"/>
  <c r="R444" i="3"/>
  <c r="R4" i="172" s="1"/>
  <c r="U445" i="3"/>
  <c r="U7" i="169" s="1"/>
  <c r="T11" i="120"/>
  <c r="T10" i="120"/>
  <c r="R452" i="3"/>
  <c r="R5" i="169" s="1"/>
  <c r="U453" i="3"/>
  <c r="U4" i="39" s="1"/>
  <c r="R460" i="3"/>
  <c r="R6" i="101" s="1"/>
  <c r="U461" i="3"/>
  <c r="U3" i="41" s="1"/>
  <c r="R468" i="3"/>
  <c r="R38" i="92" s="1"/>
  <c r="U469" i="3"/>
  <c r="U3" i="125" s="1"/>
  <c r="R476" i="3"/>
  <c r="R12" i="193" s="1"/>
  <c r="U477" i="3"/>
  <c r="U9" i="108" s="1"/>
  <c r="R484" i="3"/>
  <c r="R4" i="30" s="1"/>
  <c r="U485" i="3"/>
  <c r="R492" i="3"/>
  <c r="R2" i="91" s="1"/>
  <c r="U493" i="3"/>
  <c r="U9" i="196" s="1"/>
  <c r="Q2" i="165"/>
  <c r="Y2" i="165"/>
  <c r="R500" i="3"/>
  <c r="R4" i="145" s="1"/>
  <c r="U40" i="92"/>
  <c r="F1046" i="3"/>
  <c r="R507" i="3"/>
  <c r="R8" i="107" s="1"/>
  <c r="U508" i="3"/>
  <c r="U11" i="56" s="1"/>
  <c r="R515" i="3"/>
  <c r="R2" i="158" s="1"/>
  <c r="U516" i="3"/>
  <c r="U9" i="69" s="1"/>
  <c r="R523" i="3"/>
  <c r="R15" i="196" s="1"/>
  <c r="U524" i="3"/>
  <c r="U42" i="92" s="1"/>
  <c r="Q5" i="39"/>
  <c r="P48" i="16"/>
  <c r="Y5" i="39"/>
  <c r="X48" i="16"/>
  <c r="R531" i="3"/>
  <c r="R3" i="59" s="1"/>
  <c r="U532" i="3"/>
  <c r="U4" i="12" s="1"/>
  <c r="R539" i="3"/>
  <c r="R9" i="122" s="1"/>
  <c r="U540" i="3"/>
  <c r="U43" i="92" s="1"/>
  <c r="R547" i="3"/>
  <c r="R13" i="193" s="1"/>
  <c r="U548" i="3"/>
  <c r="U28" i="185" s="1"/>
  <c r="R555" i="3"/>
  <c r="R4" i="61" s="1"/>
  <c r="U556" i="3"/>
  <c r="U7" i="121" s="1"/>
  <c r="R563" i="3"/>
  <c r="R29" i="185" s="1"/>
  <c r="U564" i="3"/>
  <c r="U6" i="39" s="1"/>
  <c r="R571" i="3"/>
  <c r="R3" i="155" s="1"/>
  <c r="U572" i="3"/>
  <c r="U45" i="92" s="1"/>
  <c r="R579" i="3"/>
  <c r="R5" i="48" s="1"/>
  <c r="U580" i="3"/>
  <c r="U2" i="20" s="1"/>
  <c r="R587" i="3"/>
  <c r="R11" i="108" s="1"/>
  <c r="U588" i="3"/>
  <c r="U18" i="38" s="1"/>
  <c r="R595" i="3"/>
  <c r="R8" i="80" s="1"/>
  <c r="U596" i="3"/>
  <c r="U15" i="193" s="1"/>
  <c r="R603" i="3"/>
  <c r="R7" i="39" s="1"/>
  <c r="U604" i="3"/>
  <c r="U8" i="110" s="1"/>
  <c r="R611" i="3"/>
  <c r="R19" i="38" s="1"/>
  <c r="U612" i="3"/>
  <c r="U6" i="76" s="1"/>
  <c r="R619" i="3"/>
  <c r="R6" i="139" s="1"/>
  <c r="U620" i="3"/>
  <c r="U49" i="92" s="1"/>
  <c r="R627" i="3"/>
  <c r="R5" i="172" s="1"/>
  <c r="U628" i="3"/>
  <c r="U18" i="171" s="1"/>
  <c r="R635" i="3"/>
  <c r="R6" i="134" s="1"/>
  <c r="U636" i="3"/>
  <c r="U6" i="48" s="1"/>
  <c r="R643" i="3"/>
  <c r="R8" i="129" s="1"/>
  <c r="U644" i="3"/>
  <c r="U2" i="44" s="1"/>
  <c r="R651" i="3"/>
  <c r="R6" i="114" s="1"/>
  <c r="U652" i="3"/>
  <c r="U8" i="39" s="1"/>
  <c r="R659" i="3"/>
  <c r="R2" i="181" s="1"/>
  <c r="U660" i="3"/>
  <c r="U3" i="71" s="1"/>
  <c r="R667" i="3"/>
  <c r="R6" i="78" s="1"/>
  <c r="U668" i="3"/>
  <c r="U34" i="185" s="1"/>
  <c r="R675" i="3"/>
  <c r="U676" i="3"/>
  <c r="U37" i="185" s="1"/>
  <c r="R683" i="3"/>
  <c r="R18" i="49" s="1"/>
  <c r="U684" i="3"/>
  <c r="U9" i="129" s="1"/>
  <c r="R691" i="3"/>
  <c r="R12" i="108" s="1"/>
  <c r="U692" i="3"/>
  <c r="U8" i="76" s="1"/>
  <c r="R699" i="3"/>
  <c r="R10" i="129" s="1"/>
  <c r="U700" i="3"/>
  <c r="U10" i="69" s="1"/>
  <c r="R707" i="3"/>
  <c r="R3" i="29" s="1"/>
  <c r="U708" i="3"/>
  <c r="U2" i="62" s="1"/>
  <c r="R715" i="3"/>
  <c r="R23" i="196" s="1"/>
  <c r="U716" i="3"/>
  <c r="U22" i="168" s="1"/>
  <c r="W2" i="147"/>
  <c r="R723" i="3"/>
  <c r="R8" i="68" s="1"/>
  <c r="U724" i="3"/>
  <c r="U21" i="123" s="1"/>
  <c r="R731" i="3"/>
  <c r="R15" i="177" s="1"/>
  <c r="U732" i="3"/>
  <c r="U14" i="108" s="1"/>
  <c r="R739" i="3"/>
  <c r="U740" i="3"/>
  <c r="U12" i="119" s="1"/>
  <c r="R747" i="3"/>
  <c r="R12" i="122" s="1"/>
  <c r="U748" i="3"/>
  <c r="U24" i="196" s="1"/>
  <c r="R755" i="3"/>
  <c r="R24" i="168" s="1"/>
  <c r="U756" i="3"/>
  <c r="U7" i="12" s="1"/>
  <c r="R763" i="3"/>
  <c r="R4" i="195" s="1"/>
  <c r="U764" i="3"/>
  <c r="U2" i="53" s="1"/>
  <c r="R771" i="3"/>
  <c r="R5" i="86" s="1"/>
  <c r="U772" i="3"/>
  <c r="U55" i="92" s="1"/>
  <c r="R779" i="3"/>
  <c r="R21" i="38" s="1"/>
  <c r="U791" i="3"/>
  <c r="U29" i="196" s="1"/>
  <c r="P5" i="32"/>
  <c r="R796" i="3"/>
  <c r="R5" i="32" s="1"/>
  <c r="R798" i="3"/>
  <c r="R12" i="107" s="1"/>
  <c r="S6" i="112"/>
  <c r="U800" i="3"/>
  <c r="U6" i="112" s="1"/>
  <c r="P56" i="92"/>
  <c r="R803" i="3"/>
  <c r="R56" i="92" s="1"/>
  <c r="S3" i="73"/>
  <c r="U809" i="3"/>
  <c r="U3" i="73" s="1"/>
  <c r="P14" i="107"/>
  <c r="R827" i="3"/>
  <c r="R14" i="107" s="1"/>
  <c r="S6" i="145"/>
  <c r="U841" i="3"/>
  <c r="U6" i="145" s="1"/>
  <c r="P10" i="110"/>
  <c r="R859" i="3"/>
  <c r="R10" i="110" s="1"/>
  <c r="S21" i="108"/>
  <c r="U873" i="3"/>
  <c r="U21" i="108" s="1"/>
  <c r="P4" i="117"/>
  <c r="R891" i="3"/>
  <c r="R4" i="117" s="1"/>
  <c r="S48" i="185"/>
  <c r="U905" i="3"/>
  <c r="U48" i="185" s="1"/>
  <c r="P19" i="193"/>
  <c r="R922" i="3"/>
  <c r="R19" i="193" s="1"/>
  <c r="S65" i="92"/>
  <c r="U936" i="3"/>
  <c r="U65" i="92" s="1"/>
  <c r="P33" i="49"/>
  <c r="R954" i="3"/>
  <c r="R33" i="49" s="1"/>
  <c r="P12" i="76"/>
  <c r="R964" i="3"/>
  <c r="R12" i="76" s="1"/>
  <c r="S30" i="113"/>
  <c r="U976" i="3"/>
  <c r="U30" i="113" s="1"/>
  <c r="P5" i="181"/>
  <c r="R1022" i="3"/>
  <c r="R5" i="181" s="1"/>
  <c r="V1041" i="3"/>
  <c r="P1041" i="3"/>
  <c r="R1041" i="3" s="1"/>
  <c r="U1044" i="3"/>
  <c r="V57" i="16"/>
  <c r="X12" i="21"/>
  <c r="P2" i="159"/>
  <c r="O18" i="16"/>
  <c r="X2" i="159"/>
  <c r="W18" i="16"/>
  <c r="V2" i="175"/>
  <c r="P2" i="124"/>
  <c r="O35" i="16"/>
  <c r="X2" i="124"/>
  <c r="W35" i="16"/>
  <c r="S3" i="113"/>
  <c r="P7" i="107"/>
  <c r="X7" i="107"/>
  <c r="S5" i="107"/>
  <c r="R9" i="16"/>
  <c r="P4" i="159"/>
  <c r="X4" i="159"/>
  <c r="P23" i="185"/>
  <c r="O44" i="16"/>
  <c r="X23" i="185"/>
  <c r="W44" i="16"/>
  <c r="V2" i="194"/>
  <c r="U55" i="16"/>
  <c r="Q37" i="92"/>
  <c r="Y37" i="92"/>
  <c r="U10" i="120"/>
  <c r="U11" i="120"/>
  <c r="V3" i="142"/>
  <c r="U31" i="16"/>
  <c r="R2" i="165"/>
  <c r="R5" i="39"/>
  <c r="Q48" i="16"/>
  <c r="S4" i="40"/>
  <c r="R11" i="16"/>
  <c r="P2" i="147"/>
  <c r="X2" i="147"/>
  <c r="S3" i="20"/>
  <c r="P23" i="38"/>
  <c r="R788" i="3"/>
  <c r="R23" i="38" s="1"/>
  <c r="S25" i="168"/>
  <c r="U812" i="3"/>
  <c r="U25" i="168" s="1"/>
  <c r="P9" i="110"/>
  <c r="R832" i="3"/>
  <c r="R9" i="110" s="1"/>
  <c r="S18" i="193"/>
  <c r="U844" i="3"/>
  <c r="U18" i="193" s="1"/>
  <c r="P9" i="78"/>
  <c r="R864" i="3"/>
  <c r="R9" i="78" s="1"/>
  <c r="S3" i="141"/>
  <c r="U876" i="3"/>
  <c r="U3" i="141" s="1"/>
  <c r="P4" i="20"/>
  <c r="R896" i="3"/>
  <c r="R4" i="20" s="1"/>
  <c r="S21" i="113"/>
  <c r="U908" i="3"/>
  <c r="U21" i="113" s="1"/>
  <c r="P3" i="182"/>
  <c r="R927" i="3"/>
  <c r="R3" i="182" s="1"/>
  <c r="S6" i="85"/>
  <c r="U939" i="3"/>
  <c r="U6" i="85" s="1"/>
  <c r="P23" i="108"/>
  <c r="R967" i="3"/>
  <c r="R23" i="108" s="1"/>
  <c r="S6" i="90"/>
  <c r="U981" i="3"/>
  <c r="U6" i="90" s="1"/>
  <c r="P3" i="44"/>
  <c r="R999" i="3"/>
  <c r="R3" i="44" s="1"/>
  <c r="P19" i="107"/>
  <c r="R1004" i="3"/>
  <c r="R19" i="107" s="1"/>
  <c r="P1043" i="3"/>
  <c r="R1043" i="3" s="1"/>
  <c r="W1043" i="3"/>
  <c r="W1046" i="3"/>
  <c r="P1046" i="3"/>
  <c r="R1046" i="3" s="1"/>
  <c r="S1047" i="3"/>
  <c r="U1047" i="3" s="1"/>
  <c r="Y1047" i="3"/>
  <c r="L2" i="16"/>
  <c r="W2" i="16" s="1"/>
  <c r="P13" i="27"/>
  <c r="W13" i="27"/>
  <c r="S6" i="29"/>
  <c r="Y6" i="29"/>
  <c r="R812" i="3"/>
  <c r="R25" i="168" s="1"/>
  <c r="U813" i="3"/>
  <c r="U6" i="131" s="1"/>
  <c r="R820" i="3"/>
  <c r="R5" i="151" s="1"/>
  <c r="U821" i="3"/>
  <c r="U5" i="73" s="1"/>
  <c r="R828" i="3"/>
  <c r="R7" i="86" s="1"/>
  <c r="U829" i="3"/>
  <c r="U8" i="78" s="1"/>
  <c r="R836" i="3"/>
  <c r="R8" i="138" s="1"/>
  <c r="U837" i="3"/>
  <c r="U19" i="108" s="1"/>
  <c r="R844" i="3"/>
  <c r="R18" i="193" s="1"/>
  <c r="U845" i="3"/>
  <c r="U3" i="77" s="1"/>
  <c r="R852" i="3"/>
  <c r="R7" i="131" s="1"/>
  <c r="U853" i="3"/>
  <c r="U26" i="49" s="1"/>
  <c r="Q2" i="182"/>
  <c r="P41" i="16"/>
  <c r="Y2" i="182"/>
  <c r="X41" i="16"/>
  <c r="R860" i="3"/>
  <c r="R61" i="92" s="1"/>
  <c r="U861" i="3"/>
  <c r="U13" i="129" s="1"/>
  <c r="R868" i="3"/>
  <c r="R4" i="23" s="1"/>
  <c r="U869" i="3"/>
  <c r="U5" i="161" s="1"/>
  <c r="R876" i="3"/>
  <c r="R3" i="141" s="1"/>
  <c r="U877" i="3"/>
  <c r="U25" i="49" s="1"/>
  <c r="R884" i="3"/>
  <c r="R33" i="38" s="1"/>
  <c r="U885" i="3"/>
  <c r="U28" i="38" s="1"/>
  <c r="R892" i="3"/>
  <c r="R17" i="177" s="1"/>
  <c r="U893" i="3"/>
  <c r="U32" i="38" s="1"/>
  <c r="R900" i="3"/>
  <c r="R16" i="129" s="1"/>
  <c r="U901" i="3"/>
  <c r="U5" i="63" s="1"/>
  <c r="R908" i="3"/>
  <c r="R21" i="113" s="1"/>
  <c r="U909" i="3"/>
  <c r="U6" i="161" s="1"/>
  <c r="R915" i="3"/>
  <c r="R22" i="108" s="1"/>
  <c r="U916" i="3"/>
  <c r="U9" i="188" s="1"/>
  <c r="R923" i="3"/>
  <c r="R9" i="74" s="1"/>
  <c r="U924" i="3"/>
  <c r="U24" i="113" s="1"/>
  <c r="R931" i="3"/>
  <c r="R8" i="73" s="1"/>
  <c r="U932" i="3"/>
  <c r="U3" i="97" s="1"/>
  <c r="R939" i="3"/>
  <c r="R6" i="85" s="1"/>
  <c r="U940" i="3"/>
  <c r="U2" i="89" s="1"/>
  <c r="R947" i="3"/>
  <c r="R4" i="88" s="1"/>
  <c r="U948" i="3"/>
  <c r="U17" i="122" s="1"/>
  <c r="R960" i="3"/>
  <c r="R33" i="113" s="1"/>
  <c r="R968" i="3"/>
  <c r="R4" i="189" s="1"/>
  <c r="U969" i="3"/>
  <c r="U27" i="168" s="1"/>
  <c r="R976" i="3"/>
  <c r="R30" i="113" s="1"/>
  <c r="U977" i="3"/>
  <c r="U31" i="113" s="1"/>
  <c r="R984" i="3"/>
  <c r="R7" i="40" s="1"/>
  <c r="R992" i="3"/>
  <c r="R36" i="38" s="1"/>
  <c r="U993" i="3"/>
  <c r="U32" i="113" s="1"/>
  <c r="R1000" i="3"/>
  <c r="R2" i="99" s="1"/>
  <c r="R1008" i="3"/>
  <c r="R13" i="39" s="1"/>
  <c r="U1009" i="3"/>
  <c r="R1018" i="3"/>
  <c r="R10" i="38" s="1"/>
  <c r="U1019" i="3"/>
  <c r="U17" i="38" s="1"/>
  <c r="T3" i="197"/>
  <c r="R1026" i="3"/>
  <c r="R3" i="159" s="1"/>
  <c r="U1027" i="3"/>
  <c r="U2" i="146" s="1"/>
  <c r="R1034" i="3"/>
  <c r="R2" i="166" s="1"/>
  <c r="S1045" i="3"/>
  <c r="U1045" i="3" s="1"/>
  <c r="F65" i="12"/>
  <c r="G8" i="12" s="1"/>
  <c r="O65" i="12"/>
  <c r="T65" i="12" s="1"/>
  <c r="F2" i="16"/>
  <c r="N2" i="16"/>
  <c r="G4" i="20"/>
  <c r="Q12" i="21"/>
  <c r="T12" i="21"/>
  <c r="J20" i="22"/>
  <c r="G14" i="22"/>
  <c r="V13" i="25"/>
  <c r="N13" i="27"/>
  <c r="X6" i="29"/>
  <c r="L19" i="30"/>
  <c r="X19" i="30" s="1"/>
  <c r="N17" i="32"/>
  <c r="M43" i="35"/>
  <c r="X43" i="35" s="1"/>
  <c r="P10" i="36"/>
  <c r="W10" i="36"/>
  <c r="T2" i="182"/>
  <c r="S41" i="16"/>
  <c r="P2" i="21"/>
  <c r="O52" i="16"/>
  <c r="X2" i="21"/>
  <c r="W52" i="16"/>
  <c r="W3" i="197"/>
  <c r="W1042" i="3"/>
  <c r="Y1044" i="3"/>
  <c r="P65" i="12"/>
  <c r="L8" i="20"/>
  <c r="X8" i="20" s="1"/>
  <c r="S12" i="21"/>
  <c r="Y12" i="21"/>
  <c r="Q13" i="25"/>
  <c r="R13" i="25" s="1"/>
  <c r="F6" i="26"/>
  <c r="G6" i="26" s="1"/>
  <c r="T6" i="29"/>
  <c r="F19" i="30"/>
  <c r="G6" i="30" s="1"/>
  <c r="T19" i="30"/>
  <c r="S11" i="31"/>
  <c r="Y11" i="31"/>
  <c r="F38" i="34"/>
  <c r="G34" i="34" s="1"/>
  <c r="N38" i="34"/>
  <c r="G13" i="35"/>
  <c r="Y8" i="37"/>
  <c r="S8" i="37"/>
  <c r="U8" i="37" s="1"/>
  <c r="Q2" i="21"/>
  <c r="P52" i="16"/>
  <c r="Y2" i="21"/>
  <c r="X52" i="16"/>
  <c r="P3" i="197"/>
  <c r="X3" i="197"/>
  <c r="W1045" i="3"/>
  <c r="W1048" i="3"/>
  <c r="K65" i="12"/>
  <c r="Q65" i="12" s="1"/>
  <c r="S20" i="22"/>
  <c r="U20" i="22" s="1"/>
  <c r="F6" i="24"/>
  <c r="G3" i="24" s="1"/>
  <c r="H6" i="29"/>
  <c r="V6" i="29" s="1"/>
  <c r="V19" i="30"/>
  <c r="F11" i="31"/>
  <c r="G7" i="31" s="1"/>
  <c r="T11" i="31"/>
  <c r="P11" i="31"/>
  <c r="R11" i="31" s="1"/>
  <c r="W11" i="31"/>
  <c r="P17" i="32"/>
  <c r="W17" i="32"/>
  <c r="O28" i="33"/>
  <c r="T28" i="33" s="1"/>
  <c r="T38" i="34"/>
  <c r="I43" i="35"/>
  <c r="V43" i="35" s="1"/>
  <c r="N10" i="36"/>
  <c r="V2" i="182"/>
  <c r="U41" i="16"/>
  <c r="R993" i="3"/>
  <c r="R32" i="113" s="1"/>
  <c r="R1001" i="3"/>
  <c r="R21" i="56" s="1"/>
  <c r="U1002" i="3"/>
  <c r="U7" i="93" s="1"/>
  <c r="Q52" i="16"/>
  <c r="R2" i="21"/>
  <c r="Q3" i="197"/>
  <c r="Y3" i="197"/>
  <c r="S5" i="17"/>
  <c r="U5" i="17" s="1"/>
  <c r="Y8" i="20"/>
  <c r="S2" i="21"/>
  <c r="T20" i="22"/>
  <c r="S23" i="23"/>
  <c r="U23" i="23" s="1"/>
  <c r="Y23" i="23"/>
  <c r="Q13" i="27"/>
  <c r="H38" i="34"/>
  <c r="P43" i="35"/>
  <c r="W43" i="35"/>
  <c r="F10" i="36"/>
  <c r="G3" i="36" s="1"/>
  <c r="Y53" i="40"/>
  <c r="S53" i="40"/>
  <c r="W2" i="182"/>
  <c r="V41" i="16"/>
  <c r="R1006" i="3"/>
  <c r="R3" i="194" s="1"/>
  <c r="R1011" i="3"/>
  <c r="R7" i="113" s="1"/>
  <c r="R1032" i="3"/>
  <c r="R4" i="99" s="1"/>
  <c r="V20" i="22"/>
  <c r="F23" i="23"/>
  <c r="G7" i="23" s="1"/>
  <c r="S13" i="25"/>
  <c r="U13" i="25" s="1"/>
  <c r="Y13" i="25"/>
  <c r="P6" i="26"/>
  <c r="R6" i="26" s="1"/>
  <c r="W6" i="26"/>
  <c r="X13" i="27"/>
  <c r="T13" i="27"/>
  <c r="W6" i="29"/>
  <c r="L17" i="32"/>
  <c r="X17" i="32" s="1"/>
  <c r="I38" i="34"/>
  <c r="Q38" i="34" s="1"/>
  <c r="G22" i="35"/>
  <c r="R807" i="3"/>
  <c r="R6" i="172" s="1"/>
  <c r="U808" i="3"/>
  <c r="U11" i="169" s="1"/>
  <c r="R815" i="3"/>
  <c r="R4" i="152" s="1"/>
  <c r="U816" i="3"/>
  <c r="U7" i="35" s="1"/>
  <c r="R823" i="3"/>
  <c r="R20" i="113" s="1"/>
  <c r="U824" i="3"/>
  <c r="U3" i="187" s="1"/>
  <c r="R831" i="3"/>
  <c r="R41" i="185" s="1"/>
  <c r="U832" i="3"/>
  <c r="U9" i="110" s="1"/>
  <c r="R839" i="3"/>
  <c r="R4" i="90" s="1"/>
  <c r="U840" i="3"/>
  <c r="U2" i="52" s="1"/>
  <c r="R847" i="3"/>
  <c r="R43" i="185" s="1"/>
  <c r="U848" i="3"/>
  <c r="U31" i="196" s="1"/>
  <c r="R855" i="3"/>
  <c r="R46" i="185" s="1"/>
  <c r="U856" i="3"/>
  <c r="U42" i="185" s="1"/>
  <c r="P2" i="182"/>
  <c r="O41" i="16"/>
  <c r="X2" i="182"/>
  <c r="W41" i="16"/>
  <c r="R863" i="3"/>
  <c r="R20" i="108" s="1"/>
  <c r="U864" i="3"/>
  <c r="U9" i="78" s="1"/>
  <c r="R871" i="3"/>
  <c r="R29" i="49" s="1"/>
  <c r="U872" i="3"/>
  <c r="U11" i="155" s="1"/>
  <c r="R879" i="3"/>
  <c r="R62" i="92" s="1"/>
  <c r="U880" i="3"/>
  <c r="U25" i="167" s="1"/>
  <c r="R887" i="3"/>
  <c r="R29" i="38" s="1"/>
  <c r="U888" i="3"/>
  <c r="U4" i="96" s="1"/>
  <c r="R895" i="3"/>
  <c r="R5" i="71" s="1"/>
  <c r="U896" i="3"/>
  <c r="U4" i="20" s="1"/>
  <c r="R903" i="3"/>
  <c r="R10" i="68" s="1"/>
  <c r="U904" i="3"/>
  <c r="U6" i="73" s="1"/>
  <c r="R911" i="3"/>
  <c r="R7" i="72" s="1"/>
  <c r="U912" i="3"/>
  <c r="U32" i="49" s="1"/>
  <c r="R918" i="3"/>
  <c r="R17" i="80" s="1"/>
  <c r="U919" i="3"/>
  <c r="U6" i="63" s="1"/>
  <c r="R926" i="3"/>
  <c r="R7" i="148" s="1"/>
  <c r="U927" i="3"/>
  <c r="U3" i="182" s="1"/>
  <c r="R934" i="3"/>
  <c r="R30" i="49" s="1"/>
  <c r="U935" i="3"/>
  <c r="U6" i="190" s="1"/>
  <c r="R942" i="3"/>
  <c r="R22" i="113" s="1"/>
  <c r="U943" i="3"/>
  <c r="U4" i="166" s="1"/>
  <c r="R950" i="3"/>
  <c r="R17" i="107" s="1"/>
  <c r="U951" i="3"/>
  <c r="U3" i="178" s="1"/>
  <c r="R955" i="3"/>
  <c r="R16" i="80" s="1"/>
  <c r="U956" i="3"/>
  <c r="U52" i="185" s="1"/>
  <c r="R963" i="3"/>
  <c r="R12" i="155" s="1"/>
  <c r="U964" i="3"/>
  <c r="U12" i="76" s="1"/>
  <c r="R971" i="3"/>
  <c r="R9" i="131" s="1"/>
  <c r="U972" i="3"/>
  <c r="U16" i="119" s="1"/>
  <c r="R979" i="3"/>
  <c r="R34" i="113" s="1"/>
  <c r="U980" i="3"/>
  <c r="U34" i="49" s="1"/>
  <c r="R987" i="3"/>
  <c r="R11" i="76" s="1"/>
  <c r="U988" i="3"/>
  <c r="U15" i="155" s="1"/>
  <c r="R995" i="3"/>
  <c r="R5" i="125" s="1"/>
  <c r="U1004" i="3"/>
  <c r="U19" i="107" s="1"/>
  <c r="S52" i="16"/>
  <c r="T2" i="21"/>
  <c r="R1013" i="3"/>
  <c r="R3" i="39" s="1"/>
  <c r="U1014" i="3"/>
  <c r="U10" i="39" s="1"/>
  <c r="R1021" i="3"/>
  <c r="R4" i="181" s="1"/>
  <c r="S3" i="197"/>
  <c r="N65" i="12"/>
  <c r="AA2" i="16"/>
  <c r="P12" i="21"/>
  <c r="R12" i="21" s="1"/>
  <c r="Q19" i="30"/>
  <c r="P19" i="30"/>
  <c r="W19" i="30"/>
  <c r="P28" i="33"/>
  <c r="R28" i="33" s="1"/>
  <c r="W28" i="33"/>
  <c r="P38" i="34"/>
  <c r="W38" i="34"/>
  <c r="P8" i="37"/>
  <c r="R8" i="37" s="1"/>
  <c r="W8" i="37"/>
  <c r="R2" i="16"/>
  <c r="F12" i="21"/>
  <c r="G9" i="21" s="1"/>
  <c r="L113" i="38"/>
  <c r="X113" i="38" s="1"/>
  <c r="F13" i="45"/>
  <c r="G3" i="45" s="1"/>
  <c r="F13" i="25"/>
  <c r="G4" i="25" s="1"/>
  <c r="F17" i="32"/>
  <c r="G2" i="32" s="1"/>
  <c r="F113" i="38"/>
  <c r="G95" i="38" s="1"/>
  <c r="N113" i="38"/>
  <c r="F53" i="40"/>
  <c r="G37" i="40" s="1"/>
  <c r="U8" i="42"/>
  <c r="W16" i="48"/>
  <c r="Y36" i="56"/>
  <c r="G24" i="56"/>
  <c r="U2" i="16"/>
  <c r="H16" i="1" s="1"/>
  <c r="W13" i="25"/>
  <c r="O113" i="38"/>
  <c r="T113" i="38" s="1"/>
  <c r="W162" i="49"/>
  <c r="P162" i="49"/>
  <c r="U5" i="62"/>
  <c r="H113" i="38"/>
  <c r="Y15" i="50"/>
  <c r="I113" i="38"/>
  <c r="Q113" i="38" s="1"/>
  <c r="P53" i="40"/>
  <c r="W53" i="40"/>
  <c r="S16" i="48"/>
  <c r="W113" i="38"/>
  <c r="F26" i="39"/>
  <c r="G12" i="39" s="1"/>
  <c r="O26" i="39"/>
  <c r="W32" i="68"/>
  <c r="W78" i="73"/>
  <c r="G33" i="56"/>
  <c r="G20" i="56"/>
  <c r="F14" i="64"/>
  <c r="G6" i="64" s="1"/>
  <c r="N26" i="39"/>
  <c r="V8" i="42"/>
  <c r="F11" i="46"/>
  <c r="G8" i="46" s="1"/>
  <c r="M15" i="50"/>
  <c r="W11" i="52"/>
  <c r="P9" i="53"/>
  <c r="R9" i="53" s="1"/>
  <c r="W9" i="53"/>
  <c r="T9" i="53"/>
  <c r="V6" i="59"/>
  <c r="H14" i="63"/>
  <c r="V14" i="63" s="1"/>
  <c r="X14" i="64"/>
  <c r="F56" i="71"/>
  <c r="G25" i="71" s="1"/>
  <c r="Y56" i="71"/>
  <c r="M36" i="78"/>
  <c r="P34" i="79"/>
  <c r="R34" i="79" s="1"/>
  <c r="W34" i="79"/>
  <c r="Q8" i="84"/>
  <c r="W8" i="84"/>
  <c r="T53" i="40"/>
  <c r="H13" i="41"/>
  <c r="P8" i="42"/>
  <c r="W8" i="42"/>
  <c r="O16" i="48"/>
  <c r="T16" i="48" s="1"/>
  <c r="F15" i="50"/>
  <c r="G13" i="50" s="1"/>
  <c r="I36" i="56"/>
  <c r="V36" i="56" s="1"/>
  <c r="F12" i="57"/>
  <c r="G10" i="57" s="1"/>
  <c r="Y12" i="57"/>
  <c r="F10" i="58"/>
  <c r="G8" i="58" s="1"/>
  <c r="J6" i="59"/>
  <c r="S7" i="60"/>
  <c r="Y7" i="60"/>
  <c r="T7" i="60"/>
  <c r="P19" i="69"/>
  <c r="P11" i="70"/>
  <c r="R11" i="70" s="1"/>
  <c r="I13" i="41"/>
  <c r="Q13" i="41" s="1"/>
  <c r="F13" i="41"/>
  <c r="G7" i="41" s="1"/>
  <c r="H16" i="48"/>
  <c r="V16" i="48" s="1"/>
  <c r="L162" i="49"/>
  <c r="F9" i="51"/>
  <c r="G4" i="51" s="1"/>
  <c r="J36" i="56"/>
  <c r="Q6" i="59"/>
  <c r="R7" i="60"/>
  <c r="Y5" i="62"/>
  <c r="J5" i="66"/>
  <c r="I16" i="67"/>
  <c r="V16" i="67" s="1"/>
  <c r="Y61" i="80"/>
  <c r="W26" i="39"/>
  <c r="F5" i="44"/>
  <c r="G2" i="44" s="1"/>
  <c r="O5" i="44"/>
  <c r="T5" i="44" s="1"/>
  <c r="U5" i="44" s="1"/>
  <c r="M162" i="49"/>
  <c r="T162" i="49" s="1"/>
  <c r="V11" i="52"/>
  <c r="Q36" i="56"/>
  <c r="G4" i="56"/>
  <c r="U12" i="57"/>
  <c r="P9" i="61"/>
  <c r="S9" i="61"/>
  <c r="Y9" i="61"/>
  <c r="P14" i="63"/>
  <c r="W14" i="63"/>
  <c r="J16" i="67"/>
  <c r="P56" i="71"/>
  <c r="W56" i="71"/>
  <c r="H12" i="72"/>
  <c r="V12" i="72" s="1"/>
  <c r="V5" i="44"/>
  <c r="N162" i="49"/>
  <c r="K15" i="50"/>
  <c r="Q15" i="50" s="1"/>
  <c r="T15" i="50"/>
  <c r="Q11" i="52"/>
  <c r="R11" i="52" s="1"/>
  <c r="L36" i="56"/>
  <c r="X36" i="56" s="1"/>
  <c r="K9" i="61"/>
  <c r="Q9" i="61" s="1"/>
  <c r="T9" i="61"/>
  <c r="H5" i="62"/>
  <c r="V5" i="62" s="1"/>
  <c r="M14" i="63"/>
  <c r="X14" i="63" s="1"/>
  <c r="F14" i="63"/>
  <c r="G9" i="63" s="1"/>
  <c r="Q14" i="63"/>
  <c r="I12" i="72"/>
  <c r="Q12" i="72" s="1"/>
  <c r="Y48" i="74"/>
  <c r="L13" i="41"/>
  <c r="Y13" i="41"/>
  <c r="Y8" i="42"/>
  <c r="P5" i="44"/>
  <c r="W5" i="44"/>
  <c r="P15" i="50"/>
  <c r="S11" i="52"/>
  <c r="Y11" i="52"/>
  <c r="T11" i="52"/>
  <c r="P12" i="57"/>
  <c r="R12" i="57" s="1"/>
  <c r="W12" i="57"/>
  <c r="S6" i="59"/>
  <c r="U6" i="59" s="1"/>
  <c r="X9" i="61"/>
  <c r="M32" i="68"/>
  <c r="X32" i="68" s="1"/>
  <c r="M19" i="69"/>
  <c r="X19" i="69" s="1"/>
  <c r="N11" i="70"/>
  <c r="F48" i="74"/>
  <c r="G30" i="74" s="1"/>
  <c r="M48" i="74"/>
  <c r="T48" i="74" s="1"/>
  <c r="O259" i="76"/>
  <c r="T259" i="76" s="1"/>
  <c r="Y67" i="86"/>
  <c r="S67" i="86"/>
  <c r="M26" i="39"/>
  <c r="X26" i="39" s="1"/>
  <c r="M13" i="41"/>
  <c r="T13" i="41" s="1"/>
  <c r="Q5" i="44"/>
  <c r="L15" i="50"/>
  <c r="F11" i="52"/>
  <c r="G6" i="52" s="1"/>
  <c r="S9" i="53"/>
  <c r="Y9" i="53"/>
  <c r="P5" i="62"/>
  <c r="W5" i="62"/>
  <c r="Q5" i="62"/>
  <c r="O14" i="63"/>
  <c r="Y14" i="63" s="1"/>
  <c r="S14" i="63"/>
  <c r="N19" i="69"/>
  <c r="F11" i="70"/>
  <c r="G5" i="70" s="1"/>
  <c r="O11" i="70"/>
  <c r="T11" i="70" s="1"/>
  <c r="L48" i="74"/>
  <c r="L36" i="78"/>
  <c r="X36" i="78" s="1"/>
  <c r="S5" i="91"/>
  <c r="U5" i="91" s="1"/>
  <c r="Y5" i="91"/>
  <c r="F162" i="49"/>
  <c r="G6" i="49" s="1"/>
  <c r="F7" i="60"/>
  <c r="G2" i="60" s="1"/>
  <c r="J14" i="64"/>
  <c r="T12" i="72"/>
  <c r="U12" i="72" s="1"/>
  <c r="K36" i="78"/>
  <c r="Q36" i="78" s="1"/>
  <c r="L61" i="80"/>
  <c r="X61" i="80" s="1"/>
  <c r="F19" i="69"/>
  <c r="G3" i="69" s="1"/>
  <c r="O19" i="69"/>
  <c r="V56" i="71"/>
  <c r="V48" i="74"/>
  <c r="H259" i="76"/>
  <c r="F259" i="76"/>
  <c r="G206" i="76" s="1"/>
  <c r="F10" i="77"/>
  <c r="G2" i="77" s="1"/>
  <c r="S10" i="77"/>
  <c r="N36" i="78"/>
  <c r="F61" i="80"/>
  <c r="G22" i="80" s="1"/>
  <c r="Y12" i="85"/>
  <c r="S12" i="85"/>
  <c r="F67" i="86"/>
  <c r="G17" i="86" s="1"/>
  <c r="W9" i="103"/>
  <c r="P9" i="103"/>
  <c r="F15" i="105"/>
  <c r="G2" i="105" s="1"/>
  <c r="F6" i="59"/>
  <c r="G2" i="59" s="1"/>
  <c r="V4" i="65"/>
  <c r="N32" i="68"/>
  <c r="V19" i="69"/>
  <c r="M78" i="73"/>
  <c r="T78" i="73" s="1"/>
  <c r="I48" i="74"/>
  <c r="I259" i="76"/>
  <c r="O10" i="77"/>
  <c r="T10" i="77" s="1"/>
  <c r="P10" i="77"/>
  <c r="R10" i="77" s="1"/>
  <c r="T61" i="80"/>
  <c r="F12" i="85"/>
  <c r="G8" i="85" s="1"/>
  <c r="W8" i="89"/>
  <c r="P8" i="89"/>
  <c r="R8" i="89" s="1"/>
  <c r="F12" i="43"/>
  <c r="G6" i="43" s="1"/>
  <c r="F17" i="47"/>
  <c r="G9" i="47" s="1"/>
  <c r="T14" i="64"/>
  <c r="F32" i="68"/>
  <c r="G13" i="68" s="1"/>
  <c r="W12" i="72"/>
  <c r="J48" i="74"/>
  <c r="J259" i="76"/>
  <c r="K259" i="76"/>
  <c r="S34" i="79"/>
  <c r="S8" i="84"/>
  <c r="U8" i="84" s="1"/>
  <c r="Y8" i="84"/>
  <c r="O191" i="92"/>
  <c r="Q4" i="65"/>
  <c r="T5" i="66"/>
  <c r="U5" i="66" s="1"/>
  <c r="F16" i="67"/>
  <c r="Y16" i="67"/>
  <c r="H32" i="68"/>
  <c r="V32" i="68" s="1"/>
  <c r="F78" i="73"/>
  <c r="G49" i="73" s="1"/>
  <c r="Y78" i="73"/>
  <c r="K48" i="74"/>
  <c r="F34" i="79"/>
  <c r="G15" i="79" s="1"/>
  <c r="I14" i="64"/>
  <c r="V14" i="64" s="1"/>
  <c r="Y4" i="65"/>
  <c r="P4" i="65"/>
  <c r="T16" i="67"/>
  <c r="K19" i="69"/>
  <c r="Q19" i="69" s="1"/>
  <c r="L56" i="71"/>
  <c r="X56" i="71" s="1"/>
  <c r="Y12" i="72"/>
  <c r="H78" i="73"/>
  <c r="V78" i="73" s="1"/>
  <c r="L259" i="76"/>
  <c r="X259" i="76" s="1"/>
  <c r="J36" i="78"/>
  <c r="F36" i="78"/>
  <c r="G31" i="78" s="1"/>
  <c r="X34" i="79"/>
  <c r="G3" i="84"/>
  <c r="G2" i="84"/>
  <c r="G4" i="84"/>
  <c r="S11" i="111"/>
  <c r="K61" i="80"/>
  <c r="P8" i="81"/>
  <c r="W8" i="81"/>
  <c r="S8" i="81"/>
  <c r="Y8" i="81"/>
  <c r="P8" i="84"/>
  <c r="R8" i="84" s="1"/>
  <c r="G6" i="84"/>
  <c r="M67" i="86"/>
  <c r="T67" i="86" s="1"/>
  <c r="J194" i="90"/>
  <c r="J17" i="98"/>
  <c r="G5" i="99"/>
  <c r="Y9" i="99"/>
  <c r="K11" i="100"/>
  <c r="Q11" i="100" s="1"/>
  <c r="W61" i="102"/>
  <c r="Q9" i="103"/>
  <c r="M125" i="108"/>
  <c r="T125" i="108" s="1"/>
  <c r="G9" i="109"/>
  <c r="X17" i="114"/>
  <c r="S17" i="114"/>
  <c r="O36" i="78"/>
  <c r="T36" i="78" s="1"/>
  <c r="O34" i="79"/>
  <c r="T34" i="79" s="1"/>
  <c r="T24" i="82"/>
  <c r="U24" i="82" s="1"/>
  <c r="Y24" i="82"/>
  <c r="F8" i="83"/>
  <c r="G3" i="83" s="1"/>
  <c r="H67" i="86"/>
  <c r="V67" i="86" s="1"/>
  <c r="K9" i="88"/>
  <c r="V10" i="101"/>
  <c r="X10" i="101"/>
  <c r="N70" i="110"/>
  <c r="W10" i="77"/>
  <c r="H36" i="78"/>
  <c r="V36" i="78" s="1"/>
  <c r="V12" i="85"/>
  <c r="S6" i="87"/>
  <c r="U6" i="87" s="1"/>
  <c r="L9" i="88"/>
  <c r="S9" i="88" s="1"/>
  <c r="Y9" i="88"/>
  <c r="S194" i="90"/>
  <c r="Y194" i="90"/>
  <c r="V5" i="91"/>
  <c r="Q61" i="102"/>
  <c r="F70" i="110"/>
  <c r="G20" i="110" s="1"/>
  <c r="T8" i="81"/>
  <c r="Q8" i="81"/>
  <c r="V24" i="82"/>
  <c r="F6" i="87"/>
  <c r="G3" i="87" s="1"/>
  <c r="V6" i="87"/>
  <c r="M9" i="88"/>
  <c r="T9" i="88" s="1"/>
  <c r="F194" i="90"/>
  <c r="G174" i="90" s="1"/>
  <c r="N11" i="93"/>
  <c r="F21" i="97"/>
  <c r="G11" i="97" s="1"/>
  <c r="H61" i="102"/>
  <c r="V61" i="102" s="1"/>
  <c r="P90" i="107"/>
  <c r="W90" i="107"/>
  <c r="I61" i="80"/>
  <c r="F24" i="82"/>
  <c r="G12" i="82" s="1"/>
  <c r="W24" i="82"/>
  <c r="G5" i="84"/>
  <c r="P12" i="85"/>
  <c r="R12" i="85" s="1"/>
  <c r="W12" i="85"/>
  <c r="W67" i="86"/>
  <c r="U8" i="89"/>
  <c r="Y8" i="96"/>
  <c r="S8" i="96"/>
  <c r="W70" i="110"/>
  <c r="H61" i="80"/>
  <c r="W6" i="87"/>
  <c r="P6" i="87"/>
  <c r="R6" i="87" s="1"/>
  <c r="F8" i="89"/>
  <c r="G3" i="89" s="1"/>
  <c r="H191" i="92"/>
  <c r="V191" i="92" s="1"/>
  <c r="P8" i="96"/>
  <c r="W8" i="96"/>
  <c r="P11" i="100"/>
  <c r="R11" i="100" s="1"/>
  <c r="V9" i="103"/>
  <c r="L125" i="108"/>
  <c r="F9" i="88"/>
  <c r="G3" i="88" s="1"/>
  <c r="G2" i="91"/>
  <c r="G5" i="91" s="1"/>
  <c r="M8" i="96"/>
  <c r="T8" i="96" s="1"/>
  <c r="M21" i="97"/>
  <c r="X21" i="97" s="1"/>
  <c r="U9" i="99"/>
  <c r="G3" i="99"/>
  <c r="F61" i="102"/>
  <c r="G20" i="102" s="1"/>
  <c r="O61" i="102"/>
  <c r="I90" i="107"/>
  <c r="Q90" i="107" s="1"/>
  <c r="K125" i="108"/>
  <c r="F11" i="111"/>
  <c r="G4" i="111" s="1"/>
  <c r="J191" i="92"/>
  <c r="O11" i="93"/>
  <c r="T11" i="93" s="1"/>
  <c r="L11" i="100"/>
  <c r="P10" i="101"/>
  <c r="R10" i="101" s="1"/>
  <c r="W10" i="101"/>
  <c r="L90" i="107"/>
  <c r="X90" i="107" s="1"/>
  <c r="F90" i="107"/>
  <c r="G4" i="107" s="1"/>
  <c r="F125" i="108"/>
  <c r="G36" i="108" s="1"/>
  <c r="N125" i="108"/>
  <c r="O70" i="110"/>
  <c r="T70" i="110" s="1"/>
  <c r="O156" i="113"/>
  <c r="T156" i="113" s="1"/>
  <c r="W10" i="115"/>
  <c r="S12" i="117"/>
  <c r="U12" i="117" s="1"/>
  <c r="Y12" i="117"/>
  <c r="P12" i="117"/>
  <c r="R12" i="117" s="1"/>
  <c r="W12" i="117"/>
  <c r="K191" i="92"/>
  <c r="Q191" i="92" s="1"/>
  <c r="F7" i="94"/>
  <c r="G2" i="94" s="1"/>
  <c r="M17" i="98"/>
  <c r="X17" i="98" s="1"/>
  <c r="M11" i="100"/>
  <c r="O17" i="109"/>
  <c r="T17" i="109" s="1"/>
  <c r="H70" i="110"/>
  <c r="V70" i="110" s="1"/>
  <c r="F8" i="112"/>
  <c r="G6" i="112" s="1"/>
  <c r="T10" i="115"/>
  <c r="L191" i="92"/>
  <c r="I11" i="93"/>
  <c r="V11" i="93" s="1"/>
  <c r="W21" i="97"/>
  <c r="N17" i="98"/>
  <c r="W9" i="99"/>
  <c r="V11" i="100"/>
  <c r="L9" i="103"/>
  <c r="X9" i="103" s="1"/>
  <c r="H17" i="109"/>
  <c r="G7" i="109"/>
  <c r="L70" i="110"/>
  <c r="X70" i="110" s="1"/>
  <c r="M8" i="112"/>
  <c r="T8" i="112" s="1"/>
  <c r="M191" i="92"/>
  <c r="J11" i="93"/>
  <c r="P21" i="97"/>
  <c r="F17" i="98"/>
  <c r="G10" i="98" s="1"/>
  <c r="P9" i="99"/>
  <c r="F11" i="100"/>
  <c r="G4" i="100" s="1"/>
  <c r="T11" i="100"/>
  <c r="Y10" i="101"/>
  <c r="M61" i="102"/>
  <c r="X61" i="102" s="1"/>
  <c r="O90" i="107"/>
  <c r="T90" i="107" s="1"/>
  <c r="I125" i="108"/>
  <c r="V125" i="108" s="1"/>
  <c r="I17" i="109"/>
  <c r="Q17" i="109" s="1"/>
  <c r="L17" i="109"/>
  <c r="X17" i="109" s="1"/>
  <c r="G14" i="109"/>
  <c r="N8" i="112"/>
  <c r="I156" i="113"/>
  <c r="H36" i="120"/>
  <c r="F191" i="92"/>
  <c r="G156" i="92" s="1"/>
  <c r="N191" i="92"/>
  <c r="N61" i="102"/>
  <c r="Y9" i="103"/>
  <c r="F8" i="104"/>
  <c r="G3" i="104" s="1"/>
  <c r="J125" i="108"/>
  <c r="J17" i="109"/>
  <c r="J156" i="113"/>
  <c r="W11" i="111"/>
  <c r="H156" i="113"/>
  <c r="O17" i="114"/>
  <c r="T17" i="114" s="1"/>
  <c r="F72" i="119"/>
  <c r="G14" i="119" s="1"/>
  <c r="F11" i="93"/>
  <c r="G4" i="93" s="1"/>
  <c r="F10" i="101"/>
  <c r="G4" i="101" s="1"/>
  <c r="H8" i="112"/>
  <c r="K156" i="113"/>
  <c r="P17" i="114"/>
  <c r="W17" i="114"/>
  <c r="W72" i="119"/>
  <c r="K36" i="120"/>
  <c r="F8" i="96"/>
  <c r="G5" i="96" s="1"/>
  <c r="I8" i="112"/>
  <c r="L156" i="113"/>
  <c r="X156" i="113" s="1"/>
  <c r="F156" i="113"/>
  <c r="G128" i="113" s="1"/>
  <c r="J23" i="116"/>
  <c r="Q19" i="121"/>
  <c r="O11" i="111"/>
  <c r="T11" i="111" s="1"/>
  <c r="J8" i="112"/>
  <c r="Q17" i="114"/>
  <c r="S10" i="115"/>
  <c r="Y10" i="115"/>
  <c r="Q23" i="116"/>
  <c r="F12" i="117"/>
  <c r="G2" i="117" s="1"/>
  <c r="P13" i="118"/>
  <c r="H11" i="111"/>
  <c r="P11" i="111" s="1"/>
  <c r="Q8" i="112"/>
  <c r="F10" i="115"/>
  <c r="G2" i="115" s="1"/>
  <c r="V12" i="117"/>
  <c r="K13" i="118"/>
  <c r="I11" i="111"/>
  <c r="Q11" i="111" s="1"/>
  <c r="F17" i="114"/>
  <c r="G15" i="114" s="1"/>
  <c r="Y17" i="114"/>
  <c r="H10" i="115"/>
  <c r="V10" i="115" s="1"/>
  <c r="M23" i="116"/>
  <c r="X23" i="116" s="1"/>
  <c r="Y72" i="119"/>
  <c r="L72" i="119"/>
  <c r="F36" i="120"/>
  <c r="G33" i="120" s="1"/>
  <c r="N36" i="120"/>
  <c r="J27" i="122"/>
  <c r="J19" i="121"/>
  <c r="M27" i="122"/>
  <c r="X27" i="122" s="1"/>
  <c r="M40" i="123"/>
  <c r="I36" i="120"/>
  <c r="S27" i="122"/>
  <c r="S34" i="124"/>
  <c r="Y34" i="124"/>
  <c r="S13" i="118"/>
  <c r="U13" i="118" s="1"/>
  <c r="Y13" i="118"/>
  <c r="M72" i="119"/>
  <c r="T72" i="119" s="1"/>
  <c r="J36" i="120"/>
  <c r="F27" i="122"/>
  <c r="G25" i="122" s="1"/>
  <c r="O27" i="122"/>
  <c r="F34" i="124"/>
  <c r="G12" i="124" s="1"/>
  <c r="N23" i="116"/>
  <c r="V27" i="122"/>
  <c r="F23" i="116"/>
  <c r="G13" i="116" s="1"/>
  <c r="S19" i="121"/>
  <c r="H23" i="116"/>
  <c r="V23" i="116" s="1"/>
  <c r="I13" i="118"/>
  <c r="V13" i="118" s="1"/>
  <c r="H72" i="119"/>
  <c r="V72" i="119" s="1"/>
  <c r="M36" i="120"/>
  <c r="T36" i="120" s="1"/>
  <c r="F19" i="121"/>
  <c r="G3" i="121" s="1"/>
  <c r="W40" i="123"/>
  <c r="I40" i="123"/>
  <c r="Q40" i="123" s="1"/>
  <c r="X42" i="131"/>
  <c r="U15" i="132"/>
  <c r="U31" i="137"/>
  <c r="F18" i="163"/>
  <c r="G2" i="163" s="1"/>
  <c r="L40" i="123"/>
  <c r="H34" i="124"/>
  <c r="V34" i="124" s="1"/>
  <c r="P14" i="125"/>
  <c r="T42" i="131"/>
  <c r="G3" i="136"/>
  <c r="F40" i="123"/>
  <c r="G11" i="123" s="1"/>
  <c r="N40" i="123"/>
  <c r="P34" i="124"/>
  <c r="R34" i="124" s="1"/>
  <c r="W34" i="124"/>
  <c r="V9" i="128"/>
  <c r="I86" i="129"/>
  <c r="V86" i="129" s="1"/>
  <c r="O40" i="123"/>
  <c r="Y15" i="134"/>
  <c r="H40" i="123"/>
  <c r="V40" i="123" s="1"/>
  <c r="X34" i="124"/>
  <c r="S14" i="125"/>
  <c r="Y14" i="125"/>
  <c r="F7" i="127"/>
  <c r="G4" i="127" s="1"/>
  <c r="Y6" i="130"/>
  <c r="S6" i="130"/>
  <c r="U6" i="130" s="1"/>
  <c r="K14" i="125"/>
  <c r="Q14" i="125" s="1"/>
  <c r="P12" i="126"/>
  <c r="V7" i="127"/>
  <c r="P9" i="128"/>
  <c r="W9" i="128"/>
  <c r="Q9" i="128"/>
  <c r="S9" i="128"/>
  <c r="Y9" i="128"/>
  <c r="N42" i="131"/>
  <c r="V15" i="132"/>
  <c r="T15" i="134"/>
  <c r="S8" i="136"/>
  <c r="U8" i="136" s="1"/>
  <c r="Y8" i="136"/>
  <c r="H31" i="137"/>
  <c r="V6" i="130"/>
  <c r="F42" i="131"/>
  <c r="G16" i="131" s="1"/>
  <c r="M14" i="125"/>
  <c r="X14" i="125" s="1"/>
  <c r="Q12" i="126"/>
  <c r="P7" i="127"/>
  <c r="R7" i="127" s="1"/>
  <c r="W7" i="127"/>
  <c r="X9" i="128"/>
  <c r="J86" i="129"/>
  <c r="H42" i="131"/>
  <c r="P15" i="132"/>
  <c r="R15" i="132" s="1"/>
  <c r="W15" i="132"/>
  <c r="G4" i="136"/>
  <c r="P31" i="137"/>
  <c r="W31" i="137"/>
  <c r="X31" i="137"/>
  <c r="W12" i="138"/>
  <c r="W25" i="139"/>
  <c r="Y10" i="146"/>
  <c r="S10" i="146"/>
  <c r="U10" i="146" s="1"/>
  <c r="P7" i="152"/>
  <c r="R7" i="152" s="1"/>
  <c r="W7" i="152"/>
  <c r="K86" i="129"/>
  <c r="J6" i="130"/>
  <c r="I42" i="131"/>
  <c r="Q42" i="131" s="1"/>
  <c r="X12" i="135"/>
  <c r="L86" i="129"/>
  <c r="X86" i="129" s="1"/>
  <c r="W42" i="131"/>
  <c r="P15" i="134"/>
  <c r="W15" i="134"/>
  <c r="W12" i="135"/>
  <c r="X8" i="136"/>
  <c r="G5" i="136"/>
  <c r="P33" i="148"/>
  <c r="R33" i="148" s="1"/>
  <c r="W33" i="148"/>
  <c r="F12" i="126"/>
  <c r="G4" i="126" s="1"/>
  <c r="S12" i="126"/>
  <c r="U12" i="126" s="1"/>
  <c r="Y12" i="126"/>
  <c r="X7" i="127"/>
  <c r="T9" i="128"/>
  <c r="P8" i="136"/>
  <c r="F86" i="129"/>
  <c r="G66" i="129" s="1"/>
  <c r="N86" i="129"/>
  <c r="Y15" i="132"/>
  <c r="X15" i="132"/>
  <c r="L15" i="134"/>
  <c r="X15" i="134" s="1"/>
  <c r="T12" i="135"/>
  <c r="U12" i="135" s="1"/>
  <c r="Y12" i="135"/>
  <c r="K8" i="136"/>
  <c r="Q8" i="136" s="1"/>
  <c r="G6" i="136"/>
  <c r="F31" i="137"/>
  <c r="G10" i="137" s="1"/>
  <c r="Y31" i="137"/>
  <c r="I31" i="137"/>
  <c r="Q31" i="137" s="1"/>
  <c r="P12" i="135"/>
  <c r="X25" i="139"/>
  <c r="V8" i="141"/>
  <c r="S5" i="142"/>
  <c r="U5" i="142" s="1"/>
  <c r="T23" i="147"/>
  <c r="Q14" i="149"/>
  <c r="S14" i="149"/>
  <c r="S5" i="150"/>
  <c r="W17" i="151"/>
  <c r="X8" i="153"/>
  <c r="M12" i="138"/>
  <c r="X12" i="138" s="1"/>
  <c r="P8" i="141"/>
  <c r="W8" i="141"/>
  <c r="F10" i="146"/>
  <c r="G2" i="146" s="1"/>
  <c r="Y8" i="165"/>
  <c r="S8" i="165"/>
  <c r="F26" i="166"/>
  <c r="G17" i="166" s="1"/>
  <c r="F12" i="138"/>
  <c r="G6" i="138" s="1"/>
  <c r="N12" i="138"/>
  <c r="F25" i="139"/>
  <c r="G8" i="139" s="1"/>
  <c r="O25" i="139"/>
  <c r="T25" i="139" s="1"/>
  <c r="U25" i="139" s="1"/>
  <c r="S13" i="140"/>
  <c r="U13" i="140" s="1"/>
  <c r="Y13" i="140"/>
  <c r="Q8" i="141"/>
  <c r="N19" i="143"/>
  <c r="Q19" i="143"/>
  <c r="R19" i="143" s="1"/>
  <c r="J14" i="145"/>
  <c r="X14" i="145"/>
  <c r="V10" i="146"/>
  <c r="S23" i="147"/>
  <c r="L33" i="148"/>
  <c r="X33" i="148" s="1"/>
  <c r="F14" i="149"/>
  <c r="G7" i="149" s="1"/>
  <c r="N17" i="151"/>
  <c r="O8" i="153"/>
  <c r="T8" i="153" s="1"/>
  <c r="P18" i="163"/>
  <c r="O12" i="138"/>
  <c r="H25" i="139"/>
  <c r="V25" i="139" s="1"/>
  <c r="F19" i="143"/>
  <c r="G4" i="143" s="1"/>
  <c r="O19" i="143"/>
  <c r="T19" i="143" s="1"/>
  <c r="K14" i="145"/>
  <c r="Q14" i="145" s="1"/>
  <c r="T14" i="149"/>
  <c r="T17" i="151"/>
  <c r="F17" i="161"/>
  <c r="G15" i="161" s="1"/>
  <c r="S302" i="168"/>
  <c r="H12" i="138"/>
  <c r="V12" i="138" s="1"/>
  <c r="F5" i="142"/>
  <c r="G2" i="142" s="1"/>
  <c r="P10" i="146"/>
  <c r="W10" i="146"/>
  <c r="Q10" i="146"/>
  <c r="V23" i="147"/>
  <c r="V14" i="149"/>
  <c r="F5" i="150"/>
  <c r="G2" i="150" s="1"/>
  <c r="P5" i="150"/>
  <c r="H17" i="151"/>
  <c r="V17" i="151" s="1"/>
  <c r="Y7" i="152"/>
  <c r="S7" i="152"/>
  <c r="U7" i="152" s="1"/>
  <c r="X8" i="141"/>
  <c r="V5" i="142"/>
  <c r="Q5" i="142"/>
  <c r="R5" i="142" s="1"/>
  <c r="F33" i="148"/>
  <c r="G6" i="148" s="1"/>
  <c r="O33" i="148"/>
  <c r="T33" i="148" s="1"/>
  <c r="V5" i="150"/>
  <c r="Q5" i="150"/>
  <c r="F14" i="145"/>
  <c r="G10" i="145" s="1"/>
  <c r="S14" i="145"/>
  <c r="U14" i="145" s="1"/>
  <c r="Y14" i="145"/>
  <c r="P14" i="149"/>
  <c r="W14" i="149"/>
  <c r="P23" i="147"/>
  <c r="R23" i="147" s="1"/>
  <c r="I128" i="155"/>
  <c r="V128" i="155" s="1"/>
  <c r="F6" i="158"/>
  <c r="G2" i="158" s="1"/>
  <c r="Y17" i="161"/>
  <c r="S18" i="163"/>
  <c r="U18" i="163" s="1"/>
  <c r="Y18" i="163"/>
  <c r="Q18" i="163"/>
  <c r="Y26" i="166"/>
  <c r="S26" i="166"/>
  <c r="F8" i="141"/>
  <c r="F8" i="153"/>
  <c r="G2" i="153" s="1"/>
  <c r="N8" i="153"/>
  <c r="H17" i="161"/>
  <c r="V17" i="161" s="1"/>
  <c r="J17" i="161"/>
  <c r="F7" i="152"/>
  <c r="N128" i="155"/>
  <c r="L7" i="159"/>
  <c r="S95" i="167"/>
  <c r="Y95" i="167"/>
  <c r="F128" i="155"/>
  <c r="G24" i="155" s="1"/>
  <c r="O128" i="155"/>
  <c r="T128" i="155" s="1"/>
  <c r="S17" i="156"/>
  <c r="U17" i="156" s="1"/>
  <c r="Y17" i="156"/>
  <c r="Q6" i="158"/>
  <c r="W7" i="159"/>
  <c r="P7" i="159"/>
  <c r="R7" i="159" s="1"/>
  <c r="Y7" i="159"/>
  <c r="S5" i="162"/>
  <c r="U5" i="162" s="1"/>
  <c r="W18" i="163"/>
  <c r="Y8" i="141"/>
  <c r="W5" i="142"/>
  <c r="W19" i="143"/>
  <c r="Y14" i="149"/>
  <c r="W5" i="150"/>
  <c r="F17" i="156"/>
  <c r="G3" i="156" s="1"/>
  <c r="P6" i="158"/>
  <c r="Q17" i="161"/>
  <c r="T26" i="166"/>
  <c r="P302" i="168"/>
  <c r="W302" i="168"/>
  <c r="J8" i="153"/>
  <c r="P17" i="156"/>
  <c r="W17" i="156"/>
  <c r="S17" i="161"/>
  <c r="U17" i="161" s="1"/>
  <c r="P5" i="162"/>
  <c r="R5" i="162" s="1"/>
  <c r="W5" i="162"/>
  <c r="F30" i="164"/>
  <c r="G22" i="164" s="1"/>
  <c r="Q8" i="165"/>
  <c r="W128" i="155"/>
  <c r="P128" i="155"/>
  <c r="S6" i="158"/>
  <c r="U6" i="158" s="1"/>
  <c r="Y6" i="158"/>
  <c r="M7" i="159"/>
  <c r="T7" i="159" s="1"/>
  <c r="X17" i="161"/>
  <c r="X26" i="166"/>
  <c r="J95" i="167"/>
  <c r="I302" i="168"/>
  <c r="Q302" i="168" s="1"/>
  <c r="W16" i="169"/>
  <c r="I8" i="165"/>
  <c r="V8" i="165" s="1"/>
  <c r="J8" i="165"/>
  <c r="M95" i="167"/>
  <c r="T95" i="167" s="1"/>
  <c r="M16" i="169"/>
  <c r="X16" i="169" s="1"/>
  <c r="Y23" i="171"/>
  <c r="F10" i="157"/>
  <c r="G2" i="157" s="1"/>
  <c r="H26" i="166"/>
  <c r="V26" i="166" s="1"/>
  <c r="M302" i="168"/>
  <c r="X302" i="168" s="1"/>
  <c r="Y5" i="162"/>
  <c r="F302" i="168"/>
  <c r="G239" i="168" s="1"/>
  <c r="O16" i="169"/>
  <c r="T16" i="169" s="1"/>
  <c r="M8" i="165"/>
  <c r="X8" i="165" s="1"/>
  <c r="J26" i="166"/>
  <c r="H95" i="167"/>
  <c r="O302" i="168"/>
  <c r="H16" i="169"/>
  <c r="I95" i="167"/>
  <c r="Q95" i="167" s="1"/>
  <c r="P130" i="170"/>
  <c r="R130" i="170" s="1"/>
  <c r="W130" i="170"/>
  <c r="F15" i="173"/>
  <c r="G3" i="173" s="1"/>
  <c r="F16" i="169"/>
  <c r="G6" i="169" s="1"/>
  <c r="N16" i="169"/>
  <c r="I23" i="171"/>
  <c r="V23" i="171" s="1"/>
  <c r="Y130" i="170"/>
  <c r="S130" i="170"/>
  <c r="U130" i="170" s="1"/>
  <c r="P23" i="171"/>
  <c r="W23" i="171"/>
  <c r="Q23" i="171"/>
  <c r="I16" i="169"/>
  <c r="Q16" i="169" s="1"/>
  <c r="L23" i="171"/>
  <c r="M23" i="171"/>
  <c r="T23" i="171" s="1"/>
  <c r="S77" i="172"/>
  <c r="Y77" i="172"/>
  <c r="S15" i="173"/>
  <c r="U15" i="173" s="1"/>
  <c r="Y15" i="173"/>
  <c r="K15" i="173"/>
  <c r="Q15" i="173" s="1"/>
  <c r="Q10" i="175"/>
  <c r="V27" i="177"/>
  <c r="W5" i="179"/>
  <c r="P5" i="179"/>
  <c r="R5" i="179" s="1"/>
  <c r="H77" i="172"/>
  <c r="V77" i="172" s="1"/>
  <c r="T12" i="174"/>
  <c r="P10" i="175"/>
  <c r="W10" i="175"/>
  <c r="V10" i="175"/>
  <c r="J27" i="177"/>
  <c r="W11" i="184"/>
  <c r="F130" i="170"/>
  <c r="G30" i="170" s="1"/>
  <c r="V12" i="174"/>
  <c r="F12" i="174"/>
  <c r="G9" i="174" s="1"/>
  <c r="Y12" i="174"/>
  <c r="J77" i="172"/>
  <c r="K77" i="172"/>
  <c r="Q77" i="172" s="1"/>
  <c r="H15" i="173"/>
  <c r="V15" i="173" s="1"/>
  <c r="J12" i="174"/>
  <c r="F16" i="176"/>
  <c r="G6" i="176" s="1"/>
  <c r="V7" i="178"/>
  <c r="P7" i="178"/>
  <c r="Q7" i="178"/>
  <c r="K12" i="174"/>
  <c r="Q12" i="174" s="1"/>
  <c r="Y10" i="175"/>
  <c r="S10" i="175"/>
  <c r="U10" i="175" s="1"/>
  <c r="M77" i="172"/>
  <c r="T77" i="172" s="1"/>
  <c r="J15" i="173"/>
  <c r="L12" i="174"/>
  <c r="X12" i="174" s="1"/>
  <c r="O27" i="177"/>
  <c r="Y27" i="177" s="1"/>
  <c r="N19" i="181"/>
  <c r="F11" i="184"/>
  <c r="G2" i="184" s="1"/>
  <c r="K27" i="177"/>
  <c r="Q27" i="177" s="1"/>
  <c r="X16" i="180"/>
  <c r="Q11" i="184"/>
  <c r="L27" i="177"/>
  <c r="U5" i="179"/>
  <c r="S9" i="182"/>
  <c r="U9" i="182" s="1"/>
  <c r="Y9" i="182"/>
  <c r="S10" i="183"/>
  <c r="U10" i="183" s="1"/>
  <c r="Y10" i="183"/>
  <c r="X11" i="184"/>
  <c r="M27" i="177"/>
  <c r="T7" i="178"/>
  <c r="W19" i="181"/>
  <c r="G3" i="182"/>
  <c r="P16" i="180"/>
  <c r="W16" i="180"/>
  <c r="S11" i="184"/>
  <c r="Y11" i="184"/>
  <c r="F136" i="185"/>
  <c r="G19" i="185" s="1"/>
  <c r="S7" i="178"/>
  <c r="U7" i="178" s="1"/>
  <c r="V5" i="179"/>
  <c r="Q16" i="180"/>
  <c r="V9" i="182"/>
  <c r="T11" i="184"/>
  <c r="F7" i="178"/>
  <c r="G4" i="178" s="1"/>
  <c r="P19" i="181"/>
  <c r="R19" i="181" s="1"/>
  <c r="P9" i="182"/>
  <c r="J10" i="183"/>
  <c r="H11" i="184"/>
  <c r="V11" i="184" s="1"/>
  <c r="S16" i="180"/>
  <c r="M136" i="185"/>
  <c r="F10" i="183"/>
  <c r="G5" i="183" s="1"/>
  <c r="O136" i="185"/>
  <c r="T136" i="185" s="1"/>
  <c r="F16" i="180"/>
  <c r="G6" i="180" s="1"/>
  <c r="H136" i="185"/>
  <c r="V136" i="185" s="1"/>
  <c r="I136" i="185"/>
  <c r="J136" i="185"/>
  <c r="K136" i="185"/>
  <c r="Q136" i="185" s="1"/>
  <c r="L136" i="185"/>
  <c r="X136" i="185" s="1"/>
  <c r="V30" i="188"/>
  <c r="X30" i="188"/>
  <c r="S17" i="190"/>
  <c r="Y17" i="190"/>
  <c r="O5" i="191"/>
  <c r="T5" i="191" s="1"/>
  <c r="T24" i="192"/>
  <c r="Y9" i="187"/>
  <c r="P30" i="188"/>
  <c r="W30" i="188"/>
  <c r="Y24" i="192"/>
  <c r="T17" i="190"/>
  <c r="G13" i="192"/>
  <c r="G7" i="192"/>
  <c r="G16" i="192"/>
  <c r="G8" i="192"/>
  <c r="G20" i="192"/>
  <c r="G5" i="192"/>
  <c r="G4" i="192"/>
  <c r="G24" i="192"/>
  <c r="G18" i="192"/>
  <c r="G6" i="192"/>
  <c r="G22" i="192"/>
  <c r="G10" i="192"/>
  <c r="G15" i="192"/>
  <c r="G19" i="192"/>
  <c r="P9" i="187"/>
  <c r="X13" i="189"/>
  <c r="W13" i="189"/>
  <c r="K9" i="187"/>
  <c r="Q9" i="187" s="1"/>
  <c r="N30" i="188"/>
  <c r="M13" i="189"/>
  <c r="T13" i="189" s="1"/>
  <c r="X17" i="190"/>
  <c r="F30" i="188"/>
  <c r="G9" i="188" s="1"/>
  <c r="O30" i="188"/>
  <c r="T30" i="188" s="1"/>
  <c r="N13" i="189"/>
  <c r="G12" i="192"/>
  <c r="P13" i="194"/>
  <c r="W13" i="194"/>
  <c r="S9" i="187"/>
  <c r="U9" i="187" s="1"/>
  <c r="F13" i="189"/>
  <c r="G4" i="189" s="1"/>
  <c r="G17" i="192"/>
  <c r="O44" i="193"/>
  <c r="T44" i="193" s="1"/>
  <c r="I17" i="190"/>
  <c r="V17" i="190" s="1"/>
  <c r="U5" i="191"/>
  <c r="G21" i="192"/>
  <c r="F9" i="187"/>
  <c r="G6" i="187" s="1"/>
  <c r="J17" i="190"/>
  <c r="Q24" i="192"/>
  <c r="G14" i="192"/>
  <c r="W24" i="192"/>
  <c r="P44" i="193"/>
  <c r="I125" i="196"/>
  <c r="Q125" i="196" s="1"/>
  <c r="K17" i="190"/>
  <c r="Q17" i="190" s="1"/>
  <c r="L24" i="192"/>
  <c r="X24" i="192" s="1"/>
  <c r="K44" i="193"/>
  <c r="Q44" i="193" s="1"/>
  <c r="G9" i="192"/>
  <c r="L44" i="193"/>
  <c r="X44" i="193" s="1"/>
  <c r="S13" i="194"/>
  <c r="P5" i="191"/>
  <c r="W5" i="191"/>
  <c r="G3" i="192"/>
  <c r="G11" i="192"/>
  <c r="Q5" i="191"/>
  <c r="G2" i="192"/>
  <c r="F44" i="193"/>
  <c r="G41" i="193" s="1"/>
  <c r="N44" i="193"/>
  <c r="I13" i="194"/>
  <c r="Q13" i="194" s="1"/>
  <c r="X7" i="198"/>
  <c r="S125" i="196"/>
  <c r="Y7" i="198"/>
  <c r="S7" i="198"/>
  <c r="Y9" i="195"/>
  <c r="S9" i="195"/>
  <c r="U9" i="195" s="1"/>
  <c r="F125" i="196"/>
  <c r="G10" i="196" s="1"/>
  <c r="W7" i="197"/>
  <c r="P7" i="197"/>
  <c r="T7" i="198"/>
  <c r="M13" i="194"/>
  <c r="T13" i="194" s="1"/>
  <c r="Q9" i="195"/>
  <c r="P9" i="195"/>
  <c r="R9" i="195" s="1"/>
  <c r="T125" i="196"/>
  <c r="Q7" i="197"/>
  <c r="P7" i="198"/>
  <c r="W7" i="198"/>
  <c r="J125" i="196"/>
  <c r="S7" i="197"/>
  <c r="U7" i="197" s="1"/>
  <c r="Y7" i="197"/>
  <c r="Q7" i="198"/>
  <c r="G3" i="160" l="1"/>
  <c r="G2" i="22"/>
  <c r="G4" i="29"/>
  <c r="G3" i="29"/>
  <c r="G18" i="147"/>
  <c r="G7" i="147"/>
  <c r="G5" i="167"/>
  <c r="G6" i="128"/>
  <c r="G5" i="128"/>
  <c r="G2" i="128"/>
  <c r="G7" i="128"/>
  <c r="G3" i="128"/>
  <c r="G2" i="109"/>
  <c r="G1032" i="3"/>
  <c r="G992" i="3"/>
  <c r="G899" i="3"/>
  <c r="G967" i="3"/>
  <c r="G925" i="3"/>
  <c r="G830" i="3"/>
  <c r="G922" i="3"/>
  <c r="G991" i="3"/>
  <c r="G986" i="3"/>
  <c r="G851" i="3"/>
  <c r="G1016" i="3"/>
  <c r="G4" i="109"/>
  <c r="G10" i="109"/>
  <c r="G6" i="37"/>
  <c r="G1025" i="3"/>
  <c r="G987" i="3"/>
  <c r="G850" i="3"/>
  <c r="G874" i="3"/>
  <c r="G949" i="3"/>
  <c r="G1024" i="3"/>
  <c r="G929" i="3"/>
  <c r="G798" i="3"/>
  <c r="G1005" i="3"/>
  <c r="G818" i="3"/>
  <c r="G962" i="3"/>
  <c r="G842" i="3"/>
  <c r="G917" i="3"/>
  <c r="G12" i="109"/>
  <c r="G2" i="37"/>
  <c r="G1013" i="3"/>
  <c r="G930" i="3"/>
  <c r="G806" i="3"/>
  <c r="G1010" i="3"/>
  <c r="G954" i="3"/>
  <c r="G827" i="3"/>
  <c r="G886" i="3"/>
  <c r="G1012" i="3"/>
  <c r="G883" i="3"/>
  <c r="G995" i="3"/>
  <c r="G918" i="3"/>
  <c r="G870" i="3"/>
  <c r="G945" i="3"/>
  <c r="G933" i="3"/>
  <c r="G13" i="109"/>
  <c r="G4" i="37"/>
  <c r="G882" i="3"/>
  <c r="G1007" i="3"/>
  <c r="G911" i="3"/>
  <c r="G862" i="3"/>
  <c r="G1034" i="3"/>
  <c r="G906" i="3"/>
  <c r="G974" i="3"/>
  <c r="G971" i="3"/>
  <c r="G834" i="3"/>
  <c r="G990" i="3"/>
  <c r="G958" i="3"/>
  <c r="G6" i="109"/>
  <c r="G3" i="109"/>
  <c r="G11" i="109"/>
  <c r="G8" i="37"/>
  <c r="G970" i="3"/>
  <c r="G835" i="3"/>
  <c r="G999" i="3"/>
  <c r="G979" i="3"/>
  <c r="G859" i="3"/>
  <c r="G934" i="3"/>
  <c r="G822" i="3"/>
  <c r="G914" i="3"/>
  <c r="G950" i="3"/>
  <c r="G794" i="3"/>
  <c r="G994" i="3"/>
  <c r="G854" i="3"/>
  <c r="G898" i="3"/>
  <c r="G838" i="3"/>
  <c r="AB1" i="16"/>
  <c r="G5" i="37"/>
  <c r="G1002" i="3"/>
  <c r="G913" i="3"/>
  <c r="G982" i="3"/>
  <c r="G942" i="3"/>
  <c r="G937" i="3"/>
  <c r="G810" i="3"/>
  <c r="G790" i="3"/>
  <c r="G1006" i="3"/>
  <c r="G866" i="3"/>
  <c r="G902" i="3"/>
  <c r="G9" i="182"/>
  <c r="G867" i="3"/>
  <c r="G894" i="3"/>
  <c r="G1020" i="3"/>
  <c r="G891" i="3"/>
  <c r="G803" i="3"/>
  <c r="G1017" i="3"/>
  <c r="G959" i="3"/>
  <c r="G946" i="3"/>
  <c r="G819" i="3"/>
  <c r="G975" i="3"/>
  <c r="G723" i="3"/>
  <c r="G7" i="132"/>
  <c r="G6" i="132"/>
  <c r="G159" i="3"/>
  <c r="G183" i="3"/>
  <c r="G34" i="56"/>
  <c r="G32" i="56"/>
  <c r="G13" i="56"/>
  <c r="G19" i="56"/>
  <c r="G18" i="56"/>
  <c r="G6" i="20"/>
  <c r="G10" i="140"/>
  <c r="G8" i="140"/>
  <c r="G26" i="56"/>
  <c r="G27" i="56"/>
  <c r="G29" i="56"/>
  <c r="G23" i="56"/>
  <c r="G3" i="20"/>
  <c r="G9" i="140"/>
  <c r="G17" i="56"/>
  <c r="G21" i="56"/>
  <c r="G8" i="56"/>
  <c r="G31" i="56"/>
  <c r="G2" i="20"/>
  <c r="G10" i="194"/>
  <c r="G11" i="140"/>
  <c r="G2" i="140"/>
  <c r="G10" i="56"/>
  <c r="G28" i="56"/>
  <c r="G5" i="66"/>
  <c r="G16" i="56"/>
  <c r="G3" i="56"/>
  <c r="G8" i="20"/>
  <c r="G7" i="140"/>
  <c r="G6" i="140"/>
  <c r="G30" i="56"/>
  <c r="G5" i="56"/>
  <c r="G2" i="66"/>
  <c r="G2" i="56"/>
  <c r="G11" i="56"/>
  <c r="G9" i="56"/>
  <c r="G22" i="56"/>
  <c r="G15" i="56"/>
  <c r="G14" i="56"/>
  <c r="G7" i="56"/>
  <c r="G25" i="56"/>
  <c r="G5" i="134"/>
  <c r="G11" i="190"/>
  <c r="G7" i="134"/>
  <c r="G15" i="177"/>
  <c r="G58" i="172"/>
  <c r="G9" i="134"/>
  <c r="G3" i="58"/>
  <c r="G2" i="190"/>
  <c r="G10" i="135"/>
  <c r="G8" i="171"/>
  <c r="G39" i="167"/>
  <c r="G74" i="167"/>
  <c r="G10" i="147"/>
  <c r="G9" i="135"/>
  <c r="G5" i="135"/>
  <c r="G3" i="134"/>
  <c r="G7" i="167"/>
  <c r="G17" i="147"/>
  <c r="G21" i="147"/>
  <c r="G7" i="135"/>
  <c r="G2" i="134"/>
  <c r="G10" i="134"/>
  <c r="G6" i="72"/>
  <c r="G27" i="167"/>
  <c r="G54" i="167"/>
  <c r="G5" i="147"/>
  <c r="G6" i="135"/>
  <c r="G3" i="19"/>
  <c r="G43" i="167"/>
  <c r="G37" i="167"/>
  <c r="G49" i="167"/>
  <c r="G2" i="147"/>
  <c r="G9" i="147"/>
  <c r="G13" i="147"/>
  <c r="G3" i="135"/>
  <c r="G8" i="167"/>
  <c r="G60" i="167"/>
  <c r="G25" i="167"/>
  <c r="G6" i="147"/>
  <c r="G3" i="147"/>
  <c r="G8" i="147"/>
  <c r="G12" i="134"/>
  <c r="G11" i="134"/>
  <c r="G11" i="147"/>
  <c r="G16" i="147"/>
  <c r="G20" i="147"/>
  <c r="G2" i="135"/>
  <c r="G4" i="134"/>
  <c r="G8" i="134"/>
  <c r="G19" i="147"/>
  <c r="G23" i="147"/>
  <c r="G13" i="134"/>
  <c r="U78" i="73"/>
  <c r="R9" i="182"/>
  <c r="X23" i="171"/>
  <c r="T302" i="168"/>
  <c r="V42" i="131"/>
  <c r="U10" i="77"/>
  <c r="X162" i="49"/>
  <c r="U7" i="60"/>
  <c r="U12" i="21"/>
  <c r="V17" i="156"/>
  <c r="R13" i="189"/>
  <c r="T19" i="181"/>
  <c r="X17" i="151"/>
  <c r="X5" i="66"/>
  <c r="T194" i="90"/>
  <c r="X10" i="175"/>
  <c r="X5" i="150"/>
  <c r="X77" i="172"/>
  <c r="Q259" i="76"/>
  <c r="X15" i="50"/>
  <c r="P6" i="29"/>
  <c r="R6" i="29" s="1"/>
  <c r="R17" i="32"/>
  <c r="R10" i="36"/>
  <c r="P24" i="192"/>
  <c r="V24" i="192"/>
  <c r="Q162" i="49"/>
  <c r="R162" i="49" s="1"/>
  <c r="Q8" i="20"/>
  <c r="V17" i="32"/>
  <c r="V5" i="191"/>
  <c r="X5" i="142"/>
  <c r="V156" i="113"/>
  <c r="V13" i="41"/>
  <c r="Q23" i="23"/>
  <c r="R23" i="23" s="1"/>
  <c r="O2" i="16"/>
  <c r="Q2" i="16" s="1"/>
  <c r="U5" i="150"/>
  <c r="V90" i="107"/>
  <c r="R24" i="192"/>
  <c r="Y5" i="191"/>
  <c r="W8" i="136"/>
  <c r="Q11" i="93"/>
  <c r="P67" i="86"/>
  <c r="R67" i="86" s="1"/>
  <c r="Q48" i="74"/>
  <c r="X78" i="73"/>
  <c r="U9" i="61"/>
  <c r="R8" i="20"/>
  <c r="V11" i="70"/>
  <c r="U8" i="141"/>
  <c r="X40" i="123"/>
  <c r="X8" i="112"/>
  <c r="X67" i="86"/>
  <c r="S8" i="20"/>
  <c r="U8" i="20" s="1"/>
  <c r="V7" i="197"/>
  <c r="V162" i="49"/>
  <c r="X7" i="152"/>
  <c r="R10" i="175"/>
  <c r="X48" i="74"/>
  <c r="R7" i="178"/>
  <c r="R12" i="135"/>
  <c r="Y17" i="109"/>
  <c r="U194" i="90"/>
  <c r="R17" i="156"/>
  <c r="V61" i="80"/>
  <c r="Q16" i="67"/>
  <c r="Q43" i="35"/>
  <c r="S2" i="16"/>
  <c r="Q30" i="188"/>
  <c r="R30" i="188" s="1"/>
  <c r="G691" i="3"/>
  <c r="G627" i="3"/>
  <c r="G1033" i="3"/>
  <c r="G25" i="74"/>
  <c r="G500" i="3"/>
  <c r="G276" i="3"/>
  <c r="G203" i="3"/>
  <c r="G603" i="3"/>
  <c r="G308" i="3"/>
  <c r="G259" i="3"/>
  <c r="G245" i="3"/>
  <c r="G257" i="3"/>
  <c r="G563" i="3"/>
  <c r="G404" i="3"/>
  <c r="G252" i="3"/>
  <c r="Q15" i="134"/>
  <c r="Q8" i="96"/>
  <c r="R8" i="96" s="1"/>
  <c r="V13" i="194"/>
  <c r="R5" i="191"/>
  <c r="R44" i="193"/>
  <c r="R16" i="180"/>
  <c r="P11" i="184"/>
  <c r="R11" i="184" s="1"/>
  <c r="V16" i="169"/>
  <c r="Y302" i="168"/>
  <c r="P16" i="169"/>
  <c r="R6" i="158"/>
  <c r="X7" i="159"/>
  <c r="S7" i="159"/>
  <c r="U7" i="159" s="1"/>
  <c r="Q86" i="129"/>
  <c r="P12" i="138"/>
  <c r="R12" i="138" s="1"/>
  <c r="U34" i="124"/>
  <c r="Q156" i="113"/>
  <c r="S9" i="103"/>
  <c r="U9" i="103" s="1"/>
  <c r="R9" i="99"/>
  <c r="P10" i="115"/>
  <c r="R10" i="115" s="1"/>
  <c r="P12" i="72"/>
  <c r="R12" i="72" s="1"/>
  <c r="U11" i="52"/>
  <c r="R9" i="61"/>
  <c r="P78" i="73"/>
  <c r="R78" i="73" s="1"/>
  <c r="U6" i="29"/>
  <c r="S16" i="67"/>
  <c r="U16" i="67" s="1"/>
  <c r="X16" i="67"/>
  <c r="Q70" i="110"/>
  <c r="X65" i="12"/>
  <c r="Q53" i="40"/>
  <c r="W44" i="193"/>
  <c r="U16" i="180"/>
  <c r="S33" i="148"/>
  <c r="R15" i="50"/>
  <c r="R56" i="71"/>
  <c r="P16" i="48"/>
  <c r="R16" i="48" s="1"/>
  <c r="W15" i="50"/>
  <c r="X2" i="16"/>
  <c r="X11" i="93"/>
  <c r="Y14" i="64"/>
  <c r="S14" i="64"/>
  <c r="U14" i="64" s="1"/>
  <c r="T12" i="138"/>
  <c r="Q128" i="155"/>
  <c r="R9" i="128"/>
  <c r="R21" i="97"/>
  <c r="X11" i="100"/>
  <c r="P70" i="110"/>
  <c r="R53" i="40"/>
  <c r="R26" i="39"/>
  <c r="R13" i="140"/>
  <c r="Q14" i="64"/>
  <c r="T191" i="92"/>
  <c r="U12" i="85"/>
  <c r="P32" i="68"/>
  <c r="R32" i="68" s="1"/>
  <c r="Y125" i="196"/>
  <c r="W7" i="178"/>
  <c r="Q25" i="139"/>
  <c r="X128" i="155"/>
  <c r="T19" i="121"/>
  <c r="U19" i="121" s="1"/>
  <c r="Y19" i="121"/>
  <c r="Q6" i="130"/>
  <c r="S21" i="97"/>
  <c r="Y21" i="97"/>
  <c r="V8" i="20"/>
  <c r="T17" i="32"/>
  <c r="R11" i="111"/>
  <c r="R7" i="197"/>
  <c r="X27" i="177"/>
  <c r="R14" i="149"/>
  <c r="X36" i="120"/>
  <c r="S17" i="109"/>
  <c r="U17" i="109" s="1"/>
  <c r="R4" i="65"/>
  <c r="V113" i="38"/>
  <c r="T2" i="16"/>
  <c r="T36" i="56"/>
  <c r="R5" i="150"/>
  <c r="R10" i="146"/>
  <c r="R15" i="134"/>
  <c r="T40" i="123"/>
  <c r="P40" i="123"/>
  <c r="R40" i="123" s="1"/>
  <c r="X13" i="41"/>
  <c r="R8" i="42"/>
  <c r="X12" i="72"/>
  <c r="X16" i="48"/>
  <c r="G2" i="19"/>
  <c r="G13" i="194"/>
  <c r="G9" i="194"/>
  <c r="G3" i="194"/>
  <c r="G6" i="99"/>
  <c r="G8" i="194"/>
  <c r="G2" i="194"/>
  <c r="G7" i="194"/>
  <c r="G11" i="194"/>
  <c r="G2" i="99"/>
  <c r="G7" i="27"/>
  <c r="G5" i="194"/>
  <c r="G4" i="194"/>
  <c r="G4" i="99"/>
  <c r="G3" i="154"/>
  <c r="G2" i="160"/>
  <c r="G666" i="3"/>
  <c r="G708" i="3"/>
  <c r="G1003" i="3"/>
  <c r="G6" i="171"/>
  <c r="G12" i="167"/>
  <c r="G11" i="167"/>
  <c r="G8" i="172"/>
  <c r="G68" i="167"/>
  <c r="G23" i="171"/>
  <c r="G64" i="167"/>
  <c r="G67" i="167"/>
  <c r="G31" i="167"/>
  <c r="G48" i="167"/>
  <c r="G45" i="167"/>
  <c r="G42" i="167"/>
  <c r="G29" i="167"/>
  <c r="G93" i="167"/>
  <c r="G46" i="167"/>
  <c r="G41" i="167"/>
  <c r="G59" i="167"/>
  <c r="G28" i="35"/>
  <c r="G23" i="35"/>
  <c r="G38" i="172"/>
  <c r="G6" i="167"/>
  <c r="G56" i="172"/>
  <c r="G36" i="167"/>
  <c r="G16" i="171"/>
  <c r="G32" i="167"/>
  <c r="G35" i="167"/>
  <c r="G20" i="167"/>
  <c r="G24" i="167"/>
  <c r="G2" i="167"/>
  <c r="G17" i="167"/>
  <c r="G15" i="167"/>
  <c r="G62" i="167"/>
  <c r="G57" i="167"/>
  <c r="G9" i="33"/>
  <c r="G8" i="35"/>
  <c r="G70" i="167"/>
  <c r="G2" i="33"/>
  <c r="G16" i="35"/>
  <c r="G24" i="33"/>
  <c r="G17" i="171"/>
  <c r="G76" i="167"/>
  <c r="G79" i="167"/>
  <c r="G5" i="171"/>
  <c r="G15" i="171"/>
  <c r="G50" i="167"/>
  <c r="G58" i="167"/>
  <c r="G14" i="167"/>
  <c r="G78" i="167"/>
  <c r="G73" i="167"/>
  <c r="G28" i="33"/>
  <c r="G27" i="35"/>
  <c r="G281" i="3"/>
  <c r="G4" i="167"/>
  <c r="G26" i="167"/>
  <c r="G18" i="167"/>
  <c r="G19" i="171"/>
  <c r="G14" i="171"/>
  <c r="G51" i="167"/>
  <c r="G72" i="167"/>
  <c r="G20" i="171"/>
  <c r="G21" i="171"/>
  <c r="G88" i="167"/>
  <c r="G87" i="167"/>
  <c r="G85" i="167"/>
  <c r="G82" i="167"/>
  <c r="G90" i="167"/>
  <c r="G22" i="167"/>
  <c r="G86" i="167"/>
  <c r="G81" i="167"/>
  <c r="G6" i="31"/>
  <c r="G23" i="33"/>
  <c r="G35" i="35"/>
  <c r="G55" i="172"/>
  <c r="G23" i="167"/>
  <c r="G30" i="172"/>
  <c r="G10" i="171"/>
  <c r="G44" i="167"/>
  <c r="G47" i="167"/>
  <c r="G4" i="171"/>
  <c r="G63" i="167"/>
  <c r="G80" i="167"/>
  <c r="G77" i="167"/>
  <c r="G61" i="167"/>
  <c r="G52" i="167"/>
  <c r="G95" i="167"/>
  <c r="G3" i="167"/>
  <c r="G30" i="167"/>
  <c r="G21" i="167"/>
  <c r="G89" i="167"/>
  <c r="G36" i="35"/>
  <c r="G83" i="167"/>
  <c r="G7" i="171"/>
  <c r="G28" i="167"/>
  <c r="G65" i="167"/>
  <c r="G3" i="171"/>
  <c r="G11" i="171"/>
  <c r="G16" i="167"/>
  <c r="G40" i="167"/>
  <c r="G11" i="172"/>
  <c r="G75" i="167"/>
  <c r="G13" i="171"/>
  <c r="G71" i="167"/>
  <c r="G56" i="167"/>
  <c r="G55" i="167"/>
  <c r="G69" i="167"/>
  <c r="G53" i="167"/>
  <c r="G13" i="167"/>
  <c r="G10" i="167"/>
  <c r="G19" i="167"/>
  <c r="G38" i="167"/>
  <c r="G33" i="167"/>
  <c r="G92" i="167"/>
  <c r="G21" i="35"/>
  <c r="G3" i="198"/>
  <c r="G2" i="197"/>
  <c r="G3" i="175"/>
  <c r="G5" i="198"/>
  <c r="G5" i="197"/>
  <c r="G2" i="175"/>
  <c r="G4" i="198"/>
  <c r="G8" i="175"/>
  <c r="G7" i="198"/>
  <c r="G7" i="197"/>
  <c r="G3" i="197"/>
  <c r="G6" i="175"/>
  <c r="G10" i="175"/>
  <c r="G20" i="172"/>
  <c r="G69" i="172"/>
  <c r="G17" i="172"/>
  <c r="G36" i="172"/>
  <c r="G44" i="172"/>
  <c r="G35" i="172"/>
  <c r="G4" i="172"/>
  <c r="G5" i="172"/>
  <c r="G73" i="172"/>
  <c r="G42" i="172"/>
  <c r="G40" i="172"/>
  <c r="G47" i="172"/>
  <c r="G4" i="159"/>
  <c r="G4" i="81"/>
  <c r="G3" i="81"/>
  <c r="G16" i="33"/>
  <c r="G18" i="22"/>
  <c r="G37" i="35"/>
  <c r="G13" i="22"/>
  <c r="G15" i="33"/>
  <c r="G3" i="22"/>
  <c r="G15" i="35"/>
  <c r="G43" i="35"/>
  <c r="G19" i="35"/>
  <c r="G10" i="33"/>
  <c r="G15" i="22"/>
  <c r="G7" i="22"/>
  <c r="G51" i="172"/>
  <c r="G67" i="172"/>
  <c r="G43" i="172"/>
  <c r="G32" i="172"/>
  <c r="G33" i="172"/>
  <c r="G9" i="172"/>
  <c r="G71" i="172"/>
  <c r="G6" i="125"/>
  <c r="G6" i="81"/>
  <c r="G30" i="35"/>
  <c r="G11" i="33"/>
  <c r="G5" i="22"/>
  <c r="G10" i="35"/>
  <c r="G17" i="35"/>
  <c r="G39" i="35"/>
  <c r="G24" i="35"/>
  <c r="G28" i="172"/>
  <c r="G16" i="172"/>
  <c r="G14" i="172"/>
  <c r="G18" i="172"/>
  <c r="G68" i="172"/>
  <c r="G10" i="172"/>
  <c r="G61" i="172"/>
  <c r="G37" i="172"/>
  <c r="G34" i="172"/>
  <c r="G59" i="172"/>
  <c r="G48" i="172"/>
  <c r="G49" i="172"/>
  <c r="G15" i="172"/>
  <c r="G74" i="172"/>
  <c r="G2" i="81"/>
  <c r="G6" i="35"/>
  <c r="G12" i="33"/>
  <c r="G29" i="35"/>
  <c r="G14" i="33"/>
  <c r="G4" i="22"/>
  <c r="G4" i="35"/>
  <c r="G12" i="22"/>
  <c r="G25" i="35"/>
  <c r="G2" i="35"/>
  <c r="G32" i="35"/>
  <c r="G27" i="172"/>
  <c r="G63" i="172"/>
  <c r="G22" i="172"/>
  <c r="G62" i="172"/>
  <c r="G45" i="172"/>
  <c r="G70" i="172"/>
  <c r="G21" i="172"/>
  <c r="G2" i="172"/>
  <c r="G50" i="172"/>
  <c r="G25" i="172"/>
  <c r="G64" i="172"/>
  <c r="G65" i="172"/>
  <c r="G23" i="172"/>
  <c r="G75" i="172"/>
  <c r="G2" i="125"/>
  <c r="G8" i="33"/>
  <c r="G14" i="35"/>
  <c r="G22" i="33"/>
  <c r="G10" i="22"/>
  <c r="G18" i="33"/>
  <c r="G16" i="22"/>
  <c r="G33" i="35"/>
  <c r="G18" i="35"/>
  <c r="G40" i="35"/>
  <c r="G19" i="172"/>
  <c r="G7" i="172"/>
  <c r="G52" i="172"/>
  <c r="G29" i="172"/>
  <c r="G60" i="172"/>
  <c r="G12" i="172"/>
  <c r="G66" i="172"/>
  <c r="G41" i="172"/>
  <c r="G6" i="172"/>
  <c r="G77" i="172"/>
  <c r="G31" i="172"/>
  <c r="G25" i="33"/>
  <c r="G17" i="22"/>
  <c r="G20" i="22"/>
  <c r="G8" i="22"/>
  <c r="G38" i="35"/>
  <c r="G41" i="35"/>
  <c r="G26" i="35"/>
  <c r="G7" i="35"/>
  <c r="G20" i="35"/>
  <c r="G2" i="154"/>
  <c r="G72" i="172"/>
  <c r="G53" i="172"/>
  <c r="G46" i="172"/>
  <c r="G13" i="172"/>
  <c r="G54" i="172"/>
  <c r="G3" i="172"/>
  <c r="G57" i="172"/>
  <c r="G26" i="172"/>
  <c r="G24" i="172"/>
  <c r="G20" i="33"/>
  <c r="G7" i="33"/>
  <c r="G9" i="22"/>
  <c r="G26" i="33"/>
  <c r="G6" i="22"/>
  <c r="G9" i="35"/>
  <c r="G3" i="35"/>
  <c r="G34" i="35"/>
  <c r="G11" i="35"/>
  <c r="G12" i="35"/>
  <c r="G13" i="33"/>
  <c r="G11" i="105"/>
  <c r="G6" i="106"/>
  <c r="G11" i="27"/>
  <c r="G3" i="106"/>
  <c r="G3" i="27"/>
  <c r="G6" i="27"/>
  <c r="G2" i="106"/>
  <c r="G9" i="27"/>
  <c r="G3" i="165"/>
  <c r="G12" i="105"/>
  <c r="G6" i="105"/>
  <c r="G9" i="105"/>
  <c r="G2" i="27"/>
  <c r="G5" i="27"/>
  <c r="G8" i="27"/>
  <c r="G3" i="105"/>
  <c r="G4" i="27"/>
  <c r="G19" i="33"/>
  <c r="G4" i="33"/>
  <c r="G22" i="124"/>
  <c r="G3" i="159"/>
  <c r="G6" i="42"/>
  <c r="G9" i="46"/>
  <c r="G2" i="182"/>
  <c r="G7" i="182"/>
  <c r="G12" i="125"/>
  <c r="G11" i="125"/>
  <c r="G7" i="159"/>
  <c r="G10" i="125"/>
  <c r="G7" i="125"/>
  <c r="G5" i="36"/>
  <c r="G8" i="125"/>
  <c r="G5" i="159"/>
  <c r="G3" i="125"/>
  <c r="G2" i="17"/>
  <c r="G5" i="182"/>
  <c r="G8" i="42"/>
  <c r="G3" i="42"/>
  <c r="G4" i="182"/>
  <c r="G2" i="42"/>
  <c r="G4" i="54"/>
  <c r="G11" i="151"/>
  <c r="G6" i="151"/>
  <c r="G5" i="165"/>
  <c r="G16" i="163"/>
  <c r="G4" i="151"/>
  <c r="G8" i="151"/>
  <c r="G6" i="186"/>
  <c r="G12" i="163"/>
  <c r="G8" i="163"/>
  <c r="G2" i="151"/>
  <c r="G7" i="151"/>
  <c r="G8" i="186"/>
  <c r="G5" i="186"/>
  <c r="G15" i="151"/>
  <c r="G6" i="165"/>
  <c r="G13" i="151"/>
  <c r="G14" i="151"/>
  <c r="G17" i="151"/>
  <c r="G12" i="151"/>
  <c r="G2" i="133"/>
  <c r="G4" i="186"/>
  <c r="G5" i="151"/>
  <c r="G2" i="165"/>
  <c r="G7" i="163"/>
  <c r="G10" i="151"/>
  <c r="G12" i="147"/>
  <c r="G3" i="191"/>
  <c r="G24" i="166"/>
  <c r="G18" i="166"/>
  <c r="G27" i="86"/>
  <c r="G31" i="40"/>
  <c r="G10" i="64"/>
  <c r="G5" i="163"/>
  <c r="G41" i="86"/>
  <c r="G43" i="12"/>
  <c r="G8" i="109"/>
  <c r="G3" i="133"/>
  <c r="G25" i="124"/>
  <c r="G26" i="34"/>
  <c r="G15" i="163"/>
  <c r="G19" i="86"/>
  <c r="G13" i="163"/>
  <c r="G35" i="12"/>
  <c r="G21" i="177"/>
  <c r="G15" i="181"/>
  <c r="G23" i="177"/>
  <c r="G8" i="181"/>
  <c r="G2" i="61"/>
  <c r="G6" i="195"/>
  <c r="G17" i="190"/>
  <c r="G2" i="179"/>
  <c r="G13" i="177"/>
  <c r="G13" i="181"/>
  <c r="G24" i="177"/>
  <c r="G18" i="177"/>
  <c r="G4" i="181"/>
  <c r="G9" i="71"/>
  <c r="G5" i="53"/>
  <c r="G6" i="61"/>
  <c r="G3" i="195"/>
  <c r="G9" i="195"/>
  <c r="G4" i="190"/>
  <c r="G6" i="181"/>
  <c r="G19" i="177"/>
  <c r="G3" i="179"/>
  <c r="G25" i="177"/>
  <c r="G11" i="181"/>
  <c r="G14" i="177"/>
  <c r="G17" i="177"/>
  <c r="G19" i="181"/>
  <c r="G6" i="190"/>
  <c r="G12" i="190"/>
  <c r="G8" i="190"/>
  <c r="G10" i="190"/>
  <c r="G2" i="177"/>
  <c r="G7" i="181"/>
  <c r="G16" i="177"/>
  <c r="G2" i="181"/>
  <c r="G8" i="146"/>
  <c r="G26" i="120"/>
  <c r="G37" i="71"/>
  <c r="G17" i="74"/>
  <c r="G3" i="54"/>
  <c r="G2" i="54"/>
  <c r="G15" i="190"/>
  <c r="G13" i="190"/>
  <c r="G7" i="177"/>
  <c r="G11" i="177"/>
  <c r="G10" i="181"/>
  <c r="G41" i="71"/>
  <c r="G17" i="71"/>
  <c r="G2" i="50"/>
  <c r="G4" i="61"/>
  <c r="G9" i="61"/>
  <c r="G6" i="53"/>
  <c r="G4" i="53"/>
  <c r="G14" i="190"/>
  <c r="G5" i="177"/>
  <c r="G8" i="177"/>
  <c r="G8" i="71"/>
  <c r="G5" i="61"/>
  <c r="G3" i="61"/>
  <c r="G3" i="17"/>
  <c r="G2" i="53"/>
  <c r="G7" i="190"/>
  <c r="G3" i="177"/>
  <c r="G14" i="181"/>
  <c r="G9" i="181"/>
  <c r="G7" i="195"/>
  <c r="G3" i="190"/>
  <c r="G5" i="190"/>
  <c r="G3" i="181"/>
  <c r="G22" i="177"/>
  <c r="G12" i="181"/>
  <c r="G16" i="181"/>
  <c r="G17" i="181"/>
  <c r="G32" i="74"/>
  <c r="G88" i="38"/>
  <c r="G7" i="53"/>
  <c r="G3" i="144"/>
  <c r="G8" i="132"/>
  <c r="G11" i="132"/>
  <c r="G4" i="132"/>
  <c r="G6" i="120"/>
  <c r="G3" i="103"/>
  <c r="G25" i="80"/>
  <c r="G7" i="72"/>
  <c r="G16" i="48"/>
  <c r="G4" i="144"/>
  <c r="G28" i="80"/>
  <c r="G2" i="144"/>
  <c r="G10" i="122"/>
  <c r="G20" i="80"/>
  <c r="G49" i="80"/>
  <c r="G5" i="72"/>
  <c r="G8" i="48"/>
  <c r="G10" i="132"/>
  <c r="G9" i="118"/>
  <c r="G3" i="98"/>
  <c r="G11" i="80"/>
  <c r="G31" i="80"/>
  <c r="G55" i="80"/>
  <c r="G18" i="80"/>
  <c r="G56" i="80"/>
  <c r="G6" i="144"/>
  <c r="G7" i="118"/>
  <c r="G6" i="118"/>
  <c r="G57" i="80"/>
  <c r="G3" i="72"/>
  <c r="G2" i="48"/>
  <c r="G22" i="122"/>
  <c r="G16" i="139"/>
  <c r="G2" i="132"/>
  <c r="G8" i="144"/>
  <c r="G12" i="132"/>
  <c r="G34" i="123"/>
  <c r="G2" i="118"/>
  <c r="G6" i="103"/>
  <c r="G50" i="80"/>
  <c r="G2" i="72"/>
  <c r="G14" i="48"/>
  <c r="G9" i="132"/>
  <c r="G13" i="132"/>
  <c r="G7" i="103"/>
  <c r="G39" i="80"/>
  <c r="G36" i="80"/>
  <c r="G8" i="72"/>
  <c r="G6" i="48"/>
  <c r="G42" i="38"/>
  <c r="G6" i="56"/>
  <c r="G3" i="132"/>
  <c r="G3" i="118"/>
  <c r="G13" i="114"/>
  <c r="G2" i="103"/>
  <c r="G4" i="103"/>
  <c r="G32" i="80"/>
  <c r="G52" i="80"/>
  <c r="G21" i="80"/>
  <c r="G12" i="72"/>
  <c r="G12" i="48"/>
  <c r="G8" i="32"/>
  <c r="G10" i="166"/>
  <c r="G55" i="119"/>
  <c r="G20" i="122"/>
  <c r="G9" i="166"/>
  <c r="G23" i="166"/>
  <c r="G19" i="166"/>
  <c r="G6" i="129"/>
  <c r="G19" i="122"/>
  <c r="G45" i="119"/>
  <c r="G20" i="113"/>
  <c r="G21" i="79"/>
  <c r="G4" i="45"/>
  <c r="G9" i="45"/>
  <c r="G13" i="27"/>
  <c r="G47" i="170"/>
  <c r="G7" i="166"/>
  <c r="G3" i="166"/>
  <c r="G37" i="155"/>
  <c r="G17" i="122"/>
  <c r="G39" i="119"/>
  <c r="G5" i="101"/>
  <c r="G22" i="86"/>
  <c r="G48" i="80"/>
  <c r="G8" i="40"/>
  <c r="G7" i="45"/>
  <c r="G11" i="34"/>
  <c r="G25" i="34"/>
  <c r="G409" i="3"/>
  <c r="G389" i="3"/>
  <c r="G46" i="119"/>
  <c r="G41" i="80"/>
  <c r="G59" i="86"/>
  <c r="G441" i="3"/>
  <c r="G11" i="166"/>
  <c r="G17" i="40"/>
  <c r="G676" i="3"/>
  <c r="G632" i="3"/>
  <c r="G283" i="3"/>
  <c r="G14" i="169"/>
  <c r="G11" i="119"/>
  <c r="G51" i="119"/>
  <c r="G5" i="79"/>
  <c r="G9" i="69"/>
  <c r="G2" i="40"/>
  <c r="G5" i="109"/>
  <c r="G25" i="188"/>
  <c r="G88" i="170"/>
  <c r="G5" i="149"/>
  <c r="G62" i="119"/>
  <c r="G8" i="122"/>
  <c r="G5" i="122"/>
  <c r="G4" i="94"/>
  <c r="G35" i="110"/>
  <c r="G29" i="79"/>
  <c r="G13" i="79"/>
  <c r="G51" i="38"/>
  <c r="G16" i="38"/>
  <c r="G9" i="30"/>
  <c r="G16" i="30"/>
  <c r="G5" i="31"/>
  <c r="G411" i="3"/>
  <c r="G345" i="3"/>
  <c r="G460" i="3"/>
  <c r="G428" i="3"/>
  <c r="G2" i="191"/>
  <c r="G21" i="33"/>
  <c r="G3" i="33"/>
  <c r="G45" i="107"/>
  <c r="G2" i="183"/>
  <c r="G57" i="170"/>
  <c r="G14" i="124"/>
  <c r="G23" i="124"/>
  <c r="G7" i="119"/>
  <c r="G30" i="119"/>
  <c r="G54" i="119"/>
  <c r="G241" i="76"/>
  <c r="G126" i="76"/>
  <c r="G41" i="40"/>
  <c r="G33" i="40"/>
  <c r="G985" i="3"/>
  <c r="G436" i="3"/>
  <c r="G372" i="3"/>
  <c r="G340" i="3"/>
  <c r="G255" i="3"/>
  <c r="G602" i="3"/>
  <c r="G548" i="3"/>
  <c r="G235" i="3"/>
  <c r="G212" i="3"/>
  <c r="G4" i="177"/>
  <c r="G6" i="33"/>
  <c r="G4" i="135"/>
  <c r="G4" i="195"/>
  <c r="G8" i="173"/>
  <c r="G40" i="155"/>
  <c r="G7" i="124"/>
  <c r="G13" i="119"/>
  <c r="G5" i="98"/>
  <c r="G62" i="76"/>
  <c r="G94" i="38"/>
  <c r="G90" i="38"/>
  <c r="G23" i="40"/>
  <c r="G659" i="3"/>
  <c r="G531" i="3"/>
  <c r="G468" i="3"/>
  <c r="G473" i="3"/>
  <c r="G17" i="33"/>
  <c r="G5" i="195"/>
  <c r="G11" i="149"/>
  <c r="G8" i="115"/>
  <c r="G19" i="110"/>
  <c r="G2" i="62"/>
  <c r="G5" i="62" s="1"/>
  <c r="G2" i="124"/>
  <c r="G19" i="40"/>
  <c r="G24" i="188"/>
  <c r="G4" i="41"/>
  <c r="G13" i="124"/>
  <c r="G9" i="122"/>
  <c r="G13" i="122"/>
  <c r="G23" i="119"/>
  <c r="G25" i="108"/>
  <c r="G2" i="78"/>
  <c r="G2" i="63"/>
  <c r="G3" i="59"/>
  <c r="G10" i="41"/>
  <c r="G998" i="3"/>
  <c r="G755" i="3"/>
  <c r="G595" i="3"/>
  <c r="G568" i="3"/>
  <c r="G516" i="3"/>
  <c r="G106" i="185"/>
  <c r="G77" i="155"/>
  <c r="G37" i="129"/>
  <c r="G116" i="113"/>
  <c r="G79" i="113"/>
  <c r="G38" i="119"/>
  <c r="G114" i="108"/>
  <c r="G54" i="86"/>
  <c r="G57" i="86"/>
  <c r="G3" i="86"/>
  <c r="G16" i="78"/>
  <c r="G107" i="38"/>
  <c r="G106" i="38"/>
  <c r="G7" i="40"/>
  <c r="G49" i="40"/>
  <c r="G50" i="38"/>
  <c r="G35" i="34"/>
  <c r="G219" i="3"/>
  <c r="G699" i="3"/>
  <c r="G966" i="3"/>
  <c r="G698" i="3"/>
  <c r="G612" i="3"/>
  <c r="G506" i="3"/>
  <c r="G453" i="3"/>
  <c r="G261" i="3"/>
  <c r="G190" i="3"/>
  <c r="G572" i="3"/>
  <c r="G349" i="3"/>
  <c r="G4" i="130"/>
  <c r="G4" i="125"/>
  <c r="G9" i="72"/>
  <c r="G129" i="185"/>
  <c r="G110" i="185"/>
  <c r="G5" i="184"/>
  <c r="G47" i="155"/>
  <c r="G15" i="124"/>
  <c r="G28" i="124"/>
  <c r="G7" i="111"/>
  <c r="G111" i="108"/>
  <c r="G47" i="110"/>
  <c r="G8" i="111"/>
  <c r="G96" i="108"/>
  <c r="G63" i="108"/>
  <c r="G6" i="85"/>
  <c r="G62" i="86"/>
  <c r="G36" i="86"/>
  <c r="G14" i="86"/>
  <c r="G229" i="76"/>
  <c r="G35" i="40"/>
  <c r="G5" i="57"/>
  <c r="G103" i="38"/>
  <c r="G4" i="60"/>
  <c r="G3" i="40"/>
  <c r="G32" i="40"/>
  <c r="G5" i="38"/>
  <c r="G963" i="3"/>
  <c r="G772" i="3"/>
  <c r="G644" i="3"/>
  <c r="G538" i="3"/>
  <c r="G504" i="3"/>
  <c r="G485" i="3"/>
  <c r="G379" i="3"/>
  <c r="G325" i="3"/>
  <c r="G196" i="3"/>
  <c r="G412" i="3"/>
  <c r="G403" i="3"/>
  <c r="G10" i="72"/>
  <c r="G5" i="140"/>
  <c r="G47" i="185"/>
  <c r="G2" i="188"/>
  <c r="G97" i="185"/>
  <c r="G93" i="185"/>
  <c r="G4" i="187"/>
  <c r="G18" i="185"/>
  <c r="G5" i="178"/>
  <c r="G29" i="124"/>
  <c r="G17" i="124"/>
  <c r="G9" i="124"/>
  <c r="G61" i="119"/>
  <c r="G6" i="114"/>
  <c r="G3" i="122"/>
  <c r="G9" i="111"/>
  <c r="G104" i="108"/>
  <c r="G40" i="110"/>
  <c r="G87" i="107"/>
  <c r="G50" i="110"/>
  <c r="G34" i="107"/>
  <c r="G2" i="86"/>
  <c r="G2" i="102"/>
  <c r="G44" i="86"/>
  <c r="G25" i="86"/>
  <c r="G9" i="85"/>
  <c r="G190" i="76"/>
  <c r="G25" i="40"/>
  <c r="G51" i="40"/>
  <c r="G40" i="40"/>
  <c r="G15" i="40"/>
  <c r="G2" i="31"/>
  <c r="G802" i="3"/>
  <c r="G730" i="3"/>
  <c r="G570" i="3"/>
  <c r="G536" i="3"/>
  <c r="G421" i="3"/>
  <c r="G675" i="3"/>
  <c r="G15" i="147"/>
  <c r="G7" i="175"/>
  <c r="G9" i="125"/>
  <c r="G54" i="185"/>
  <c r="G102" i="185"/>
  <c r="G35" i="185"/>
  <c r="G4" i="146"/>
  <c r="G58" i="110"/>
  <c r="G15" i="110"/>
  <c r="G43" i="110"/>
  <c r="G31" i="110"/>
  <c r="G37" i="86"/>
  <c r="G9" i="110"/>
  <c r="G18" i="86"/>
  <c r="G52" i="86"/>
  <c r="G74" i="38"/>
  <c r="G98" i="38"/>
  <c r="G86" i="185"/>
  <c r="G78" i="185"/>
  <c r="G130" i="185"/>
  <c r="G48" i="185"/>
  <c r="G6" i="164"/>
  <c r="G88" i="155"/>
  <c r="G53" i="155"/>
  <c r="G51" i="110"/>
  <c r="G7" i="110"/>
  <c r="G18" i="110"/>
  <c r="G3" i="112"/>
  <c r="G33" i="86"/>
  <c r="G11" i="86"/>
  <c r="G45" i="86"/>
  <c r="G101" i="76"/>
  <c r="G7" i="86"/>
  <c r="G14" i="39"/>
  <c r="G24" i="40"/>
  <c r="G47" i="40"/>
  <c r="G16" i="39"/>
  <c r="G102" i="38"/>
  <c r="G108" i="38"/>
  <c r="G5" i="40"/>
  <c r="G9" i="40"/>
  <c r="G50" i="12"/>
  <c r="G19" i="12"/>
  <c r="G184" i="3"/>
  <c r="G762" i="3"/>
  <c r="G634" i="3"/>
  <c r="G600" i="3"/>
  <c r="G475" i="3"/>
  <c r="G443" i="3"/>
  <c r="G315" i="3"/>
  <c r="G786" i="3"/>
  <c r="G587" i="3"/>
  <c r="G396" i="3"/>
  <c r="G714" i="3"/>
  <c r="G3" i="127"/>
  <c r="G5" i="127"/>
  <c r="G26" i="110"/>
  <c r="G11" i="110"/>
  <c r="G22" i="102"/>
  <c r="G42" i="110"/>
  <c r="G26" i="86"/>
  <c r="G65" i="86"/>
  <c r="G38" i="86"/>
  <c r="G10" i="85"/>
  <c r="G22" i="68"/>
  <c r="G25" i="68"/>
  <c r="G4" i="68"/>
  <c r="G48" i="40"/>
  <c r="G100" i="38"/>
  <c r="G27" i="40"/>
  <c r="G99" i="38"/>
  <c r="G43" i="40"/>
  <c r="G86" i="38"/>
  <c r="G66" i="38"/>
  <c r="G92" i="38"/>
  <c r="G45" i="40"/>
  <c r="G83" i="38"/>
  <c r="G244" i="3"/>
  <c r="G3" i="140"/>
  <c r="G10" i="185"/>
  <c r="G3" i="85"/>
  <c r="G121" i="185"/>
  <c r="G109" i="185"/>
  <c r="G12" i="156"/>
  <c r="G21" i="124"/>
  <c r="G2" i="119"/>
  <c r="G53" i="119"/>
  <c r="G32" i="110"/>
  <c r="G23" i="110"/>
  <c r="G30" i="86"/>
  <c r="G6" i="86"/>
  <c r="G61" i="86"/>
  <c r="G9" i="86"/>
  <c r="G16" i="86"/>
  <c r="G29" i="68"/>
  <c r="G118" i="76"/>
  <c r="G91" i="38"/>
  <c r="G11" i="40"/>
  <c r="G16" i="40"/>
  <c r="G43" i="38"/>
  <c r="G69" i="38"/>
  <c r="G7" i="38"/>
  <c r="G28" i="12"/>
  <c r="G1000" i="3"/>
  <c r="G740" i="3"/>
  <c r="G580" i="3"/>
  <c r="G293" i="3"/>
  <c r="G715" i="3"/>
  <c r="G174" i="3"/>
  <c r="G636" i="3"/>
  <c r="G3" i="130"/>
  <c r="G80" i="170"/>
  <c r="G190" i="168"/>
  <c r="G186" i="168"/>
  <c r="G87" i="155"/>
  <c r="G2" i="155"/>
  <c r="G75" i="129"/>
  <c r="G13" i="129"/>
  <c r="G7" i="129"/>
  <c r="G17" i="137"/>
  <c r="G10" i="117"/>
  <c r="G10" i="116"/>
  <c r="G9" i="121"/>
  <c r="G27" i="119"/>
  <c r="G90" i="113"/>
  <c r="G19" i="119"/>
  <c r="G71" i="113"/>
  <c r="G10" i="121"/>
  <c r="G140" i="113"/>
  <c r="G68" i="107"/>
  <c r="G117" i="113"/>
  <c r="G74" i="108"/>
  <c r="G15" i="107"/>
  <c r="G26" i="107"/>
  <c r="G180" i="92"/>
  <c r="G55" i="110"/>
  <c r="G61" i="107"/>
  <c r="G27" i="110"/>
  <c r="G56" i="107"/>
  <c r="G65" i="113"/>
  <c r="G9" i="80"/>
  <c r="G222" i="76"/>
  <c r="G94" i="76"/>
  <c r="G33" i="80"/>
  <c r="G157" i="76"/>
  <c r="G12" i="80"/>
  <c r="G77" i="76"/>
  <c r="G8" i="70"/>
  <c r="G181" i="76"/>
  <c r="G211" i="76"/>
  <c r="G53" i="86"/>
  <c r="G44" i="74"/>
  <c r="G3" i="41"/>
  <c r="G77" i="38"/>
  <c r="G21" i="38"/>
  <c r="G13" i="38"/>
  <c r="G59" i="38"/>
  <c r="G5" i="32"/>
  <c r="G4" i="23"/>
  <c r="G3" i="34"/>
  <c r="G357" i="3"/>
  <c r="G683" i="3"/>
  <c r="G555" i="3"/>
  <c r="G364" i="3"/>
  <c r="G188" i="3"/>
  <c r="G172" i="3"/>
  <c r="G764" i="3"/>
  <c r="G401" i="3"/>
  <c r="G275" i="3"/>
  <c r="G878" i="3"/>
  <c r="G167" i="3"/>
  <c r="G405" i="3"/>
  <c r="G243" i="3"/>
  <c r="G576" i="3"/>
  <c r="G571" i="3"/>
  <c r="G152" i="3"/>
  <c r="G8" i="3"/>
  <c r="G12" i="177"/>
  <c r="G7" i="48"/>
  <c r="G3" i="151"/>
  <c r="G79" i="196"/>
  <c r="G45" i="196"/>
  <c r="G37" i="196"/>
  <c r="G121" i="196"/>
  <c r="G114" i="185"/>
  <c r="G125" i="185"/>
  <c r="G117" i="185"/>
  <c r="G17" i="185"/>
  <c r="G39" i="170"/>
  <c r="G17" i="170"/>
  <c r="G40" i="170"/>
  <c r="G177" i="168"/>
  <c r="G226" i="168"/>
  <c r="G58" i="168"/>
  <c r="G79" i="168"/>
  <c r="G4" i="158"/>
  <c r="G2" i="161"/>
  <c r="G23" i="139"/>
  <c r="G68" i="129"/>
  <c r="G8" i="136"/>
  <c r="G29" i="119"/>
  <c r="G20" i="124"/>
  <c r="G43" i="119"/>
  <c r="G69" i="119"/>
  <c r="G114" i="113"/>
  <c r="G55" i="113"/>
  <c r="G49" i="113"/>
  <c r="G70" i="119"/>
  <c r="G25" i="113"/>
  <c r="G18" i="116"/>
  <c r="G55" i="107"/>
  <c r="G164" i="92"/>
  <c r="G39" i="110"/>
  <c r="G42" i="108"/>
  <c r="G163" i="92"/>
  <c r="G48" i="110"/>
  <c r="G44" i="107"/>
  <c r="G34" i="108"/>
  <c r="G25" i="79"/>
  <c r="G197" i="76"/>
  <c r="G69" i="76"/>
  <c r="G3" i="73"/>
  <c r="G8" i="80"/>
  <c r="G15" i="78"/>
  <c r="G125" i="76"/>
  <c r="G54" i="73"/>
  <c r="G5" i="69"/>
  <c r="G9" i="76"/>
  <c r="G24" i="86"/>
  <c r="G107" i="76"/>
  <c r="G109" i="49"/>
  <c r="G83" i="76"/>
  <c r="G10" i="86"/>
  <c r="G49" i="86"/>
  <c r="G58" i="38"/>
  <c r="G15" i="38"/>
  <c r="G61" i="38"/>
  <c r="G23" i="38"/>
  <c r="G9" i="23"/>
  <c r="G16" i="23"/>
  <c r="G476" i="3"/>
  <c r="G722" i="3"/>
  <c r="G467" i="3"/>
  <c r="G435" i="3"/>
  <c r="G273" i="3"/>
  <c r="G420" i="3"/>
  <c r="G5" i="3"/>
  <c r="G746" i="3"/>
  <c r="G309" i="3"/>
  <c r="G136" i="3"/>
  <c r="G1019" i="3"/>
  <c r="G95" i="3"/>
  <c r="G61" i="3"/>
  <c r="G590" i="3"/>
  <c r="G10" i="177"/>
  <c r="G4" i="175"/>
  <c r="G5" i="48"/>
  <c r="G4" i="106"/>
  <c r="G20" i="177"/>
  <c r="G17" i="196"/>
  <c r="G104" i="196"/>
  <c r="G126" i="185"/>
  <c r="G81" i="185"/>
  <c r="G49" i="185"/>
  <c r="G49" i="168"/>
  <c r="G98" i="168"/>
  <c r="G52" i="155"/>
  <c r="G6" i="149"/>
  <c r="G15" i="121"/>
  <c r="G6" i="113"/>
  <c r="G74" i="107"/>
  <c r="G58" i="113"/>
  <c r="G53" i="107"/>
  <c r="G110" i="92"/>
  <c r="G79" i="107"/>
  <c r="G75" i="113"/>
  <c r="G9" i="107"/>
  <c r="G82" i="107"/>
  <c r="G184" i="92"/>
  <c r="G17" i="108"/>
  <c r="G56" i="110"/>
  <c r="G24" i="78"/>
  <c r="G55" i="73"/>
  <c r="G5" i="78"/>
  <c r="G53" i="76"/>
  <c r="G23" i="39"/>
  <c r="G14" i="74"/>
  <c r="G69" i="49"/>
  <c r="G8" i="52"/>
  <c r="G5" i="51"/>
  <c r="G15" i="39"/>
  <c r="G47" i="49"/>
  <c r="G5" i="25"/>
  <c r="G10" i="21"/>
  <c r="G17" i="34"/>
  <c r="G14" i="12"/>
  <c r="G205" i="3"/>
  <c r="G182" i="3"/>
  <c r="G604" i="3"/>
  <c r="G465" i="3"/>
  <c r="G433" i="3"/>
  <c r="G788" i="3"/>
  <c r="G437" i="3"/>
  <c r="G780" i="3"/>
  <c r="G610" i="3"/>
  <c r="G365" i="3"/>
  <c r="G143" i="3"/>
  <c r="G79" i="3"/>
  <c r="G29" i="3"/>
  <c r="G582" i="3"/>
  <c r="G678" i="3"/>
  <c r="G9" i="177"/>
  <c r="G27" i="188"/>
  <c r="G3" i="178"/>
  <c r="G153" i="168"/>
  <c r="G71" i="155"/>
  <c r="G64" i="155"/>
  <c r="G23" i="155"/>
  <c r="G55" i="168"/>
  <c r="G48" i="155"/>
  <c r="G23" i="168"/>
  <c r="G4" i="148"/>
  <c r="G9" i="138"/>
  <c r="G2" i="127"/>
  <c r="G12" i="121"/>
  <c r="G15" i="119"/>
  <c r="G11" i="121"/>
  <c r="G39" i="113"/>
  <c r="G35" i="119"/>
  <c r="G57" i="113"/>
  <c r="G108" i="113"/>
  <c r="G21" i="119"/>
  <c r="G42" i="107"/>
  <c r="G36" i="107"/>
  <c r="G171" i="92"/>
  <c r="G15" i="108"/>
  <c r="G83" i="92"/>
  <c r="G8" i="110"/>
  <c r="G77" i="107"/>
  <c r="G31" i="108"/>
  <c r="G16" i="110"/>
  <c r="G43" i="102"/>
  <c r="G2" i="80"/>
  <c r="G56" i="102"/>
  <c r="G30" i="80"/>
  <c r="G2" i="79"/>
  <c r="G165" i="76"/>
  <c r="G37" i="76"/>
  <c r="G240" i="76"/>
  <c r="G46" i="86"/>
  <c r="G93" i="76"/>
  <c r="G10" i="69"/>
  <c r="G32" i="107"/>
  <c r="G6" i="76"/>
  <c r="G2" i="69"/>
  <c r="G49" i="71"/>
  <c r="G10" i="74"/>
  <c r="G22" i="39"/>
  <c r="G13" i="39"/>
  <c r="G24" i="38"/>
  <c r="G104" i="38"/>
  <c r="G8" i="39"/>
  <c r="G2" i="25"/>
  <c r="G8" i="25"/>
  <c r="G6" i="34"/>
  <c r="G347" i="3"/>
  <c r="G313" i="3"/>
  <c r="G233" i="3"/>
  <c r="G499" i="3"/>
  <c r="G253" i="3"/>
  <c r="G269" i="3"/>
  <c r="G191" i="3"/>
  <c r="G215" i="3"/>
  <c r="G550" i="3"/>
  <c r="G335" i="3"/>
  <c r="G5" i="42"/>
  <c r="G10" i="118"/>
  <c r="G8" i="118"/>
  <c r="G11" i="118"/>
  <c r="G39" i="196"/>
  <c r="G119" i="196"/>
  <c r="G11" i="188"/>
  <c r="G82" i="185"/>
  <c r="G69" i="185"/>
  <c r="G113" i="185"/>
  <c r="G94" i="185"/>
  <c r="G60" i="185"/>
  <c r="G65" i="185"/>
  <c r="G54" i="170"/>
  <c r="G86" i="168"/>
  <c r="G13" i="161"/>
  <c r="G31" i="155"/>
  <c r="G24" i="137"/>
  <c r="G62" i="129"/>
  <c r="G18" i="137"/>
  <c r="G32" i="123"/>
  <c r="G34" i="129"/>
  <c r="G6" i="122"/>
  <c r="G20" i="123"/>
  <c r="G5" i="119"/>
  <c r="G31" i="113"/>
  <c r="G31" i="119"/>
  <c r="G53" i="113"/>
  <c r="G8" i="114"/>
  <c r="G10" i="107"/>
  <c r="G158" i="92"/>
  <c r="G23" i="107"/>
  <c r="G107" i="92"/>
  <c r="G8" i="108"/>
  <c r="G60" i="107"/>
  <c r="G6" i="110"/>
  <c r="G109" i="92"/>
  <c r="G29" i="92"/>
  <c r="G34" i="110"/>
  <c r="G28" i="110"/>
  <c r="G3" i="102"/>
  <c r="G158" i="76"/>
  <c r="G30" i="76"/>
  <c r="G31" i="92"/>
  <c r="G54" i="76"/>
  <c r="G44" i="80"/>
  <c r="G230" i="76"/>
  <c r="G147" i="76"/>
  <c r="G153" i="49"/>
  <c r="G24" i="39"/>
  <c r="G131" i="49"/>
  <c r="G137" i="49"/>
  <c r="G19" i="39"/>
  <c r="G23" i="49"/>
  <c r="G18" i="39"/>
  <c r="G4" i="58"/>
  <c r="G14" i="23"/>
  <c r="G747" i="3"/>
  <c r="G619" i="3"/>
  <c r="G492" i="3"/>
  <c r="G300" i="3"/>
  <c r="G268" i="3"/>
  <c r="G221" i="3"/>
  <c r="G497" i="3"/>
  <c r="G317" i="3"/>
  <c r="G547" i="3"/>
  <c r="G469" i="3"/>
  <c r="G1026" i="3"/>
  <c r="G642" i="3"/>
  <c r="G419" i="3"/>
  <c r="G23" i="3"/>
  <c r="G151" i="3"/>
  <c r="G495" i="3"/>
  <c r="G141" i="3"/>
  <c r="G622" i="3"/>
  <c r="G327" i="3"/>
  <c r="G3" i="48"/>
  <c r="G13" i="48"/>
  <c r="G69" i="196"/>
  <c r="G23" i="196"/>
  <c r="G33" i="196"/>
  <c r="G9" i="196"/>
  <c r="G18" i="193"/>
  <c r="G62" i="185"/>
  <c r="G58" i="185"/>
  <c r="G98" i="185"/>
  <c r="G61" i="185"/>
  <c r="G77" i="185"/>
  <c r="G33" i="185"/>
  <c r="G34" i="185"/>
  <c r="G25" i="170"/>
  <c r="G46" i="168"/>
  <c r="G12" i="161"/>
  <c r="G8" i="161"/>
  <c r="G223" i="168"/>
  <c r="G6" i="161"/>
  <c r="G12" i="143"/>
  <c r="G20" i="139"/>
  <c r="G9" i="137"/>
  <c r="G44" i="129"/>
  <c r="G10" i="129"/>
  <c r="G27" i="137"/>
  <c r="G26" i="129"/>
  <c r="G26" i="123"/>
  <c r="G13" i="123"/>
  <c r="G148" i="92"/>
  <c r="G21" i="107"/>
  <c r="G97" i="92"/>
  <c r="G66" i="107"/>
  <c r="G2" i="87"/>
  <c r="G47" i="107"/>
  <c r="G150" i="92"/>
  <c r="G45" i="113"/>
  <c r="G105" i="92"/>
  <c r="G22" i="92"/>
  <c r="G2" i="110"/>
  <c r="G24" i="110"/>
  <c r="G136" i="92"/>
  <c r="G8" i="100"/>
  <c r="G23" i="78"/>
  <c r="G133" i="76"/>
  <c r="G29" i="76"/>
  <c r="G7" i="68"/>
  <c r="G40" i="80"/>
  <c r="G205" i="76"/>
  <c r="G46" i="76"/>
  <c r="G75" i="49"/>
  <c r="G3" i="78"/>
  <c r="G38" i="49"/>
  <c r="G55" i="49"/>
  <c r="G10" i="39"/>
  <c r="G5" i="39"/>
  <c r="G7" i="57"/>
  <c r="G44" i="110"/>
  <c r="G843" i="3"/>
  <c r="G17" i="68"/>
  <c r="G363" i="3"/>
  <c r="G890" i="3"/>
  <c r="G544" i="3"/>
  <c r="G417" i="3"/>
  <c r="G993" i="3"/>
  <c r="G16" i="3"/>
  <c r="G471" i="3"/>
  <c r="G97" i="3"/>
  <c r="G295" i="3"/>
  <c r="G125" i="3"/>
  <c r="G170" i="3"/>
  <c r="G117" i="3"/>
  <c r="G2" i="171"/>
  <c r="G4" i="118"/>
  <c r="G4" i="48"/>
  <c r="G13" i="196"/>
  <c r="G33" i="193"/>
  <c r="G95" i="196"/>
  <c r="G14" i="193"/>
  <c r="G85" i="185"/>
  <c r="G50" i="185"/>
  <c r="G66" i="185"/>
  <c r="G30" i="185"/>
  <c r="G25" i="185"/>
  <c r="G198" i="168"/>
  <c r="G48" i="170"/>
  <c r="G175" i="168"/>
  <c r="G7" i="161"/>
  <c r="G16" i="137"/>
  <c r="G23" i="137"/>
  <c r="G78" i="129"/>
  <c r="G77" i="129"/>
  <c r="G5" i="123"/>
  <c r="G140" i="92"/>
  <c r="G15" i="113"/>
  <c r="G37" i="107"/>
  <c r="G93" i="92"/>
  <c r="G4" i="102"/>
  <c r="G132" i="92"/>
  <c r="G36" i="102"/>
  <c r="G221" i="76"/>
  <c r="G42" i="92"/>
  <c r="G141" i="76"/>
  <c r="G19" i="76"/>
  <c r="G9" i="102"/>
  <c r="G15" i="69"/>
  <c r="G32" i="92"/>
  <c r="G4" i="39"/>
  <c r="G2" i="39"/>
  <c r="G147" i="49"/>
  <c r="G2" i="58"/>
  <c r="G78" i="76"/>
  <c r="G6" i="23"/>
  <c r="G2" i="26"/>
  <c r="G27" i="34"/>
  <c r="G228" i="3"/>
  <c r="G779" i="3"/>
  <c r="G651" i="3"/>
  <c r="G523" i="3"/>
  <c r="G332" i="3"/>
  <c r="G690" i="3"/>
  <c r="G530" i="3"/>
  <c r="G858" i="3"/>
  <c r="G684" i="3"/>
  <c r="G72" i="3"/>
  <c r="G407" i="3"/>
  <c r="G87" i="3"/>
  <c r="G223" i="3"/>
  <c r="G64" i="3"/>
  <c r="G101" i="3"/>
  <c r="G9" i="171"/>
  <c r="G4" i="147"/>
  <c r="G11" i="48"/>
  <c r="G18" i="171"/>
  <c r="G84" i="167"/>
  <c r="G3" i="186"/>
  <c r="G5" i="162"/>
  <c r="G2" i="162"/>
  <c r="G9" i="48"/>
  <c r="G66" i="167"/>
  <c r="G2" i="196"/>
  <c r="G30" i="193"/>
  <c r="G44" i="196"/>
  <c r="G3" i="188"/>
  <c r="G74" i="185"/>
  <c r="G70" i="185"/>
  <c r="G11" i="185"/>
  <c r="G84" i="185"/>
  <c r="G95" i="170"/>
  <c r="G11" i="170"/>
  <c r="G44" i="170"/>
  <c r="G135" i="168"/>
  <c r="G21" i="129"/>
  <c r="G20" i="129"/>
  <c r="G13" i="148"/>
  <c r="G4" i="123"/>
  <c r="G151" i="113"/>
  <c r="G85" i="107"/>
  <c r="G2" i="107"/>
  <c r="G146" i="113"/>
  <c r="G3" i="107"/>
  <c r="G101" i="113"/>
  <c r="G28" i="107"/>
  <c r="G59" i="92"/>
  <c r="G58" i="107"/>
  <c r="G4" i="96"/>
  <c r="G78" i="92"/>
  <c r="G64" i="107"/>
  <c r="G67" i="113"/>
  <c r="G6" i="88"/>
  <c r="G67" i="73"/>
  <c r="G182" i="76"/>
  <c r="G102" i="76"/>
  <c r="G13" i="92"/>
  <c r="G35" i="73"/>
  <c r="G238" i="76"/>
  <c r="G14" i="76"/>
  <c r="G65" i="49"/>
  <c r="G316" i="3"/>
  <c r="G578" i="3"/>
  <c r="G451" i="3"/>
  <c r="G333" i="3"/>
  <c r="G55" i="3"/>
  <c r="G15" i="3"/>
  <c r="G57" i="3"/>
  <c r="G9" i="167"/>
  <c r="G91" i="167"/>
  <c r="G6" i="177"/>
  <c r="G39" i="131"/>
  <c r="G31" i="131"/>
  <c r="G23" i="131"/>
  <c r="G15" i="131"/>
  <c r="G7" i="131"/>
  <c r="G28" i="131"/>
  <c r="G20" i="131"/>
  <c r="G12" i="131"/>
  <c r="G38" i="131"/>
  <c r="G30" i="131"/>
  <c r="G22" i="131"/>
  <c r="G14" i="131"/>
  <c r="G2" i="131"/>
  <c r="G37" i="131"/>
  <c r="G29" i="131"/>
  <c r="G21" i="131"/>
  <c r="G5" i="131"/>
  <c r="G13" i="131"/>
  <c r="G108" i="90"/>
  <c r="G22" i="82"/>
  <c r="G16" i="67"/>
  <c r="G9" i="67"/>
  <c r="G3" i="67"/>
  <c r="G6" i="67"/>
  <c r="G4" i="67"/>
  <c r="G14" i="67"/>
  <c r="G2" i="67"/>
  <c r="G12" i="67"/>
  <c r="G10" i="67"/>
  <c r="G13" i="67"/>
  <c r="S11" i="70"/>
  <c r="U11" i="70" s="1"/>
  <c r="Y11" i="70"/>
  <c r="R2" i="143"/>
  <c r="Q28" i="16"/>
  <c r="U3" i="184"/>
  <c r="T12" i="16"/>
  <c r="U3" i="196"/>
  <c r="U23" i="185"/>
  <c r="T44" i="16"/>
  <c r="Y36" i="120"/>
  <c r="S36" i="120"/>
  <c r="U36" i="120" s="1"/>
  <c r="G164" i="90"/>
  <c r="G134" i="90"/>
  <c r="G7" i="196"/>
  <c r="G44" i="193"/>
  <c r="G37" i="193"/>
  <c r="G29" i="193"/>
  <c r="G21" i="193"/>
  <c r="G19" i="193"/>
  <c r="G34" i="193"/>
  <c r="G26" i="193"/>
  <c r="G12" i="193"/>
  <c r="G4" i="193"/>
  <c r="G42" i="193"/>
  <c r="G5" i="193"/>
  <c r="G9" i="193"/>
  <c r="G17" i="193"/>
  <c r="G11" i="193"/>
  <c r="G35" i="193"/>
  <c r="G2" i="193"/>
  <c r="G3" i="193"/>
  <c r="G27" i="193"/>
  <c r="G22" i="193"/>
  <c r="G76" i="196"/>
  <c r="G7" i="193"/>
  <c r="G5" i="188"/>
  <c r="G21" i="188"/>
  <c r="G5" i="187"/>
  <c r="G19" i="188"/>
  <c r="G76" i="185"/>
  <c r="G42" i="185"/>
  <c r="G89" i="185"/>
  <c r="G12" i="185"/>
  <c r="G22" i="185"/>
  <c r="G26" i="185"/>
  <c r="G5" i="180"/>
  <c r="G5" i="185"/>
  <c r="G8" i="180"/>
  <c r="T27" i="177"/>
  <c r="G14" i="180"/>
  <c r="W12" i="174"/>
  <c r="P12" i="174"/>
  <c r="R12" i="174" s="1"/>
  <c r="G14" i="176"/>
  <c r="G32" i="170"/>
  <c r="G81" i="170"/>
  <c r="G111" i="170"/>
  <c r="G33" i="170"/>
  <c r="G238" i="168"/>
  <c r="V302" i="168"/>
  <c r="G273" i="168"/>
  <c r="G145" i="168"/>
  <c r="G8" i="168"/>
  <c r="G134" i="168"/>
  <c r="G76" i="170"/>
  <c r="G194" i="168"/>
  <c r="G66" i="168"/>
  <c r="S23" i="171"/>
  <c r="U23" i="171" s="1"/>
  <c r="G126" i="168"/>
  <c r="G9" i="170"/>
  <c r="G154" i="168"/>
  <c r="G249" i="168"/>
  <c r="G121" i="168"/>
  <c r="G182" i="168"/>
  <c r="G91" i="155"/>
  <c r="G83" i="155"/>
  <c r="G75" i="155"/>
  <c r="G67" i="155"/>
  <c r="G59" i="155"/>
  <c r="G51" i="155"/>
  <c r="G43" i="155"/>
  <c r="G35" i="155"/>
  <c r="G27" i="155"/>
  <c r="G19" i="155"/>
  <c r="G13" i="155"/>
  <c r="G6" i="155"/>
  <c r="G126" i="155"/>
  <c r="G122" i="155"/>
  <c r="G118" i="155"/>
  <c r="G114" i="155"/>
  <c r="G110" i="155"/>
  <c r="G106" i="155"/>
  <c r="G102" i="155"/>
  <c r="G99" i="155"/>
  <c r="G128" i="155"/>
  <c r="G123" i="155"/>
  <c r="G119" i="155"/>
  <c r="G115" i="155"/>
  <c r="G111" i="155"/>
  <c r="G107" i="155"/>
  <c r="G103" i="155"/>
  <c r="G94" i="155"/>
  <c r="G86" i="155"/>
  <c r="G78" i="155"/>
  <c r="G70" i="155"/>
  <c r="G62" i="155"/>
  <c r="G54" i="155"/>
  <c r="G46" i="155"/>
  <c r="G38" i="155"/>
  <c r="G30" i="155"/>
  <c r="G22" i="155"/>
  <c r="G16" i="155"/>
  <c r="G117" i="155"/>
  <c r="G112" i="155"/>
  <c r="G101" i="155"/>
  <c r="G81" i="155"/>
  <c r="G74" i="155"/>
  <c r="G5" i="155"/>
  <c r="G57" i="155"/>
  <c r="G50" i="155"/>
  <c r="G121" i="155"/>
  <c r="G116" i="155"/>
  <c r="G105" i="155"/>
  <c r="G97" i="155"/>
  <c r="G90" i="155"/>
  <c r="G36" i="155"/>
  <c r="G33" i="155"/>
  <c r="G26" i="155"/>
  <c r="G100" i="155"/>
  <c r="G73" i="155"/>
  <c r="G66" i="155"/>
  <c r="G125" i="155"/>
  <c r="G120" i="155"/>
  <c r="G109" i="155"/>
  <c r="G104" i="155"/>
  <c r="G49" i="155"/>
  <c r="G42" i="155"/>
  <c r="G89" i="155"/>
  <c r="G82" i="155"/>
  <c r="G25" i="155"/>
  <c r="G9" i="155"/>
  <c r="G98" i="155"/>
  <c r="G44" i="155"/>
  <c r="G41" i="155"/>
  <c r="G34" i="155"/>
  <c r="G18" i="155"/>
  <c r="G4" i="155"/>
  <c r="G113" i="155"/>
  <c r="G124" i="155"/>
  <c r="G58" i="155"/>
  <c r="G68" i="155"/>
  <c r="G65" i="155"/>
  <c r="G108" i="155"/>
  <c r="G14" i="155"/>
  <c r="G39" i="168"/>
  <c r="G3" i="152"/>
  <c r="G7" i="152"/>
  <c r="G5" i="152"/>
  <c r="G19" i="168"/>
  <c r="G2" i="141"/>
  <c r="G5" i="141"/>
  <c r="G8" i="141"/>
  <c r="G6" i="141"/>
  <c r="G207" i="168"/>
  <c r="G6" i="158"/>
  <c r="G3" i="158"/>
  <c r="G10" i="155"/>
  <c r="G60" i="155"/>
  <c r="G28" i="155"/>
  <c r="G11" i="161"/>
  <c r="G5" i="161"/>
  <c r="G17" i="161"/>
  <c r="G10" i="161"/>
  <c r="G14" i="161"/>
  <c r="G4" i="161"/>
  <c r="G3" i="161"/>
  <c r="G9" i="161"/>
  <c r="R18" i="163"/>
  <c r="G8" i="149"/>
  <c r="G2" i="149"/>
  <c r="G14" i="149"/>
  <c r="G9" i="149"/>
  <c r="G12" i="149"/>
  <c r="G4" i="149"/>
  <c r="G12" i="139"/>
  <c r="G20" i="166"/>
  <c r="G12" i="166"/>
  <c r="G16" i="166"/>
  <c r="G8" i="166"/>
  <c r="G14" i="166"/>
  <c r="G5" i="166"/>
  <c r="G4" i="166"/>
  <c r="G21" i="166"/>
  <c r="G2" i="166"/>
  <c r="G26" i="166"/>
  <c r="G6" i="166"/>
  <c r="G22" i="166"/>
  <c r="G13" i="166"/>
  <c r="G21" i="148"/>
  <c r="G92" i="155"/>
  <c r="G6" i="131"/>
  <c r="G30" i="129"/>
  <c r="G3" i="126"/>
  <c r="R8" i="136"/>
  <c r="G4" i="129"/>
  <c r="G8" i="137"/>
  <c r="G61" i="129"/>
  <c r="G26" i="131"/>
  <c r="G67" i="129"/>
  <c r="W86" i="129"/>
  <c r="P86" i="129"/>
  <c r="R86" i="129" s="1"/>
  <c r="G6" i="126"/>
  <c r="G25" i="137"/>
  <c r="G70" i="129"/>
  <c r="W14" i="125"/>
  <c r="G16" i="121"/>
  <c r="G14" i="122"/>
  <c r="G20" i="120"/>
  <c r="P19" i="121"/>
  <c r="R19" i="121" s="1"/>
  <c r="W19" i="121"/>
  <c r="G14" i="114"/>
  <c r="G4" i="114"/>
  <c r="G11" i="114"/>
  <c r="G5" i="114"/>
  <c r="G17" i="114"/>
  <c r="G9" i="114"/>
  <c r="G2" i="114"/>
  <c r="G7" i="114"/>
  <c r="G3" i="114"/>
  <c r="G26" i="113"/>
  <c r="G7" i="121"/>
  <c r="G5" i="116"/>
  <c r="G37" i="113"/>
  <c r="G17" i="113"/>
  <c r="G42" i="113"/>
  <c r="G32" i="120"/>
  <c r="G66" i="119"/>
  <c r="G58" i="119"/>
  <c r="G50" i="119"/>
  <c r="G42" i="119"/>
  <c r="G34" i="119"/>
  <c r="G26" i="119"/>
  <c r="G18" i="119"/>
  <c r="G16" i="119"/>
  <c r="G12" i="119"/>
  <c r="G6" i="119"/>
  <c r="G56" i="119"/>
  <c r="G40" i="119"/>
  <c r="G24" i="119"/>
  <c r="G68" i="119"/>
  <c r="G65" i="119"/>
  <c r="G52" i="119"/>
  <c r="G49" i="119"/>
  <c r="G36" i="119"/>
  <c r="G33" i="119"/>
  <c r="G20" i="119"/>
  <c r="G17" i="119"/>
  <c r="G10" i="119"/>
  <c r="G64" i="119"/>
  <c r="G48" i="119"/>
  <c r="G32" i="119"/>
  <c r="G4" i="119"/>
  <c r="G9" i="119"/>
  <c r="G57" i="119"/>
  <c r="G41" i="119"/>
  <c r="G28" i="119"/>
  <c r="G8" i="119"/>
  <c r="G3" i="119"/>
  <c r="G25" i="119"/>
  <c r="G98" i="113"/>
  <c r="G79" i="108"/>
  <c r="G37" i="102"/>
  <c r="G131" i="92"/>
  <c r="G35" i="113"/>
  <c r="G60" i="92"/>
  <c r="G111" i="113"/>
  <c r="G73" i="92"/>
  <c r="G93" i="113"/>
  <c r="G2" i="108"/>
  <c r="G51" i="102"/>
  <c r="G13" i="97"/>
  <c r="G123" i="92"/>
  <c r="G60" i="119"/>
  <c r="G69" i="113"/>
  <c r="G16" i="108"/>
  <c r="G16" i="97"/>
  <c r="G153" i="92"/>
  <c r="G135" i="113"/>
  <c r="G5" i="111"/>
  <c r="G6" i="111"/>
  <c r="G2" i="111"/>
  <c r="G3" i="111"/>
  <c r="G90" i="108"/>
  <c r="G31" i="107"/>
  <c r="G3" i="101"/>
  <c r="G182" i="92"/>
  <c r="G12" i="114"/>
  <c r="W11" i="100"/>
  <c r="G101" i="92"/>
  <c r="G137" i="90"/>
  <c r="Y90" i="107"/>
  <c r="G13" i="98"/>
  <c r="G40" i="92"/>
  <c r="G76" i="90"/>
  <c r="G173" i="92"/>
  <c r="G15" i="92"/>
  <c r="G8" i="82"/>
  <c r="G65" i="110"/>
  <c r="G61" i="110"/>
  <c r="G53" i="110"/>
  <c r="G45" i="110"/>
  <c r="G37" i="110"/>
  <c r="G29" i="110"/>
  <c r="G21" i="110"/>
  <c r="G13" i="110"/>
  <c r="G68" i="110"/>
  <c r="G64" i="110"/>
  <c r="G66" i="110"/>
  <c r="G62" i="110"/>
  <c r="G54" i="110"/>
  <c r="G46" i="110"/>
  <c r="G38" i="110"/>
  <c r="G30" i="110"/>
  <c r="G22" i="110"/>
  <c r="G14" i="110"/>
  <c r="G4" i="110"/>
  <c r="G67" i="110"/>
  <c r="G33" i="110"/>
  <c r="G36" i="110"/>
  <c r="G57" i="110"/>
  <c r="G25" i="110"/>
  <c r="G49" i="110"/>
  <c r="G17" i="110"/>
  <c r="G12" i="110"/>
  <c r="G41" i="110"/>
  <c r="G63" i="110"/>
  <c r="G10" i="110"/>
  <c r="G3" i="110"/>
  <c r="G52" i="107"/>
  <c r="G157" i="92"/>
  <c r="G132" i="90"/>
  <c r="G59" i="113"/>
  <c r="G89" i="90"/>
  <c r="G2" i="83"/>
  <c r="G5" i="83"/>
  <c r="G4" i="83"/>
  <c r="G67" i="119"/>
  <c r="G16" i="107"/>
  <c r="G128" i="92"/>
  <c r="G102" i="90"/>
  <c r="W194" i="90"/>
  <c r="P194" i="90"/>
  <c r="R194" i="90" s="1"/>
  <c r="Q61" i="80"/>
  <c r="G102" i="92"/>
  <c r="G36" i="74"/>
  <c r="G149" i="92"/>
  <c r="W61" i="80"/>
  <c r="G4" i="74"/>
  <c r="G48" i="71"/>
  <c r="G156" i="90"/>
  <c r="Y34" i="79"/>
  <c r="G14" i="73"/>
  <c r="G3" i="68"/>
  <c r="G98" i="108"/>
  <c r="G4" i="85"/>
  <c r="G5" i="85"/>
  <c r="G7" i="85"/>
  <c r="G2" i="85"/>
  <c r="G150" i="76"/>
  <c r="G22" i="76"/>
  <c r="G23" i="73"/>
  <c r="Y32" i="68"/>
  <c r="S32" i="68"/>
  <c r="G24" i="107"/>
  <c r="G179" i="92"/>
  <c r="G58" i="86"/>
  <c r="G50" i="86"/>
  <c r="G42" i="86"/>
  <c r="G34" i="86"/>
  <c r="G31" i="86"/>
  <c r="G23" i="86"/>
  <c r="G15" i="86"/>
  <c r="G63" i="86"/>
  <c r="G55" i="86"/>
  <c r="G47" i="86"/>
  <c r="G39" i="86"/>
  <c r="G28" i="86"/>
  <c r="G20" i="86"/>
  <c r="G12" i="86"/>
  <c r="G48" i="86"/>
  <c r="G4" i="86"/>
  <c r="G51" i="86"/>
  <c r="G8" i="86"/>
  <c r="G5" i="86"/>
  <c r="G40" i="86"/>
  <c r="G29" i="86"/>
  <c r="G43" i="86"/>
  <c r="G32" i="86"/>
  <c r="G64" i="86"/>
  <c r="G21" i="86"/>
  <c r="G56" i="86"/>
  <c r="G13" i="86"/>
  <c r="Y10" i="77"/>
  <c r="G30" i="73"/>
  <c r="G12" i="69"/>
  <c r="G5" i="64"/>
  <c r="G49" i="90"/>
  <c r="G22" i="79"/>
  <c r="G198" i="76"/>
  <c r="G70" i="76"/>
  <c r="G11" i="73"/>
  <c r="G2" i="46"/>
  <c r="Y259" i="76"/>
  <c r="G9" i="70"/>
  <c r="G7" i="70"/>
  <c r="G11" i="70"/>
  <c r="G6" i="70"/>
  <c r="G4" i="70"/>
  <c r="U9" i="53"/>
  <c r="G139" i="49"/>
  <c r="G39" i="49"/>
  <c r="G16" i="74"/>
  <c r="G149" i="49"/>
  <c r="G81" i="90"/>
  <c r="S48" i="74"/>
  <c r="U48" i="74" s="1"/>
  <c r="G11" i="69"/>
  <c r="G6" i="51"/>
  <c r="G106" i="49"/>
  <c r="G16" i="49"/>
  <c r="G35" i="86"/>
  <c r="G24" i="49"/>
  <c r="G203" i="76"/>
  <c r="G45" i="71"/>
  <c r="G123" i="49"/>
  <c r="G33" i="49"/>
  <c r="Y5" i="44"/>
  <c r="G15" i="73"/>
  <c r="G22" i="49"/>
  <c r="G6" i="74"/>
  <c r="G12" i="50"/>
  <c r="G12" i="49"/>
  <c r="G18" i="97"/>
  <c r="G34" i="49"/>
  <c r="G9" i="50"/>
  <c r="T26" i="39"/>
  <c r="G14" i="49"/>
  <c r="G195" i="76"/>
  <c r="G40" i="49"/>
  <c r="G67" i="90"/>
  <c r="G47" i="80"/>
  <c r="S36" i="56"/>
  <c r="G113" i="38"/>
  <c r="G110" i="38"/>
  <c r="G97" i="38"/>
  <c r="G111" i="38"/>
  <c r="G79" i="38"/>
  <c r="G71" i="38"/>
  <c r="G63" i="38"/>
  <c r="G55" i="38"/>
  <c r="G47" i="38"/>
  <c r="G39" i="38"/>
  <c r="G33" i="38"/>
  <c r="G25" i="38"/>
  <c r="G17" i="38"/>
  <c r="G93" i="38"/>
  <c r="G87" i="38"/>
  <c r="G84" i="38"/>
  <c r="G76" i="38"/>
  <c r="G68" i="38"/>
  <c r="G60" i="38"/>
  <c r="G52" i="38"/>
  <c r="G44" i="38"/>
  <c r="G34" i="38"/>
  <c r="G26" i="38"/>
  <c r="G18" i="38"/>
  <c r="G10" i="38"/>
  <c r="G96" i="38"/>
  <c r="G81" i="38"/>
  <c r="G73" i="38"/>
  <c r="G65" i="38"/>
  <c r="G57" i="38"/>
  <c r="G49" i="38"/>
  <c r="G41" i="38"/>
  <c r="G35" i="38"/>
  <c r="G27" i="38"/>
  <c r="G19" i="38"/>
  <c r="G11" i="38"/>
  <c r="G109" i="38"/>
  <c r="G89" i="38"/>
  <c r="G78" i="38"/>
  <c r="G70" i="38"/>
  <c r="G62" i="38"/>
  <c r="G54" i="38"/>
  <c r="G46" i="38"/>
  <c r="G38" i="38"/>
  <c r="G36" i="38"/>
  <c r="G28" i="38"/>
  <c r="G20" i="38"/>
  <c r="G12" i="38"/>
  <c r="G105" i="38"/>
  <c r="G101" i="38"/>
  <c r="G85" i="38"/>
  <c r="G6" i="38"/>
  <c r="G30" i="38"/>
  <c r="G80" i="38"/>
  <c r="G9" i="38"/>
  <c r="G72" i="38"/>
  <c r="G64" i="38"/>
  <c r="G22" i="38"/>
  <c r="G2" i="38"/>
  <c r="G56" i="38"/>
  <c r="G40" i="38"/>
  <c r="G14" i="38"/>
  <c r="G4" i="38"/>
  <c r="G48" i="38"/>
  <c r="G54" i="49"/>
  <c r="G29" i="38"/>
  <c r="G67" i="38"/>
  <c r="S65" i="12"/>
  <c r="U65" i="12" s="1"/>
  <c r="Y65" i="12"/>
  <c r="G33" i="34"/>
  <c r="G20" i="12"/>
  <c r="G82" i="38"/>
  <c r="G10" i="34"/>
  <c r="G4" i="82"/>
  <c r="Y10" i="36"/>
  <c r="S10" i="36"/>
  <c r="U10" i="36" s="1"/>
  <c r="G8" i="31"/>
  <c r="G11" i="31"/>
  <c r="G9" i="31"/>
  <c r="G4" i="31"/>
  <c r="G10" i="30"/>
  <c r="G14" i="30"/>
  <c r="G3" i="31"/>
  <c r="G44" i="12"/>
  <c r="G8" i="23"/>
  <c r="U37" i="92"/>
  <c r="R3" i="70"/>
  <c r="R8" i="168"/>
  <c r="Q5" i="16"/>
  <c r="G562" i="3"/>
  <c r="G528" i="3"/>
  <c r="G1011" i="3"/>
  <c r="G875" i="3"/>
  <c r="G707" i="3"/>
  <c r="G579" i="3"/>
  <c r="G452" i="3"/>
  <c r="G292" i="3"/>
  <c r="G211" i="3"/>
  <c r="G195" i="3"/>
  <c r="G176" i="3"/>
  <c r="R2" i="60"/>
  <c r="R2" i="93"/>
  <c r="G778" i="3"/>
  <c r="G660" i="3"/>
  <c r="G628" i="3"/>
  <c r="G596" i="3"/>
  <c r="G564" i="3"/>
  <c r="G532" i="3"/>
  <c r="R3" i="122"/>
  <c r="Q20" i="16"/>
  <c r="R2" i="128"/>
  <c r="Q38" i="16"/>
  <c r="G213" i="3"/>
  <c r="G180" i="3"/>
  <c r="G924" i="3"/>
  <c r="G667" i="3"/>
  <c r="G229" i="3"/>
  <c r="G716" i="3"/>
  <c r="G674" i="3"/>
  <c r="G640" i="3"/>
  <c r="G608" i="3"/>
  <c r="G493" i="3"/>
  <c r="G483" i="3"/>
  <c r="G449" i="3"/>
  <c r="G348" i="3"/>
  <c r="G750" i="3"/>
  <c r="G9" i="3"/>
  <c r="G343" i="3"/>
  <c r="G121" i="3"/>
  <c r="G145" i="3"/>
  <c r="G81" i="3"/>
  <c r="G502" i="3"/>
  <c r="G56" i="3"/>
  <c r="G487" i="3"/>
  <c r="G186" i="3"/>
  <c r="G109" i="3"/>
  <c r="G157" i="3"/>
  <c r="G39" i="3"/>
  <c r="G526" i="3"/>
  <c r="G271" i="3"/>
  <c r="G45" i="3"/>
  <c r="G630" i="3"/>
  <c r="G4" i="157"/>
  <c r="G10" i="157"/>
  <c r="G5" i="157"/>
  <c r="G6" i="157"/>
  <c r="Y8" i="153"/>
  <c r="S8" i="153"/>
  <c r="U8" i="153" s="1"/>
  <c r="G36" i="90"/>
  <c r="Y36" i="78"/>
  <c r="S36" i="78"/>
  <c r="U36" i="78" s="1"/>
  <c r="G14" i="63"/>
  <c r="G7" i="63"/>
  <c r="G8" i="63"/>
  <c r="G6" i="63"/>
  <c r="G4" i="63"/>
  <c r="G5" i="63"/>
  <c r="G11" i="63"/>
  <c r="U3" i="142"/>
  <c r="T31" i="16"/>
  <c r="U2" i="193"/>
  <c r="T19" i="16"/>
  <c r="G6" i="173"/>
  <c r="G24" i="168"/>
  <c r="G158" i="168"/>
  <c r="G33" i="168"/>
  <c r="G20" i="168"/>
  <c r="G215" i="168"/>
  <c r="G54" i="168"/>
  <c r="G9" i="131"/>
  <c r="R12" i="126"/>
  <c r="G7" i="88"/>
  <c r="G2" i="88"/>
  <c r="G5" i="88"/>
  <c r="G12" i="102"/>
  <c r="G150" i="90"/>
  <c r="G32" i="102"/>
  <c r="G9" i="43"/>
  <c r="G12" i="43"/>
  <c r="G7" i="43"/>
  <c r="G3" i="43"/>
  <c r="G63" i="73"/>
  <c r="G142" i="90"/>
  <c r="G22" i="73"/>
  <c r="G46" i="49"/>
  <c r="P13" i="41"/>
  <c r="R13" i="41" s="1"/>
  <c r="G130" i="49"/>
  <c r="G7" i="47"/>
  <c r="G4" i="26"/>
  <c r="G52" i="12"/>
  <c r="U2" i="177"/>
  <c r="T8" i="16"/>
  <c r="U3" i="70"/>
  <c r="U7" i="198"/>
  <c r="G15" i="196"/>
  <c r="G15" i="193"/>
  <c r="G68" i="196"/>
  <c r="G40" i="193"/>
  <c r="G39" i="193"/>
  <c r="G98" i="196"/>
  <c r="R13" i="194"/>
  <c r="G2" i="185"/>
  <c r="G4" i="180"/>
  <c r="G7" i="180"/>
  <c r="G126" i="170"/>
  <c r="G122" i="170"/>
  <c r="G118" i="170"/>
  <c r="G109" i="170"/>
  <c r="G101" i="170"/>
  <c r="G93" i="170"/>
  <c r="G85" i="170"/>
  <c r="G77" i="170"/>
  <c r="G69" i="170"/>
  <c r="G61" i="170"/>
  <c r="G53" i="170"/>
  <c r="G45" i="170"/>
  <c r="G37" i="170"/>
  <c r="G29" i="170"/>
  <c r="G26" i="170"/>
  <c r="G114" i="170"/>
  <c r="G106" i="170"/>
  <c r="G98" i="170"/>
  <c r="G90" i="170"/>
  <c r="G82" i="170"/>
  <c r="G74" i="170"/>
  <c r="G66" i="170"/>
  <c r="G58" i="170"/>
  <c r="G50" i="170"/>
  <c r="G42" i="170"/>
  <c r="G34" i="170"/>
  <c r="G23" i="170"/>
  <c r="G15" i="170"/>
  <c r="G7" i="170"/>
  <c r="G130" i="170"/>
  <c r="G125" i="170"/>
  <c r="G121" i="170"/>
  <c r="G117" i="170"/>
  <c r="G28" i="170"/>
  <c r="G128" i="170"/>
  <c r="G124" i="170"/>
  <c r="G120" i="170"/>
  <c r="G116" i="170"/>
  <c r="G107" i="170"/>
  <c r="G75" i="170"/>
  <c r="G43" i="170"/>
  <c r="G18" i="170"/>
  <c r="G8" i="170"/>
  <c r="G119" i="170"/>
  <c r="G110" i="170"/>
  <c r="G78" i="170"/>
  <c r="G46" i="170"/>
  <c r="G99" i="170"/>
  <c r="G67" i="170"/>
  <c r="G35" i="170"/>
  <c r="G24" i="170"/>
  <c r="G102" i="170"/>
  <c r="G70" i="170"/>
  <c r="G38" i="170"/>
  <c r="G27" i="170"/>
  <c r="G10" i="170"/>
  <c r="G3" i="170"/>
  <c r="G123" i="170"/>
  <c r="G91" i="170"/>
  <c r="G59" i="170"/>
  <c r="G127" i="170"/>
  <c r="G115" i="170"/>
  <c r="G83" i="170"/>
  <c r="G16" i="170"/>
  <c r="G51" i="170"/>
  <c r="G10" i="176"/>
  <c r="G103" i="170"/>
  <c r="G21" i="170"/>
  <c r="G63" i="170"/>
  <c r="G84" i="170"/>
  <c r="G104" i="170"/>
  <c r="G22" i="170"/>
  <c r="G206" i="168"/>
  <c r="G266" i="168"/>
  <c r="G138" i="168"/>
  <c r="G102" i="168"/>
  <c r="G41" i="170"/>
  <c r="G169" i="168"/>
  <c r="G41" i="168"/>
  <c r="G87" i="170"/>
  <c r="G94" i="168"/>
  <c r="G257" i="168"/>
  <c r="G129" i="168"/>
  <c r="G105" i="170"/>
  <c r="G242" i="168"/>
  <c r="G114" i="168"/>
  <c r="G12" i="169"/>
  <c r="G127" i="168"/>
  <c r="G8" i="156"/>
  <c r="G2" i="156"/>
  <c r="G17" i="156"/>
  <c r="G15" i="156"/>
  <c r="G7" i="156"/>
  <c r="G5" i="156"/>
  <c r="G11" i="156"/>
  <c r="G14" i="156"/>
  <c r="G6" i="156"/>
  <c r="G69" i="155"/>
  <c r="G17" i="168"/>
  <c r="G10" i="156"/>
  <c r="G94" i="170"/>
  <c r="G199" i="168"/>
  <c r="G7" i="157"/>
  <c r="G12" i="148"/>
  <c r="G2" i="152"/>
  <c r="G20" i="155"/>
  <c r="G5" i="150"/>
  <c r="G3" i="150"/>
  <c r="G5" i="142"/>
  <c r="G3" i="142"/>
  <c r="G11" i="155"/>
  <c r="G55" i="155"/>
  <c r="G29" i="148"/>
  <c r="P14" i="145"/>
  <c r="R14" i="145" s="1"/>
  <c r="W14" i="145"/>
  <c r="G15" i="166"/>
  <c r="R8" i="141"/>
  <c r="G84" i="155"/>
  <c r="G6" i="146"/>
  <c r="G3" i="131"/>
  <c r="G19" i="129"/>
  <c r="G7" i="145"/>
  <c r="G3" i="137"/>
  <c r="G54" i="129"/>
  <c r="G11" i="131"/>
  <c r="G3" i="149"/>
  <c r="G26" i="137"/>
  <c r="G60" i="129"/>
  <c r="G255" i="168"/>
  <c r="G59" i="129"/>
  <c r="U9" i="128"/>
  <c r="R14" i="125"/>
  <c r="G11" i="163"/>
  <c r="G10" i="163"/>
  <c r="G14" i="163"/>
  <c r="G6" i="163"/>
  <c r="G4" i="163"/>
  <c r="G3" i="163"/>
  <c r="G9" i="163"/>
  <c r="G8" i="121"/>
  <c r="G20" i="116"/>
  <c r="S23" i="116"/>
  <c r="Y23" i="116"/>
  <c r="W36" i="120"/>
  <c r="P36" i="120"/>
  <c r="G3" i="120"/>
  <c r="X72" i="119"/>
  <c r="S72" i="119"/>
  <c r="U72" i="119" s="1"/>
  <c r="G138" i="113"/>
  <c r="G27" i="113"/>
  <c r="G143" i="113"/>
  <c r="P8" i="112"/>
  <c r="R8" i="112" s="1"/>
  <c r="W8" i="112"/>
  <c r="G7" i="116"/>
  <c r="G29" i="113"/>
  <c r="Q36" i="120"/>
  <c r="R17" i="114"/>
  <c r="G11" i="120"/>
  <c r="G87" i="113"/>
  <c r="G72" i="108"/>
  <c r="G2" i="104"/>
  <c r="G4" i="104"/>
  <c r="Y61" i="102"/>
  <c r="S61" i="102"/>
  <c r="G121" i="92"/>
  <c r="G23" i="113"/>
  <c r="G3" i="100"/>
  <c r="G14" i="97"/>
  <c r="V17" i="109"/>
  <c r="G6" i="100"/>
  <c r="G71" i="92"/>
  <c r="G48" i="113"/>
  <c r="G40" i="102"/>
  <c r="G113" i="92"/>
  <c r="G40" i="113"/>
  <c r="G9" i="108"/>
  <c r="G38" i="102"/>
  <c r="G6" i="97"/>
  <c r="G126" i="92"/>
  <c r="G104" i="113"/>
  <c r="G58" i="108"/>
  <c r="G29" i="107"/>
  <c r="G5" i="104"/>
  <c r="G155" i="92"/>
  <c r="G144" i="113"/>
  <c r="X125" i="108"/>
  <c r="G56" i="92"/>
  <c r="G105" i="90"/>
  <c r="S90" i="107"/>
  <c r="U90" i="107" s="1"/>
  <c r="G5" i="97"/>
  <c r="G34" i="92"/>
  <c r="G62" i="90"/>
  <c r="R90" i="107"/>
  <c r="G169" i="92"/>
  <c r="G161" i="90"/>
  <c r="G87" i="108"/>
  <c r="G50" i="107"/>
  <c r="G142" i="92"/>
  <c r="G118" i="90"/>
  <c r="Y70" i="110"/>
  <c r="S70" i="110"/>
  <c r="U70" i="110" s="1"/>
  <c r="G57" i="90"/>
  <c r="G63" i="119"/>
  <c r="G11" i="107"/>
  <c r="G75" i="92"/>
  <c r="G84" i="90"/>
  <c r="G63" i="92"/>
  <c r="G21" i="82"/>
  <c r="G62" i="73"/>
  <c r="G133" i="92"/>
  <c r="G59" i="90"/>
  <c r="G4" i="73"/>
  <c r="G23" i="68"/>
  <c r="G15" i="68"/>
  <c r="G9" i="68"/>
  <c r="G28" i="68"/>
  <c r="G20" i="68"/>
  <c r="G12" i="68"/>
  <c r="G10" i="68"/>
  <c r="G2" i="68"/>
  <c r="G32" i="68"/>
  <c r="G8" i="68"/>
  <c r="G18" i="68"/>
  <c r="G11" i="68"/>
  <c r="G6" i="68"/>
  <c r="G24" i="68"/>
  <c r="G26" i="68"/>
  <c r="G16" i="68"/>
  <c r="G30" i="68"/>
  <c r="G85" i="92"/>
  <c r="G8" i="67"/>
  <c r="G20" i="107"/>
  <c r="G55" i="92"/>
  <c r="G7" i="77"/>
  <c r="G4" i="77"/>
  <c r="G10" i="77"/>
  <c r="G6" i="77"/>
  <c r="G5" i="77"/>
  <c r="G3" i="77"/>
  <c r="G19" i="73"/>
  <c r="G5" i="110"/>
  <c r="G14" i="90"/>
  <c r="G18" i="79"/>
  <c r="G173" i="76"/>
  <c r="G45" i="76"/>
  <c r="G32" i="71"/>
  <c r="G72" i="92"/>
  <c r="G213" i="76"/>
  <c r="S259" i="76"/>
  <c r="U259" i="76" s="1"/>
  <c r="G2" i="70"/>
  <c r="R5" i="62"/>
  <c r="G121" i="49"/>
  <c r="G12" i="74"/>
  <c r="G117" i="49"/>
  <c r="R5" i="44"/>
  <c r="G27" i="68"/>
  <c r="G99" i="49"/>
  <c r="G9" i="49"/>
  <c r="G46" i="74"/>
  <c r="G10" i="49"/>
  <c r="G5" i="41"/>
  <c r="G6" i="93"/>
  <c r="G149" i="76"/>
  <c r="T32" i="68"/>
  <c r="P36" i="56"/>
  <c r="R36" i="56" s="1"/>
  <c r="W36" i="56"/>
  <c r="G105" i="49"/>
  <c r="G26" i="49"/>
  <c r="G5" i="43"/>
  <c r="G123" i="90"/>
  <c r="G9" i="73"/>
  <c r="G4" i="59"/>
  <c r="G9" i="52"/>
  <c r="G4" i="49"/>
  <c r="G5" i="45"/>
  <c r="G5" i="49"/>
  <c r="G8" i="77"/>
  <c r="G27" i="71"/>
  <c r="G97" i="49"/>
  <c r="G17" i="69"/>
  <c r="Y16" i="48"/>
  <c r="G179" i="76"/>
  <c r="G35" i="90"/>
  <c r="G5" i="52"/>
  <c r="G14" i="32"/>
  <c r="G6" i="32"/>
  <c r="G11" i="32"/>
  <c r="G3" i="32"/>
  <c r="G17" i="32"/>
  <c r="G4" i="32"/>
  <c r="G15" i="32"/>
  <c r="G12" i="32"/>
  <c r="G11" i="45"/>
  <c r="R38" i="34"/>
  <c r="R19" i="30"/>
  <c r="G18" i="34"/>
  <c r="G4" i="36"/>
  <c r="G10" i="36"/>
  <c r="G8" i="36"/>
  <c r="G2" i="36"/>
  <c r="V38" i="34"/>
  <c r="G58" i="80"/>
  <c r="G8" i="30"/>
  <c r="G9" i="34"/>
  <c r="U11" i="31"/>
  <c r="G30" i="12"/>
  <c r="G3" i="30"/>
  <c r="R13" i="27"/>
  <c r="R3" i="20"/>
  <c r="U2" i="175"/>
  <c r="G6" i="36"/>
  <c r="G4" i="12"/>
  <c r="U2" i="38"/>
  <c r="T37" i="16"/>
  <c r="R2" i="138"/>
  <c r="Q54" i="16"/>
  <c r="U2" i="93"/>
  <c r="Q33" i="16"/>
  <c r="R2" i="30"/>
  <c r="R2" i="173"/>
  <c r="Q39" i="16"/>
  <c r="U3" i="92"/>
  <c r="T15" i="16"/>
  <c r="G754" i="3"/>
  <c r="G668" i="3"/>
  <c r="G594" i="3"/>
  <c r="G560" i="3"/>
  <c r="G381" i="3"/>
  <c r="G307" i="3"/>
  <c r="R3" i="163"/>
  <c r="Q36" i="16"/>
  <c r="R2" i="196"/>
  <c r="Q7" i="16"/>
  <c r="G910" i="3"/>
  <c r="G227" i="3"/>
  <c r="G192" i="3"/>
  <c r="U2" i="56"/>
  <c r="G444" i="3"/>
  <c r="G692" i="3"/>
  <c r="G331" i="3"/>
  <c r="G267" i="3"/>
  <c r="G539" i="3"/>
  <c r="G829" i="3"/>
  <c r="G524" i="3"/>
  <c r="G481" i="3"/>
  <c r="G323" i="3"/>
  <c r="R2" i="12"/>
  <c r="Q57" i="16"/>
  <c r="G175" i="3"/>
  <c r="G694" i="3"/>
  <c r="G439" i="3"/>
  <c r="G279" i="3"/>
  <c r="G111" i="3"/>
  <c r="G135" i="3"/>
  <c r="G71" i="3"/>
  <c r="G53" i="3"/>
  <c r="G49" i="3"/>
  <c r="G431" i="3"/>
  <c r="G144" i="3"/>
  <c r="G32" i="3"/>
  <c r="G518" i="3"/>
  <c r="G263" i="3"/>
  <c r="G153" i="3"/>
  <c r="P10" i="183"/>
  <c r="R10" i="183" s="1"/>
  <c r="W10" i="183"/>
  <c r="G12" i="174"/>
  <c r="G10" i="174"/>
  <c r="G5" i="174"/>
  <c r="G4" i="174"/>
  <c r="G2" i="174"/>
  <c r="G13" i="173"/>
  <c r="G5" i="173"/>
  <c r="G9" i="173"/>
  <c r="G15" i="173"/>
  <c r="G12" i="173"/>
  <c r="G7" i="173"/>
  <c r="G2" i="173"/>
  <c r="G10" i="173"/>
  <c r="G4" i="173"/>
  <c r="P17" i="161"/>
  <c r="R17" i="161" s="1"/>
  <c r="W17" i="161"/>
  <c r="G13" i="143"/>
  <c r="G19" i="143"/>
  <c r="G2" i="143"/>
  <c r="G16" i="143"/>
  <c r="G9" i="143"/>
  <c r="G11" i="143"/>
  <c r="G5" i="143"/>
  <c r="G192" i="90"/>
  <c r="G188" i="90"/>
  <c r="G184" i="90"/>
  <c r="G180" i="90"/>
  <c r="G176" i="90"/>
  <c r="G170" i="90"/>
  <c r="G162" i="90"/>
  <c r="G154" i="90"/>
  <c r="G146" i="90"/>
  <c r="G138" i="90"/>
  <c r="G130" i="90"/>
  <c r="G122" i="90"/>
  <c r="G114" i="90"/>
  <c r="G106" i="90"/>
  <c r="G98" i="90"/>
  <c r="G90" i="90"/>
  <c r="G82" i="90"/>
  <c r="G74" i="90"/>
  <c r="G66" i="90"/>
  <c r="G58" i="90"/>
  <c r="G50" i="90"/>
  <c r="G42" i="90"/>
  <c r="G34" i="90"/>
  <c r="G26" i="90"/>
  <c r="G18" i="90"/>
  <c r="G10" i="90"/>
  <c r="G2" i="90"/>
  <c r="G167" i="90"/>
  <c r="G159" i="90"/>
  <c r="G151" i="90"/>
  <c r="G143" i="90"/>
  <c r="G135" i="90"/>
  <c r="G127" i="90"/>
  <c r="G119" i="90"/>
  <c r="G111" i="90"/>
  <c r="G103" i="90"/>
  <c r="G95" i="90"/>
  <c r="G87" i="90"/>
  <c r="G79" i="90"/>
  <c r="G71" i="90"/>
  <c r="G63" i="90"/>
  <c r="G55" i="90"/>
  <c r="G47" i="90"/>
  <c r="G39" i="90"/>
  <c r="G31" i="90"/>
  <c r="G23" i="90"/>
  <c r="G15" i="90"/>
  <c r="G7" i="90"/>
  <c r="G3" i="90"/>
  <c r="G191" i="90"/>
  <c r="G187" i="90"/>
  <c r="G183" i="90"/>
  <c r="G179" i="90"/>
  <c r="G175" i="90"/>
  <c r="G190" i="90"/>
  <c r="G186" i="90"/>
  <c r="G182" i="90"/>
  <c r="G178" i="90"/>
  <c r="G173" i="90"/>
  <c r="G165" i="90"/>
  <c r="G157" i="90"/>
  <c r="G149" i="90"/>
  <c r="G141" i="90"/>
  <c r="G133" i="90"/>
  <c r="G125" i="90"/>
  <c r="G117" i="90"/>
  <c r="G109" i="90"/>
  <c r="G101" i="90"/>
  <c r="G93" i="90"/>
  <c r="G85" i="90"/>
  <c r="G77" i="90"/>
  <c r="G69" i="90"/>
  <c r="G61" i="90"/>
  <c r="G53" i="90"/>
  <c r="G45" i="90"/>
  <c r="G37" i="90"/>
  <c r="G29" i="90"/>
  <c r="G21" i="90"/>
  <c r="G144" i="90"/>
  <c r="G112" i="90"/>
  <c r="G80" i="90"/>
  <c r="G48" i="90"/>
  <c r="G16" i="90"/>
  <c r="G177" i="90"/>
  <c r="G147" i="90"/>
  <c r="G115" i="90"/>
  <c r="G83" i="90"/>
  <c r="G51" i="90"/>
  <c r="G19" i="90"/>
  <c r="G189" i="90"/>
  <c r="G168" i="90"/>
  <c r="G136" i="90"/>
  <c r="G104" i="90"/>
  <c r="G72" i="90"/>
  <c r="G40" i="90"/>
  <c r="G8" i="90"/>
  <c r="G6" i="90"/>
  <c r="G171" i="90"/>
  <c r="G139" i="90"/>
  <c r="G107" i="90"/>
  <c r="G75" i="90"/>
  <c r="G43" i="90"/>
  <c r="G11" i="90"/>
  <c r="G181" i="90"/>
  <c r="G160" i="90"/>
  <c r="G128" i="90"/>
  <c r="G96" i="90"/>
  <c r="G64" i="90"/>
  <c r="G32" i="90"/>
  <c r="G185" i="90"/>
  <c r="G56" i="90"/>
  <c r="G152" i="90"/>
  <c r="G24" i="90"/>
  <c r="G120" i="90"/>
  <c r="G88" i="90"/>
  <c r="G131" i="90"/>
  <c r="G153" i="90"/>
  <c r="S26" i="39"/>
  <c r="U26" i="39" s="1"/>
  <c r="Y26" i="39"/>
  <c r="R2" i="61"/>
  <c r="P136" i="185"/>
  <c r="R136" i="185" s="1"/>
  <c r="W136" i="185"/>
  <c r="G8" i="184"/>
  <c r="G6" i="184"/>
  <c r="G11" i="184"/>
  <c r="G7" i="184"/>
  <c r="G4" i="184"/>
  <c r="G9" i="184"/>
  <c r="G3" i="184"/>
  <c r="G5" i="176"/>
  <c r="G3" i="174"/>
  <c r="G161" i="168"/>
  <c r="G33" i="148"/>
  <c r="G26" i="148"/>
  <c r="G18" i="148"/>
  <c r="G10" i="148"/>
  <c r="G2" i="148"/>
  <c r="G23" i="148"/>
  <c r="G15" i="148"/>
  <c r="G3" i="148"/>
  <c r="G31" i="148"/>
  <c r="G24" i="148"/>
  <c r="G16" i="148"/>
  <c r="G27" i="148"/>
  <c r="G19" i="148"/>
  <c r="G11" i="148"/>
  <c r="G7" i="148"/>
  <c r="U10" i="115"/>
  <c r="G2" i="97"/>
  <c r="G11" i="98"/>
  <c r="G2" i="98"/>
  <c r="G14" i="98"/>
  <c r="G6" i="98"/>
  <c r="G9" i="98"/>
  <c r="G6" i="82"/>
  <c r="G43" i="73"/>
  <c r="G3" i="97"/>
  <c r="G146" i="49"/>
  <c r="G113" i="49"/>
  <c r="G77" i="49"/>
  <c r="G48" i="49"/>
  <c r="G20" i="49"/>
  <c r="G129" i="49"/>
  <c r="G18" i="49"/>
  <c r="G90" i="49"/>
  <c r="S17" i="32"/>
  <c r="U17" i="32" s="1"/>
  <c r="Y17" i="32"/>
  <c r="U2" i="196"/>
  <c r="T7" i="16"/>
  <c r="R2" i="131"/>
  <c r="Q32" i="16"/>
  <c r="G114" i="196"/>
  <c r="R7" i="198"/>
  <c r="U125" i="196"/>
  <c r="G8" i="193"/>
  <c r="G34" i="196"/>
  <c r="G36" i="193"/>
  <c r="X13" i="194"/>
  <c r="G24" i="193"/>
  <c r="G47" i="196"/>
  <c r="G13" i="193"/>
  <c r="G23" i="188"/>
  <c r="G15" i="188"/>
  <c r="G7" i="188"/>
  <c r="G30" i="188"/>
  <c r="G8" i="188"/>
  <c r="G20" i="188"/>
  <c r="G12" i="188"/>
  <c r="G4" i="188"/>
  <c r="G28" i="188"/>
  <c r="G16" i="188"/>
  <c r="G6" i="188"/>
  <c r="G26" i="188"/>
  <c r="G31" i="193"/>
  <c r="G18" i="188"/>
  <c r="G3" i="183"/>
  <c r="G10" i="183"/>
  <c r="G8" i="183"/>
  <c r="G128" i="185"/>
  <c r="G120" i="185"/>
  <c r="G112" i="185"/>
  <c r="G104" i="185"/>
  <c r="G96" i="185"/>
  <c r="G88" i="185"/>
  <c r="G80" i="185"/>
  <c r="G72" i="185"/>
  <c r="G64" i="185"/>
  <c r="G56" i="185"/>
  <c r="G133" i="185"/>
  <c r="G131" i="185"/>
  <c r="G123" i="185"/>
  <c r="G115" i="185"/>
  <c r="G107" i="185"/>
  <c r="G99" i="185"/>
  <c r="G91" i="185"/>
  <c r="G83" i="185"/>
  <c r="G75" i="185"/>
  <c r="G67" i="185"/>
  <c r="G59" i="185"/>
  <c r="G53" i="185"/>
  <c r="G134" i="185"/>
  <c r="G127" i="185"/>
  <c r="G95" i="185"/>
  <c r="G51" i="185"/>
  <c r="G108" i="185"/>
  <c r="G71" i="185"/>
  <c r="G39" i="185"/>
  <c r="G31" i="185"/>
  <c r="G23" i="185"/>
  <c r="G119" i="185"/>
  <c r="G46" i="185"/>
  <c r="G40" i="185"/>
  <c r="G32" i="185"/>
  <c r="G24" i="185"/>
  <c r="G16" i="185"/>
  <c r="G87" i="185"/>
  <c r="G52" i="185"/>
  <c r="G111" i="185"/>
  <c r="G63" i="185"/>
  <c r="G136" i="185"/>
  <c r="G116" i="185"/>
  <c r="G55" i="185"/>
  <c r="G45" i="185"/>
  <c r="G37" i="185"/>
  <c r="G29" i="185"/>
  <c r="G21" i="185"/>
  <c r="G7" i="185"/>
  <c r="G68" i="185"/>
  <c r="G36" i="185"/>
  <c r="G103" i="185"/>
  <c r="G79" i="185"/>
  <c r="G9" i="185"/>
  <c r="G28" i="185"/>
  <c r="G20" i="185"/>
  <c r="G13" i="185"/>
  <c r="G57" i="185"/>
  <c r="G6" i="185"/>
  <c r="G15" i="185"/>
  <c r="G4" i="185"/>
  <c r="G3" i="185"/>
  <c r="G44" i="185"/>
  <c r="S19" i="181"/>
  <c r="U19" i="181" s="1"/>
  <c r="Y19" i="181"/>
  <c r="G13" i="176"/>
  <c r="G132" i="185"/>
  <c r="G96" i="170"/>
  <c r="G4" i="170"/>
  <c r="G92" i="170"/>
  <c r="G56" i="170"/>
  <c r="G52" i="170"/>
  <c r="G97" i="170"/>
  <c r="G5" i="170"/>
  <c r="G174" i="168"/>
  <c r="G241" i="168"/>
  <c r="G113" i="168"/>
  <c r="V95" i="167"/>
  <c r="G70" i="168"/>
  <c r="G6" i="170"/>
  <c r="G162" i="168"/>
  <c r="G34" i="168"/>
  <c r="G3" i="169"/>
  <c r="G62" i="168"/>
  <c r="W8" i="165"/>
  <c r="P8" i="165"/>
  <c r="R8" i="165" s="1"/>
  <c r="G250" i="168"/>
  <c r="G122" i="168"/>
  <c r="G12" i="170"/>
  <c r="G217" i="168"/>
  <c r="G89" i="168"/>
  <c r="G214" i="168"/>
  <c r="G26" i="164"/>
  <c r="G18" i="164"/>
  <c r="G10" i="164"/>
  <c r="G2" i="164"/>
  <c r="G24" i="164"/>
  <c r="G16" i="164"/>
  <c r="G8" i="164"/>
  <c r="G30" i="164"/>
  <c r="G23" i="164"/>
  <c r="G15" i="164"/>
  <c r="G7" i="164"/>
  <c r="G4" i="164"/>
  <c r="G28" i="164"/>
  <c r="G12" i="164"/>
  <c r="G20" i="164"/>
  <c r="G119" i="168"/>
  <c r="G27" i="164"/>
  <c r="G93" i="155"/>
  <c r="G11" i="169"/>
  <c r="U95" i="167"/>
  <c r="G56" i="155"/>
  <c r="G55" i="170"/>
  <c r="G96" i="155"/>
  <c r="G86" i="170"/>
  <c r="U26" i="166"/>
  <c r="G13" i="156"/>
  <c r="P17" i="151"/>
  <c r="R17" i="151" s="1"/>
  <c r="G15" i="155"/>
  <c r="G3" i="141"/>
  <c r="G3" i="155"/>
  <c r="G14" i="148"/>
  <c r="G6" i="139"/>
  <c r="G21" i="139"/>
  <c r="G13" i="139"/>
  <c r="G7" i="139"/>
  <c r="G18" i="139"/>
  <c r="G10" i="139"/>
  <c r="G2" i="139"/>
  <c r="G19" i="139"/>
  <c r="G11" i="139"/>
  <c r="G17" i="139"/>
  <c r="G4" i="139"/>
  <c r="G22" i="139"/>
  <c r="G14" i="139"/>
  <c r="G5" i="139"/>
  <c r="G15" i="139"/>
  <c r="G76" i="155"/>
  <c r="U14" i="149"/>
  <c r="G10" i="138"/>
  <c r="G22" i="137"/>
  <c r="G14" i="137"/>
  <c r="G6" i="137"/>
  <c r="G4" i="137"/>
  <c r="G21" i="137"/>
  <c r="G13" i="137"/>
  <c r="G5" i="137"/>
  <c r="G29" i="137"/>
  <c r="G20" i="137"/>
  <c r="G12" i="137"/>
  <c r="G28" i="137"/>
  <c r="G2" i="137"/>
  <c r="G76" i="129"/>
  <c r="G15" i="129"/>
  <c r="G9" i="139"/>
  <c r="G34" i="131"/>
  <c r="G43" i="129"/>
  <c r="G19" i="137"/>
  <c r="G4" i="131"/>
  <c r="G11" i="137"/>
  <c r="G53" i="129"/>
  <c r="G247" i="168"/>
  <c r="V31" i="137"/>
  <c r="G36" i="131"/>
  <c r="G52" i="129"/>
  <c r="G36" i="123"/>
  <c r="G28" i="123"/>
  <c r="G24" i="120"/>
  <c r="G2" i="116"/>
  <c r="G127" i="113"/>
  <c r="G4" i="115"/>
  <c r="G6" i="115"/>
  <c r="G7" i="115"/>
  <c r="G5" i="115"/>
  <c r="G18" i="113"/>
  <c r="G5" i="117"/>
  <c r="G4" i="117"/>
  <c r="G7" i="117"/>
  <c r="G8" i="117"/>
  <c r="G6" i="117"/>
  <c r="G132" i="113"/>
  <c r="P23" i="116"/>
  <c r="R23" i="116" s="1"/>
  <c r="W23" i="116"/>
  <c r="G21" i="113"/>
  <c r="G148" i="113"/>
  <c r="V8" i="112"/>
  <c r="G9" i="117"/>
  <c r="G74" i="113"/>
  <c r="G47" i="108"/>
  <c r="G94" i="92"/>
  <c r="G46" i="102"/>
  <c r="P11" i="93"/>
  <c r="R11" i="93" s="1"/>
  <c r="W11" i="93"/>
  <c r="G22" i="119"/>
  <c r="G103" i="108"/>
  <c r="G174" i="92"/>
  <c r="X191" i="92"/>
  <c r="G14" i="113"/>
  <c r="G29" i="102"/>
  <c r="G5" i="94"/>
  <c r="G3" i="94"/>
  <c r="G86" i="92"/>
  <c r="G9" i="113"/>
  <c r="S125" i="108"/>
  <c r="U125" i="108" s="1"/>
  <c r="Y125" i="108"/>
  <c r="G27" i="102"/>
  <c r="X8" i="96"/>
  <c r="G99" i="92"/>
  <c r="G100" i="113"/>
  <c r="G51" i="108"/>
  <c r="G17" i="107"/>
  <c r="G145" i="92"/>
  <c r="G39" i="107"/>
  <c r="G49" i="92"/>
  <c r="G73" i="90"/>
  <c r="G100" i="108"/>
  <c r="U8" i="96"/>
  <c r="G172" i="90"/>
  <c r="G44" i="90"/>
  <c r="G19" i="82"/>
  <c r="G25" i="102"/>
  <c r="G165" i="92"/>
  <c r="G129" i="90"/>
  <c r="G68" i="108"/>
  <c r="G21" i="102"/>
  <c r="G115" i="92"/>
  <c r="G100" i="90"/>
  <c r="G3" i="96"/>
  <c r="G25" i="90"/>
  <c r="G59" i="119"/>
  <c r="G43" i="92"/>
  <c r="G70" i="90"/>
  <c r="U8" i="81"/>
  <c r="U11" i="111"/>
  <c r="G91" i="90"/>
  <c r="G51" i="73"/>
  <c r="G44" i="119"/>
  <c r="G129" i="92"/>
  <c r="G160" i="92"/>
  <c r="G28" i="90"/>
  <c r="G68" i="92"/>
  <c r="G24" i="74"/>
  <c r="G33" i="71"/>
  <c r="G6" i="92"/>
  <c r="G256" i="76"/>
  <c r="G252" i="76"/>
  <c r="G248" i="76"/>
  <c r="G245" i="76"/>
  <c r="G234" i="76"/>
  <c r="G226" i="76"/>
  <c r="G218" i="76"/>
  <c r="G210" i="76"/>
  <c r="G202" i="76"/>
  <c r="G194" i="76"/>
  <c r="G186" i="76"/>
  <c r="G178" i="76"/>
  <c r="G170" i="76"/>
  <c r="G162" i="76"/>
  <c r="G154" i="76"/>
  <c r="G146" i="76"/>
  <c r="G138" i="76"/>
  <c r="G130" i="76"/>
  <c r="G122" i="76"/>
  <c r="G114" i="76"/>
  <c r="G106" i="76"/>
  <c r="G98" i="76"/>
  <c r="G90" i="76"/>
  <c r="G82" i="76"/>
  <c r="G74" i="76"/>
  <c r="G66" i="76"/>
  <c r="G58" i="76"/>
  <c r="G50" i="76"/>
  <c r="G42" i="76"/>
  <c r="G34" i="76"/>
  <c r="G26" i="76"/>
  <c r="G18" i="76"/>
  <c r="G16" i="76"/>
  <c r="G10" i="76"/>
  <c r="G2" i="76"/>
  <c r="G242" i="76"/>
  <c r="G231" i="76"/>
  <c r="G223" i="76"/>
  <c r="G215" i="76"/>
  <c r="G207" i="76"/>
  <c r="G199" i="76"/>
  <c r="G191" i="76"/>
  <c r="G183" i="76"/>
  <c r="G175" i="76"/>
  <c r="G167" i="76"/>
  <c r="G159" i="76"/>
  <c r="G151" i="76"/>
  <c r="G143" i="76"/>
  <c r="G135" i="76"/>
  <c r="G127" i="76"/>
  <c r="G119" i="76"/>
  <c r="G111" i="76"/>
  <c r="G103" i="76"/>
  <c r="G95" i="76"/>
  <c r="G87" i="76"/>
  <c r="G79" i="76"/>
  <c r="G71" i="76"/>
  <c r="G63" i="76"/>
  <c r="G55" i="76"/>
  <c r="G47" i="76"/>
  <c r="G39" i="76"/>
  <c r="G31" i="76"/>
  <c r="G23" i="76"/>
  <c r="G11" i="76"/>
  <c r="G3" i="76"/>
  <c r="G255" i="76"/>
  <c r="G251" i="76"/>
  <c r="G247" i="76"/>
  <c r="G239" i="76"/>
  <c r="G236" i="76"/>
  <c r="G228" i="76"/>
  <c r="G220" i="76"/>
  <c r="G212" i="76"/>
  <c r="G204" i="76"/>
  <c r="G196" i="76"/>
  <c r="G188" i="76"/>
  <c r="G180" i="76"/>
  <c r="G172" i="76"/>
  <c r="G164" i="76"/>
  <c r="G156" i="76"/>
  <c r="G148" i="76"/>
  <c r="G140" i="76"/>
  <c r="G132" i="76"/>
  <c r="G124" i="76"/>
  <c r="G116" i="76"/>
  <c r="G108" i="76"/>
  <c r="G100" i="76"/>
  <c r="G92" i="76"/>
  <c r="G84" i="76"/>
  <c r="G76" i="76"/>
  <c r="G68" i="76"/>
  <c r="G60" i="76"/>
  <c r="G52" i="76"/>
  <c r="G44" i="76"/>
  <c r="G36" i="76"/>
  <c r="G28" i="76"/>
  <c r="G20" i="76"/>
  <c r="G12" i="76"/>
  <c r="G4" i="76"/>
  <c r="G244" i="76"/>
  <c r="G233" i="76"/>
  <c r="G225" i="76"/>
  <c r="G217" i="76"/>
  <c r="G209" i="76"/>
  <c r="G201" i="76"/>
  <c r="G193" i="76"/>
  <c r="G185" i="76"/>
  <c r="G177" i="76"/>
  <c r="G169" i="76"/>
  <c r="G161" i="76"/>
  <c r="G153" i="76"/>
  <c r="G145" i="76"/>
  <c r="G137" i="76"/>
  <c r="G129" i="76"/>
  <c r="G121" i="76"/>
  <c r="G113" i="76"/>
  <c r="G105" i="76"/>
  <c r="G97" i="76"/>
  <c r="G89" i="76"/>
  <c r="G81" i="76"/>
  <c r="G73" i="76"/>
  <c r="G65" i="76"/>
  <c r="G57" i="76"/>
  <c r="G49" i="76"/>
  <c r="G41" i="76"/>
  <c r="G33" i="76"/>
  <c r="G25" i="76"/>
  <c r="G17" i="76"/>
  <c r="G13" i="76"/>
  <c r="G5" i="76"/>
  <c r="G259" i="76"/>
  <c r="G254" i="76"/>
  <c r="G250" i="76"/>
  <c r="G208" i="76"/>
  <c r="G176" i="76"/>
  <c r="G144" i="76"/>
  <c r="G112" i="76"/>
  <c r="G80" i="76"/>
  <c r="G48" i="76"/>
  <c r="G253" i="76"/>
  <c r="G232" i="76"/>
  <c r="G200" i="76"/>
  <c r="G168" i="76"/>
  <c r="G136" i="76"/>
  <c r="G104" i="76"/>
  <c r="G72" i="76"/>
  <c r="G40" i="76"/>
  <c r="G243" i="76"/>
  <c r="G224" i="76"/>
  <c r="G192" i="76"/>
  <c r="G160" i="76"/>
  <c r="G128" i="76"/>
  <c r="G96" i="76"/>
  <c r="G64" i="76"/>
  <c r="G32" i="76"/>
  <c r="G249" i="76"/>
  <c r="G219" i="76"/>
  <c r="G187" i="76"/>
  <c r="G155" i="76"/>
  <c r="G123" i="76"/>
  <c r="G91" i="76"/>
  <c r="G59" i="76"/>
  <c r="G27" i="76"/>
  <c r="G15" i="76"/>
  <c r="G257" i="76"/>
  <c r="G131" i="76"/>
  <c r="G216" i="76"/>
  <c r="G88" i="76"/>
  <c r="G227" i="76"/>
  <c r="G99" i="76"/>
  <c r="G7" i="76"/>
  <c r="G184" i="76"/>
  <c r="G56" i="76"/>
  <c r="G152" i="76"/>
  <c r="G24" i="76"/>
  <c r="G8" i="76"/>
  <c r="G120" i="76"/>
  <c r="G163" i="76"/>
  <c r="G35" i="76"/>
  <c r="T19" i="69"/>
  <c r="G4" i="90"/>
  <c r="G166" i="76"/>
  <c r="G38" i="76"/>
  <c r="G21" i="71"/>
  <c r="G174" i="76"/>
  <c r="Y19" i="69"/>
  <c r="S19" i="69"/>
  <c r="U19" i="69" s="1"/>
  <c r="G4" i="52"/>
  <c r="G114" i="49"/>
  <c r="G5" i="47"/>
  <c r="G38" i="92"/>
  <c r="G10" i="63"/>
  <c r="G85" i="49"/>
  <c r="G2" i="43"/>
  <c r="G235" i="76"/>
  <c r="G19" i="68"/>
  <c r="G6" i="50"/>
  <c r="G81" i="49"/>
  <c r="G8" i="49"/>
  <c r="G38" i="74"/>
  <c r="G163" i="90"/>
  <c r="G110" i="76"/>
  <c r="G98" i="49"/>
  <c r="G17" i="49"/>
  <c r="G99" i="90"/>
  <c r="P6" i="59"/>
  <c r="R6" i="59" s="1"/>
  <c r="W6" i="59"/>
  <c r="G14" i="82"/>
  <c r="S56" i="71"/>
  <c r="U56" i="71" s="1"/>
  <c r="G125" i="49"/>
  <c r="G117" i="76"/>
  <c r="G30" i="49"/>
  <c r="G9" i="39"/>
  <c r="G26" i="39"/>
  <c r="G17" i="39"/>
  <c r="G20" i="39"/>
  <c r="G11" i="39"/>
  <c r="G21" i="39"/>
  <c r="G7" i="39"/>
  <c r="G3" i="39"/>
  <c r="G6" i="39"/>
  <c r="U16" i="48"/>
  <c r="G171" i="76"/>
  <c r="G67" i="76"/>
  <c r="G135" i="49"/>
  <c r="G154" i="49"/>
  <c r="G44" i="40"/>
  <c r="G36" i="40"/>
  <c r="G28" i="40"/>
  <c r="G20" i="40"/>
  <c r="G12" i="40"/>
  <c r="G53" i="40"/>
  <c r="G38" i="40"/>
  <c r="G18" i="40"/>
  <c r="G21" i="40"/>
  <c r="G14" i="40"/>
  <c r="G6" i="40"/>
  <c r="G34" i="40"/>
  <c r="G30" i="40"/>
  <c r="G10" i="40"/>
  <c r="G50" i="40"/>
  <c r="G13" i="40"/>
  <c r="G46" i="40"/>
  <c r="G26" i="40"/>
  <c r="G4" i="40"/>
  <c r="G42" i="40"/>
  <c r="G22" i="40"/>
  <c r="G29" i="40"/>
  <c r="G10" i="25"/>
  <c r="G7" i="25"/>
  <c r="G13" i="25"/>
  <c r="G11" i="25"/>
  <c r="G3" i="25"/>
  <c r="G3" i="21"/>
  <c r="G71" i="49"/>
  <c r="G7" i="34"/>
  <c r="G10" i="23"/>
  <c r="G7" i="32"/>
  <c r="G46" i="12"/>
  <c r="G122" i="49"/>
  <c r="G8" i="38"/>
  <c r="Y38" i="34"/>
  <c r="S38" i="34"/>
  <c r="U38" i="34" s="1"/>
  <c r="G26" i="12"/>
  <c r="G3" i="38"/>
  <c r="R5" i="107"/>
  <c r="Q9" i="16"/>
  <c r="R12" i="167"/>
  <c r="Q49" i="16"/>
  <c r="T43" i="35"/>
  <c r="U43" i="35" s="1"/>
  <c r="S19" i="30"/>
  <c r="U19" i="30" s="1"/>
  <c r="R2" i="194"/>
  <c r="Q55" i="16"/>
  <c r="U2" i="61"/>
  <c r="R2" i="120"/>
  <c r="Q43" i="16"/>
  <c r="U2" i="39"/>
  <c r="U2" i="60"/>
  <c r="R2" i="50"/>
  <c r="Q14" i="16"/>
  <c r="U2" i="128"/>
  <c r="T38" i="16"/>
  <c r="R2" i="141"/>
  <c r="G626" i="3"/>
  <c r="G592" i="3"/>
  <c r="G477" i="3"/>
  <c r="G413" i="3"/>
  <c r="G339" i="3"/>
  <c r="G305" i="3"/>
  <c r="G285" i="3"/>
  <c r="G251" i="3"/>
  <c r="R4" i="148"/>
  <c r="Q42" i="16"/>
  <c r="G907" i="3"/>
  <c r="G739" i="3"/>
  <c r="G611" i="3"/>
  <c r="G484" i="3"/>
  <c r="G356" i="3"/>
  <c r="G324" i="3"/>
  <c r="U2" i="123"/>
  <c r="R2" i="193"/>
  <c r="Q19" i="16"/>
  <c r="G507" i="3"/>
  <c r="G380" i="3"/>
  <c r="G284" i="3"/>
  <c r="G983" i="3"/>
  <c r="G724" i="3"/>
  <c r="G341" i="3"/>
  <c r="G329" i="3"/>
  <c r="G299" i="3"/>
  <c r="G277" i="3"/>
  <c r="G265" i="3"/>
  <c r="U3" i="177"/>
  <c r="G1021" i="3"/>
  <c r="G861" i="3"/>
  <c r="G770" i="3"/>
  <c r="G556" i="3"/>
  <c r="G397" i="3"/>
  <c r="G387" i="3"/>
  <c r="G355" i="3"/>
  <c r="G321" i="3"/>
  <c r="R2" i="174"/>
  <c r="Q22" i="16"/>
  <c r="G646" i="3"/>
  <c r="G199" i="3"/>
  <c r="G127" i="3"/>
  <c r="G566" i="3"/>
  <c r="G105" i="3"/>
  <c r="G129" i="3"/>
  <c r="G65" i="3"/>
  <c r="G21" i="3"/>
  <c r="G718" i="3"/>
  <c r="G423" i="3"/>
  <c r="G128" i="3"/>
  <c r="G25" i="3"/>
  <c r="G463" i="3"/>
  <c r="G165" i="3"/>
  <c r="G85" i="3"/>
  <c r="G73" i="3"/>
  <c r="G6" i="189"/>
  <c r="G8" i="189"/>
  <c r="G5" i="189"/>
  <c r="G13" i="189"/>
  <c r="P15" i="173"/>
  <c r="R15" i="173" s="1"/>
  <c r="W15" i="173"/>
  <c r="R302" i="168"/>
  <c r="G8" i="157"/>
  <c r="U33" i="148"/>
  <c r="Y17" i="98"/>
  <c r="S17" i="98"/>
  <c r="G14" i="47"/>
  <c r="G17" i="47"/>
  <c r="G12" i="47"/>
  <c r="G6" i="47"/>
  <c r="G13" i="47"/>
  <c r="G10" i="47"/>
  <c r="G2" i="47"/>
  <c r="G6" i="24"/>
  <c r="G4" i="24"/>
  <c r="U2" i="80"/>
  <c r="T29" i="16"/>
  <c r="G42" i="168"/>
  <c r="G201" i="168"/>
  <c r="G146" i="168"/>
  <c r="T8" i="165"/>
  <c r="U8" i="165" s="1"/>
  <c r="G31" i="168"/>
  <c r="G25" i="148"/>
  <c r="G48" i="102"/>
  <c r="G169" i="90"/>
  <c r="G11" i="82"/>
  <c r="G5" i="90"/>
  <c r="G69" i="73"/>
  <c r="G61" i="73"/>
  <c r="G53" i="73"/>
  <c r="G45" i="73"/>
  <c r="G37" i="73"/>
  <c r="G29" i="73"/>
  <c r="G21" i="73"/>
  <c r="G13" i="73"/>
  <c r="G7" i="73"/>
  <c r="G76" i="73"/>
  <c r="G74" i="73"/>
  <c r="G72" i="73"/>
  <c r="G64" i="73"/>
  <c r="G56" i="73"/>
  <c r="G48" i="73"/>
  <c r="G40" i="73"/>
  <c r="G32" i="73"/>
  <c r="G24" i="73"/>
  <c r="G16" i="73"/>
  <c r="G2" i="73"/>
  <c r="G60" i="73"/>
  <c r="G18" i="73"/>
  <c r="G73" i="73"/>
  <c r="G58" i="73"/>
  <c r="G36" i="73"/>
  <c r="G75" i="73"/>
  <c r="G34" i="73"/>
  <c r="G25" i="73"/>
  <c r="G12" i="73"/>
  <c r="G52" i="73"/>
  <c r="G10" i="73"/>
  <c r="G50" i="73"/>
  <c r="G28" i="73"/>
  <c r="G6" i="73"/>
  <c r="G42" i="73"/>
  <c r="G33" i="73"/>
  <c r="G20" i="73"/>
  <c r="G57" i="73"/>
  <c r="G68" i="73"/>
  <c r="G66" i="73"/>
  <c r="G26" i="73"/>
  <c r="G78" i="73"/>
  <c r="G44" i="73"/>
  <c r="U34" i="79"/>
  <c r="G47" i="73"/>
  <c r="G11" i="67"/>
  <c r="G92" i="90"/>
  <c r="G5" i="44"/>
  <c r="G3" i="44"/>
  <c r="P113" i="38"/>
  <c r="R113" i="38" s="1"/>
  <c r="G52" i="49"/>
  <c r="S113" i="38"/>
  <c r="U113" i="38" s="1"/>
  <c r="Y113" i="38"/>
  <c r="G65" i="12"/>
  <c r="G60" i="12"/>
  <c r="G57" i="12"/>
  <c r="G49" i="12"/>
  <c r="G41" i="12"/>
  <c r="G33" i="12"/>
  <c r="G25" i="12"/>
  <c r="G17" i="12"/>
  <c r="G7" i="12"/>
  <c r="G63" i="12"/>
  <c r="G9" i="12"/>
  <c r="G56" i="12"/>
  <c r="G48" i="12"/>
  <c r="G40" i="12"/>
  <c r="G32" i="12"/>
  <c r="G24" i="12"/>
  <c r="G16" i="12"/>
  <c r="G12" i="12"/>
  <c r="G10" i="12"/>
  <c r="G2" i="12"/>
  <c r="G62" i="12"/>
  <c r="G53" i="12"/>
  <c r="G45" i="12"/>
  <c r="G37" i="12"/>
  <c r="G29" i="12"/>
  <c r="G21" i="12"/>
  <c r="G3" i="12"/>
  <c r="G39" i="12"/>
  <c r="G11" i="12"/>
  <c r="G31" i="12"/>
  <c r="G13" i="12"/>
  <c r="G23" i="12"/>
  <c r="G61" i="12"/>
  <c r="G15" i="12"/>
  <c r="G47" i="12"/>
  <c r="G5" i="12"/>
  <c r="G55" i="12"/>
  <c r="T52" i="16"/>
  <c r="U2" i="21"/>
  <c r="R2" i="175"/>
  <c r="R6" i="138"/>
  <c r="Q10" i="16"/>
  <c r="G25" i="196"/>
  <c r="G53" i="196"/>
  <c r="G63" i="196"/>
  <c r="G120" i="196"/>
  <c r="G106" i="196"/>
  <c r="G112" i="196"/>
  <c r="G122" i="196"/>
  <c r="V125" i="196"/>
  <c r="G26" i="196"/>
  <c r="G25" i="193"/>
  <c r="G32" i="193"/>
  <c r="P17" i="190"/>
  <c r="R17" i="190" s="1"/>
  <c r="W17" i="190"/>
  <c r="G20" i="193"/>
  <c r="Y30" i="188"/>
  <c r="S30" i="188"/>
  <c r="U30" i="188" s="1"/>
  <c r="W9" i="187"/>
  <c r="G10" i="189"/>
  <c r="G22" i="188"/>
  <c r="G14" i="188"/>
  <c r="U17" i="190"/>
  <c r="G8" i="185"/>
  <c r="G100" i="185"/>
  <c r="G13" i="180"/>
  <c r="G41" i="185"/>
  <c r="G10" i="180"/>
  <c r="G9" i="176"/>
  <c r="P77" i="172"/>
  <c r="R77" i="172" s="1"/>
  <c r="W77" i="172"/>
  <c r="G124" i="185"/>
  <c r="G100" i="170"/>
  <c r="G89" i="170"/>
  <c r="G60" i="170"/>
  <c r="R23" i="171"/>
  <c r="G49" i="170"/>
  <c r="G13" i="170"/>
  <c r="G79" i="170"/>
  <c r="G142" i="168"/>
  <c r="G112" i="170"/>
  <c r="G234" i="168"/>
  <c r="G106" i="168"/>
  <c r="G38" i="168"/>
  <c r="G265" i="168"/>
  <c r="G137" i="168"/>
  <c r="G16" i="168"/>
  <c r="G30" i="168"/>
  <c r="G225" i="168"/>
  <c r="G97" i="168"/>
  <c r="G7" i="169"/>
  <c r="G210" i="168"/>
  <c r="G82" i="168"/>
  <c r="G246" i="168"/>
  <c r="G3" i="157"/>
  <c r="G159" i="168"/>
  <c r="G111" i="168"/>
  <c r="G25" i="164"/>
  <c r="G150" i="168"/>
  <c r="G19" i="164"/>
  <c r="G80" i="155"/>
  <c r="G4" i="169"/>
  <c r="G11" i="164"/>
  <c r="G39" i="155"/>
  <c r="G19" i="170"/>
  <c r="G79" i="155"/>
  <c r="G62" i="170"/>
  <c r="G9" i="156"/>
  <c r="G8" i="155"/>
  <c r="G30" i="148"/>
  <c r="G14" i="143"/>
  <c r="Y12" i="138"/>
  <c r="S12" i="138"/>
  <c r="U12" i="138" s="1"/>
  <c r="G7" i="146"/>
  <c r="G10" i="146"/>
  <c r="G5" i="146"/>
  <c r="G3" i="146"/>
  <c r="G3" i="139"/>
  <c r="G72" i="155"/>
  <c r="G6" i="143"/>
  <c r="G8" i="138"/>
  <c r="G69" i="129"/>
  <c r="S86" i="129"/>
  <c r="U86" i="129" s="1"/>
  <c r="Y86" i="129"/>
  <c r="G28" i="148"/>
  <c r="G19" i="131"/>
  <c r="G36" i="129"/>
  <c r="G15" i="137"/>
  <c r="G7" i="137"/>
  <c r="G33" i="131"/>
  <c r="G46" i="129"/>
  <c r="G4" i="152"/>
  <c r="G40" i="131"/>
  <c r="G32" i="131"/>
  <c r="G45" i="129"/>
  <c r="S40" i="123"/>
  <c r="U40" i="123" s="1"/>
  <c r="Y40" i="123"/>
  <c r="T14" i="125"/>
  <c r="U14" i="125" s="1"/>
  <c r="G2" i="121"/>
  <c r="G6" i="121"/>
  <c r="G13" i="121"/>
  <c r="G5" i="121"/>
  <c r="G14" i="121"/>
  <c r="G17" i="121"/>
  <c r="G18" i="120"/>
  <c r="G8" i="116"/>
  <c r="G6" i="116"/>
  <c r="G4" i="116"/>
  <c r="G14" i="116"/>
  <c r="G16" i="116"/>
  <c r="G12" i="116"/>
  <c r="G15" i="116"/>
  <c r="G21" i="116"/>
  <c r="G9" i="116"/>
  <c r="G11" i="116"/>
  <c r="G27" i="120"/>
  <c r="T27" i="122"/>
  <c r="U27" i="122" s="1"/>
  <c r="Y27" i="122"/>
  <c r="G9" i="123"/>
  <c r="G24" i="123"/>
  <c r="G150" i="113"/>
  <c r="G142" i="113"/>
  <c r="G134" i="113"/>
  <c r="G126" i="113"/>
  <c r="G118" i="113"/>
  <c r="G110" i="113"/>
  <c r="G102" i="113"/>
  <c r="G94" i="113"/>
  <c r="G86" i="113"/>
  <c r="G81" i="113"/>
  <c r="G73" i="113"/>
  <c r="G145" i="113"/>
  <c r="G137" i="113"/>
  <c r="G129" i="113"/>
  <c r="G121" i="113"/>
  <c r="G113" i="113"/>
  <c r="G105" i="113"/>
  <c r="G97" i="113"/>
  <c r="G89" i="113"/>
  <c r="G84" i="113"/>
  <c r="G76" i="113"/>
  <c r="G68" i="113"/>
  <c r="G60" i="113"/>
  <c r="G52" i="113"/>
  <c r="G44" i="113"/>
  <c r="G36" i="113"/>
  <c r="G24" i="113"/>
  <c r="G10" i="113"/>
  <c r="G153" i="113"/>
  <c r="G19" i="113"/>
  <c r="G11" i="113"/>
  <c r="G5" i="113"/>
  <c r="G147" i="113"/>
  <c r="G136" i="113"/>
  <c r="G125" i="113"/>
  <c r="G70" i="113"/>
  <c r="G33" i="113"/>
  <c r="G32" i="113"/>
  <c r="G123" i="113"/>
  <c r="G46" i="113"/>
  <c r="G141" i="113"/>
  <c r="G99" i="113"/>
  <c r="G64" i="113"/>
  <c r="G139" i="113"/>
  <c r="G62" i="113"/>
  <c r="G16" i="113"/>
  <c r="G4" i="113"/>
  <c r="G115" i="113"/>
  <c r="G38" i="113"/>
  <c r="G28" i="113"/>
  <c r="G149" i="113"/>
  <c r="G107" i="113"/>
  <c r="G96" i="113"/>
  <c r="G85" i="113"/>
  <c r="G83" i="113"/>
  <c r="G72" i="113"/>
  <c r="G34" i="113"/>
  <c r="G131" i="113"/>
  <c r="G8" i="113"/>
  <c r="G56" i="113"/>
  <c r="G109" i="113"/>
  <c r="G54" i="113"/>
  <c r="G91" i="113"/>
  <c r="G3" i="113"/>
  <c r="G133" i="113"/>
  <c r="G78" i="113"/>
  <c r="G43" i="113"/>
  <c r="G13" i="113"/>
  <c r="G120" i="113"/>
  <c r="G7" i="113"/>
  <c r="P72" i="119"/>
  <c r="R72" i="119" s="1"/>
  <c r="G106" i="113"/>
  <c r="G7" i="101"/>
  <c r="G2" i="101"/>
  <c r="G8" i="101"/>
  <c r="G6" i="101"/>
  <c r="G3" i="116"/>
  <c r="G63" i="113"/>
  <c r="G15" i="98"/>
  <c r="S191" i="92"/>
  <c r="Y191" i="92"/>
  <c r="S8" i="112"/>
  <c r="U8" i="112" s="1"/>
  <c r="Y8" i="112"/>
  <c r="G35" i="102"/>
  <c r="G7" i="100"/>
  <c r="G2" i="100"/>
  <c r="T23" i="116"/>
  <c r="S11" i="100"/>
  <c r="U11" i="100" s="1"/>
  <c r="G2" i="113"/>
  <c r="G9" i="100"/>
  <c r="G123" i="108"/>
  <c r="G119" i="108"/>
  <c r="G115" i="108"/>
  <c r="G107" i="108"/>
  <c r="G99" i="108"/>
  <c r="G91" i="108"/>
  <c r="G83" i="108"/>
  <c r="G75" i="108"/>
  <c r="G67" i="108"/>
  <c r="G43" i="108"/>
  <c r="G35" i="108"/>
  <c r="G27" i="108"/>
  <c r="G21" i="108"/>
  <c r="G13" i="108"/>
  <c r="G5" i="108"/>
  <c r="G118" i="108"/>
  <c r="G112" i="108"/>
  <c r="G64" i="108"/>
  <c r="G56" i="108"/>
  <c r="G48" i="108"/>
  <c r="G40" i="108"/>
  <c r="G32" i="108"/>
  <c r="G22" i="108"/>
  <c r="G14" i="108"/>
  <c r="G122" i="108"/>
  <c r="G109" i="108"/>
  <c r="G101" i="108"/>
  <c r="G93" i="108"/>
  <c r="G85" i="108"/>
  <c r="G77" i="108"/>
  <c r="G69" i="108"/>
  <c r="G61" i="108"/>
  <c r="G53" i="108"/>
  <c r="G45" i="108"/>
  <c r="G37" i="108"/>
  <c r="G29" i="108"/>
  <c r="G23" i="108"/>
  <c r="G7" i="108"/>
  <c r="G117" i="108"/>
  <c r="G121" i="108"/>
  <c r="G110" i="108"/>
  <c r="G102" i="108"/>
  <c r="G94" i="108"/>
  <c r="G86" i="108"/>
  <c r="G78" i="108"/>
  <c r="G70" i="108"/>
  <c r="G62" i="108"/>
  <c r="G54" i="108"/>
  <c r="G46" i="108"/>
  <c r="G38" i="108"/>
  <c r="G30" i="108"/>
  <c r="G20" i="108"/>
  <c r="G12" i="108"/>
  <c r="G4" i="108"/>
  <c r="G120" i="108"/>
  <c r="G19" i="108"/>
  <c r="G89" i="108"/>
  <c r="G57" i="108"/>
  <c r="G26" i="108"/>
  <c r="G113" i="108"/>
  <c r="G81" i="108"/>
  <c r="G49" i="108"/>
  <c r="G3" i="108"/>
  <c r="G97" i="108"/>
  <c r="G65" i="108"/>
  <c r="G33" i="108"/>
  <c r="G18" i="108"/>
  <c r="G73" i="108"/>
  <c r="G76" i="108"/>
  <c r="G41" i="108"/>
  <c r="G44" i="108"/>
  <c r="G108" i="108"/>
  <c r="G11" i="108"/>
  <c r="G105" i="108"/>
  <c r="G16" i="102"/>
  <c r="G89" i="92"/>
  <c r="G80" i="113"/>
  <c r="Q125" i="108"/>
  <c r="G30" i="102"/>
  <c r="G8" i="97"/>
  <c r="G118" i="92"/>
  <c r="G124" i="113"/>
  <c r="G21" i="92"/>
  <c r="G41" i="90"/>
  <c r="G92" i="108"/>
  <c r="G6" i="104"/>
  <c r="G158" i="90"/>
  <c r="G30" i="90"/>
  <c r="G61" i="92"/>
  <c r="G97" i="90"/>
  <c r="G60" i="108"/>
  <c r="G96" i="92"/>
  <c r="G86" i="90"/>
  <c r="U9" i="88"/>
  <c r="G30" i="92"/>
  <c r="G4" i="88"/>
  <c r="U17" i="114"/>
  <c r="G26" i="92"/>
  <c r="G52" i="90"/>
  <c r="G10" i="108"/>
  <c r="G60" i="90"/>
  <c r="G31" i="73"/>
  <c r="Y11" i="111"/>
  <c r="G145" i="90"/>
  <c r="G71" i="73"/>
  <c r="P259" i="76"/>
  <c r="R259" i="76" s="1"/>
  <c r="W259" i="76"/>
  <c r="G113" i="90"/>
  <c r="G8" i="105"/>
  <c r="G5" i="105"/>
  <c r="G15" i="105"/>
  <c r="G7" i="105"/>
  <c r="G13" i="105"/>
  <c r="G155" i="90"/>
  <c r="G28" i="108"/>
  <c r="P14" i="64"/>
  <c r="R14" i="64" s="1"/>
  <c r="W14" i="64"/>
  <c r="G5" i="73"/>
  <c r="G3" i="52"/>
  <c r="G7" i="52"/>
  <c r="G107" i="49"/>
  <c r="G3" i="47"/>
  <c r="G45" i="74"/>
  <c r="G37" i="74"/>
  <c r="G29" i="74"/>
  <c r="G21" i="74"/>
  <c r="G13" i="74"/>
  <c r="G7" i="74"/>
  <c r="G42" i="74"/>
  <c r="G34" i="74"/>
  <c r="G26" i="74"/>
  <c r="G18" i="74"/>
  <c r="G8" i="74"/>
  <c r="G2" i="74"/>
  <c r="G39" i="74"/>
  <c r="G31" i="74"/>
  <c r="G23" i="74"/>
  <c r="G15" i="74"/>
  <c r="G9" i="74"/>
  <c r="G3" i="74"/>
  <c r="G48" i="74"/>
  <c r="G43" i="74"/>
  <c r="G11" i="74"/>
  <c r="G35" i="74"/>
  <c r="G27" i="74"/>
  <c r="G22" i="74"/>
  <c r="G19" i="74"/>
  <c r="G42" i="49"/>
  <c r="G7" i="67"/>
  <c r="G74" i="49"/>
  <c r="S162" i="49"/>
  <c r="U162" i="49" s="1"/>
  <c r="Y162" i="49"/>
  <c r="G70" i="73"/>
  <c r="W16" i="67"/>
  <c r="P16" i="67"/>
  <c r="R16" i="67" s="1"/>
  <c r="G11" i="47"/>
  <c r="W5" i="66"/>
  <c r="P5" i="66"/>
  <c r="R5" i="66" s="1"/>
  <c r="G3" i="51"/>
  <c r="G9" i="51"/>
  <c r="G7" i="51"/>
  <c r="G91" i="49"/>
  <c r="G6" i="41"/>
  <c r="G8" i="41"/>
  <c r="G13" i="41"/>
  <c r="G2" i="41"/>
  <c r="W19" i="69"/>
  <c r="G7" i="58"/>
  <c r="G6" i="58"/>
  <c r="G5" i="58"/>
  <c r="G3" i="50"/>
  <c r="G5" i="50"/>
  <c r="G11" i="50"/>
  <c r="G15" i="50"/>
  <c r="G5" i="100"/>
  <c r="G47" i="71"/>
  <c r="G39" i="71"/>
  <c r="G31" i="71"/>
  <c r="G23" i="71"/>
  <c r="G15" i="71"/>
  <c r="G7" i="71"/>
  <c r="G3" i="71"/>
  <c r="G54" i="71"/>
  <c r="G52" i="71"/>
  <c r="G50" i="71"/>
  <c r="G42" i="71"/>
  <c r="G34" i="71"/>
  <c r="G26" i="71"/>
  <c r="G18" i="71"/>
  <c r="G10" i="71"/>
  <c r="G4" i="71"/>
  <c r="G28" i="71"/>
  <c r="G6" i="71"/>
  <c r="G46" i="71"/>
  <c r="G56" i="71"/>
  <c r="G44" i="71"/>
  <c r="G35" i="71"/>
  <c r="G22" i="71"/>
  <c r="G20" i="71"/>
  <c r="G38" i="71"/>
  <c r="G43" i="71"/>
  <c r="G30" i="71"/>
  <c r="G36" i="71"/>
  <c r="G14" i="71"/>
  <c r="G12" i="71"/>
  <c r="G51" i="71"/>
  <c r="G53" i="71"/>
  <c r="G2" i="71"/>
  <c r="G93" i="49"/>
  <c r="G3" i="46"/>
  <c r="G7" i="46"/>
  <c r="G4" i="46"/>
  <c r="G11" i="64"/>
  <c r="G8" i="64"/>
  <c r="G14" i="64"/>
  <c r="G2" i="64"/>
  <c r="G12" i="64"/>
  <c r="G4" i="64"/>
  <c r="G7" i="64"/>
  <c r="G19" i="71"/>
  <c r="G28" i="49"/>
  <c r="G6" i="46"/>
  <c r="G51" i="76"/>
  <c r="G127" i="49"/>
  <c r="G103" i="49"/>
  <c r="G46" i="73"/>
  <c r="G10" i="45"/>
  <c r="G2" i="45"/>
  <c r="G6" i="45"/>
  <c r="G7" i="21"/>
  <c r="G4" i="21"/>
  <c r="G5" i="21"/>
  <c r="G12" i="21"/>
  <c r="G8" i="21"/>
  <c r="G63" i="49"/>
  <c r="G6" i="21"/>
  <c r="G42" i="12"/>
  <c r="G2" i="21"/>
  <c r="G32" i="34"/>
  <c r="G24" i="34"/>
  <c r="G16" i="34"/>
  <c r="G8" i="34"/>
  <c r="G4" i="34"/>
  <c r="G29" i="34"/>
  <c r="G21" i="34"/>
  <c r="G13" i="34"/>
  <c r="G5" i="34"/>
  <c r="G38" i="34"/>
  <c r="G31" i="34"/>
  <c r="G23" i="34"/>
  <c r="G15" i="34"/>
  <c r="G36" i="34"/>
  <c r="G28" i="34"/>
  <c r="G20" i="34"/>
  <c r="G12" i="34"/>
  <c r="G22" i="34"/>
  <c r="G14" i="34"/>
  <c r="G2" i="34"/>
  <c r="G30" i="34"/>
  <c r="G15" i="30"/>
  <c r="G7" i="30"/>
  <c r="G19" i="30"/>
  <c r="G12" i="30"/>
  <c r="G2" i="30"/>
  <c r="G17" i="30"/>
  <c r="G4" i="30"/>
  <c r="G5" i="30"/>
  <c r="G13" i="30"/>
  <c r="R65" i="12"/>
  <c r="G19" i="34"/>
  <c r="Y28" i="33"/>
  <c r="G59" i="12"/>
  <c r="R3" i="142"/>
  <c r="Q31" i="16"/>
  <c r="R2" i="48"/>
  <c r="Q13" i="16"/>
  <c r="U7" i="49"/>
  <c r="T51" i="16"/>
  <c r="U2" i="116"/>
  <c r="T16" i="16"/>
  <c r="R2" i="42"/>
  <c r="Q47" i="16"/>
  <c r="R2" i="177"/>
  <c r="Q8" i="16"/>
  <c r="R7" i="49"/>
  <c r="Q51" i="16"/>
  <c r="U3" i="122"/>
  <c r="T20" i="16"/>
  <c r="U4" i="148"/>
  <c r="T42" i="16"/>
  <c r="U3" i="163"/>
  <c r="T36" i="16"/>
  <c r="U2" i="72"/>
  <c r="T40" i="16"/>
  <c r="U2" i="129"/>
  <c r="T6" i="16"/>
  <c r="G700" i="3"/>
  <c r="G624" i="3"/>
  <c r="G508" i="3"/>
  <c r="G445" i="3"/>
  <c r="G337" i="3"/>
  <c r="U2" i="124"/>
  <c r="T35" i="16"/>
  <c r="G249" i="3"/>
  <c r="G941" i="3"/>
  <c r="G814" i="3"/>
  <c r="U3" i="119"/>
  <c r="T30" i="16"/>
  <c r="T57" i="16"/>
  <c r="U2" i="12"/>
  <c r="U2" i="169"/>
  <c r="U3" i="74"/>
  <c r="T45" i="16"/>
  <c r="G756" i="3"/>
  <c r="U5" i="39"/>
  <c r="T48" i="16"/>
  <c r="G491" i="3"/>
  <c r="G459" i="3"/>
  <c r="G427" i="3"/>
  <c r="G395" i="3"/>
  <c r="G373" i="3"/>
  <c r="U7" i="107"/>
  <c r="G297" i="3"/>
  <c r="G104" i="3"/>
  <c r="R2" i="130"/>
  <c r="G978" i="3"/>
  <c r="U2" i="182"/>
  <c r="T41" i="16"/>
  <c r="G731" i="3"/>
  <c r="G635" i="3"/>
  <c r="G953" i="3"/>
  <c r="G826" i="3"/>
  <c r="G738" i="3"/>
  <c r="G652" i="3"/>
  <c r="G620" i="3"/>
  <c r="G588" i="3"/>
  <c r="G429" i="3"/>
  <c r="G385" i="3"/>
  <c r="G353" i="3"/>
  <c r="G291" i="3"/>
  <c r="G236" i="3"/>
  <c r="G654" i="3"/>
  <c r="G89" i="3"/>
  <c r="G119" i="3"/>
  <c r="G47" i="3"/>
  <c r="G686" i="3"/>
  <c r="G662" i="3"/>
  <c r="G367" i="3"/>
  <c r="G112" i="3"/>
  <c r="G7" i="3"/>
  <c r="G455" i="3"/>
  <c r="G162" i="3"/>
  <c r="G69" i="3"/>
  <c r="G13" i="3"/>
  <c r="G31" i="3"/>
  <c r="G12" i="176"/>
  <c r="G4" i="176"/>
  <c r="G11" i="176"/>
  <c r="G3" i="176"/>
  <c r="G16" i="176"/>
  <c r="G8" i="176"/>
  <c r="Y128" i="155"/>
  <c r="S128" i="155"/>
  <c r="U128" i="155" s="1"/>
  <c r="G17" i="82"/>
  <c r="G9" i="82"/>
  <c r="G3" i="82"/>
  <c r="G2" i="82"/>
  <c r="G15" i="82"/>
  <c r="G18" i="82"/>
  <c r="G7" i="82"/>
  <c r="G10" i="82"/>
  <c r="G13" i="90"/>
  <c r="S13" i="27"/>
  <c r="U13" i="27" s="1"/>
  <c r="Y13" i="27"/>
  <c r="U3" i="171"/>
  <c r="T4" i="16"/>
  <c r="S44" i="193"/>
  <c r="U44" i="193" s="1"/>
  <c r="Y44" i="193"/>
  <c r="G2" i="189"/>
  <c r="G298" i="168"/>
  <c r="G294" i="168"/>
  <c r="G290" i="168"/>
  <c r="G286" i="168"/>
  <c r="G282" i="168"/>
  <c r="G275" i="168"/>
  <c r="G267" i="168"/>
  <c r="G259" i="168"/>
  <c r="G251" i="168"/>
  <c r="G243" i="168"/>
  <c r="G235" i="168"/>
  <c r="G227" i="168"/>
  <c r="G219" i="168"/>
  <c r="G211" i="168"/>
  <c r="G203" i="168"/>
  <c r="G195" i="168"/>
  <c r="G187" i="168"/>
  <c r="G179" i="168"/>
  <c r="G171" i="168"/>
  <c r="G163" i="168"/>
  <c r="G155" i="168"/>
  <c r="G147" i="168"/>
  <c r="G139" i="168"/>
  <c r="G131" i="168"/>
  <c r="G123" i="168"/>
  <c r="G115" i="168"/>
  <c r="G107" i="168"/>
  <c r="G99" i="168"/>
  <c r="G91" i="168"/>
  <c r="G83" i="168"/>
  <c r="G75" i="168"/>
  <c r="G67" i="168"/>
  <c r="G59" i="168"/>
  <c r="G51" i="168"/>
  <c r="G43" i="168"/>
  <c r="G35" i="168"/>
  <c r="G25" i="168"/>
  <c r="G21" i="168"/>
  <c r="G13" i="168"/>
  <c r="G5" i="168"/>
  <c r="G302" i="168"/>
  <c r="G297" i="168"/>
  <c r="G293" i="168"/>
  <c r="G289" i="168"/>
  <c r="G285" i="168"/>
  <c r="G281" i="168"/>
  <c r="G272" i="168"/>
  <c r="G264" i="168"/>
  <c r="G256" i="168"/>
  <c r="G248" i="168"/>
  <c r="G240" i="168"/>
  <c r="G232" i="168"/>
  <c r="G224" i="168"/>
  <c r="G216" i="168"/>
  <c r="G208" i="168"/>
  <c r="G200" i="168"/>
  <c r="G192" i="168"/>
  <c r="G184" i="168"/>
  <c r="G176" i="168"/>
  <c r="G168" i="168"/>
  <c r="G160" i="168"/>
  <c r="G152" i="168"/>
  <c r="G144" i="168"/>
  <c r="G136" i="168"/>
  <c r="G128" i="168"/>
  <c r="G120" i="168"/>
  <c r="G112" i="168"/>
  <c r="G104" i="168"/>
  <c r="G96" i="168"/>
  <c r="G88" i="168"/>
  <c r="G80" i="168"/>
  <c r="G72" i="168"/>
  <c r="G64" i="168"/>
  <c r="G56" i="168"/>
  <c r="G48" i="168"/>
  <c r="G40" i="168"/>
  <c r="G32" i="168"/>
  <c r="G26" i="168"/>
  <c r="G22" i="168"/>
  <c r="G14" i="168"/>
  <c r="G6" i="168"/>
  <c r="G277" i="168"/>
  <c r="G269" i="168"/>
  <c r="G261" i="168"/>
  <c r="G253" i="168"/>
  <c r="G245" i="168"/>
  <c r="G237" i="168"/>
  <c r="G229" i="168"/>
  <c r="G221" i="168"/>
  <c r="G213" i="168"/>
  <c r="G205" i="168"/>
  <c r="G197" i="168"/>
  <c r="G189" i="168"/>
  <c r="G181" i="168"/>
  <c r="G173" i="168"/>
  <c r="G165" i="168"/>
  <c r="G157" i="168"/>
  <c r="G149" i="168"/>
  <c r="G141" i="168"/>
  <c r="G133" i="168"/>
  <c r="G125" i="168"/>
  <c r="G117" i="168"/>
  <c r="G109" i="168"/>
  <c r="G101" i="168"/>
  <c r="G93" i="168"/>
  <c r="G85" i="168"/>
  <c r="G77" i="168"/>
  <c r="G69" i="168"/>
  <c r="G61" i="168"/>
  <c r="G53" i="168"/>
  <c r="G45" i="168"/>
  <c r="G37" i="168"/>
  <c r="G29" i="168"/>
  <c r="G27" i="168"/>
  <c r="G15" i="168"/>
  <c r="G7" i="168"/>
  <c r="G300" i="168"/>
  <c r="G296" i="168"/>
  <c r="G292" i="168"/>
  <c r="G288" i="168"/>
  <c r="G284" i="168"/>
  <c r="G280" i="168"/>
  <c r="G295" i="168"/>
  <c r="G252" i="168"/>
  <c r="G220" i="168"/>
  <c r="G188" i="168"/>
  <c r="G156" i="168"/>
  <c r="G124" i="168"/>
  <c r="G92" i="168"/>
  <c r="G60" i="168"/>
  <c r="G28" i="168"/>
  <c r="G2" i="168"/>
  <c r="G287" i="168"/>
  <c r="G276" i="168"/>
  <c r="G244" i="168"/>
  <c r="G212" i="168"/>
  <c r="G180" i="168"/>
  <c r="G148" i="168"/>
  <c r="G116" i="168"/>
  <c r="G84" i="168"/>
  <c r="G52" i="168"/>
  <c r="G9" i="168"/>
  <c r="G299" i="168"/>
  <c r="G10" i="168"/>
  <c r="G279" i="168"/>
  <c r="G268" i="168"/>
  <c r="G236" i="168"/>
  <c r="G204" i="168"/>
  <c r="G172" i="168"/>
  <c r="G140" i="168"/>
  <c r="G108" i="168"/>
  <c r="G76" i="168"/>
  <c r="G44" i="168"/>
  <c r="G291" i="168"/>
  <c r="G18" i="168"/>
  <c r="G283" i="168"/>
  <c r="G100" i="168"/>
  <c r="G68" i="168"/>
  <c r="G36" i="168"/>
  <c r="G260" i="168"/>
  <c r="G228" i="168"/>
  <c r="G196" i="168"/>
  <c r="G132" i="168"/>
  <c r="G164" i="168"/>
  <c r="G73" i="168"/>
  <c r="G274" i="168"/>
  <c r="G71" i="168"/>
  <c r="G47" i="168"/>
  <c r="G8" i="153"/>
  <c r="G5" i="153"/>
  <c r="G6" i="153"/>
  <c r="G4" i="153"/>
  <c r="G58" i="102"/>
  <c r="G50" i="102"/>
  <c r="G42" i="102"/>
  <c r="G34" i="102"/>
  <c r="G26" i="102"/>
  <c r="G18" i="102"/>
  <c r="G10" i="102"/>
  <c r="G6" i="102"/>
  <c r="G11" i="102"/>
  <c r="G59" i="102"/>
  <c r="G57" i="102"/>
  <c r="G15" i="102"/>
  <c r="G55" i="102"/>
  <c r="G44" i="102"/>
  <c r="G33" i="102"/>
  <c r="G14" i="102"/>
  <c r="G31" i="102"/>
  <c r="G47" i="102"/>
  <c r="G39" i="102"/>
  <c r="G28" i="102"/>
  <c r="G17" i="102"/>
  <c r="G5" i="102"/>
  <c r="G41" i="102"/>
  <c r="G23" i="102"/>
  <c r="G52" i="102"/>
  <c r="R2" i="167"/>
  <c r="Q34" i="16"/>
  <c r="G31" i="196"/>
  <c r="G90" i="196"/>
  <c r="G96" i="196"/>
  <c r="G55" i="196"/>
  <c r="G61" i="196"/>
  <c r="G88" i="196"/>
  <c r="G77" i="196"/>
  <c r="G16" i="193"/>
  <c r="G28" i="193"/>
  <c r="G6" i="193"/>
  <c r="G38" i="193"/>
  <c r="R9" i="187"/>
  <c r="G17" i="188"/>
  <c r="S24" i="192"/>
  <c r="U24" i="192" s="1"/>
  <c r="G10" i="188"/>
  <c r="G11" i="189"/>
  <c r="G118" i="185"/>
  <c r="G14" i="185"/>
  <c r="G105" i="185"/>
  <c r="G73" i="185"/>
  <c r="G92" i="185"/>
  <c r="G6" i="183"/>
  <c r="G2" i="178"/>
  <c r="G7" i="178"/>
  <c r="U11" i="184"/>
  <c r="Y136" i="185"/>
  <c r="G8" i="174"/>
  <c r="G122" i="185"/>
  <c r="G68" i="170"/>
  <c r="G71" i="170"/>
  <c r="G11" i="173"/>
  <c r="G14" i="170"/>
  <c r="G31" i="170"/>
  <c r="Y16" i="169"/>
  <c r="S16" i="169"/>
  <c r="U16" i="169" s="1"/>
  <c r="G72" i="170"/>
  <c r="G110" i="168"/>
  <c r="G108" i="170"/>
  <c r="G209" i="168"/>
  <c r="G81" i="168"/>
  <c r="G262" i="168"/>
  <c r="G4" i="168"/>
  <c r="G258" i="168"/>
  <c r="G130" i="168"/>
  <c r="G254" i="168"/>
  <c r="G12" i="168"/>
  <c r="G2" i="176"/>
  <c r="G218" i="168"/>
  <c r="G90" i="168"/>
  <c r="X95" i="167"/>
  <c r="G185" i="168"/>
  <c r="G57" i="168"/>
  <c r="G191" i="168"/>
  <c r="R128" i="155"/>
  <c r="G151" i="168"/>
  <c r="G103" i="168"/>
  <c r="G21" i="164"/>
  <c r="G95" i="168"/>
  <c r="G17" i="164"/>
  <c r="G63" i="155"/>
  <c r="G118" i="168"/>
  <c r="G9" i="164"/>
  <c r="G17" i="155"/>
  <c r="G271" i="168"/>
  <c r="G45" i="155"/>
  <c r="G95" i="155"/>
  <c r="G21" i="155"/>
  <c r="G5" i="148"/>
  <c r="G22" i="148"/>
  <c r="G7" i="143"/>
  <c r="Y19" i="143"/>
  <c r="S19" i="143"/>
  <c r="U19" i="143" s="1"/>
  <c r="G12" i="138"/>
  <c r="G7" i="138"/>
  <c r="G2" i="138"/>
  <c r="G5" i="138"/>
  <c r="G4" i="156"/>
  <c r="Y25" i="139"/>
  <c r="G12" i="155"/>
  <c r="G20" i="148"/>
  <c r="G81" i="129"/>
  <c r="G73" i="129"/>
  <c r="G65" i="129"/>
  <c r="G57" i="129"/>
  <c r="G49" i="129"/>
  <c r="G41" i="129"/>
  <c r="G33" i="129"/>
  <c r="G25" i="129"/>
  <c r="G17" i="129"/>
  <c r="G11" i="129"/>
  <c r="G5" i="129"/>
  <c r="G84" i="129"/>
  <c r="G12" i="129"/>
  <c r="G83" i="129"/>
  <c r="G80" i="129"/>
  <c r="G72" i="129"/>
  <c r="G64" i="129"/>
  <c r="G56" i="129"/>
  <c r="G48" i="129"/>
  <c r="G40" i="129"/>
  <c r="G32" i="129"/>
  <c r="G24" i="129"/>
  <c r="G14" i="129"/>
  <c r="G9" i="129"/>
  <c r="G3" i="129"/>
  <c r="G79" i="129"/>
  <c r="G47" i="129"/>
  <c r="G16" i="129"/>
  <c r="G82" i="129"/>
  <c r="G50" i="129"/>
  <c r="G18" i="129"/>
  <c r="G71" i="129"/>
  <c r="G39" i="129"/>
  <c r="G74" i="129"/>
  <c r="G42" i="129"/>
  <c r="G63" i="129"/>
  <c r="G31" i="129"/>
  <c r="G8" i="129"/>
  <c r="G55" i="129"/>
  <c r="G23" i="129"/>
  <c r="G2" i="129"/>
  <c r="G17" i="143"/>
  <c r="G3" i="138"/>
  <c r="G29" i="129"/>
  <c r="P6" i="130"/>
  <c r="R6" i="130" s="1"/>
  <c r="W6" i="130"/>
  <c r="G18" i="131"/>
  <c r="G35" i="129"/>
  <c r="G8" i="143"/>
  <c r="G25" i="131"/>
  <c r="G231" i="168"/>
  <c r="G17" i="131"/>
  <c r="G38" i="129"/>
  <c r="G35" i="123"/>
  <c r="G27" i="123"/>
  <c r="G37" i="123"/>
  <c r="G29" i="123"/>
  <c r="G23" i="123"/>
  <c r="G22" i="123"/>
  <c r="G18" i="123"/>
  <c r="G10" i="123"/>
  <c r="G2" i="123"/>
  <c r="G38" i="123"/>
  <c r="G21" i="123"/>
  <c r="G16" i="123"/>
  <c r="G8" i="123"/>
  <c r="G30" i="123"/>
  <c r="G33" i="123"/>
  <c r="G7" i="123"/>
  <c r="G14" i="123"/>
  <c r="G15" i="123"/>
  <c r="G31" i="123"/>
  <c r="G24" i="131"/>
  <c r="G28" i="120"/>
  <c r="G19" i="123"/>
  <c r="G17" i="120"/>
  <c r="G24" i="124"/>
  <c r="G16" i="124"/>
  <c r="G8" i="124"/>
  <c r="G4" i="124"/>
  <c r="G5" i="124"/>
  <c r="G26" i="124"/>
  <c r="G18" i="124"/>
  <c r="G10" i="124"/>
  <c r="G6" i="124"/>
  <c r="G32" i="124"/>
  <c r="G31" i="124"/>
  <c r="G30" i="124"/>
  <c r="G11" i="124"/>
  <c r="G19" i="124"/>
  <c r="G3" i="124"/>
  <c r="G27" i="124"/>
  <c r="G2" i="122"/>
  <c r="G3" i="123"/>
  <c r="W27" i="122"/>
  <c r="P27" i="122"/>
  <c r="R27" i="122" s="1"/>
  <c r="G61" i="113"/>
  <c r="G58" i="129"/>
  <c r="G103" i="113"/>
  <c r="V11" i="111"/>
  <c r="G77" i="113"/>
  <c r="G4" i="121"/>
  <c r="G130" i="113"/>
  <c r="G3" i="117"/>
  <c r="G95" i="113"/>
  <c r="G8" i="93"/>
  <c r="G2" i="93"/>
  <c r="G3" i="93"/>
  <c r="G11" i="93"/>
  <c r="G7" i="93"/>
  <c r="G9" i="93"/>
  <c r="G10" i="114"/>
  <c r="G41" i="113"/>
  <c r="G88" i="113"/>
  <c r="W125" i="108"/>
  <c r="P125" i="108"/>
  <c r="R125" i="108" s="1"/>
  <c r="G183" i="92"/>
  <c r="G175" i="92"/>
  <c r="G167" i="92"/>
  <c r="G159" i="92"/>
  <c r="G151" i="92"/>
  <c r="G143" i="92"/>
  <c r="G135" i="92"/>
  <c r="G127" i="92"/>
  <c r="G119" i="92"/>
  <c r="G111" i="92"/>
  <c r="G103" i="92"/>
  <c r="G95" i="92"/>
  <c r="G87" i="92"/>
  <c r="G79" i="92"/>
  <c r="G69" i="92"/>
  <c r="G65" i="92"/>
  <c r="G189" i="92"/>
  <c r="G172" i="92"/>
  <c r="G124" i="92"/>
  <c r="G116" i="92"/>
  <c r="G108" i="92"/>
  <c r="G100" i="92"/>
  <c r="G92" i="92"/>
  <c r="G84" i="92"/>
  <c r="G76" i="92"/>
  <c r="G70" i="92"/>
  <c r="G66" i="92"/>
  <c r="G58" i="92"/>
  <c r="G188" i="92"/>
  <c r="G191" i="92"/>
  <c r="G178" i="92"/>
  <c r="G168" i="92"/>
  <c r="G141" i="92"/>
  <c r="G114" i="92"/>
  <c r="G104" i="92"/>
  <c r="G77" i="92"/>
  <c r="G53" i="92"/>
  <c r="G47" i="92"/>
  <c r="G41" i="92"/>
  <c r="G35" i="92"/>
  <c r="G27" i="92"/>
  <c r="G19" i="92"/>
  <c r="G11" i="92"/>
  <c r="G3" i="92"/>
  <c r="G181" i="92"/>
  <c r="G154" i="92"/>
  <c r="G144" i="92"/>
  <c r="G117" i="92"/>
  <c r="G90" i="92"/>
  <c r="G80" i="92"/>
  <c r="G64" i="92"/>
  <c r="G54" i="92"/>
  <c r="G36" i="92"/>
  <c r="G28" i="92"/>
  <c r="G20" i="92"/>
  <c r="G12" i="92"/>
  <c r="G4" i="92"/>
  <c r="G130" i="92"/>
  <c r="G187" i="92"/>
  <c r="G170" i="92"/>
  <c r="G106" i="92"/>
  <c r="G146" i="92"/>
  <c r="G82" i="92"/>
  <c r="G138" i="92"/>
  <c r="G74" i="92"/>
  <c r="G18" i="92"/>
  <c r="G10" i="92"/>
  <c r="G2" i="92"/>
  <c r="G162" i="92"/>
  <c r="G44" i="92"/>
  <c r="G39" i="92"/>
  <c r="G33" i="92"/>
  <c r="G112" i="92"/>
  <c r="G50" i="92"/>
  <c r="G45" i="92"/>
  <c r="G8" i="92"/>
  <c r="G51" i="92"/>
  <c r="G9" i="92"/>
  <c r="G176" i="92"/>
  <c r="G88" i="92"/>
  <c r="G62" i="92"/>
  <c r="G16" i="92"/>
  <c r="G122" i="92"/>
  <c r="G17" i="92"/>
  <c r="G98" i="92"/>
  <c r="G25" i="92"/>
  <c r="G125" i="92"/>
  <c r="G152" i="92"/>
  <c r="G186" i="92"/>
  <c r="G82" i="108"/>
  <c r="G24" i="102"/>
  <c r="G161" i="92"/>
  <c r="G3" i="115"/>
  <c r="G71" i="108"/>
  <c r="G147" i="92"/>
  <c r="G4" i="112"/>
  <c r="G5" i="112"/>
  <c r="G2" i="112"/>
  <c r="Y156" i="113"/>
  <c r="G95" i="108"/>
  <c r="G81" i="107"/>
  <c r="G73" i="107"/>
  <c r="G65" i="107"/>
  <c r="G57" i="107"/>
  <c r="G49" i="107"/>
  <c r="G41" i="107"/>
  <c r="G33" i="107"/>
  <c r="G25" i="107"/>
  <c r="G19" i="107"/>
  <c r="G13" i="107"/>
  <c r="G7" i="107"/>
  <c r="G84" i="107"/>
  <c r="G14" i="107"/>
  <c r="G8" i="107"/>
  <c r="G86" i="107"/>
  <c r="G78" i="107"/>
  <c r="G70" i="107"/>
  <c r="G62" i="107"/>
  <c r="G54" i="107"/>
  <c r="G46" i="107"/>
  <c r="G38" i="107"/>
  <c r="G30" i="107"/>
  <c r="G22" i="107"/>
  <c r="G72" i="107"/>
  <c r="G40" i="107"/>
  <c r="G18" i="107"/>
  <c r="G83" i="107"/>
  <c r="G51" i="107"/>
  <c r="G6" i="107"/>
  <c r="G12" i="107"/>
  <c r="G75" i="107"/>
  <c r="G43" i="107"/>
  <c r="G59" i="107"/>
  <c r="G27" i="107"/>
  <c r="G35" i="107"/>
  <c r="G88" i="107"/>
  <c r="G80" i="107"/>
  <c r="G48" i="107"/>
  <c r="G67" i="107"/>
  <c r="G5" i="93"/>
  <c r="G67" i="92"/>
  <c r="G51" i="113"/>
  <c r="G76" i="107"/>
  <c r="G19" i="102"/>
  <c r="G91" i="92"/>
  <c r="G122" i="113"/>
  <c r="G5" i="107"/>
  <c r="G2" i="96"/>
  <c r="G14" i="92"/>
  <c r="G9" i="90"/>
  <c r="G16" i="82"/>
  <c r="P61" i="80"/>
  <c r="G84" i="108"/>
  <c r="G49" i="102"/>
  <c r="G139" i="92"/>
  <c r="G140" i="90"/>
  <c r="G12" i="90"/>
  <c r="G5" i="82"/>
  <c r="T17" i="98"/>
  <c r="G57" i="92"/>
  <c r="G65" i="90"/>
  <c r="G52" i="108"/>
  <c r="G12" i="98"/>
  <c r="G52" i="92"/>
  <c r="G68" i="90"/>
  <c r="X9" i="88"/>
  <c r="G10" i="105"/>
  <c r="G23" i="92"/>
  <c r="Q9" i="88"/>
  <c r="R9" i="88" s="1"/>
  <c r="W9" i="88"/>
  <c r="G116" i="108"/>
  <c r="P17" i="98"/>
  <c r="R17" i="98" s="1"/>
  <c r="W17" i="98"/>
  <c r="G166" i="90"/>
  <c r="G38" i="90"/>
  <c r="G6" i="83"/>
  <c r="R8" i="81"/>
  <c r="G6" i="108"/>
  <c r="G36" i="78"/>
  <c r="G28" i="78"/>
  <c r="G20" i="78"/>
  <c r="G12" i="78"/>
  <c r="G6" i="78"/>
  <c r="G25" i="78"/>
  <c r="G17" i="78"/>
  <c r="G7" i="78"/>
  <c r="G33" i="78"/>
  <c r="G30" i="78"/>
  <c r="G22" i="78"/>
  <c r="G14" i="78"/>
  <c r="G8" i="78"/>
  <c r="G27" i="78"/>
  <c r="G19" i="78"/>
  <c r="G11" i="78"/>
  <c r="G9" i="78"/>
  <c r="G26" i="78"/>
  <c r="G29" i="78"/>
  <c r="G18" i="78"/>
  <c r="G13" i="78"/>
  <c r="G10" i="78"/>
  <c r="G21" i="78"/>
  <c r="G4" i="78"/>
  <c r="G8" i="73"/>
  <c r="G59" i="108"/>
  <c r="G110" i="90"/>
  <c r="G34" i="79"/>
  <c r="G24" i="79"/>
  <c r="G16" i="79"/>
  <c r="G8" i="79"/>
  <c r="G9" i="79"/>
  <c r="G6" i="79"/>
  <c r="G26" i="79"/>
  <c r="G23" i="79"/>
  <c r="G20" i="79"/>
  <c r="G3" i="79"/>
  <c r="G32" i="79"/>
  <c r="G17" i="79"/>
  <c r="G14" i="79"/>
  <c r="G11" i="79"/>
  <c r="G28" i="79"/>
  <c r="G31" i="79"/>
  <c r="G19" i="79"/>
  <c r="G27" i="79"/>
  <c r="G10" i="79"/>
  <c r="G4" i="79"/>
  <c r="G7" i="79"/>
  <c r="G30" i="79"/>
  <c r="G38" i="73"/>
  <c r="G48" i="92"/>
  <c r="G28" i="74"/>
  <c r="G24" i="71"/>
  <c r="G9" i="64"/>
  <c r="G78" i="90"/>
  <c r="G214" i="76"/>
  <c r="G86" i="76"/>
  <c r="G5" i="74"/>
  <c r="G22" i="113"/>
  <c r="R9" i="103"/>
  <c r="G124" i="90"/>
  <c r="V259" i="76"/>
  <c r="G40" i="71"/>
  <c r="G13" i="69"/>
  <c r="G7" i="69"/>
  <c r="G8" i="69"/>
  <c r="G19" i="69"/>
  <c r="G16" i="69"/>
  <c r="G6" i="69"/>
  <c r="G4" i="69"/>
  <c r="G14" i="69"/>
  <c r="G71" i="107"/>
  <c r="G134" i="76"/>
  <c r="G40" i="74"/>
  <c r="G5" i="60"/>
  <c r="G7" i="60"/>
  <c r="G3" i="60"/>
  <c r="G46" i="90"/>
  <c r="G139" i="76"/>
  <c r="G8" i="50"/>
  <c r="G89" i="49"/>
  <c r="G8" i="45"/>
  <c r="U67" i="86"/>
  <c r="G65" i="73"/>
  <c r="G13" i="49"/>
  <c r="G142" i="76"/>
  <c r="G16" i="71"/>
  <c r="G145" i="49"/>
  <c r="G67" i="49"/>
  <c r="G15" i="47"/>
  <c r="G41" i="73"/>
  <c r="G2" i="51"/>
  <c r="G8" i="47"/>
  <c r="S61" i="80"/>
  <c r="U61" i="80" s="1"/>
  <c r="G75" i="76"/>
  <c r="G12" i="63"/>
  <c r="G10" i="50"/>
  <c r="G73" i="49"/>
  <c r="G246" i="76"/>
  <c r="R19" i="69"/>
  <c r="G133" i="49"/>
  <c r="G11" i="41"/>
  <c r="G5" i="68"/>
  <c r="G61" i="49"/>
  <c r="G10" i="43"/>
  <c r="G3" i="64"/>
  <c r="G3" i="70"/>
  <c r="G8" i="43"/>
  <c r="G43" i="76"/>
  <c r="G115" i="49"/>
  <c r="G53" i="38"/>
  <c r="G5" i="67"/>
  <c r="G95" i="49"/>
  <c r="G75" i="38"/>
  <c r="G20" i="23"/>
  <c r="G12" i="23"/>
  <c r="G2" i="23"/>
  <c r="G17" i="23"/>
  <c r="G3" i="23"/>
  <c r="G23" i="23"/>
  <c r="G11" i="23"/>
  <c r="G18" i="23"/>
  <c r="G21" i="23"/>
  <c r="G13" i="23"/>
  <c r="G5" i="23"/>
  <c r="G27" i="12"/>
  <c r="G38" i="12"/>
  <c r="W65" i="12"/>
  <c r="G32" i="38"/>
  <c r="G51" i="12"/>
  <c r="G13" i="32"/>
  <c r="R4" i="40"/>
  <c r="Q11" i="16"/>
  <c r="U2" i="194"/>
  <c r="T55" i="16"/>
  <c r="U2" i="131"/>
  <c r="T32" i="16"/>
  <c r="Q46" i="16"/>
  <c r="R3" i="22"/>
  <c r="U28" i="33"/>
  <c r="G22" i="12"/>
  <c r="R2" i="178"/>
  <c r="Q50" i="16"/>
  <c r="R2" i="31"/>
  <c r="R2" i="151"/>
  <c r="Q17" i="16"/>
  <c r="R2" i="38"/>
  <c r="Q37" i="16"/>
  <c r="G732" i="3"/>
  <c r="G658" i="3"/>
  <c r="G540" i="3"/>
  <c r="G371" i="3"/>
  <c r="G237" i="3"/>
  <c r="G938" i="3"/>
  <c r="G811" i="3"/>
  <c r="G771" i="3"/>
  <c r="G643" i="3"/>
  <c r="G515" i="3"/>
  <c r="G388" i="3"/>
  <c r="U2" i="187"/>
  <c r="U6" i="123"/>
  <c r="R2" i="39"/>
  <c r="U2" i="143"/>
  <c r="T28" i="16"/>
  <c r="G650" i="3"/>
  <c r="G618" i="3"/>
  <c r="G586" i="3"/>
  <c r="G554" i="3"/>
  <c r="G522" i="3"/>
  <c r="G489" i="3"/>
  <c r="G457" i="3"/>
  <c r="G425" i="3"/>
  <c r="G393" i="3"/>
  <c r="U2" i="159"/>
  <c r="T18" i="16"/>
  <c r="U2" i="170"/>
  <c r="G220" i="3"/>
  <c r="G204" i="3"/>
  <c r="R2" i="107"/>
  <c r="Q27" i="16"/>
  <c r="G19" i="23"/>
  <c r="G763" i="3"/>
  <c r="G926" i="3"/>
  <c r="G797" i="3"/>
  <c r="U2" i="147"/>
  <c r="G706" i="3"/>
  <c r="G514" i="3"/>
  <c r="G461" i="3"/>
  <c r="U4" i="159"/>
  <c r="G289" i="3"/>
  <c r="G166" i="3"/>
  <c r="G197" i="3"/>
  <c r="G120" i="3"/>
  <c r="G48" i="3"/>
  <c r="G598" i="3"/>
  <c r="G37" i="3"/>
  <c r="G63" i="3"/>
  <c r="G113" i="3"/>
  <c r="G40" i="3"/>
  <c r="G207" i="3"/>
  <c r="G614" i="3"/>
  <c r="G359" i="3"/>
  <c r="G93" i="3"/>
  <c r="G375" i="3"/>
  <c r="G961" i="3"/>
  <c r="G96" i="3"/>
  <c r="G399" i="3"/>
  <c r="G149" i="3"/>
  <c r="G7" i="189"/>
  <c r="R16" i="169"/>
  <c r="G15" i="143"/>
  <c r="G7" i="126"/>
  <c r="G9" i="126"/>
  <c r="G8" i="126"/>
  <c r="G2" i="126"/>
  <c r="G10" i="126"/>
  <c r="Q13" i="118"/>
  <c r="R13" i="118" s="1"/>
  <c r="W13" i="118"/>
  <c r="G17" i="97"/>
  <c r="G9" i="97"/>
  <c r="G4" i="97"/>
  <c r="G7" i="97"/>
  <c r="G12" i="97"/>
  <c r="G15" i="97"/>
  <c r="G13" i="82"/>
  <c r="W20" i="22"/>
  <c r="P20" i="22"/>
  <c r="R20" i="22" s="1"/>
  <c r="U2" i="163"/>
  <c r="T56" i="16"/>
  <c r="W125" i="196"/>
  <c r="P125" i="196"/>
  <c r="R125" i="196" s="1"/>
  <c r="P27" i="177"/>
  <c r="R27" i="177" s="1"/>
  <c r="W27" i="177"/>
  <c r="G270" i="168"/>
  <c r="G170" i="168"/>
  <c r="G166" i="168"/>
  <c r="G167" i="168"/>
  <c r="W8" i="153"/>
  <c r="P8" i="153"/>
  <c r="R8" i="153" s="1"/>
  <c r="G10" i="143"/>
  <c r="G31" i="120"/>
  <c r="G23" i="120"/>
  <c r="G13" i="120"/>
  <c r="G7" i="120"/>
  <c r="G34" i="120"/>
  <c r="G21" i="120"/>
  <c r="G19" i="120"/>
  <c r="G5" i="120"/>
  <c r="G30" i="120"/>
  <c r="G16" i="120"/>
  <c r="G15" i="120"/>
  <c r="G4" i="120"/>
  <c r="G29" i="120"/>
  <c r="G22" i="120"/>
  <c r="G9" i="120"/>
  <c r="G10" i="120"/>
  <c r="G2" i="120"/>
  <c r="G8" i="102"/>
  <c r="G94" i="90"/>
  <c r="Y11" i="93"/>
  <c r="S11" i="93"/>
  <c r="U11" i="93" s="1"/>
  <c r="G22" i="90"/>
  <c r="G54" i="102"/>
  <c r="G121" i="90"/>
  <c r="G116" i="90"/>
  <c r="G8" i="84"/>
  <c r="G160" i="49"/>
  <c r="G156" i="49"/>
  <c r="G150" i="49"/>
  <c r="G142" i="49"/>
  <c r="G134" i="49"/>
  <c r="G126" i="49"/>
  <c r="G118" i="49"/>
  <c r="G110" i="49"/>
  <c r="G102" i="49"/>
  <c r="G94" i="49"/>
  <c r="G86" i="49"/>
  <c r="G78" i="49"/>
  <c r="G70" i="49"/>
  <c r="G62" i="49"/>
  <c r="G51" i="49"/>
  <c r="G43" i="49"/>
  <c r="G35" i="49"/>
  <c r="G29" i="49"/>
  <c r="G25" i="49"/>
  <c r="G15" i="49"/>
  <c r="G59" i="49"/>
  <c r="G159" i="49"/>
  <c r="G155" i="49"/>
  <c r="G152" i="49"/>
  <c r="G144" i="49"/>
  <c r="G136" i="49"/>
  <c r="G128" i="49"/>
  <c r="G120" i="49"/>
  <c r="G112" i="49"/>
  <c r="G104" i="49"/>
  <c r="G96" i="49"/>
  <c r="G88" i="49"/>
  <c r="G80" i="49"/>
  <c r="G72" i="49"/>
  <c r="G64" i="49"/>
  <c r="G53" i="49"/>
  <c r="G45" i="49"/>
  <c r="G37" i="49"/>
  <c r="G31" i="49"/>
  <c r="G27" i="49"/>
  <c r="G21" i="49"/>
  <c r="G11" i="49"/>
  <c r="G3" i="49"/>
  <c r="G158" i="49"/>
  <c r="G124" i="49"/>
  <c r="G92" i="49"/>
  <c r="G60" i="49"/>
  <c r="G49" i="49"/>
  <c r="G7" i="49"/>
  <c r="G157" i="49"/>
  <c r="G148" i="49"/>
  <c r="G116" i="49"/>
  <c r="G84" i="49"/>
  <c r="G41" i="49"/>
  <c r="G151" i="49"/>
  <c r="G119" i="49"/>
  <c r="G87" i="49"/>
  <c r="G44" i="49"/>
  <c r="G140" i="49"/>
  <c r="G108" i="49"/>
  <c r="G76" i="49"/>
  <c r="G132" i="49"/>
  <c r="G100" i="49"/>
  <c r="G68" i="49"/>
  <c r="G57" i="49"/>
  <c r="G143" i="49"/>
  <c r="G36" i="49"/>
  <c r="G111" i="49"/>
  <c r="G79" i="49"/>
  <c r="G19" i="49"/>
  <c r="G162" i="49"/>
  <c r="G4" i="43"/>
  <c r="G32" i="49"/>
  <c r="G58" i="49"/>
  <c r="G123" i="196"/>
  <c r="G115" i="196"/>
  <c r="G107" i="196"/>
  <c r="G99" i="196"/>
  <c r="G91" i="196"/>
  <c r="G83" i="196"/>
  <c r="G80" i="196"/>
  <c r="G72" i="196"/>
  <c r="G64" i="196"/>
  <c r="G56" i="196"/>
  <c r="G48" i="196"/>
  <c r="G40" i="196"/>
  <c r="G30" i="196"/>
  <c r="G22" i="196"/>
  <c r="G14" i="196"/>
  <c r="G6" i="196"/>
  <c r="G82" i="196"/>
  <c r="G113" i="196"/>
  <c r="G105" i="196"/>
  <c r="G97" i="196"/>
  <c r="G89" i="196"/>
  <c r="G78" i="196"/>
  <c r="G70" i="196"/>
  <c r="G62" i="196"/>
  <c r="G54" i="196"/>
  <c r="G46" i="196"/>
  <c r="G38" i="196"/>
  <c r="G28" i="196"/>
  <c r="G20" i="196"/>
  <c r="G12" i="196"/>
  <c r="G4" i="196"/>
  <c r="G118" i="196"/>
  <c r="G110" i="196"/>
  <c r="G102" i="196"/>
  <c r="G94" i="196"/>
  <c r="G86" i="196"/>
  <c r="G75" i="196"/>
  <c r="G67" i="196"/>
  <c r="G59" i="196"/>
  <c r="G51" i="196"/>
  <c r="G43" i="196"/>
  <c r="G35" i="196"/>
  <c r="G29" i="196"/>
  <c r="G21" i="196"/>
  <c r="G5" i="196"/>
  <c r="G117" i="196"/>
  <c r="G73" i="196"/>
  <c r="G66" i="196"/>
  <c r="G32" i="196"/>
  <c r="G24" i="196"/>
  <c r="G19" i="196"/>
  <c r="G103" i="196"/>
  <c r="G100" i="196"/>
  <c r="G93" i="196"/>
  <c r="G52" i="196"/>
  <c r="G49" i="196"/>
  <c r="G42" i="196"/>
  <c r="G18" i="196"/>
  <c r="G16" i="196"/>
  <c r="G11" i="196"/>
  <c r="G8" i="196"/>
  <c r="G3" i="196"/>
  <c r="G116" i="196"/>
  <c r="G109" i="196"/>
  <c r="G65" i="196"/>
  <c r="G58" i="196"/>
  <c r="G92" i="196"/>
  <c r="G85" i="196"/>
  <c r="G41" i="196"/>
  <c r="G81" i="196"/>
  <c r="G74" i="196"/>
  <c r="G87" i="196"/>
  <c r="G84" i="196"/>
  <c r="G36" i="196"/>
  <c r="G27" i="196"/>
  <c r="G101" i="196"/>
  <c r="G50" i="196"/>
  <c r="G108" i="196"/>
  <c r="G57" i="196"/>
  <c r="G111" i="196"/>
  <c r="G60" i="196"/>
  <c r="G71" i="196"/>
  <c r="U13" i="194"/>
  <c r="G10" i="193"/>
  <c r="G2" i="187"/>
  <c r="G3" i="187"/>
  <c r="G9" i="187"/>
  <c r="G7" i="187"/>
  <c r="G23" i="193"/>
  <c r="S13" i="189"/>
  <c r="U13" i="189" s="1"/>
  <c r="Y13" i="189"/>
  <c r="G3" i="189"/>
  <c r="G13" i="188"/>
  <c r="G9" i="189"/>
  <c r="G101" i="185"/>
  <c r="G27" i="185"/>
  <c r="G43" i="185"/>
  <c r="G16" i="180"/>
  <c r="G9" i="180"/>
  <c r="G2" i="180"/>
  <c r="G11" i="180"/>
  <c r="G90" i="185"/>
  <c r="G4" i="183"/>
  <c r="G12" i="180"/>
  <c r="S27" i="177"/>
  <c r="S136" i="185"/>
  <c r="U136" i="185" s="1"/>
  <c r="G7" i="183"/>
  <c r="G38" i="185"/>
  <c r="G3" i="180"/>
  <c r="G7" i="176"/>
  <c r="G6" i="174"/>
  <c r="S12" i="174"/>
  <c r="U12" i="174" s="1"/>
  <c r="U77" i="172"/>
  <c r="G36" i="170"/>
  <c r="G64" i="170"/>
  <c r="G2" i="170"/>
  <c r="G113" i="170"/>
  <c r="G20" i="170"/>
  <c r="G16" i="169"/>
  <c r="G8" i="169"/>
  <c r="G9" i="169"/>
  <c r="G10" i="169"/>
  <c r="G2" i="169"/>
  <c r="G13" i="169"/>
  <c r="G5" i="169"/>
  <c r="G65" i="170"/>
  <c r="G78" i="168"/>
  <c r="G73" i="170"/>
  <c r="G202" i="168"/>
  <c r="G74" i="168"/>
  <c r="P26" i="166"/>
  <c r="R26" i="166" s="1"/>
  <c r="W26" i="166"/>
  <c r="G230" i="168"/>
  <c r="G3" i="168"/>
  <c r="G233" i="168"/>
  <c r="G105" i="168"/>
  <c r="G222" i="168"/>
  <c r="G11" i="168"/>
  <c r="G7" i="174"/>
  <c r="G193" i="168"/>
  <c r="G65" i="168"/>
  <c r="G178" i="168"/>
  <c r="G50" i="168"/>
  <c r="P95" i="167"/>
  <c r="R95" i="167" s="1"/>
  <c r="W95" i="167"/>
  <c r="G183" i="168"/>
  <c r="G143" i="168"/>
  <c r="G87" i="168"/>
  <c r="G13" i="164"/>
  <c r="G29" i="155"/>
  <c r="G63" i="168"/>
  <c r="G5" i="164"/>
  <c r="G7" i="155"/>
  <c r="G263" i="168"/>
  <c r="G3" i="164"/>
  <c r="G32" i="155"/>
  <c r="G278" i="168"/>
  <c r="G14" i="164"/>
  <c r="G61" i="155"/>
  <c r="G4" i="145"/>
  <c r="G11" i="145"/>
  <c r="G5" i="145"/>
  <c r="G8" i="145"/>
  <c r="G6" i="145"/>
  <c r="G14" i="145"/>
  <c r="G9" i="145"/>
  <c r="G3" i="145"/>
  <c r="G12" i="145"/>
  <c r="G2" i="145"/>
  <c r="Y33" i="148"/>
  <c r="U302" i="168"/>
  <c r="G8" i="148"/>
  <c r="S17" i="151"/>
  <c r="U17" i="151" s="1"/>
  <c r="Y17" i="151"/>
  <c r="U23" i="147"/>
  <c r="G85" i="155"/>
  <c r="G3" i="153"/>
  <c r="G9" i="148"/>
  <c r="G4" i="141"/>
  <c r="G35" i="131"/>
  <c r="G51" i="129"/>
  <c r="G9" i="128"/>
  <c r="G3" i="143"/>
  <c r="G27" i="131"/>
  <c r="P42" i="131"/>
  <c r="R42" i="131" s="1"/>
  <c r="G22" i="129"/>
  <c r="P25" i="139"/>
  <c r="R25" i="139" s="1"/>
  <c r="R31" i="137"/>
  <c r="G8" i="131"/>
  <c r="G28" i="129"/>
  <c r="G4" i="138"/>
  <c r="G10" i="131"/>
  <c r="G10" i="149"/>
  <c r="Y42" i="131"/>
  <c r="S42" i="131"/>
  <c r="U42" i="131" s="1"/>
  <c r="G27" i="129"/>
  <c r="G5" i="126"/>
  <c r="S15" i="134"/>
  <c r="U15" i="134" s="1"/>
  <c r="G17" i="148"/>
  <c r="G12" i="123"/>
  <c r="G14" i="120"/>
  <c r="G25" i="123"/>
  <c r="G23" i="122"/>
  <c r="G15" i="122"/>
  <c r="G16" i="122"/>
  <c r="G7" i="122"/>
  <c r="G12" i="122"/>
  <c r="G11" i="122"/>
  <c r="G18" i="122"/>
  <c r="G4" i="122"/>
  <c r="G21" i="122"/>
  <c r="G24" i="122"/>
  <c r="G19" i="116"/>
  <c r="G8" i="120"/>
  <c r="G50" i="113"/>
  <c r="G17" i="123"/>
  <c r="G92" i="113"/>
  <c r="G12" i="120"/>
  <c r="G66" i="113"/>
  <c r="G119" i="113"/>
  <c r="G17" i="116"/>
  <c r="G82" i="113"/>
  <c r="G6" i="123"/>
  <c r="G47" i="119"/>
  <c r="G30" i="113"/>
  <c r="P156" i="113"/>
  <c r="R156" i="113" s="1"/>
  <c r="W156" i="113"/>
  <c r="P17" i="109"/>
  <c r="R17" i="109" s="1"/>
  <c r="W17" i="109"/>
  <c r="G185" i="92"/>
  <c r="V36" i="120"/>
  <c r="G50" i="108"/>
  <c r="G7" i="102"/>
  <c r="G8" i="98"/>
  <c r="G134" i="92"/>
  <c r="G152" i="113"/>
  <c r="G39" i="108"/>
  <c r="G53" i="102"/>
  <c r="G4" i="98"/>
  <c r="G137" i="92"/>
  <c r="G37" i="119"/>
  <c r="G106" i="108"/>
  <c r="G7" i="98"/>
  <c r="G177" i="92"/>
  <c r="S156" i="113"/>
  <c r="U156" i="113" s="1"/>
  <c r="G88" i="108"/>
  <c r="W191" i="92"/>
  <c r="P191" i="92"/>
  <c r="R191" i="92" s="1"/>
  <c r="G47" i="113"/>
  <c r="G63" i="107"/>
  <c r="T61" i="102"/>
  <c r="G6" i="96"/>
  <c r="G81" i="92"/>
  <c r="G12" i="113"/>
  <c r="G166" i="92"/>
  <c r="G7" i="92"/>
  <c r="G6" i="89"/>
  <c r="G4" i="89"/>
  <c r="G2" i="89"/>
  <c r="G112" i="113"/>
  <c r="G80" i="108"/>
  <c r="G45" i="102"/>
  <c r="G120" i="92"/>
  <c r="G126" i="90"/>
  <c r="G25" i="120"/>
  <c r="T21" i="97"/>
  <c r="U21" i="97" s="1"/>
  <c r="G46" i="92"/>
  <c r="G33" i="90"/>
  <c r="G24" i="108"/>
  <c r="G19" i="97"/>
  <c r="G54" i="90"/>
  <c r="G4" i="87"/>
  <c r="G4" i="105"/>
  <c r="G5" i="92"/>
  <c r="G59" i="110"/>
  <c r="G66" i="108"/>
  <c r="P61" i="102"/>
  <c r="R61" i="102" s="1"/>
  <c r="G10" i="97"/>
  <c r="G148" i="90"/>
  <c r="G20" i="90"/>
  <c r="G20" i="82"/>
  <c r="P36" i="78"/>
  <c r="R36" i="78" s="1"/>
  <c r="W36" i="78"/>
  <c r="G55" i="108"/>
  <c r="G17" i="90"/>
  <c r="G34" i="78"/>
  <c r="G27" i="73"/>
  <c r="G37" i="92"/>
  <c r="P48" i="74"/>
  <c r="R48" i="74" s="1"/>
  <c r="W48" i="74"/>
  <c r="G13" i="71"/>
  <c r="G12" i="79"/>
  <c r="G189" i="76"/>
  <c r="G61" i="76"/>
  <c r="G21" i="68"/>
  <c r="G60" i="110"/>
  <c r="G27" i="90"/>
  <c r="G53" i="80"/>
  <c r="G45" i="80"/>
  <c r="G37" i="80"/>
  <c r="G29" i="80"/>
  <c r="G16" i="80"/>
  <c r="G6" i="80"/>
  <c r="G42" i="80"/>
  <c r="G34" i="80"/>
  <c r="G26" i="80"/>
  <c r="G23" i="80"/>
  <c r="G17" i="80"/>
  <c r="G7" i="80"/>
  <c r="G59" i="80"/>
  <c r="G24" i="80"/>
  <c r="G46" i="80"/>
  <c r="G13" i="80"/>
  <c r="G35" i="80"/>
  <c r="G5" i="80"/>
  <c r="G4" i="80"/>
  <c r="G38" i="80"/>
  <c r="G10" i="80"/>
  <c r="G3" i="80"/>
  <c r="G27" i="80"/>
  <c r="G19" i="80"/>
  <c r="G43" i="80"/>
  <c r="G14" i="80"/>
  <c r="G51" i="80"/>
  <c r="G54" i="80"/>
  <c r="G20" i="74"/>
  <c r="G29" i="71"/>
  <c r="G14" i="68"/>
  <c r="G69" i="107"/>
  <c r="G15" i="80"/>
  <c r="G237" i="76"/>
  <c r="G109" i="76"/>
  <c r="G33" i="74"/>
  <c r="G2" i="52"/>
  <c r="G60" i="86"/>
  <c r="G85" i="76"/>
  <c r="G11" i="71"/>
  <c r="T14" i="63"/>
  <c r="U14" i="63" s="1"/>
  <c r="G82" i="49"/>
  <c r="G59" i="73"/>
  <c r="G2" i="49"/>
  <c r="S13" i="41"/>
  <c r="U13" i="41" s="1"/>
  <c r="G13" i="102"/>
  <c r="G115" i="76"/>
  <c r="G5" i="71"/>
  <c r="G3" i="63"/>
  <c r="G138" i="49"/>
  <c r="G56" i="49"/>
  <c r="G5" i="46"/>
  <c r="G39" i="73"/>
  <c r="R14" i="63"/>
  <c r="W9" i="61"/>
  <c r="G141" i="49"/>
  <c r="G32" i="78"/>
  <c r="G21" i="76"/>
  <c r="G7" i="50"/>
  <c r="G66" i="49"/>
  <c r="G4" i="47"/>
  <c r="G41" i="74"/>
  <c r="G6" i="57"/>
  <c r="G8" i="57"/>
  <c r="G9" i="57"/>
  <c r="G4" i="57"/>
  <c r="G2" i="57"/>
  <c r="G101" i="49"/>
  <c r="G9" i="41"/>
  <c r="G5" i="89"/>
  <c r="G3" i="57"/>
  <c r="G50" i="49"/>
  <c r="G24" i="92"/>
  <c r="G4" i="50"/>
  <c r="S15" i="50"/>
  <c r="U15" i="50" s="1"/>
  <c r="G17" i="73"/>
  <c r="G31" i="38"/>
  <c r="G52" i="110"/>
  <c r="G83" i="49"/>
  <c r="G45" i="38"/>
  <c r="G39" i="40"/>
  <c r="G9" i="25"/>
  <c r="G58" i="12"/>
  <c r="G3" i="26"/>
  <c r="G54" i="12"/>
  <c r="U53" i="40"/>
  <c r="R43" i="35"/>
  <c r="G6" i="12"/>
  <c r="G2" i="24"/>
  <c r="G34" i="12"/>
  <c r="G7" i="36"/>
  <c r="G10" i="32"/>
  <c r="G36" i="12"/>
  <c r="G9" i="32"/>
  <c r="G37" i="38"/>
  <c r="R3" i="113"/>
  <c r="G6" i="25"/>
  <c r="G11" i="30"/>
  <c r="G18" i="12"/>
  <c r="R3" i="177"/>
  <c r="R10" i="120"/>
  <c r="R11" i="120"/>
  <c r="R2" i="111"/>
  <c r="Q23" i="16"/>
  <c r="U2" i="130"/>
  <c r="U3" i="68"/>
  <c r="T53" i="16"/>
  <c r="G1028" i="3"/>
  <c r="G1031" i="3"/>
  <c r="G1023" i="3"/>
  <c r="G1015" i="3"/>
  <c r="G997" i="3"/>
  <c r="G989" i="3"/>
  <c r="G981" i="3"/>
  <c r="G973" i="3"/>
  <c r="G965" i="3"/>
  <c r="G957" i="3"/>
  <c r="G952" i="3"/>
  <c r="G944" i="3"/>
  <c r="G936" i="3"/>
  <c r="G928" i="3"/>
  <c r="G920" i="3"/>
  <c r="G905" i="3"/>
  <c r="G897" i="3"/>
  <c r="G889" i="3"/>
  <c r="G881" i="3"/>
  <c r="G873" i="3"/>
  <c r="G865" i="3"/>
  <c r="G857" i="3"/>
  <c r="G849" i="3"/>
  <c r="G841" i="3"/>
  <c r="G833" i="3"/>
  <c r="G825" i="3"/>
  <c r="G817" i="3"/>
  <c r="G1018" i="3"/>
  <c r="G1008" i="3"/>
  <c r="G984" i="3"/>
  <c r="G976" i="3"/>
  <c r="G968" i="3"/>
  <c r="G960" i="3"/>
  <c r="G947" i="3"/>
  <c r="G939" i="3"/>
  <c r="G931" i="3"/>
  <c r="G923" i="3"/>
  <c r="G915" i="3"/>
  <c r="G908" i="3"/>
  <c r="G900" i="3"/>
  <c r="G892" i="3"/>
  <c r="G884" i="3"/>
  <c r="G876" i="3"/>
  <c r="G868" i="3"/>
  <c r="G860" i="3"/>
  <c r="G852" i="3"/>
  <c r="G844" i="3"/>
  <c r="G836" i="3"/>
  <c r="G828" i="3"/>
  <c r="G820" i="3"/>
  <c r="G812" i="3"/>
  <c r="G1029" i="3"/>
  <c r="G955" i="3"/>
  <c r="G903" i="3"/>
  <c r="G895" i="3"/>
  <c r="G887" i="3"/>
  <c r="G879" i="3"/>
  <c r="G871" i="3"/>
  <c r="G863" i="3"/>
  <c r="G855" i="3"/>
  <c r="G847" i="3"/>
  <c r="G839" i="3"/>
  <c r="G831" i="3"/>
  <c r="G823" i="3"/>
  <c r="G815" i="3"/>
  <c r="G807" i="3"/>
  <c r="G799" i="3"/>
  <c r="G972" i="3"/>
  <c r="G940" i="3"/>
  <c r="G909" i="3"/>
  <c r="G877" i="3"/>
  <c r="G845" i="3"/>
  <c r="G813" i="3"/>
  <c r="G808" i="3"/>
  <c r="G783" i="3"/>
  <c r="G775" i="3"/>
  <c r="G767" i="3"/>
  <c r="G759" i="3"/>
  <c r="G751" i="3"/>
  <c r="G743" i="3"/>
  <c r="G735" i="3"/>
  <c r="G727" i="3"/>
  <c r="G719" i="3"/>
  <c r="G711" i="3"/>
  <c r="G703" i="3"/>
  <c r="G695" i="3"/>
  <c r="G687" i="3"/>
  <c r="G679" i="3"/>
  <c r="G671" i="3"/>
  <c r="G663" i="3"/>
  <c r="G655" i="3"/>
  <c r="G647" i="3"/>
  <c r="G639" i="3"/>
  <c r="G631" i="3"/>
  <c r="G623" i="3"/>
  <c r="G615" i="3"/>
  <c r="G607" i="3"/>
  <c r="G599" i="3"/>
  <c r="G591" i="3"/>
  <c r="G583" i="3"/>
  <c r="G575" i="3"/>
  <c r="G567" i="3"/>
  <c r="G559" i="3"/>
  <c r="G551" i="3"/>
  <c r="G543" i="3"/>
  <c r="G535" i="3"/>
  <c r="G527" i="3"/>
  <c r="G519" i="3"/>
  <c r="G511" i="3"/>
  <c r="G503" i="3"/>
  <c r="G496" i="3"/>
  <c r="G488" i="3"/>
  <c r="G480" i="3"/>
  <c r="G472" i="3"/>
  <c r="G464" i="3"/>
  <c r="G456" i="3"/>
  <c r="G448" i="3"/>
  <c r="G440" i="3"/>
  <c r="G432" i="3"/>
  <c r="G424" i="3"/>
  <c r="G416" i="3"/>
  <c r="G408" i="3"/>
  <c r="G400" i="3"/>
  <c r="G392" i="3"/>
  <c r="G384" i="3"/>
  <c r="G376" i="3"/>
  <c r="G368" i="3"/>
  <c r="G360" i="3"/>
  <c r="G352" i="3"/>
  <c r="G344" i="3"/>
  <c r="G336" i="3"/>
  <c r="G328" i="3"/>
  <c r="G320" i="3"/>
  <c r="G312" i="3"/>
  <c r="G304" i="3"/>
  <c r="G296" i="3"/>
  <c r="G288" i="3"/>
  <c r="G280" i="3"/>
  <c r="G272" i="3"/>
  <c r="G1004" i="3"/>
  <c r="G977" i="3"/>
  <c r="G927" i="3"/>
  <c r="G896" i="3"/>
  <c r="G864" i="3"/>
  <c r="G832" i="3"/>
  <c r="G801" i="3"/>
  <c r="G1027" i="3"/>
  <c r="G1022" i="3"/>
  <c r="G964" i="3"/>
  <c r="G932" i="3"/>
  <c r="G901" i="3"/>
  <c r="G869" i="3"/>
  <c r="G837" i="3"/>
  <c r="G796" i="3"/>
  <c r="G792" i="3"/>
  <c r="G781" i="3"/>
  <c r="G773" i="3"/>
  <c r="G765" i="3"/>
  <c r="G757" i="3"/>
  <c r="G749" i="3"/>
  <c r="G741" i="3"/>
  <c r="G733" i="3"/>
  <c r="G725" i="3"/>
  <c r="G717" i="3"/>
  <c r="G709" i="3"/>
  <c r="G701" i="3"/>
  <c r="G693" i="3"/>
  <c r="G685" i="3"/>
  <c r="G677" i="3"/>
  <c r="G669" i="3"/>
  <c r="G661" i="3"/>
  <c r="G653" i="3"/>
  <c r="G645" i="3"/>
  <c r="G637" i="3"/>
  <c r="G629" i="3"/>
  <c r="G621" i="3"/>
  <c r="G613" i="3"/>
  <c r="G605" i="3"/>
  <c r="G597" i="3"/>
  <c r="G589" i="3"/>
  <c r="G581" i="3"/>
  <c r="G573" i="3"/>
  <c r="G565" i="3"/>
  <c r="G557" i="3"/>
  <c r="G549" i="3"/>
  <c r="G541" i="3"/>
  <c r="G533" i="3"/>
  <c r="G525" i="3"/>
  <c r="G517" i="3"/>
  <c r="G509" i="3"/>
  <c r="G501" i="3"/>
  <c r="G494" i="3"/>
  <c r="G486" i="3"/>
  <c r="G478" i="3"/>
  <c r="G470" i="3"/>
  <c r="G462" i="3"/>
  <c r="G454" i="3"/>
  <c r="G446" i="3"/>
  <c r="G438" i="3"/>
  <c r="G430" i="3"/>
  <c r="G422" i="3"/>
  <c r="G414" i="3"/>
  <c r="G406" i="3"/>
  <c r="G398" i="3"/>
  <c r="G390" i="3"/>
  <c r="G382" i="3"/>
  <c r="G374" i="3"/>
  <c r="G366" i="3"/>
  <c r="G358" i="3"/>
  <c r="G350" i="3"/>
  <c r="G342" i="3"/>
  <c r="G334" i="3"/>
  <c r="G326" i="3"/>
  <c r="G318" i="3"/>
  <c r="G310" i="3"/>
  <c r="G302" i="3"/>
  <c r="G294" i="3"/>
  <c r="G286" i="3"/>
  <c r="G278" i="3"/>
  <c r="G270" i="3"/>
  <c r="G262" i="3"/>
  <c r="G254" i="3"/>
  <c r="G246" i="3"/>
  <c r="G238" i="3"/>
  <c r="G230" i="3"/>
  <c r="G1009" i="3"/>
  <c r="G1001" i="3"/>
  <c r="G996" i="3"/>
  <c r="G969" i="3"/>
  <c r="G951" i="3"/>
  <c r="G919" i="3"/>
  <c r="G888" i="3"/>
  <c r="G856" i="3"/>
  <c r="G824" i="3"/>
  <c r="G805" i="3"/>
  <c r="G784" i="3"/>
  <c r="G776" i="3"/>
  <c r="G768" i="3"/>
  <c r="G760" i="3"/>
  <c r="G752" i="3"/>
  <c r="G744" i="3"/>
  <c r="G736" i="3"/>
  <c r="G728" i="3"/>
  <c r="G720" i="3"/>
  <c r="G712" i="3"/>
  <c r="G704" i="3"/>
  <c r="G696" i="3"/>
  <c r="G688" i="3"/>
  <c r="G680" i="3"/>
  <c r="G672" i="3"/>
  <c r="G664" i="3"/>
  <c r="G656" i="3"/>
  <c r="G377" i="3"/>
  <c r="G369" i="3"/>
  <c r="G361" i="3"/>
  <c r="G241" i="3"/>
  <c r="G225" i="3"/>
  <c r="G217" i="3"/>
  <c r="G209" i="3"/>
  <c r="G201" i="3"/>
  <c r="G1014" i="3"/>
  <c r="G988" i="3"/>
  <c r="G956" i="3"/>
  <c r="G800" i="3"/>
  <c r="G935" i="3"/>
  <c r="G904" i="3"/>
  <c r="G872" i="3"/>
  <c r="G840" i="3"/>
  <c r="G777" i="3"/>
  <c r="G758" i="3"/>
  <c r="G745" i="3"/>
  <c r="G726" i="3"/>
  <c r="G713" i="3"/>
  <c r="G681" i="3"/>
  <c r="G649" i="3"/>
  <c r="G617" i="3"/>
  <c r="G585" i="3"/>
  <c r="G553" i="3"/>
  <c r="G521" i="3"/>
  <c r="G490" i="3"/>
  <c r="G458" i="3"/>
  <c r="G426" i="3"/>
  <c r="G394" i="3"/>
  <c r="G362" i="3"/>
  <c r="G330" i="3"/>
  <c r="G298" i="3"/>
  <c r="G266" i="3"/>
  <c r="G224" i="3"/>
  <c r="G208" i="3"/>
  <c r="G753" i="3"/>
  <c r="G702" i="3"/>
  <c r="G689" i="3"/>
  <c r="G670" i="3"/>
  <c r="G657" i="3"/>
  <c r="G606" i="3"/>
  <c r="G593" i="3"/>
  <c r="G561" i="3"/>
  <c r="G542" i="3"/>
  <c r="G402" i="3"/>
  <c r="G383" i="3"/>
  <c r="G306" i="3"/>
  <c r="G194" i="3"/>
  <c r="G123" i="3"/>
  <c r="G19" i="3"/>
  <c r="G1030" i="3"/>
  <c r="G804" i="3"/>
  <c r="G791" i="3"/>
  <c r="G789" i="3"/>
  <c r="G782" i="3"/>
  <c r="G264" i="3"/>
  <c r="G242" i="3"/>
  <c r="G231" i="3"/>
  <c r="G193" i="3"/>
  <c r="G181" i="3"/>
  <c r="G177" i="3"/>
  <c r="G156" i="3"/>
  <c r="G148" i="3"/>
  <c r="G140" i="3"/>
  <c r="G132" i="3"/>
  <c r="G124" i="3"/>
  <c r="G116" i="3"/>
  <c r="G108" i="3"/>
  <c r="G100" i="3"/>
  <c r="G92" i="3"/>
  <c r="G84" i="3"/>
  <c r="G76" i="3"/>
  <c r="G68" i="3"/>
  <c r="G60" i="3"/>
  <c r="G52" i="3"/>
  <c r="G44" i="3"/>
  <c r="G36" i="3"/>
  <c r="G28" i="3"/>
  <c r="G20" i="3"/>
  <c r="G12" i="3"/>
  <c r="G274" i="3"/>
  <c r="G83" i="3"/>
  <c r="G769" i="3"/>
  <c r="G737" i="3"/>
  <c r="G705" i="3"/>
  <c r="G673" i="3"/>
  <c r="G641" i="3"/>
  <c r="G609" i="3"/>
  <c r="G577" i="3"/>
  <c r="G545" i="3"/>
  <c r="G513" i="3"/>
  <c r="G482" i="3"/>
  <c r="G450" i="3"/>
  <c r="G418" i="3"/>
  <c r="G386" i="3"/>
  <c r="G354" i="3"/>
  <c r="G322" i="3"/>
  <c r="G290" i="3"/>
  <c r="G240" i="3"/>
  <c r="G179" i="3"/>
  <c r="G2" i="3"/>
  <c r="G58" i="3"/>
  <c r="G50" i="3"/>
  <c r="G42" i="3"/>
  <c r="G34" i="3"/>
  <c r="G10" i="3"/>
  <c r="G510" i="3"/>
  <c r="G434" i="3"/>
  <c r="G338" i="3"/>
  <c r="G239" i="3"/>
  <c r="G178" i="3"/>
  <c r="G99" i="3"/>
  <c r="G809" i="3"/>
  <c r="G793" i="3"/>
  <c r="G258" i="3"/>
  <c r="G247" i="3"/>
  <c r="G218" i="3"/>
  <c r="G214" i="3"/>
  <c r="G202" i="3"/>
  <c r="G198" i="3"/>
  <c r="G163" i="3"/>
  <c r="G154" i="3"/>
  <c r="G146" i="3"/>
  <c r="G138" i="3"/>
  <c r="G130" i="3"/>
  <c r="G122" i="3"/>
  <c r="G114" i="3"/>
  <c r="G106" i="3"/>
  <c r="G98" i="3"/>
  <c r="G90" i="3"/>
  <c r="G82" i="3"/>
  <c r="G74" i="3"/>
  <c r="G66" i="3"/>
  <c r="G26" i="3"/>
  <c r="G18" i="3"/>
  <c r="G761" i="3"/>
  <c r="G729" i="3"/>
  <c r="G697" i="3"/>
  <c r="G665" i="3"/>
  <c r="G633" i="3"/>
  <c r="G601" i="3"/>
  <c r="G569" i="3"/>
  <c r="G537" i="3"/>
  <c r="G505" i="3"/>
  <c r="G474" i="3"/>
  <c r="G442" i="3"/>
  <c r="G410" i="3"/>
  <c r="G378" i="3"/>
  <c r="G346" i="3"/>
  <c r="G314" i="3"/>
  <c r="G282" i="3"/>
  <c r="G256" i="3"/>
  <c r="G234" i="3"/>
  <c r="G216" i="3"/>
  <c r="G200" i="3"/>
  <c r="G161" i="3"/>
  <c r="G466" i="3"/>
  <c r="G447" i="3"/>
  <c r="G319" i="3"/>
  <c r="G287" i="3"/>
  <c r="G250" i="3"/>
  <c r="G171" i="3"/>
  <c r="G155" i="3"/>
  <c r="G147" i="3"/>
  <c r="G139" i="3"/>
  <c r="G107" i="3"/>
  <c r="G75" i="3"/>
  <c r="G27" i="3"/>
  <c r="G11" i="3"/>
  <c r="G943" i="3"/>
  <c r="G912" i="3"/>
  <c r="G880" i="3"/>
  <c r="G848" i="3"/>
  <c r="G816" i="3"/>
  <c r="G785" i="3"/>
  <c r="G232" i="3"/>
  <c r="G189" i="3"/>
  <c r="G185" i="3"/>
  <c r="G173" i="3"/>
  <c r="G169" i="3"/>
  <c r="G529" i="3"/>
  <c r="G498" i="3"/>
  <c r="G415" i="3"/>
  <c r="G370" i="3"/>
  <c r="G67" i="3"/>
  <c r="G59" i="3"/>
  <c r="G51" i="3"/>
  <c r="G43" i="3"/>
  <c r="G980" i="3"/>
  <c r="G948" i="3"/>
  <c r="G916" i="3"/>
  <c r="G885" i="3"/>
  <c r="G853" i="3"/>
  <c r="G821" i="3"/>
  <c r="G766" i="3"/>
  <c r="G734" i="3"/>
  <c r="G721" i="3"/>
  <c r="G638" i="3"/>
  <c r="G625" i="3"/>
  <c r="G131" i="3"/>
  <c r="G248" i="3"/>
  <c r="G226" i="3"/>
  <c r="G222" i="3"/>
  <c r="G210" i="3"/>
  <c r="G206" i="3"/>
  <c r="G160" i="3"/>
  <c r="G158" i="3"/>
  <c r="G150" i="3"/>
  <c r="G142" i="3"/>
  <c r="G134" i="3"/>
  <c r="G126" i="3"/>
  <c r="G118" i="3"/>
  <c r="G110" i="3"/>
  <c r="G102" i="3"/>
  <c r="G94" i="3"/>
  <c r="G86" i="3"/>
  <c r="G78" i="3"/>
  <c r="G70" i="3"/>
  <c r="G62" i="3"/>
  <c r="G54" i="3"/>
  <c r="G46" i="3"/>
  <c r="G38" i="3"/>
  <c r="G30" i="3"/>
  <c r="G22" i="3"/>
  <c r="G14" i="3"/>
  <c r="G6" i="3"/>
  <c r="G574" i="3"/>
  <c r="G479" i="3"/>
  <c r="G351" i="3"/>
  <c r="G187" i="3"/>
  <c r="G115" i="3"/>
  <c r="G91" i="3"/>
  <c r="G35" i="3"/>
  <c r="G846" i="3"/>
  <c r="G795" i="3"/>
  <c r="R2" i="80"/>
  <c r="Q29" i="16"/>
  <c r="R2" i="72"/>
  <c r="Q40" i="16"/>
  <c r="G682" i="3"/>
  <c r="G648" i="3"/>
  <c r="G616" i="3"/>
  <c r="G584" i="3"/>
  <c r="G552" i="3"/>
  <c r="G520" i="3"/>
  <c r="G260" i="3"/>
  <c r="R3" i="184"/>
  <c r="Q12" i="16"/>
  <c r="U8" i="168"/>
  <c r="T5" i="16"/>
  <c r="G15" i="23"/>
  <c r="G893" i="3"/>
  <c r="G921" i="3"/>
  <c r="G787" i="3"/>
  <c r="G748" i="3"/>
  <c r="G546" i="3"/>
  <c r="G512" i="3"/>
  <c r="G301" i="3"/>
  <c r="G164" i="3"/>
  <c r="G168" i="3"/>
  <c r="G88" i="3"/>
  <c r="G41" i="3"/>
  <c r="G534" i="3"/>
  <c r="G710" i="3"/>
  <c r="G103" i="3"/>
  <c r="G33" i="3"/>
  <c r="G137" i="3"/>
  <c r="G558" i="3"/>
  <c r="G303" i="3"/>
  <c r="G77" i="3"/>
  <c r="G311" i="3"/>
  <c r="G774" i="3"/>
  <c r="G80" i="3"/>
  <c r="G742" i="3"/>
  <c r="G391" i="3"/>
  <c r="G133" i="3"/>
  <c r="G17" i="3"/>
  <c r="G15" i="134" l="1"/>
  <c r="G12" i="135"/>
  <c r="G36" i="56"/>
  <c r="G9" i="99"/>
  <c r="U36" i="56"/>
  <c r="U191" i="92"/>
  <c r="R70" i="110"/>
  <c r="U61" i="102"/>
  <c r="U17" i="98"/>
  <c r="G8" i="165"/>
  <c r="G8" i="81"/>
  <c r="G13" i="140"/>
  <c r="G6" i="130"/>
  <c r="G8" i="106"/>
  <c r="G6" i="133"/>
  <c r="G17" i="109"/>
  <c r="G6" i="59"/>
  <c r="G7" i="127"/>
  <c r="G9" i="103"/>
  <c r="G15" i="132"/>
  <c r="G14" i="125"/>
  <c r="G7" i="54"/>
  <c r="G12" i="117"/>
  <c r="G10" i="58"/>
  <c r="G10" i="115"/>
  <c r="G9" i="53"/>
  <c r="G13" i="118"/>
  <c r="G7" i="94"/>
  <c r="G6" i="87"/>
  <c r="G18" i="163"/>
  <c r="G34" i="124"/>
  <c r="G8" i="112"/>
  <c r="G12" i="85"/>
  <c r="G90" i="107"/>
  <c r="G11" i="100"/>
  <c r="G67" i="86"/>
  <c r="G70" i="110"/>
  <c r="G61" i="102"/>
  <c r="G125" i="196"/>
  <c r="G10" i="101"/>
  <c r="G61" i="80"/>
  <c r="G72" i="119"/>
  <c r="G36" i="120"/>
  <c r="G21" i="97"/>
  <c r="G12" i="126"/>
  <c r="G8" i="96"/>
  <c r="G24" i="82"/>
  <c r="G42" i="131"/>
  <c r="G23" i="116"/>
  <c r="G40" i="123"/>
  <c r="G11" i="52"/>
  <c r="G27" i="122"/>
  <c r="G31" i="137"/>
  <c r="G25" i="139"/>
  <c r="G125" i="108"/>
  <c r="U23" i="116"/>
  <c r="G8" i="83"/>
  <c r="U27" i="177"/>
  <c r="R61" i="80"/>
  <c r="G194" i="90"/>
  <c r="G12" i="57"/>
  <c r="G8" i="104"/>
  <c r="G9" i="88"/>
  <c r="U32" i="68"/>
  <c r="G8" i="89"/>
  <c r="G156" i="113"/>
  <c r="R36" i="120"/>
  <c r="G86" i="129"/>
  <c r="G19" i="121"/>
  <c r="G17" i="98"/>
  <c r="G11" i="111"/>
</calcChain>
</file>

<file path=xl/sharedStrings.xml><?xml version="1.0" encoding="utf-8"?>
<sst xmlns="http://schemas.openxmlformats.org/spreadsheetml/2006/main" count="14077" uniqueCount="6063">
  <si>
    <t xml:space="preserve"> </t>
  </si>
  <si>
    <t>Index</t>
  </si>
  <si>
    <t>Total Fall During Correction</t>
  </si>
  <si>
    <t>Far from Lifetime High %</t>
  </si>
  <si>
    <t>NIFTY500</t>
  </si>
  <si>
    <t>H1_fy25</t>
  </si>
  <si>
    <t>9M_fy25</t>
  </si>
  <si>
    <t>fy25</t>
  </si>
  <si>
    <t>Q1_FY26</t>
  </si>
  <si>
    <t>H1_fy26</t>
  </si>
  <si>
    <t>9M_fy26</t>
  </si>
  <si>
    <t>Est_Fy_26</t>
  </si>
  <si>
    <t>Fy_25 Sales</t>
  </si>
  <si>
    <t>Est_Fy26_Sales</t>
  </si>
  <si>
    <t>Growth</t>
  </si>
  <si>
    <t>Particulars</t>
  </si>
  <si>
    <t>Coverage</t>
  </si>
  <si>
    <t>Nifty_50</t>
  </si>
  <si>
    <t>Sales_Growth</t>
  </si>
  <si>
    <t>TOTAL MARKET CAP</t>
  </si>
  <si>
    <t>LargeCap/100</t>
  </si>
  <si>
    <t>Profit Growth</t>
  </si>
  <si>
    <t>MARKET CAP COVERED</t>
  </si>
  <si>
    <t>Midcap/150</t>
  </si>
  <si>
    <t>TOTAL COMPANY COVERED</t>
  </si>
  <si>
    <t>Smallcap_250</t>
  </si>
  <si>
    <t>Focused Companies</t>
  </si>
  <si>
    <t>Q1_fy26</t>
  </si>
  <si>
    <t>Fy_26</t>
  </si>
  <si>
    <t>Market Cap %</t>
  </si>
  <si>
    <t>Nifty_500</t>
  </si>
  <si>
    <t>Company (Nifty AllCap)</t>
  </si>
  <si>
    <t>Microcap_250</t>
  </si>
  <si>
    <t>Sales Growth H1_FY26</t>
  </si>
  <si>
    <t>SME</t>
  </si>
  <si>
    <t>Profit Growth H1_FY26</t>
  </si>
  <si>
    <t>Sales Growth 9M_FY26</t>
  </si>
  <si>
    <t>Profit Growth 9M_FY26</t>
  </si>
  <si>
    <t>Sales Growth Q3_FY26</t>
  </si>
  <si>
    <t>Basket</t>
  </si>
  <si>
    <t>SalesGr 9M_FY26</t>
  </si>
  <si>
    <t>ProfitGr 9M_FY26</t>
  </si>
  <si>
    <t>SalesGr Q3_FY26</t>
  </si>
  <si>
    <t>ProfitGr Q3_FY26</t>
  </si>
  <si>
    <t>Profit Growth Q3_FY26</t>
  </si>
  <si>
    <t>Gati Shakti</t>
  </si>
  <si>
    <t>Atmanirbhar</t>
  </si>
  <si>
    <t>Bharat Samriddhi</t>
  </si>
  <si>
    <t>Naya Bharat</t>
  </si>
  <si>
    <t>FY_22</t>
  </si>
  <si>
    <t>FY_23</t>
  </si>
  <si>
    <t>fy_24</t>
  </si>
  <si>
    <t>FY_25</t>
  </si>
  <si>
    <t>Est_FY_26</t>
  </si>
  <si>
    <t>Bharat Artha</t>
  </si>
  <si>
    <t>GDP GROWTH % (NOMINAL)</t>
  </si>
  <si>
    <t>Bharat Urja</t>
  </si>
  <si>
    <t>Sales_Growth %</t>
  </si>
  <si>
    <t>Profit Growth %</t>
  </si>
  <si>
    <t>Trail_PE</t>
  </si>
  <si>
    <t>Nifty_500_Price</t>
  </si>
  <si>
    <t>EST_Cash to Equity in %</t>
  </si>
  <si>
    <t>NIFTY_50</t>
  </si>
  <si>
    <t>NIFTY_100 (LARGE CAP)</t>
  </si>
  <si>
    <t>Mid Cap_150</t>
  </si>
  <si>
    <t>Small Cap_250</t>
  </si>
  <si>
    <t>NIFTY_500</t>
  </si>
  <si>
    <t>MicroCap_250</t>
  </si>
  <si>
    <t>NIFTY_ALLCAP</t>
  </si>
  <si>
    <t>NIFTY_Rest_260</t>
  </si>
  <si>
    <t>Gems, Jewellery And Watches</t>
  </si>
  <si>
    <t>TITAN</t>
  </si>
  <si>
    <t>Private Sector Bank</t>
  </si>
  <si>
    <t>HDFCBANK</t>
  </si>
  <si>
    <t>BAJFINANCE</t>
  </si>
  <si>
    <t>HDFCAMC</t>
  </si>
  <si>
    <t>Passenger Cars &amp; Utility Vehicles</t>
  </si>
  <si>
    <t>MARUTI</t>
  </si>
  <si>
    <t>Hotels &amp; Resorts</t>
  </si>
  <si>
    <t>ITCHOTELS</t>
  </si>
  <si>
    <t>Housing Finance Company</t>
  </si>
  <si>
    <t>BAJAJHFL</t>
  </si>
  <si>
    <t>2/3 Wheelers</t>
  </si>
  <si>
    <t>BAJAJ-AUTO</t>
  </si>
  <si>
    <t>Diversified Retail</t>
  </si>
  <si>
    <t>DMART</t>
  </si>
  <si>
    <t>General Insurance</t>
  </si>
  <si>
    <t>ICICIGI</t>
  </si>
  <si>
    <t>Tour, Travel Related Services</t>
  </si>
  <si>
    <t>IRCTC</t>
  </si>
  <si>
    <t>Speciality Retail</t>
  </si>
  <si>
    <t>Energy</t>
  </si>
  <si>
    <t>RELIANCE</t>
  </si>
  <si>
    <t>Household Appliances</t>
  </si>
  <si>
    <t>LGEINDIA</t>
  </si>
  <si>
    <t>VOLTAS</t>
  </si>
  <si>
    <t>Garments &amp; Apparels</t>
  </si>
  <si>
    <t>PAGEIND</t>
  </si>
  <si>
    <t>Healthcare Service Provider</t>
  </si>
  <si>
    <t>LALPATHLAB</t>
  </si>
  <si>
    <t>Pharmaceuticals</t>
  </si>
  <si>
    <t>DIVISLAB</t>
  </si>
  <si>
    <t>Paints</t>
  </si>
  <si>
    <t>ASIANPAINT</t>
  </si>
  <si>
    <t>Amusement Parks/ Other Recreation</t>
  </si>
  <si>
    <t>Packaged Foods</t>
  </si>
  <si>
    <t>NESTLEIND</t>
  </si>
  <si>
    <t>Public Sector Bank</t>
  </si>
  <si>
    <t>SBIN</t>
  </si>
  <si>
    <t>Cement &amp; Cement Products</t>
  </si>
  <si>
    <t>ULTRACEMCO</t>
  </si>
  <si>
    <t>Consumer Electronics</t>
  </si>
  <si>
    <t>DIXON</t>
  </si>
  <si>
    <t>Hospital</t>
  </si>
  <si>
    <t>APOLLOHOSP</t>
  </si>
  <si>
    <t>Ceramics</t>
  </si>
  <si>
    <t>KAJARIACER</t>
  </si>
  <si>
    <t>Diversified FMCG</t>
  </si>
  <si>
    <t>HINDUNILVR</t>
  </si>
  <si>
    <t>PIDILITIND</t>
  </si>
  <si>
    <t>E-Retail/ E-Commerce</t>
  </si>
  <si>
    <t>ETERNAL</t>
  </si>
  <si>
    <t>Internet &amp; Catalogue Retail</t>
  </si>
  <si>
    <t>NAUKRI</t>
  </si>
  <si>
    <t>Restaurants</t>
  </si>
  <si>
    <t>JUBLFOOD</t>
  </si>
  <si>
    <t>Tea &amp; Coffee</t>
  </si>
  <si>
    <t>TATACONSUM</t>
  </si>
  <si>
    <t>Telecom - Cellular &amp; Fixed line services</t>
  </si>
  <si>
    <t>BHARTIARTL</t>
  </si>
  <si>
    <t>Edible Oil</t>
  </si>
  <si>
    <t>Residential, Commercial Projects</t>
  </si>
  <si>
    <t>GODREJPROP</t>
  </si>
  <si>
    <t>Education</t>
  </si>
  <si>
    <t>NIITMTS</t>
  </si>
  <si>
    <t>Airline</t>
  </si>
  <si>
    <t>INDIGO</t>
  </si>
  <si>
    <t>Life Insurance</t>
  </si>
  <si>
    <t>HDFCLIFE</t>
  </si>
  <si>
    <t>CDSL</t>
  </si>
  <si>
    <t>MANYAVAR</t>
  </si>
  <si>
    <t xml:space="preserve">      </t>
  </si>
  <si>
    <t>Company Name</t>
  </si>
  <si>
    <t>Symbol</t>
  </si>
  <si>
    <t>Macro-Economic Sector</t>
  </si>
  <si>
    <t>Basic Industry</t>
  </si>
  <si>
    <t>Price</t>
  </si>
  <si>
    <t>MarketCap</t>
  </si>
  <si>
    <t>Weightage</t>
  </si>
  <si>
    <t>Sales 9M_FY26</t>
  </si>
  <si>
    <t>Sales 9M_FY25</t>
  </si>
  <si>
    <t>Profit 9M_FY26</t>
  </si>
  <si>
    <t>Profit 9M_FY25</t>
  </si>
  <si>
    <t>Sales Q3_FY26</t>
  </si>
  <si>
    <t>Sales Q3_FY25</t>
  </si>
  <si>
    <t>Profit Q3_FY26</t>
  </si>
  <si>
    <t>Profit Q3_FY25</t>
  </si>
  <si>
    <t>Margin 9M_FY26</t>
  </si>
  <si>
    <t>Margin 9M_FY25</t>
  </si>
  <si>
    <t>Margin Change 9M_FY26</t>
  </si>
  <si>
    <t>Margin Q3_FY26</t>
  </si>
  <si>
    <t>Margin Q3_FY25</t>
  </si>
  <si>
    <t>Margin Change Q3_FY26</t>
  </si>
  <si>
    <t>Sales Gr. 9M_FY26</t>
  </si>
  <si>
    <t>Profit  Gr. 9M_FY26</t>
  </si>
  <si>
    <t>Sales Gr Q3_FY26</t>
  </si>
  <si>
    <t>Profit Gr Q3_FY26</t>
  </si>
  <si>
    <t>RELIANCE INDUSTRIES LTD.</t>
  </si>
  <si>
    <t>Refineries &amp; Marketing</t>
  </si>
  <si>
    <t>BHARTI AIRTEL LTD.</t>
  </si>
  <si>
    <t>Telecommunication</t>
  </si>
  <si>
    <t>ICICI BANK LTD.</t>
  </si>
  <si>
    <t>Financial Services</t>
  </si>
  <si>
    <t>TATA CONSULTANCY SERVICES LTD.</t>
  </si>
  <si>
    <t>Information Technology</t>
  </si>
  <si>
    <t>Computers - Software &amp; Consulting</t>
  </si>
  <si>
    <t>HDFC BANK LTD.</t>
  </si>
  <si>
    <t>BAJAJ FINANCE LIMITED</t>
  </si>
  <si>
    <t>Non Banking Financial Company (NBFC)</t>
  </si>
  <si>
    <t>LARSEN &amp; TOUBRO LTD.</t>
  </si>
  <si>
    <t>Industrials</t>
  </si>
  <si>
    <t>Civil Construction</t>
  </si>
  <si>
    <t>HINDUSTAN UNILEVER LTD.</t>
  </si>
  <si>
    <t>Fast Moving Consumer Goods</t>
  </si>
  <si>
    <t>INFOSYS LTD.</t>
  </si>
  <si>
    <t>LIFE INSURANCE CORPORATION OF</t>
  </si>
  <si>
    <t>MARUTI SUZUKI INDIA LTD.</t>
  </si>
  <si>
    <t>Consumer Discretionary</t>
  </si>
  <si>
    <t>AXIS BANK LTD.</t>
  </si>
  <si>
    <t>SUN PHARMACEUTICAL INDUSTRIES</t>
  </si>
  <si>
    <t>Healthcare</t>
  </si>
  <si>
    <t>MAHINDRA &amp; MAHINDRA LTD.</t>
  </si>
  <si>
    <t>ITC LTD.</t>
  </si>
  <si>
    <t>TITAN COMPANY LIMITED</t>
  </si>
  <si>
    <t>HCL TECHNOLOGIES LTD.</t>
  </si>
  <si>
    <t>ULTRATECH CEMENT LTD.</t>
  </si>
  <si>
    <t>Commodities</t>
  </si>
  <si>
    <t>NTPC LTD.</t>
  </si>
  <si>
    <t>Utilities</t>
  </si>
  <si>
    <t>Power Generation</t>
  </si>
  <si>
    <t>STATE BANK OF INDIA</t>
  </si>
  <si>
    <t>OIL AND NATURAL GAS CORPORATIO</t>
  </si>
  <si>
    <t>Oil Exploration &amp; Production</t>
  </si>
  <si>
    <t>BHARAT ELECTRONICS LTD.</t>
  </si>
  <si>
    <t>Aerospace &amp; Defense</t>
  </si>
  <si>
    <t>ADANI PORTS AND SPECIAL ECONOM</t>
  </si>
  <si>
    <t>Services</t>
  </si>
  <si>
    <t>Port &amp; Port services</t>
  </si>
  <si>
    <t>BAJAJ FINSERV LTD.</t>
  </si>
  <si>
    <t>Holding Company</t>
  </si>
  <si>
    <t>JSW STEEL LTD.</t>
  </si>
  <si>
    <t>Iron &amp; Steel</t>
  </si>
  <si>
    <t>POWER GRID CORPORATION OF INDI</t>
  </si>
  <si>
    <t>Power - Transmission</t>
  </si>
  <si>
    <t>BAJAJ AUTO LTD.</t>
  </si>
  <si>
    <t>VEDANTA LIMITED</t>
  </si>
  <si>
    <t>Diversified Metals</t>
  </si>
  <si>
    <t>ADANI ENTERPRISES LTD.</t>
  </si>
  <si>
    <t>Trading - Minerals</t>
  </si>
  <si>
    <t>Hindustan Aeronautics Limited</t>
  </si>
  <si>
    <t>TATA STEEL LTD.</t>
  </si>
  <si>
    <t>COAL INDIA LTD.</t>
  </si>
  <si>
    <t>Coal</t>
  </si>
  <si>
    <t>HINDUSTAN ZINC LTD.</t>
  </si>
  <si>
    <t>Zinc</t>
  </si>
  <si>
    <t>INDIAN OIL CORPORATION LTD.</t>
  </si>
  <si>
    <t>NESTLE INDIA LTD.</t>
  </si>
  <si>
    <t>Avenue Supermarts Limited</t>
  </si>
  <si>
    <t>ASIAN PAINTS LTD.</t>
  </si>
  <si>
    <t>Eternal Limited</t>
  </si>
  <si>
    <t>EICHER MOTORS LTD.</t>
  </si>
  <si>
    <t>HINDALCO INDUSTRIES LTD.</t>
  </si>
  <si>
    <t>Aluminium</t>
  </si>
  <si>
    <t>WIPRO LTD.</t>
  </si>
  <si>
    <t>SBI Life Insurance Company Lim</t>
  </si>
  <si>
    <t>Shriram Finance Limited</t>
  </si>
  <si>
    <t>GRASIM INDUSTRIES LTD.</t>
  </si>
  <si>
    <t>TVS MOTOR COMPANY LTD.</t>
  </si>
  <si>
    <t>InterGlobe Aviation Limited</t>
  </si>
  <si>
    <t>HYUNDAI MOTOR INDIA LIMITED</t>
  </si>
  <si>
    <t>DIVIS LABORATORIES LTD.</t>
  </si>
  <si>
    <t>BANK OF BARODA</t>
  </si>
  <si>
    <t>Jio Financial Services Limited</t>
  </si>
  <si>
    <t>Investment Company</t>
  </si>
  <si>
    <t>HDFC LIFE INSURANCE COMPANY LI</t>
  </si>
  <si>
    <t>ICICI AMC</t>
  </si>
  <si>
    <t>Asset Management Company</t>
  </si>
  <si>
    <t>UNION BANK OF INDIA</t>
  </si>
  <si>
    <t>Varun Beverages Limited</t>
  </si>
  <si>
    <t>Other Beverages</t>
  </si>
  <si>
    <t>PIDILITE INDUSTRIES LTD.</t>
  </si>
  <si>
    <t>Specialty Chemicals</t>
  </si>
  <si>
    <t>TORRENT PHARMACEUTICALS LTD.</t>
  </si>
  <si>
    <t>Adani Green Energy Limited</t>
  </si>
  <si>
    <t>DLF LTD.</t>
  </si>
  <si>
    <t>CHOLAMANDALAM INVESTMENT AND F</t>
  </si>
  <si>
    <t>PUNJAB NATIONAL BANK</t>
  </si>
  <si>
    <t>BRITANNIA INDUSTRIES LTD.</t>
  </si>
  <si>
    <t>TATA MOTORS PASSENGER VEHICLES</t>
  </si>
  <si>
    <t>MUTHOOT FINANCE LTD.</t>
  </si>
  <si>
    <t>CANARA BANK</t>
  </si>
  <si>
    <t>Tata Capital Limited</t>
  </si>
  <si>
    <t>TRENT LTD.</t>
  </si>
  <si>
    <t>CUMMINS INDIA LTD.</t>
  </si>
  <si>
    <t>Compressors, Pumps &amp; Diesel Engines</t>
  </si>
  <si>
    <t>POWER FINANCE CORPORATION LTD.</t>
  </si>
  <si>
    <t>Financial Institution</t>
  </si>
  <si>
    <t>LTM</t>
  </si>
  <si>
    <t>TECH MAHINDRA LTD.</t>
  </si>
  <si>
    <t>INDIAN BANK</t>
  </si>
  <si>
    <t>Polycab India Limited</t>
  </si>
  <si>
    <t>Cables - Electricals</t>
  </si>
  <si>
    <t>Indian Railway Finance Corpora</t>
  </si>
  <si>
    <t>JINDAL STEEL LIMITED</t>
  </si>
  <si>
    <t>ABB INDIA LIMITED</t>
  </si>
  <si>
    <t>Heavy Electrical Equipment</t>
  </si>
  <si>
    <t>SOLAR INDUSTRIES INDIA LTD.</t>
  </si>
  <si>
    <t>Explosives</t>
  </si>
  <si>
    <t>ASHOK LEYLAND LTD.</t>
  </si>
  <si>
    <t>Commercial Vehicles</t>
  </si>
  <si>
    <t>IDBI BANK LTD.</t>
  </si>
  <si>
    <t>GODREJ CONSUMER PRODUCTS LTD.</t>
  </si>
  <si>
    <t>Personal Care</t>
  </si>
  <si>
    <t>SIEMENS LTD.</t>
  </si>
  <si>
    <t>INDUS TOWERS LIMITED</t>
  </si>
  <si>
    <t>Telecom - Infrastructure</t>
  </si>
  <si>
    <t>BAJAJ HOLDINGS &amp; INVESTMENT LT</t>
  </si>
  <si>
    <t>TATA POWER CO.LTD.</t>
  </si>
  <si>
    <t>Integrated Power Utilities</t>
  </si>
  <si>
    <t>Adani Energy Solutions Limited</t>
  </si>
  <si>
    <t>Power Distribution</t>
  </si>
  <si>
    <t>HDFC Asset Management Company</t>
  </si>
  <si>
    <t>HITACHI ENERGY INDIA LIMITED</t>
  </si>
  <si>
    <t>HERO MOTOCORP LTD.</t>
  </si>
  <si>
    <t>CG Power and Industrial Soluti</t>
  </si>
  <si>
    <t>APOLLO HOSPITALS ENTERPRISE LT</t>
  </si>
  <si>
    <t>VODAFONE IDEA LIMITED</t>
  </si>
  <si>
    <t>TATA CONSUMER PRODUCTS LIMITED</t>
  </si>
  <si>
    <t>CIPLA LTD.</t>
  </si>
  <si>
    <t>GAIL (INDIA) LTD.</t>
  </si>
  <si>
    <t>Gas Transmission/Marketing</t>
  </si>
  <si>
    <t>AMBUJA CEMENTS LTD.</t>
  </si>
  <si>
    <t>BSE Limited</t>
  </si>
  <si>
    <t>BSE</t>
  </si>
  <si>
    <t>Exchange and Data Platform</t>
  </si>
  <si>
    <t>LG Electronics India Limited</t>
  </si>
  <si>
    <t>LGE India Electronics Ltd.</t>
  </si>
  <si>
    <t>DR.REDDYS LABORATORIES LTD.</t>
  </si>
  <si>
    <t>Siemens Energy India Limited</t>
  </si>
  <si>
    <t>Max Healthcare Institute Limit</t>
  </si>
  <si>
    <t>LUPIN LTD.</t>
  </si>
  <si>
    <t>BOSCH LTD.</t>
  </si>
  <si>
    <t>Auto Components &amp; Equipments</t>
  </si>
  <si>
    <t>GMR Airports Limited</t>
  </si>
  <si>
    <t>Airport &amp; Airport services</t>
  </si>
  <si>
    <t>MARICO LTD.</t>
  </si>
  <si>
    <t>UNITED SPIRITS LTD.</t>
  </si>
  <si>
    <t>Breweries &amp; Distilleries</t>
  </si>
  <si>
    <t>GE Vernova T&amp;D India Limited</t>
  </si>
  <si>
    <t>Lodha Developers Limited</t>
  </si>
  <si>
    <t>ICICI Prudential Life Insuranc</t>
  </si>
  <si>
    <t>ICICI Lombard General Insuranc</t>
  </si>
  <si>
    <t>SHREE CEMENT LTD.</t>
  </si>
  <si>
    <t>INDIAN HOTELS CO.LTD.</t>
  </si>
  <si>
    <t>Mankind Pharma Limited</t>
  </si>
  <si>
    <t>BHARAT HEAVY ELECTRICALS LTD.</t>
  </si>
  <si>
    <t>Zydus Lifesciences Limited</t>
  </si>
  <si>
    <t>DABUR INDIA LTD.</t>
  </si>
  <si>
    <t>HINDUSTAN PETROLEUM CORPORATIO</t>
  </si>
  <si>
    <t>BHARAT FORGE LTD.</t>
  </si>
  <si>
    <t>Mazagon Dock Shipbuilders Limi</t>
  </si>
  <si>
    <t>Ship Building &amp; Allied Services</t>
  </si>
  <si>
    <t>REC LIMITED</t>
  </si>
  <si>
    <t>Aditya Birla Capital Ltd</t>
  </si>
  <si>
    <t>Samvardhana Motherson Internat</t>
  </si>
  <si>
    <t>JSW ENERGY LTD</t>
  </si>
  <si>
    <t>HAVELLS INDIA LTD.</t>
  </si>
  <si>
    <t>KOTAK MAHINDRA BANK LTD.</t>
  </si>
  <si>
    <t>BHARAT PETROLEUM CORPORATION L</t>
  </si>
  <si>
    <t>OIL INDIA LTD.</t>
  </si>
  <si>
    <t>Bharti Hexacom Limited</t>
  </si>
  <si>
    <t>BANK OF INDIA</t>
  </si>
  <si>
    <t>TORRENT POWER LTD.</t>
  </si>
  <si>
    <t>Waaree Energies Limited</t>
  </si>
  <si>
    <t>Other Electrical Equipment</t>
  </si>
  <si>
    <t>SRF LTD.</t>
  </si>
  <si>
    <t>Commodity Chemicals</t>
  </si>
  <si>
    <t>NTPC GREEN ENERGY LIMITED</t>
  </si>
  <si>
    <t>FSN E-Commerce Ventures Limite</t>
  </si>
  <si>
    <t>INDUSIND BANK LTD.</t>
  </si>
  <si>
    <t>PERSISTENT SYSTEMS LTD.</t>
  </si>
  <si>
    <t>NHPC LTD.</t>
  </si>
  <si>
    <t>FEDERAL BANK LTD.</t>
  </si>
  <si>
    <t>SBI CARDS AND PAYMENT SERVICES</t>
  </si>
  <si>
    <t>AU Small Finance Bank Limited</t>
  </si>
  <si>
    <t>Other Bank</t>
  </si>
  <si>
    <t>NMDC LTD.</t>
  </si>
  <si>
    <t>Industrial Minerals</t>
  </si>
  <si>
    <t>L&amp;T Finance Limited</t>
  </si>
  <si>
    <t>FORTIS HEALTHCARE LTD.</t>
  </si>
  <si>
    <t>Bajaj Housing Finance Limited</t>
  </si>
  <si>
    <t>AUROBINDO PHARMA LTD.</t>
  </si>
  <si>
    <t>UNO Minda Limited</t>
  </si>
  <si>
    <t>STEEL AUTHORITY OF INDIA LTD.</t>
  </si>
  <si>
    <t>PB Fintech Limited</t>
  </si>
  <si>
    <t>Financial Technology (Fintech)</t>
  </si>
  <si>
    <t>INDIAN OVERSEAS BANK</t>
  </si>
  <si>
    <t>Schaeffler India Limited (Yearly)</t>
  </si>
  <si>
    <t>One 97 Communications Limited</t>
  </si>
  <si>
    <t>Alkem Laboratories Limited</t>
  </si>
  <si>
    <t>NATIONAL ALUMINIUM CO.LTD.</t>
  </si>
  <si>
    <t>SWIGGY LIMITED</t>
  </si>
  <si>
    <t>LLOYDS METALS AND ENERGY LTD.</t>
  </si>
  <si>
    <t>INFO EDGE (INDIA) LTD.</t>
  </si>
  <si>
    <t>General Insurance Corporation</t>
  </si>
  <si>
    <t>COROMANDEL INTERNATIONAL LTD.</t>
  </si>
  <si>
    <t>Fertilizers</t>
  </si>
  <si>
    <t>JINDAL STAINLESS LTD.</t>
  </si>
  <si>
    <t>MULTI COMMODITY EXCHANGE OF IN</t>
  </si>
  <si>
    <t>YES BANK LTD.</t>
  </si>
  <si>
    <t>BIOCON LTD.</t>
  </si>
  <si>
    <t>Rail Vikas Nigam Limited</t>
  </si>
  <si>
    <t>Max Financial Services Limited</t>
  </si>
  <si>
    <t>APL APOLLO TUBES LTD.</t>
  </si>
  <si>
    <t>Iron &amp; Steel Products</t>
  </si>
  <si>
    <t>Dixon Technologies (India) Lim</t>
  </si>
  <si>
    <t>COLGATE-PALMOLIVE (INDIA) LTD.</t>
  </si>
  <si>
    <t>GLENMARK PHARMACEUTICALS LTD.</t>
  </si>
  <si>
    <t>ORACLE FINANCIAL SERVICES SOFT</t>
  </si>
  <si>
    <t>Software Products</t>
  </si>
  <si>
    <t>PRESTIGE ESTATES PROJECTS LTD.</t>
  </si>
  <si>
    <t>MRF LTD.</t>
  </si>
  <si>
    <t>Tyres &amp; Rubber Products</t>
  </si>
  <si>
    <t>THE PHOENIX MILLS LTD</t>
  </si>
  <si>
    <t>HDB FINANCIAL SERVICES LIMITED</t>
  </si>
  <si>
    <t>NIPPON LIFE INDIA ASSET MANAGE</t>
  </si>
  <si>
    <t>Laurus Labs Limited</t>
  </si>
  <si>
    <t>Sundaram Finance Ltd</t>
  </si>
  <si>
    <t>Linde India Limited</t>
  </si>
  <si>
    <t>Industrial Gases</t>
  </si>
  <si>
    <t>ABBOTT INDIA LTD.</t>
  </si>
  <si>
    <t>SUZLON ENERGY LTD.</t>
  </si>
  <si>
    <t>HINDUSTAN COPPER LTD.</t>
  </si>
  <si>
    <t>Copper</t>
  </si>
  <si>
    <t>BANK OF MAHARASHTRA</t>
  </si>
  <si>
    <t>Patanjali Foods Limited</t>
  </si>
  <si>
    <t xml:space="preserve">	Edible Oil</t>
  </si>
  <si>
    <t>Vishal Mega Mart Limited</t>
  </si>
  <si>
    <t>Tube Investments of India Ltd</t>
  </si>
  <si>
    <t>ADANI TOTAL GAS LIMITED</t>
  </si>
  <si>
    <t>LPG/CNG/PNG/LNG Supplier</t>
  </si>
  <si>
    <t>OBEROI REALTY LTD.</t>
  </si>
  <si>
    <t>ADANI POWER LTD.</t>
  </si>
  <si>
    <t>UPL LIMITED</t>
  </si>
  <si>
    <t>Pesticides &amp; Agrochemicals</t>
  </si>
  <si>
    <t>IDFC FIRST BANK LIMITED</t>
  </si>
  <si>
    <t>JSW Infrastructure Limited</t>
  </si>
  <si>
    <t>BERGER PAINTS INDIA LTD.</t>
  </si>
  <si>
    <t>GODREJ PROPERTIES LTD</t>
  </si>
  <si>
    <t>SUPREME INDUSTRIES LTD.</t>
  </si>
  <si>
    <t>Plastic Products - Industrial</t>
  </si>
  <si>
    <t>VOLTAS LTD.</t>
  </si>
  <si>
    <t>KEI INDUSTRIES LTD.</t>
  </si>
  <si>
    <t>P.I.INDUSTRIES LTD.</t>
  </si>
  <si>
    <t>Bharat Dynamics Limited</t>
  </si>
  <si>
    <t>PETRONET LNG LTD.</t>
  </si>
  <si>
    <t>Indian Railway Catering and To</t>
  </si>
  <si>
    <t>MAHINDRA &amp; MAHINDRA FINANCIAL</t>
  </si>
  <si>
    <t>BALKRISHNA INDUSTRIES LTD.</t>
  </si>
  <si>
    <t>ASTRAL LIMITED</t>
  </si>
  <si>
    <t>TATA COMMUNICATIONS LTD.</t>
  </si>
  <si>
    <t>J.K.CEMENT LTD.</t>
  </si>
  <si>
    <t>MPHASIS LTD.</t>
  </si>
  <si>
    <t>GLAXOSMITHKLINE PHARMACEUTICAL</t>
  </si>
  <si>
    <t>APAR INDUSTRIES LTD.</t>
  </si>
  <si>
    <t>MOTILAL OSWAL FINANCIAL SERVIC</t>
  </si>
  <si>
    <t>Stockbroking &amp; Allied</t>
  </si>
  <si>
    <t>UNITED BREWERIES LTD.</t>
  </si>
  <si>
    <t>360 ONE WAM LIMITED</t>
  </si>
  <si>
    <t>Kalyan Jewellers India Limited</t>
  </si>
  <si>
    <t>3M INDIA LTD.</t>
  </si>
  <si>
    <t>Diversified</t>
  </si>
  <si>
    <t>COFORGE LIMITED</t>
  </si>
  <si>
    <t>Piramal Finance Ltd</t>
  </si>
  <si>
    <t>BLUE STAR LTD.</t>
  </si>
  <si>
    <t>Anthem Biosciences Ltd</t>
  </si>
  <si>
    <t>Biotechnology</t>
  </si>
  <si>
    <t>IPCA LABORATORIES LTD.</t>
  </si>
  <si>
    <t>Cochin Shipyard Limited</t>
  </si>
  <si>
    <t>Escorts Kubota Limited</t>
  </si>
  <si>
    <t>Tractors</t>
  </si>
  <si>
    <t>Endurance Technologies Limited</t>
  </si>
  <si>
    <t>AJANTA PHARMA LTD.</t>
  </si>
  <si>
    <t>Gujarat Fluorochemicals Limite</t>
  </si>
  <si>
    <t>L&amp;T Technology Services Limite</t>
  </si>
  <si>
    <t>IT Enabled Services</t>
  </si>
  <si>
    <t>DALMIA BHARAT LIMITED</t>
  </si>
  <si>
    <t>PROCTER &amp; GAMBLE HYGIENE &amp; HEA</t>
  </si>
  <si>
    <t>Narayana Hrudayalaya Limited</t>
  </si>
  <si>
    <t>Housing &amp;Urban Development Cor</t>
  </si>
  <si>
    <t>ITC Hotels Limited</t>
  </si>
  <si>
    <t>UCO BANK</t>
  </si>
  <si>
    <t>AIA ENGINEERING LTD.</t>
  </si>
  <si>
    <t>Castings &amp; Forgings</t>
  </si>
  <si>
    <t>CENTRAL BANK OF INDIA</t>
  </si>
  <si>
    <t>RADICO KHAITAN LTD.</t>
  </si>
  <si>
    <t>NLC India Limited</t>
  </si>
  <si>
    <t>PAGE INDUSTRIES LTD.</t>
  </si>
  <si>
    <t>THERMAX LTD.</t>
  </si>
  <si>
    <t>POONAWALLA FINCORP LIMITED</t>
  </si>
  <si>
    <t>J.B.CHEMICALS &amp; PHARMACEUTICAL</t>
  </si>
  <si>
    <t>Aster DM Healthcare Limited</t>
  </si>
  <si>
    <t>JUBILANT FOODWORKS LTD</t>
  </si>
  <si>
    <t>MANGALORE REFINERY &amp; PETROCHEM</t>
  </si>
  <si>
    <t>GODREJ INDUSTRIES LTD.</t>
  </si>
  <si>
    <t>Delhivery Limited</t>
  </si>
  <si>
    <t>Logistics Solution Provider</t>
  </si>
  <si>
    <t>Sona BLW Precision Forgings Li</t>
  </si>
  <si>
    <t>Premier Energies Limited</t>
  </si>
  <si>
    <t>GODFREY PHILLIPS INDIA LTD.</t>
  </si>
  <si>
    <t>Cigarettes &amp; Tobacco Products</t>
  </si>
  <si>
    <t>CRISIL LTD.</t>
  </si>
  <si>
    <t>Other Financial Services</t>
  </si>
  <si>
    <t>Indian Renewable Energy Develo</t>
  </si>
  <si>
    <t>FORCE MOTORS LTD.</t>
  </si>
  <si>
    <t>NAVIN FLUORINE INTERNATIONAL L</t>
  </si>
  <si>
    <t>Go Digit General Insurance Lim</t>
  </si>
  <si>
    <t>Karur Vysya Bank Ltd</t>
  </si>
  <si>
    <t>TVS Holdings Limited</t>
  </si>
  <si>
    <t>Global Health Limited</t>
  </si>
  <si>
    <t>CHOLAMANDALAM FINANCIAL HOLDIN</t>
  </si>
  <si>
    <t>K.P.R.MILL LIMITED</t>
  </si>
  <si>
    <t>Other Textile Products</t>
  </si>
  <si>
    <t>Gland Pharma Limited</t>
  </si>
  <si>
    <t>CONTAINER CORPORATION OF INDIA</t>
  </si>
  <si>
    <t>ACC LTD.</t>
  </si>
  <si>
    <t>LIC HOUSING FINANCE LTD.</t>
  </si>
  <si>
    <t>Hexaware Technologies Limited</t>
  </si>
  <si>
    <t>Bandhan Bank Limited</t>
  </si>
  <si>
    <t>Krishna Institute of Medical S</t>
  </si>
  <si>
    <t>APOLLO TYRES LTD.</t>
  </si>
  <si>
    <t>ZF Commercial Vehicle Control</t>
  </si>
  <si>
    <t>TATA ELXSI LTD.</t>
  </si>
  <si>
    <t>SJVN LTD</t>
  </si>
  <si>
    <t>EXIDE INDUSTRIES LTD.</t>
  </si>
  <si>
    <t>Metro Brands Limited</t>
  </si>
  <si>
    <t>Footwear</t>
  </si>
  <si>
    <t>Gujarat Gas Limited</t>
  </si>
  <si>
    <t>Emcure Pharmaceuticals Limited</t>
  </si>
  <si>
    <t>Star Health and Allied Insuran</t>
  </si>
  <si>
    <t>Garden Reach Shipbuilders &amp; En</t>
  </si>
  <si>
    <t>PTC Industries Ltd.</t>
  </si>
  <si>
    <t>Other Industrial Products</t>
  </si>
  <si>
    <t>HONEYWELL AUTOMATION INDIA LTD</t>
  </si>
  <si>
    <t>Industrial Products</t>
  </si>
  <si>
    <t>Amber Enterprises India Limite</t>
  </si>
  <si>
    <t>GILLETTE INDIA LTD.</t>
  </si>
  <si>
    <t>Anand Rathi Wealth Limited</t>
  </si>
  <si>
    <t>Financial Products Distributor</t>
  </si>
  <si>
    <t>THE RAMCO CEMENTS LIMITED</t>
  </si>
  <si>
    <t>Ather Energy Limited</t>
  </si>
  <si>
    <t>Depositories Clearing Houses and Other Intermediaries</t>
  </si>
  <si>
    <t>Aditya Birla Sun Life AMC Limi</t>
  </si>
  <si>
    <t>TIMKEN INDIA LTD.</t>
  </si>
  <si>
    <t>Abrasives &amp; Bearings</t>
  </si>
  <si>
    <t>ITI LTD.</t>
  </si>
  <si>
    <t>Telecom - Equipment &amp; Accessories</t>
  </si>
  <si>
    <t>SUN TV NETWORK LTD.</t>
  </si>
  <si>
    <t>TV Broadcasting &amp; Software Production</t>
  </si>
  <si>
    <t>IRB INFRASTRUCTURE DEVELOPERS</t>
  </si>
  <si>
    <t>NBCC (India) Limited</t>
  </si>
  <si>
    <t>Manappuram Finance Ltd</t>
  </si>
  <si>
    <t>Dr. Lal Pathlabs Limited</t>
  </si>
  <si>
    <t>KAYNES TECHNOLOGY INDIA LIMITE</t>
  </si>
  <si>
    <t>AEGIS LOGISTICS LTD.</t>
  </si>
  <si>
    <t>Trading - Gas</t>
  </si>
  <si>
    <t>AEGIS VOPAK TERMINALS LIMITED</t>
  </si>
  <si>
    <t>Oil Storage &amp; Transportation</t>
  </si>
  <si>
    <t>Tata Technologies Limited</t>
  </si>
  <si>
    <t>The New India Assurance Compan</t>
  </si>
  <si>
    <t>INDRAPRASTHA GAS LTD.</t>
  </si>
  <si>
    <t>AWL AGRI BUSINESS LIMITED</t>
  </si>
  <si>
    <t>Shyam Metalics and Energy Limited</t>
  </si>
  <si>
    <t>Himadri Speciality Chemical Lt</t>
  </si>
  <si>
    <t>Carbon Black</t>
  </si>
  <si>
    <t>INVENTURUS KNOWLEDGE SOLUTIONS</t>
  </si>
  <si>
    <t>PFIZER LTD.</t>
  </si>
  <si>
    <t>Nuvama Wealth Management Limit</t>
  </si>
  <si>
    <t>ASTRAZENECA PHARMA INDIA LTD.</t>
  </si>
  <si>
    <t>ASAHI INDIA GLASS LTD.</t>
  </si>
  <si>
    <t>WELSPUN CORP LIMITED</t>
  </si>
  <si>
    <t>WOCKHARDT LTD.</t>
  </si>
  <si>
    <t>KALPATARU PROJECTS INTERNATION</t>
  </si>
  <si>
    <t>PNB Housing Finance Limited</t>
  </si>
  <si>
    <t>Sai Life Sciences Limited</t>
  </si>
  <si>
    <t>IIFL FINANCE LIMITED</t>
  </si>
  <si>
    <t>DEEPAK NITRITE LTD.</t>
  </si>
  <si>
    <t>PRIME FOCUS LTD.</t>
  </si>
  <si>
    <t>Media &amp; Entertainment</t>
  </si>
  <si>
    <t>SCHNEIDER ELECTRIC INFRASTRUCT</t>
  </si>
  <si>
    <t>NETWEB TECHNOLOGIES INDIA LIMI</t>
  </si>
  <si>
    <t>CITY UNION BANK LTD.</t>
  </si>
  <si>
    <t>Redington Limited</t>
  </si>
  <si>
    <t>Trading &amp; Distributors</t>
  </si>
  <si>
    <t>KPIT Technologies Ltd</t>
  </si>
  <si>
    <t>BAYER CROPSCIENCE LTD.</t>
  </si>
  <si>
    <t>CESC LTD.</t>
  </si>
  <si>
    <t>PIRAMAL PHARMA LIMITED</t>
  </si>
  <si>
    <t>HATSUN AGRO PRODUCT LTD.</t>
  </si>
  <si>
    <t>Dairy Products</t>
  </si>
  <si>
    <t>SUMITOMO CHEMICAL INDIA LIMITE</t>
  </si>
  <si>
    <t>EMAMI LTD.</t>
  </si>
  <si>
    <t>KIRLOSKAR OIL ENGINES LTD.</t>
  </si>
  <si>
    <t>KIOCL Limited</t>
  </si>
  <si>
    <t>Sponge Iron</t>
  </si>
  <si>
    <t>Aadhar Housing Finance Limited</t>
  </si>
  <si>
    <t>EIH LTD.</t>
  </si>
  <si>
    <t>ATUL</t>
  </si>
  <si>
    <t>CreditAccess Grameen Ltd.</t>
  </si>
  <si>
    <t>Microfinance Institutions</t>
  </si>
  <si>
    <t>RBL Bank Limited</t>
  </si>
  <si>
    <t>AFFLE 3I LIMITED</t>
  </si>
  <si>
    <t>SARDA ENERGY &amp; MINERALS LTD.</t>
  </si>
  <si>
    <t>Eris Lifesciences Limited</t>
  </si>
  <si>
    <t>GREAT EASTERN SHIPPING CO.LTD.</t>
  </si>
  <si>
    <t>Shipping</t>
  </si>
  <si>
    <t>Motherson Sumi Wiring India Li</t>
  </si>
  <si>
    <t>HBL ENGINEERING LIMITED</t>
  </si>
  <si>
    <t>CASTROL INDIA LTD.</t>
  </si>
  <si>
    <t>Lubricants</t>
  </si>
  <si>
    <t>ANANT RAJ LIMITED</t>
  </si>
  <si>
    <t>Craftsman Automation Limited</t>
  </si>
  <si>
    <t>PUNJAB &amp; SIND BANK</t>
  </si>
  <si>
    <t>Jyoti CNC Automation Limited</t>
  </si>
  <si>
    <t>JSW HOLDINGS LIMITED</t>
  </si>
  <si>
    <t>Sagility Limited</t>
  </si>
  <si>
    <t>Data Patterns (India) Limited</t>
  </si>
  <si>
    <t>TATA CHEMICALS LTD.</t>
  </si>
  <si>
    <t>GRINDWELL NORTON LTD.</t>
  </si>
  <si>
    <t>CHAMBAL FERTILISERS &amp; CHEMICAL</t>
  </si>
  <si>
    <t>CIE Automotive India Limited</t>
  </si>
  <si>
    <t>SUNDRAM FASTENERS LTD.</t>
  </si>
  <si>
    <t>ACUTAAS CHEMICALS LIMITED</t>
  </si>
  <si>
    <t>AVANTI FEEDS LTD.</t>
  </si>
  <si>
    <t>Animal Feed</t>
  </si>
  <si>
    <t>GUJARAT MINERAL DEVELOPMENT CO</t>
  </si>
  <si>
    <t>GODAWARI POWER &amp; ISPAT LTD.</t>
  </si>
  <si>
    <t>R R KABEL LIMITED</t>
  </si>
  <si>
    <t>PG ELECTROPLAST LTD.</t>
  </si>
  <si>
    <t>Chalet Hotels Limited</t>
  </si>
  <si>
    <t>NATCO PHARMA LTD.</t>
  </si>
  <si>
    <t>GUJARAT STATE PETRONET LTD.</t>
  </si>
  <si>
    <t>NAVA LIMITED</t>
  </si>
  <si>
    <t>BRIGADE ENTERPRISES LTD.</t>
  </si>
  <si>
    <t>NEULAND LABORATORIES LTD.</t>
  </si>
  <si>
    <t>RATNAMANI METALS &amp; TUBES LTD.</t>
  </si>
  <si>
    <t>BELRISE INDUSTRIES LIMITED</t>
  </si>
  <si>
    <t>Syngene International Limited</t>
  </si>
  <si>
    <t>Healthcare Research, Analytics &amp; Technology</t>
  </si>
  <si>
    <t>Ventive Hospitality Limited</t>
  </si>
  <si>
    <t>JSW Cement Ltd.</t>
  </si>
  <si>
    <t>ELGI EQUIPMENTS LTD.</t>
  </si>
  <si>
    <t>Crompton Greaves Consumer Elec</t>
  </si>
  <si>
    <t>CENTURY PLYBOARDS (I) LTD.</t>
  </si>
  <si>
    <t>Plywood Boards/ Laminates</t>
  </si>
  <si>
    <t>Computer Age Management Servic</t>
  </si>
  <si>
    <t>Depositories, Clearing Houses and Other Intermediaries</t>
  </si>
  <si>
    <t>KFin Technologies Limited</t>
  </si>
  <si>
    <t>Bikaji Foods International Lim</t>
  </si>
  <si>
    <t>CHOICE INTERNATIONAL LTD.</t>
  </si>
  <si>
    <t>KANSAI NEROLAC PAINTS LTD.</t>
  </si>
  <si>
    <t>AARTI INDUSTRIES LTD.</t>
  </si>
  <si>
    <t>VARDHMAN TEXTILES LTD.</t>
  </si>
  <si>
    <t>DCM SHRIRAM LIMITED</t>
  </si>
  <si>
    <t>Amara Raja Energy &amp; Mobility L</t>
  </si>
  <si>
    <t>BASF INDIA LTD.</t>
  </si>
  <si>
    <t>Inox Wind Limited</t>
  </si>
  <si>
    <t>E.I.D.-PARRY (INDIA) LTD.</t>
  </si>
  <si>
    <t>Other Food Products</t>
  </si>
  <si>
    <t>CAPRI GLOBAL CAPITAL LIMITED</t>
  </si>
  <si>
    <t>CARBORUNDUM UNIVERSAL LTD.</t>
  </si>
  <si>
    <t>IFCI LTD.</t>
  </si>
  <si>
    <t>Devyani International Limited</t>
  </si>
  <si>
    <t>Syrma SGS Technology Limited</t>
  </si>
  <si>
    <t>KEC INTERNATIONAL LTD.</t>
  </si>
  <si>
    <t>KAJARIA CERAMICS LTD.</t>
  </si>
  <si>
    <t>MAHARASHTRA SCOOTERS LTD.</t>
  </si>
  <si>
    <t>TRIVENI TURBINE LTD.</t>
  </si>
  <si>
    <t>ECLERX SERVICES LTD.</t>
  </si>
  <si>
    <t>Business Process Outsourcing (BPO)/ Knowledge Process Outsourcing (KPO)</t>
  </si>
  <si>
    <t>Leela Palaces Hotels &amp; Resorts</t>
  </si>
  <si>
    <t>Onesource Specialty Pharma Lim</t>
  </si>
  <si>
    <t>SOBHA</t>
  </si>
  <si>
    <t>VINATI ORGANICS LTD.</t>
  </si>
  <si>
    <t>FIRSTSOURCE SOLUTIONS LTD.</t>
  </si>
  <si>
    <t>FINOLEX CABLES LTD.</t>
  </si>
  <si>
    <t>International Gemmological Ins</t>
  </si>
  <si>
    <t>Diversified Commercial Services</t>
  </si>
  <si>
    <t>Dr. Agarwal's Health Care Limi</t>
  </si>
  <si>
    <t>GRANULES INDIA LTD.</t>
  </si>
  <si>
    <t>T D POWER SYSTEMS LTD.</t>
  </si>
  <si>
    <t>ACME Solar Holdings Limited</t>
  </si>
  <si>
    <t>CHENNAI PETROLEUM CORPORATION</t>
  </si>
  <si>
    <t>LT FOODS LTD.</t>
  </si>
  <si>
    <t>Other Agricultural Products</t>
  </si>
  <si>
    <t>CEAT LTD.</t>
  </si>
  <si>
    <t>Sansera Engineering Limited</t>
  </si>
  <si>
    <t>GABRIEL INDIA LTD.</t>
  </si>
  <si>
    <t>GRAPHITE INDIA LTD.</t>
  </si>
  <si>
    <t>Electrodes &amp; Refractories</t>
  </si>
  <si>
    <t>GALLANTT ISPAT LIMITED</t>
  </si>
  <si>
    <t>ADITYA BIRLA REAL ESTATE LIMIT</t>
  </si>
  <si>
    <t>Paper &amp; Paper Products</t>
  </si>
  <si>
    <t>DOMS Industries Limited</t>
  </si>
  <si>
    <t>Stationary</t>
  </si>
  <si>
    <t>ALEMBIC PHARMACEUTICALS LTD.</t>
  </si>
  <si>
    <t>Fine Organic Industries Limite</t>
  </si>
  <si>
    <t>BEML LTD.</t>
  </si>
  <si>
    <t>Construction Vehicles</t>
  </si>
  <si>
    <t>NIVA BUPA HEALTH INSURANCE COM</t>
  </si>
  <si>
    <t>SHRIRAM PISTONS &amp; RINGS LTD</t>
  </si>
  <si>
    <t>SIGNATUREGLOBAL (INDIA) LIMITE</t>
  </si>
  <si>
    <t>V-GUARD INDUSTRIES LTD.</t>
  </si>
  <si>
    <t>CCL PRODUCTS (INDIA) LTD.</t>
  </si>
  <si>
    <t>JUBILANT PHARMOVA LIMITED</t>
  </si>
  <si>
    <t>Tega Industries Limited</t>
  </si>
  <si>
    <t>AKZO NOBEL INDIA LIMITED</t>
  </si>
  <si>
    <t>POLY MEDICURE LTD.</t>
  </si>
  <si>
    <t>Medical Equipment &amp; Supplies</t>
  </si>
  <si>
    <t>Techno Electric &amp; Engineering</t>
  </si>
  <si>
    <t>JAMMU &amp; KASHMIR BANK LTD.</t>
  </si>
  <si>
    <t>BLUE DART EXPRESS LTD.</t>
  </si>
  <si>
    <t>Allied Blenders and Distillers</t>
  </si>
  <si>
    <t>JK TYRE &amp; INDUSTRIES LTD.</t>
  </si>
  <si>
    <t>SUPREME PETROCHEM LTD.</t>
  </si>
  <si>
    <t>Petrochemicals</t>
  </si>
  <si>
    <t>KSB LIMITED</t>
  </si>
  <si>
    <t>ZENSAR TECHNOLOGIES LTD.</t>
  </si>
  <si>
    <t>USHA MARTIN LTD.</t>
  </si>
  <si>
    <t>IRCON International Ltd</t>
  </si>
  <si>
    <t>CAPLIN POINT LABORATORIES LTD.</t>
  </si>
  <si>
    <t>Minda Corporation Limited</t>
  </si>
  <si>
    <t>IndiaMART InterMESH Limited</t>
  </si>
  <si>
    <t>Concord Biotech Limited</t>
  </si>
  <si>
    <t>UTI Asset Management Company L</t>
  </si>
  <si>
    <t>TRIDENT LTD.</t>
  </si>
  <si>
    <t>JBM AUTO LTD.</t>
  </si>
  <si>
    <t>TBO TEK LIMITED</t>
  </si>
  <si>
    <t>Aether Industries Limited</t>
  </si>
  <si>
    <t>DEEPAK FERTILISERS &amp; PETROCHEM</t>
  </si>
  <si>
    <t>INGERSOLL-RAND (INDIA) LTD.</t>
  </si>
  <si>
    <t>INDIA CEMENTS LTD.</t>
  </si>
  <si>
    <t>ZYDUS WELLNESS LTD.</t>
  </si>
  <si>
    <t>Sammaan Capital Limited</t>
  </si>
  <si>
    <t>Happy Forgings Limited</t>
  </si>
  <si>
    <t>Rainbow Children's Medicare Li</t>
  </si>
  <si>
    <t>ZEN TECHNOLOGIES LTD.</t>
  </si>
  <si>
    <t>KIRLOSKAR BROTHERS LTD.</t>
  </si>
  <si>
    <t>Aditya Birla Lifestyle Brands</t>
  </si>
  <si>
    <t>ENGINEERS INDIA LTD.</t>
  </si>
  <si>
    <t>WELSPUN LIVING LIMITED</t>
  </si>
  <si>
    <t>THANGAMAYIL JEWELLERY LTD</t>
  </si>
  <si>
    <t>Five-Star Business Finance Ltd</t>
  </si>
  <si>
    <t>Aptus Value Housing Finance In</t>
  </si>
  <si>
    <t>JM FINANCIAL LTD.</t>
  </si>
  <si>
    <t>Mahanagar Gas Limited</t>
  </si>
  <si>
    <t>SHIPPING CORPORATION OF INDIA</t>
  </si>
  <si>
    <t>Paradeep Phosphates Limited</t>
  </si>
  <si>
    <t>NMDC Steel Limited</t>
  </si>
  <si>
    <t>MTAR Technologies Limited</t>
  </si>
  <si>
    <t>PRIVI SPECIALITY CHEMICALS LIM</t>
  </si>
  <si>
    <t>WHIRLPOOL OF INDIA LTD.</t>
  </si>
  <si>
    <t>Godrej Agrovet Limited</t>
  </si>
  <si>
    <t>Cohance Lifesciences Limited</t>
  </si>
  <si>
    <t>Indegene Limited</t>
  </si>
  <si>
    <t>The Bombay Burmah Trading Corp</t>
  </si>
  <si>
    <t>JUPITER WAGONS LIMITED</t>
  </si>
  <si>
    <t>Railway Wagons</t>
  </si>
  <si>
    <t>LUMAX AUTO TECHNOLOGIES LTD.</t>
  </si>
  <si>
    <t>Home First Finance Company Ind</t>
  </si>
  <si>
    <t>GRAVITA INDIA LTD.</t>
  </si>
  <si>
    <t>Swan Corp Limited</t>
  </si>
  <si>
    <t>Nuvoco Vistas Corporation Limi</t>
  </si>
  <si>
    <t>JINDAL SAW LTD.</t>
  </si>
  <si>
    <t>ALIVUS LIFE SCIENCES LIMITED</t>
  </si>
  <si>
    <t>Ujjivan Small Finance Bank Lim</t>
  </si>
  <si>
    <t>PCBL Chemical Limited</t>
  </si>
  <si>
    <t>FINOLEX INDUSTRIES LTD.</t>
  </si>
  <si>
    <t>CAN FIN HOMES LTD.</t>
  </si>
  <si>
    <t>HEG LTD.</t>
  </si>
  <si>
    <t>BLS International Services Ltd</t>
  </si>
  <si>
    <t>Indian Energy Exchange Limited</t>
  </si>
  <si>
    <t>TILAKNAGAR INDUSTRIES LTD.</t>
  </si>
  <si>
    <t>EDELWEISS FINANCIAL SERVICES L</t>
  </si>
  <si>
    <t>Azad Engineering Limited</t>
  </si>
  <si>
    <t>SOUTH INDIAN BANK LTD.</t>
  </si>
  <si>
    <t>Tamilnad Mercantile Bank Limit</t>
  </si>
  <si>
    <t>BIRLASOFT LIMITED</t>
  </si>
  <si>
    <t>BlackBuck Limited</t>
  </si>
  <si>
    <t>Transport Related Services</t>
  </si>
  <si>
    <t>Afcons Infrastructure Limited</t>
  </si>
  <si>
    <t>Brainbees Solutions Limited</t>
  </si>
  <si>
    <t>SBFC Finance Limited</t>
  </si>
  <si>
    <t>CUPID LTD.</t>
  </si>
  <si>
    <t>ACTION CONSTRUCTION EQUIPMENT</t>
  </si>
  <si>
    <t>INOX India Limited</t>
  </si>
  <si>
    <t>Sharda Cropchem Limited</t>
  </si>
  <si>
    <t>VESUVIUS INDIA LTD.</t>
  </si>
  <si>
    <t>Medplus Health Services Limite</t>
  </si>
  <si>
    <t>Pharmacy Retail</t>
  </si>
  <si>
    <t>Ola Electric Mobility Limited</t>
  </si>
  <si>
    <t>PVR INOX LIMITED</t>
  </si>
  <si>
    <t>Film Production, Distribution &amp; Exhibition</t>
  </si>
  <si>
    <t>SANDUR MANGANESE &amp; IRON ORES L</t>
  </si>
  <si>
    <t>Vijaya Diagnostic Centre Limit</t>
  </si>
  <si>
    <t>RAMKRISHNA FORGINGS LTD.</t>
  </si>
  <si>
    <t>CYIENT LIMITED</t>
  </si>
  <si>
    <t>JAIPRAKASH POWER VENTURES LIMI</t>
  </si>
  <si>
    <t>RITES Limited</t>
  </si>
  <si>
    <t>BATA INDIA LTD.</t>
  </si>
  <si>
    <t>IIFL CAPITAL SERVICES LIMITED</t>
  </si>
  <si>
    <t>AAVAS Financiers Limited</t>
  </si>
  <si>
    <t>Cemindia Projects Limited</t>
  </si>
  <si>
    <t>Metropolis Healthcare Limited</t>
  </si>
  <si>
    <t>Nazara Technologies Limited</t>
  </si>
  <si>
    <t>Digital Entertainment</t>
  </si>
  <si>
    <t>Honasa Consumer Limited</t>
  </si>
  <si>
    <t>Prudent Corporate Advisory Ser</t>
  </si>
  <si>
    <t>RELIANCE POWER LTD.</t>
  </si>
  <si>
    <t>RailTel Corporation of India L</t>
  </si>
  <si>
    <t>Other Telecom Services</t>
  </si>
  <si>
    <t>INTELLECT DESIGN ARENA LIMITED</t>
  </si>
  <si>
    <t>HFCL LIMITED</t>
  </si>
  <si>
    <t>GARWARE HI-TECH FILMS LIMITED</t>
  </si>
  <si>
    <t>NCC LIMITED</t>
  </si>
  <si>
    <t>SEQUENT SCIENTIFIC LTD.</t>
  </si>
  <si>
    <t>BALRAMPUR CHINI MILLS LTD.</t>
  </si>
  <si>
    <t>Sugar</t>
  </si>
  <si>
    <t>ASTRA MICROWAVE PRODUCTS LTD.</t>
  </si>
  <si>
    <t>Cello World Limited</t>
  </si>
  <si>
    <t>Houseware</t>
  </si>
  <si>
    <t>Vedant Fashions Limited</t>
  </si>
  <si>
    <t>ELECON ENGINEERING CO.LTD.</t>
  </si>
  <si>
    <t>JYOTHY LABS LIMITED</t>
  </si>
  <si>
    <t>Household Products</t>
  </si>
  <si>
    <t>TITAGARH RAIL SYSTEMS LIMITED</t>
  </si>
  <si>
    <t>SHAILY ENGINEERING PLASTICS LT</t>
  </si>
  <si>
    <t>ARVIND LTD.</t>
  </si>
  <si>
    <t>RHI MAGNESITA INDIA LIMITED</t>
  </si>
  <si>
    <t>VOLTAMP TRANSFORMERS LTD.</t>
  </si>
  <si>
    <t>Jubilant Ingrevia Limited</t>
  </si>
  <si>
    <t>Lemon Tree Hotels Limited</t>
  </si>
  <si>
    <t>G R Infraprojects Limited</t>
  </si>
  <si>
    <t>Eureka Forbes Limited</t>
  </si>
  <si>
    <t>SANOFI INDIA LTD</t>
  </si>
  <si>
    <t>MMTC LTD.</t>
  </si>
  <si>
    <t>BLACK BOX LIMITED</t>
  </si>
  <si>
    <t>GMR Power and Urban Infra Limi</t>
  </si>
  <si>
    <t>TRIVENI ENGINEERING &amp; INDUSTRI</t>
  </si>
  <si>
    <t>WAAREE RENEWABLE TECHNOLOGIES</t>
  </si>
  <si>
    <t>CarTrade Tech Limited</t>
  </si>
  <si>
    <t>JK LAKSHMI CEMENT LTD.</t>
  </si>
  <si>
    <t>BANCO PRODUCTS (INDIA) LTD.</t>
  </si>
  <si>
    <t>SKF INDIA LTD.</t>
  </si>
  <si>
    <t>Star Cement Limited</t>
  </si>
  <si>
    <t>Tejas Networks Limited</t>
  </si>
  <si>
    <t>SAFARI INDUSTRIES (INDIA) LTD.</t>
  </si>
  <si>
    <t>Plastic Products - Consumer</t>
  </si>
  <si>
    <t>STERLITE TECHNOLOGIES LTD.</t>
  </si>
  <si>
    <t>ESAB INDIA LTD.</t>
  </si>
  <si>
    <t>GUJARAT PIPAVAV PORT LTD.</t>
  </si>
  <si>
    <t>KAMA HOLDINGS LIMITED</t>
  </si>
  <si>
    <t>PROCTER &amp; GAMBLE HEALTH LIMITE</t>
  </si>
  <si>
    <t>Manorama Industries Limited</t>
  </si>
  <si>
    <t>EMBASSY DEVELOPMENTS LIMITED</t>
  </si>
  <si>
    <t>Jupiter Life Line Hospitals Li</t>
  </si>
  <si>
    <t>RELAXO FOOTWEARS LTD.</t>
  </si>
  <si>
    <t>ZEE ENTERTAINMENT ENTERPRISES</t>
  </si>
  <si>
    <t>Varroc Engineering Limited</t>
  </si>
  <si>
    <t>Aditya Birla Fashion and Retai</t>
  </si>
  <si>
    <t>HealthCare Global Enterprises</t>
  </si>
  <si>
    <t>India Shelter Finance Corporat</t>
  </si>
  <si>
    <t>ASK Automotive Limited</t>
  </si>
  <si>
    <t>GENUS POWER INFRASTRUCTURES LT</t>
  </si>
  <si>
    <t>Authum Investment &amp; Infrastruc</t>
  </si>
  <si>
    <t>OLECTRA GREENTECH LIMITED</t>
  </si>
  <si>
    <t>NESCO LTD.</t>
  </si>
  <si>
    <t>STRIDES PHARMA SCIENCE LIMITED</t>
  </si>
  <si>
    <t>TATA TELESERVICES (MAHARASHTRA</t>
  </si>
  <si>
    <t>Clean Science and Technology L</t>
  </si>
  <si>
    <t>KARNATAKA BANK LTD.</t>
  </si>
  <si>
    <t>MARKSANS PHARMA LTD.</t>
  </si>
  <si>
    <t>Apollo Micro Systems Limited</t>
  </si>
  <si>
    <t>Campus Activewear Limited</t>
  </si>
  <si>
    <t>WESTLIFE FOODWORLD LIMITED</t>
  </si>
  <si>
    <t>VA TECH WABAG LTD.</t>
  </si>
  <si>
    <t>Water Supply &amp; Management</t>
  </si>
  <si>
    <t>KRBL LTD.</t>
  </si>
  <si>
    <t>LLOYDS ENGINEERING WORKS LIMIT</t>
  </si>
  <si>
    <t>PC JEWELLER LTD.</t>
  </si>
  <si>
    <t>TRANSPORT CORPORATION OF INDIA</t>
  </si>
  <si>
    <t>MAHINDRA LIFESPACE DEVELOPERS</t>
  </si>
  <si>
    <t>KIRLOSKAR PNEUMATIC CO.LTD.</t>
  </si>
  <si>
    <t>JAYASWAL NECO INDUSTRIES LTD.</t>
  </si>
  <si>
    <t>ALKYL AMINES CHEMICALS LTD.</t>
  </si>
  <si>
    <t>MAHARASHTRA SEAMLESS LTD.</t>
  </si>
  <si>
    <t>LLOYDS ENTERPRISES LIMITED</t>
  </si>
  <si>
    <t>Trading - Metals</t>
  </si>
  <si>
    <t>Akums Drugs and Pharmaceutical</t>
  </si>
  <si>
    <t>Le Travenues Technology Limite</t>
  </si>
  <si>
    <t>SONATA SOFTWARE LTD.</t>
  </si>
  <si>
    <t>Transrail Lighting Limited</t>
  </si>
  <si>
    <t>DIAMOND POWER INFRASTRUCTURE L</t>
  </si>
  <si>
    <t>BIRLA CORPORATION LTD.</t>
  </si>
  <si>
    <t>Pricol Limited</t>
  </si>
  <si>
    <t>P N GADGIL JEWELLERS LIMITED</t>
  </si>
  <si>
    <t>KPI Green Energy Limited</t>
  </si>
  <si>
    <t>Equitas Small Finance Bank Lim</t>
  </si>
  <si>
    <t>DYNAMATIC TECHNOLOGIES LTD.</t>
  </si>
  <si>
    <t>Bengal &amp; Assam Company Ltd</t>
  </si>
  <si>
    <t>V2 RETAIL LTD.</t>
  </si>
  <si>
    <t>RELIGARE ENTERPRISES LTD.</t>
  </si>
  <si>
    <t>TTK PRESTIGE LTD.</t>
  </si>
  <si>
    <t>SML Mahindra Limited</t>
  </si>
  <si>
    <t>PEARL GLOBAL INDUSTRIES LIMITE</t>
  </si>
  <si>
    <t>Newgen Software Technologies L</t>
  </si>
  <si>
    <t>INDIAN METALS &amp; FERRO ALLOYS L</t>
  </si>
  <si>
    <t>Ferro &amp; Silica Manganese</t>
  </si>
  <si>
    <t>Dilip Buildcon Limited</t>
  </si>
  <si>
    <t>Galaxy Surfactants Limited</t>
  </si>
  <si>
    <t>ALOK INDUSTRIES LTD.</t>
  </si>
  <si>
    <t>TIPS MUSIC LIMITED</t>
  </si>
  <si>
    <t>Dodla Dairy Limited</t>
  </si>
  <si>
    <t>Archean Chemical Industries Li</t>
  </si>
  <si>
    <t>EPL LIMITED</t>
  </si>
  <si>
    <t>Packaging</t>
  </si>
  <si>
    <t>ELANTAS BECK INDIA LTD.</t>
  </si>
  <si>
    <t>SUDARSHAN CHEMICAL INDUSTRIES</t>
  </si>
  <si>
    <t>Dyes And Pigments</t>
  </si>
  <si>
    <t>RASHTRIYA CHEMICALS &amp; FERTILIZ</t>
  </si>
  <si>
    <t>Blue Jet Healthcare Limited</t>
  </si>
  <si>
    <t>Avalon Technologies Limited</t>
  </si>
  <si>
    <t>Latent View Analytics Limited</t>
  </si>
  <si>
    <t>INOX GREEN ENERGY SERVICES LIM</t>
  </si>
  <si>
    <t>YATHARTH HOSPITAL &amp; TRAUMA CAR</t>
  </si>
  <si>
    <t>Max Estates Limited</t>
  </si>
  <si>
    <t>GUJARAT STATE FERTILIZERS &amp; CH</t>
  </si>
  <si>
    <t>GUJARAT NARMADA VALLEY FERTILI</t>
  </si>
  <si>
    <t>CSB Bank Limited</t>
  </si>
  <si>
    <t>Mishra Dhatu Nigam Limited</t>
  </si>
  <si>
    <t>WELSPUN ENTERPRISES LIMTED</t>
  </si>
  <si>
    <t>GUJARAT AMBUJA EXPORTS LTD.</t>
  </si>
  <si>
    <t>Aarti Pharmalabs Limited</t>
  </si>
  <si>
    <t>ISGEC HEAVY ENGINEERING LTD.</t>
  </si>
  <si>
    <t>QUALITY POWER ELECTRICAL EQUIP</t>
  </si>
  <si>
    <t>REDTAPE Limited</t>
  </si>
  <si>
    <t>Sapphire Foods India Limited</t>
  </si>
  <si>
    <t>PRISM JOHNSON LIMITED.</t>
  </si>
  <si>
    <t>Power Mech Projects Limited</t>
  </si>
  <si>
    <t>SAREGAMA INDIA LTD.</t>
  </si>
  <si>
    <t>SHILPA MEDICARE LTD.</t>
  </si>
  <si>
    <t>KIRLOSKAR FERROUS INDUSTRIES L</t>
  </si>
  <si>
    <t>Pig Iron</t>
  </si>
  <si>
    <t>GARWARE TECHNICAL FIBRES LIMIT</t>
  </si>
  <si>
    <t>ETHOS LIMITED</t>
  </si>
  <si>
    <t>CERA SANITARYWARE LTD.</t>
  </si>
  <si>
    <t>Sanitary Ware</t>
  </si>
  <si>
    <t>SHAKTI PUMPS (INDIA) LTD.</t>
  </si>
  <si>
    <t>Thyrocare Technologies Limited</t>
  </si>
  <si>
    <t>BOROSIL RENEWABLES LIMITED</t>
  </si>
  <si>
    <t>Glass - Industrial</t>
  </si>
  <si>
    <t>INDIA GLYCOLS LTD.</t>
  </si>
  <si>
    <t>AXISCADES TECHNOLOGIES LIMITED</t>
  </si>
  <si>
    <t>L.G.BALAKRISHNAN &amp; BROS.LTD.</t>
  </si>
  <si>
    <t>MOIL LTD.</t>
  </si>
  <si>
    <t>Aditya Vision Limited</t>
  </si>
  <si>
    <t>JAI BALAJI INDUSTRIES LTD.</t>
  </si>
  <si>
    <t>Sheela Foam Limited</t>
  </si>
  <si>
    <t>Furniture, Home Furnishing</t>
  </si>
  <si>
    <t>FDC LTD.</t>
  </si>
  <si>
    <t>Greenlam Industries Ltd</t>
  </si>
  <si>
    <t>SG MART LIMITED</t>
  </si>
  <si>
    <t>SUPRAJIT ENGINEERING LTD.</t>
  </si>
  <si>
    <t>PRECISION WIRES INDIA LTD.</t>
  </si>
  <si>
    <t>Aluminium, Copper &amp; Zinc Products</t>
  </si>
  <si>
    <t>JK PAPER LTD.</t>
  </si>
  <si>
    <t>DCB BANK LIMITED</t>
  </si>
  <si>
    <t>Kingfa Science &amp; Technology (I</t>
  </si>
  <si>
    <t>RateGain Travel Technologies L</t>
  </si>
  <si>
    <t>KOVAI MEDICAL CENTER &amp; HOSPITA</t>
  </si>
  <si>
    <t>TANLA PLATFORMS LIMITED</t>
  </si>
  <si>
    <t>Arvind Fashions Limited</t>
  </si>
  <si>
    <t>KRN HEAT EXCHANGER AND REFRIGE</t>
  </si>
  <si>
    <t>FIEM INDUSTRIES LTD.</t>
  </si>
  <si>
    <t>MAS Financial Services Limited</t>
  </si>
  <si>
    <t>JAMNA AUTO INDUSTRIES LTD.</t>
  </si>
  <si>
    <t>SUNTECK REALTY LTD.</t>
  </si>
  <si>
    <t>HINDUSTAN FOODS LTD.</t>
  </si>
  <si>
    <t>MAHINDRA HOLIDAYS &amp; RESORTS IN</t>
  </si>
  <si>
    <t>PRAJ INDUSTRIES LTD.</t>
  </si>
  <si>
    <t>C.E. Info Systems Limited</t>
  </si>
  <si>
    <t>LUMAX INDUSTRIES LTD.</t>
  </si>
  <si>
    <t>S.J.S. Enterprises Limited</t>
  </si>
  <si>
    <t>Paras Defence and Space Techno</t>
  </si>
  <si>
    <t>BALU FORGE INDUSTRIES LIMITED</t>
  </si>
  <si>
    <t>ICRA LTD.</t>
  </si>
  <si>
    <t>Ratings</t>
  </si>
  <si>
    <t>SYMPHONY LIMITED</t>
  </si>
  <si>
    <t>AJAX Engineering Limited</t>
  </si>
  <si>
    <t>GANESH HOUSING LIMITED</t>
  </si>
  <si>
    <t>Sky Gold And Diamonds Limited</t>
  </si>
  <si>
    <t>GULF OIL LUBRICANTS INDIA LTD</t>
  </si>
  <si>
    <t>Keystone Realtors Limited</t>
  </si>
  <si>
    <t>PICCADILY AGRO INDUSTRIES LTD.</t>
  </si>
  <si>
    <t>Raymond Lifestyle Limited</t>
  </si>
  <si>
    <t>Happiest Minds Technologies Li</t>
  </si>
  <si>
    <t>PNC Infratech Limited</t>
  </si>
  <si>
    <t>TECHNOCRAFT INDUSTRIES (INDIA)</t>
  </si>
  <si>
    <t>INDO COUNT INDUSTRIES LTD.</t>
  </si>
  <si>
    <t>SHARDA MOTOR INDUSTRIES LTD</t>
  </si>
  <si>
    <t>KENNAMETAL INDIA LTD.</t>
  </si>
  <si>
    <t>Supriya Lifescience Limited</t>
  </si>
  <si>
    <t>RALLIS INDIA LTD.</t>
  </si>
  <si>
    <t>NETWORK18 MEDIA &amp; INVESTMENTS</t>
  </si>
  <si>
    <t>AHLUWALIA CONTRACTS (INDIA) LT</t>
  </si>
  <si>
    <t>Senco Gold Limited</t>
  </si>
  <si>
    <t>BAJAJ CONSUMER CARE LIMITED</t>
  </si>
  <si>
    <t>V.I.P.INDUSTRIES LTD.</t>
  </si>
  <si>
    <t>SHREE RENUKA SUGARS LTD.</t>
  </si>
  <si>
    <t>CMS Info Systems Limited</t>
  </si>
  <si>
    <t>SUBROS LTD.</t>
  </si>
  <si>
    <t>Pilani Investment And Industri</t>
  </si>
  <si>
    <t>TVS Supply Chain Solutions Lim</t>
  </si>
  <si>
    <t>V.S.T.TILLERS TRACTORS LTD.</t>
  </si>
  <si>
    <t>CARE Ratings Limited</t>
  </si>
  <si>
    <t>RAIN INDUSTRIES LIMITED</t>
  </si>
  <si>
    <t>MASTEK LTD.</t>
  </si>
  <si>
    <t>VRL Logistics Limited</t>
  </si>
  <si>
    <t>PTC INDIA LTD.</t>
  </si>
  <si>
    <t>Power Trading</t>
  </si>
  <si>
    <t>Gokul Agro Resources Ltd</t>
  </si>
  <si>
    <t>SURYA ROSHNI LTD.</t>
  </si>
  <si>
    <t>Ceigall India Limited</t>
  </si>
  <si>
    <t>Fedbank Financial Services Lim</t>
  </si>
  <si>
    <t>AURIONPRO SOLUTIONS LTD.</t>
  </si>
  <si>
    <t>GOKALDAS EXPORTS LTD.</t>
  </si>
  <si>
    <t>Juniper Hotels Limited</t>
  </si>
  <si>
    <t>THOMAS COOK (INDIA) LTD.</t>
  </si>
  <si>
    <t>JUST DIAL LTD.</t>
  </si>
  <si>
    <t>NIIT Learning Systems Limited</t>
  </si>
  <si>
    <t>DHANUKA AGRITECH LTD.</t>
  </si>
  <si>
    <t>TRANSFORMERS AND RECTIFIERS (I</t>
  </si>
  <si>
    <t>RESPONSIVE INDUSTRIES LTD.</t>
  </si>
  <si>
    <t>BANNARI AMMAN SUGARS LTD.</t>
  </si>
  <si>
    <t>NIRLON LTD.</t>
  </si>
  <si>
    <t>SHILCHAR TECHNOLOGIES LTD.</t>
  </si>
  <si>
    <t>Entero Healthcare Solutions Li</t>
  </si>
  <si>
    <t>STERLING AND WILSON RENEWABLE</t>
  </si>
  <si>
    <t>Unimech Aerospace and Manufact</t>
  </si>
  <si>
    <t>SUNFLAG IRON &amp; STEEL CO.LTD.</t>
  </si>
  <si>
    <t>HINDUSTAN CONSTRUCTION CO.LTD.</t>
  </si>
  <si>
    <t>DATAMATICS GLOBAL SERVICES LTD</t>
  </si>
  <si>
    <t>V-MART RETAIL LTD.</t>
  </si>
  <si>
    <t>Indigo Paints Limited</t>
  </si>
  <si>
    <t>IFB INDUSTRIES LTD.</t>
  </si>
  <si>
    <t>SIS LIMITED</t>
  </si>
  <si>
    <t>Other Consumer Services</t>
  </si>
  <si>
    <t>ION EXCHANGE (INDIA) LTD.</t>
  </si>
  <si>
    <t>INDIA TOURISM DEVELOPMENT CORP</t>
  </si>
  <si>
    <t>GHCL LTD.</t>
  </si>
  <si>
    <t>RATTANINDIA POWER LTD.</t>
  </si>
  <si>
    <t>SWARAJ ENGINES LTD.</t>
  </si>
  <si>
    <t>PDS LIMITED</t>
  </si>
  <si>
    <t>Trading - Textile Products</t>
  </si>
  <si>
    <t>ELECTROSTEEL CASTINGS LTD.</t>
  </si>
  <si>
    <t>TARC LIMITED</t>
  </si>
  <si>
    <t>BAJAJ ELECTRICALS LTD.</t>
  </si>
  <si>
    <t>MAN INFRACONSTRUCTION LTD.</t>
  </si>
  <si>
    <t>GMM PFAUDLER LTD.</t>
  </si>
  <si>
    <t>SUN PHARMA ADVANCED RESEARCH C</t>
  </si>
  <si>
    <t>RAJESH EXPORTS LTD.</t>
  </si>
  <si>
    <t>FOSECO INDIA LTD.</t>
  </si>
  <si>
    <t>TANFAC INDUSTRIES LTD.</t>
  </si>
  <si>
    <t>TEXMACO RAIL &amp; ENGINEERING LTD</t>
  </si>
  <si>
    <t>Northern Arc Capital Ltd.</t>
  </si>
  <si>
    <t>TIME TECHNOPLAST LTD.</t>
  </si>
  <si>
    <t>Hemisphere Properties India Li</t>
  </si>
  <si>
    <t>Bansal Wire Industries Limited</t>
  </si>
  <si>
    <t>CENTUM ELECTRONICS LTD.</t>
  </si>
  <si>
    <t>SKIPPER LTD</t>
  </si>
  <si>
    <t>Knowledge Marine &amp; Engineering</t>
  </si>
  <si>
    <t>Dredging</t>
  </si>
  <si>
    <t>Mahindra Logistics Limited</t>
  </si>
  <si>
    <t>VST INDUSTRIES LTD.</t>
  </si>
  <si>
    <t>D B CORP LTD</t>
  </si>
  <si>
    <t>Print Media</t>
  </si>
  <si>
    <t>JANA SMALL FINANCE BANK LIMITE</t>
  </si>
  <si>
    <t>WPIL LTD.</t>
  </si>
  <si>
    <t>HAWKINS COOKERS LTD.</t>
  </si>
  <si>
    <t>JTEKT India Ltd</t>
  </si>
  <si>
    <t>J.KUMAR INFRAPROJECTS LTD.</t>
  </si>
  <si>
    <t>Orient Electric Limited</t>
  </si>
  <si>
    <t>KAVERI SEED COMPANY LTD.</t>
  </si>
  <si>
    <t>INNOVA CAPTAB LIMITED</t>
  </si>
  <si>
    <t>Goodluck India Limited</t>
  </si>
  <si>
    <t>Chemplast Sanmar Limited</t>
  </si>
  <si>
    <t>GOLDIAM INTERNATIONAL LTD.</t>
  </si>
  <si>
    <t>RATTANINDIA ENTERPRISES LIMITE</t>
  </si>
  <si>
    <t>AVANTEL LTD.</t>
  </si>
  <si>
    <t>STYLAM INDUSTRIES LIMITED</t>
  </si>
  <si>
    <t>Epigral Limited</t>
  </si>
  <si>
    <t>BOSCH HOME COMFORT INDIA LIMIT</t>
  </si>
  <si>
    <t>Electronics Mart India Limited</t>
  </si>
  <si>
    <t>Restaurant Brands Asia Limited</t>
  </si>
  <si>
    <t>AGI Infra Limited</t>
  </si>
  <si>
    <t>VAIBHAV GLOBAL LTD</t>
  </si>
  <si>
    <t>Artemis Medicare Services Limi</t>
  </si>
  <si>
    <t>HEIDELBERGCEMENT INDIA LTD.</t>
  </si>
  <si>
    <t>SINDHU TRADE LINKS LIMITED</t>
  </si>
  <si>
    <t>Neogen Chemicals Limited</t>
  </si>
  <si>
    <t>Gopal Snacks Limited</t>
  </si>
  <si>
    <t>VADILAL INDUSTRIES LTD.</t>
  </si>
  <si>
    <t>KNR CONSTRUCTIONS LTD.</t>
  </si>
  <si>
    <t>NATIONAL FERTILIZERS LTD.</t>
  </si>
  <si>
    <t>ASHOKA BUILDCON LTD.</t>
  </si>
  <si>
    <t>INDRAPRASTHA MEDICAL CORP.LTD.</t>
  </si>
  <si>
    <t>Rolex Rings Limited</t>
  </si>
  <si>
    <t>OPTIEMUS INFRACOM LTD</t>
  </si>
  <si>
    <t>MOSCHIP TECHNOLOGIES LIMITED</t>
  </si>
  <si>
    <t>Computers Hardware &amp; Equipments</t>
  </si>
  <si>
    <t>eMudhra Limited</t>
  </si>
  <si>
    <t>GREAVES COTTON LTD.</t>
  </si>
  <si>
    <t>RELIANCE INFRASTRUCTURE LTD.</t>
  </si>
  <si>
    <t>Samhi Hotels Limited</t>
  </si>
  <si>
    <t>SENORES PHARMACEUTICALS LIMITE</t>
  </si>
  <si>
    <t>SMS PHARMACEUTICALS LTD.</t>
  </si>
  <si>
    <t>BALAJI AMINES LTD.</t>
  </si>
  <si>
    <t>H.G. Infra Engineering Limited</t>
  </si>
  <si>
    <t>SHANTHI GEARS LTD.</t>
  </si>
  <si>
    <t>GUJARAT ALKALIES &amp; CHEMICALS L</t>
  </si>
  <si>
    <t>Oswal Pumps Limited</t>
  </si>
  <si>
    <t>AGI GREENPAC LIMITED</t>
  </si>
  <si>
    <t>SEAMEC LTD.</t>
  </si>
  <si>
    <t>Sanathan Textiles Limited</t>
  </si>
  <si>
    <t>IndoStar Capital Finance Limit</t>
  </si>
  <si>
    <t>KITEX GARMENTS LTD.</t>
  </si>
  <si>
    <t>Styrenix Performance Materials</t>
  </si>
  <si>
    <t>PONDY OXIDES &amp; CHEMICALS LTD.</t>
  </si>
  <si>
    <t>INDO THAI SECURITIES LTD.</t>
  </si>
  <si>
    <t>Laxmi Organic Industries Limit</t>
  </si>
  <si>
    <t>ASM TECHNOLOGIES LTD.</t>
  </si>
  <si>
    <t>MAN INDUSTRIES (INDIA) LTD.</t>
  </si>
  <si>
    <t>SHOPPERS STOP LTD.</t>
  </si>
  <si>
    <t>UFLEX LTD.</t>
  </si>
  <si>
    <t>VISHNU CHEMICALS LTD.</t>
  </si>
  <si>
    <t>PITTI ENGINEERING LIMITED</t>
  </si>
  <si>
    <t>Advanced Enzyme Technologies L</t>
  </si>
  <si>
    <t>SUVEN LIFE SCIENCES LTD.</t>
  </si>
  <si>
    <t>Flair Writing Industries Limit</t>
  </si>
  <si>
    <t>R SYSTEMS INTERNATIONAL LTD.</t>
  </si>
  <si>
    <t>GRM OVERSEAS LTD.</t>
  </si>
  <si>
    <t>Harsha Engineers International</t>
  </si>
  <si>
    <t>AARTI DRUGS LTD.</t>
  </si>
  <si>
    <t>STEEL STRIPS WHEELS LTD.</t>
  </si>
  <si>
    <t>TATA INVESTMENT CORPORATION LT</t>
  </si>
  <si>
    <t>ASHIANA HOUSING LTD.</t>
  </si>
  <si>
    <t>GUJARAT THEMIS BIOSYN LTD.</t>
  </si>
  <si>
    <t>GE Power India Ltd</t>
  </si>
  <si>
    <t>TOURISM FINANCE CORPORATION OF</t>
  </si>
  <si>
    <t>KALYANI STEELS LTD.</t>
  </si>
  <si>
    <t>CIGNITI TECHNOLOGIES LTD.</t>
  </si>
  <si>
    <t>MSTC Limited</t>
  </si>
  <si>
    <t>NAVNEET EDUCATION LIMITED</t>
  </si>
  <si>
    <t>Printing &amp; Publication</t>
  </si>
  <si>
    <t>RAGHAV PRODUCTIVITY ENHANCERS</t>
  </si>
  <si>
    <t>EFC (I) LIMITED</t>
  </si>
  <si>
    <t>The Anup Engineering Ltd</t>
  </si>
  <si>
    <t>ORIENT CEMENT LTD</t>
  </si>
  <si>
    <t>Route Mobile Limited</t>
  </si>
  <si>
    <t>RAM RATNA WIRES LTD.</t>
  </si>
  <si>
    <t>SUNDARAM-CLAYTON LIMITED</t>
  </si>
  <si>
    <t>RAMKY INFRASTRUCTURE LTD.</t>
  </si>
  <si>
    <t>Interarch Building Solutions L</t>
  </si>
  <si>
    <t>Orchid Pharma Limited</t>
  </si>
  <si>
    <t>PAISALO DIGITAL LIMITED</t>
  </si>
  <si>
    <t>KEWAL KIRAN CLOTHING LTD.</t>
  </si>
  <si>
    <t>KOLTE-PATIL DEVELOPERS LTD.</t>
  </si>
  <si>
    <t>BALMER LAWRIE &amp; CO.LTD.</t>
  </si>
  <si>
    <t>AUTOMOTIVE AXLES LTD.</t>
  </si>
  <si>
    <t>Sandhar Technologies Limited</t>
  </si>
  <si>
    <t>WONDERLA HOLIDAYS LTD</t>
  </si>
  <si>
    <t>NACL Industries Limited</t>
  </si>
  <si>
    <t>NALWA SONS INVESTMENTS LTD.</t>
  </si>
  <si>
    <t>RPG LIFE SCIENCES LTD.</t>
  </si>
  <si>
    <t>KDDL LTD.</t>
  </si>
  <si>
    <t>ZAGGLE PREPAID OCEAN SERVICES</t>
  </si>
  <si>
    <t>Aeroflex Industries Limited</t>
  </si>
  <si>
    <t>KIRLOSKAR INDUSTRIES LTD</t>
  </si>
  <si>
    <t>TVS SRICHAKRA LTD.</t>
  </si>
  <si>
    <t>FUSION FINANCE LIMITED</t>
  </si>
  <si>
    <t>REFEX INDUSTRIES LTD.</t>
  </si>
  <si>
    <t>SRI ADHIKARI BROTHERS TELEVISI</t>
  </si>
  <si>
    <t>HERITAGE FOODS LIMITED</t>
  </si>
  <si>
    <t>CARRARO INDIA LIMITED</t>
  </si>
  <si>
    <t>HUBTOWN LTD.</t>
  </si>
  <si>
    <t>Quess Corp Limited</t>
  </si>
  <si>
    <t>Sambhv Steel Tubes Ltd</t>
  </si>
  <si>
    <t>Gateway Distriparks Limited</t>
  </si>
  <si>
    <t>TIMEX GROUP INDIA LTD.</t>
  </si>
  <si>
    <t>PREMIER EXPLOSIVES LTD.</t>
  </si>
  <si>
    <t>MARATHON NEXTGEN REALTY LTD.</t>
  </si>
  <si>
    <t>PSP Projects Limited</t>
  </si>
  <si>
    <t>GUFIC BIOSCIENCES LTD.</t>
  </si>
  <si>
    <t>PHArmaceuticals</t>
  </si>
  <si>
    <t>63 Moons Technologies Limited</t>
  </si>
  <si>
    <t>POKARNA LTD.</t>
  </si>
  <si>
    <t>Granites &amp; Marbles</t>
  </si>
  <si>
    <t>DREDGING CORPORATION OF INDIA</t>
  </si>
  <si>
    <t>Share India Securities Limited</t>
  </si>
  <si>
    <t>DDEV PLASTIKS INDUSTRIES LIMIT</t>
  </si>
  <si>
    <t>Tatva Chintan Pharma Chem Limi</t>
  </si>
  <si>
    <t>GRAUER &amp; WEIL (INDIA) LTD.</t>
  </si>
  <si>
    <t>Camlin Fine Sciences Ltd</t>
  </si>
  <si>
    <t>Muthoot Microfin Limited</t>
  </si>
  <si>
    <t>Jubilant Agri and Consumer Pro</t>
  </si>
  <si>
    <t>BHARAT BIJLEE LTD.</t>
  </si>
  <si>
    <t>Borosil Limited</t>
  </si>
  <si>
    <t>Rossell Techsys Limited</t>
  </si>
  <si>
    <t>ROSSARI BIOTECH LIMITED</t>
  </si>
  <si>
    <t>Prince Pipes and Fittings Limi</t>
  </si>
  <si>
    <t>West Coast Paper Mills Limited</t>
  </si>
  <si>
    <t>ENVIRO INFRA ENGINEERS LIMITED</t>
  </si>
  <si>
    <t>Medi Assist Healthcare Service</t>
  </si>
  <si>
    <t>Insurance Distributors</t>
  </si>
  <si>
    <t>FINEOTEX CHEMICAL LTD.</t>
  </si>
  <si>
    <t>Dishman Carbogen Amcis Limited</t>
  </si>
  <si>
    <t>D P ABHUSHAN LIMITED</t>
  </si>
  <si>
    <t>GREENPLY INDUSTRIES LTD.</t>
  </si>
  <si>
    <t>KIRI INDUSTRIES LTD.</t>
  </si>
  <si>
    <t>BHAGIRADHA CHEMICALS &amp; INDUSTR</t>
  </si>
  <si>
    <t>POLYPLEX CORPORATION LTD.</t>
  </si>
  <si>
    <t>NRB BEARINGS LTD.</t>
  </si>
  <si>
    <t>JAIN IRRIGATION SYSTEMS LTD.</t>
  </si>
  <si>
    <t>RAYMOND LTD.</t>
  </si>
  <si>
    <t>KILBURN ENGINEERING LTD.</t>
  </si>
  <si>
    <t>Parag Milk Foods Limited</t>
  </si>
  <si>
    <t>Apeejay Surrendra Park Hotels</t>
  </si>
  <si>
    <t>Sirca Paints India Limited</t>
  </si>
  <si>
    <t>AJMERA REALTY &amp; INFRA INDIA LT</t>
  </si>
  <si>
    <t>JASH ENGINEERING LIMITED</t>
  </si>
  <si>
    <t>PATEL ENGINEERING LTD.</t>
  </si>
  <si>
    <t>SHIVALIK BIMETAL CONTROLS LTD.</t>
  </si>
  <si>
    <t>GLOBUS SPIRITS LTD.</t>
  </si>
  <si>
    <t>SAVITA OIL TECHNOLOGIES LTD.</t>
  </si>
  <si>
    <t>RAVINDRA ENERGY LIMITED</t>
  </si>
  <si>
    <t>Greenpanel Industries Limited</t>
  </si>
  <si>
    <t>CARYSIL LIMITED</t>
  </si>
  <si>
    <t>MPS LTD.</t>
  </si>
  <si>
    <t>E-Learning</t>
  </si>
  <si>
    <t>SAGAR CEMENTS LTD.</t>
  </si>
  <si>
    <t>Prataap Snacks Limited</t>
  </si>
  <si>
    <t>STANDARD GLASS LINING TECHNOLO</t>
  </si>
  <si>
    <t>WELSPUN SPECIALTY SOLUTIONS LI</t>
  </si>
  <si>
    <t>SUNDROP BRANDS LIMITED</t>
  </si>
  <si>
    <t>IMAGICAAWORLD ENTERTAINMENT LI</t>
  </si>
  <si>
    <t>RAMCO INDUSTRIES LTD.</t>
  </si>
  <si>
    <t>Other Construction Materials</t>
  </si>
  <si>
    <t>VARDHMAN SPECIAL STEELS LTD.</t>
  </si>
  <si>
    <t>Cyient DLM Limited</t>
  </si>
  <si>
    <t>TCPL PACKAGING LTD.</t>
  </si>
  <si>
    <t>FISCHER MEDICAL VENTURES LIMIT</t>
  </si>
  <si>
    <t>JINDAL WORLDWIDE LTD.</t>
  </si>
  <si>
    <t>Arvind SmartSpaces Limited</t>
  </si>
  <si>
    <t>UNIVERSAL CABLES LTD.</t>
  </si>
  <si>
    <t>HIKAL LTD.</t>
  </si>
  <si>
    <t>EVEREADY INDUSTRIES INDIA LTD.</t>
  </si>
  <si>
    <t>BOMBAY DYEING &amp; MFG.CO.LTD.</t>
  </si>
  <si>
    <t>UTKARSH SMALL FINANCE BANK LIM</t>
  </si>
  <si>
    <t>Deep Industries Limited</t>
  </si>
  <si>
    <t>Oil Equipment &amp; Services</t>
  </si>
  <si>
    <t>SIYARAM SILK MILLS LTD.</t>
  </si>
  <si>
    <t>HIND RECTIFIERS LTD.</t>
  </si>
  <si>
    <t>Rashi Peripherals Limited</t>
  </si>
  <si>
    <t>UNICHEM LABORATORIES LTD.</t>
  </si>
  <si>
    <t>PRAKASH INDUSTRIES LTD.</t>
  </si>
  <si>
    <t>REPCO HOME FINANCE LTD.</t>
  </si>
  <si>
    <t>Prabha Energy Limited</t>
  </si>
  <si>
    <t>EPACK Durable Limited</t>
  </si>
  <si>
    <t>NOCIL LTD.</t>
  </si>
  <si>
    <t>Protean eGov Technologies Limi</t>
  </si>
  <si>
    <t>SPICEJET LTD.</t>
  </si>
  <si>
    <t>WEBSOL ENERGY SYSTEM LTD.</t>
  </si>
  <si>
    <t>MOREPEN LABORATORIES LTD.</t>
  </si>
  <si>
    <t>ALEMBIC LTD.</t>
  </si>
  <si>
    <t>MARSONS LIMITED</t>
  </si>
  <si>
    <t>RANE (MADRAS) LTD.</t>
  </si>
  <si>
    <t>G.M.BREWERIES LTD.</t>
  </si>
  <si>
    <t>Network People Services Techno</t>
  </si>
  <si>
    <t>THIRUMALAI CHEMICALS LTD.</t>
  </si>
  <si>
    <t>HLE GLASCOAT LIMITED</t>
  </si>
  <si>
    <t>LA OPALA RG LTD.</t>
  </si>
  <si>
    <t>Glass - Consumer</t>
  </si>
  <si>
    <t>FEDERAL-MOGUL GOETZE (INDIA) L</t>
  </si>
  <si>
    <t>SANGHVI MOVERS LTD.</t>
  </si>
  <si>
    <t>SANGAM (INDIA) LTD.</t>
  </si>
  <si>
    <t>DR.AGARWALS EYE HOSPITAL LTD.</t>
  </si>
  <si>
    <t>Monarch Networth Capital Limit</t>
  </si>
  <si>
    <t>JTL INDUSTRIES LIMITED</t>
  </si>
  <si>
    <t>RPSG VENTURES LIMITED</t>
  </si>
  <si>
    <t>SG FINSERVE LIMITED</t>
  </si>
  <si>
    <t>Venus Pipes &amp; Tubes Limited</t>
  </si>
  <si>
    <t>CANTABIL RETAIL INDIA LTD.</t>
  </si>
  <si>
    <t>TAJGVK HOTELS &amp; RESORTS LTD.</t>
  </si>
  <si>
    <t>ADF FOODS LTD.</t>
  </si>
  <si>
    <t>GUJARAT INDUSTRIES POWER CO.LT</t>
  </si>
  <si>
    <t>RAJRATAN GLOBAL WIRE LTD.</t>
  </si>
  <si>
    <t>HONDA INDIA POWER PRODUCTS LIM</t>
  </si>
  <si>
    <t>WINDSOR MACHINES LTD.</t>
  </si>
  <si>
    <t>IOL CHEMICALS &amp; PHARMACEUTICAL</t>
  </si>
  <si>
    <t>HPL Electric &amp; Power Limited</t>
  </si>
  <si>
    <t>ARKADE DEVELOPERS LIMITED</t>
  </si>
  <si>
    <t>VINTAGE COFFEE AND BEVERAGES L</t>
  </si>
  <si>
    <t>Krsnaa Diagnostics Limited</t>
  </si>
  <si>
    <t>SOLARA ACTIVE PHARMA SCIENCES</t>
  </si>
  <si>
    <t>NUCLEUS SOFTWARE EXPORTS LTD.</t>
  </si>
  <si>
    <t>Uniparts India Limited</t>
  </si>
  <si>
    <t>TCI Express Limited</t>
  </si>
  <si>
    <t>GANESHA ECOSPHERE LTD.</t>
  </si>
  <si>
    <t>Awfis Space Solutions Limited</t>
  </si>
  <si>
    <t>TeamLease Services Limited</t>
  </si>
  <si>
    <t>BAJAJ HINDUSTHAN SUGAR LIMITED</t>
  </si>
  <si>
    <t>BHANSALI ENGINEERING POLYMERS</t>
  </si>
  <si>
    <t>S H Kelkar and Company Limited</t>
  </si>
  <si>
    <t>PENNAR INDUSTRIES LTD.</t>
  </si>
  <si>
    <t>PANACEA BIOTEC LTD.</t>
  </si>
  <si>
    <t>VIMTA LABS LTD.</t>
  </si>
  <si>
    <t>Jaykay Enterprises Limited</t>
  </si>
  <si>
    <t>BF UTILITIES LTD.</t>
  </si>
  <si>
    <t>Road Assets–Toll, Annuity, Hybrid-Annuity</t>
  </si>
  <si>
    <t>JAI CORP LTD.</t>
  </si>
  <si>
    <t>Hindware Home Innovation Limit</t>
  </si>
  <si>
    <t>VENKYS (INDIA) LTD.</t>
  </si>
  <si>
    <t>Meat Products including Poultry</t>
  </si>
  <si>
    <t>K.P. Energy Limited</t>
  </si>
  <si>
    <t>MAHANAGAR TELEPHONE NIGAM LTD.</t>
  </si>
  <si>
    <t>YATRA ONLINE LIMITED</t>
  </si>
  <si>
    <t>Sasken Technologies Limited</t>
  </si>
  <si>
    <t>INDIAN HUME PIPE CO.LTD.</t>
  </si>
  <si>
    <t>NITCO LTD.</t>
  </si>
  <si>
    <t>UGRO CAPITAL LIMITED</t>
  </si>
  <si>
    <t>Go Fashion (India) Limited</t>
  </si>
  <si>
    <t>EMS LIMITED</t>
  </si>
  <si>
    <t>Waste Management</t>
  </si>
  <si>
    <t>ANGEL ONE LIMITED</t>
  </si>
  <si>
    <t>LMW Limited</t>
  </si>
  <si>
    <t>TCC CONCEPT LIMITED</t>
  </si>
  <si>
    <t>Lenskart Solutions Ltd</t>
  </si>
  <si>
    <t>City Pulse Multiventures Ltd</t>
  </si>
  <si>
    <t>Baazar Style Retail Ltd</t>
  </si>
  <si>
    <t>Sai Silks (Kalamandir) Ltd</t>
  </si>
  <si>
    <t>Yasho Industries Ltd</t>
  </si>
  <si>
    <t>Anupam Rasayan India Ltd</t>
  </si>
  <si>
    <t>Sudeep Pharma Ltd</t>
  </si>
  <si>
    <t>Belding India Ltd</t>
  </si>
  <si>
    <t>KSH International Ltd</t>
  </si>
  <si>
    <t>Vidya Wires Ltd</t>
  </si>
  <si>
    <t>Elitecon International Ltd</t>
  </si>
  <si>
    <t>Bharat Coking Coal Ltd</t>
  </si>
  <si>
    <t>Tata Motors Ltd</t>
  </si>
  <si>
    <t>National Securities Depository Ltd</t>
  </si>
  <si>
    <t>Physicswallah Ltd</t>
  </si>
  <si>
    <t>Panorama Studios International Ltd</t>
  </si>
  <si>
    <t>Media Matrix Worldwide Ltd</t>
  </si>
  <si>
    <t>Midwest Ltd</t>
  </si>
  <si>
    <t>HMA Agro Industries Ltd</t>
  </si>
  <si>
    <t>SKM Egg Products Export (India) Ltd</t>
  </si>
  <si>
    <t>Billionbrains Garage Ventures Ltd</t>
  </si>
  <si>
    <t>GNG Electronics Ltd</t>
  </si>
  <si>
    <t>Industry</t>
  </si>
  <si>
    <t>Total</t>
  </si>
  <si>
    <t>Sales H1_FY26</t>
  </si>
  <si>
    <t>Sales H1_FY25</t>
  </si>
  <si>
    <t>Profit H1_FY26</t>
  </si>
  <si>
    <t>Profit H1_FY25</t>
  </si>
  <si>
    <t>Sales Q2_FY26</t>
  </si>
  <si>
    <t>Sales Q2_FY25</t>
  </si>
  <si>
    <t>Profit Q2_FY26</t>
  </si>
  <si>
    <t>Profit Q2_FY25</t>
  </si>
  <si>
    <t>Margin H1_FY26</t>
  </si>
  <si>
    <t>Margin H1_FY25</t>
  </si>
  <si>
    <t>Margin Change H1_FY26</t>
  </si>
  <si>
    <t>Margin Q2_FY26</t>
  </si>
  <si>
    <t>Margin Q2_FY25</t>
  </si>
  <si>
    <t>Margin Change Q2_FY26</t>
  </si>
  <si>
    <t>Sales Gr. H1_FY26</t>
  </si>
  <si>
    <t>Profit  Gr. H1_FY26</t>
  </si>
  <si>
    <t>Sales Gr Q2_FY26</t>
  </si>
  <si>
    <t>Profit Gr Q2_FY26</t>
  </si>
  <si>
    <t>Advertising &amp; Media Agencies</t>
  </si>
  <si>
    <t>Auto -Dealer</t>
  </si>
  <si>
    <t>Commodity Chemicals.</t>
  </si>
  <si>
    <t>Consulting Services</t>
  </si>
  <si>
    <t>Data Processing Services</t>
  </si>
  <si>
    <t>Distributors</t>
  </si>
  <si>
    <t>Diversified consumer products</t>
  </si>
  <si>
    <t>Electronic Media</t>
  </si>
  <si>
    <t>Forest Products</t>
  </si>
  <si>
    <t>Furniture, Home Furnishing.</t>
  </si>
  <si>
    <r>
      <rPr>
        <sz val="10"/>
        <color theme="1"/>
        <rFont val="MyFirstFont"/>
      </rPr>
      <t>Furniture, Home Furnishing, Flooring</t>
    </r>
  </si>
  <si>
    <r>
      <rPr>
        <sz val="10"/>
        <color theme="1"/>
        <rFont val="MyFirstFont"/>
      </rPr>
      <t>Industrial Machinery</t>
    </r>
  </si>
  <si>
    <t>Jute &amp; Jute Products</t>
  </si>
  <si>
    <t>Leather And Leather Products</t>
  </si>
  <si>
    <t>Leisure Products</t>
  </si>
  <si>
    <t>Mutual Fund Scheme - ETF</t>
  </si>
  <si>
    <t>Offshore Support Solution Drilling</t>
  </si>
  <si>
    <t>Other Capital Market related Services</t>
  </si>
  <si>
    <t>Other Utilities</t>
  </si>
  <si>
    <t>Precious Metals</t>
  </si>
  <si>
    <t>Real Estate Investment Trusts (REITs)</t>
  </si>
  <si>
    <t>Real Estate related services</t>
  </si>
  <si>
    <t>Road Transport</t>
  </si>
  <si>
    <t>Rubber</t>
  </si>
  <si>
    <t>Seafood</t>
  </si>
  <si>
    <t>Trading - Chemicals</t>
  </si>
  <si>
    <t>Trading Coal</t>
  </si>
  <si>
    <t>Web based media and service</t>
  </si>
  <si>
    <t>Wellness</t>
  </si>
  <si>
    <t>Constituents</t>
  </si>
  <si>
    <t>M&amp;M</t>
  </si>
  <si>
    <t>BEL</t>
  </si>
  <si>
    <t>HAL</t>
  </si>
  <si>
    <t>ABB</t>
  </si>
  <si>
    <t>CUMMINSIND</t>
  </si>
  <si>
    <t>SOLARINDS</t>
  </si>
  <si>
    <t>SIEMENS</t>
  </si>
  <si>
    <t>POLYCAB</t>
  </si>
  <si>
    <t>ENRIN</t>
  </si>
  <si>
    <t>MAZDOCK</t>
  </si>
  <si>
    <t>WAAREEENER</t>
  </si>
  <si>
    <t>HAVELLS</t>
  </si>
  <si>
    <t>SUPREMEIND</t>
  </si>
  <si>
    <t>PIIND</t>
  </si>
  <si>
    <t>BALKRISIND</t>
  </si>
  <si>
    <t>ANTHEM</t>
  </si>
  <si>
    <t>TIMKEN</t>
  </si>
  <si>
    <t>KAYNES</t>
  </si>
  <si>
    <t>ARE&amp;M</t>
  </si>
  <si>
    <t>LT</t>
  </si>
  <si>
    <t>ADANIPORTS</t>
  </si>
  <si>
    <t>INDUSTOWER</t>
  </si>
  <si>
    <t>ACE</t>
  </si>
  <si>
    <t>IONEXCHANG</t>
  </si>
  <si>
    <t>EMSLIMITED</t>
  </si>
  <si>
    <t>TCS</t>
  </si>
  <si>
    <t>LTTS</t>
  </si>
  <si>
    <t>AFFLE</t>
  </si>
  <si>
    <t>IEX</t>
  </si>
  <si>
    <t>NTPC</t>
  </si>
  <si>
    <t>POWERGRID</t>
  </si>
  <si>
    <t>TATAPOWER</t>
  </si>
  <si>
    <t>GAIL</t>
  </si>
  <si>
    <t>IREDA</t>
  </si>
  <si>
    <t>IRFC</t>
  </si>
  <si>
    <t>AUBANK</t>
  </si>
  <si>
    <t>CRISIL</t>
  </si>
  <si>
    <t>CAMS</t>
  </si>
  <si>
    <t>SUM of Sales 9M_FY26</t>
  </si>
  <si>
    <t>SUM of Profit 9M_FY26</t>
  </si>
  <si>
    <t>Grand Total</t>
  </si>
  <si>
    <t>ASTRAL</t>
  </si>
  <si>
    <t>SHAILY</t>
  </si>
  <si>
    <t>FINPIPE</t>
  </si>
  <si>
    <t>GRWRHITECH</t>
  </si>
  <si>
    <t>TIMETECHNO</t>
  </si>
  <si>
    <t>KINGFA</t>
  </si>
  <si>
    <t>PRINCEPIPE</t>
  </si>
  <si>
    <t>JISLJALEQS</t>
  </si>
  <si>
    <t>JISLDVREQS</t>
  </si>
  <si>
    <t>APOLLOPIPE</t>
  </si>
  <si>
    <t>JAICORPLTD</t>
  </si>
  <si>
    <t>RMDRIP</t>
  </si>
  <si>
    <t>PREMIERPOL</t>
  </si>
  <si>
    <t>SHISHIND</t>
  </si>
  <si>
    <t>CPL</t>
  </si>
  <si>
    <t>KRITI</t>
  </si>
  <si>
    <t>DHABRIYA</t>
  </si>
  <si>
    <t>CANDOUR</t>
  </si>
  <si>
    <t>KISAN</t>
  </si>
  <si>
    <t>KAKA</t>
  </si>
  <si>
    <t>TAINWALCHM</t>
  </si>
  <si>
    <t>BDI</t>
  </si>
  <si>
    <t>HINDADH</t>
  </si>
  <si>
    <t>ECOPLAST</t>
  </si>
  <si>
    <t>NATPLASTI</t>
  </si>
  <si>
    <t>CAPPIPES</t>
  </si>
  <si>
    <t>BRIGHTBR</t>
  </si>
  <si>
    <t>TEXMOPIPES</t>
  </si>
  <si>
    <t>CDG</t>
  </si>
  <si>
    <t>RUNGTAIR</t>
  </si>
  <si>
    <t>CAPRIHANS</t>
  </si>
  <si>
    <t>TEXELIN</t>
  </si>
  <si>
    <t>GMPL</t>
  </si>
  <si>
    <t>MALPANI</t>
  </si>
  <si>
    <t>GUJTLRM</t>
  </si>
  <si>
    <t>DUTRON</t>
  </si>
  <si>
    <t>NARMP</t>
  </si>
  <si>
    <t>AXELPOLY</t>
  </si>
  <si>
    <t>SRIKPRIND</t>
  </si>
  <si>
    <t>NATPLAS</t>
  </si>
  <si>
    <t>SPL</t>
  </si>
  <si>
    <t>ALFAICA</t>
  </si>
  <si>
    <t>DUROPACK</t>
  </si>
  <si>
    <t>COMMAND</t>
  </si>
  <si>
    <t>LKMEHTA</t>
  </si>
  <si>
    <t>KKPLASTICK</t>
  </si>
  <si>
    <t>KUNSTOFF</t>
  </si>
  <si>
    <t>AIKPIPES</t>
  </si>
  <si>
    <t>TIJARIA</t>
  </si>
  <si>
    <t>ASHISHPO</t>
  </si>
  <si>
    <t>ARCEEIN</t>
  </si>
  <si>
    <t>PADALPO</t>
  </si>
  <si>
    <t>POLYMAC</t>
  </si>
  <si>
    <t>BLOOM</t>
  </si>
  <si>
    <t>KRIFILIND</t>
  </si>
  <si>
    <t>INTETHR</t>
  </si>
  <si>
    <t>AMERISE</t>
  </si>
  <si>
    <t>ADVMULT</t>
  </si>
  <si>
    <t>NOBPOL</t>
  </si>
  <si>
    <t>PETPLST</t>
  </si>
  <si>
    <t>PPL</t>
  </si>
  <si>
    <t>SUM of Sales 9M_FY25</t>
  </si>
  <si>
    <t>SUM of Sales Q3_FY26</t>
  </si>
  <si>
    <t>SUM of Sales Q3_FY25</t>
  </si>
  <si>
    <t>SUM of Profit 9M_FY25</t>
  </si>
  <si>
    <t>SUM of Profit Q3_FY26</t>
  </si>
  <si>
    <t>SUM of Profit Q3_FY25</t>
  </si>
  <si>
    <t xml:space="preserve"> Sales 9M_FY26</t>
  </si>
  <si>
    <t xml:space="preserve"> Sales 9M_FY25</t>
  </si>
  <si>
    <t xml:space="preserve"> Sales Q3_FY26</t>
  </si>
  <si>
    <t xml:space="preserve"> Profit Q3_FY26</t>
  </si>
  <si>
    <t>9M_SalesGrowth</t>
  </si>
  <si>
    <t>9M_ProfitGrowth</t>
  </si>
  <si>
    <t>Q3_SalesGrowth</t>
  </si>
  <si>
    <t>Q3_ProfitGrowth</t>
  </si>
  <si>
    <t xml:space="preserve">  </t>
  </si>
  <si>
    <t>SCRIP CODE</t>
  </si>
  <si>
    <t>SEGMENT</t>
  </si>
  <si>
    <t>WEIGHTGE_%</t>
  </si>
  <si>
    <t>PRICE</t>
  </si>
  <si>
    <t>Marketcap (Cr.)</t>
  </si>
  <si>
    <t>MAPMYINDIA</t>
  </si>
  <si>
    <t>UTILITIES</t>
  </si>
  <si>
    <t>WONDERLA</t>
  </si>
  <si>
    <t>PATANJALI</t>
  </si>
  <si>
    <t>TATAELXSI</t>
  </si>
  <si>
    <t>TRENT</t>
  </si>
  <si>
    <t>RVNL</t>
  </si>
  <si>
    <t>NETWEB</t>
  </si>
  <si>
    <t>9M_FY_26</t>
  </si>
  <si>
    <t>TOTAL</t>
  </si>
  <si>
    <t>NIFTY 50</t>
  </si>
  <si>
    <t>Trail_EPS</t>
  </si>
  <si>
    <t>EPS@WEI</t>
  </si>
  <si>
    <t>PRICE@WEI</t>
  </si>
  <si>
    <t>HINDZINC</t>
  </si>
  <si>
    <t>SIZEMASTER</t>
  </si>
  <si>
    <t>KAYA</t>
  </si>
  <si>
    <t>ADCOUNTY</t>
  </si>
  <si>
    <t>ONMOBILE</t>
  </si>
  <si>
    <t>WABAG</t>
  </si>
  <si>
    <t>EIEL</t>
  </si>
  <si>
    <t>JITFINFRA</t>
  </si>
  <si>
    <t>DENTA</t>
  </si>
  <si>
    <t>AWHCL</t>
  </si>
  <si>
    <t>ECORECO</t>
  </si>
  <si>
    <t>CEWATER</t>
  </si>
  <si>
    <t>VVIPIL</t>
  </si>
  <si>
    <t>ORGANICREC</t>
  </si>
  <si>
    <t>RACE</t>
  </si>
  <si>
    <t>GEMENVIRO</t>
  </si>
  <si>
    <t>EPBIO</t>
  </si>
  <si>
    <t>MRF</t>
  </si>
  <si>
    <t>APOLLOTYRE</t>
  </si>
  <si>
    <t>CEATLTD</t>
  </si>
  <si>
    <t>JKTYRE</t>
  </si>
  <si>
    <t>TVSSRICHAK</t>
  </si>
  <si>
    <t>GOODYEAR</t>
  </si>
  <si>
    <t>TOLINS</t>
  </si>
  <si>
    <t>MODIRUBBER</t>
  </si>
  <si>
    <t>INDAG</t>
  </si>
  <si>
    <t>DOLFIN</t>
  </si>
  <si>
    <t>VRWODAR</t>
  </si>
  <si>
    <t>MMRUBBR-B</t>
  </si>
  <si>
    <t>COCHMAL</t>
  </si>
  <si>
    <t>VAMSHIRU</t>
  </si>
  <si>
    <t>EASTRED</t>
  </si>
  <si>
    <t>TIRUPATIIN</t>
  </si>
  <si>
    <t>SUNTV</t>
  </si>
  <si>
    <t>ZEEL</t>
  </si>
  <si>
    <t>AQYLON</t>
  </si>
  <si>
    <t>HATHWAY</t>
  </si>
  <si>
    <t>DEN</t>
  </si>
  <si>
    <t>NDTV</t>
  </si>
  <si>
    <t>GTPL</t>
  </si>
  <si>
    <t>TVTODAY</t>
  </si>
  <si>
    <t>ZEEMEDIA</t>
  </si>
  <si>
    <t>DISHTV</t>
  </si>
  <si>
    <t>RAJTV</t>
  </si>
  <si>
    <t>BAGFILMS</t>
  </si>
  <si>
    <t>SITINET</t>
  </si>
  <si>
    <t>COLORCHIPS</t>
  </si>
  <si>
    <t>TVVISION</t>
  </si>
  <si>
    <t>OCTAVE</t>
  </si>
  <si>
    <t>CRYSTAL</t>
  </si>
  <si>
    <t>HATHWAYB</t>
  </si>
  <si>
    <t>ORTEL</t>
  </si>
  <si>
    <t>SEATV</t>
  </si>
  <si>
    <t>ANMOL</t>
  </si>
  <si>
    <t>REETECH</t>
  </si>
  <si>
    <t>KCL</t>
  </si>
  <si>
    <t>PDSL</t>
  </si>
  <si>
    <t>BTTL</t>
  </si>
  <si>
    <t>ARL</t>
  </si>
  <si>
    <t>SPLIL</t>
  </si>
  <si>
    <t>SANBLUE</t>
  </si>
  <si>
    <t>NIVAKA</t>
  </si>
  <si>
    <t>HEADSUP</t>
  </si>
  <si>
    <t>VIVAA</t>
  </si>
  <si>
    <t>GLOBALE</t>
  </si>
  <si>
    <t>SNIM</t>
  </si>
  <si>
    <t>ADANIENT</t>
  </si>
  <si>
    <t>STARLENT</t>
  </si>
  <si>
    <t>ARENTERP</t>
  </si>
  <si>
    <t>LLOYDSENT</t>
  </si>
  <si>
    <t>SGMART</t>
  </si>
  <si>
    <t>BMWVENTLTD</t>
  </si>
  <si>
    <t>EMERGENT</t>
  </si>
  <si>
    <t>ABANSENT</t>
  </si>
  <si>
    <t>LATIMMETAL</t>
  </si>
  <si>
    <t>BONLON</t>
  </si>
  <si>
    <t>ASHOKAMET</t>
  </si>
  <si>
    <t>CHENFERRO</t>
  </si>
  <si>
    <t>RRMETAL</t>
  </si>
  <si>
    <t>A1L</t>
  </si>
  <si>
    <t>BHAVIK</t>
  </si>
  <si>
    <t>CHDCHEM</t>
  </si>
  <si>
    <t>CITICHEM</t>
  </si>
  <si>
    <t>EVEXIA</t>
  </si>
  <si>
    <t>LAFFANSQ</t>
  </si>
  <si>
    <t>MYSORPETRO</t>
  </si>
  <si>
    <t>PATRON</t>
  </si>
  <si>
    <t>SHIVTEXCHEM</t>
  </si>
  <si>
    <t>SRD</t>
  </si>
  <si>
    <t>UNIENTER</t>
  </si>
  <si>
    <t>VINYLINDIA</t>
  </si>
  <si>
    <t>YASHCHEM</t>
  </si>
  <si>
    <t>ESCORTS</t>
  </si>
  <si>
    <t>VSTTILLERS</t>
  </si>
  <si>
    <t>INDOFARM</t>
  </si>
  <si>
    <t>TBOTEK</t>
  </si>
  <si>
    <t>BLS</t>
  </si>
  <si>
    <t>IXIGO</t>
  </si>
  <si>
    <t>THOMASCOOK</t>
  </si>
  <si>
    <t>EASEMYTRIP</t>
  </si>
  <si>
    <t>ITHL</t>
  </si>
  <si>
    <t>LGT</t>
  </si>
  <si>
    <t>LGLL</t>
  </si>
  <si>
    <t>HELLOJI</t>
  </si>
  <si>
    <t>TRAVELS</t>
  </si>
  <si>
    <t>YAANENT</t>
  </si>
  <si>
    <t>NHL</t>
  </si>
  <si>
    <t>WOSAL</t>
  </si>
  <si>
    <t>SAILANI</t>
  </si>
  <si>
    <t>TRADWIN</t>
  </si>
  <si>
    <t>YATRA</t>
  </si>
  <si>
    <t>ALTIUSINVIT</t>
  </si>
  <si>
    <t>HFCL</t>
  </si>
  <si>
    <t>PACEDIGITK</t>
  </si>
  <si>
    <t>BONDADA</t>
  </si>
  <si>
    <t>VINDHYATEL</t>
  </si>
  <si>
    <t>GTLINFRA</t>
  </si>
  <si>
    <t>SUYOG</t>
  </si>
  <si>
    <t>ITI</t>
  </si>
  <si>
    <t>STLTECH</t>
  </si>
  <si>
    <t>TEJASNET</t>
  </si>
  <si>
    <t>OPTIEMUS</t>
  </si>
  <si>
    <t>VALIANT</t>
  </si>
  <si>
    <t>ADCINDIA</t>
  </si>
  <si>
    <t>BIRLACABLE</t>
  </si>
  <si>
    <t>KAVDEFENCE</t>
  </si>
  <si>
    <t>UMIYA-MRO</t>
  </si>
  <si>
    <t>AKSHOPTFBR</t>
  </si>
  <si>
    <t>PUNJCOMMU</t>
  </si>
  <si>
    <t>TELOGICA</t>
  </si>
  <si>
    <t>TNTELE</t>
  </si>
  <si>
    <t>DIGIFIBRE</t>
  </si>
  <si>
    <t>CCL</t>
  </si>
  <si>
    <t>ANDREWYU</t>
  </si>
  <si>
    <t>MCLEODRUSS</t>
  </si>
  <si>
    <t>GOODRICKE</t>
  </si>
  <si>
    <t>JAYSREETEA</t>
  </si>
  <si>
    <t>NEAGI</t>
  </si>
  <si>
    <t>GILLANDERS</t>
  </si>
  <si>
    <t>ROSSELLIND</t>
  </si>
  <si>
    <t>DTIL</t>
  </si>
  <si>
    <t>NORBTEAEXP</t>
  </si>
  <si>
    <t>BENGALT</t>
  </si>
  <si>
    <t>GANGESSECU</t>
  </si>
  <si>
    <t>BNALTD</t>
  </si>
  <si>
    <t>JAMESWARREN</t>
  </si>
  <si>
    <t>VASUPRADA</t>
  </si>
  <si>
    <t>TERAI</t>
  </si>
  <si>
    <t>WARRENTEA</t>
  </si>
  <si>
    <t>DIANATEA</t>
  </si>
  <si>
    <t>KANCOTEA</t>
  </si>
  <si>
    <t>TYROON</t>
  </si>
  <si>
    <t>INDONG</t>
  </si>
  <si>
    <t>OCTAVIUSPL</t>
  </si>
  <si>
    <t>BANSTEA</t>
  </si>
  <si>
    <t>RGRL</t>
  </si>
  <si>
    <t>BALRAMCHIN</t>
  </si>
  <si>
    <t>TRIVENI</t>
  </si>
  <si>
    <t>RENUKA</t>
  </si>
  <si>
    <t>BANARISUG</t>
  </si>
  <si>
    <t>DALMIASUG</t>
  </si>
  <si>
    <t>BAJAJHIND</t>
  </si>
  <si>
    <t>DHAMPURSUG</t>
  </si>
  <si>
    <t>AVADHSUGAR</t>
  </si>
  <si>
    <t>ZUARIIND</t>
  </si>
  <si>
    <t>UTTAMSUGAR</t>
  </si>
  <si>
    <t>DWARKESH</t>
  </si>
  <si>
    <t>DBOL</t>
  </si>
  <si>
    <t>MAGADSUGAR</t>
  </si>
  <si>
    <t>DCMSRIND</t>
  </si>
  <si>
    <t>UGARSUGAR</t>
  </si>
  <si>
    <t>MAWANASUG</t>
  </si>
  <si>
    <t>KCPSUGIND</t>
  </si>
  <si>
    <t>PONNIERODE</t>
  </si>
  <si>
    <t>KMSUGAR</t>
  </si>
  <si>
    <t>SAKHTISUG</t>
  </si>
  <si>
    <t>RANASUG</t>
  </si>
  <si>
    <t>SBECSUG</t>
  </si>
  <si>
    <t>SSLEL</t>
  </si>
  <si>
    <t>INDSUCR</t>
  </si>
  <si>
    <t>PARVATI</t>
  </si>
  <si>
    <t>VISHWARAJ</t>
  </si>
  <si>
    <t>DHAMPURE</t>
  </si>
  <si>
    <t>RAJSREESUG</t>
  </si>
  <si>
    <t>PICCASUG</t>
  </si>
  <si>
    <t>GAYATRI</t>
  </si>
  <si>
    <t>PRUDMOULI</t>
  </si>
  <si>
    <t>KESARENT</t>
  </si>
  <si>
    <t>SIMBHALS</t>
  </si>
  <si>
    <t>RAVALSUGAR</t>
  </si>
  <si>
    <t>HANSUGAR</t>
  </si>
  <si>
    <t>GROWW</t>
  </si>
  <si>
    <t>MOTILALOFS</t>
  </si>
  <si>
    <t>360ONE</t>
  </si>
  <si>
    <t>NUVAMA</t>
  </si>
  <si>
    <t>IIFLCAPS</t>
  </si>
  <si>
    <t>INDOTHAI</t>
  </si>
  <si>
    <t>SHAREINDIA</t>
  </si>
  <si>
    <t>ARSSBL</t>
  </si>
  <si>
    <t>MONARCH</t>
  </si>
  <si>
    <t>GEOJITFSL</t>
  </si>
  <si>
    <t>5PAISA</t>
  </si>
  <si>
    <t>SMCGLOBAL</t>
  </si>
  <si>
    <t>DOLATALGO</t>
  </si>
  <si>
    <t>DAMCAPITAL</t>
  </si>
  <si>
    <t>MASTERTR</t>
  </si>
  <si>
    <t>SYSTMTXC</t>
  </si>
  <si>
    <t>ARIHANTCAP</t>
  </si>
  <si>
    <t>BIRLAMONEY</t>
  </si>
  <si>
    <t>EMKAY</t>
  </si>
  <si>
    <t>PESB</t>
  </si>
  <si>
    <t>ALMONDZ</t>
  </si>
  <si>
    <t>SHARDUL</t>
  </si>
  <si>
    <t>RIKHAV</t>
  </si>
  <si>
    <t>INDBANK</t>
  </si>
  <si>
    <t>KEYFINSERV</t>
  </si>
  <si>
    <t>MUNCAPM</t>
  </si>
  <si>
    <t>SWASTIKA</t>
  </si>
  <si>
    <t>LKPSEC</t>
  </si>
  <si>
    <t>INVENTURE</t>
  </si>
  <si>
    <t>DBSTOCKBRO</t>
  </si>
  <si>
    <t>ASITCFIN</t>
  </si>
  <si>
    <t>MYMONEY</t>
  </si>
  <si>
    <t>WALLFORT</t>
  </si>
  <si>
    <t>ONELIFECAP</t>
  </si>
  <si>
    <t>JOINDRE</t>
  </si>
  <si>
    <t>HYBRIDFIN</t>
  </si>
  <si>
    <t>GOGIACAPGL</t>
  </si>
  <si>
    <t>KHANDSE</t>
  </si>
  <si>
    <t>GCMSECU</t>
  </si>
  <si>
    <t>ANGELONE</t>
  </si>
  <si>
    <t>DOMS</t>
  </si>
  <si>
    <t>FLAIR</t>
  </si>
  <si>
    <t>KOKUYOCMLN</t>
  </si>
  <si>
    <t>LINC</t>
  </si>
  <si>
    <t>ALKOSIGN</t>
  </si>
  <si>
    <t>SUNDARAM</t>
  </si>
  <si>
    <t>GGPL</t>
  </si>
  <si>
    <t>KIOCL</t>
  </si>
  <si>
    <t>SALSTEEL</t>
  </si>
  <si>
    <t>VRAJ</t>
  </si>
  <si>
    <t>VASWANI</t>
  </si>
  <si>
    <t>BIHSPONG</t>
  </si>
  <si>
    <t>FLUOROCHEM</t>
  </si>
  <si>
    <t>NAVINFLUOR</t>
  </si>
  <si>
    <t>DEEPAKNTR</t>
  </si>
  <si>
    <t>AARTIIND</t>
  </si>
  <si>
    <t>BASF</t>
  </si>
  <si>
    <t>VINATIORGA</t>
  </si>
  <si>
    <t>ANURAS</t>
  </si>
  <si>
    <t>AETHER</t>
  </si>
  <si>
    <t>FINEORG</t>
  </si>
  <si>
    <t>PRIVISCL</t>
  </si>
  <si>
    <t>JUBLINGREA</t>
  </si>
  <si>
    <t>CLEAN</t>
  </si>
  <si>
    <t>ACI</t>
  </si>
  <si>
    <t>SUDEEPPHRM</t>
  </si>
  <si>
    <t>ALKYLAMINE</t>
  </si>
  <si>
    <t>GALAXYSURF</t>
  </si>
  <si>
    <t>ELANTAS</t>
  </si>
  <si>
    <t>EPIGRAL</t>
  </si>
  <si>
    <t>FOSECOIND</t>
  </si>
  <si>
    <t>NEOGEN</t>
  </si>
  <si>
    <t>STYRENIX</t>
  </si>
  <si>
    <t>VISHNU</t>
  </si>
  <si>
    <t>BALAMINES</t>
  </si>
  <si>
    <t>LXCHEM</t>
  </si>
  <si>
    <t>TATVA</t>
  </si>
  <si>
    <t>CAMLINFINE</t>
  </si>
  <si>
    <t>FCL</t>
  </si>
  <si>
    <t>JUBLCPL</t>
  </si>
  <si>
    <t>ROSSARI</t>
  </si>
  <si>
    <t>DDEVPLSTIK</t>
  </si>
  <si>
    <t>NOCIL</t>
  </si>
  <si>
    <t>BEPL</t>
  </si>
  <si>
    <t>SHK</t>
  </si>
  <si>
    <t>YASHO</t>
  </si>
  <si>
    <t>TITANBIO</t>
  </si>
  <si>
    <t>VIDHIING</t>
  </si>
  <si>
    <t>PLATIND</t>
  </si>
  <si>
    <t>EXCELINDUS</t>
  </si>
  <si>
    <t>PAUSHAKLTD</t>
  </si>
  <si>
    <t>JYOTIRES</t>
  </si>
  <si>
    <t>GEMAROMA</t>
  </si>
  <si>
    <t>OAL</t>
  </si>
  <si>
    <t>NITTAGELA</t>
  </si>
  <si>
    <t>INDOAMIN</t>
  </si>
  <si>
    <t>SUNSHIEL</t>
  </si>
  <si>
    <t>FAIRCHEMOR</t>
  </si>
  <si>
    <t>AMAL</t>
  </si>
  <si>
    <t>VALIANTORG</t>
  </si>
  <si>
    <t>SUDARSHAN</t>
  </si>
  <si>
    <t>CHEMCON</t>
  </si>
  <si>
    <t>DMCC</t>
  </si>
  <si>
    <t>JAYAGROGN</t>
  </si>
  <si>
    <t>KRONOX</t>
  </si>
  <si>
    <t>BLACKROSE</t>
  </si>
  <si>
    <t>PLASTIBLEN</t>
  </si>
  <si>
    <t>VIPULORG</t>
  </si>
  <si>
    <t>CHEMBONDCH</t>
  </si>
  <si>
    <t>AARTISURF</t>
  </si>
  <si>
    <t>NIKHILAD</t>
  </si>
  <si>
    <t>HPAL</t>
  </si>
  <si>
    <t>DYNPRO</t>
  </si>
  <si>
    <t>AVI</t>
  </si>
  <si>
    <t>INDTONER</t>
  </si>
  <si>
    <t>BCCL</t>
  </si>
  <si>
    <t>INDGELA</t>
  </si>
  <si>
    <t>VIKASECO</t>
  </si>
  <si>
    <t>DIAMINESQ</t>
  </si>
  <si>
    <t>MULTIBASE</t>
  </si>
  <si>
    <t>SHAWGELTIN</t>
  </si>
  <si>
    <t>DAICHI</t>
  </si>
  <si>
    <t>COCHINM</t>
  </si>
  <si>
    <t>CHEMBOND</t>
  </si>
  <si>
    <t>PATELCHEM</t>
  </si>
  <si>
    <t>JAYSYNTH</t>
  </si>
  <si>
    <t>ISHANCH</t>
  </si>
  <si>
    <t>SKM</t>
  </si>
  <si>
    <t>POLSON</t>
  </si>
  <si>
    <t>IVP</t>
  </si>
  <si>
    <t>CHEMCRUX</t>
  </si>
  <si>
    <t>RESONANCE</t>
  </si>
  <si>
    <t>DEEPAKCHEM</t>
  </si>
  <si>
    <t>KEMISTAR</t>
  </si>
  <si>
    <t>TECHNICHEM</t>
  </si>
  <si>
    <t>EIKO</t>
  </si>
  <si>
    <t>DEEP</t>
  </si>
  <si>
    <t>MEHUL</t>
  </si>
  <si>
    <t>KKALPANAIND</t>
  </si>
  <si>
    <t>ALKALI</t>
  </si>
  <si>
    <t>SHLOKKA</t>
  </si>
  <si>
    <t>HARDCAS</t>
  </si>
  <si>
    <t>DYNAMIND</t>
  </si>
  <si>
    <t>YUG</t>
  </si>
  <si>
    <t>CRSTCHM</t>
  </si>
  <si>
    <t>SEYAIND</t>
  </si>
  <si>
    <t>MACIND</t>
  </si>
  <si>
    <t>DAIKAFFI</t>
  </si>
  <si>
    <t>ORGCOAT</t>
  </si>
  <si>
    <t>VIKRAMAR</t>
  </si>
  <si>
    <t>AMS</t>
  </si>
  <si>
    <t>CHEMIESYNT</t>
  </si>
  <si>
    <t>INDOEURO</t>
  </si>
  <si>
    <t>PRATIKSH</t>
  </si>
  <si>
    <t>CJGEL</t>
  </si>
  <si>
    <t>OMKARCHEM</t>
  </si>
  <si>
    <t>UNITINT</t>
  </si>
  <si>
    <t>IGLFXPL-B</t>
  </si>
  <si>
    <t>DSFCL</t>
  </si>
  <si>
    <t>INDOKEM</t>
  </si>
  <si>
    <t>LENSKART</t>
  </si>
  <si>
    <t>ABLBL</t>
  </si>
  <si>
    <t>ABFRL</t>
  </si>
  <si>
    <t>V2RETAIL</t>
  </si>
  <si>
    <t>AVL</t>
  </si>
  <si>
    <t>ARVINDFASN</t>
  </si>
  <si>
    <t>CPML</t>
  </si>
  <si>
    <t>STYLEBAAZA</t>
  </si>
  <si>
    <t>KALAMANDIR</t>
  </si>
  <si>
    <t>GOCOLORS</t>
  </si>
  <si>
    <t>MUFTI</t>
  </si>
  <si>
    <t>LOGICA</t>
  </si>
  <si>
    <t>BHATIA</t>
  </si>
  <si>
    <t>BCONCEPTS</t>
  </si>
  <si>
    <t>SHANKARA</t>
  </si>
  <si>
    <t>PRAXIS</t>
  </si>
  <si>
    <t>UML</t>
  </si>
  <si>
    <t>7NR</t>
  </si>
  <si>
    <t>RACONTEUR</t>
  </si>
  <si>
    <t>MAFIA</t>
  </si>
  <si>
    <t>BUILDPRO</t>
  </si>
  <si>
    <t>OFSS</t>
  </si>
  <si>
    <t>TANLA</t>
  </si>
  <si>
    <t>CAPILLARY</t>
  </si>
  <si>
    <t>TECHNVISN</t>
  </si>
  <si>
    <t>NUCLEUS</t>
  </si>
  <si>
    <t>MOBAVENUE</t>
  </si>
  <si>
    <t>RAMCOSYS</t>
  </si>
  <si>
    <t>BLUECLOUDS</t>
  </si>
  <si>
    <t>UNIECOM</t>
  </si>
  <si>
    <t>QUICKHEAL</t>
  </si>
  <si>
    <t>IRIS</t>
  </si>
  <si>
    <t>ABMKNO</t>
  </si>
  <si>
    <t>SUBEXLTD</t>
  </si>
  <si>
    <t>ACESOFT</t>
  </si>
  <si>
    <t>SILVERLINE</t>
  </si>
  <si>
    <t>ATISHAY</t>
  </si>
  <si>
    <t>AVANCE</t>
  </si>
  <si>
    <t>VIRINCHI</t>
  </si>
  <si>
    <t>GOLDTECH</t>
  </si>
  <si>
    <t>XELPMOC</t>
  </si>
  <si>
    <t>OMEGAIN</t>
  </si>
  <si>
    <t>BITS</t>
  </si>
  <si>
    <t>ODYSSEY</t>
  </si>
  <si>
    <t>OLATECH</t>
  </si>
  <si>
    <t>TELECANOR</t>
  </si>
  <si>
    <t>CRANESSOFT</t>
  </si>
  <si>
    <t>IECEDU</t>
  </si>
  <si>
    <t>NETLINK</t>
  </si>
  <si>
    <t>B2BSOFT</t>
  </si>
  <si>
    <t>HITKITGLO</t>
  </si>
  <si>
    <t>RESPONSINF</t>
  </si>
  <si>
    <t>CONTCHM</t>
  </si>
  <si>
    <t>COSYN</t>
  </si>
  <si>
    <t>SVAMSOF</t>
  </si>
  <si>
    <t>INDOCITY</t>
  </si>
  <si>
    <t>INFRONICS</t>
  </si>
  <si>
    <t>GROARC</t>
  </si>
  <si>
    <t>HINDBIO</t>
  </si>
  <si>
    <t>OMNIAX</t>
  </si>
  <si>
    <t>SESHACHAL</t>
  </si>
  <si>
    <t>NEWMKTADV</t>
  </si>
  <si>
    <t>CLIOINFO</t>
  </si>
  <si>
    <t>FIRSTFIN</t>
  </si>
  <si>
    <t>NIHARINF</t>
  </si>
  <si>
    <t>WOMENNET</t>
  </si>
  <si>
    <t>VIRGOGLOB</t>
  </si>
  <si>
    <t>PFLINFOTC</t>
  </si>
  <si>
    <t>TSPIRITUAL</t>
  </si>
  <si>
    <t>INTEGHIT</t>
  </si>
  <si>
    <t>GESHIP</t>
  </si>
  <si>
    <t>SCI</t>
  </si>
  <si>
    <t>SHREEJISPG</t>
  </si>
  <si>
    <t>SEAMECLTD</t>
  </si>
  <si>
    <t>ESSARSHPNG</t>
  </si>
  <si>
    <t>TRANSWORLD</t>
  </si>
  <si>
    <t>GLOBOFFS</t>
  </si>
  <si>
    <t>CHOWGULSTM</t>
  </si>
  <si>
    <t>SHAHISHIP</t>
  </si>
  <si>
    <t>DATIWARE</t>
  </si>
  <si>
    <t>COCHINSHIP</t>
  </si>
  <si>
    <t>SWANDEF</t>
  </si>
  <si>
    <t>LAXMIPATI</t>
  </si>
  <si>
    <t>HRYNSHP</t>
  </si>
  <si>
    <t>APEX</t>
  </si>
  <si>
    <t>SHINDL</t>
  </si>
  <si>
    <t>COASTCORP</t>
  </si>
  <si>
    <t>KINGSINFR</t>
  </si>
  <si>
    <t>WATERBASE</t>
  </si>
  <si>
    <t>ZEAL</t>
  </si>
  <si>
    <t>ESSEX</t>
  </si>
  <si>
    <t>NCCBLUE</t>
  </si>
  <si>
    <t>UNRYLMA</t>
  </si>
  <si>
    <t>CERA</t>
  </si>
  <si>
    <t>HINDWAREAP</t>
  </si>
  <si>
    <t>AMEENJI</t>
  </si>
  <si>
    <t>APCOTEXIND</t>
  </si>
  <si>
    <t>DEFRAIL</t>
  </si>
  <si>
    <t>GRPLTD</t>
  </si>
  <si>
    <t>HARRMALAYA</t>
  </si>
  <si>
    <t>PIXTRANS</t>
  </si>
  <si>
    <t>RISHIROOP</t>
  </si>
  <si>
    <t>RUBFILA</t>
  </si>
  <si>
    <t>SAMPANN</t>
  </si>
  <si>
    <t>TINNARUBR</t>
  </si>
  <si>
    <t>ANANTAM</t>
  </si>
  <si>
    <t>ECOSMOBLTY</t>
  </si>
  <si>
    <t>ABCINDQ</t>
  </si>
  <si>
    <t>BALTE</t>
  </si>
  <si>
    <t>INTSTOIL</t>
  </si>
  <si>
    <t>COARO</t>
  </si>
  <si>
    <t>FRONTCORP</t>
  </si>
  <si>
    <t>MHSGRMS</t>
  </si>
  <si>
    <t>NHIT</t>
  </si>
  <si>
    <t>CUBEINVIT</t>
  </si>
  <si>
    <t>INTERISE</t>
  </si>
  <si>
    <t>MIT</t>
  </si>
  <si>
    <t>INDUSINVIT</t>
  </si>
  <si>
    <t>ROADSTAR</t>
  </si>
  <si>
    <t>IRBINVIT</t>
  </si>
  <si>
    <t>BFUTILITIE</t>
  </si>
  <si>
    <t>HILINFRA</t>
  </si>
  <si>
    <t>ATLANTAA</t>
  </si>
  <si>
    <t>NOIDATOLL</t>
  </si>
  <si>
    <t>GAYAHWS</t>
  </si>
  <si>
    <t>MEP</t>
  </si>
  <si>
    <t>TRAVELFOOD</t>
  </si>
  <si>
    <t>DEVYANI</t>
  </si>
  <si>
    <t>WESTLIFE</t>
  </si>
  <si>
    <t>SAPPHIRE</t>
  </si>
  <si>
    <t>RBA</t>
  </si>
  <si>
    <t>SPICELOUNG</t>
  </si>
  <si>
    <t>UFBL</t>
  </si>
  <si>
    <t>COFFEEDAY</t>
  </si>
  <si>
    <t>SPECIALITY</t>
  </si>
  <si>
    <t>GOURMET</t>
  </si>
  <si>
    <t>KAMATS</t>
  </si>
  <si>
    <t>PECOS</t>
  </si>
  <si>
    <t>DLF</t>
  </si>
  <si>
    <t>LODHA</t>
  </si>
  <si>
    <t>PHOENIXLTD</t>
  </si>
  <si>
    <t>OBEROIRLTY</t>
  </si>
  <si>
    <t>PRESTIGE</t>
  </si>
  <si>
    <t>BRIGADE</t>
  </si>
  <si>
    <t>ANANTRAJ</t>
  </si>
  <si>
    <t>SIGNATURE</t>
  </si>
  <si>
    <t>MAHLIFE</t>
  </si>
  <si>
    <t>EMBDL</t>
  </si>
  <si>
    <t>KALPATARU</t>
  </si>
  <si>
    <t>LOTUSDEV</t>
  </si>
  <si>
    <t>MAXESTATES</t>
  </si>
  <si>
    <t>RUSTOMJEE</t>
  </si>
  <si>
    <t>GANESHHOU</t>
  </si>
  <si>
    <t>SUNTECK</t>
  </si>
  <si>
    <t>PURVA</t>
  </si>
  <si>
    <t>AGIIL</t>
  </si>
  <si>
    <t>TARC</t>
  </si>
  <si>
    <t>KESAR</t>
  </si>
  <si>
    <t>ASHIANA</t>
  </si>
  <si>
    <t>MARATHON</t>
  </si>
  <si>
    <t>KOLTEPATIL</t>
  </si>
  <si>
    <t>RAYMONDREL</t>
  </si>
  <si>
    <t>NATIONSTD</t>
  </si>
  <si>
    <t>HUBTOWN</t>
  </si>
  <si>
    <t>ARVSMART</t>
  </si>
  <si>
    <t>RAYMOND</t>
  </si>
  <si>
    <t>AJMERA</t>
  </si>
  <si>
    <t>ALEMBICLTD</t>
  </si>
  <si>
    <t>ARKADE</t>
  </si>
  <si>
    <t>ELPROINTL</t>
  </si>
  <si>
    <t>OMAXE</t>
  </si>
  <si>
    <t>MIIL</t>
  </si>
  <si>
    <t>SHRIRAMPPS</t>
  </si>
  <si>
    <t>BRRL</t>
  </si>
  <si>
    <t>UNITECH</t>
  </si>
  <si>
    <t>ARIHANT</t>
  </si>
  <si>
    <t>SURAJEST</t>
  </si>
  <si>
    <t>ARIHANTSUP</t>
  </si>
  <si>
    <t>ELDEHSG</t>
  </si>
  <si>
    <t>RDBIPL</t>
  </si>
  <si>
    <t>VASCONEQ</t>
  </si>
  <si>
    <t>HAZOOR</t>
  </si>
  <si>
    <t>PROZONER</t>
  </si>
  <si>
    <t>PVP</t>
  </si>
  <si>
    <t>CCCL</t>
  </si>
  <si>
    <t>SHRADDHA</t>
  </si>
  <si>
    <t>MODIS</t>
  </si>
  <si>
    <t>INDIAHOMES</t>
  </si>
  <si>
    <t>PENINLAND</t>
  </si>
  <si>
    <t>NILASPACES</t>
  </si>
  <si>
    <t>GEECEE</t>
  </si>
  <si>
    <t>SBGLP</t>
  </si>
  <si>
    <t>RRECL</t>
  </si>
  <si>
    <t>NIMBSPROJ</t>
  </si>
  <si>
    <t>RATNABHUMI</t>
  </si>
  <si>
    <t>COROENGG</t>
  </si>
  <si>
    <t>PARSVNATH</t>
  </si>
  <si>
    <t>ATALREAL</t>
  </si>
  <si>
    <t>SVGLOBAL</t>
  </si>
  <si>
    <t>NILAINFRA</t>
  </si>
  <si>
    <t>BARODARY</t>
  </si>
  <si>
    <t>GENCON</t>
  </si>
  <si>
    <t>EMAMIREAL</t>
  </si>
  <si>
    <t>HAMPTON</t>
  </si>
  <si>
    <t>SUPREME</t>
  </si>
  <si>
    <t>RAINBOWF</t>
  </si>
  <si>
    <t>RVHL</t>
  </si>
  <si>
    <t>SAMOR</t>
  </si>
  <si>
    <t>MANAS</t>
  </si>
  <si>
    <t>LANCORHOL</t>
  </si>
  <si>
    <t>PRAENG</t>
  </si>
  <si>
    <t>AMJLAND</t>
  </si>
  <si>
    <t>VIPULLTD</t>
  </si>
  <si>
    <t>HBESD</t>
  </si>
  <si>
    <t>ALPINEHOU</t>
  </si>
  <si>
    <t>VGIL</t>
  </si>
  <si>
    <t>GARNET</t>
  </si>
  <si>
    <t>BHUDEVI</t>
  </si>
  <si>
    <t>RAJABAH</t>
  </si>
  <si>
    <t>MNIL</t>
  </si>
  <si>
    <t>SHRIKRISH</t>
  </si>
  <si>
    <t>VIRYA</t>
  </si>
  <si>
    <t>SHERVANI</t>
  </si>
  <si>
    <t>PRERINFRA</t>
  </si>
  <si>
    <t>VIVIDM</t>
  </si>
  <si>
    <t>THAKDEV</t>
  </si>
  <si>
    <t>RADHEDE</t>
  </si>
  <si>
    <t>SKYLMILAR</t>
  </si>
  <si>
    <t>DHARAN</t>
  </si>
  <si>
    <t>SHRISTI</t>
  </si>
  <si>
    <t>ANSALBU</t>
  </si>
  <si>
    <t>TRESCON</t>
  </si>
  <si>
    <t>JAMSHRI</t>
  </si>
  <si>
    <t>VICTMILL</t>
  </si>
  <si>
    <t>GROVY</t>
  </si>
  <si>
    <t>RODIUM</t>
  </si>
  <si>
    <t>ANSALAPI</t>
  </si>
  <si>
    <t>ANSALHSG</t>
  </si>
  <si>
    <t>SAMINDUS</t>
  </si>
  <si>
    <t>SIMPLXREA</t>
  </si>
  <si>
    <t>MODIPON</t>
  </si>
  <si>
    <t>KRETTOSYS</t>
  </si>
  <si>
    <t>BHANDERI</t>
  </si>
  <si>
    <t>GOLDENTOBC</t>
  </si>
  <si>
    <t>COUNCODOS</t>
  </si>
  <si>
    <t>TATIAGLOB</t>
  </si>
  <si>
    <t>PRIMEPRO</t>
  </si>
  <si>
    <t>PARSHWANA</t>
  </si>
  <si>
    <t>CITADEL</t>
  </si>
  <si>
    <t>NARPROP</t>
  </si>
  <si>
    <t>MPDL</t>
  </si>
  <si>
    <t>SVS</t>
  </si>
  <si>
    <t>TIRSARJ</t>
  </si>
  <si>
    <t>KAMANWALA</t>
  </si>
  <si>
    <t>MARBU</t>
  </si>
  <si>
    <t>NEOINFRA</t>
  </si>
  <si>
    <t>IITLPROJ</t>
  </si>
  <si>
    <t>KRISHNA</t>
  </si>
  <si>
    <t>PRIMEURB</t>
  </si>
  <si>
    <t>MAXHEIGHTS</t>
  </si>
  <si>
    <t>CROISSANCE</t>
  </si>
  <si>
    <t>JETSOLAR</t>
  </si>
  <si>
    <t>STLSTRINF</t>
  </si>
  <si>
    <t>RAGHUTOB</t>
  </si>
  <si>
    <t>SSPDL</t>
  </si>
  <si>
    <t>RJSHAH</t>
  </si>
  <si>
    <t>VASINFRA</t>
  </si>
  <si>
    <t>ADHBHUTIN</t>
  </si>
  <si>
    <t>GYANDEV</t>
  </si>
  <si>
    <t>LAHL</t>
  </si>
  <si>
    <t>GALLOPENT</t>
  </si>
  <si>
    <t>CEMAINFRA</t>
  </si>
  <si>
    <t>LADDU</t>
  </si>
  <si>
    <t>SKIFL</t>
  </si>
  <si>
    <t>SEL</t>
  </si>
  <si>
    <t>SKILVEN</t>
  </si>
  <si>
    <t>SICL</t>
  </si>
  <si>
    <t>KMFBLDR</t>
  </si>
  <si>
    <t>CRANEINFRA</t>
  </si>
  <si>
    <t>EASTBUILD</t>
  </si>
  <si>
    <t>SIKOZY</t>
  </si>
  <si>
    <t>EPSOMPRO</t>
  </si>
  <si>
    <t>UTLINDS</t>
  </si>
  <si>
    <t>PATIDAR</t>
  </si>
  <si>
    <t>ABHIINFRA</t>
  </si>
  <si>
    <t>UNISHIRE</t>
  </si>
  <si>
    <t>SBLI</t>
  </si>
  <si>
    <t>RAJINFRA</t>
  </si>
  <si>
    <t>ATHCON</t>
  </si>
  <si>
    <t>SISL</t>
  </si>
  <si>
    <t>SHAHCON</t>
  </si>
  <si>
    <t>ANTARIKSH</t>
  </si>
  <si>
    <t>KEDIACN</t>
  </si>
  <si>
    <t>MOUNT</t>
  </si>
  <si>
    <t>TVOLCON</t>
  </si>
  <si>
    <t>IOC</t>
  </si>
  <si>
    <t>BPCL</t>
  </si>
  <si>
    <t>HINDPETRO</t>
  </si>
  <si>
    <t>MRPL</t>
  </si>
  <si>
    <t>CHENNPETRO</t>
  </si>
  <si>
    <t>RAJSEC</t>
  </si>
  <si>
    <t>RESGEN</t>
  </si>
  <si>
    <t>SANINFRA</t>
  </si>
  <si>
    <t>CONTPTR</t>
  </si>
  <si>
    <t>REALECO</t>
  </si>
  <si>
    <t>OMNIPOTENT</t>
  </si>
  <si>
    <t>SOFTSOL</t>
  </si>
  <si>
    <t>JUSTO</t>
  </si>
  <si>
    <t>SIL</t>
  </si>
  <si>
    <t>LPDC</t>
  </si>
  <si>
    <t>SHRICON</t>
  </si>
  <si>
    <t>RAP</t>
  </si>
  <si>
    <t>NAVNETEDUL</t>
  </si>
  <si>
    <t>REPRO</t>
  </si>
  <si>
    <t>SCHAND</t>
  </si>
  <si>
    <t>DACHEPALLI</t>
  </si>
  <si>
    <t>INFOMEDIA</t>
  </si>
  <si>
    <t>UNICK</t>
  </si>
  <si>
    <t>INLANPR</t>
  </si>
  <si>
    <t>SHAKTIPR</t>
  </si>
  <si>
    <t>DBCORP</t>
  </si>
  <si>
    <t>JAGRAN</t>
  </si>
  <si>
    <t>SANDESH</t>
  </si>
  <si>
    <t>HMVL</t>
  </si>
  <si>
    <t>HTMEDIA</t>
  </si>
  <si>
    <t>ENCODE</t>
  </si>
  <si>
    <t>DECNGOLD</t>
  </si>
  <si>
    <t>NVENTURES</t>
  </si>
  <si>
    <t>UTIQUE</t>
  </si>
  <si>
    <t>AMANAYA</t>
  </si>
  <si>
    <t>PTC</t>
  </si>
  <si>
    <t>ADANIGREEN</t>
  </si>
  <si>
    <t>JSWENERGY</t>
  </si>
  <si>
    <t>NTPCGREEN</t>
  </si>
  <si>
    <t>NHPC</t>
  </si>
  <si>
    <t>NLCINDIA</t>
  </si>
  <si>
    <t>SJVN</t>
  </si>
  <si>
    <t>NAVA</t>
  </si>
  <si>
    <t>ACMESOLAR</t>
  </si>
  <si>
    <t>JPPOWER</t>
  </si>
  <si>
    <t>CLEANMAX</t>
  </si>
  <si>
    <t>RPOWER</t>
  </si>
  <si>
    <t>KPIGREEN</t>
  </si>
  <si>
    <t>GMRP&amp;UI</t>
  </si>
  <si>
    <t>INOXGREEN</t>
  </si>
  <si>
    <t>RTNPOWER</t>
  </si>
  <si>
    <t>GIPCL</t>
  </si>
  <si>
    <t>INA</t>
  </si>
  <si>
    <t>UEL</t>
  </si>
  <si>
    <t>KPEL</t>
  </si>
  <si>
    <t>GREENPOWER</t>
  </si>
  <si>
    <t>SURANAT&amp;P</t>
  </si>
  <si>
    <t>WAAREE</t>
  </si>
  <si>
    <t>INDOWIND</t>
  </si>
  <si>
    <t>GLOBUSCON</t>
  </si>
  <si>
    <t>ENERGYDEV</t>
  </si>
  <si>
    <t>WAA</t>
  </si>
  <si>
    <t>KARMAENG</t>
  </si>
  <si>
    <t>GITARENEW</t>
  </si>
  <si>
    <t>AMTL</t>
  </si>
  <si>
    <t>VEERENRGY</t>
  </si>
  <si>
    <t>INDRENEW</t>
  </si>
  <si>
    <t>SRMENERGY</t>
  </si>
  <si>
    <t>ADANIENSOL</t>
  </si>
  <si>
    <t>KRT</t>
  </si>
  <si>
    <t>EMBASSY</t>
  </si>
  <si>
    <t>MINDSPACE</t>
  </si>
  <si>
    <t>BIRET</t>
  </si>
  <si>
    <t>NXST</t>
  </si>
  <si>
    <t>PSTITANIA</t>
  </si>
  <si>
    <t>PSPLATINA</t>
  </si>
  <si>
    <t>AMPVOLTS</t>
  </si>
  <si>
    <t>JWL</t>
  </si>
  <si>
    <t>TITAGARH</t>
  </si>
  <si>
    <t>ORIRAIL</t>
  </si>
  <si>
    <t>INDIGRID</t>
  </si>
  <si>
    <t>PGINVIT</t>
  </si>
  <si>
    <t>ANZEN</t>
  </si>
  <si>
    <t>JSWINFRA</t>
  </si>
  <si>
    <t>GPPL</t>
  </si>
  <si>
    <t>ATL</t>
  </si>
  <si>
    <t>VMS</t>
  </si>
  <si>
    <t>STARLOG</t>
  </si>
  <si>
    <t>CARERATING</t>
  </si>
  <si>
    <t>ICRA</t>
  </si>
  <si>
    <t>CENTURYPLY</t>
  </si>
  <si>
    <t>GREENLAM</t>
  </si>
  <si>
    <t>STYLAMIND</t>
  </si>
  <si>
    <t>GREENPLY</t>
  </si>
  <si>
    <t>GREENPANEL</t>
  </si>
  <si>
    <t>RUSHIL</t>
  </si>
  <si>
    <t>ARCHIDPLY</t>
  </si>
  <si>
    <t>DUROPLY</t>
  </si>
  <si>
    <t>ECOBOAR</t>
  </si>
  <si>
    <t>ADL</t>
  </si>
  <si>
    <t>ADHHATA</t>
  </si>
  <si>
    <t>SAFARI</t>
  </si>
  <si>
    <t>VIPIND</t>
  </si>
  <si>
    <t>NILKAMAL</t>
  </si>
  <si>
    <t>WIMPLAST</t>
  </si>
  <si>
    <t>BAIKAKAJI</t>
  </si>
  <si>
    <t>PILITA</t>
  </si>
  <si>
    <t>AVROIND</t>
  </si>
  <si>
    <t>PRIMAPLA</t>
  </si>
  <si>
    <t>TOKYOPLAST</t>
  </si>
  <si>
    <t>PEARLPOLY</t>
  </si>
  <si>
    <t>TECHNOPACK</t>
  </si>
  <si>
    <t>KIRLFER</t>
  </si>
  <si>
    <t>MEDPLUS</t>
  </si>
  <si>
    <t>ENTERO</t>
  </si>
  <si>
    <t>SPLPETRO</t>
  </si>
  <si>
    <t>SWANCORP</t>
  </si>
  <si>
    <t>RAIN</t>
  </si>
  <si>
    <t>DCW</t>
  </si>
  <si>
    <t>MANALIPETC</t>
  </si>
  <si>
    <t>TNPETRO</t>
  </si>
  <si>
    <t>AGARIND</t>
  </si>
  <si>
    <t>PASUPTAC</t>
  </si>
  <si>
    <t>INDIANACRY</t>
  </si>
  <si>
    <t>NEXXUS</t>
  </si>
  <si>
    <t>POLYLINK</t>
  </si>
  <si>
    <t>GUJPETR</t>
  </si>
  <si>
    <t>AADIIND</t>
  </si>
  <si>
    <t>UPL</t>
  </si>
  <si>
    <t>BAYERCROP</t>
  </si>
  <si>
    <t>SUMICHEM</t>
  </si>
  <si>
    <t>SHARDACROP</t>
  </si>
  <si>
    <t>RALLIS</t>
  </si>
  <si>
    <t>DHANUKA</t>
  </si>
  <si>
    <t>NACLIND</t>
  </si>
  <si>
    <t>BHAGCHEM</t>
  </si>
  <si>
    <t>BHARATRAS</t>
  </si>
  <si>
    <t>INSECTICID</t>
  </si>
  <si>
    <t>IPL</t>
  </si>
  <si>
    <t>ASTEC</t>
  </si>
  <si>
    <t>PUNJABCHEM</t>
  </si>
  <si>
    <t>MOL</t>
  </si>
  <si>
    <t>HERANBA</t>
  </si>
  <si>
    <t>DHARMAJ</t>
  </si>
  <si>
    <t>ADVANCE</t>
  </si>
  <si>
    <t>BESTAGRO</t>
  </si>
  <si>
    <t>SHIVALIK</t>
  </si>
  <si>
    <t>IGCL</t>
  </si>
  <si>
    <t>MAHALIFE</t>
  </si>
  <si>
    <t>BHASKAGR</t>
  </si>
  <si>
    <t>AIMCOPEST</t>
  </si>
  <si>
    <t>SUCROSA</t>
  </si>
  <si>
    <t>ADARSHPL</t>
  </si>
  <si>
    <t>PHYTO</t>
  </si>
  <si>
    <t>NATURAL</t>
  </si>
  <si>
    <t>PBGLOBAL</t>
  </si>
  <si>
    <t>GODREJCP</t>
  </si>
  <si>
    <t>DABUR</t>
  </si>
  <si>
    <t>COLPAL</t>
  </si>
  <si>
    <t>PGHH</t>
  </si>
  <si>
    <t>GILLETTE</t>
  </si>
  <si>
    <t>EMAMILTD</t>
  </si>
  <si>
    <t>CUPID</t>
  </si>
  <si>
    <t>HONASA</t>
  </si>
  <si>
    <t>BAJAJCON</t>
  </si>
  <si>
    <t>RADIXIND</t>
  </si>
  <si>
    <t>RAVEL</t>
  </si>
  <si>
    <t>THRIVE</t>
  </si>
  <si>
    <t>JHS</t>
  </si>
  <si>
    <t>NOVATEOR</t>
  </si>
  <si>
    <t>PARMCOS-B</t>
  </si>
  <si>
    <t>TIAANC</t>
  </si>
  <si>
    <t>HYUNDAI</t>
  </si>
  <si>
    <t>TMPV</t>
  </si>
  <si>
    <t>FORCEMOT</t>
  </si>
  <si>
    <t>OLECTRA</t>
  </si>
  <si>
    <t>MERCURYEV</t>
  </si>
  <si>
    <t>HINDMOTORS</t>
  </si>
  <si>
    <t>ABREL</t>
  </si>
  <si>
    <t>JKPAPER</t>
  </si>
  <si>
    <t>KSSMART</t>
  </si>
  <si>
    <t>WSTCSTPAPR</t>
  </si>
  <si>
    <t>SESHAPAPER</t>
  </si>
  <si>
    <t>ANDHRAPAP</t>
  </si>
  <si>
    <t>TNPL</t>
  </si>
  <si>
    <t>NRAIL</t>
  </si>
  <si>
    <t>PDMJEPAPER</t>
  </si>
  <si>
    <t>KUANTUM</t>
  </si>
  <si>
    <t>SATIA</t>
  </si>
  <si>
    <t>RAMANEWS</t>
  </si>
  <si>
    <t>PAKKA</t>
  </si>
  <si>
    <t>EMAMIPAP</t>
  </si>
  <si>
    <t>ORIENTPPR</t>
  </si>
  <si>
    <t>RUCHIRA</t>
  </si>
  <si>
    <t>SVJ</t>
  </si>
  <si>
    <t>GENUSPAPER</t>
  </si>
  <si>
    <t>SAPPL</t>
  </si>
  <si>
    <t>STARPAPER</t>
  </si>
  <si>
    <t>SHREYANIND</t>
  </si>
  <si>
    <t>STHINPA</t>
  </si>
  <si>
    <t>MAGNUM</t>
  </si>
  <si>
    <t>SKPMIL</t>
  </si>
  <si>
    <t>NATHIND</t>
  </si>
  <si>
    <t>PERFEPA</t>
  </si>
  <si>
    <t>MALUPAPER</t>
  </si>
  <si>
    <t>BALKRISHNA</t>
  </si>
  <si>
    <t>SPINAROO</t>
  </si>
  <si>
    <t>THREEMPAPE</t>
  </si>
  <si>
    <t>MOHITPPR</t>
  </si>
  <si>
    <t>KAYPOWR</t>
  </si>
  <si>
    <t>CELLA</t>
  </si>
  <si>
    <t>SANPA</t>
  </si>
  <si>
    <t>VAPIENTER</t>
  </si>
  <si>
    <t>SAFFRON</t>
  </si>
  <si>
    <t>ATENPAPERS</t>
  </si>
  <si>
    <t>LABELKRAFT</t>
  </si>
  <si>
    <t>ASTRON</t>
  </si>
  <si>
    <t>RAMAPPR-B</t>
  </si>
  <si>
    <t>SHKARTP</t>
  </si>
  <si>
    <t>KONNDOR</t>
  </si>
  <si>
    <t>AGIOPAPER</t>
  </si>
  <si>
    <t>GRATEXI</t>
  </si>
  <si>
    <t>CORNE</t>
  </si>
  <si>
    <t>SIMPLXPAP</t>
  </si>
  <si>
    <t>ASHUTPM</t>
  </si>
  <si>
    <t>GUJWIND</t>
  </si>
  <si>
    <t>PURITY</t>
  </si>
  <si>
    <t>GANGAPA</t>
  </si>
  <si>
    <t>BJDUP</t>
  </si>
  <si>
    <t>CHADPAP</t>
  </si>
  <si>
    <t>STRAEXPO</t>
  </si>
  <si>
    <t>BERGEPAINT</t>
  </si>
  <si>
    <t>KANSAINER</t>
  </si>
  <si>
    <t>AKZOINDIA</t>
  </si>
  <si>
    <t>INDIGOPNTS</t>
  </si>
  <si>
    <t>SIRCA</t>
  </si>
  <si>
    <t>SHALPAINTS</t>
  </si>
  <si>
    <t>KAMOPAINTS</t>
  </si>
  <si>
    <t>RETINA</t>
  </si>
  <si>
    <t>EPL</t>
  </si>
  <si>
    <t>AGI</t>
  </si>
  <si>
    <t>JINDALPOLY</t>
  </si>
  <si>
    <t>UFLEX</t>
  </si>
  <si>
    <t>POLYPLEX</t>
  </si>
  <si>
    <t>XPROINDIA</t>
  </si>
  <si>
    <t>TCPLPACK</t>
  </si>
  <si>
    <t>MOLDTKPAC</t>
  </si>
  <si>
    <t>COSMOFIRST</t>
  </si>
  <si>
    <t>HUHTAMAKI</t>
  </si>
  <si>
    <t>ORICONENT</t>
  </si>
  <si>
    <t>ESTER</t>
  </si>
  <si>
    <t>ARROWGREEN</t>
  </si>
  <si>
    <t>SHREERAMA</t>
  </si>
  <si>
    <t>COMSYN</t>
  </si>
  <si>
    <t>NAHARPOLY</t>
  </si>
  <si>
    <t>PYRAMID</t>
  </si>
  <si>
    <t>CROPSTER</t>
  </si>
  <si>
    <t>SHRJAGP</t>
  </si>
  <si>
    <t>TPLPLASTEH</t>
  </si>
  <si>
    <t>KANPRPLA</t>
  </si>
  <si>
    <t>HALDYNGL</t>
  </si>
  <si>
    <t>BBTCL</t>
  </si>
  <si>
    <t>SUBAM</t>
  </si>
  <si>
    <t>RDBRL</t>
  </si>
  <si>
    <t>APTPACK</t>
  </si>
  <si>
    <t>HITECHCORP</t>
  </si>
  <si>
    <t>AERONEU</t>
  </si>
  <si>
    <t>WORTHPERI</t>
  </si>
  <si>
    <t>BALAJEE</t>
  </si>
  <si>
    <t>HPBL</t>
  </si>
  <si>
    <t>GLEN</t>
  </si>
  <si>
    <t>EMMBI</t>
  </si>
  <si>
    <t>MITSU</t>
  </si>
  <si>
    <t>KAIRA</t>
  </si>
  <si>
    <t>HINDTIN</t>
  </si>
  <si>
    <t>RAAJMEDI</t>
  </si>
  <si>
    <t>SWADEIN</t>
  </si>
  <si>
    <t>SHETR</t>
  </si>
  <si>
    <t>GUJCONT</t>
  </si>
  <si>
    <t>BAPACK</t>
  </si>
  <si>
    <t>CLARA</t>
  </si>
  <si>
    <t>AMDIND</t>
  </si>
  <si>
    <t>TPINDIA</t>
  </si>
  <si>
    <t>ORIENTLTD</t>
  </si>
  <si>
    <t>GUJCRAFT</t>
  </si>
  <si>
    <t>REXSEAL</t>
  </si>
  <si>
    <t>3BFILMS</t>
  </si>
  <si>
    <t>MAHIP</t>
  </si>
  <si>
    <t>PANKAJPO</t>
  </si>
  <si>
    <t>INNOVTEC</t>
  </si>
  <si>
    <t>ROLLT</t>
  </si>
  <si>
    <t>RISHITECH</t>
  </si>
  <si>
    <t>POLYSPIN</t>
  </si>
  <si>
    <t>SALGUTI</t>
  </si>
  <si>
    <t>GUJRAFFIA</t>
  </si>
  <si>
    <t>RCAN</t>
  </si>
  <si>
    <t>RAJPACK</t>
  </si>
  <si>
    <t>ANUROOP</t>
  </si>
  <si>
    <t>GKP</t>
  </si>
  <si>
    <t>JAUSPOL</t>
  </si>
  <si>
    <t>POLYCON</t>
  </si>
  <si>
    <t>KAHAN</t>
  </si>
  <si>
    <t>YASHRAJC</t>
  </si>
  <si>
    <t>MPL</t>
  </si>
  <si>
    <t>KARNAWATI</t>
  </si>
  <si>
    <t>PROMACT</t>
  </si>
  <si>
    <t>VINAYAKPOL</t>
  </si>
  <si>
    <t>STANPACK</t>
  </si>
  <si>
    <t>PITHP</t>
  </si>
  <si>
    <t>QUANTDIA</t>
  </si>
  <si>
    <t>ASYL</t>
  </si>
  <si>
    <t>DECPO</t>
  </si>
  <si>
    <t>JUMBO</t>
  </si>
  <si>
    <t>UNQTYMI</t>
  </si>
  <si>
    <t>BRITANNIA</t>
  </si>
  <si>
    <t>BIKAJI</t>
  </si>
  <si>
    <t>BBTC</t>
  </si>
  <si>
    <t>BECTORFOOD</t>
  </si>
  <si>
    <t>GOPAL</t>
  </si>
  <si>
    <t>ZYDUSWELL</t>
  </si>
  <si>
    <t>DIAMONDYD</t>
  </si>
  <si>
    <t>ADFFOODS</t>
  </si>
  <si>
    <t>TASTYBITE</t>
  </si>
  <si>
    <t>LOTUSCHO</t>
  </si>
  <si>
    <t>GANESHCP</t>
  </si>
  <si>
    <t>SUMUKA</t>
  </si>
  <si>
    <t>FOODSIN</t>
  </si>
  <si>
    <t>MISHTANN</t>
  </si>
  <si>
    <t>EMROCK</t>
  </si>
  <si>
    <t>AVEER</t>
  </si>
  <si>
    <t>CHATHA</t>
  </si>
  <si>
    <t>BAMBINO</t>
  </si>
  <si>
    <t>SAMPRE</t>
  </si>
  <si>
    <t>AAYUSH</t>
  </si>
  <si>
    <t>PALASHSECU</t>
  </si>
  <si>
    <t>TANVI</t>
  </si>
  <si>
    <t>GCKL</t>
  </si>
  <si>
    <t>CEETAIN</t>
  </si>
  <si>
    <t>SSMD</t>
  </si>
  <si>
    <t>PANJON</t>
  </si>
  <si>
    <t>JFL</t>
  </si>
  <si>
    <t>ANJANIFOODS</t>
  </si>
  <si>
    <t>NGIL</t>
  </si>
  <si>
    <t>SWOJAS</t>
  </si>
  <si>
    <t>RFL</t>
  </si>
  <si>
    <t>CHORDIA</t>
  </si>
  <si>
    <t>LAKESHORE</t>
  </si>
  <si>
    <t>KMGMILK</t>
  </si>
  <si>
    <t>SONALIS</t>
  </si>
  <si>
    <t>SBL</t>
  </si>
  <si>
    <t>BKV</t>
  </si>
  <si>
    <t>ASTRONMULT</t>
  </si>
  <si>
    <t>CHOTHANI</t>
  </si>
  <si>
    <t>SURFI</t>
  </si>
  <si>
    <t>SHAHFOOD</t>
  </si>
  <si>
    <t>SUPERBAK</t>
  </si>
  <si>
    <t>JAYKAILASH</t>
  </si>
  <si>
    <t>SHAQUAK</t>
  </si>
  <si>
    <t>FILTRA</t>
  </si>
  <si>
    <t>KPRMILL</t>
  </si>
  <si>
    <t>VTL</t>
  </si>
  <si>
    <t>TRIDENT</t>
  </si>
  <si>
    <t>WELSPUNLIV</t>
  </si>
  <si>
    <t>ALOKINDS</t>
  </si>
  <si>
    <t>GARFIBRES</t>
  </si>
  <si>
    <t>ICIL</t>
  </si>
  <si>
    <t>RAYMONDLSL</t>
  </si>
  <si>
    <t>SANATHAN</t>
  </si>
  <si>
    <t>GANECOS</t>
  </si>
  <si>
    <t>SANGAMIND</t>
  </si>
  <si>
    <t>SIYSIL</t>
  </si>
  <si>
    <t>BOMDYEING</t>
  </si>
  <si>
    <t>NITINSPIN</t>
  </si>
  <si>
    <t>JINDWORLD</t>
  </si>
  <si>
    <t>FILATEX</t>
  </si>
  <si>
    <t>AAYUSHBULL</t>
  </si>
  <si>
    <t>PASHUPATI</t>
  </si>
  <si>
    <t>SUMEETINDS</t>
  </si>
  <si>
    <t>SPORTKING</t>
  </si>
  <si>
    <t>RAJRILTD</t>
  </si>
  <si>
    <t>AYMSYNTEX</t>
  </si>
  <si>
    <t>JAYTEX</t>
  </si>
  <si>
    <t>HIMATSEIDE</t>
  </si>
  <si>
    <t>FAZE3Q</t>
  </si>
  <si>
    <t>ABCOTS</t>
  </si>
  <si>
    <t>CENTENKA</t>
  </si>
  <si>
    <t>BORANA</t>
  </si>
  <si>
    <t>INDORAMA</t>
  </si>
  <si>
    <t>MAFATIND</t>
  </si>
  <si>
    <t>NAHARSPING</t>
  </si>
  <si>
    <t>VTMLTD</t>
  </si>
  <si>
    <t>SUNRAKSHAK</t>
  </si>
  <si>
    <t>RUBYMILLS</t>
  </si>
  <si>
    <t>AMBIKCO</t>
  </si>
  <si>
    <t>RAJPALAYAM</t>
  </si>
  <si>
    <t>GHCLTEXTIL</t>
  </si>
  <si>
    <t>VOITHPAPR</t>
  </si>
  <si>
    <t>SARLAPOLY</t>
  </si>
  <si>
    <t>RSWM</t>
  </si>
  <si>
    <t>RNBDENIMS</t>
  </si>
  <si>
    <t>LAKSHMIMIL</t>
  </si>
  <si>
    <t>TRUEGREEN</t>
  </si>
  <si>
    <t>DONEAR</t>
  </si>
  <si>
    <t>SUTLEJTEX</t>
  </si>
  <si>
    <t>MANOMAY</t>
  </si>
  <si>
    <t>ORBTEXP</t>
  </si>
  <si>
    <t>NAHARINDUS</t>
  </si>
  <si>
    <t>RAGHUSYN</t>
  </si>
  <si>
    <t>SUDTIND-B</t>
  </si>
  <si>
    <t>BANSWRAS</t>
  </si>
  <si>
    <t>AXITA</t>
  </si>
  <si>
    <t>VARDMNPOLY</t>
  </si>
  <si>
    <t>SOMATEX</t>
  </si>
  <si>
    <t>NDL</t>
  </si>
  <si>
    <t>OMNITEX</t>
  </si>
  <si>
    <t>GINNIFILA</t>
  </si>
  <si>
    <t>KESORAMIND</t>
  </si>
  <si>
    <t>VGL</t>
  </si>
  <si>
    <t>ASHIMASYN</t>
  </si>
  <si>
    <t>OSIAJEE</t>
  </si>
  <si>
    <t>TTL</t>
  </si>
  <si>
    <t>ATVOENT</t>
  </si>
  <si>
    <t>JATTAINDUS</t>
  </si>
  <si>
    <t>DCMNVL</t>
  </si>
  <si>
    <t>TRADEUNO</t>
  </si>
  <si>
    <t>RRIL</t>
  </si>
  <si>
    <t>SUPER</t>
  </si>
  <si>
    <t>HARIGOV</t>
  </si>
  <si>
    <t>MHLXMIRU</t>
  </si>
  <si>
    <t>RUDRAECO</t>
  </si>
  <si>
    <t>SHAHLON</t>
  </si>
  <si>
    <t>SHIVATEX</t>
  </si>
  <si>
    <t>ZBINTXPP</t>
  </si>
  <si>
    <t>MARALOVER</t>
  </si>
  <si>
    <t>BASML</t>
  </si>
  <si>
    <t>MODTHREAD</t>
  </si>
  <si>
    <t>PREMCO</t>
  </si>
  <si>
    <t>SALONA</t>
  </si>
  <si>
    <t>WINSOMTX</t>
  </si>
  <si>
    <t>SURYALA</t>
  </si>
  <si>
    <t>SHRIDINE</t>
  </si>
  <si>
    <t>SWADPOL</t>
  </si>
  <si>
    <t>KGPETRO</t>
  </si>
  <si>
    <t>BSL</t>
  </si>
  <si>
    <t>WEIZMANIND</t>
  </si>
  <si>
    <t>BHILSPIN</t>
  </si>
  <si>
    <t>INDIANCARD</t>
  </si>
  <si>
    <t>ANIRIT</t>
  </si>
  <si>
    <t>YAJUR</t>
  </si>
  <si>
    <t>JASCH</t>
  </si>
  <si>
    <t>FIBERWEB</t>
  </si>
  <si>
    <t>LOYALTEX</t>
  </si>
  <si>
    <t>LAMBODHARA</t>
  </si>
  <si>
    <t>SELMC</t>
  </si>
  <si>
    <t>APMIN</t>
  </si>
  <si>
    <t>SURYALAXMI</t>
  </si>
  <si>
    <t>RELCHEMQ</t>
  </si>
  <si>
    <t>SHANTIDENM</t>
  </si>
  <si>
    <t>ACKNIT</t>
  </si>
  <si>
    <t>BHANDARI</t>
  </si>
  <si>
    <t>AMARJOTHI</t>
  </si>
  <si>
    <t>DIGJAMLMTD</t>
  </si>
  <si>
    <t>VIPPYSP</t>
  </si>
  <si>
    <t>SHALIWIR</t>
  </si>
  <si>
    <t>SANTETX</t>
  </si>
  <si>
    <t>SURATRAML</t>
  </si>
  <si>
    <t>TTFL</t>
  </si>
  <si>
    <t>DEEPAKSP</t>
  </si>
  <si>
    <t>GUJCOTEX</t>
  </si>
  <si>
    <t>ELAND</t>
  </si>
  <si>
    <t>PIONEEREMB</t>
  </si>
  <si>
    <t>SHUBHAM</t>
  </si>
  <si>
    <t>LAKHOTIA</t>
  </si>
  <si>
    <t>NAGREEKEXP</t>
  </si>
  <si>
    <t>ASHNOOR</t>
  </si>
  <si>
    <t>SKYIND</t>
  </si>
  <si>
    <t>DHANROTO</t>
  </si>
  <si>
    <t>BETXIND</t>
  </si>
  <si>
    <t>SHINEFASH</t>
  </si>
  <si>
    <t>RIBATEX</t>
  </si>
  <si>
    <t>SHRAJSYNQ</t>
  </si>
  <si>
    <t>DAMODARIND</t>
  </si>
  <si>
    <t>DHANFAB</t>
  </si>
  <si>
    <t>RACHIT</t>
  </si>
  <si>
    <t>KAMADGIRI</t>
  </si>
  <si>
    <t>PADAMCO</t>
  </si>
  <si>
    <t>MOHITE</t>
  </si>
  <si>
    <t>SHIVAMILLS</t>
  </si>
  <si>
    <t>GOKAKTEX</t>
  </si>
  <si>
    <t>WIREFABR</t>
  </si>
  <si>
    <t>HPCOTTON</t>
  </si>
  <si>
    <t>SAMBANDAM</t>
  </si>
  <si>
    <t>SPARKLEGR</t>
  </si>
  <si>
    <t>GTNINDS</t>
  </si>
  <si>
    <t>SURYAAMBA</t>
  </si>
  <si>
    <t>KGDENIM</t>
  </si>
  <si>
    <t>SHEKHAWATI</t>
  </si>
  <si>
    <t>MKPMOB</t>
  </si>
  <si>
    <t>AREXMIS</t>
  </si>
  <si>
    <t>AVAX</t>
  </si>
  <si>
    <t>GEMSPIN</t>
  </si>
  <si>
    <t>PBMPOLY</t>
  </si>
  <si>
    <t>ANJANI</t>
  </si>
  <si>
    <t>CFL</t>
  </si>
  <si>
    <t>AKSHAR</t>
  </si>
  <si>
    <t>PARMSILK</t>
  </si>
  <si>
    <t>SWASTIVI</t>
  </si>
  <si>
    <t>SVPGLOB</t>
  </si>
  <si>
    <t>SKYBIOTECH</t>
  </si>
  <si>
    <t>SIHORA</t>
  </si>
  <si>
    <t>EASTSILK</t>
  </si>
  <si>
    <t>MOHITIND</t>
  </si>
  <si>
    <t>ANGEL</t>
  </si>
  <si>
    <t>SRMCL</t>
  </si>
  <si>
    <t>JAIHINDS</t>
  </si>
  <si>
    <t>KATRSPG</t>
  </si>
  <si>
    <t>RISHYRN</t>
  </si>
  <si>
    <t>SGL</t>
  </si>
  <si>
    <t>TEJASSVI</t>
  </si>
  <si>
    <t>RAJKSYN</t>
  </si>
  <si>
    <t>TUSALDAH</t>
  </si>
  <si>
    <t>PASUSPG</t>
  </si>
  <si>
    <t>COTFAB</t>
  </si>
  <si>
    <t>SURBHIN</t>
  </si>
  <si>
    <t>SCARNOSE</t>
  </si>
  <si>
    <t>SBFL</t>
  </si>
  <si>
    <t>KHOOBSURAT</t>
  </si>
  <si>
    <t>ADITYASP</t>
  </si>
  <si>
    <t>HINDMILL</t>
  </si>
  <si>
    <t>SUPERSPIN</t>
  </si>
  <si>
    <t>MFML</t>
  </si>
  <si>
    <t>BLUECHIPT</t>
  </si>
  <si>
    <t>MARIS</t>
  </si>
  <si>
    <t>KONARKSY</t>
  </si>
  <si>
    <t>VALSONQ</t>
  </si>
  <si>
    <t>KKSILK</t>
  </si>
  <si>
    <t>PATSPINLTD</t>
  </si>
  <si>
    <t>FLEXITUFF</t>
  </si>
  <si>
    <t>HISARSP</t>
  </si>
  <si>
    <t>ZENIFIB</t>
  </si>
  <si>
    <t>PWASML</t>
  </si>
  <si>
    <t>SOUTLAT</t>
  </si>
  <si>
    <t>MORARJEE</t>
  </si>
  <si>
    <t>PIOTEX</t>
  </si>
  <si>
    <t>ICL</t>
  </si>
  <si>
    <t>CLCIND</t>
  </si>
  <si>
    <t>TITAANIUM</t>
  </si>
  <si>
    <t>PRABHHANS</t>
  </si>
  <si>
    <t>SIMPLXMIL</t>
  </si>
  <si>
    <t>SHRMFGC</t>
  </si>
  <si>
    <t>SUBSM</t>
  </si>
  <si>
    <t>KANDAGIRI</t>
  </si>
  <si>
    <t>NAPSGLOBAL</t>
  </si>
  <si>
    <t>ADVLIFE</t>
  </si>
  <si>
    <t>PRESSURS</t>
  </si>
  <si>
    <t>UNIROYAL</t>
  </si>
  <si>
    <t>RSCINT</t>
  </si>
  <si>
    <t>SEASONST</t>
  </si>
  <si>
    <t>GARWAMAR</t>
  </si>
  <si>
    <t>VENTURA</t>
  </si>
  <si>
    <t>SRINACHA</t>
  </si>
  <si>
    <t>KALLAM</t>
  </si>
  <si>
    <t>ADINATH</t>
  </si>
  <si>
    <t>STCORP</t>
  </si>
  <si>
    <t>PRAGBOS</t>
  </si>
  <si>
    <t>TUNITEX</t>
  </si>
  <si>
    <t>UNTTEMI</t>
  </si>
  <si>
    <t>EUROTEXIND</t>
  </si>
  <si>
    <t>GUJHYSPIN</t>
  </si>
  <si>
    <t>WINSOME</t>
  </si>
  <si>
    <t>GRAVITY</t>
  </si>
  <si>
    <t>GHUSHINE</t>
  </si>
  <si>
    <t>RLF</t>
  </si>
  <si>
    <t>ASIAPAK</t>
  </si>
  <si>
    <t>SANTOSHF</t>
  </si>
  <si>
    <t>VIJAYTX</t>
  </si>
  <si>
    <t>GTNTEX</t>
  </si>
  <si>
    <t>SLSTLQ</t>
  </si>
  <si>
    <t>MIDINDIA</t>
  </si>
  <si>
    <t>JAYIND</t>
  </si>
  <si>
    <t>PASARI</t>
  </si>
  <si>
    <t>KUSHIND</t>
  </si>
  <si>
    <t>SURYVANSP</t>
  </si>
  <si>
    <t>SOURCEIND</t>
  </si>
  <si>
    <t>HARIAAPL</t>
  </si>
  <si>
    <t>MINAXI</t>
  </si>
  <si>
    <t>ALKA</t>
  </si>
  <si>
    <t>NUTECGLOB</t>
  </si>
  <si>
    <t>SHESHAINDS</t>
  </si>
  <si>
    <t>PEETISEC</t>
  </si>
  <si>
    <t>SUPERTEX</t>
  </si>
  <si>
    <t>SUNCITYSY</t>
  </si>
  <si>
    <t>KIRANSY-B</t>
  </si>
  <si>
    <t>PREMSYN</t>
  </si>
  <si>
    <t>JAGJANANI</t>
  </si>
  <si>
    <t>AMRAAGRI</t>
  </si>
  <si>
    <t>PRSNTIN</t>
  </si>
  <si>
    <t>KAKTEX</t>
  </si>
  <si>
    <t>OMKAR</t>
  </si>
  <si>
    <t>AANANDALAK</t>
  </si>
  <si>
    <t>RAJVIR</t>
  </si>
  <si>
    <t>ZGAEKWAR</t>
  </si>
  <si>
    <t>SUUMAYA</t>
  </si>
  <si>
    <t>SYBLY</t>
  </si>
  <si>
    <t>MASCH</t>
  </si>
  <si>
    <t>AARNAV</t>
  </si>
  <si>
    <t>DCMSIL</t>
  </si>
  <si>
    <t>KLIFESTYL</t>
  </si>
  <si>
    <t>OXFORDIN</t>
  </si>
  <si>
    <t>PUSHPIN</t>
  </si>
  <si>
    <t>RAJSPTR</t>
  </si>
  <si>
    <t>SRTL</t>
  </si>
  <si>
    <t>SUERYAAKNI</t>
  </si>
  <si>
    <t>UNITEDTE</t>
  </si>
  <si>
    <t>UNIWSEC</t>
  </si>
  <si>
    <t>RAILTEL</t>
  </si>
  <si>
    <t>ROUTE</t>
  </si>
  <si>
    <t>SIGMAADV</t>
  </si>
  <si>
    <t>STLNETWORK</t>
  </si>
  <si>
    <t>GTL</t>
  </si>
  <si>
    <t>STML</t>
  </si>
  <si>
    <t>NETTLINX</t>
  </si>
  <si>
    <t>PTCIL</t>
  </si>
  <si>
    <t>HBLENGINE</t>
  </si>
  <si>
    <t>INOXINDIA</t>
  </si>
  <si>
    <t>ESABINDIA</t>
  </si>
  <si>
    <t>KRN</t>
  </si>
  <si>
    <t>SUBROS</t>
  </si>
  <si>
    <t>HARSHA</t>
  </si>
  <si>
    <t>KIRLOSIND</t>
  </si>
  <si>
    <t>ADOR</t>
  </si>
  <si>
    <t>DIFFNKG</t>
  </si>
  <si>
    <t>MICEL</t>
  </si>
  <si>
    <t>MALLCOM</t>
  </si>
  <si>
    <t>INLCM</t>
  </si>
  <si>
    <t>SEALMATIC</t>
  </si>
  <si>
    <t>SIMPLEXCAS</t>
  </si>
  <si>
    <t>QUESTFLOW</t>
  </si>
  <si>
    <t>ALPHAIND</t>
  </si>
  <si>
    <t>GPSL</t>
  </si>
  <si>
    <t>WHBRADY</t>
  </si>
  <si>
    <t>MUL</t>
  </si>
  <si>
    <t>EXPOEAPL</t>
  </si>
  <si>
    <t>SIYARAM</t>
  </si>
  <si>
    <t>DELTAMAGNT</t>
  </si>
  <si>
    <t>NARMADESH</t>
  </si>
  <si>
    <t>STAL</t>
  </si>
  <si>
    <t>ROLCOEN</t>
  </si>
  <si>
    <t>ZWELCAST</t>
  </si>
  <si>
    <t>INDOBELL</t>
  </si>
  <si>
    <t>SPRAYKING</t>
  </si>
  <si>
    <t>ABRIL</t>
  </si>
  <si>
    <t>CARNATIN</t>
  </si>
  <si>
    <t>POOJA</t>
  </si>
  <si>
    <t>ASSOCIATED</t>
  </si>
  <si>
    <t>EIDPARRY</t>
  </si>
  <si>
    <t>MANORAMA</t>
  </si>
  <si>
    <t>ORKLAINDIA</t>
  </si>
  <si>
    <t>KRISHIVAL</t>
  </si>
  <si>
    <t>APIS</t>
  </si>
  <si>
    <t>PAJSON</t>
  </si>
  <si>
    <t>NUTRICIRCLE</t>
  </si>
  <si>
    <t>MEGASTAR</t>
  </si>
  <si>
    <t>WARDWIZFBL</t>
  </si>
  <si>
    <t>MNFL</t>
  </si>
  <si>
    <t>TIRUSTA</t>
  </si>
  <si>
    <t>CHEMKART</t>
  </si>
  <si>
    <t>VISTARAMAR</t>
  </si>
  <si>
    <t>VANDU</t>
  </si>
  <si>
    <t>KLRFM</t>
  </si>
  <si>
    <t>RDGAIL</t>
  </si>
  <si>
    <t>GPAPL</t>
  </si>
  <si>
    <t>INDXTRA</t>
  </si>
  <si>
    <t>TEAM24</t>
  </si>
  <si>
    <t>OCEANIC</t>
  </si>
  <si>
    <t>KFBL</t>
  </si>
  <si>
    <t>SABOOSOD</t>
  </si>
  <si>
    <t>NHCFOODS</t>
  </si>
  <si>
    <t>ABRFL</t>
  </si>
  <si>
    <t>SPECFOOD</t>
  </si>
  <si>
    <t>JETMALL</t>
  </si>
  <si>
    <t>SANWARIA</t>
  </si>
  <si>
    <t>PROGREXV</t>
  </si>
  <si>
    <t>TRICOMFRU</t>
  </si>
  <si>
    <t>ABHIJIT</t>
  </si>
  <si>
    <t>UFMINDL</t>
  </si>
  <si>
    <t>PREMIERENE</t>
  </si>
  <si>
    <t>APARINDS</t>
  </si>
  <si>
    <t>EMMVEE</t>
  </si>
  <si>
    <t>WAAREERTL</t>
  </si>
  <si>
    <t>GENUSPOWER</t>
  </si>
  <si>
    <t>DIACABS</t>
  </si>
  <si>
    <t>VIKRAMSOLR</t>
  </si>
  <si>
    <t>AVALON</t>
  </si>
  <si>
    <t>UTLSOLAR</t>
  </si>
  <si>
    <t>SAATVIKGL</t>
  </si>
  <si>
    <t>WEBELSOLAR</t>
  </si>
  <si>
    <t>RAMRAT</t>
  </si>
  <si>
    <t>BBL</t>
  </si>
  <si>
    <t>MARSONS</t>
  </si>
  <si>
    <t>RELTD</t>
  </si>
  <si>
    <t>ADVAIT</t>
  </si>
  <si>
    <t>RISHABH</t>
  </si>
  <si>
    <t>YASHHV</t>
  </si>
  <si>
    <t>RIR</t>
  </si>
  <si>
    <t>MODINSU</t>
  </si>
  <si>
    <t>SALZERELEC</t>
  </si>
  <si>
    <t>DEL</t>
  </si>
  <si>
    <t>PROSTARM</t>
  </si>
  <si>
    <t>MEIL</t>
  </si>
  <si>
    <t>SPELS</t>
  </si>
  <si>
    <t>PERMAGN</t>
  </si>
  <si>
    <t>KECL</t>
  </si>
  <si>
    <t>URJA</t>
  </si>
  <si>
    <t>MODISONLTD</t>
  </si>
  <si>
    <t>S&amp;SPOWER</t>
  </si>
  <si>
    <t>AEPL</t>
  </si>
  <si>
    <t>INDOSMC</t>
  </si>
  <si>
    <t>DLTNCBL</t>
  </si>
  <si>
    <t>HUIL</t>
  </si>
  <si>
    <t>GEE</t>
  </si>
  <si>
    <t>AEIM</t>
  </si>
  <si>
    <t>SUGSLLOYD</t>
  </si>
  <si>
    <t>KAYCEEI</t>
  </si>
  <si>
    <t>PIGL</t>
  </si>
  <si>
    <t>LAKSELEC</t>
  </si>
  <si>
    <t>APLAB</t>
  </si>
  <si>
    <t>AEL</t>
  </si>
  <si>
    <t>JSLINDL</t>
  </si>
  <si>
    <t>RTSPOWR</t>
  </si>
  <si>
    <t>JIGAR</t>
  </si>
  <si>
    <t>CYBELEIND</t>
  </si>
  <si>
    <t>INCAP</t>
  </si>
  <si>
    <t>GUJARATPOLY</t>
  </si>
  <si>
    <t>ALFATRAN</t>
  </si>
  <si>
    <t>RELICAB</t>
  </si>
  <si>
    <t>MAGNUS</t>
  </si>
  <si>
    <t>EQUILATERA</t>
  </si>
  <si>
    <t>SWITCHTE</t>
  </si>
  <si>
    <t>CONTICON</t>
  </si>
  <si>
    <t>GALADA</t>
  </si>
  <si>
    <t>SGNTE</t>
  </si>
  <si>
    <t>RMC</t>
  </si>
  <si>
    <t>SIS</t>
  </si>
  <si>
    <t>EXHICON</t>
  </si>
  <si>
    <t>MCEL</t>
  </si>
  <si>
    <t>NISMGMT</t>
  </si>
  <si>
    <t>SAFECURE</t>
  </si>
  <si>
    <t>MIDWEST</t>
  </si>
  <si>
    <t>RAMCOIND</t>
  </si>
  <si>
    <t>ARIS</t>
  </si>
  <si>
    <t>EVERESTIND</t>
  </si>
  <si>
    <t>SAHYADRI</t>
  </si>
  <si>
    <t>MARBLE</t>
  </si>
  <si>
    <t>NIDHGRN</t>
  </si>
  <si>
    <t>GLITTEKG</t>
  </si>
  <si>
    <t>DIVSHKT</t>
  </si>
  <si>
    <t>RALEGRA</t>
  </si>
  <si>
    <t>LERTHAI</t>
  </si>
  <si>
    <t>ASSOCER</t>
  </si>
  <si>
    <t>JAIMATAG</t>
  </si>
  <si>
    <t>INANI</t>
  </si>
  <si>
    <t>SHIVAEXPO</t>
  </si>
  <si>
    <t>SOLIDSTON</t>
  </si>
  <si>
    <t>TRIVENIGQ</t>
  </si>
  <si>
    <t>MILESTONE</t>
  </si>
  <si>
    <t>MAYURFL</t>
  </si>
  <si>
    <t>NEELKAN</t>
  </si>
  <si>
    <t>JAINMARMO</t>
  </si>
  <si>
    <t>GCSL</t>
  </si>
  <si>
    <t>QUESTCAP</t>
  </si>
  <si>
    <t>MEFCOMCAP</t>
  </si>
  <si>
    <t>21STCENMGM</t>
  </si>
  <si>
    <t>IFINSER</t>
  </si>
  <si>
    <t>VBL</t>
  </si>
  <si>
    <t>VALENCIA</t>
  </si>
  <si>
    <t>ORIBEVER</t>
  </si>
  <si>
    <t>ANSINDUS</t>
  </si>
  <si>
    <t>TRANSFD</t>
  </si>
  <si>
    <t>UJJIVANSFB</t>
  </si>
  <si>
    <t>EQUITASBNK</t>
  </si>
  <si>
    <t>JSFB</t>
  </si>
  <si>
    <t>UTKARSHBNK</t>
  </si>
  <si>
    <t>FINOPB</t>
  </si>
  <si>
    <t>ESAFSFB</t>
  </si>
  <si>
    <t>SURYODAY</t>
  </si>
  <si>
    <t>CAPITALSFB</t>
  </si>
  <si>
    <t>LTFOODS</t>
  </si>
  <si>
    <t>KRBL</t>
  </si>
  <si>
    <t>GAEL</t>
  </si>
  <si>
    <t>KSCL</t>
  </si>
  <si>
    <t>TRUALT</t>
  </si>
  <si>
    <t>GRMOVER</t>
  </si>
  <si>
    <t>SANSTAR</t>
  </si>
  <si>
    <t>CLSEL</t>
  </si>
  <si>
    <t>GULPOLY</t>
  </si>
  <si>
    <t>AVTNPL</t>
  </si>
  <si>
    <t>REGAAL</t>
  </si>
  <si>
    <t>SUKHJITS</t>
  </si>
  <si>
    <t>SARVESHWAR</t>
  </si>
  <si>
    <t>MODINATUR</t>
  </si>
  <si>
    <t>MGEL</t>
  </si>
  <si>
    <t>PRIMEFRESH</t>
  </si>
  <si>
    <t>BHARATROHAN</t>
  </si>
  <si>
    <t>INDOUS</t>
  </si>
  <si>
    <t>NATHBIOGEN</t>
  </si>
  <si>
    <t>TIERRA</t>
  </si>
  <si>
    <t>ACLD</t>
  </si>
  <si>
    <t>SAYAJIIND</t>
  </si>
  <si>
    <t>SPTRSHI</t>
  </si>
  <si>
    <t>JKAGRI</t>
  </si>
  <si>
    <t>MSL</t>
  </si>
  <si>
    <t>HARSHDEEP</t>
  </si>
  <si>
    <t>PURETROP</t>
  </si>
  <si>
    <t>NAPL</t>
  </si>
  <si>
    <t>KOHINOOR</t>
  </si>
  <si>
    <t>IBINFO</t>
  </si>
  <si>
    <t>HFIL</t>
  </si>
  <si>
    <t>RAFL</t>
  </si>
  <si>
    <t>UNISEM</t>
  </si>
  <si>
    <t>AGRITECH</t>
  </si>
  <si>
    <t>UNIVSTAR</t>
  </si>
  <si>
    <t>UNIQUEO</t>
  </si>
  <si>
    <t>FLEXFO</t>
  </si>
  <si>
    <t>STANBIK</t>
  </si>
  <si>
    <t>INDRANIB</t>
  </si>
  <si>
    <t>PCL</t>
  </si>
  <si>
    <t>CCAL</t>
  </si>
  <si>
    <t>PGCRL</t>
  </si>
  <si>
    <t>SUNILAGR</t>
  </si>
  <si>
    <t>TIMESGREEN</t>
  </si>
  <si>
    <t>RKDAGRRTL</t>
  </si>
  <si>
    <t>ANVRDHI</t>
  </si>
  <si>
    <t>TGIF</t>
  </si>
  <si>
    <t>VIKASWSP</t>
  </si>
  <si>
    <t>HINDUST</t>
  </si>
  <si>
    <t>HAMPS</t>
  </si>
  <si>
    <t>NPFL</t>
  </si>
  <si>
    <t>VIKASPROP</t>
  </si>
  <si>
    <t>SHRAJOI</t>
  </si>
  <si>
    <t>WHITEORG</t>
  </si>
  <si>
    <t>ALFAVIO</t>
  </si>
  <si>
    <t>TARAI</t>
  </si>
  <si>
    <t>SWASTH</t>
  </si>
  <si>
    <t>ZKHANDEN</t>
  </si>
  <si>
    <t>ELEFLOR</t>
  </si>
  <si>
    <t>OLYOI</t>
  </si>
  <si>
    <t>PRIMAGR</t>
  </si>
  <si>
    <t>OMEAG</t>
  </si>
  <si>
    <t>NATHUEC</t>
  </si>
  <si>
    <t>MADHURIND</t>
  </si>
  <si>
    <r>
      <rPr>
        <sz val="10"/>
        <color rgb="FF000000"/>
        <rFont val="MyFirstFont"/>
      </rPr>
      <t>AEGISVOPAK</t>
    </r>
  </si>
  <si>
    <r>
      <rPr>
        <sz val="10"/>
        <color rgb="FF000000"/>
        <rFont val="MyFirstFont"/>
      </rPr>
      <t>GANESHBE</t>
    </r>
  </si>
  <si>
    <r>
      <rPr>
        <sz val="10"/>
        <color rgb="FF000000"/>
        <rFont val="MyFirstFont"/>
      </rPr>
      <t>REPONO</t>
    </r>
  </si>
  <si>
    <t>ONGC</t>
  </si>
  <si>
    <t>OIL</t>
  </si>
  <si>
    <t>PRABHA</t>
  </si>
  <si>
    <t>ANTELOPUS</t>
  </si>
  <si>
    <t>HINDOILEXP</t>
  </si>
  <si>
    <t>GNRL</t>
  </si>
  <si>
    <t>DEEPINDS</t>
  </si>
  <si>
    <t>ASIANENE</t>
  </si>
  <si>
    <t>OILCOUNTUB</t>
  </si>
  <si>
    <t>DHPIND</t>
  </si>
  <si>
    <t>DUKEOFS</t>
  </si>
  <si>
    <t>REDINGTON</t>
  </si>
  <si>
    <t>MMTC</t>
  </si>
  <si>
    <t>MSTCLTD</t>
  </si>
  <si>
    <t>BNAGROCHEM</t>
  </si>
  <si>
    <t>VINCOFE</t>
  </si>
  <si>
    <t>YSL</t>
  </si>
  <si>
    <t>CNL</t>
  </si>
  <si>
    <t>SMTEL</t>
  </si>
  <si>
    <t>STCINDIA</t>
  </si>
  <si>
    <t>PQIF</t>
  </si>
  <si>
    <t>OSWALAGRO</t>
  </si>
  <si>
    <t>VERITAS</t>
  </si>
  <si>
    <t>KOTHARIPRO</t>
  </si>
  <si>
    <t>BALGOPAL</t>
  </si>
  <si>
    <t>VEGA</t>
  </si>
  <si>
    <t>RIDDHI</t>
  </si>
  <si>
    <t>OIVL</t>
  </si>
  <si>
    <t>VIKASLIFE</t>
  </si>
  <si>
    <t>SAKUMA</t>
  </si>
  <si>
    <t>SICAGEN</t>
  </si>
  <si>
    <t>NSL</t>
  </si>
  <si>
    <t>RGIL</t>
  </si>
  <si>
    <t>STRATMONT</t>
  </si>
  <si>
    <t>PARSHVA</t>
  </si>
  <si>
    <t>CHANDRIMA</t>
  </si>
  <si>
    <t>SEML</t>
  </si>
  <si>
    <t>EXCEL</t>
  </si>
  <si>
    <t>METROGLOBL</t>
  </si>
  <si>
    <t>SIGIND</t>
  </si>
  <si>
    <t>MAXIMUS</t>
  </si>
  <si>
    <t>RAMAVISION</t>
  </si>
  <si>
    <t>ESSENTIA</t>
  </si>
  <si>
    <t>LAHOTIOV</t>
  </si>
  <si>
    <t>NEWINFRA</t>
  </si>
  <si>
    <t>GEL</t>
  </si>
  <si>
    <t>ANIKINDS</t>
  </si>
  <si>
    <t>MRCAGRO</t>
  </si>
  <si>
    <t>DHOOTIN</t>
  </si>
  <si>
    <t>FERVENTSYN</t>
  </si>
  <si>
    <t>ASHNI</t>
  </si>
  <si>
    <t>MEHAI</t>
  </si>
  <si>
    <t>LYKISLTD</t>
  </si>
  <si>
    <t>VEL</t>
  </si>
  <si>
    <t>BINNYMILLS</t>
  </si>
  <si>
    <t>GOYALALUM</t>
  </si>
  <si>
    <t>CRAVATEX</t>
  </si>
  <si>
    <t>CFEL</t>
  </si>
  <si>
    <t>HINDAPL</t>
  </si>
  <si>
    <t>LELAVOIR</t>
  </si>
  <si>
    <t>AMRAPLIN</t>
  </si>
  <si>
    <t>UMAEXPORTS</t>
  </si>
  <si>
    <t>BOMBCYC</t>
  </si>
  <si>
    <t>PULSRIN</t>
  </si>
  <si>
    <t>CONSTRONIC</t>
  </si>
  <si>
    <t>HIRAUTO</t>
  </si>
  <si>
    <t>GROWINGTON</t>
  </si>
  <si>
    <t>VARIMAN</t>
  </si>
  <si>
    <t>EFORU</t>
  </si>
  <si>
    <t>GANVERSE</t>
  </si>
  <si>
    <t>RONI</t>
  </si>
  <si>
    <t>SITAENT</t>
  </si>
  <si>
    <t>SPRIGHT</t>
  </si>
  <si>
    <t>DHANCOT</t>
  </si>
  <si>
    <t>SSTL</t>
  </si>
  <si>
    <t>FORINTL</t>
  </si>
  <si>
    <t>GENPHARMA</t>
  </si>
  <si>
    <t>SHARIKA</t>
  </si>
  <si>
    <t>IFL</t>
  </si>
  <si>
    <t>ROSEMER</t>
  </si>
  <si>
    <t>CONTILI</t>
  </si>
  <si>
    <t>MINALIND</t>
  </si>
  <si>
    <t>MURAE</t>
  </si>
  <si>
    <t>CHANDRAP</t>
  </si>
  <si>
    <t>DANUBE</t>
  </si>
  <si>
    <t>SUPHA</t>
  </si>
  <si>
    <t>FRANKLININD</t>
  </si>
  <si>
    <t>RAMGOPOLY</t>
  </si>
  <si>
    <t>AAPLUSTRAD</t>
  </si>
  <si>
    <t>GINISILK</t>
  </si>
  <si>
    <t>KGVL</t>
  </si>
  <si>
    <t>NIRAVCOM</t>
  </si>
  <si>
    <t>SALORAINTL</t>
  </si>
  <si>
    <t>MIL</t>
  </si>
  <si>
    <t>KACL</t>
  </si>
  <si>
    <t>SUNILTX</t>
  </si>
  <si>
    <t>SARTHAKIND</t>
  </si>
  <si>
    <t>KABSON</t>
  </si>
  <si>
    <t>CHMBBRW</t>
  </si>
  <si>
    <t>ASIANTNE</t>
  </si>
  <si>
    <t>LWSKNIT</t>
  </si>
  <si>
    <t>OPCHAINS</t>
  </si>
  <si>
    <t>CHANDNIMACH</t>
  </si>
  <si>
    <t>PRISMX</t>
  </si>
  <si>
    <t>LESHAIND</t>
  </si>
  <si>
    <t>NMSGLOBAL</t>
  </si>
  <si>
    <t>SHREENATH</t>
  </si>
  <si>
    <t>REGENTRP</t>
  </si>
  <si>
    <t>DIDL</t>
  </si>
  <si>
    <t>MAHACORP</t>
  </si>
  <si>
    <t>NEERAJ</t>
  </si>
  <si>
    <t>SBECSYS</t>
  </si>
  <si>
    <t>SCTL</t>
  </si>
  <si>
    <t>PALMJEWELS</t>
  </si>
  <si>
    <t>TAIIND</t>
  </si>
  <si>
    <t>GLAAMUP</t>
  </si>
  <si>
    <t>GANONPRO</t>
  </si>
  <si>
    <t>YASHMGM</t>
  </si>
  <si>
    <t>FRUTION</t>
  </si>
  <si>
    <t>SARTHAKGL</t>
  </si>
  <si>
    <t>NORRIS</t>
  </si>
  <si>
    <t>ZINEMA</t>
  </si>
  <si>
    <t>MITSHI</t>
  </si>
  <si>
    <t>SIPTL</t>
  </si>
  <si>
    <t>HEMANG</t>
  </si>
  <si>
    <t>MULLER</t>
  </si>
  <si>
    <t>KISAAN</t>
  </si>
  <si>
    <t>SUMERUIND</t>
  </si>
  <si>
    <t>URSUGAR</t>
  </si>
  <si>
    <t>KCDGROUP</t>
  </si>
  <si>
    <t>TIRTPLS</t>
  </si>
  <si>
    <t>INDAGIV</t>
  </si>
  <si>
    <t>NEWLIGHT</t>
  </si>
  <si>
    <t>SIIL</t>
  </si>
  <si>
    <t>SHYAMTEL</t>
  </si>
  <si>
    <t>MIHIKA</t>
  </si>
  <si>
    <t>DML</t>
  </si>
  <si>
    <t>SHASHANK</t>
  </si>
  <si>
    <t>CATVISION</t>
  </si>
  <si>
    <t>DHYAANITR</t>
  </si>
  <si>
    <t>NOUVEAU</t>
  </si>
  <si>
    <t>SRUSTEELS</t>
  </si>
  <si>
    <t>GARWSYN</t>
  </si>
  <si>
    <t>UNIOFFICE</t>
  </si>
  <si>
    <t>GLCL</t>
  </si>
  <si>
    <t>SHGANEL</t>
  </si>
  <si>
    <t>KALPACOMME</t>
  </si>
  <si>
    <t>FRASER</t>
  </si>
  <si>
    <t>HEMORGANIC</t>
  </si>
  <si>
    <t>YARNSYN</t>
  </si>
  <si>
    <t>PARKERAC</t>
  </si>
  <si>
    <t>SIDDHEGA</t>
  </si>
  <si>
    <t>RISAINTL</t>
  </si>
  <si>
    <t>SWAGTAM</t>
  </si>
  <si>
    <t>SIROHIA</t>
  </si>
  <si>
    <t>DEVINE</t>
  </si>
  <si>
    <t>NEWTRAC</t>
  </si>
  <si>
    <t>NYSSACORP</t>
  </si>
  <si>
    <t>OSWAYRN</t>
  </si>
  <si>
    <t>IGCIL</t>
  </si>
  <si>
    <t>ENTRINT</t>
  </si>
  <si>
    <t>ARAVALIS</t>
  </si>
  <si>
    <t>GRANDMA</t>
  </si>
  <si>
    <t>AFEL</t>
  </si>
  <si>
    <t>FLORACORP</t>
  </si>
  <si>
    <t>PANIDPR</t>
  </si>
  <si>
    <t>MLINDLTD</t>
  </si>
  <si>
    <t>PRIYALT</t>
  </si>
  <si>
    <t>EVOQ</t>
  </si>
  <si>
    <t>MYSTICELE</t>
  </si>
  <si>
    <t>TRIVENIENT</t>
  </si>
  <si>
    <t>SHVSUIT</t>
  </si>
  <si>
    <t>WWALUM</t>
  </si>
  <si>
    <t>AMBIT</t>
  </si>
  <si>
    <t>MUKTA</t>
  </si>
  <si>
    <t>SAICOM</t>
  </si>
  <si>
    <t>JAINCO</t>
  </si>
  <si>
    <t>SUNRETAIL</t>
  </si>
  <si>
    <t>SCBL</t>
  </si>
  <si>
    <t>THAKKERS</t>
  </si>
  <si>
    <t>BEEYU</t>
  </si>
  <si>
    <t>DGL</t>
  </si>
  <si>
    <t>ZGOLDINV</t>
  </si>
  <si>
    <t>CLASELE</t>
  </si>
  <si>
    <t>SFTL</t>
  </si>
  <si>
    <t>MODWOOL</t>
  </si>
  <si>
    <t>ALNATRD</t>
  </si>
  <si>
    <t>ASUTENT</t>
  </si>
  <si>
    <t>BAJGLOB</t>
  </si>
  <si>
    <t>CALLISTA</t>
  </si>
  <si>
    <t>EASTINDIA</t>
  </si>
  <si>
    <t>HCLTD</t>
  </si>
  <si>
    <t>KUSUMEL</t>
  </si>
  <si>
    <t>PERVASIVE</t>
  </si>
  <si>
    <t>RAIDEEPIND</t>
  </si>
  <si>
    <t>RGCORP</t>
  </si>
  <si>
    <t>SVAINDIA</t>
  </si>
  <si>
    <t>TCC</t>
  </si>
  <si>
    <t>TTLEL</t>
  </si>
  <si>
    <t>VELOX</t>
  </si>
  <si>
    <t>VKGLOBAL</t>
  </si>
  <si>
    <t>ZJEETMAC</t>
  </si>
  <si>
    <t>BLACKBUCK</t>
  </si>
  <si>
    <t>KERNEX</t>
  </si>
  <si>
    <t>SUNPHARMA</t>
  </si>
  <si>
    <t>TORNTPHARM</t>
  </si>
  <si>
    <t>CIPLA</t>
  </si>
  <si>
    <t>DRREDDY</t>
  </si>
  <si>
    <t>LUPIN</t>
  </si>
  <si>
    <t>ZYDUSLIFE</t>
  </si>
  <si>
    <t>MANKIND</t>
  </si>
  <si>
    <t>AUROPHARMA</t>
  </si>
  <si>
    <t>ALKEM</t>
  </si>
  <si>
    <t>BIOCON</t>
  </si>
  <si>
    <t>GLENMARK</t>
  </si>
  <si>
    <t>LAURUSLABS</t>
  </si>
  <si>
    <t>ABBOTINDIA</t>
  </si>
  <si>
    <t>GLAXO</t>
  </si>
  <si>
    <t>IPCALAB</t>
  </si>
  <si>
    <t>AJANTPHARM</t>
  </si>
  <si>
    <t>JBCHEPHARM</t>
  </si>
  <si>
    <t>GLAND</t>
  </si>
  <si>
    <t>EMCURE</t>
  </si>
  <si>
    <t>PFIZER</t>
  </si>
  <si>
    <t>WOCKPHARMA</t>
  </si>
  <si>
    <t>ASTRAZEN</t>
  </si>
  <si>
    <t>SAILIFE</t>
  </si>
  <si>
    <t>PPLPHARMA</t>
  </si>
  <si>
    <t>ERIS</t>
  </si>
  <si>
    <t>ACUTAAS</t>
  </si>
  <si>
    <t>NATCOPHARM</t>
  </si>
  <si>
    <t>NEULANDLAB</t>
  </si>
  <si>
    <t>ONESOURCE</t>
  </si>
  <si>
    <t>GRANULES</t>
  </si>
  <si>
    <t>APLLTD</t>
  </si>
  <si>
    <t>JUBLPHARMA</t>
  </si>
  <si>
    <t>CAPLIPOINT</t>
  </si>
  <si>
    <t>RUBICON</t>
  </si>
  <si>
    <t>CONCORDBIO</t>
  </si>
  <si>
    <t>COHANCE</t>
  </si>
  <si>
    <t>ALIVUS</t>
  </si>
  <si>
    <t>SANOFICONR</t>
  </si>
  <si>
    <t>CORONA</t>
  </si>
  <si>
    <t>VIYASH</t>
  </si>
  <si>
    <t>SANOFI</t>
  </si>
  <si>
    <t>PGHL</t>
  </si>
  <si>
    <t>STAR</t>
  </si>
  <si>
    <t>MARKSANS</t>
  </si>
  <si>
    <t>JSLL</t>
  </si>
  <si>
    <t>AKUMS</t>
  </si>
  <si>
    <t>BLUEJET</t>
  </si>
  <si>
    <t>SHILPAMED</t>
  </si>
  <si>
    <t>AARTIPHARM</t>
  </si>
  <si>
    <t>FDC</t>
  </si>
  <si>
    <t>SUPRIYA</t>
  </si>
  <si>
    <t>SPARC</t>
  </si>
  <si>
    <t>INNOVACAP</t>
  </si>
  <si>
    <t>SMSPHARMA</t>
  </si>
  <si>
    <t>SENORES</t>
  </si>
  <si>
    <t>AARTIDRUGS</t>
  </si>
  <si>
    <t>GUJTHEM</t>
  </si>
  <si>
    <t>ORCHPHARMA</t>
  </si>
  <si>
    <t>RPGLIFE</t>
  </si>
  <si>
    <t>GUFICBIO</t>
  </si>
  <si>
    <t>DCAL</t>
  </si>
  <si>
    <t>UNICHEMLAB</t>
  </si>
  <si>
    <t>HIKAL</t>
  </si>
  <si>
    <t>MOREPENLAB</t>
  </si>
  <si>
    <t>NOVARTIND</t>
  </si>
  <si>
    <t>BLISSGVS</t>
  </si>
  <si>
    <t>IOLCP</t>
  </si>
  <si>
    <t>PANACEABIO</t>
  </si>
  <si>
    <t>SOLARA</t>
  </si>
  <si>
    <t>INDOCO</t>
  </si>
  <si>
    <t>SHUKRAPHAR</t>
  </si>
  <si>
    <t>AMRUTANJAN</t>
  </si>
  <si>
    <t>KPL</t>
  </si>
  <si>
    <t>WINDLAS</t>
  </si>
  <si>
    <t>NGLFINE</t>
  </si>
  <si>
    <t>HESTERBIO</t>
  </si>
  <si>
    <t>INDSWFTLAB</t>
  </si>
  <si>
    <t>LINCOLN</t>
  </si>
  <si>
    <t>SYNCOMF</t>
  </si>
  <si>
    <t>JAGSNPHARM</t>
  </si>
  <si>
    <t>BAJAJHCARE</t>
  </si>
  <si>
    <t>FERMENTA</t>
  </si>
  <si>
    <t>WANBURY</t>
  </si>
  <si>
    <t>VENUSREM</t>
  </si>
  <si>
    <t>FREDUN</t>
  </si>
  <si>
    <t>THEMISMED</t>
  </si>
  <si>
    <t>BPLPHARMA</t>
  </si>
  <si>
    <t>ANUHPHR</t>
  </si>
  <si>
    <t>SIGACHI</t>
  </si>
  <si>
    <t>SGRL</t>
  </si>
  <si>
    <t>KOPRAN</t>
  </si>
  <si>
    <t>AHCL</t>
  </si>
  <si>
    <t>KILITCH</t>
  </si>
  <si>
    <t>JENBURPH</t>
  </si>
  <si>
    <t>ALBERTDAVD</t>
  </si>
  <si>
    <t>MEDICAMEQ</t>
  </si>
  <si>
    <t>AMANTA</t>
  </si>
  <si>
    <t>HALEOSLABS</t>
  </si>
  <si>
    <t>MEDICO</t>
  </si>
  <si>
    <t>EVERESTO</t>
  </si>
  <si>
    <t>ZIMLAB</t>
  </si>
  <si>
    <t>ASTALLTD</t>
  </si>
  <si>
    <t>TLL</t>
  </si>
  <si>
    <t>VALIANTLAB</t>
  </si>
  <si>
    <t>ZENOTECH</t>
  </si>
  <si>
    <t>GENNEX</t>
  </si>
  <si>
    <t>BAFNAPH</t>
  </si>
  <si>
    <t>KERALAYUR</t>
  </si>
  <si>
    <t>BDH</t>
  </si>
  <si>
    <t>NECLIFE</t>
  </si>
  <si>
    <t>SANJIVIN</t>
  </si>
  <si>
    <t>LYKALABS</t>
  </si>
  <si>
    <t>TRANSCHEM</t>
  </si>
  <si>
    <t>AAREYDRUGS</t>
  </si>
  <si>
    <t>SYSCHEM</t>
  </si>
  <si>
    <t>AMBALALSA</t>
  </si>
  <si>
    <t>BROOKS</t>
  </si>
  <si>
    <t>OXYGENTAPH</t>
  </si>
  <si>
    <t>APPL</t>
  </si>
  <si>
    <t>AUROLAB</t>
  </si>
  <si>
    <t>ASTONEALAB</t>
  </si>
  <si>
    <t>KIMIABL</t>
  </si>
  <si>
    <t>CORALAB</t>
  </si>
  <si>
    <t>NATCAPSUQ</t>
  </si>
  <si>
    <t>PARNAXLAB</t>
  </si>
  <si>
    <t>PANCHSHEEL</t>
  </si>
  <si>
    <t>ANL</t>
  </si>
  <si>
    <t>ALPA</t>
  </si>
  <si>
    <t>SMRUTHIORG</t>
  </si>
  <si>
    <t>KREBSBIO</t>
  </si>
  <si>
    <t>ACHYUT</t>
  </si>
  <si>
    <t>BALPHARMA</t>
  </si>
  <si>
    <t>LACTOSE</t>
  </si>
  <si>
    <t>TYCHE</t>
  </si>
  <si>
    <t>PHARMAID</t>
  </si>
  <si>
    <t>DENISCHEM</t>
  </si>
  <si>
    <t>MERCURYLAB</t>
  </si>
  <si>
    <t>GUJINJEC</t>
  </si>
  <si>
    <t>MAKERSL</t>
  </si>
  <si>
    <t>SOURCENTRL</t>
  </si>
  <si>
    <t>BIBCL</t>
  </si>
  <si>
    <t>CONCORD</t>
  </si>
  <si>
    <t>AMWILL</t>
  </si>
  <si>
    <t>APL</t>
  </si>
  <si>
    <t>SUNLOC</t>
  </si>
  <si>
    <t>BACPHAR</t>
  </si>
  <si>
    <t>SAMRATPH</t>
  </si>
  <si>
    <t>VIVIMEDLAB</t>
  </si>
  <si>
    <t>SHELTER</t>
  </si>
  <si>
    <t>PHRMASI</t>
  </si>
  <si>
    <t>VINEETLAB</t>
  </si>
  <si>
    <t>GODAVARI</t>
  </si>
  <si>
    <t>BIOFILCHEM</t>
  </si>
  <si>
    <t>MANGALAM</t>
  </si>
  <si>
    <t>RAJNISH</t>
  </si>
  <si>
    <t>VISTAPH</t>
  </si>
  <si>
    <t>VRL</t>
  </si>
  <si>
    <t>VEERHEALTH</t>
  </si>
  <si>
    <t>LASA</t>
  </si>
  <si>
    <t>WELCURE</t>
  </si>
  <si>
    <t>ROOPAIND</t>
  </si>
  <si>
    <t>CHECKPOINT</t>
  </si>
  <si>
    <t>SANDUPHQ</t>
  </si>
  <si>
    <t>GUJTERC</t>
  </si>
  <si>
    <t>ANG</t>
  </si>
  <si>
    <t>MEDICAPQ</t>
  </si>
  <si>
    <t>CBPL</t>
  </si>
  <si>
    <t>DPL</t>
  </si>
  <si>
    <t>ISHITADR</t>
  </si>
  <si>
    <t>VENMAX</t>
  </si>
  <si>
    <t>ZENITHHE</t>
  </si>
  <si>
    <t>ORTINGLOBE</t>
  </si>
  <si>
    <t>DESHRAK</t>
  </si>
  <si>
    <t>STARSOURCE</t>
  </si>
  <si>
    <t>COLINZ</t>
  </si>
  <si>
    <t>PARMAX</t>
  </si>
  <si>
    <t>BERLDRG</t>
  </si>
  <si>
    <t>UNJHAFOR</t>
  </si>
  <si>
    <t>VIVANZA</t>
  </si>
  <si>
    <t>DECIPHER</t>
  </si>
  <si>
    <t>GANGAPHARM</t>
  </si>
  <si>
    <t>BRAWN</t>
  </si>
  <si>
    <t>SHYAMACOMP</t>
  </si>
  <si>
    <t>FABINO</t>
  </si>
  <si>
    <t>KABRADG</t>
  </si>
  <si>
    <t>TRIPR</t>
  </si>
  <si>
    <t>VINRKLB</t>
  </si>
  <si>
    <t>IDEA</t>
  </si>
  <si>
    <t>BHARTIHEXA</t>
  </si>
  <si>
    <t>TATACOMM</t>
  </si>
  <si>
    <t>TTML</t>
  </si>
  <si>
    <t>MTNL</t>
  </si>
  <si>
    <t>RCOM</t>
  </si>
  <si>
    <t>CITYONLINE</t>
  </si>
  <si>
    <t>DOLPHIN</t>
  </si>
  <si>
    <t>JINDRILL</t>
  </si>
  <si>
    <t>ALPHAGE</t>
  </si>
  <si>
    <t>ABAN</t>
  </si>
  <si>
    <t>AXISGOLD</t>
  </si>
  <si>
    <t>BANKBEES</t>
  </si>
  <si>
    <t>BSLGOLDETF</t>
  </si>
  <si>
    <t>CPSEETF</t>
  </si>
  <si>
    <t>GOLD1</t>
  </si>
  <si>
    <t>GOLDBEES</t>
  </si>
  <si>
    <t>GOLDBETA</t>
  </si>
  <si>
    <t>GOLDIETF</t>
  </si>
  <si>
    <t>HDFCGOLD</t>
  </si>
  <si>
    <t>HNGSNGBEES</t>
  </si>
  <si>
    <t>IVZINGOLD</t>
  </si>
  <si>
    <t>JUNIORBEES</t>
  </si>
  <si>
    <t>LICMFGOLD</t>
  </si>
  <si>
    <t>LIQUIDBEES</t>
  </si>
  <si>
    <t>MOM100</t>
  </si>
  <si>
    <t>MOM50</t>
  </si>
  <si>
    <t>MON100</t>
  </si>
  <si>
    <t>NEXT30ADD</t>
  </si>
  <si>
    <t>NIFTYBEES</t>
  </si>
  <si>
    <t>PSUBANK</t>
  </si>
  <si>
    <t>PSUBNKBEES</t>
  </si>
  <si>
    <t>QGOLDHALF</t>
  </si>
  <si>
    <t>QNIFTY</t>
  </si>
  <si>
    <t>SELECTIPO</t>
  </si>
  <si>
    <t>SENSEX1</t>
  </si>
  <si>
    <t>SENSEXIETF</t>
  </si>
  <si>
    <t>SETFGOLD</t>
  </si>
  <si>
    <t>SHARIABEES</t>
  </si>
  <si>
    <t>SILVERBEES</t>
  </si>
  <si>
    <t>SILVERCASE</t>
  </si>
  <si>
    <t>CREDITACC</t>
  </si>
  <si>
    <t>FUSION</t>
  </si>
  <si>
    <t>MUTHOOTMF</t>
  </si>
  <si>
    <t>SPANDANA</t>
  </si>
  <si>
    <t>SATIN</t>
  </si>
  <si>
    <t>POLYMED</t>
  </si>
  <si>
    <t>FISCHER</t>
  </si>
  <si>
    <t>LAXMIDENTL</t>
  </si>
  <si>
    <t>TARSONS</t>
  </si>
  <si>
    <t>FABTECH</t>
  </si>
  <si>
    <t>PREVEST</t>
  </si>
  <si>
    <t>HSIL</t>
  </si>
  <si>
    <t>NURECA</t>
  </si>
  <si>
    <t>EARKART</t>
  </si>
  <si>
    <t>ROYAL</t>
  </si>
  <si>
    <t>CHOKSI</t>
  </si>
  <si>
    <t>AMKAY</t>
  </si>
  <si>
    <t>SHREEPAC</t>
  </si>
  <si>
    <t>KMSMEDI</t>
  </si>
  <si>
    <t>CSURGSU</t>
  </si>
  <si>
    <t>GKB</t>
  </si>
  <si>
    <t>TRANSPACT</t>
  </si>
  <si>
    <t>PFOCUS</t>
  </si>
  <si>
    <t>TIPSMUSIC</t>
  </si>
  <si>
    <t>SAREGAMA</t>
  </si>
  <si>
    <t>NETWORK18</t>
  </si>
  <si>
    <t>BALAJITELE</t>
  </si>
  <si>
    <t>ENIL</t>
  </si>
  <si>
    <t>RADIOCITY</t>
  </si>
  <si>
    <t>SHEMAROO</t>
  </si>
  <si>
    <t>BLUEGOD</t>
  </si>
  <si>
    <t>CINEVISTA</t>
  </si>
  <si>
    <t>SHALPRO</t>
  </si>
  <si>
    <t>NEXTMEDIA</t>
  </si>
  <si>
    <t>RADAAN</t>
  </si>
  <si>
    <t>CREATIVEYE</t>
  </si>
  <si>
    <t>VENKEYS</t>
  </si>
  <si>
    <t>HMAAGRO</t>
  </si>
  <si>
    <t>SKMEGGPROD</t>
  </si>
  <si>
    <t>ZAPPFRESH</t>
  </si>
  <si>
    <t>OVOBELE</t>
  </si>
  <si>
    <t>SIMRAN</t>
  </si>
  <si>
    <t>CASTROLIND</t>
  </si>
  <si>
    <t>GULFOILLUB</t>
  </si>
  <si>
    <t>SOTL</t>
  </si>
  <si>
    <t>VEEDOL</t>
  </si>
  <si>
    <t>PANAMAPET</t>
  </si>
  <si>
    <t>GANDHAR</t>
  </si>
  <si>
    <t>GULFPETRO</t>
  </si>
  <si>
    <t>GVL</t>
  </si>
  <si>
    <t>ATGL</t>
  </si>
  <si>
    <t>PETRONET</t>
  </si>
  <si>
    <t>GUJGASLTD</t>
  </si>
  <si>
    <t>IGL</t>
  </si>
  <si>
    <t>MGL</t>
  </si>
  <si>
    <t>CONFIPET</t>
  </si>
  <si>
    <t>IRMENERGY</t>
  </si>
  <si>
    <t>CONCOR</t>
  </si>
  <si>
    <t>DELHIVERY</t>
  </si>
  <si>
    <t>BLUEDART</t>
  </si>
  <si>
    <t>TCI</t>
  </si>
  <si>
    <t>SHADOWFAX</t>
  </si>
  <si>
    <t>TVSSCS</t>
  </si>
  <si>
    <t>VRLLOG</t>
  </si>
  <si>
    <t>ISCITRUST</t>
  </si>
  <si>
    <t>MAHLOG</t>
  </si>
  <si>
    <t>SINDHUTRAD</t>
  </si>
  <si>
    <t>GATEWAY</t>
  </si>
  <si>
    <t>AFCOM</t>
  </si>
  <si>
    <t>TCIEXP</t>
  </si>
  <si>
    <t>NAVKARCORP</t>
  </si>
  <si>
    <t>ALLCARGO</t>
  </si>
  <si>
    <t>RIIL</t>
  </si>
  <si>
    <t>WCIL</t>
  </si>
  <si>
    <t>TREL</t>
  </si>
  <si>
    <t>SNOWMAN</t>
  </si>
  <si>
    <t>RITCO</t>
  </si>
  <si>
    <t>SICALLOG</t>
  </si>
  <si>
    <t>DJML</t>
  </si>
  <si>
    <t>TIGERLOGS</t>
  </si>
  <si>
    <t>LANCER</t>
  </si>
  <si>
    <t>PPARIVAH</t>
  </si>
  <si>
    <t>AVG</t>
  </si>
  <si>
    <t>OMFREIGHT</t>
  </si>
  <si>
    <t>AUTOINT</t>
  </si>
  <si>
    <t>GLOBALLOG</t>
  </si>
  <si>
    <t>SANCTRN</t>
  </si>
  <si>
    <t>NECCLTD</t>
  </si>
  <si>
    <t>OBCL</t>
  </si>
  <si>
    <t>CARGOTRANS</t>
  </si>
  <si>
    <t>SUNSKY</t>
  </si>
  <si>
    <t>JETFREIGHT</t>
  </si>
  <si>
    <t>FLOMIC</t>
  </si>
  <si>
    <t>CHLOGIST</t>
  </si>
  <si>
    <t>KTIL</t>
  </si>
  <si>
    <t>NEPLOG</t>
  </si>
  <si>
    <t>PATINTLOG</t>
  </si>
  <si>
    <t>ACCURACY</t>
  </si>
  <si>
    <t>RAPID</t>
  </si>
  <si>
    <t>SHIPWAVES</t>
  </si>
  <si>
    <t>STL</t>
  </si>
  <si>
    <t>ARSHIYA</t>
  </si>
  <si>
    <t>GBLOGISTIC</t>
  </si>
  <si>
    <t>EASTWEST</t>
  </si>
  <si>
    <t>TRANSVOY</t>
  </si>
  <si>
    <t>CARGOSOL</t>
  </si>
  <si>
    <t>PSPL</t>
  </si>
  <si>
    <t>CONTAINER</t>
  </si>
  <si>
    <t>MFLINDIA</t>
  </si>
  <si>
    <t>DHILLON</t>
  </si>
  <si>
    <t>BLT</t>
  </si>
  <si>
    <t>RAJVI</t>
  </si>
  <si>
    <t>SMARITIME</t>
  </si>
  <si>
    <t>GCONNECT</t>
  </si>
  <si>
    <t>GLOTTIS</t>
  </si>
  <si>
    <t>LICI</t>
  </si>
  <si>
    <t>SBILIFE</t>
  </si>
  <si>
    <t>ICICIPRULI</t>
  </si>
  <si>
    <t>MFSL</t>
  </si>
  <si>
    <t>CANHLIFE</t>
  </si>
  <si>
    <t>OKPLA</t>
  </si>
  <si>
    <t>KVTOYS</t>
  </si>
  <si>
    <t>COSCO</t>
  </si>
  <si>
    <t>ARCHIES</t>
  </si>
  <si>
    <t>OLPCL</t>
  </si>
  <si>
    <t>AKI</t>
  </si>
  <si>
    <t>AMINTAN</t>
  </si>
  <si>
    <t>ANKIN</t>
  </si>
  <si>
    <t>ARITAS</t>
  </si>
  <si>
    <t>BIL</t>
  </si>
  <si>
    <t>MAYURUNIQ</t>
  </si>
  <si>
    <t>MIRZAINT</t>
  </si>
  <si>
    <t>NBFOOT</t>
  </si>
  <si>
    <t>SUPERHOUSE</t>
  </si>
  <si>
    <t>SUPTANERY</t>
  </si>
  <si>
    <t>WELTI</t>
  </si>
  <si>
    <t>ZENITHEXPO</t>
  </si>
  <si>
    <t>AICHAMP</t>
  </si>
  <si>
    <t>CHEVIOT</t>
  </si>
  <si>
    <t>GLOSTERLTD</t>
  </si>
  <si>
    <t>GRAMEVA</t>
  </si>
  <si>
    <t>LUDLOWJUT</t>
  </si>
  <si>
    <t>IKS</t>
  </si>
  <si>
    <t>TATATECH</t>
  </si>
  <si>
    <t>SAGILITY</t>
  </si>
  <si>
    <t>CYIENT</t>
  </si>
  <si>
    <t>BBOX</t>
  </si>
  <si>
    <t>AMAGI</t>
  </si>
  <si>
    <t>DATAMATICS</t>
  </si>
  <si>
    <t>EMUDHRA</t>
  </si>
  <si>
    <t>CIGNITITEC</t>
  </si>
  <si>
    <t>RSYSTEMS</t>
  </si>
  <si>
    <t>ZAGGLE</t>
  </si>
  <si>
    <t>NPST</t>
  </si>
  <si>
    <t>PROTEAN</t>
  </si>
  <si>
    <t>AURUM</t>
  </si>
  <si>
    <t>SASKEN</t>
  </si>
  <si>
    <t>BCG</t>
  </si>
  <si>
    <t>BLSE</t>
  </si>
  <si>
    <t>DIGITIDE</t>
  </si>
  <si>
    <t>ORIENTTECH</t>
  </si>
  <si>
    <t>EXPLEOSOL</t>
  </si>
  <si>
    <t>DSSL</t>
  </si>
  <si>
    <t>GENESYS</t>
  </si>
  <si>
    <t>IZMO</t>
  </si>
  <si>
    <t>EXCELSOFT</t>
  </si>
  <si>
    <t>KELLTONTEC</t>
  </si>
  <si>
    <t>UNIFIED</t>
  </si>
  <si>
    <t>VEEFIN</t>
  </si>
  <si>
    <t>VAKRANGEE</t>
  </si>
  <si>
    <t>ADSL</t>
  </si>
  <si>
    <t>ONWARDTEC</t>
  </si>
  <si>
    <t>SATTRIX</t>
  </si>
  <si>
    <t>TERASOFT</t>
  </si>
  <si>
    <t>SIGMA</t>
  </si>
  <si>
    <t>DIGISPICE</t>
  </si>
  <si>
    <t>EXATO</t>
  </si>
  <si>
    <t>INSPIRISYS</t>
  </si>
  <si>
    <t>ASMS</t>
  </si>
  <si>
    <t>FCSSOFT</t>
  </si>
  <si>
    <t>ACSTECH</t>
  </si>
  <si>
    <t>INTENTECH</t>
  </si>
  <si>
    <t>INFINITY</t>
  </si>
  <si>
    <t>AIRAN</t>
  </si>
  <si>
    <t>DEVIT</t>
  </si>
  <si>
    <t>PRODOCS</t>
  </si>
  <si>
    <t>ELNET</t>
  </si>
  <si>
    <t>METAINFO</t>
  </si>
  <si>
    <t>SANCODE</t>
  </si>
  <si>
    <t>DCM</t>
  </si>
  <si>
    <t>VLEGOV</t>
  </si>
  <si>
    <t>JAGSONSER</t>
  </si>
  <si>
    <t>ISTRNETWK</t>
  </si>
  <si>
    <t>SYLPH</t>
  </si>
  <si>
    <t>PRARUH</t>
  </si>
  <si>
    <t>CRSL</t>
  </si>
  <si>
    <t>WEPSOLN</t>
  </si>
  <si>
    <t>ADROITINFO</t>
  </si>
  <si>
    <t>ODIGMA</t>
  </si>
  <si>
    <t>RIDDHICORP</t>
  </si>
  <si>
    <t>HGM</t>
  </si>
  <si>
    <t>SECURKLOUD</t>
  </si>
  <si>
    <t>TITANIN</t>
  </si>
  <si>
    <t>AEONXDIGI</t>
  </si>
  <si>
    <t>ICODEX</t>
  </si>
  <si>
    <t>SGLRES</t>
  </si>
  <si>
    <t>RAMINFO</t>
  </si>
  <si>
    <t>LEENEE</t>
  </si>
  <si>
    <t>VEDAVAAG</t>
  </si>
  <si>
    <t>PCS</t>
  </si>
  <si>
    <t>7TEC</t>
  </si>
  <si>
    <t>TAKYON</t>
  </si>
  <si>
    <t>PALREDTEC</t>
  </si>
  <si>
    <t>INFONATIVE</t>
  </si>
  <si>
    <t>BODHTREE</t>
  </si>
  <si>
    <t>USGTECH</t>
  </si>
  <si>
    <t>GSS</t>
  </si>
  <si>
    <t>GLOBTIER</t>
  </si>
  <si>
    <t>OCTAWARE</t>
  </si>
  <si>
    <t>EKENNIS</t>
  </si>
  <si>
    <t>PANABYTE</t>
  </si>
  <si>
    <t>UNITEDINT</t>
  </si>
  <si>
    <t>BENCHMARK</t>
  </si>
  <si>
    <t>3CIT</t>
  </si>
  <si>
    <t>EUPHORIAIT</t>
  </si>
  <si>
    <t>UPROTECH</t>
  </si>
  <si>
    <t>APLAPOLLO</t>
  </si>
  <si>
    <t>SHYAMMETL</t>
  </si>
  <si>
    <t>WELCORP</t>
  </si>
  <si>
    <t>GPIL</t>
  </si>
  <si>
    <t>RATNAMANI</t>
  </si>
  <si>
    <t>GALLANTT</t>
  </si>
  <si>
    <t>USHAMART</t>
  </si>
  <si>
    <t>JINDALSAW</t>
  </si>
  <si>
    <t>MAHSEAMLES</t>
  </si>
  <si>
    <t>JAYNECOIND</t>
  </si>
  <si>
    <t>TIIL</t>
  </si>
  <si>
    <t>SURYAROSNI</t>
  </si>
  <si>
    <t>SUNFLAG</t>
  </si>
  <si>
    <t>ELECTCAST</t>
  </si>
  <si>
    <t>BANSALWIRE</t>
  </si>
  <si>
    <t>GOODLUCK</t>
  </si>
  <si>
    <t>MANINDS</t>
  </si>
  <si>
    <t>KSL</t>
  </si>
  <si>
    <t>AEROFLEX</t>
  </si>
  <si>
    <t>SAMBHV</t>
  </si>
  <si>
    <t>SBCL</t>
  </si>
  <si>
    <t>JTLIND</t>
  </si>
  <si>
    <t>WELSPLSOL</t>
  </si>
  <si>
    <t>VSSL</t>
  </si>
  <si>
    <t>VENUSPIPES</t>
  </si>
  <si>
    <t>RHETAN</t>
  </si>
  <si>
    <t>MSPL</t>
  </si>
  <si>
    <t>HITECH</t>
  </si>
  <si>
    <t>MANAKCOAT</t>
  </si>
  <si>
    <t>MAHASTEEL</t>
  </si>
  <si>
    <t>BHARATWIRE</t>
  </si>
  <si>
    <t>RAMASTEEL</t>
  </si>
  <si>
    <t>HARIOMPIPE</t>
  </si>
  <si>
    <t>GANDHITUBE</t>
  </si>
  <si>
    <t>STEELXIND</t>
  </si>
  <si>
    <t>RATNAVEER</t>
  </si>
  <si>
    <t>COSMICCRF</t>
  </si>
  <si>
    <t>ELECTHERM</t>
  </si>
  <si>
    <t>AEROENTER</t>
  </si>
  <si>
    <t>SCODATUBES</t>
  </si>
  <si>
    <t>BEEKAY</t>
  </si>
  <si>
    <t>BMW</t>
  </si>
  <si>
    <t>PANCHMAHQ</t>
  </si>
  <si>
    <t>KAMDHENU</t>
  </si>
  <si>
    <t>UNIABEXAL</t>
  </si>
  <si>
    <t>AZADIND</t>
  </si>
  <si>
    <t>BEDMUTHA</t>
  </si>
  <si>
    <t>SHAH</t>
  </si>
  <si>
    <t>SURAJLTD</t>
  </si>
  <si>
    <t>MANAKSIA</t>
  </si>
  <si>
    <t>AERPACE</t>
  </si>
  <si>
    <t>RSTL</t>
  </si>
  <si>
    <t>SUPERSHAKT</t>
  </si>
  <si>
    <t>SURAJ</t>
  </si>
  <si>
    <t>AHMDSTE</t>
  </si>
  <si>
    <t>DPWIRES</t>
  </si>
  <si>
    <t>VMSTMT</t>
  </si>
  <si>
    <t>VSTL</t>
  </si>
  <si>
    <t>RUDRA</t>
  </si>
  <si>
    <t>RATHIST</t>
  </si>
  <si>
    <t>INCREDIBLE</t>
  </si>
  <si>
    <t>REMIEDEL</t>
  </si>
  <si>
    <t>KANSHST</t>
  </si>
  <si>
    <t>BRPL</t>
  </si>
  <si>
    <t>NATFIT</t>
  </si>
  <si>
    <t>SHBAJRG</t>
  </si>
  <si>
    <t>MPKSTEELS</t>
  </si>
  <si>
    <t>SHAHALLOYS</t>
  </si>
  <si>
    <t>MAIDEN</t>
  </si>
  <si>
    <t>SMLT</t>
  </si>
  <si>
    <t>HISARMETAL</t>
  </si>
  <si>
    <t>SHRDAIS</t>
  </si>
  <si>
    <t>GARGFUR</t>
  </si>
  <si>
    <t>PRAKASHSTL</t>
  </si>
  <si>
    <t>ZENITHSTL</t>
  </si>
  <si>
    <t>AIML</t>
  </si>
  <si>
    <t>NOVIS</t>
  </si>
  <si>
    <t>DHATRE</t>
  </si>
  <si>
    <t>ACROW</t>
  </si>
  <si>
    <t>METALCO</t>
  </si>
  <si>
    <t>RATHIBAR</t>
  </si>
  <si>
    <t>STEELCO</t>
  </si>
  <si>
    <t>ARYAVAN</t>
  </si>
  <si>
    <t>MITTALSTL</t>
  </si>
  <si>
    <t>UMIYA</t>
  </si>
  <si>
    <t>UNISON</t>
  </si>
  <si>
    <t>TAPARIA</t>
  </si>
  <si>
    <t>ASHSI</t>
  </si>
  <si>
    <t>MUKATPIP</t>
  </si>
  <si>
    <t>NATGENI</t>
  </si>
  <si>
    <t>BOMBWIR</t>
  </si>
  <si>
    <t>CRIMSON</t>
  </si>
  <si>
    <t>BLOIN</t>
  </si>
  <si>
    <t>EARTH</t>
  </si>
  <si>
    <t>SHREE</t>
  </si>
  <si>
    <t>PRADHIN</t>
  </si>
  <si>
    <t>INDCTST</t>
  </si>
  <si>
    <t>RISHDIGA</t>
  </si>
  <si>
    <t>ADISHAKTI</t>
  </si>
  <si>
    <t>MDRNSTL</t>
  </si>
  <si>
    <t>TRANSFRE</t>
  </si>
  <si>
    <t>TNSTLTU</t>
  </si>
  <si>
    <t>ECSTSTL</t>
  </si>
  <si>
    <t>MFSINTRCRP</t>
  </si>
  <si>
    <t>SSWRL</t>
  </si>
  <si>
    <t>VALLABHSQ</t>
  </si>
  <si>
    <t>ADITYA</t>
  </si>
  <si>
    <t>GOPAIST</t>
  </si>
  <si>
    <t>SPSL</t>
  </si>
  <si>
    <t>AANCHALISP</t>
  </si>
  <si>
    <t>MAHALXSE</t>
  </si>
  <si>
    <t>HEERAISP</t>
  </si>
  <si>
    <t>ELANGO</t>
  </si>
  <si>
    <t>WMINIMT</t>
  </si>
  <si>
    <t>BENGALS</t>
  </si>
  <si>
    <t>HVL</t>
  </si>
  <si>
    <t>KASTURI</t>
  </si>
  <si>
    <t>MEENST</t>
  </si>
  <si>
    <t>MODMA</t>
  </si>
  <si>
    <t>TULSYAN</t>
  </si>
  <si>
    <t>ZPRBHSTE</t>
  </si>
  <si>
    <t>JSWSTEEL</t>
  </si>
  <si>
    <t>TATASTEEL</t>
  </si>
  <si>
    <t>JINDALSTEL</t>
  </si>
  <si>
    <t>SAIL</t>
  </si>
  <si>
    <t>JSL</t>
  </si>
  <si>
    <t>SARDAEN</t>
  </si>
  <si>
    <t>NSLNISP</t>
  </si>
  <si>
    <t>JAIBALAJI</t>
  </si>
  <si>
    <t>PRAKASH</t>
  </si>
  <si>
    <t>MUKANDLTD</t>
  </si>
  <si>
    <t>MANAKSTEEL</t>
  </si>
  <si>
    <t>SCANSTL</t>
  </si>
  <si>
    <t>KAJARIR</t>
  </si>
  <si>
    <t>ANKITMETAL</t>
  </si>
  <si>
    <t>JIOFIN</t>
  </si>
  <si>
    <t>ABCAPITAL</t>
  </si>
  <si>
    <t>TVSHLTD</t>
  </si>
  <si>
    <t>CHOLAHLDNG</t>
  </si>
  <si>
    <t>JSWHL</t>
  </si>
  <si>
    <t>MAHSCOOTER</t>
  </si>
  <si>
    <t>RELIGARE</t>
  </si>
  <si>
    <t>TATAINVEST</t>
  </si>
  <si>
    <t>NSIL</t>
  </si>
  <si>
    <t>ELCIDIN</t>
  </si>
  <si>
    <t>SCILAL</t>
  </si>
  <si>
    <t>KICL</t>
  </si>
  <si>
    <t>SUMMITSEC</t>
  </si>
  <si>
    <t>PNBGILTS</t>
  </si>
  <si>
    <t>JINDALPHOT</t>
  </si>
  <si>
    <t>JPOLYINVST</t>
  </si>
  <si>
    <t>VHL</t>
  </si>
  <si>
    <t>STEL</t>
  </si>
  <si>
    <t>HEXATRADEX</t>
  </si>
  <si>
    <t>INDPRUD</t>
  </si>
  <si>
    <t>VLSFINANCE</t>
  </si>
  <si>
    <t>BLAL</t>
  </si>
  <si>
    <t>OSWALGREEN</t>
  </si>
  <si>
    <t>ARYACAPM</t>
  </si>
  <si>
    <t>INOVSYNTH</t>
  </si>
  <si>
    <t>SILINV</t>
  </si>
  <si>
    <t>WELINV</t>
  </si>
  <si>
    <t>NAHARCAP</t>
  </si>
  <si>
    <t>MKVENTURES</t>
  </si>
  <si>
    <t>NAPEROL</t>
  </si>
  <si>
    <t>IITL</t>
  </si>
  <si>
    <t>PHCAP</t>
  </si>
  <si>
    <t>FUNDVISER</t>
  </si>
  <si>
    <t>WORTH</t>
  </si>
  <si>
    <t>GARNETINT</t>
  </si>
  <si>
    <t>TILAK</t>
  </si>
  <si>
    <t>TRUSTEDGE</t>
  </si>
  <si>
    <t>INDINFO</t>
  </si>
  <si>
    <t>HARYNACAP</t>
  </si>
  <si>
    <t>PARASPETRO</t>
  </si>
  <si>
    <t>BLBLIMITED</t>
  </si>
  <si>
    <t>BANASFN</t>
  </si>
  <si>
    <t>3PLAND</t>
  </si>
  <si>
    <t>HILIKS</t>
  </si>
  <si>
    <t>ARMAN</t>
  </si>
  <si>
    <t>SRESTHA</t>
  </si>
  <si>
    <t>PANINDIAC</t>
  </si>
  <si>
    <t>BSELALGO</t>
  </si>
  <si>
    <t>YAMNINV</t>
  </si>
  <si>
    <t>NAGREEKCAP</t>
  </si>
  <si>
    <t>WILLAMAGOR</t>
  </si>
  <si>
    <t>STANROS</t>
  </si>
  <si>
    <t>EASYFIN</t>
  </si>
  <si>
    <t>JOLYPLS</t>
  </si>
  <si>
    <t>CCDL</t>
  </si>
  <si>
    <t>JACKSON</t>
  </si>
  <si>
    <t>BLUECHIP</t>
  </si>
  <si>
    <t>JLL</t>
  </si>
  <si>
    <t>DSINVEST</t>
  </si>
  <si>
    <t>DCMFINSERV</t>
  </si>
  <si>
    <t>VBIND</t>
  </si>
  <si>
    <t>AMRAFIN</t>
  </si>
  <si>
    <t>HEALINV</t>
  </si>
  <si>
    <t>SAKTHIFIN</t>
  </si>
  <si>
    <t>TFLL</t>
  </si>
  <si>
    <t>UNIJOLL</t>
  </si>
  <si>
    <t>VALLEY</t>
  </si>
  <si>
    <t>INDIAMART</t>
  </si>
  <si>
    <t>JUSTDIAL</t>
  </si>
  <si>
    <t>CRIZAC</t>
  </si>
  <si>
    <t>MATRIMONY</t>
  </si>
  <si>
    <t>JUPITERIN</t>
  </si>
  <si>
    <t>OLYMPTX</t>
  </si>
  <si>
    <t>JSHL</t>
  </si>
  <si>
    <t>TORNTPOWER</t>
  </si>
  <si>
    <t>ADANIPOWER</t>
  </si>
  <si>
    <t>CESC</t>
  </si>
  <si>
    <t>RELINFRA</t>
  </si>
  <si>
    <t>HONAUT</t>
  </si>
  <si>
    <t>CPPLUS</t>
  </si>
  <si>
    <t>JYOTICNC</t>
  </si>
  <si>
    <t>SYRMA</t>
  </si>
  <si>
    <t>LMW</t>
  </si>
  <si>
    <t>TEGA</t>
  </si>
  <si>
    <t>HMT</t>
  </si>
  <si>
    <t>DYNAMATECH</t>
  </si>
  <si>
    <t>PRAJIND</t>
  </si>
  <si>
    <t>LLOYDSENGG</t>
  </si>
  <si>
    <t>KENNAMET</t>
  </si>
  <si>
    <t>CENTUM</t>
  </si>
  <si>
    <t>GMMPFAUDLR</t>
  </si>
  <si>
    <t>WPIL</t>
  </si>
  <si>
    <t>TEXRAIL</t>
  </si>
  <si>
    <t>SHANTIGEAR</t>
  </si>
  <si>
    <t>ANUP</t>
  </si>
  <si>
    <t>PITTIENG</t>
  </si>
  <si>
    <t>KLBRENG-B</t>
  </si>
  <si>
    <t>HIRECT</t>
  </si>
  <si>
    <t>SPECTRUM</t>
  </si>
  <si>
    <t>SETL</t>
  </si>
  <si>
    <t>JASH</t>
  </si>
  <si>
    <t>CYIENTDLM</t>
  </si>
  <si>
    <t>CNCRD</t>
  </si>
  <si>
    <t>COCKERILL</t>
  </si>
  <si>
    <t>DEEDEV</t>
  </si>
  <si>
    <t>HONDAPOWER</t>
  </si>
  <si>
    <t>WINDMACHIN</t>
  </si>
  <si>
    <t>PENIND</t>
  </si>
  <si>
    <t>HLEGLAS</t>
  </si>
  <si>
    <t>HPL</t>
  </si>
  <si>
    <t>INDIANHUME</t>
  </si>
  <si>
    <t>DISAQ</t>
  </si>
  <si>
    <t>EPACKPEB</t>
  </si>
  <si>
    <t>JNKINDIA</t>
  </si>
  <si>
    <t>EKC</t>
  </si>
  <si>
    <t>SALASAR</t>
  </si>
  <si>
    <t>AXISOL</t>
  </si>
  <si>
    <t>WALCHANNAG</t>
  </si>
  <si>
    <t>RAJOOENG</t>
  </si>
  <si>
    <t>GALAPREC</t>
  </si>
  <si>
    <t>EIMCOELECO</t>
  </si>
  <si>
    <t>MAMATA</t>
  </si>
  <si>
    <t>BAJAJINDEF</t>
  </si>
  <si>
    <t>BAJAJST</t>
  </si>
  <si>
    <t>KABRAEXTRU</t>
  </si>
  <si>
    <t>AIRFLOA</t>
  </si>
  <si>
    <t>SHREEREF</t>
  </si>
  <si>
    <t>AXTEL</t>
  </si>
  <si>
    <t>SUNITATOOL</t>
  </si>
  <si>
    <t>TOTEM</t>
  </si>
  <si>
    <t>ARTSON</t>
  </si>
  <si>
    <t>GUJAPOLLO</t>
  </si>
  <si>
    <t>HRS</t>
  </si>
  <si>
    <t>INTEGRAEN</t>
  </si>
  <si>
    <t>LOKESHMACH</t>
  </si>
  <si>
    <t>INTLCONV</t>
  </si>
  <si>
    <t>CTCL</t>
  </si>
  <si>
    <t>KALYANI</t>
  </si>
  <si>
    <t>MAZDA</t>
  </si>
  <si>
    <t>TRUECOLORS</t>
  </si>
  <si>
    <t>BATLIBOI</t>
  </si>
  <si>
    <t>UNIDT</t>
  </si>
  <si>
    <t>STOVACQ</t>
  </si>
  <si>
    <t>HERCULES</t>
  </si>
  <si>
    <t>FLUIDOM</t>
  </si>
  <si>
    <t>LTELEVATOR</t>
  </si>
  <si>
    <t>BEMHY</t>
  </si>
  <si>
    <t>FABCLEAN</t>
  </si>
  <si>
    <t>DHINDIA</t>
  </si>
  <si>
    <t>MAHEPC</t>
  </si>
  <si>
    <t>GTV</t>
  </si>
  <si>
    <t>KANORICHEM</t>
  </si>
  <si>
    <t>DANLAW</t>
  </si>
  <si>
    <t>TRF</t>
  </si>
  <si>
    <t>JOSTS</t>
  </si>
  <si>
    <t>CRYOGENIC</t>
  </si>
  <si>
    <t>JGTL</t>
  </si>
  <si>
    <t>INNOVATORS</t>
  </si>
  <si>
    <t>BIRLAPREC</t>
  </si>
  <si>
    <t>LOYAL</t>
  </si>
  <si>
    <t>TULIVE</t>
  </si>
  <si>
    <t>RVTH</t>
  </si>
  <si>
    <t>COSPOWER</t>
  </si>
  <si>
    <t>PRECISIO</t>
  </si>
  <si>
    <t>ATVPR</t>
  </si>
  <si>
    <t>AFFORDABLE</t>
  </si>
  <si>
    <t>LAKSHMIEW</t>
  </si>
  <si>
    <t>KPT</t>
  </si>
  <si>
    <t>COSMOFE</t>
  </si>
  <si>
    <t>ADMACH</t>
  </si>
  <si>
    <t>CHEMTECH</t>
  </si>
  <si>
    <t>ATIL</t>
  </si>
  <si>
    <t>TRL</t>
  </si>
  <si>
    <t>SOMICONVEY</t>
  </si>
  <si>
    <t>PATELSAI</t>
  </si>
  <si>
    <t>RISHILASE</t>
  </si>
  <si>
    <t>PURPLEWAVE</t>
  </si>
  <si>
    <t>INTLCOMBQ</t>
  </si>
  <si>
    <t>MEERA</t>
  </si>
  <si>
    <t>DUCON</t>
  </si>
  <si>
    <t>GTIL</t>
  </si>
  <si>
    <t>ITL</t>
  </si>
  <si>
    <t>TIGLOB</t>
  </si>
  <si>
    <t>RAPICUT</t>
  </si>
  <si>
    <t>GALAGEX</t>
  </si>
  <si>
    <t>CENLUB</t>
  </si>
  <si>
    <t>METSL</t>
  </si>
  <si>
    <t>REXNORD</t>
  </si>
  <si>
    <t>ADTECH</t>
  </si>
  <si>
    <t>ATAM</t>
  </si>
  <si>
    <t>MISQUITA</t>
  </si>
  <si>
    <t>SBVCL</t>
  </si>
  <si>
    <t>VRUDDHI</t>
  </si>
  <si>
    <t>CRANEX</t>
  </si>
  <si>
    <t>SHANTAI</t>
  </si>
  <si>
    <t>SRIGEE</t>
  </si>
  <si>
    <t>IYKOTHITE</t>
  </si>
  <si>
    <t>AUSTENG</t>
  </si>
  <si>
    <t>ARIGATO</t>
  </si>
  <si>
    <t>SOLIMAC</t>
  </si>
  <si>
    <t>HARSHILAGR</t>
  </si>
  <si>
    <t>RASIELEC</t>
  </si>
  <si>
    <t>FAALCON</t>
  </si>
  <si>
    <t>MANUGRAPH</t>
  </si>
  <si>
    <t>POLYCHMP</t>
  </si>
  <si>
    <t>HAWAENG</t>
  </si>
  <si>
    <t>TIHIL</t>
  </si>
  <si>
    <t>SMAUTO</t>
  </si>
  <si>
    <t>LIPPISYS</t>
  </si>
  <si>
    <t>HARISH</t>
  </si>
  <si>
    <t>GGDPROP</t>
  </si>
  <si>
    <t>SHTL</t>
  </si>
  <si>
    <t>ENVAIREL</t>
  </si>
  <si>
    <t>THAKRAL</t>
  </si>
  <si>
    <t>MIVENMACH</t>
  </si>
  <si>
    <t>PANELEC</t>
  </si>
  <si>
    <t>VJLAXMIE</t>
  </si>
  <si>
    <t>BENARA</t>
  </si>
  <si>
    <t>ARROWHEAD</t>
  </si>
  <si>
    <t>QRIL</t>
  </si>
  <si>
    <t>STERPOW</t>
  </si>
  <si>
    <t>SHIVAGR</t>
  </si>
  <si>
    <t>RCCL</t>
  </si>
  <si>
    <t>PREMIER</t>
  </si>
  <si>
    <t>CONTAINE</t>
  </si>
  <si>
    <t>HITTCO</t>
  </si>
  <si>
    <t>LEXORAA</t>
  </si>
  <si>
    <t>INCON</t>
  </si>
  <si>
    <t>IKOMA</t>
  </si>
  <si>
    <t>ZHINUDYP</t>
  </si>
  <si>
    <t>LLOYDSME</t>
  </si>
  <si>
    <t>NMDC</t>
  </si>
  <si>
    <t>GMDCLTD</t>
  </si>
  <si>
    <t>GRAVITA</t>
  </si>
  <si>
    <t>MOIL</t>
  </si>
  <si>
    <t>ASHAPURMIN</t>
  </si>
  <si>
    <t>ORISSAMINE</t>
  </si>
  <si>
    <t>20MICRONS</t>
  </si>
  <si>
    <t>NILE</t>
  </si>
  <si>
    <t>GOACARBON</t>
  </si>
  <si>
    <t>ASIIL</t>
  </si>
  <si>
    <t>SOUTHMG</t>
  </si>
  <si>
    <t>RAWEDGE</t>
  </si>
  <si>
    <t>KACHCHH</t>
  </si>
  <si>
    <t>LINDEINDIA</t>
  </si>
  <si>
    <t>ELLEN</t>
  </si>
  <si>
    <t>REFEX</t>
  </si>
  <si>
    <t>STALLION</t>
  </si>
  <si>
    <t>HILLTONE</t>
  </si>
  <si>
    <t>NOL</t>
  </si>
  <si>
    <t>GAGAN</t>
  </si>
  <si>
    <t>LICHSGFIN</t>
  </si>
  <si>
    <t>PNBHOUSING</t>
  </si>
  <si>
    <t>AADHARHFC</t>
  </si>
  <si>
    <t>APTUS</t>
  </si>
  <si>
    <t>CANFINHOME</t>
  </si>
  <si>
    <t>HOMEFIRST</t>
  </si>
  <si>
    <t>SAMMAANCAP</t>
  </si>
  <si>
    <t>AAVAS</t>
  </si>
  <si>
    <t>INDIASHLTR</t>
  </si>
  <si>
    <t>REPCOHOME</t>
  </si>
  <si>
    <t>GICHSGFIN</t>
  </si>
  <si>
    <t>INDIAHOME</t>
  </si>
  <si>
    <t>SRGHFL</t>
  </si>
  <si>
    <t>RHFL</t>
  </si>
  <si>
    <t>STARHFL</t>
  </si>
  <si>
    <t>INDBNK</t>
  </si>
  <si>
    <t>SAHARAHOUS</t>
  </si>
  <si>
    <t>MANRAJH</t>
  </si>
  <si>
    <t>ZHINDHSG</t>
  </si>
  <si>
    <t>CELLO</t>
  </si>
  <si>
    <t>HAWKINCOOK</t>
  </si>
  <si>
    <t>BOROLTD</t>
  </si>
  <si>
    <t>ALLTIME</t>
  </si>
  <si>
    <t>SPITZE</t>
  </si>
  <si>
    <t>INFLAME</t>
  </si>
  <si>
    <t>GOTHIPL</t>
  </si>
  <si>
    <t>RDEL</t>
  </si>
  <si>
    <t>GORANIN</t>
  </si>
  <si>
    <t>JYOTHYLAB</t>
  </si>
  <si>
    <t>EVEREADY</t>
  </si>
  <si>
    <t>HIGHENE</t>
  </si>
  <si>
    <t>NIPPOBATRY</t>
  </si>
  <si>
    <t>PANAENERG</t>
  </si>
  <si>
    <t>PCCOSMA</t>
  </si>
  <si>
    <t>YUVRAAJHPL</t>
  </si>
  <si>
    <t>AMBICAAGAR</t>
  </si>
  <si>
    <t>HIPOLIN</t>
  </si>
  <si>
    <t>PHOTOQUP</t>
  </si>
  <si>
    <t>INDHOTEL</t>
  </si>
  <si>
    <t>EIHOTEL</t>
  </si>
  <si>
    <t>CHALET</t>
  </si>
  <si>
    <t>THELEELA</t>
  </si>
  <si>
    <t>VENTIVE</t>
  </si>
  <si>
    <t>LEMONTREE</t>
  </si>
  <si>
    <t>DBREALTY</t>
  </si>
  <si>
    <t>MHRIL</t>
  </si>
  <si>
    <t>JUNIPER</t>
  </si>
  <si>
    <t>ITDC</t>
  </si>
  <si>
    <t>SAMHI</t>
  </si>
  <si>
    <t>BRIGHOTEL</t>
  </si>
  <si>
    <t>PARKHOTELS</t>
  </si>
  <si>
    <t>TAJGVK</t>
  </si>
  <si>
    <t>EIHAHOTELS</t>
  </si>
  <si>
    <t>ORIENTHOT</t>
  </si>
  <si>
    <t>ASIANHOTNR</t>
  </si>
  <si>
    <t>BENARAS</t>
  </si>
  <si>
    <t>VHLTD</t>
  </si>
  <si>
    <t>ROHLTD</t>
  </si>
  <si>
    <t>UPHOT</t>
  </si>
  <si>
    <t>MCCHRLS-B</t>
  </si>
  <si>
    <t>ADVENTHTL</t>
  </si>
  <si>
    <t>PRAVEG</t>
  </si>
  <si>
    <t>SAYAJIHOTL</t>
  </si>
  <si>
    <t>KAMATHOTEL</t>
  </si>
  <si>
    <t>EBIX</t>
  </si>
  <si>
    <t>ADVANIHOTR</t>
  </si>
  <si>
    <t>HLVLTD</t>
  </si>
  <si>
    <t>ESPIRE</t>
  </si>
  <si>
    <t>SINCLAIR</t>
  </si>
  <si>
    <t>RHL</t>
  </si>
  <si>
    <t>EMERALL</t>
  </si>
  <si>
    <t>AHLEAST</t>
  </si>
  <si>
    <t>SHILINDORE</t>
  </si>
  <si>
    <t>SHPLPUNE</t>
  </si>
  <si>
    <t>SAVERA</t>
  </si>
  <si>
    <t>GRAVISSHO</t>
  </si>
  <si>
    <t>CCHHL</t>
  </si>
  <si>
    <t>PHOENIXTN</t>
  </si>
  <si>
    <t>CHLLTD</t>
  </si>
  <si>
    <t>BYKE</t>
  </si>
  <si>
    <t>GUJHOTE</t>
  </si>
  <si>
    <t>JUNGLECAMP</t>
  </si>
  <si>
    <t>ECOHOTELS</t>
  </si>
  <si>
    <t>ROOPSHRI</t>
  </si>
  <si>
    <t>MACH</t>
  </si>
  <si>
    <t>RAYALEMA</t>
  </si>
  <si>
    <t>JINDHOT</t>
  </si>
  <si>
    <t>BLUECOAST</t>
  </si>
  <si>
    <t>KAUSHALYA</t>
  </si>
  <si>
    <t>ARUNAHTEL</t>
  </si>
  <si>
    <t>TGBHOTELS</t>
  </si>
  <si>
    <t>RELIABVEN</t>
  </si>
  <si>
    <t>HOWARHO</t>
  </si>
  <si>
    <t>HAVISHA</t>
  </si>
  <si>
    <t>BESTEAST</t>
  </si>
  <si>
    <t>GOEL</t>
  </si>
  <si>
    <t>CINDHO</t>
  </si>
  <si>
    <t>VELHO</t>
  </si>
  <si>
    <t>RASRESOR</t>
  </si>
  <si>
    <t>VALINDIA</t>
  </si>
  <si>
    <t>HOTLSILV</t>
  </si>
  <si>
    <t>LORDSHOTL</t>
  </si>
  <si>
    <t>SBRANDS</t>
  </si>
  <si>
    <t>STRGRENWO</t>
  </si>
  <si>
    <t>SILVERPRL</t>
  </si>
  <si>
    <t>KHYATI</t>
  </si>
  <si>
    <t>MAXHEALTH</t>
  </si>
  <si>
    <t>FORTIS</t>
  </si>
  <si>
    <t>ASTERDM</t>
  </si>
  <si>
    <t>NH</t>
  </si>
  <si>
    <t>MEDANTA</t>
  </si>
  <si>
    <t>KIMS</t>
  </si>
  <si>
    <t>AGARWALEYE</t>
  </si>
  <si>
    <t>RAINBOW</t>
  </si>
  <si>
    <t>PARKHOSPS</t>
  </si>
  <si>
    <t>JLHL</t>
  </si>
  <si>
    <t>HCG</t>
  </si>
  <si>
    <t>YATHARTH</t>
  </si>
  <si>
    <t>KOVAI</t>
  </si>
  <si>
    <t>INDRAMEDCO</t>
  </si>
  <si>
    <t>ARTEMISMED</t>
  </si>
  <si>
    <t>DRAGARWQ</t>
  </si>
  <si>
    <t>SHALBY</t>
  </si>
  <si>
    <t>KMCSHIL</t>
  </si>
  <si>
    <t>GPTHEALTH</t>
  </si>
  <si>
    <t>GKSL</t>
  </si>
  <si>
    <t>ASARFI</t>
  </si>
  <si>
    <t>LOTUSEYE</t>
  </si>
  <si>
    <t>ABATEAS</t>
  </si>
  <si>
    <t>AASHKA</t>
  </si>
  <si>
    <t>FORTISMLR</t>
  </si>
  <si>
    <t>SHANMUGA</t>
  </si>
  <si>
    <t>SML</t>
  </si>
  <si>
    <t>KKSHL</t>
  </si>
  <si>
    <t>GLHRL</t>
  </si>
  <si>
    <t>BROACH</t>
  </si>
  <si>
    <t>HANNAH</t>
  </si>
  <si>
    <t>BAJAJFINSV</t>
  </si>
  <si>
    <t>BAJAJHLDNG</t>
  </si>
  <si>
    <t>CHOICEIN</t>
  </si>
  <si>
    <t>JMFINANCIL</t>
  </si>
  <si>
    <t>EDELWEISS</t>
  </si>
  <si>
    <t>KAMAHOLD</t>
  </si>
  <si>
    <t>PILANIINVS</t>
  </si>
  <si>
    <t>RANEHOLDIN</t>
  </si>
  <si>
    <t>BFINVEST</t>
  </si>
  <si>
    <t>AFSL</t>
  </si>
  <si>
    <t>IIL</t>
  </si>
  <si>
    <t>MAXIND</t>
  </si>
  <si>
    <t>NISUS</t>
  </si>
  <si>
    <t>GFLLIMITED</t>
  </si>
  <si>
    <t>TAMBOLIIN</t>
  </si>
  <si>
    <t>BILVYAPAR</t>
  </si>
  <si>
    <t>BLUESTARCO</t>
  </si>
  <si>
    <t>AMBER</t>
  </si>
  <si>
    <t>CROMPTON</t>
  </si>
  <si>
    <t>VGUARD</t>
  </si>
  <si>
    <t>WHIRLPOOL</t>
  </si>
  <si>
    <t>EUREKAFORB</t>
  </si>
  <si>
    <t>TTKPRESTIG</t>
  </si>
  <si>
    <t>SYMPHONY</t>
  </si>
  <si>
    <t>BAJAJELEC</t>
  </si>
  <si>
    <t>IFBIND</t>
  </si>
  <si>
    <t>ORIENTELEC</t>
  </si>
  <si>
    <t>BOSCH-HCIL</t>
  </si>
  <si>
    <t>CARYSIL</t>
  </si>
  <si>
    <t>EPACK</t>
  </si>
  <si>
    <t>WEL</t>
  </si>
  <si>
    <t>STOVEKRAFT</t>
  </si>
  <si>
    <t>BUTTERFLY</t>
  </si>
  <si>
    <t>ELIN</t>
  </si>
  <si>
    <t>FORBESCO</t>
  </si>
  <si>
    <t>SINGER</t>
  </si>
  <si>
    <t>DKUAL</t>
  </si>
  <si>
    <t>JAIPAN</t>
  </si>
  <si>
    <t>POWERINDIA</t>
  </si>
  <si>
    <t>CGPOWER</t>
  </si>
  <si>
    <t>GVTD</t>
  </si>
  <si>
    <t>BHEL</t>
  </si>
  <si>
    <t>SUZLON</t>
  </si>
  <si>
    <t>THERMAX</t>
  </si>
  <si>
    <t>SCHNEIDER</t>
  </si>
  <si>
    <t>TRITURBINE</t>
  </si>
  <si>
    <t>TDPOWERSYS</t>
  </si>
  <si>
    <t>INOXWIND</t>
  </si>
  <si>
    <t>AZAD</t>
  </si>
  <si>
    <t>ELECON</t>
  </si>
  <si>
    <t>VOLTAMP</t>
  </si>
  <si>
    <t>TRANSRAILL</t>
  </si>
  <si>
    <t>QPOWER</t>
  </si>
  <si>
    <t>ATLANTAELE</t>
  </si>
  <si>
    <t>TARIL</t>
  </si>
  <si>
    <t>SHILCTECH</t>
  </si>
  <si>
    <t>SKIPPER</t>
  </si>
  <si>
    <t>GVPIL</t>
  </si>
  <si>
    <t>BAJEL</t>
  </si>
  <si>
    <t>KPGEL</t>
  </si>
  <si>
    <t>INDOTECH</t>
  </si>
  <si>
    <t>WAAREEINDO</t>
  </si>
  <si>
    <t>JYOTISTRUC</t>
  </si>
  <si>
    <t>EXICOM</t>
  </si>
  <si>
    <t>SWELECTES</t>
  </si>
  <si>
    <t>UVDRHOR</t>
  </si>
  <si>
    <t>STARDELTA</t>
  </si>
  <si>
    <t>JYOTI</t>
  </si>
  <si>
    <t>AARTECH</t>
  </si>
  <si>
    <t>SURANASOL</t>
  </si>
  <si>
    <t>GGENG</t>
  </si>
  <si>
    <t>TARAPUR</t>
  </si>
  <si>
    <t>VIJAYA</t>
  </si>
  <si>
    <t>METROPOLIS</t>
  </si>
  <si>
    <t>THYROCARE</t>
  </si>
  <si>
    <t>NEPHROPLUS</t>
  </si>
  <si>
    <t>KRSNAA</t>
  </si>
  <si>
    <t>SURAKSHA</t>
  </si>
  <si>
    <t>3BBLACKBIO</t>
  </si>
  <si>
    <t>ONEGLOBAL</t>
  </si>
  <si>
    <t>SASTASUNDR</t>
  </si>
  <si>
    <t>STARIMAGIN</t>
  </si>
  <si>
    <t>MDRC</t>
  </si>
  <si>
    <t>CHOKSILA</t>
  </si>
  <si>
    <t>ASPIRA</t>
  </si>
  <si>
    <t>NGIND</t>
  </si>
  <si>
    <t>BANDARAM</t>
  </si>
  <si>
    <t>SAMSRITA</t>
  </si>
  <si>
    <t>SHARMEH</t>
  </si>
  <si>
    <t>TEJNAKSH</t>
  </si>
  <si>
    <t>CMMHOSP</t>
  </si>
  <si>
    <t>TRABI</t>
  </si>
  <si>
    <t>FAMILYCARE</t>
  </si>
  <si>
    <t>DLCL</t>
  </si>
  <si>
    <t>ZDHJERK</t>
  </si>
  <si>
    <t>CTLLAB</t>
  </si>
  <si>
    <t>LOOKS</t>
  </si>
  <si>
    <t>GIANLIFE</t>
  </si>
  <si>
    <t>ASHRAM</t>
  </si>
  <si>
    <t>DECCAN</t>
  </si>
  <si>
    <t>ADSDIAG</t>
  </si>
  <si>
    <t>BOSTONBIO</t>
  </si>
  <si>
    <t>SYNGENE</t>
  </si>
  <si>
    <t>INDGN</t>
  </si>
  <si>
    <t>SUVEN</t>
  </si>
  <si>
    <t>VIMTALABS</t>
  </si>
  <si>
    <t>TAKE</t>
  </si>
  <si>
    <t>BI</t>
  </si>
  <si>
    <t>NOVELIX</t>
  </si>
  <si>
    <t>JSTL</t>
  </si>
  <si>
    <t>GSTL</t>
  </si>
  <si>
    <t>ADESHWAR</t>
  </si>
  <si>
    <t>VANTABIO</t>
  </si>
  <si>
    <t>MIDWESTLTD</t>
  </si>
  <si>
    <t>POKARNA</t>
  </si>
  <si>
    <t>GSLSU</t>
  </si>
  <si>
    <t>PACIFICI</t>
  </si>
  <si>
    <t>ROYALCU</t>
  </si>
  <si>
    <t>ELEMARB</t>
  </si>
  <si>
    <t>ORIENTALTL</t>
  </si>
  <si>
    <t>AROGRANITE</t>
  </si>
  <si>
    <t>MADHAV</t>
  </si>
  <si>
    <t>BORORENEW</t>
  </si>
  <si>
    <t>BOROSCI</t>
  </si>
  <si>
    <t>SEJALLTD</t>
  </si>
  <si>
    <t>AGARWAL</t>
  </si>
  <si>
    <t>GICRE</t>
  </si>
  <si>
    <t>GODIGIT</t>
  </si>
  <si>
    <t>STARHEALTH</t>
  </si>
  <si>
    <t>NIACL</t>
  </si>
  <si>
    <t>NIVABUPA</t>
  </si>
  <si>
    <t>KALYANKJIL</t>
  </si>
  <si>
    <t>THANGAMAYL</t>
  </si>
  <si>
    <t>PNGJL</t>
  </si>
  <si>
    <t>BLUESTONE</t>
  </si>
  <si>
    <t>PCJEWELLER</t>
  </si>
  <si>
    <t>ETHOSLTD</t>
  </si>
  <si>
    <t>SKYGOLD</t>
  </si>
  <si>
    <t>SENCO</t>
  </si>
  <si>
    <t>GOLDIAM</t>
  </si>
  <si>
    <t>VAIBHAVGBL</t>
  </si>
  <si>
    <t>KDDL</t>
  </si>
  <si>
    <t>TIMEX</t>
  </si>
  <si>
    <t>RAJESHEXPO</t>
  </si>
  <si>
    <t>DPABHUSHAN</t>
  </si>
  <si>
    <t>SHRINGARMS</t>
  </si>
  <si>
    <t>KHAZANCHI</t>
  </si>
  <si>
    <t>SHANTIGOLD</t>
  </si>
  <si>
    <t>MOTISONS</t>
  </si>
  <si>
    <t>RGL</t>
  </si>
  <si>
    <t>ASTAR</t>
  </si>
  <si>
    <t>GARGI</t>
  </si>
  <si>
    <t>TBZ</t>
  </si>
  <si>
    <t>MVGJL</t>
  </si>
  <si>
    <t>RADHIKAJWE</t>
  </si>
  <si>
    <t>MANBRO</t>
  </si>
  <si>
    <t>RBZJEWEL</t>
  </si>
  <si>
    <t>UDAYJEW</t>
  </si>
  <si>
    <t>GOLKUNDIA</t>
  </si>
  <si>
    <t>MINID</t>
  </si>
  <si>
    <t>MAXGROW</t>
  </si>
  <si>
    <t>SPICEISLIN</t>
  </si>
  <si>
    <t>AUSOMENT</t>
  </si>
  <si>
    <t>VSL</t>
  </si>
  <si>
    <t>AGOL</t>
  </si>
  <si>
    <t>PJL</t>
  </si>
  <si>
    <t>DEVLAB</t>
  </si>
  <si>
    <t>CEENIK</t>
  </si>
  <si>
    <t>RETAGGIO</t>
  </si>
  <si>
    <t>BANARBEADS</t>
  </si>
  <si>
    <t>SWARNSAR</t>
  </si>
  <si>
    <t>MISHKA</t>
  </si>
  <si>
    <t>BGJL</t>
  </si>
  <si>
    <t>ROYALIND</t>
  </si>
  <si>
    <t>AJCJEWEL</t>
  </si>
  <si>
    <t>LUXURY</t>
  </si>
  <si>
    <t>MANOJJEWEL</t>
  </si>
  <si>
    <t>RRETAIL</t>
  </si>
  <si>
    <t>UHZAVERI</t>
  </si>
  <si>
    <t>ZODJRDMKJ</t>
  </si>
  <si>
    <t>EIGHTY</t>
  </si>
  <si>
    <t>DDIL</t>
  </si>
  <si>
    <t>TRITON</t>
  </si>
  <si>
    <t>DARSHANORNA</t>
  </si>
  <si>
    <t>KANANIIND</t>
  </si>
  <si>
    <t>KENVI</t>
  </si>
  <si>
    <t>SKIEL</t>
  </si>
  <si>
    <t>SHOORA</t>
  </si>
  <si>
    <t>MAL</t>
  </si>
  <si>
    <t>YORKEXP</t>
  </si>
  <si>
    <t>KOURA</t>
  </si>
  <si>
    <t>OROSMITHS</t>
  </si>
  <si>
    <t>CITYMAN</t>
  </si>
  <si>
    <t>SMGOLD</t>
  </si>
  <si>
    <t>VARYAA</t>
  </si>
  <si>
    <t>LYPSAGEMS</t>
  </si>
  <si>
    <t>BINDALEXPO</t>
  </si>
  <si>
    <t>GGL</t>
  </si>
  <si>
    <t>SOVERDIA</t>
  </si>
  <si>
    <t>KARANWO</t>
  </si>
  <si>
    <t>MAYUR</t>
  </si>
  <si>
    <t>SKL</t>
  </si>
  <si>
    <t>GOBLIN</t>
  </si>
  <si>
    <t>SHUKJEW</t>
  </si>
  <si>
    <t>KENRIK</t>
  </si>
  <si>
    <t>EUROLED</t>
  </si>
  <si>
    <t>HARIAEXPO</t>
  </si>
  <si>
    <t>VEERKRUPA</t>
  </si>
  <si>
    <t>ROJL</t>
  </si>
  <si>
    <t>DITCO</t>
  </si>
  <si>
    <t>NIBEORD</t>
  </si>
  <si>
    <t>NARBADA</t>
  </si>
  <si>
    <t>SIMANDHAR</t>
  </si>
  <si>
    <t>GSPL</t>
  </si>
  <si>
    <t>ENERGYINF</t>
  </si>
  <si>
    <t>ARVIND</t>
  </si>
  <si>
    <t>PGIL</t>
  </si>
  <si>
    <t>GOKEX</t>
  </si>
  <si>
    <t>KITEX</t>
  </si>
  <si>
    <t>KKCL</t>
  </si>
  <si>
    <t>LUXIND</t>
  </si>
  <si>
    <t>CANTABIL</t>
  </si>
  <si>
    <t>SPAL</t>
  </si>
  <si>
    <t>SBC</t>
  </si>
  <si>
    <t>DOLLAR</t>
  </si>
  <si>
    <t>MONTECARLO</t>
  </si>
  <si>
    <t>RUPA</t>
  </si>
  <si>
    <t>BIZOTIC</t>
  </si>
  <si>
    <t>VIRAT</t>
  </si>
  <si>
    <t>VISHAL</t>
  </si>
  <si>
    <t>THOMASCOTT</t>
  </si>
  <si>
    <t>BELLACASA</t>
  </si>
  <si>
    <t>SSDL</t>
  </si>
  <si>
    <t>ZODIACLOTH</t>
  </si>
  <si>
    <t>ACTIVE</t>
  </si>
  <si>
    <t>VIPCLOTHNG</t>
  </si>
  <si>
    <t>INDTERRAIN</t>
  </si>
  <si>
    <t>FILATFASH</t>
  </si>
  <si>
    <t>LAL</t>
  </si>
  <si>
    <t>SCOOBEEDAY</t>
  </si>
  <si>
    <t>ADDIND</t>
  </si>
  <si>
    <t>LOVABLE</t>
  </si>
  <si>
    <t>VINNY</t>
  </si>
  <si>
    <t>BANG</t>
  </si>
  <si>
    <t>CELEBRITY</t>
  </si>
  <si>
    <t>GARMNTMNTR</t>
  </si>
  <si>
    <t>SPENTA</t>
  </si>
  <si>
    <t>DAVIN</t>
  </si>
  <si>
    <t>VASHISHTHA</t>
  </si>
  <si>
    <t>VIVIDHA</t>
  </si>
  <si>
    <t>KIZI</t>
  </si>
  <si>
    <t>MISHDESIGN</t>
  </si>
  <si>
    <t>SAMTEX</t>
  </si>
  <si>
    <t>SFL</t>
  </si>
  <si>
    <t>WAKEFIT</t>
  </si>
  <si>
    <t>RESPONIND</t>
  </si>
  <si>
    <t>EUROPRATIK</t>
  </si>
  <si>
    <t>BIRLANU</t>
  </si>
  <si>
    <t>STANLEY</t>
  </si>
  <si>
    <t>HARDWYN</t>
  </si>
  <si>
    <t>TIRUFOAM</t>
  </si>
  <si>
    <t>MILEFUR</t>
  </si>
  <si>
    <t>SFSL</t>
  </si>
  <si>
    <t>MAGENTA</t>
  </si>
  <si>
    <t>GOLCA</t>
  </si>
  <si>
    <t>IWP</t>
  </si>
  <si>
    <t>PRATIK</t>
  </si>
  <si>
    <t>NATPLY</t>
  </si>
  <si>
    <t>METROBRAND</t>
  </si>
  <si>
    <t>BATAINDIA</t>
  </si>
  <si>
    <t>RELAXO</t>
  </si>
  <si>
    <t>CAMPUS</t>
  </si>
  <si>
    <t>REDTAPE</t>
  </si>
  <si>
    <t>SREEL</t>
  </si>
  <si>
    <t>LIBERTSHOE</t>
  </si>
  <si>
    <t>LEHAR</t>
  </si>
  <si>
    <t>KHADIM</t>
  </si>
  <si>
    <t>SARUPINDUS</t>
  </si>
  <si>
    <t>KSR</t>
  </si>
  <si>
    <t>MARCLOIRE</t>
  </si>
  <si>
    <t>PAYTM</t>
  </si>
  <si>
    <t>POLICYBZR</t>
  </si>
  <si>
    <t>PINELABS</t>
  </si>
  <si>
    <t>STYL</t>
  </si>
  <si>
    <t>MOBIKWIK</t>
  </si>
  <si>
    <t>WSFX</t>
  </si>
  <si>
    <t>SUVIDHAA</t>
  </si>
  <si>
    <t>AGSTRA</t>
  </si>
  <si>
    <t>CCAVENUE</t>
  </si>
  <si>
    <t>ANANDRATHI</t>
  </si>
  <si>
    <t>PRUDENT</t>
  </si>
  <si>
    <t>DHARNI</t>
  </si>
  <si>
    <t>SODHACAP</t>
  </si>
  <si>
    <t>VEDANTASSET</t>
  </si>
  <si>
    <t>PVRINOX</t>
  </si>
  <si>
    <t>PANORAMA</t>
  </si>
  <si>
    <t>MMWL</t>
  </si>
  <si>
    <t>MADHUVEER</t>
  </si>
  <si>
    <t>POOJAENT</t>
  </si>
  <si>
    <t>UFO</t>
  </si>
  <si>
    <t>CINELINE</t>
  </si>
  <si>
    <t>DIKSAT</t>
  </si>
  <si>
    <t>TIPSFILMS</t>
  </si>
  <si>
    <t>MUKTAARTS</t>
  </si>
  <si>
    <t>GVFILM</t>
  </si>
  <si>
    <t>ORIENTTR</t>
  </si>
  <si>
    <t>BABA</t>
  </si>
  <si>
    <t>PICTUREHS</t>
  </si>
  <si>
    <t>PNC</t>
  </si>
  <si>
    <t>BOMTALKIES</t>
  </si>
  <si>
    <t>MEDIAONE</t>
  </si>
  <si>
    <t>VRFILMS</t>
  </si>
  <si>
    <t>JMDVL</t>
  </si>
  <si>
    <t>SDC</t>
  </si>
  <si>
    <t>BGIL</t>
  </si>
  <si>
    <t>NETPIX</t>
  </si>
  <si>
    <t>FILME</t>
  </si>
  <si>
    <t>PADMALAYAT</t>
  </si>
  <si>
    <t>VISIONCO</t>
  </si>
  <si>
    <t>PURPLE</t>
  </si>
  <si>
    <t>UNIVARTS</t>
  </si>
  <si>
    <t>PBFL</t>
  </si>
  <si>
    <t>PFC</t>
  </si>
  <si>
    <t>RECLTD</t>
  </si>
  <si>
    <t>HUDCO</t>
  </si>
  <si>
    <t>IFCI</t>
  </si>
  <si>
    <t>TFCILTD</t>
  </si>
  <si>
    <t>HARAFIN</t>
  </si>
  <si>
    <t>GUJSTATFIN</t>
  </si>
  <si>
    <t>COROMANDEL</t>
  </si>
  <si>
    <t>FACT</t>
  </si>
  <si>
    <t>CHAMBLFERT</t>
  </si>
  <si>
    <t>PARADEEP</t>
  </si>
  <si>
    <t>RCF</t>
  </si>
  <si>
    <t>GSFC</t>
  </si>
  <si>
    <t>NFL</t>
  </si>
  <si>
    <t>KOTIC</t>
  </si>
  <si>
    <t>SPIC</t>
  </si>
  <si>
    <t>MADRASFERT</t>
  </si>
  <si>
    <t>ZUARI</t>
  </si>
  <si>
    <t>KHAICHEM</t>
  </si>
  <si>
    <t>ARIES</t>
  </si>
  <si>
    <t>RAMAPHO</t>
  </si>
  <si>
    <t>NAGAFERT</t>
  </si>
  <si>
    <t>NOVAAGRI</t>
  </si>
  <si>
    <t>BHARATAGRI</t>
  </si>
  <si>
    <t>BASANTGL</t>
  </si>
  <si>
    <t>TEEAI</t>
  </si>
  <si>
    <t>PHOSPHATE</t>
  </si>
  <si>
    <t>SHIVAAGRO</t>
  </si>
  <si>
    <t>MPAGI</t>
  </si>
  <si>
    <t>IMFA</t>
  </si>
  <si>
    <t>MAITHANALL</t>
  </si>
  <si>
    <t>VISASTEEL</t>
  </si>
  <si>
    <t>NCML</t>
  </si>
  <si>
    <t>NAGPI</t>
  </si>
  <si>
    <t>SHYAMCENT</t>
  </si>
  <si>
    <t>INDSILHYD</t>
  </si>
  <si>
    <t>CHROME</t>
  </si>
  <si>
    <t>FACORALL</t>
  </si>
  <si>
    <t>IMPEXFERRO</t>
  </si>
  <si>
    <t>PREMEXPLN</t>
  </si>
  <si>
    <t>GOCLCORP</t>
  </si>
  <si>
    <t>KELENRG</t>
  </si>
  <si>
    <t>BEEZAASAN</t>
  </si>
  <si>
    <t>MCX</t>
  </si>
  <si>
    <t>SWIGGY</t>
  </si>
  <si>
    <t>NYKAA</t>
  </si>
  <si>
    <t>MEESHO</t>
  </si>
  <si>
    <t>URBANCO</t>
  </si>
  <si>
    <t>FIRSTCRY</t>
  </si>
  <si>
    <t>CARTRADE</t>
  </si>
  <si>
    <t>RTNINDIA</t>
  </si>
  <si>
    <t>ROBU</t>
  </si>
  <si>
    <t>ISFT</t>
  </si>
  <si>
    <t>DIGIDRIVE</t>
  </si>
  <si>
    <t>PACE</t>
  </si>
  <si>
    <t>FONE4</t>
  </si>
  <si>
    <t>AHASOLAR</t>
  </si>
  <si>
    <t>ASRL</t>
  </si>
  <si>
    <t>FTL</t>
  </si>
  <si>
    <t>SAMBHAAV</t>
  </si>
  <si>
    <t>QUINT</t>
  </si>
  <si>
    <t>DNAMEDIA</t>
  </si>
  <si>
    <t>CYBERMEDIA</t>
  </si>
  <si>
    <t>SABEVENTS</t>
  </si>
  <si>
    <t>GRAPHITE</t>
  </si>
  <si>
    <t>HEG</t>
  </si>
  <si>
    <t>VESUVIUS</t>
  </si>
  <si>
    <t>RHIM</t>
  </si>
  <si>
    <t>RPEL</t>
  </si>
  <si>
    <t>IFGLEXPOR</t>
  </si>
  <si>
    <t>MORGANITE</t>
  </si>
  <si>
    <t>ORIENTCER</t>
  </si>
  <si>
    <t>DENORA</t>
  </si>
  <si>
    <t>PANCARBON</t>
  </si>
  <si>
    <t>NILACHAL</t>
  </si>
  <si>
    <t>PWL</t>
  </si>
  <si>
    <t>MPSLTD</t>
  </si>
  <si>
    <t>VERANDA</t>
  </si>
  <si>
    <t>JARO</t>
  </si>
  <si>
    <t>SAFE</t>
  </si>
  <si>
    <t>JETKINGQ</t>
  </si>
  <si>
    <t>UMESLTD</t>
  </si>
  <si>
    <t>SEIL</t>
  </si>
  <si>
    <t>NIITLTD</t>
  </si>
  <si>
    <t>APTECHT</t>
  </si>
  <si>
    <t>CPEDU</t>
  </si>
  <si>
    <t>CLEDUCATE</t>
  </si>
  <si>
    <t>VJTFEDU</t>
  </si>
  <si>
    <t>GOLDENCREST</t>
  </si>
  <si>
    <t>ZEELEARN</t>
  </si>
  <si>
    <t>COMPUSOFT</t>
  </si>
  <si>
    <t>LCCINFOTEC</t>
  </si>
  <si>
    <t>ASCENSIVE</t>
  </si>
  <si>
    <t>IRONWOOD</t>
  </si>
  <si>
    <t>TREEHOUSE</t>
  </si>
  <si>
    <t>VIRTUALG</t>
  </si>
  <si>
    <t>VKAL</t>
  </si>
  <si>
    <t>KEEPLEARN</t>
  </si>
  <si>
    <t>MTEDUCARE</t>
  </si>
  <si>
    <t>KGES</t>
  </si>
  <si>
    <t>HBEL</t>
  </si>
  <si>
    <t>MARICO</t>
  </si>
  <si>
    <t>AWL</t>
  </si>
  <si>
    <t>GOKULAGRO</t>
  </si>
  <si>
    <t>CIANAGRO</t>
  </si>
  <si>
    <t>SUNDROP</t>
  </si>
  <si>
    <t>SVRL</t>
  </si>
  <si>
    <t>KRITINUT</t>
  </si>
  <si>
    <t>GOKUL</t>
  </si>
  <si>
    <t>HALDER</t>
  </si>
  <si>
    <t>AJANTSOY</t>
  </si>
  <si>
    <t>MKPL</t>
  </si>
  <si>
    <t>VIJSOLX</t>
  </si>
  <si>
    <t>AMBARPIL</t>
  </si>
  <si>
    <t>PRIMIND</t>
  </si>
  <si>
    <t>ROML</t>
  </si>
  <si>
    <t>AMBOAGRI</t>
  </si>
  <si>
    <t>INTEGFD</t>
  </si>
  <si>
    <t>DILIGENT</t>
  </si>
  <si>
    <t>SIEL</t>
  </si>
  <si>
    <t>NKIND</t>
  </si>
  <si>
    <t>POONADAL</t>
  </si>
  <si>
    <t>VANDAN</t>
  </si>
  <si>
    <t>SOLVEX</t>
  </si>
  <si>
    <t>PRIMAIN</t>
  </si>
  <si>
    <t>MADHUDIN</t>
  </si>
  <si>
    <t>NATRAJPR</t>
  </si>
  <si>
    <t>ASHAI</t>
  </si>
  <si>
    <t>SIGNGCL</t>
  </si>
  <si>
    <t>CORAGRO</t>
  </si>
  <si>
    <t>SUDARSCHEM</t>
  </si>
  <si>
    <t>KIRIINDUS</t>
  </si>
  <si>
    <t>ULTRAMAR</t>
  </si>
  <si>
    <t>SHREEPUSHK</t>
  </si>
  <si>
    <t>SUDARCOLOR</t>
  </si>
  <si>
    <t>BHAGERIA</t>
  </si>
  <si>
    <t>BODALCHEM</t>
  </si>
  <si>
    <t>ASAHISONG</t>
  </si>
  <si>
    <t>PODDARMENT</t>
  </si>
  <si>
    <t>AKSHARCHEM</t>
  </si>
  <si>
    <t>HPIL</t>
  </si>
  <si>
    <t>KMEW</t>
  </si>
  <si>
    <t>DREDGECORP</t>
  </si>
  <si>
    <t>VMM</t>
  </si>
  <si>
    <t>VMART</t>
  </si>
  <si>
    <t>SHOPERSTOP</t>
  </si>
  <si>
    <t>EMIL</t>
  </si>
  <si>
    <t>PATELRMART</t>
  </si>
  <si>
    <t>SPENCERS</t>
  </si>
  <si>
    <t>CITYSQUARE</t>
  </si>
  <si>
    <t>ACML</t>
  </si>
  <si>
    <t>FEL</t>
  </si>
  <si>
    <t>FELDVR</t>
  </si>
  <si>
    <t>FLFL</t>
  </si>
  <si>
    <t>RETAIL</t>
  </si>
  <si>
    <t>SHANTIGURU</t>
  </si>
  <si>
    <t>VEDL</t>
  </si>
  <si>
    <t>JAINREC</t>
  </si>
  <si>
    <t>POCL</t>
  </si>
  <si>
    <t>ITC</t>
  </si>
  <si>
    <t>HNDFDS</t>
  </si>
  <si>
    <t>GODAVARIB</t>
  </si>
  <si>
    <t>DAVANGERE</t>
  </si>
  <si>
    <t>VOEPL</t>
  </si>
  <si>
    <t>SWISSMLTRY</t>
  </si>
  <si>
    <t>IGIL</t>
  </si>
  <si>
    <t>NESCO</t>
  </si>
  <si>
    <t>WEWORK</t>
  </si>
  <si>
    <t>CMSINFO</t>
  </si>
  <si>
    <t>NIRLON</t>
  </si>
  <si>
    <t>SMARTWORKS</t>
  </si>
  <si>
    <t>HEMIPROP</t>
  </si>
  <si>
    <t>INDIQUBE</t>
  </si>
  <si>
    <t>EFCIL</t>
  </si>
  <si>
    <t>QUESS</t>
  </si>
  <si>
    <t>SANGHVIMOV</t>
  </si>
  <si>
    <t>IBULLSLTD</t>
  </si>
  <si>
    <t>TEAMLEASE</t>
  </si>
  <si>
    <t>AWFIS</t>
  </si>
  <si>
    <t>BANGANGA</t>
  </si>
  <si>
    <t>TEXINFRA</t>
  </si>
  <si>
    <t>ARUNIS</t>
  </si>
  <si>
    <t>UDS</t>
  </si>
  <si>
    <t>BLUSPRING</t>
  </si>
  <si>
    <t>SOBME</t>
  </si>
  <si>
    <t>KRYSTAL</t>
  </si>
  <si>
    <t>SOUTHWEST</t>
  </si>
  <si>
    <t>PTL</t>
  </si>
  <si>
    <t>RADIANTCMS</t>
  </si>
  <si>
    <t>MIZVEN</t>
  </si>
  <si>
    <t>DEVX</t>
  </si>
  <si>
    <t>MAJESAUT</t>
  </si>
  <si>
    <t>A2ZINFRA</t>
  </si>
  <si>
    <t>ZSANMCOM</t>
  </si>
  <si>
    <t>TRISHAKT</t>
  </si>
  <si>
    <t>ITCONS</t>
  </si>
  <si>
    <t>MERCANTILE</t>
  </si>
  <si>
    <t>ALANKIT</t>
  </si>
  <si>
    <t>PROFINC</t>
  </si>
  <si>
    <t>EY</t>
  </si>
  <si>
    <t>TCIIND</t>
  </si>
  <si>
    <t>SELLWIN</t>
  </si>
  <si>
    <t>RUCHINFRA</t>
  </si>
  <si>
    <t>CORALFINAC</t>
  </si>
  <si>
    <t>ZMILGFIN</t>
  </si>
  <si>
    <t>KEMP</t>
  </si>
  <si>
    <t>NUKLEUS</t>
  </si>
  <si>
    <t>SRSOLTD</t>
  </si>
  <si>
    <t>MOTOGENFIN</t>
  </si>
  <si>
    <t>YASHINNO</t>
  </si>
  <si>
    <t>ENBETRD</t>
  </si>
  <si>
    <t>DRONACHRYA</t>
  </si>
  <si>
    <t>MANGALCOMP</t>
  </si>
  <si>
    <t>ICDSLTD</t>
  </si>
  <si>
    <t>DYNAVSN</t>
  </si>
  <si>
    <t>PHOENXINTL</t>
  </si>
  <si>
    <t>RITHWIKFMS</t>
  </si>
  <si>
    <t>SATCH</t>
  </si>
  <si>
    <t>NIRMITEE</t>
  </si>
  <si>
    <t>FMNL</t>
  </si>
  <si>
    <t>SAICAPI</t>
  </si>
  <si>
    <t>ICON</t>
  </si>
  <si>
    <t>EVANS</t>
  </si>
  <si>
    <t>SVCIND</t>
  </si>
  <si>
    <t>SHVFL</t>
  </si>
  <si>
    <t>SPCAPIT</t>
  </si>
  <si>
    <t>JOHNPHARMA</t>
  </si>
  <si>
    <t>MONOT</t>
  </si>
  <si>
    <t>KAARYAFSL</t>
  </si>
  <si>
    <t>PARLEIND</t>
  </si>
  <si>
    <t>INNOVATIVE</t>
  </si>
  <si>
    <t>INDSOYA</t>
  </si>
  <si>
    <t>SICAPIT</t>
  </si>
  <si>
    <t>SKRABUL</t>
  </si>
  <si>
    <t>TRILIANCE</t>
  </si>
  <si>
    <t>SAWACA</t>
  </si>
  <si>
    <t>GREENCREST</t>
  </si>
  <si>
    <t>ERPSOFT</t>
  </si>
  <si>
    <t>GOLECHA</t>
  </si>
  <si>
    <t>VPL</t>
  </si>
  <si>
    <t>ESARIND</t>
  </si>
  <si>
    <t>FRONTCAP</t>
  </si>
  <si>
    <t>DRL</t>
  </si>
  <si>
    <t>RAPIDIN</t>
  </si>
  <si>
    <t>VISVEN</t>
  </si>
  <si>
    <t>AMALGAM</t>
  </si>
  <si>
    <t>ZENLABS</t>
  </si>
  <si>
    <t>SANCF</t>
  </si>
  <si>
    <t>EXPLICITFIN</t>
  </si>
  <si>
    <t>SHANGAR</t>
  </si>
  <si>
    <t>SAMYAKINT</t>
  </si>
  <si>
    <t>VIKALPS</t>
  </si>
  <si>
    <t>GEMSI</t>
  </si>
  <si>
    <t>ARISE</t>
  </si>
  <si>
    <t>MILLENNIUM</t>
  </si>
  <si>
    <t>MERCTRD</t>
  </si>
  <si>
    <t>WAGEND</t>
  </si>
  <si>
    <t>RRSECUR</t>
  </si>
  <si>
    <t>JAYATMA</t>
  </si>
  <si>
    <t>KCSL</t>
  </si>
  <si>
    <t>ZMULTIPU</t>
  </si>
  <si>
    <t>SHKALYN</t>
  </si>
  <si>
    <t>EKAMLEA</t>
  </si>
  <si>
    <t>ZHEMHOLD</t>
  </si>
  <si>
    <t>VARUNME</t>
  </si>
  <si>
    <t>SHRENTI</t>
  </si>
  <si>
    <t>AVONMERC</t>
  </si>
  <si>
    <t>BENTCOM</t>
  </si>
  <si>
    <t>ESQRMON</t>
  </si>
  <si>
    <t>FRONTFN</t>
  </si>
  <si>
    <t>JUMBFNL</t>
  </si>
  <si>
    <t>MAGANTR</t>
  </si>
  <si>
    <t>MULTIIN</t>
  </si>
  <si>
    <t>OLYMTFI</t>
  </si>
  <si>
    <t>OSEASPR</t>
  </si>
  <si>
    <t>PUNCTRD</t>
  </si>
  <si>
    <t>SHYAM</t>
  </si>
  <si>
    <t>TASHIND</t>
  </si>
  <si>
    <t>TERRAREAL</t>
  </si>
  <si>
    <t>TRANOCE</t>
  </si>
  <si>
    <t>TWIROST</t>
  </si>
  <si>
    <t>VINVANI</t>
  </si>
  <si>
    <t>VSDCONF</t>
  </si>
  <si>
    <t>WHITHAL</t>
  </si>
  <si>
    <t>ZARDIINV</t>
  </si>
  <si>
    <t>ZKOVALIN</t>
  </si>
  <si>
    <t>ZMANSOON</t>
  </si>
  <si>
    <t>ZNILKENG</t>
  </si>
  <si>
    <t>ZNIVITRD</t>
  </si>
  <si>
    <t>ZSARVAMA</t>
  </si>
  <si>
    <t>3MINDIA</t>
  </si>
  <si>
    <t>GODREJIND</t>
  </si>
  <si>
    <t>DCMSHRIRAM</t>
  </si>
  <si>
    <t>BALMLAWRIE</t>
  </si>
  <si>
    <t>TTKHLTCARE</t>
  </si>
  <si>
    <t>DVL</t>
  </si>
  <si>
    <t>EMPIND</t>
  </si>
  <si>
    <t>KRYPTONQ</t>
  </si>
  <si>
    <t>GALACTICO</t>
  </si>
  <si>
    <t>SVARTCORP</t>
  </si>
  <si>
    <t>PANTH</t>
  </si>
  <si>
    <t>HCKKVENTURE</t>
  </si>
  <si>
    <t>BILLWIN</t>
  </si>
  <si>
    <t>ALEXANDER</t>
  </si>
  <si>
    <t>KDML</t>
  </si>
  <si>
    <t>MKEXIM</t>
  </si>
  <si>
    <t>ACEMEN</t>
  </si>
  <si>
    <t>ALSTONE</t>
  </si>
  <si>
    <t>MRP</t>
  </si>
  <si>
    <t>SATTVASUKU</t>
  </si>
  <si>
    <t>KEL</t>
  </si>
  <si>
    <t>NAZARA</t>
  </si>
  <si>
    <t>7SEASL</t>
  </si>
  <si>
    <t>BTML</t>
  </si>
  <si>
    <t>NSDL</t>
  </si>
  <si>
    <t>KFINTECH</t>
  </si>
  <si>
    <t>TRACXN</t>
  </si>
  <si>
    <t>MEGRISOFT</t>
  </si>
  <si>
    <t>HATSUN</t>
  </si>
  <si>
    <t>DODLA</t>
  </si>
  <si>
    <t>VADILALIND</t>
  </si>
  <si>
    <t>HERITGFOOD</t>
  </si>
  <si>
    <t>PARAGMILK</t>
  </si>
  <si>
    <t>VADILENT</t>
  </si>
  <si>
    <t>SCPL</t>
  </si>
  <si>
    <t>SCAGRO</t>
  </si>
  <si>
    <t>MLKFOOD</t>
  </si>
  <si>
    <t>MODAIRY</t>
  </si>
  <si>
    <t>VIRATCRA</t>
  </si>
  <si>
    <t>HEALTHYLIFE</t>
  </si>
  <si>
    <t>DFPL</t>
  </si>
  <si>
    <t>TDSL</t>
  </si>
  <si>
    <t>HINDCOPPER</t>
  </si>
  <si>
    <t>BHAGYANGR</t>
  </si>
  <si>
    <t>PGEL</t>
  </si>
  <si>
    <t>MIRCELECTR</t>
  </si>
  <si>
    <t>IKIO</t>
  </si>
  <si>
    <t>CWD</t>
  </si>
  <si>
    <t>BPL</t>
  </si>
  <si>
    <t>UNIVPHOTO</t>
  </si>
  <si>
    <t>VETO</t>
  </si>
  <si>
    <t>NANTA</t>
  </si>
  <si>
    <t>CALCOM</t>
  </si>
  <si>
    <t>SHARP</t>
  </si>
  <si>
    <t>KHAITANLTD</t>
  </si>
  <si>
    <t>COMRADE</t>
  </si>
  <si>
    <t>SAMTELIN</t>
  </si>
  <si>
    <t>IIRM</t>
  </si>
  <si>
    <t>QLL</t>
  </si>
  <si>
    <t>LIKHAMI</t>
  </si>
  <si>
    <t>EKANSH</t>
  </si>
  <si>
    <t>EKI</t>
  </si>
  <si>
    <t>MSECL</t>
  </si>
  <si>
    <t>AAATECH</t>
  </si>
  <si>
    <t>TECHKGREEN</t>
  </si>
  <si>
    <t>DHRUV</t>
  </si>
  <si>
    <t>ARTEFACT</t>
  </si>
  <si>
    <t>DMR</t>
  </si>
  <si>
    <t>IMEC</t>
  </si>
  <si>
    <t>WALCHPF</t>
  </si>
  <si>
    <t>LEX</t>
  </si>
  <si>
    <t>INVIGO</t>
  </si>
  <si>
    <t>TRADEWELL</t>
  </si>
  <si>
    <t>PROCLB</t>
  </si>
  <si>
    <t>ICSL</t>
  </si>
  <si>
    <t>DRA</t>
  </si>
  <si>
    <t>TARINI</t>
  </si>
  <si>
    <t>ZODIACVEN</t>
  </si>
  <si>
    <t>GETALONG</t>
  </si>
  <si>
    <t>JONJUA</t>
  </si>
  <si>
    <t>OTCO</t>
  </si>
  <si>
    <t>IDM</t>
  </si>
  <si>
    <t>BEFOUNDMOL</t>
  </si>
  <si>
    <t>TECHCON</t>
  </si>
  <si>
    <t>BEML</t>
  </si>
  <si>
    <t>AJAXENGG</t>
  </si>
  <si>
    <t>TIL</t>
  </si>
  <si>
    <t>BRADYM</t>
  </si>
  <si>
    <t>EBGNG</t>
  </si>
  <si>
    <t>MOSCHIP</t>
  </si>
  <si>
    <t>RPTECH</t>
  </si>
  <si>
    <t>DLINKINDIA</t>
  </si>
  <si>
    <t>NELCO</t>
  </si>
  <si>
    <t>IVALUE</t>
  </si>
  <si>
    <t>CONTROLPR</t>
  </si>
  <si>
    <t>BGDL</t>
  </si>
  <si>
    <t>TVSELECT</t>
  </si>
  <si>
    <t>DCI</t>
  </si>
  <si>
    <t>HCL-INSYS</t>
  </si>
  <si>
    <t>BCCFUBA</t>
  </si>
  <si>
    <t>AZTEC</t>
  </si>
  <si>
    <t>SMARTLINK</t>
  </si>
  <si>
    <t>REGANTO</t>
  </si>
  <si>
    <t>CEREBRAINT</t>
  </si>
  <si>
    <t>FINELINE</t>
  </si>
  <si>
    <t>VAMA</t>
  </si>
  <si>
    <t>ACIIN</t>
  </si>
  <si>
    <t>BRISK</t>
  </si>
  <si>
    <t>COMPUPN</t>
  </si>
  <si>
    <t>VCU</t>
  </si>
  <si>
    <t>COMPINFO</t>
  </si>
  <si>
    <t>INFY</t>
  </si>
  <si>
    <t>HCLTECH</t>
  </si>
  <si>
    <t>WIPRO</t>
  </si>
  <si>
    <t>LTIM</t>
  </si>
  <si>
    <t>TECHM</t>
  </si>
  <si>
    <t>PERSISTENT</t>
  </si>
  <si>
    <t>COFORGE</t>
  </si>
  <si>
    <t>MPHASIS</t>
  </si>
  <si>
    <t>HEXT</t>
  </si>
  <si>
    <t>KPITTECH</t>
  </si>
  <si>
    <t>ZENSARTECH</t>
  </si>
  <si>
    <t>BSOFT</t>
  </si>
  <si>
    <t>INTELLECT</t>
  </si>
  <si>
    <t>LATENTVIEW</t>
  </si>
  <si>
    <t>SONATSOFTW</t>
  </si>
  <si>
    <t>NEWGEN</t>
  </si>
  <si>
    <t>RATEGAIN</t>
  </si>
  <si>
    <t>MASTEK</t>
  </si>
  <si>
    <t>HAPPSTMNDS</t>
  </si>
  <si>
    <t>AURIONPRO</t>
  </si>
  <si>
    <t>ASMTEC</t>
  </si>
  <si>
    <t>63MOONS</t>
  </si>
  <si>
    <t>SAKSOFT</t>
  </si>
  <si>
    <t>INFOBEAN</t>
  </si>
  <si>
    <t>ACCELYA</t>
  </si>
  <si>
    <t>CEINSYSTECH</t>
  </si>
  <si>
    <t>SILVERTUC</t>
  </si>
  <si>
    <t>MCLOUD</t>
  </si>
  <si>
    <t>XCHANGING</t>
  </si>
  <si>
    <t>MINDTECK</t>
  </si>
  <si>
    <t>INNOVANA</t>
  </si>
  <si>
    <t>KSOLVES</t>
  </si>
  <si>
    <t>NINSYS</t>
  </si>
  <si>
    <t>WORKMATES</t>
  </si>
  <si>
    <t>TREJHARA</t>
  </si>
  <si>
    <t>CYBERTECH</t>
  </si>
  <si>
    <t>SOFTTECH</t>
  </si>
  <si>
    <t>XTGLOBAL</t>
  </si>
  <si>
    <t>COVANCE</t>
  </si>
  <si>
    <t>RNITAI</t>
  </si>
  <si>
    <t>3IINFOLTD</t>
  </si>
  <si>
    <t>GTTDATA</t>
  </si>
  <si>
    <t>ALPHALOGIC</t>
  </si>
  <si>
    <t>CNINFOTECH</t>
  </si>
  <si>
    <t>METHODHUB</t>
  </si>
  <si>
    <t>DRCSYSTEMS</t>
  </si>
  <si>
    <t>SHRAAITECH</t>
  </si>
  <si>
    <t>EQUIPPP</t>
  </si>
  <si>
    <t>TRIGYN</t>
  </si>
  <si>
    <t>EMPOWER</t>
  </si>
  <si>
    <t>ACEALPHA</t>
  </si>
  <si>
    <t>NBL</t>
  </si>
  <si>
    <t>ATHENAGLO</t>
  </si>
  <si>
    <t>SECMARK</t>
  </si>
  <si>
    <t>FOCUS</t>
  </si>
  <si>
    <t>CGVAK</t>
  </si>
  <si>
    <t>HYPERSOFT</t>
  </si>
  <si>
    <t>RSSOFTWARE</t>
  </si>
  <si>
    <t>SOFCOM</t>
  </si>
  <si>
    <t>ORCHASP</t>
  </si>
  <si>
    <t>CURAA</t>
  </si>
  <si>
    <t>EDVENSWA</t>
  </si>
  <si>
    <t>ACCEL</t>
  </si>
  <si>
    <t>IDENTIXWEB</t>
  </si>
  <si>
    <t>CTE</t>
  </si>
  <si>
    <t>SAGARSOFT</t>
  </si>
  <si>
    <t>AUSTERE</t>
  </si>
  <si>
    <t>ARISINT</t>
  </si>
  <si>
    <t>MUDUNURU</t>
  </si>
  <si>
    <t>ACCELERATE</t>
  </si>
  <si>
    <t>STARCOM</t>
  </si>
  <si>
    <t>CALSOFT</t>
  </si>
  <si>
    <t>LOGICIEL</t>
  </si>
  <si>
    <t>ACCEDERE</t>
  </si>
  <si>
    <t>NIKSTECH</t>
  </si>
  <si>
    <t>SENINFO</t>
  </si>
  <si>
    <t>ECS</t>
  </si>
  <si>
    <t>SOUTHERNIN</t>
  </si>
  <si>
    <t>SPAR</t>
  </si>
  <si>
    <t>SPACEINCUBA</t>
  </si>
  <si>
    <t>WITS</t>
  </si>
  <si>
    <t>RCCEMEN</t>
  </si>
  <si>
    <t>OONE</t>
  </si>
  <si>
    <t>JOINTECAED</t>
  </si>
  <si>
    <t>TRANWAY21</t>
  </si>
  <si>
    <t>ADJIA</t>
  </si>
  <si>
    <t>SOFTBPO</t>
  </si>
  <si>
    <t>MAHAVEER</t>
  </si>
  <si>
    <t>QUINTEGRA</t>
  </si>
  <si>
    <t>COVIDH</t>
  </si>
  <si>
    <t>SHRIRAMFIN</t>
  </si>
  <si>
    <t>MUTHOOTFIN</t>
  </si>
  <si>
    <t>TATACAP</t>
  </si>
  <si>
    <t>CHOLAFIN</t>
  </si>
  <si>
    <t>SBICARD</t>
  </si>
  <si>
    <t>LTF</t>
  </si>
  <si>
    <t>SUNDARMFIN</t>
  </si>
  <si>
    <t>HDBFS</t>
  </si>
  <si>
    <t>PIRAMALFIN</t>
  </si>
  <si>
    <t>AIIL</t>
  </si>
  <si>
    <t>M&amp;MFIN</t>
  </si>
  <si>
    <t>POONAWALLA</t>
  </si>
  <si>
    <t>MANAPPURAM</t>
  </si>
  <si>
    <t>IIFL</t>
  </si>
  <si>
    <t>CGCL</t>
  </si>
  <si>
    <t>FIVESTAR</t>
  </si>
  <si>
    <t>SBFC</t>
  </si>
  <si>
    <t>BENGALASM</t>
  </si>
  <si>
    <t>MASFIN</t>
  </si>
  <si>
    <t>FEDFINA</t>
  </si>
  <si>
    <t>DHENUBUILD</t>
  </si>
  <si>
    <t>NORTHARC</t>
  </si>
  <si>
    <t>INDOSTAR</t>
  </si>
  <si>
    <t>PAISALO</t>
  </si>
  <si>
    <t>SGFIN</t>
  </si>
  <si>
    <t>MUFIN</t>
  </si>
  <si>
    <t>PFS</t>
  </si>
  <si>
    <t>GRANDOAK</t>
  </si>
  <si>
    <t>ARMANFIN</t>
  </si>
  <si>
    <t>BLIL</t>
  </si>
  <si>
    <t>ASHIKA</t>
  </si>
  <si>
    <t>UGROCAP</t>
  </si>
  <si>
    <t>MRUTR</t>
  </si>
  <si>
    <t>ZSARACOM</t>
  </si>
  <si>
    <t>AKCAPIT</t>
  </si>
  <si>
    <t>CREST</t>
  </si>
  <si>
    <t>CIFL</t>
  </si>
  <si>
    <t>FINKURVE</t>
  </si>
  <si>
    <t>ARYAMAN</t>
  </si>
  <si>
    <t>YOGI</t>
  </si>
  <si>
    <t>FEDDERSHOL</t>
  </si>
  <si>
    <t>MANBA</t>
  </si>
  <si>
    <t>IFINSEC</t>
  </si>
  <si>
    <t>CSLFINANCE</t>
  </si>
  <si>
    <t>NIYOGIN</t>
  </si>
  <si>
    <t>KIRANVYPAR</t>
  </si>
  <si>
    <t>DHUNINV</t>
  </si>
  <si>
    <t>MONEYBOXX</t>
  </si>
  <si>
    <t>LAXMIINDIA</t>
  </si>
  <si>
    <t>MANCREDIT</t>
  </si>
  <si>
    <t>AFIL</t>
  </si>
  <si>
    <t>AVONMORE</t>
  </si>
  <si>
    <t>PURPLEFIN</t>
  </si>
  <si>
    <t>UVS</t>
  </si>
  <si>
    <t>MUTHOOTCAP</t>
  </si>
  <si>
    <t>BOMOXY-B1</t>
  </si>
  <si>
    <t>SAHLIBHFI</t>
  </si>
  <si>
    <t>UYFINCORP</t>
  </si>
  <si>
    <t>TEAMGTY</t>
  </si>
  <si>
    <t>STARTECK</t>
  </si>
  <si>
    <t>SERA</t>
  </si>
  <si>
    <t>VAARAD</t>
  </si>
  <si>
    <t>SODFC</t>
  </si>
  <si>
    <t>CTL</t>
  </si>
  <si>
    <t>ALFREDHE</t>
  </si>
  <si>
    <t>SANGAMFIN</t>
  </si>
  <si>
    <t>CGFL</t>
  </si>
  <si>
    <t>EMERALD</t>
  </si>
  <si>
    <t>LANDMARC</t>
  </si>
  <si>
    <t>BAIDFIN</t>
  </si>
  <si>
    <t>SUPRAPFSL</t>
  </si>
  <si>
    <t>SONAL</t>
  </si>
  <si>
    <t>CPCAP</t>
  </si>
  <si>
    <t>UPSURGE</t>
  </si>
  <si>
    <t>PMCFIN</t>
  </si>
  <si>
    <t>KIFS</t>
  </si>
  <si>
    <t>APOLLOFI</t>
  </si>
  <si>
    <t>ASSAMENT</t>
  </si>
  <si>
    <t>TITANSEC</t>
  </si>
  <si>
    <t>MENAMANI</t>
  </si>
  <si>
    <t>VLL</t>
  </si>
  <si>
    <t>MANGIND</t>
  </si>
  <si>
    <t>ADVIKCA</t>
  </si>
  <si>
    <t>DHRUVCA</t>
  </si>
  <si>
    <t>LASTMILE</t>
  </si>
  <si>
    <t>RSDFIN</t>
  </si>
  <si>
    <t>SAUMYA</t>
  </si>
  <si>
    <t>STANCAP</t>
  </si>
  <si>
    <t>FYNX</t>
  </si>
  <si>
    <t>SCL</t>
  </si>
  <si>
    <t>OPTIFIN</t>
  </si>
  <si>
    <t>RRFIN</t>
  </si>
  <si>
    <t>MUKESHB</t>
  </si>
  <si>
    <t>VGCL</t>
  </si>
  <si>
    <t>ABHICAP</t>
  </si>
  <si>
    <t>JAFINANCE</t>
  </si>
  <si>
    <t>LLFICL</t>
  </si>
  <si>
    <t>RLFL</t>
  </si>
  <si>
    <t>ACME</t>
  </si>
  <si>
    <t>FMEC</t>
  </si>
  <si>
    <t>BAMPSL</t>
  </si>
  <si>
    <t>INTRGLB</t>
  </si>
  <si>
    <t>GOWRALE</t>
  </si>
  <si>
    <t>TFL</t>
  </si>
  <si>
    <t>SKPSEC</t>
  </si>
  <si>
    <t>COMFINCAP</t>
  </si>
  <si>
    <t>CEEJAY</t>
  </si>
  <si>
    <t>SOFTRAKV</t>
  </si>
  <si>
    <t>EVERFIN</t>
  </si>
  <si>
    <t>KREONFIN</t>
  </si>
  <si>
    <t>REGIS</t>
  </si>
  <si>
    <t>TRU</t>
  </si>
  <si>
    <t>DHANSAFAL</t>
  </si>
  <si>
    <t>AASTAFIN</t>
  </si>
  <si>
    <t>MEGACOR</t>
  </si>
  <si>
    <t>ODYCORP</t>
  </si>
  <si>
    <t>LADDERUP</t>
  </si>
  <si>
    <t>SHRINIWAS</t>
  </si>
  <si>
    <t>NCLRESE</t>
  </si>
  <si>
    <t>CSL</t>
  </si>
  <si>
    <t>VIJIFIN</t>
  </si>
  <si>
    <t>INDUSFINL</t>
  </si>
  <si>
    <t>GLANCE</t>
  </si>
  <si>
    <t>SAVFI</t>
  </si>
  <si>
    <t>MORGAN</t>
  </si>
  <si>
    <t>CAPTRUST</t>
  </si>
  <si>
    <t>ANUPAM</t>
  </si>
  <si>
    <t>MADHUSE</t>
  </si>
  <si>
    <t>ADMANUM</t>
  </si>
  <si>
    <t>KEYCORP</t>
  </si>
  <si>
    <t>GDLLEAS</t>
  </si>
  <si>
    <t>KIDUJA</t>
  </si>
  <si>
    <t>SALEM</t>
  </si>
  <si>
    <t>SUGALDAM</t>
  </si>
  <si>
    <t>CAPFIN</t>
  </si>
  <si>
    <t>KAPILRAJ</t>
  </si>
  <si>
    <t>HBSL</t>
  </si>
  <si>
    <t>CHALLANI</t>
  </si>
  <si>
    <t>RAMSONS</t>
  </si>
  <si>
    <t>MARGOFIN</t>
  </si>
  <si>
    <t>LIBORDFIN</t>
  </si>
  <si>
    <t>ARNOLD</t>
  </si>
  <si>
    <t>TCFCFINQ</t>
  </si>
  <si>
    <t>DYNAMICP</t>
  </si>
  <si>
    <t>INDIANVSH</t>
  </si>
  <si>
    <t>SWRNASE</t>
  </si>
  <si>
    <t>SWATIPRO</t>
  </si>
  <si>
    <t>QGO</t>
  </si>
  <si>
    <t>AVASARA</t>
  </si>
  <si>
    <t>PURSHOTTAM</t>
  </si>
  <si>
    <t>EPIC</t>
  </si>
  <si>
    <t>NLFL</t>
  </si>
  <si>
    <t>DAL</t>
  </si>
  <si>
    <t>INDCEMCAP</t>
  </si>
  <si>
    <t>KALYANCAP</t>
  </si>
  <si>
    <t>HELPAGE</t>
  </si>
  <si>
    <t>SULABEN</t>
  </si>
  <si>
    <t>VANICOM</t>
  </si>
  <si>
    <t>EPUJA</t>
  </si>
  <si>
    <t>PARAGONF</t>
  </si>
  <si>
    <t>KJMCFIN</t>
  </si>
  <si>
    <t>MANSIFIN</t>
  </si>
  <si>
    <t>MORARKFI</t>
  </si>
  <si>
    <t>SMARTFIN</t>
  </si>
  <si>
    <t>MTPL</t>
  </si>
  <si>
    <t>TTIENT</t>
  </si>
  <si>
    <t>STDBAT</t>
  </si>
  <si>
    <t>RAMAPETRO</t>
  </si>
  <si>
    <t>SHREMETAL</t>
  </si>
  <si>
    <t>INTECCAP</t>
  </si>
  <si>
    <t>OASISEC</t>
  </si>
  <si>
    <t>ACFSL</t>
  </si>
  <si>
    <t>GSBFIN</t>
  </si>
  <si>
    <t>GLOBALCA</t>
  </si>
  <si>
    <t>ABHIFIN</t>
  </si>
  <si>
    <t>REGAL</t>
  </si>
  <si>
    <t>RGF</t>
  </si>
  <si>
    <t>GILADAFINS</t>
  </si>
  <si>
    <t>PRISMFN</t>
  </si>
  <si>
    <t>EASUN</t>
  </si>
  <si>
    <t>JJFINCOR</t>
  </si>
  <si>
    <t>CILSEC</t>
  </si>
  <si>
    <t>TCIFINANCE</t>
  </si>
  <si>
    <t>SUJALA</t>
  </si>
  <si>
    <t>ABIRAFN</t>
  </si>
  <si>
    <t>PRISMMEDI</t>
  </si>
  <si>
    <t>MARUTISE</t>
  </si>
  <si>
    <t>GSLSEC</t>
  </si>
  <si>
    <t>DFL</t>
  </si>
  <si>
    <t>RFLL</t>
  </si>
  <si>
    <t>MINOLTAF</t>
  </si>
  <si>
    <t>SHREESEC</t>
  </si>
  <si>
    <t>TOKYOFIN</t>
  </si>
  <si>
    <t>TFSL</t>
  </si>
  <si>
    <t>GOLDLEG</t>
  </si>
  <si>
    <t>GBFL</t>
  </si>
  <si>
    <t>HBLEAS</t>
  </si>
  <si>
    <t>ADCON</t>
  </si>
  <si>
    <t>MEHIF</t>
  </si>
  <si>
    <t>FRANKLIN</t>
  </si>
  <si>
    <t>GUJINV</t>
  </si>
  <si>
    <t>USHAKIRA</t>
  </si>
  <si>
    <t>BERYLSE</t>
  </si>
  <si>
    <t>SARVOTTAM</t>
  </si>
  <si>
    <t>BAZELINTER</t>
  </si>
  <si>
    <t>SCC</t>
  </si>
  <si>
    <t>INDERGR</t>
  </si>
  <si>
    <t>MNPLFIN</t>
  </si>
  <si>
    <t>GARBIFIN</t>
  </si>
  <si>
    <t>ETIL</t>
  </si>
  <si>
    <t>JMJFIN</t>
  </si>
  <si>
    <t>MONGIPA</t>
  </si>
  <si>
    <t>ANNAINFRA</t>
  </si>
  <si>
    <t>CITIPOR</t>
  </si>
  <si>
    <t>SRGFFL</t>
  </si>
  <si>
    <t>GKCONS</t>
  </si>
  <si>
    <t>RANDER</t>
  </si>
  <si>
    <t>UNITDCR</t>
  </si>
  <si>
    <t>ASIACAP</t>
  </si>
  <si>
    <t>NEIL</t>
  </si>
  <si>
    <t>KARNAVATI</t>
  </si>
  <si>
    <t>FGP</t>
  </si>
  <si>
    <t>PYXISFIN</t>
  </si>
  <si>
    <t>CUBIFIN</t>
  </si>
  <si>
    <t>INDLEASE</t>
  </si>
  <si>
    <t>KUMPFIN</t>
  </si>
  <si>
    <t>OCTAL</t>
  </si>
  <si>
    <t>RAJPUTANA</t>
  </si>
  <si>
    <t>TRUSTWAVE</t>
  </si>
  <si>
    <t>SHRYDUS</t>
  </si>
  <si>
    <t>HASTIFIN</t>
  </si>
  <si>
    <t>ANJANIFIN</t>
  </si>
  <si>
    <t>SHARPINV</t>
  </si>
  <si>
    <t>KRISHNACAP</t>
  </si>
  <si>
    <t>LYONSCO</t>
  </si>
  <si>
    <t>JAYBHCR</t>
  </si>
  <si>
    <t>MATHEWE</t>
  </si>
  <si>
    <t>BRIJLEAS</t>
  </si>
  <si>
    <t>BFLAFL</t>
  </si>
  <si>
    <t>TPROJECT</t>
  </si>
  <si>
    <t>NIKKIGL</t>
  </si>
  <si>
    <t>ISFL</t>
  </si>
  <si>
    <t>INTCAPL</t>
  </si>
  <si>
    <t>ATHARVENT</t>
  </si>
  <si>
    <t>KZLFIN</t>
  </si>
  <si>
    <t>GALADAFIN</t>
  </si>
  <si>
    <t>ALFL</t>
  </si>
  <si>
    <t>LEADFIN</t>
  </si>
  <si>
    <t>MMLF</t>
  </si>
  <si>
    <t>SYTIXSE</t>
  </si>
  <si>
    <t>NORTHLINK</t>
  </si>
  <si>
    <t>SUNGOLD</t>
  </si>
  <si>
    <t>BCLENTERPR</t>
  </si>
  <si>
    <t>INDOCRED</t>
  </si>
  <si>
    <t>PASUFIN</t>
  </si>
  <si>
    <t>PANAFIC</t>
  </si>
  <si>
    <t>PRIMECAPM</t>
  </si>
  <si>
    <t>SUPERIOR</t>
  </si>
  <si>
    <t>VOLLF</t>
  </si>
  <si>
    <t>RICHUNV</t>
  </si>
  <si>
    <t>RAJKOTINV</t>
  </si>
  <si>
    <t>WILLIMFI</t>
  </si>
  <si>
    <t>SIDDHA</t>
  </si>
  <si>
    <t>VINTAGES</t>
  </si>
  <si>
    <t>DHARFIN</t>
  </si>
  <si>
    <t>KUBERJI</t>
  </si>
  <si>
    <t>AARSHYAM</t>
  </si>
  <si>
    <t>GOYALASS</t>
  </si>
  <si>
    <t>CINDRELL</t>
  </si>
  <si>
    <t>AMARSEC</t>
  </si>
  <si>
    <t>KENFIN</t>
  </si>
  <si>
    <t>SPVGLOBAL</t>
  </si>
  <si>
    <t>BRIPORT</t>
  </si>
  <si>
    <t>GEETANJ</t>
  </si>
  <si>
    <t>ISHWATR</t>
  </si>
  <si>
    <t>JPTRLES</t>
  </si>
  <si>
    <t>UCIL</t>
  </si>
  <si>
    <t>1STCUS</t>
  </si>
  <si>
    <t>ACFL</t>
  </si>
  <si>
    <t>AMARNATH</t>
  </si>
  <si>
    <t>AMITSEC</t>
  </si>
  <si>
    <t>BPCAP</t>
  </si>
  <si>
    <t>FUTURSEC</t>
  </si>
  <si>
    <t>JPTSEC</t>
  </si>
  <si>
    <t>KINETRU</t>
  </si>
  <si>
    <t>KLGCAP</t>
  </si>
  <si>
    <t>MICROSE</t>
  </si>
  <si>
    <t>POLYTEX</t>
  </si>
  <si>
    <t>RANJITSE</t>
  </si>
  <si>
    <t>SAGARSYST</t>
  </si>
  <si>
    <t>SHIKHAR</t>
  </si>
  <si>
    <t>SHIKHARLETR</t>
  </si>
  <si>
    <t>SHIVKAMAL</t>
  </si>
  <si>
    <t>SILVERO</t>
  </si>
  <si>
    <t>SMCREDT</t>
  </si>
  <si>
    <t>SURYAINDIA</t>
  </si>
  <si>
    <t>VARDHANCFL</t>
  </si>
  <si>
    <t>WINROC</t>
  </si>
  <si>
    <t>KIRLOSENG</t>
  </si>
  <si>
    <t>ELGIEQUIP</t>
  </si>
  <si>
    <t>KIRLOSBROS</t>
  </si>
  <si>
    <t>KSB</t>
  </si>
  <si>
    <t>INGERRAND</t>
  </si>
  <si>
    <t>KIRLPNU</t>
  </si>
  <si>
    <t>SHAKTIPUMP</t>
  </si>
  <si>
    <t>SWARAJENG</t>
  </si>
  <si>
    <t>OSWALPUMPS</t>
  </si>
  <si>
    <t>GREAVESCOT</t>
  </si>
  <si>
    <t>ROTO</t>
  </si>
  <si>
    <t>YUKEN</t>
  </si>
  <si>
    <t>RRP</t>
  </si>
  <si>
    <t>COLAB</t>
  </si>
  <si>
    <t>ALGOQUANT</t>
  </si>
  <si>
    <t>LKPFIN</t>
  </si>
  <si>
    <t>CENTRUM</t>
  </si>
  <si>
    <t>WEALTH</t>
  </si>
  <si>
    <t>PRIMESECU</t>
  </si>
  <si>
    <t>CMBL</t>
  </si>
  <si>
    <t>THEINVEST</t>
  </si>
  <si>
    <t>DELPHIFX</t>
  </si>
  <si>
    <t>NDLVENTURE</t>
  </si>
  <si>
    <t>ALSL</t>
  </si>
  <si>
    <t>REGENCY</t>
  </si>
  <si>
    <t>STELLANT</t>
  </si>
  <si>
    <t>GAMCO</t>
  </si>
  <si>
    <t>ICONIKSPEV</t>
  </si>
  <si>
    <t>JHACC</t>
  </si>
  <si>
    <t>PML</t>
  </si>
  <si>
    <t>RELIABLE</t>
  </si>
  <si>
    <t>AVAILFC</t>
  </si>
  <si>
    <t>SALSAIN</t>
  </si>
  <si>
    <t>ABVL</t>
  </si>
  <si>
    <t>PIONRINV</t>
  </si>
  <si>
    <t>MAHAPEXLTD</t>
  </si>
  <si>
    <t>THACKER</t>
  </si>
  <si>
    <t>ESCORP</t>
  </si>
  <si>
    <t>YASTF</t>
  </si>
  <si>
    <t>HIKLASS</t>
  </si>
  <si>
    <t>PRITHVIEXCH</t>
  </si>
  <si>
    <t>TTGIL</t>
  </si>
  <si>
    <t>TRANSCOR</t>
  </si>
  <si>
    <t>CHRTEDCA</t>
  </si>
  <si>
    <t>ISLCONSUL</t>
  </si>
  <si>
    <t>BNRSEC</t>
  </si>
  <si>
    <t>APOORVA</t>
  </si>
  <si>
    <t>SPACAPS</t>
  </si>
  <si>
    <t>ELIXIR</t>
  </si>
  <si>
    <t>SSL</t>
  </si>
  <si>
    <t>BIOGEN</t>
  </si>
  <si>
    <t>RTFL</t>
  </si>
  <si>
    <t>HBPOR</t>
  </si>
  <si>
    <t>TOYAMSL</t>
  </si>
  <si>
    <t>GUJCRED</t>
  </si>
  <si>
    <t>ARCFIN</t>
  </si>
  <si>
    <t>GATECH</t>
  </si>
  <si>
    <t>GATECHDVR</t>
  </si>
  <si>
    <t>CASPIAN</t>
  </si>
  <si>
    <t>NEXOME</t>
  </si>
  <si>
    <t>BRIDGESE</t>
  </si>
  <si>
    <t>FUTSOL</t>
  </si>
  <si>
    <t>NAM</t>
  </si>
  <si>
    <t>RELICTEC</t>
  </si>
  <si>
    <t>CMXLTD</t>
  </si>
  <si>
    <t>AJCON</t>
  </si>
  <si>
    <t>SHYMINV</t>
  </si>
  <si>
    <t>BERVINL</t>
  </si>
  <si>
    <t>WESTLEIRES</t>
  </si>
  <si>
    <t>SUMEDHA</t>
  </si>
  <si>
    <t>KARTKIN</t>
  </si>
  <si>
    <t>VERTEX</t>
  </si>
  <si>
    <t>NAVIGANT</t>
  </si>
  <si>
    <t>JINDCAP</t>
  </si>
  <si>
    <t>ASHCAP</t>
  </si>
  <si>
    <t>RFSL</t>
  </si>
  <si>
    <t>DARJEELING</t>
  </si>
  <si>
    <t>VISAGAR</t>
  </si>
  <si>
    <t>MPILCORPL</t>
  </si>
  <si>
    <t>ROSELABS</t>
  </si>
  <si>
    <t>STEP2COR</t>
  </si>
  <si>
    <t>SUPRATRE</t>
  </si>
  <si>
    <t>NDASEC</t>
  </si>
  <si>
    <t>KJMCCORP</t>
  </si>
  <si>
    <t>GAJANANSEC</t>
  </si>
  <si>
    <t>DJSSS</t>
  </si>
  <si>
    <t>GLFL</t>
  </si>
  <si>
    <t>BHARAT</t>
  </si>
  <si>
    <t>NPRFIN</t>
  </si>
  <si>
    <t>DAULAT</t>
  </si>
  <si>
    <t>STELLAR</t>
  </si>
  <si>
    <t>KBSINDIA</t>
  </si>
  <si>
    <t>COMCL</t>
  </si>
  <si>
    <t>MUNOTHFI</t>
  </si>
  <si>
    <t>MKTCREAT</t>
  </si>
  <si>
    <t>ZSVTRADI</t>
  </si>
  <si>
    <t>ONTIC</t>
  </si>
  <si>
    <t>TRIUMPIN</t>
  </si>
  <si>
    <t>CLFL</t>
  </si>
  <si>
    <t>MODRNSH</t>
  </si>
  <si>
    <t>ZSVARAJT</t>
  </si>
  <si>
    <t>YUNIKM</t>
  </si>
  <si>
    <t>TRINITYLEA</t>
  </si>
  <si>
    <t>LONGSPUR</t>
  </si>
  <si>
    <t>INANISEC</t>
  </si>
  <si>
    <t>INDICAP</t>
  </si>
  <si>
    <t>NEXUSSURGL</t>
  </si>
  <si>
    <t>VBDESAI</t>
  </si>
  <si>
    <t>YOGISUNG</t>
  </si>
  <si>
    <t>LIBORD</t>
  </si>
  <si>
    <t>MIDEASTP</t>
  </si>
  <si>
    <t>DELTA</t>
  </si>
  <si>
    <t>GCMCAPI</t>
  </si>
  <si>
    <t>PSITINFRA</t>
  </si>
  <si>
    <t>ARYAN</t>
  </si>
  <si>
    <t>AARCON</t>
  </si>
  <si>
    <t>TRIOMERC</t>
  </si>
  <si>
    <t>SYMBIOX</t>
  </si>
  <si>
    <t>MCLTD</t>
  </si>
  <si>
    <t>KANUNGO</t>
  </si>
  <si>
    <t>SHIVA</t>
  </si>
  <si>
    <t>SSPNFIN</t>
  </si>
  <si>
    <t>GCMCOMM</t>
  </si>
  <si>
    <t>CHARMS</t>
  </si>
  <si>
    <t>EENTER</t>
  </si>
  <si>
    <t>DEVITRD</t>
  </si>
  <si>
    <t>JYOTIN</t>
  </si>
  <si>
    <t>KAJALSY</t>
  </si>
  <si>
    <t>KSHITIJ</t>
  </si>
  <si>
    <t>MEHSECU</t>
  </si>
  <si>
    <t>MUDRA</t>
  </si>
  <si>
    <t>RIDHISYN</t>
  </si>
  <si>
    <t>SIDH</t>
  </si>
  <si>
    <t>SUNRINV</t>
  </si>
  <si>
    <t>TERRAFORM</t>
  </si>
  <si>
    <t>ZSATYASL</t>
  </si>
  <si>
    <t>ZSHERAPR</t>
  </si>
  <si>
    <t>ZSPEEDCO</t>
  </si>
  <si>
    <t>ICICIBANK</t>
  </si>
  <si>
    <t>AXISBANK</t>
  </si>
  <si>
    <t>IDBI</t>
  </si>
  <si>
    <t>KOTAKBANK</t>
  </si>
  <si>
    <t>INDUSINDBK</t>
  </si>
  <si>
    <t>IDFCFIRSTB</t>
  </si>
  <si>
    <t>FEDERALBNK</t>
  </si>
  <si>
    <t>YESBANK</t>
  </si>
  <si>
    <t>KARURVYSYA</t>
  </si>
  <si>
    <t>BANDHANBNK</t>
  </si>
  <si>
    <t>CUB</t>
  </si>
  <si>
    <t>RBLBANK</t>
  </si>
  <si>
    <t>J&amp;KBANK</t>
  </si>
  <si>
    <t>SOUTHBANK</t>
  </si>
  <si>
    <t>TMB</t>
  </si>
  <si>
    <t>CSBBANK</t>
  </si>
  <si>
    <t>KTKBANK</t>
  </si>
  <si>
    <t>DCBBANK</t>
  </si>
  <si>
    <t>DHANBANK</t>
  </si>
  <si>
    <t>SRF</t>
  </si>
  <si>
    <t>TATACHEM</t>
  </si>
  <si>
    <t>DEEPAKFERT</t>
  </si>
  <si>
    <t>GNFC</t>
  </si>
  <si>
    <t>GUJALKALI</t>
  </si>
  <si>
    <t>CHEMPLASTS</t>
  </si>
  <si>
    <t>GHCL</t>
  </si>
  <si>
    <t>TANFACIND</t>
  </si>
  <si>
    <t>GRAUWEIL</t>
  </si>
  <si>
    <t>TIRUMALCHM</t>
  </si>
  <si>
    <t>BPAGRI</t>
  </si>
  <si>
    <t>JGCHEM</t>
  </si>
  <si>
    <t>IGPL</t>
  </si>
  <si>
    <t>ANDHRSUGAR</t>
  </si>
  <si>
    <t>TGVSL</t>
  </si>
  <si>
    <t>INDOBORAX</t>
  </si>
  <si>
    <t>AMNPLST</t>
  </si>
  <si>
    <t>SRHHYPOLTD</t>
  </si>
  <si>
    <t>TUTIALKA</t>
  </si>
  <si>
    <t>TRANSPEK</t>
  </si>
  <si>
    <t>POEL</t>
  </si>
  <si>
    <t>PRIMO</t>
  </si>
  <si>
    <t>CHEMFAB</t>
  </si>
  <si>
    <t>VIKRAMTH</t>
  </si>
  <si>
    <t>OCCLLTD</t>
  </si>
  <si>
    <t>SADHNANIQ</t>
  </si>
  <si>
    <t>LORDSCHLO</t>
  </si>
  <si>
    <t>MANORG</t>
  </si>
  <si>
    <t>ALUFLUOR</t>
  </si>
  <si>
    <t>ANDHRAPET</t>
  </si>
  <si>
    <t>KESARPE</t>
  </si>
  <si>
    <t>NPL</t>
  </si>
  <si>
    <t>HOCL</t>
  </si>
  <si>
    <t>KANCHI</t>
  </si>
  <si>
    <t>ARCL</t>
  </si>
  <si>
    <t>GAYATRIBI</t>
  </si>
  <si>
    <t>POLYCHEM</t>
  </si>
  <si>
    <t>ARCHITORG</t>
  </si>
  <si>
    <t>AGVENTURES</t>
  </si>
  <si>
    <t>SHHARICH</t>
  </si>
  <si>
    <t>RITESHIN</t>
  </si>
  <si>
    <t>SHREYASI</t>
  </si>
  <si>
    <t>STDSFAC</t>
  </si>
  <si>
    <t>ZR2</t>
  </si>
  <si>
    <t>GENUSPRIME</t>
  </si>
  <si>
    <t>OMKARPH</t>
  </si>
  <si>
    <t>CAMEXLTD</t>
  </si>
  <si>
    <t>TCMLMTD</t>
  </si>
  <si>
    <t>VENLONENT</t>
  </si>
  <si>
    <t>HARLETH</t>
  </si>
  <si>
    <t>TECILCHEM</t>
  </si>
  <si>
    <t>DECOMIC</t>
  </si>
  <si>
    <t>CAPRO</t>
  </si>
  <si>
    <t>PNTKYOR</t>
  </si>
  <si>
    <t>SONALAD</t>
  </si>
  <si>
    <t>ASINPET</t>
  </si>
  <si>
    <t>JAYCH</t>
  </si>
  <si>
    <t>SFPIL</t>
  </si>
  <si>
    <t>VINYOFL</t>
  </si>
  <si>
    <t>VIVIDIND</t>
  </si>
  <si>
    <t>ALCHCORP</t>
  </si>
  <si>
    <t>EMMESSA</t>
  </si>
  <si>
    <t>SRECR</t>
  </si>
  <si>
    <t>TULASEEBIOE</t>
  </si>
  <si>
    <t>ADVPETR-B</t>
  </si>
  <si>
    <t>LINKPH</t>
  </si>
  <si>
    <t>KUWERIN</t>
  </si>
  <si>
    <t>BHAGWOX</t>
  </si>
  <si>
    <t>LIMECHM</t>
  </si>
  <si>
    <t>KOBO</t>
  </si>
  <si>
    <t>PADMAIND</t>
  </si>
  <si>
    <t>ZSOUTGAS</t>
  </si>
  <si>
    <t>MIDPOLY</t>
  </si>
  <si>
    <t>SHENTRA</t>
  </si>
  <si>
    <t>BANKBARODA</t>
  </si>
  <si>
    <t>PNB</t>
  </si>
  <si>
    <t>CANBK</t>
  </si>
  <si>
    <t>UNIONBANK</t>
  </si>
  <si>
    <t>INDIANB</t>
  </si>
  <si>
    <t>BANKINDIA</t>
  </si>
  <si>
    <t>IOB</t>
  </si>
  <si>
    <t>MAHABANK</t>
  </si>
  <si>
    <t>UCOBANK</t>
  </si>
  <si>
    <t>CENTRALBK</t>
  </si>
  <si>
    <t>PSB</t>
  </si>
  <si>
    <t>EICHERMOT</t>
  </si>
  <si>
    <t>TVSMOTOR</t>
  </si>
  <si>
    <t>HEROMOTOCO</t>
  </si>
  <si>
    <t>ATHERENERG</t>
  </si>
  <si>
    <t>OLAELEC</t>
  </si>
  <si>
    <t>ZELIO</t>
  </si>
  <si>
    <t>WARDINMOBI</t>
  </si>
  <si>
    <t>SEVL</t>
  </si>
  <si>
    <t>GRINDWELL</t>
  </si>
  <si>
    <t>CARBORUNIV</t>
  </si>
  <si>
    <t>SKFINDUS</t>
  </si>
  <si>
    <t>WENDT</t>
  </si>
  <si>
    <t>GALXBRG</t>
  </si>
  <si>
    <t>NIBL</t>
  </si>
  <si>
    <t>SIGNPOST</t>
  </si>
  <si>
    <t>BRIGHT</t>
  </si>
  <si>
    <t>RKSWAMY</t>
  </si>
  <si>
    <t>DGCONTENT</t>
  </si>
  <si>
    <t>CHTR</t>
  </si>
  <si>
    <t>TTC</t>
  </si>
  <si>
    <t>THINKINK</t>
  </si>
  <si>
    <t>ESHAMEDIA</t>
  </si>
  <si>
    <t>SHARPLINE</t>
  </si>
  <si>
    <t>INNOKAIZ</t>
  </si>
  <si>
    <t>DAPS</t>
  </si>
  <si>
    <t>VISIONCINE</t>
  </si>
  <si>
    <t>SMEL</t>
  </si>
  <si>
    <t>BDL</t>
  </si>
  <si>
    <t>GRSE</t>
  </si>
  <si>
    <t>DATAPATTNS</t>
  </si>
  <si>
    <t>ZENTEC</t>
  </si>
  <si>
    <t>ASTRAMICRO</t>
  </si>
  <si>
    <t>AEQUS</t>
  </si>
  <si>
    <t>APOLLO</t>
  </si>
  <si>
    <t>MTARTECH</t>
  </si>
  <si>
    <t>MIDHANI</t>
  </si>
  <si>
    <t>PARAS</t>
  </si>
  <si>
    <t>AXISCADES</t>
  </si>
  <si>
    <t>UNIMECH</t>
  </si>
  <si>
    <t>AVANTEL</t>
  </si>
  <si>
    <t>ROSSTECH</t>
  </si>
  <si>
    <t>JAYKAY</t>
  </si>
  <si>
    <t>DCXINDIA</t>
  </si>
  <si>
    <t>IDEAFORGE</t>
  </si>
  <si>
    <t>SIKA</t>
  </si>
  <si>
    <t>NIBE</t>
  </si>
  <si>
    <t>CFF</t>
  </si>
  <si>
    <t>TANAA</t>
  </si>
  <si>
    <t>DIGILOGIC</t>
  </si>
  <si>
    <t>SPICEJET</t>
  </si>
  <si>
    <t>TAALTECH</t>
  </si>
  <si>
    <t>GLOBALVECT</t>
  </si>
  <si>
    <t>GMRAIRPORT</t>
  </si>
  <si>
    <t>DREAMFOLKS</t>
  </si>
  <si>
    <t>HINDALCO</t>
  </si>
  <si>
    <t>NATIONALUM</t>
  </si>
  <si>
    <t>ARFIN</t>
  </si>
  <si>
    <t>MAANALU</t>
  </si>
  <si>
    <t>PGFOILQ</t>
  </si>
  <si>
    <t>MANAKALUCO</t>
  </si>
  <si>
    <t>HINDALUMI</t>
  </si>
  <si>
    <t>SACHEMT</t>
  </si>
  <si>
    <t>SUDAI</t>
  </si>
  <si>
    <t>PALCO</t>
  </si>
  <si>
    <t>BMAL</t>
  </si>
  <si>
    <t>MAITRI</t>
  </si>
  <si>
    <t>GOLKONDA</t>
  </si>
  <si>
    <t>PRECWIRE</t>
  </si>
  <si>
    <t>SYNTHFO</t>
  </si>
  <si>
    <t>KSHINTL</t>
  </si>
  <si>
    <t>VIDYAWIRES</t>
  </si>
  <si>
    <t>EUROBOND</t>
  </si>
  <si>
    <t>PARMESHWAR</t>
  </si>
  <si>
    <t>BAROEXT</t>
  </si>
  <si>
    <t>CENTEXT</t>
  </si>
  <si>
    <t>CUBEXTUB</t>
  </si>
  <si>
    <t>SHARVAYA</t>
  </si>
  <si>
    <t>SHILGRAVQ</t>
  </si>
  <si>
    <t>SAMPAT</t>
  </si>
  <si>
    <t>AMCOIND</t>
  </si>
  <si>
    <t>MSRINDIA</t>
  </si>
  <si>
    <t>KRUPALU</t>
  </si>
  <si>
    <t>OML</t>
  </si>
  <si>
    <t>IMAGICAA</t>
  </si>
  <si>
    <t>DELTACORP</t>
  </si>
  <si>
    <t>NICCOPAR</t>
  </si>
  <si>
    <t>AJWAFUN</t>
  </si>
  <si>
    <t>HANMAN</t>
  </si>
  <si>
    <t>AVANTIFEED</t>
  </si>
  <si>
    <t>GODREJAGRO</t>
  </si>
  <si>
    <t>KSE</t>
  </si>
  <si>
    <t>MUKKA</t>
  </si>
  <si>
    <t>SHIVAM</t>
  </si>
  <si>
    <t>NARMADA</t>
  </si>
  <si>
    <t>MCFL</t>
  </si>
  <si>
    <t>ICICIAMC</t>
  </si>
  <si>
    <t>NAM-INDIA</t>
  </si>
  <si>
    <t>ABSLAMC</t>
  </si>
  <si>
    <t>UTIAMC</t>
  </si>
  <si>
    <t>CRAMC</t>
  </si>
  <si>
    <t>SRAMSET</t>
  </si>
  <si>
    <t>IVC</t>
  </si>
  <si>
    <t>MOTHERSON</t>
  </si>
  <si>
    <t>BOSCHLTD</t>
  </si>
  <si>
    <t>BHARATFORG</t>
  </si>
  <si>
    <t>SCHAEFFLER</t>
  </si>
  <si>
    <t>UNOMINDA</t>
  </si>
  <si>
    <t>TIINDIA</t>
  </si>
  <si>
    <t>ENDURANCE</t>
  </si>
  <si>
    <t>SONACOMS</t>
  </si>
  <si>
    <t>ZFCVINDIA</t>
  </si>
  <si>
    <t>EXIDEIND</t>
  </si>
  <si>
    <t>MSUMI</t>
  </si>
  <si>
    <t>TENNIND</t>
  </si>
  <si>
    <t>ASAHIINDIA</t>
  </si>
  <si>
    <t>CIEINDIA</t>
  </si>
  <si>
    <t>BELRISE</t>
  </si>
  <si>
    <t>CRAFTSMAN</t>
  </si>
  <si>
    <t>SUNDRMFAST</t>
  </si>
  <si>
    <t>JBMA</t>
  </si>
  <si>
    <t>SHRIPISTON</t>
  </si>
  <si>
    <t>SANSERA</t>
  </si>
  <si>
    <t>GABRIEL</t>
  </si>
  <si>
    <t>MINDACORP</t>
  </si>
  <si>
    <t>LUMAXTECH</t>
  </si>
  <si>
    <t>RKFORGE</t>
  </si>
  <si>
    <t>ASKAUTOLTD</t>
  </si>
  <si>
    <t>BANCOINDIA</t>
  </si>
  <si>
    <t>VARROC</t>
  </si>
  <si>
    <t>SKFINDIA</t>
  </si>
  <si>
    <t>PRICOLLTD</t>
  </si>
  <si>
    <t>SUPRAJIT</t>
  </si>
  <si>
    <t>LGBBROSLTD</t>
  </si>
  <si>
    <t>FIEMIND</t>
  </si>
  <si>
    <t>SJS</t>
  </si>
  <si>
    <t>JAMNAAUTO</t>
  </si>
  <si>
    <t>LUMAXIND</t>
  </si>
  <si>
    <t>SHARDAMOTR</t>
  </si>
  <si>
    <t>JTEKTINDIA</t>
  </si>
  <si>
    <t>ROLEXRINGS</t>
  </si>
  <si>
    <t>SSWL</t>
  </si>
  <si>
    <t>SANDHAR</t>
  </si>
  <si>
    <t>SUNCLAY</t>
  </si>
  <si>
    <t>CARRARO</t>
  </si>
  <si>
    <t>WHEELS</t>
  </si>
  <si>
    <t>AUTOAXLES</t>
  </si>
  <si>
    <t>FMGOETZE</t>
  </si>
  <si>
    <t>NRBBEARING</t>
  </si>
  <si>
    <t>UNIPARTS</t>
  </si>
  <si>
    <t>DIVGIITTS</t>
  </si>
  <si>
    <t>MMFL</t>
  </si>
  <si>
    <t>RML</t>
  </si>
  <si>
    <t>RAJRATAN</t>
  </si>
  <si>
    <t>STUDDS</t>
  </si>
  <si>
    <t>INDNIPPON</t>
  </si>
  <si>
    <t>GNA</t>
  </si>
  <si>
    <t>NDRAUTO</t>
  </si>
  <si>
    <t>FRONTSP</t>
  </si>
  <si>
    <t>RACLGEAR</t>
  </si>
  <si>
    <t>TALBROAUTO</t>
  </si>
  <si>
    <t>RICOAUTO</t>
  </si>
  <si>
    <t>KROSS</t>
  </si>
  <si>
    <t>PRECAM</t>
  </si>
  <si>
    <t>ALICON</t>
  </si>
  <si>
    <t>HITECHGEAR</t>
  </si>
  <si>
    <t>BHARATSE</t>
  </si>
  <si>
    <t>SAPL</t>
  </si>
  <si>
    <t>IGARASHI</t>
  </si>
  <si>
    <t>ACGL</t>
  </si>
  <si>
    <t>JAYBARMARU</t>
  </si>
  <si>
    <t>SEKURITIND</t>
  </si>
  <si>
    <t>ENKEIWHEL</t>
  </si>
  <si>
    <t>MUNJALAU</t>
  </si>
  <si>
    <t>ISTLTD</t>
  </si>
  <si>
    <t>ASAL</t>
  </si>
  <si>
    <t>PRADPME</t>
  </si>
  <si>
    <t>STERTOOLS</t>
  </si>
  <si>
    <t>MENONBE</t>
  </si>
  <si>
    <t>ZFSTEERING</t>
  </si>
  <si>
    <t>HINDCOMPOS</t>
  </si>
  <si>
    <t>KINETICENG</t>
  </si>
  <si>
    <t>MUNJALSHOW</t>
  </si>
  <si>
    <t>TRITONV</t>
  </si>
  <si>
    <t>VELJAN</t>
  </si>
  <si>
    <t>TALBROSENG</t>
  </si>
  <si>
    <t>CLN</t>
  </si>
  <si>
    <t>REMSONSIND</t>
  </si>
  <si>
    <t>JAYUSH</t>
  </si>
  <si>
    <t>SETCO</t>
  </si>
  <si>
    <t>PPAP</t>
  </si>
  <si>
    <t>MENNPIS</t>
  </si>
  <si>
    <t>EMMFORCE</t>
  </si>
  <si>
    <t>AUTOIND</t>
  </si>
  <si>
    <t>PAVNAIND</t>
  </si>
  <si>
    <t>OMAXAUTO</t>
  </si>
  <si>
    <t>BIMETAL</t>
  </si>
  <si>
    <t>HIMTEK</t>
  </si>
  <si>
    <t>SHIVAMAUTO</t>
  </si>
  <si>
    <t>SUNDRMBRAK</t>
  </si>
  <si>
    <t>PRITIKAUTO</t>
  </si>
  <si>
    <t>UCAL</t>
  </si>
  <si>
    <t>GGAUTO</t>
  </si>
  <si>
    <t>SIMMOND</t>
  </si>
  <si>
    <t>BHARATGEAR</t>
  </si>
  <si>
    <t>MACPLASQ</t>
  </si>
  <si>
    <t>DUNCANENG</t>
  </si>
  <si>
    <t>URAVIDEF</t>
  </si>
  <si>
    <t>BGWTATO</t>
  </si>
  <si>
    <t>IPRINGLTD</t>
  </si>
  <si>
    <t>GALLARD</t>
  </si>
  <si>
    <t>LGBFORGE</t>
  </si>
  <si>
    <t>SNL</t>
  </si>
  <si>
    <t>HINDHARD</t>
  </si>
  <si>
    <t>SAMKRG</t>
  </si>
  <si>
    <t>AUTOPINS</t>
  </si>
  <si>
    <t>AAIL</t>
  </si>
  <si>
    <t>SALAUTO</t>
  </si>
  <si>
    <t>SWANAGRO</t>
  </si>
  <si>
    <t>KRANTI</t>
  </si>
  <si>
    <t>PORWAL</t>
  </si>
  <si>
    <t>UNIAUTO</t>
  </si>
  <si>
    <t>GSAUTO</t>
  </si>
  <si>
    <t>VISHALBL</t>
  </si>
  <si>
    <t>RASANDIK</t>
  </si>
  <si>
    <t>JAGANLAM</t>
  </si>
  <si>
    <t>ELFORGE</t>
  </si>
  <si>
    <t>JAINEX</t>
  </si>
  <si>
    <t>SIBARAUT</t>
  </si>
  <si>
    <t>AMFORG</t>
  </si>
  <si>
    <t>LAKPRE</t>
  </si>
  <si>
    <t>VOLKAI</t>
  </si>
  <si>
    <t>SPECTRA</t>
  </si>
  <si>
    <t>NIRBHAYIND</t>
  </si>
  <si>
    <t>AUTOPRD</t>
  </si>
  <si>
    <t>LANDMARK</t>
  </si>
  <si>
    <t>PVSL</t>
  </si>
  <si>
    <t>COMPEAU</t>
  </si>
  <si>
    <t>RAL</t>
  </si>
  <si>
    <t>NAKSH</t>
  </si>
  <si>
    <t>ADVENZYMES</t>
  </si>
  <si>
    <t>VIVOBIOT</t>
  </si>
  <si>
    <t>SHREEGANES</t>
  </si>
  <si>
    <t>GVBL</t>
  </si>
  <si>
    <t>GENESIS</t>
  </si>
  <si>
    <t>UNITDSPR</t>
  </si>
  <si>
    <t>UBL</t>
  </si>
  <si>
    <t>RADICO</t>
  </si>
  <si>
    <t>ABDL</t>
  </si>
  <si>
    <t>TI</t>
  </si>
  <si>
    <t>INDIAGLYCO</t>
  </si>
  <si>
    <t>PICCADIL</t>
  </si>
  <si>
    <t>GLOBUSSPR</t>
  </si>
  <si>
    <t>GMBREW</t>
  </si>
  <si>
    <t>SDBL</t>
  </si>
  <si>
    <t>SULA</t>
  </si>
  <si>
    <t>ASALCBR</t>
  </si>
  <si>
    <t>IFBAGRO</t>
  </si>
  <si>
    <t>BCLIND</t>
  </si>
  <si>
    <t>MONIKA</t>
  </si>
  <si>
    <t>JAGAJITIND</t>
  </si>
  <si>
    <t>FRATELLI</t>
  </si>
  <si>
    <t>AGRIBIO</t>
  </si>
  <si>
    <t>COMFINTE</t>
  </si>
  <si>
    <t>CUPIDALBV</t>
  </si>
  <si>
    <t>TAHMARENT</t>
  </si>
  <si>
    <t>SHRIGANG</t>
  </si>
  <si>
    <t>SURJIND</t>
  </si>
  <si>
    <t>KATIPATANG</t>
  </si>
  <si>
    <t>WINSOMBR</t>
  </si>
  <si>
    <t>RKDL</t>
  </si>
  <si>
    <t>SILVOAK</t>
  </si>
  <si>
    <t>FSL</t>
  </si>
  <si>
    <t>ECLERX</t>
  </si>
  <si>
    <t>RPSGVENT</t>
  </si>
  <si>
    <t>HGS</t>
  </si>
  <si>
    <t>ALLDIGI</t>
  </si>
  <si>
    <t>NSBBPO</t>
  </si>
  <si>
    <t>WEWIN</t>
  </si>
  <si>
    <t>INFORTEC</t>
  </si>
  <si>
    <t>POBS</t>
  </si>
  <si>
    <t>BNRUDY</t>
  </si>
  <si>
    <t>KEI</t>
  </si>
  <si>
    <t>RRKABEL</t>
  </si>
  <si>
    <t>FINCABLES</t>
  </si>
  <si>
    <t>UNIVCABLES</t>
  </si>
  <si>
    <t>DYCL</t>
  </si>
  <si>
    <t>QUADFUTURE</t>
  </si>
  <si>
    <t>PARACABLES</t>
  </si>
  <si>
    <t>JDCABLES</t>
  </si>
  <si>
    <t>SYSTEMATIC</t>
  </si>
  <si>
    <t>CORDSCABLE</t>
  </si>
  <si>
    <t>PLAZACABLE</t>
  </si>
  <si>
    <t>ULTRACAB</t>
  </si>
  <si>
    <t>BCP</t>
  </si>
  <si>
    <t>HSCL</t>
  </si>
  <si>
    <t>PCBL</t>
  </si>
  <si>
    <t>AIAENG</t>
  </si>
  <si>
    <t>HAPPYFORGE</t>
  </si>
  <si>
    <t>BALUFORGE</t>
  </si>
  <si>
    <t>STEELCAS</t>
  </si>
  <si>
    <t>AMIC</t>
  </si>
  <si>
    <t>SGIL</t>
  </si>
  <si>
    <t>NELCAST</t>
  </si>
  <si>
    <t>INVPRECQ</t>
  </si>
  <si>
    <t>MAGNAELQ</t>
  </si>
  <si>
    <t>NITINCAST</t>
  </si>
  <si>
    <t>KALYANIFRG</t>
  </si>
  <si>
    <t>GUJINTRX</t>
  </si>
  <si>
    <t>KVFORGE</t>
  </si>
  <si>
    <t>KVSCASTING</t>
  </si>
  <si>
    <t>HILTON</t>
  </si>
  <si>
    <t>SAMRATFORG</t>
  </si>
  <si>
    <t>SUPERIRON</t>
  </si>
  <si>
    <t>CREATIVE</t>
  </si>
  <si>
    <t>SMFIL</t>
  </si>
  <si>
    <t>SWASTIKAAL</t>
  </si>
  <si>
    <t>NEETUYOSHI</t>
  </si>
  <si>
    <t>GRASIM</t>
  </si>
  <si>
    <t>AMBUJACEM</t>
  </si>
  <si>
    <t>SHREECEM</t>
  </si>
  <si>
    <t>JKCEMENT</t>
  </si>
  <si>
    <t>DALBHARAT</t>
  </si>
  <si>
    <t>ACC</t>
  </si>
  <si>
    <t>RAMCOCEM</t>
  </si>
  <si>
    <t>JSWCEMENT</t>
  </si>
  <si>
    <t>INDIACEM</t>
  </si>
  <si>
    <t>NUVOCO</t>
  </si>
  <si>
    <t>JKLAKSHMI</t>
  </si>
  <si>
    <t>STARCEMENT</t>
  </si>
  <si>
    <t>BIRLACORPN</t>
  </si>
  <si>
    <t>PRSMJOHNSN</t>
  </si>
  <si>
    <t>HEIDELBERG</t>
  </si>
  <si>
    <t>ORIENTCEM</t>
  </si>
  <si>
    <t>SAGCEM</t>
  </si>
  <si>
    <t>KCP</t>
  </si>
  <si>
    <t>MANGLMCEM</t>
  </si>
  <si>
    <t>SANGHIIND</t>
  </si>
  <si>
    <t>SHREDIGCEM</t>
  </si>
  <si>
    <t>DECCANCE</t>
  </si>
  <si>
    <t>NCLIND</t>
  </si>
  <si>
    <t>BIGBLOC</t>
  </si>
  <si>
    <t>SAURASHCEM</t>
  </si>
  <si>
    <t>SHIVACEM</t>
  </si>
  <si>
    <t>VISAKAIND</t>
  </si>
  <si>
    <t>ACL</t>
  </si>
  <si>
    <t>APCL</t>
  </si>
  <si>
    <t>SKCIL</t>
  </si>
  <si>
    <t>KEIL</t>
  </si>
  <si>
    <t>PANCM</t>
  </si>
  <si>
    <t>BVCL</t>
  </si>
  <si>
    <t>KAKATCEM</t>
  </si>
  <si>
    <t>SRICC</t>
  </si>
  <si>
    <t>KEERTHI</t>
  </si>
  <si>
    <t>SAINIK</t>
  </si>
  <si>
    <t>SCANPRO</t>
  </si>
  <si>
    <t>VARDHMAN</t>
  </si>
  <si>
    <t>VAICC</t>
  </si>
  <si>
    <t>NITCO</t>
  </si>
  <si>
    <t>SOMANYCERA</t>
  </si>
  <si>
    <t>ASIANTILES</t>
  </si>
  <si>
    <t>ORIENTBELL</t>
  </si>
  <si>
    <t>EXXARO</t>
  </si>
  <si>
    <t>MURUDCERA</t>
  </si>
  <si>
    <t>MCPL</t>
  </si>
  <si>
    <t>REGENCERAM</t>
  </si>
  <si>
    <t>RESTILE</t>
  </si>
  <si>
    <t>GODFRYPHLP</t>
  </si>
  <si>
    <t>ELITECON</t>
  </si>
  <si>
    <t>VSTIND</t>
  </si>
  <si>
    <t>NTCIND</t>
  </si>
  <si>
    <t>SINNAR</t>
  </si>
  <si>
    <t>RAGHUNAT</t>
  </si>
  <si>
    <t>NBCC</t>
  </si>
  <si>
    <t>IRB</t>
  </si>
  <si>
    <t>KPIL</t>
  </si>
  <si>
    <t>KEC</t>
  </si>
  <si>
    <t>IRCON</t>
  </si>
  <si>
    <t>AFCONS</t>
  </si>
  <si>
    <t>TECHNOE</t>
  </si>
  <si>
    <t>CEMPRO</t>
  </si>
  <si>
    <t>RITES</t>
  </si>
  <si>
    <t>ENGINERSIN</t>
  </si>
  <si>
    <t>GRINFRA</t>
  </si>
  <si>
    <t>NCC</t>
  </si>
  <si>
    <t>DBL</t>
  </si>
  <si>
    <t>WELENT</t>
  </si>
  <si>
    <t>POWERMECH</t>
  </si>
  <si>
    <t>AHLUCONT</t>
  </si>
  <si>
    <t>PNCINFRA</t>
  </si>
  <si>
    <t>ISGEC</t>
  </si>
  <si>
    <t>HCC</t>
  </si>
  <si>
    <t>CEIGALL</t>
  </si>
  <si>
    <t>MANINFRA</t>
  </si>
  <si>
    <t>JKIL</t>
  </si>
  <si>
    <t>SWSOLAR</t>
  </si>
  <si>
    <t>ASHOKA</t>
  </si>
  <si>
    <t>HGINFRA</t>
  </si>
  <si>
    <t>KNRCON</t>
  </si>
  <si>
    <t>CAPINVIT</t>
  </si>
  <si>
    <t>RAMKY</t>
  </si>
  <si>
    <t>INTERARCH</t>
  </si>
  <si>
    <t>PSPPROJECT</t>
  </si>
  <si>
    <t>PATELENG</t>
  </si>
  <si>
    <t>BGRENERGY</t>
  </si>
  <si>
    <t>VIKRAN</t>
  </si>
  <si>
    <t>GKENERGY</t>
  </si>
  <si>
    <t>SOLARWORLD</t>
  </si>
  <si>
    <t>CAPACITE</t>
  </si>
  <si>
    <t>SIMPLEXINF</t>
  </si>
  <si>
    <t>MBEL</t>
  </si>
  <si>
    <t>GHVINFRA</t>
  </si>
  <si>
    <t>SEPC</t>
  </si>
  <si>
    <t>GARUDA</t>
  </si>
  <si>
    <t>SPMLINFRA</t>
  </si>
  <si>
    <t>GPTINFRA</t>
  </si>
  <si>
    <t>ABINFRA</t>
  </si>
  <si>
    <t>BLKASHYAP</t>
  </si>
  <si>
    <t>SRM</t>
  </si>
  <si>
    <t>SUPREMEINF</t>
  </si>
  <si>
    <t>OMINFRAL</t>
  </si>
  <si>
    <t>LIKHITHA</t>
  </si>
  <si>
    <t>WSI</t>
  </si>
  <si>
    <t>VPRPL</t>
  </si>
  <si>
    <t>GVKPIL</t>
  </si>
  <si>
    <t>SOLARIUM</t>
  </si>
  <si>
    <t>RPPINFRA</t>
  </si>
  <si>
    <t>DBEIL</t>
  </si>
  <si>
    <t>MBLINFRA</t>
  </si>
  <si>
    <t>ZODIAC</t>
  </si>
  <si>
    <t>GOELCONS</t>
  </si>
  <si>
    <t>MOLDTECH</t>
  </si>
  <si>
    <t>BRAHMINFRA</t>
  </si>
  <si>
    <t>TICL</t>
  </si>
  <si>
    <t>GLOBECIVIL</t>
  </si>
  <si>
    <t>MARKOLINES</t>
  </si>
  <si>
    <t>IL&amp;FSENGG</t>
  </si>
  <si>
    <t>SGFRL</t>
  </si>
  <si>
    <t>MADHAVIPL</t>
  </si>
  <si>
    <t>BRGIL</t>
  </si>
  <si>
    <t>KARBON</t>
  </si>
  <si>
    <t>NIRAJ</t>
  </si>
  <si>
    <t>BRNL</t>
  </si>
  <si>
    <t>SAB</t>
  </si>
  <si>
    <t>NAVKARURB</t>
  </si>
  <si>
    <t>MODULEX</t>
  </si>
  <si>
    <t>KRRAIL</t>
  </si>
  <si>
    <t>GRERENEW</t>
  </si>
  <si>
    <t>OVAL</t>
  </si>
  <si>
    <t>TARMAT</t>
  </si>
  <si>
    <t>REFEXRENEW</t>
  </si>
  <si>
    <t>BCPL</t>
  </si>
  <si>
    <t>USK</t>
  </si>
  <si>
    <t>SADBHIN</t>
  </si>
  <si>
    <t>SADBHAV</t>
  </si>
  <si>
    <t>DESCO</t>
  </si>
  <si>
    <t>VALPLAST</t>
  </si>
  <si>
    <t>MAINFRA</t>
  </si>
  <si>
    <t>TELGE</t>
  </si>
  <si>
    <t>IL&amp;FSTRANS</t>
  </si>
  <si>
    <t>SEMAC</t>
  </si>
  <si>
    <t>PFL</t>
  </si>
  <si>
    <t>TPHQ</t>
  </si>
  <si>
    <t>JAYANT</t>
  </si>
  <si>
    <t>VSFPROJ</t>
  </si>
  <si>
    <t>HMEML</t>
  </si>
  <si>
    <t>KAIZENAGRO</t>
  </si>
  <si>
    <t>PVVINFRA</t>
  </si>
  <si>
    <t>YURANUS</t>
  </si>
  <si>
    <t>RUDRAGAS</t>
  </si>
  <si>
    <t>MEAPL</t>
  </si>
  <si>
    <t>CONART</t>
  </si>
  <si>
    <t>CCLINTER</t>
  </si>
  <si>
    <t>CHIRAHARIT</t>
  </si>
  <si>
    <t>PROMAX</t>
  </si>
  <si>
    <t>MAPROIN</t>
  </si>
  <si>
    <t>MADHUCON</t>
  </si>
  <si>
    <t>SHREESHAY</t>
  </si>
  <si>
    <t>KRIDHANINF</t>
  </si>
  <si>
    <t>NACDAC</t>
  </si>
  <si>
    <t>MHEL</t>
  </si>
  <si>
    <t>POPULARES</t>
  </si>
  <si>
    <t>JULIEN</t>
  </si>
  <si>
    <t>RANJEET</t>
  </si>
  <si>
    <t>VIVANTA</t>
  </si>
  <si>
    <t>KCLINFRA</t>
  </si>
  <si>
    <t>SHASHIJIT</t>
  </si>
  <si>
    <t>RAUNAQ</t>
  </si>
  <si>
    <t>PBAINFRA</t>
  </si>
  <si>
    <t>IISL</t>
  </si>
  <si>
    <t>SIPL</t>
  </si>
  <si>
    <t>SETUINFRA</t>
  </si>
  <si>
    <t>ANANDPROJ</t>
  </si>
  <si>
    <r>
      <rPr>
        <sz val="10"/>
        <color rgb="FF000000"/>
        <rFont val="Calibri"/>
      </rPr>
      <t>COALINDIA</t>
    </r>
  </si>
  <si>
    <r>
      <rPr>
        <sz val="10"/>
        <color rgb="FF000000"/>
        <rFont val="Calibri"/>
      </rPr>
      <t>BHARATCOAL</t>
    </r>
  </si>
  <si>
    <r>
      <rPr>
        <sz val="10"/>
        <color rgb="FF000000"/>
        <rFont val="Calibri"/>
      </rPr>
      <t>SANDUMA</t>
    </r>
  </si>
  <si>
    <r>
      <rPr>
        <sz val="10"/>
        <color rgb="FF000000"/>
        <rFont val="Calibri"/>
      </rPr>
      <t>FFPL</t>
    </r>
  </si>
  <si>
    <t>TMCV</t>
  </si>
  <si>
    <t>ASHOKLEY</t>
  </si>
  <si>
    <t>SMLMAH</t>
  </si>
  <si>
    <t>ATULAUTO</t>
  </si>
  <si>
    <t/>
  </si>
  <si>
    <t>Row Labels</t>
  </si>
  <si>
    <t>(blank)</t>
  </si>
  <si>
    <t>Average of Sales Gr Q3_FY26</t>
  </si>
  <si>
    <t>Average of Profit Gr Q3_FY26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</si>
</sst>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0.0%"/>
    <numFmt numFmtId="165" formatCode="0.0"/>
    <numFmt numFmtId="166" formatCode="d\-mmm\-yy"/>
    <numFmt numFmtId="167" formatCode="dd\-mmm\-yy"/>
    <numFmt numFmtId="168" formatCode="d/m/yyyy"/>
    <numFmt numFmtId="169" formatCode="d/m/yy"/>
    <numFmt numFmtId="170" formatCode="dd\ mmm\ yyyy"/>
  </numFmts>
  <fonts count="49">
    <font>
      <sz val="10"/>
      <color rgb="FF000000"/>
      <name val="Arial"/>
      <scheme val="minor"/>
    </font>
    <font>
      <sz val="10"/>
      <color theme="1"/>
      <name val="Arial"/>
    </font>
    <font>
      <sz val="10"/>
      <color rgb="FFFFFFFF"/>
      <name val="Arial"/>
    </font>
    <font>
      <sz val="10"/>
      <color theme="1"/>
      <name val="Arial"/>
      <scheme val="minor"/>
    </font>
    <font>
      <sz val="11"/>
      <color theme="1"/>
      <name val="Calibri"/>
    </font>
    <font>
      <b/>
      <sz val="10"/>
      <color rgb="FFFFFFFF"/>
      <name val="Arial"/>
    </font>
    <font>
      <b/>
      <sz val="10"/>
      <color theme="1"/>
      <name val="Arial"/>
    </font>
    <font>
      <b/>
      <sz val="10"/>
      <color theme="1"/>
      <name val="Arial"/>
      <scheme val="minor"/>
    </font>
    <font>
      <b/>
      <sz val="11"/>
      <color theme="1"/>
      <name val="Calibri"/>
    </font>
    <font>
      <b/>
      <sz val="9"/>
      <color rgb="FFFFFFFF"/>
      <name val="Arial"/>
      <scheme val="minor"/>
    </font>
    <font>
      <sz val="11"/>
      <color rgb="FF000000"/>
      <name val="Calibri"/>
    </font>
    <font>
      <b/>
      <sz val="11"/>
      <color rgb="FFFFFFFF"/>
      <name val="Calibri"/>
    </font>
    <font>
      <sz val="11"/>
      <color theme="1"/>
      <name val="Arial"/>
    </font>
    <font>
      <sz val="10"/>
      <color rgb="FF000000"/>
      <name val="MyFirstFont"/>
    </font>
    <font>
      <sz val="10"/>
      <color rgb="FF212529"/>
      <name val="Poppins"/>
    </font>
    <font>
      <sz val="11"/>
      <color rgb="FF000000"/>
      <name val="Arial"/>
    </font>
    <font>
      <sz val="13"/>
      <color rgb="FF000000"/>
      <name val="Calibri"/>
    </font>
    <font>
      <sz val="10"/>
      <color rgb="FF333333"/>
      <name val="Arial"/>
    </font>
    <font>
      <sz val="12"/>
      <color rgb="FF212529"/>
      <name val="Calibri"/>
    </font>
    <font>
      <sz val="10"/>
      <color rgb="FF000000"/>
      <name val="Arial"/>
    </font>
    <font>
      <sz val="12"/>
      <color rgb="FF000000"/>
      <name val="Calibri"/>
    </font>
    <font>
      <sz val="11"/>
      <color rgb="FF333333"/>
      <name val="Calibri"/>
    </font>
    <font>
      <sz val="10"/>
      <color rgb="FF333333"/>
      <name val="MyFirstFont"/>
    </font>
    <font>
      <sz val="12"/>
      <color rgb="FF000000"/>
      <name val="Arial"/>
    </font>
    <font>
      <sz val="10"/>
      <color rgb="FF000000"/>
      <name val="Arial"/>
    </font>
    <font>
      <b/>
      <i/>
      <u/>
      <sz val="11"/>
      <color rgb="FF000000"/>
      <name val="Calibri"/>
    </font>
    <font>
      <b/>
      <sz val="10"/>
      <color rgb="FFFFFFFF"/>
      <name val="MyFirstFont"/>
    </font>
    <font>
      <b/>
      <sz val="10"/>
      <color rgb="FFFFFFFF"/>
      <name val="Calibri"/>
    </font>
    <font>
      <b/>
      <sz val="8"/>
      <color rgb="FFFFFFFF"/>
      <name val="Calibri"/>
    </font>
    <font>
      <u/>
      <sz val="10"/>
      <color rgb="FF0000FF"/>
      <name val="Arial"/>
    </font>
    <font>
      <sz val="10"/>
      <color theme="1"/>
      <name val="MyFirstFont"/>
    </font>
    <font>
      <b/>
      <sz val="10"/>
      <color theme="1"/>
      <name val="Calibri"/>
    </font>
    <font>
      <b/>
      <sz val="8"/>
      <color theme="1"/>
      <name val="Calibri"/>
    </font>
    <font>
      <b/>
      <i/>
      <u/>
      <sz val="10"/>
      <color theme="1"/>
      <name val="Arial"/>
      <scheme val="minor"/>
    </font>
    <font>
      <b/>
      <i/>
      <u/>
      <sz val="10"/>
      <color theme="1"/>
      <name val="Arial"/>
      <scheme val="minor"/>
    </font>
    <font>
      <b/>
      <i/>
      <u/>
      <sz val="10"/>
      <color theme="1"/>
      <name val="Arial"/>
    </font>
    <font>
      <b/>
      <sz val="10"/>
      <color rgb="FF000000"/>
      <name val="Arial"/>
    </font>
    <font>
      <sz val="12"/>
      <color theme="1"/>
      <name val="Times New Roman"/>
    </font>
    <font>
      <sz val="10"/>
      <color theme="1"/>
      <name val="Comic Sans MS"/>
    </font>
    <font>
      <u/>
      <sz val="12"/>
      <color theme="1"/>
      <name val="Times New Roman"/>
    </font>
    <font>
      <i/>
      <u/>
      <sz val="10"/>
      <color theme="1"/>
      <name val="Arial"/>
    </font>
    <font>
      <sz val="10"/>
      <color theme="1"/>
      <name val="&quot;Google Sans Text&quot;"/>
    </font>
    <font>
      <sz val="10"/>
      <color theme="1"/>
      <name val="&quot;Courier New&quot;"/>
    </font>
    <font>
      <b/>
      <i/>
      <u/>
      <sz val="10"/>
      <color theme="1"/>
      <name val="Arial"/>
    </font>
    <font>
      <b/>
      <i/>
      <u/>
      <sz val="10"/>
      <color theme="1"/>
      <name val="Arial"/>
    </font>
    <font>
      <u/>
      <sz val="10"/>
      <color rgb="FF0000FF"/>
      <name val="MyFirstFont"/>
    </font>
    <font>
      <sz val="10"/>
      <color rgb="FF212529"/>
      <name val="MyFirstFont"/>
    </font>
    <font>
      <sz val="10"/>
      <color theme="1"/>
      <name val="Calibri"/>
    </font>
    <font>
      <sz val="10"/>
      <color rgb="FF000000"/>
      <name val="Calibri"/>
    </font>
  </fonts>
  <fills count="177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3D85C6"/>
        <bgColor rgb="FF3D85C6"/>
      </patternFill>
    </fill>
    <fill>
      <patternFill patternType="solid">
        <fgColor rgb="FF073763"/>
        <bgColor rgb="FF073763"/>
      </patternFill>
    </fill>
    <fill>
      <patternFill patternType="solid">
        <fgColor rgb="FF57BB8A"/>
        <bgColor rgb="FF57BB8A"/>
      </patternFill>
    </fill>
    <fill>
      <patternFill patternType="solid">
        <fgColor rgb="FF84CDA9"/>
        <bgColor rgb="FF84CDA9"/>
      </patternFill>
    </fill>
    <fill>
      <patternFill patternType="solid">
        <fgColor rgb="FFFEFCFC"/>
        <bgColor rgb="FFFEFCFC"/>
      </patternFill>
    </fill>
    <fill>
      <patternFill patternType="solid">
        <fgColor rgb="FF91D2B2"/>
        <bgColor rgb="FF91D2B2"/>
      </patternFill>
    </fill>
    <fill>
      <patternFill patternType="solid">
        <fgColor rgb="FFFDFEFD"/>
        <bgColor rgb="FFFDFEFD"/>
      </patternFill>
    </fill>
    <fill>
      <patternFill patternType="solid">
        <fgColor rgb="FFADDEC6"/>
        <bgColor rgb="FFADDEC6"/>
      </patternFill>
    </fill>
    <fill>
      <patternFill patternType="solid">
        <fgColor rgb="FFFBE9E8"/>
        <bgColor rgb="FFFBE9E8"/>
      </patternFill>
    </fill>
    <fill>
      <patternFill patternType="solid">
        <fgColor rgb="FFEA918A"/>
        <bgColor rgb="FFEA918A"/>
      </patternFill>
    </fill>
    <fill>
      <patternFill patternType="solid">
        <fgColor rgb="FFEEA39D"/>
        <bgColor rgb="FFEEA39D"/>
      </patternFill>
    </fill>
    <fill>
      <patternFill patternType="solid">
        <fgColor rgb="FFCDEBDC"/>
        <bgColor rgb="FFCDEBDC"/>
      </patternFill>
    </fill>
    <fill>
      <patternFill patternType="solid">
        <fgColor rgb="FFFFFFFF"/>
        <bgColor rgb="FFFFFFFF"/>
      </patternFill>
    </fill>
    <fill>
      <patternFill patternType="solid">
        <fgColor rgb="FFA9DCC3"/>
        <bgColor rgb="FFA9DCC3"/>
      </patternFill>
    </fill>
    <fill>
      <patternFill patternType="solid">
        <fgColor rgb="FFD6EFE3"/>
        <bgColor rgb="FFD6EFE3"/>
      </patternFill>
    </fill>
    <fill>
      <patternFill patternType="solid">
        <fgColor rgb="FFF1FAF6"/>
        <bgColor rgb="FFF1FAF6"/>
      </patternFill>
    </fill>
    <fill>
      <patternFill patternType="solid">
        <fgColor rgb="FFFEFFFE"/>
        <bgColor rgb="FFFEFFFE"/>
      </patternFill>
    </fill>
    <fill>
      <patternFill patternType="solid">
        <fgColor rgb="FFF6FCF9"/>
        <bgColor rgb="FFF6FCF9"/>
      </patternFill>
    </fill>
    <fill>
      <patternFill patternType="solid">
        <fgColor rgb="FFE67C73"/>
        <bgColor rgb="FFE67C73"/>
      </patternFill>
    </fill>
    <fill>
      <patternFill patternType="solid">
        <fgColor rgb="FFF9E0DE"/>
        <bgColor rgb="FFF9E0DE"/>
      </patternFill>
    </fill>
    <fill>
      <patternFill patternType="solid">
        <fgColor rgb="FFFEFDFD"/>
        <bgColor rgb="FFFEFDFD"/>
      </patternFill>
    </fill>
    <fill>
      <patternFill patternType="solid">
        <fgColor rgb="FFF4CAC6"/>
        <bgColor rgb="FFF4CAC6"/>
      </patternFill>
    </fill>
    <fill>
      <patternFill patternType="solid">
        <fgColor rgb="FFA0D9BD"/>
        <bgColor rgb="FFA0D9BD"/>
      </patternFill>
    </fill>
    <fill>
      <patternFill patternType="solid">
        <fgColor rgb="FFA8DCC3"/>
        <bgColor rgb="FFA8DCC3"/>
      </patternFill>
    </fill>
    <fill>
      <patternFill patternType="solid">
        <fgColor rgb="FF0B5394"/>
        <bgColor rgb="FF0B5394"/>
      </patternFill>
    </fill>
    <fill>
      <patternFill patternType="solid">
        <fgColor rgb="FF99D6B8"/>
        <bgColor rgb="FF99D6B8"/>
      </patternFill>
    </fill>
    <fill>
      <patternFill patternType="solid">
        <fgColor rgb="FFC6E8D7"/>
        <bgColor rgb="FFC6E8D7"/>
      </patternFill>
    </fill>
    <fill>
      <patternFill patternType="solid">
        <fgColor rgb="FFD8F0E4"/>
        <bgColor rgb="FFD8F0E4"/>
      </patternFill>
    </fill>
    <fill>
      <patternFill patternType="solid">
        <fgColor rgb="FFEAF7F0"/>
        <bgColor rgb="FFEAF7F0"/>
      </patternFill>
    </fill>
    <fill>
      <patternFill patternType="solid">
        <fgColor rgb="FFEBF7F1"/>
        <bgColor rgb="FFEBF7F1"/>
      </patternFill>
    </fill>
    <fill>
      <patternFill patternType="solid">
        <fgColor rgb="FF86CEAB"/>
        <bgColor rgb="FF86CEAB"/>
      </patternFill>
    </fill>
    <fill>
      <patternFill patternType="solid">
        <fgColor rgb="FFFAFDFC"/>
        <bgColor rgb="FFFAFDFC"/>
      </patternFill>
    </fill>
    <fill>
      <patternFill patternType="solid">
        <fgColor rgb="FFFDF5F5"/>
        <bgColor rgb="FFFDF5F5"/>
      </patternFill>
    </fill>
    <fill>
      <patternFill patternType="solid">
        <fgColor rgb="FFF4FBF7"/>
        <bgColor rgb="FFF4FBF7"/>
      </patternFill>
    </fill>
    <fill>
      <patternFill patternType="solid">
        <fgColor rgb="FFBAE3CF"/>
        <bgColor rgb="FFBAE3CF"/>
      </patternFill>
    </fill>
    <fill>
      <patternFill patternType="solid">
        <fgColor rgb="FFEDA09A"/>
        <bgColor rgb="FFEDA09A"/>
      </patternFill>
    </fill>
    <fill>
      <patternFill patternType="solid">
        <fgColor rgb="FFEAF6F0"/>
        <bgColor rgb="FFEAF6F0"/>
      </patternFill>
    </fill>
    <fill>
      <patternFill patternType="solid">
        <fgColor rgb="FFF6CFCC"/>
        <bgColor rgb="FFF6CFCC"/>
      </patternFill>
    </fill>
    <fill>
      <patternFill patternType="solid">
        <fgColor rgb="FFE7837B"/>
        <bgColor rgb="FFE7837B"/>
      </patternFill>
    </fill>
    <fill>
      <patternFill patternType="solid">
        <fgColor rgb="FF89D0AD"/>
        <bgColor rgb="FF89D0AD"/>
      </patternFill>
    </fill>
    <fill>
      <patternFill patternType="solid">
        <fgColor rgb="FFEDF8F3"/>
        <bgColor rgb="FFEDF8F3"/>
      </patternFill>
    </fill>
    <fill>
      <patternFill patternType="solid">
        <fgColor rgb="FFE4F4EC"/>
        <bgColor rgb="FFE4F4EC"/>
      </patternFill>
    </fill>
    <fill>
      <patternFill patternType="solid">
        <fgColor rgb="FFF8DAD7"/>
        <bgColor rgb="FFF8DAD7"/>
      </patternFill>
    </fill>
    <fill>
      <patternFill patternType="solid">
        <fgColor rgb="FFFDF1F0"/>
        <bgColor rgb="FFFDF1F0"/>
      </patternFill>
    </fill>
    <fill>
      <patternFill patternType="solid">
        <fgColor rgb="FFB9E2CE"/>
        <bgColor rgb="FFB9E2CE"/>
      </patternFill>
    </fill>
    <fill>
      <patternFill patternType="solid">
        <fgColor rgb="FFFEF6F6"/>
        <bgColor rgb="FFFEF6F6"/>
      </patternFill>
    </fill>
    <fill>
      <patternFill patternType="solid">
        <fgColor rgb="FFFEF8F7"/>
        <bgColor rgb="FFFEF8F7"/>
      </patternFill>
    </fill>
    <fill>
      <patternFill patternType="solid">
        <fgColor rgb="FFFBEAE8"/>
        <bgColor rgb="FFFBEAE8"/>
      </patternFill>
    </fill>
    <fill>
      <patternFill patternType="solid">
        <fgColor rgb="FFFDFEFE"/>
        <bgColor rgb="FFFDFEFE"/>
      </patternFill>
    </fill>
    <fill>
      <patternFill patternType="solid">
        <fgColor rgb="FF70C59C"/>
        <bgColor rgb="FF70C59C"/>
      </patternFill>
    </fill>
    <fill>
      <patternFill patternType="solid">
        <fgColor rgb="FFDFF2E9"/>
        <bgColor rgb="FFDFF2E9"/>
      </patternFill>
    </fill>
    <fill>
      <patternFill patternType="solid">
        <fgColor rgb="FFFDF2F1"/>
        <bgColor rgb="FFFDF2F1"/>
      </patternFill>
    </fill>
    <fill>
      <patternFill patternType="solid">
        <fgColor rgb="FFEFF9F4"/>
        <bgColor rgb="FFEFF9F4"/>
      </patternFill>
    </fill>
    <fill>
      <patternFill patternType="solid">
        <fgColor rgb="FFE1F3EB"/>
        <bgColor rgb="FFE1F3EB"/>
      </patternFill>
    </fill>
    <fill>
      <patternFill patternType="solid">
        <fgColor rgb="FF0000FF"/>
        <bgColor rgb="FF0000FF"/>
      </patternFill>
    </fill>
    <fill>
      <patternFill patternType="solid">
        <fgColor rgb="FF93C47D"/>
        <bgColor rgb="FF93C47D"/>
      </patternFill>
    </fill>
    <fill>
      <patternFill patternType="solid">
        <fgColor rgb="FFFAFAFA"/>
        <bgColor rgb="FFFAFAFA"/>
      </patternFill>
    </fill>
    <fill>
      <patternFill patternType="solid">
        <fgColor rgb="FF10486B"/>
        <bgColor rgb="FF10486B"/>
      </patternFill>
    </fill>
    <fill>
      <patternFill patternType="solid">
        <fgColor rgb="FFFFE599"/>
        <bgColor rgb="FFFFE599"/>
      </patternFill>
    </fill>
    <fill>
      <patternFill patternType="solid">
        <fgColor rgb="FF6FA8DC"/>
        <bgColor rgb="FF6FA8D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FF00"/>
        <bgColor rgb="FFFFFF00"/>
      </patternFill>
    </fill>
    <fill>
      <patternFill patternType="solid">
        <fgColor rgb="FF5B0F00"/>
        <bgColor rgb="FF5B0F00"/>
      </patternFill>
    </fill>
    <fill>
      <patternFill patternType="solid">
        <fgColor rgb="FFE3F4EC"/>
        <bgColor rgb="FFE3F4EC"/>
      </patternFill>
    </fill>
    <fill>
      <patternFill patternType="solid">
        <fgColor rgb="FFFFFDFD"/>
        <bgColor rgb="FFFFFDFD"/>
      </patternFill>
    </fill>
    <fill>
      <patternFill patternType="solid">
        <fgColor rgb="FF66C195"/>
        <bgColor rgb="FF66C195"/>
      </patternFill>
    </fill>
    <fill>
      <patternFill patternType="solid">
        <fgColor rgb="FF5FBE8F"/>
        <bgColor rgb="FF5FBE8F"/>
      </patternFill>
    </fill>
    <fill>
      <patternFill patternType="solid">
        <fgColor rgb="FFFFFEFE"/>
        <bgColor rgb="FFFFFEFE"/>
      </patternFill>
    </fill>
    <fill>
      <patternFill patternType="solid">
        <fgColor rgb="FFFEFAF9"/>
        <bgColor rgb="FFFEFAF9"/>
      </patternFill>
    </fill>
    <fill>
      <patternFill patternType="solid">
        <fgColor rgb="FF62BF92"/>
        <bgColor rgb="FF62BF92"/>
      </patternFill>
    </fill>
    <fill>
      <patternFill patternType="solid">
        <fgColor rgb="FFFDF4F3"/>
        <bgColor rgb="FFFDF4F3"/>
      </patternFill>
    </fill>
    <fill>
      <patternFill patternType="solid">
        <fgColor rgb="FFF1FAF5"/>
        <bgColor rgb="FFF1FAF5"/>
      </patternFill>
    </fill>
    <fill>
      <patternFill patternType="solid">
        <fgColor rgb="FFFFFFFE"/>
        <bgColor rgb="FFFFFFFE"/>
      </patternFill>
    </fill>
    <fill>
      <patternFill patternType="solid">
        <fgColor rgb="FFFEF7F6"/>
        <bgColor rgb="FFFEF7F6"/>
      </patternFill>
    </fill>
    <fill>
      <patternFill patternType="solid">
        <fgColor rgb="FF77C7A0"/>
        <bgColor rgb="FF77C7A0"/>
      </patternFill>
    </fill>
    <fill>
      <patternFill patternType="solid">
        <fgColor rgb="FF8BD0AE"/>
        <bgColor rgb="FF8BD0AE"/>
      </patternFill>
    </fill>
    <fill>
      <patternFill patternType="solid">
        <fgColor rgb="FF58BB8B"/>
        <bgColor rgb="FF58BB8B"/>
      </patternFill>
    </fill>
    <fill>
      <patternFill patternType="solid">
        <fgColor rgb="FFAADCC4"/>
        <bgColor rgb="FFAADCC4"/>
      </patternFill>
    </fill>
    <fill>
      <patternFill patternType="solid">
        <fgColor rgb="FFFBFEFC"/>
        <bgColor rgb="FFFBFEFC"/>
      </patternFill>
    </fill>
    <fill>
      <patternFill patternType="solid">
        <fgColor rgb="FFFFFCFC"/>
        <bgColor rgb="FFFFFCFC"/>
      </patternFill>
    </fill>
    <fill>
      <patternFill patternType="solid">
        <fgColor rgb="FF5CBD8E"/>
        <bgColor rgb="FF5CBD8E"/>
      </patternFill>
    </fill>
    <fill>
      <patternFill patternType="solid">
        <fgColor rgb="FFF1F9F5"/>
        <bgColor rgb="FFF1F9F5"/>
      </patternFill>
    </fill>
    <fill>
      <patternFill patternType="solid">
        <fgColor rgb="FF81CCA7"/>
        <bgColor rgb="FF81CCA7"/>
      </patternFill>
    </fill>
    <fill>
      <patternFill patternType="solid">
        <fgColor rgb="FF58BB8A"/>
        <bgColor rgb="FF58BB8A"/>
      </patternFill>
    </fill>
    <fill>
      <patternFill patternType="solid">
        <fgColor rgb="FF72C69D"/>
        <bgColor rgb="FF72C69D"/>
      </patternFill>
    </fill>
    <fill>
      <patternFill patternType="solid">
        <fgColor rgb="FFF8FCFA"/>
        <bgColor rgb="FFF8FCFA"/>
      </patternFill>
    </fill>
    <fill>
      <patternFill patternType="solid">
        <fgColor rgb="FFFFFCFB"/>
        <bgColor rgb="FFFFFCFB"/>
      </patternFill>
    </fill>
    <fill>
      <patternFill patternType="solid">
        <fgColor rgb="FF5BBC8D"/>
        <bgColor rgb="FF5BBC8D"/>
      </patternFill>
    </fill>
    <fill>
      <patternFill patternType="solid">
        <fgColor rgb="FF62BF91"/>
        <bgColor rgb="FF62BF91"/>
      </patternFill>
    </fill>
    <fill>
      <patternFill patternType="solid">
        <fgColor rgb="FFFFFBFB"/>
        <bgColor rgb="FFFFFBFB"/>
      </patternFill>
    </fill>
    <fill>
      <patternFill patternType="solid">
        <fgColor rgb="FFFEF9F8"/>
        <bgColor rgb="FFFEF9F8"/>
      </patternFill>
    </fill>
    <fill>
      <patternFill patternType="solid">
        <fgColor rgb="FF7CCAA4"/>
        <bgColor rgb="FF7CCAA4"/>
      </patternFill>
    </fill>
    <fill>
      <patternFill patternType="solid">
        <fgColor rgb="FFA0D8BD"/>
        <bgColor rgb="FFA0D8BD"/>
      </patternFill>
    </fill>
    <fill>
      <patternFill patternType="solid">
        <fgColor rgb="FFF3FAF7"/>
        <bgColor rgb="FFF3FAF7"/>
      </patternFill>
    </fill>
    <fill>
      <patternFill patternType="solid">
        <fgColor rgb="FF61BF91"/>
        <bgColor rgb="FF61BF91"/>
      </patternFill>
    </fill>
    <fill>
      <patternFill patternType="solid">
        <fgColor rgb="FFEEF9F4"/>
        <bgColor rgb="FFEEF9F4"/>
      </patternFill>
    </fill>
    <fill>
      <patternFill patternType="solid">
        <fgColor rgb="FFFEF9F9"/>
        <bgColor rgb="FFFEF9F9"/>
      </patternFill>
    </fill>
    <fill>
      <patternFill patternType="solid">
        <fgColor rgb="FF68C195"/>
        <bgColor rgb="FF68C195"/>
      </patternFill>
    </fill>
    <fill>
      <patternFill patternType="solid">
        <fgColor rgb="FFCCCCCC"/>
        <bgColor rgb="FFCCCCCC"/>
      </patternFill>
    </fill>
    <fill>
      <patternFill patternType="solid">
        <fgColor rgb="FF6AC297"/>
        <bgColor rgb="FF6AC297"/>
      </patternFill>
    </fill>
    <fill>
      <patternFill patternType="solid">
        <fgColor rgb="FF67C195"/>
        <bgColor rgb="FF67C195"/>
      </patternFill>
    </fill>
    <fill>
      <patternFill patternType="solid">
        <fgColor rgb="FF5DBD8E"/>
        <bgColor rgb="FF5DBD8E"/>
      </patternFill>
    </fill>
    <fill>
      <patternFill patternType="solid">
        <fgColor rgb="FFF7FCFA"/>
        <bgColor rgb="FFF7FCFA"/>
      </patternFill>
    </fill>
    <fill>
      <patternFill patternType="solid">
        <fgColor rgb="FFEFF8F4"/>
        <bgColor rgb="FFEFF8F4"/>
      </patternFill>
    </fill>
    <fill>
      <patternFill patternType="solid">
        <fgColor rgb="FF5ABC8C"/>
        <bgColor rgb="FF5ABC8C"/>
      </patternFill>
    </fill>
    <fill>
      <patternFill patternType="solid">
        <fgColor rgb="FFD2EDE0"/>
        <bgColor rgb="FFD2EDE0"/>
      </patternFill>
    </fill>
    <fill>
      <patternFill patternType="solid">
        <fgColor rgb="FFFCECEA"/>
        <bgColor rgb="FFFCECEA"/>
      </patternFill>
    </fill>
    <fill>
      <patternFill patternType="solid">
        <fgColor rgb="FFFBE6E5"/>
        <bgColor rgb="FFFBE6E5"/>
      </patternFill>
    </fill>
    <fill>
      <patternFill patternType="solid">
        <fgColor rgb="FFE2F3EB"/>
        <bgColor rgb="FFE2F3EB"/>
      </patternFill>
    </fill>
    <fill>
      <patternFill patternType="solid">
        <fgColor rgb="FFCEECDD"/>
        <bgColor rgb="FFCEECDD"/>
      </patternFill>
    </fill>
    <fill>
      <patternFill patternType="solid">
        <fgColor rgb="FFF7D5D2"/>
        <bgColor rgb="FFF7D5D2"/>
      </patternFill>
    </fill>
    <fill>
      <patternFill patternType="solid">
        <fgColor rgb="FF9ED7BB"/>
        <bgColor rgb="FF9ED7BB"/>
      </patternFill>
    </fill>
    <fill>
      <patternFill patternType="solid">
        <fgColor rgb="FFF9DDDB"/>
        <bgColor rgb="FFF9DDDB"/>
      </patternFill>
    </fill>
    <fill>
      <patternFill patternType="solid">
        <fgColor rgb="FFDCF1E7"/>
        <bgColor rgb="FFDCF1E7"/>
      </patternFill>
    </fill>
    <fill>
      <patternFill patternType="solid">
        <fgColor rgb="FFFBE6E4"/>
        <bgColor rgb="FFFBE6E4"/>
      </patternFill>
    </fill>
    <fill>
      <patternFill patternType="solid">
        <fgColor rgb="FF83CCA8"/>
        <bgColor rgb="FF83CCA8"/>
      </patternFill>
    </fill>
    <fill>
      <patternFill patternType="solid">
        <fgColor rgb="FFFCEEED"/>
        <bgColor rgb="FFFCEEED"/>
      </patternFill>
    </fill>
    <fill>
      <patternFill patternType="solid">
        <fgColor rgb="FFE7F5EE"/>
        <bgColor rgb="FFE7F5EE"/>
      </patternFill>
    </fill>
    <fill>
      <patternFill patternType="solid">
        <fgColor rgb="FFB3E0CA"/>
        <bgColor rgb="FFB3E0CA"/>
      </patternFill>
    </fill>
    <fill>
      <patternFill patternType="solid">
        <fgColor rgb="FFF6FBF9"/>
        <bgColor rgb="FFF6FBF9"/>
      </patternFill>
    </fill>
    <fill>
      <patternFill patternType="solid">
        <fgColor rgb="FFFDFFFE"/>
        <bgColor rgb="FFFDFFFE"/>
      </patternFill>
    </fill>
    <fill>
      <patternFill patternType="solid">
        <fgColor rgb="FF92D2B3"/>
        <bgColor rgb="FF92D2B3"/>
      </patternFill>
    </fill>
    <fill>
      <patternFill patternType="solid">
        <fgColor rgb="FFBDE4D1"/>
        <bgColor rgb="FFBDE4D1"/>
      </patternFill>
    </fill>
    <fill>
      <patternFill patternType="solid">
        <fgColor rgb="FFE6F5EE"/>
        <bgColor rgb="FFE6F5EE"/>
      </patternFill>
    </fill>
    <fill>
      <patternFill patternType="solid">
        <fgColor rgb="FF7DCAA4"/>
        <bgColor rgb="FF7DCAA4"/>
      </patternFill>
    </fill>
    <fill>
      <patternFill patternType="solid">
        <fgColor rgb="FF63C092"/>
        <bgColor rgb="FF63C092"/>
      </patternFill>
    </fill>
    <fill>
      <patternFill patternType="solid">
        <fgColor rgb="FFFFFDFC"/>
        <bgColor rgb="FFFFFDFC"/>
      </patternFill>
    </fill>
    <fill>
      <patternFill patternType="solid">
        <fgColor rgb="FFE9F6F0"/>
        <bgColor rgb="FFE9F6F0"/>
      </patternFill>
    </fill>
    <fill>
      <patternFill patternType="solid">
        <fgColor rgb="FF74C69E"/>
        <bgColor rgb="FF74C69E"/>
      </patternFill>
    </fill>
    <fill>
      <patternFill patternType="solid">
        <fgColor rgb="FF71C59C"/>
        <bgColor rgb="FF71C59C"/>
      </patternFill>
    </fill>
    <fill>
      <patternFill patternType="solid">
        <fgColor rgb="FF7AC9A2"/>
        <bgColor rgb="FF7AC9A2"/>
      </patternFill>
    </fill>
    <fill>
      <patternFill patternType="solid">
        <fgColor rgb="FFF4C1BC"/>
        <bgColor rgb="FFF4C1BC"/>
      </patternFill>
    </fill>
    <fill>
      <patternFill patternType="solid">
        <fgColor rgb="FFAEDEC7"/>
        <bgColor rgb="FFAEDEC7"/>
      </patternFill>
    </fill>
    <fill>
      <patternFill patternType="solid">
        <fgColor rgb="FFF4C2BE"/>
        <bgColor rgb="FFF4C2BE"/>
      </patternFill>
    </fill>
    <fill>
      <patternFill patternType="solid">
        <fgColor rgb="FFFCFEFD"/>
        <bgColor rgb="FFFCFEFD"/>
      </patternFill>
    </fill>
    <fill>
      <patternFill patternType="solid">
        <fgColor rgb="FFCAE9DA"/>
        <bgColor rgb="FFCAE9DA"/>
      </patternFill>
    </fill>
    <fill>
      <patternFill patternType="solid">
        <fgColor rgb="FF59BB8B"/>
        <bgColor rgb="FF59BB8B"/>
      </patternFill>
    </fill>
    <fill>
      <patternFill patternType="solid">
        <fgColor rgb="FFEDF8F2"/>
        <bgColor rgb="FFEDF8F2"/>
      </patternFill>
    </fill>
    <fill>
      <patternFill patternType="solid">
        <fgColor rgb="FFF6FBF8"/>
        <bgColor rgb="FFF6FBF8"/>
      </patternFill>
    </fill>
    <fill>
      <patternFill patternType="solid">
        <fgColor rgb="FFFDF5F4"/>
        <bgColor rgb="FFFDF5F4"/>
      </patternFill>
    </fill>
    <fill>
      <patternFill patternType="solid">
        <fgColor rgb="FFF5FBF8"/>
        <bgColor rgb="FFF5FBF8"/>
      </patternFill>
    </fill>
    <fill>
      <patternFill patternType="solid">
        <fgColor rgb="FF75C79E"/>
        <bgColor rgb="FF75C79E"/>
      </patternFill>
    </fill>
    <fill>
      <patternFill patternType="solid">
        <fgColor rgb="FFFCEEEC"/>
        <bgColor rgb="FFFCEEEC"/>
      </patternFill>
    </fill>
    <fill>
      <patternFill patternType="solid">
        <fgColor rgb="FFFEFEFE"/>
        <bgColor rgb="FFFEFEFE"/>
      </patternFill>
    </fill>
    <fill>
      <patternFill patternType="solid">
        <fgColor rgb="FFF8FDFB"/>
        <bgColor rgb="FFF8FDFB"/>
      </patternFill>
    </fill>
    <fill>
      <patternFill patternType="solid">
        <fgColor rgb="FF5CBD8D"/>
        <bgColor rgb="FF5CBD8D"/>
      </patternFill>
    </fill>
    <fill>
      <patternFill patternType="solid">
        <fgColor rgb="FFA2D9BE"/>
        <bgColor rgb="FFA2D9BE"/>
      </patternFill>
    </fill>
    <fill>
      <patternFill patternType="solid">
        <fgColor rgb="FFB6E1CC"/>
        <bgColor rgb="FFB6E1CC"/>
      </patternFill>
    </fill>
    <fill>
      <patternFill patternType="solid">
        <fgColor rgb="FFF2FAF6"/>
        <bgColor rgb="FFF2FAF6"/>
      </patternFill>
    </fill>
    <fill>
      <patternFill patternType="solid">
        <fgColor rgb="FFAFDEC7"/>
        <bgColor rgb="FFAFDEC7"/>
      </patternFill>
    </fill>
    <fill>
      <patternFill patternType="solid">
        <fgColor rgb="FFF9FDFB"/>
        <bgColor rgb="FFF9FDFB"/>
      </patternFill>
    </fill>
    <fill>
      <patternFill patternType="solid">
        <fgColor rgb="FF60BE90"/>
        <bgColor rgb="FF60BE90"/>
      </patternFill>
    </fill>
    <fill>
      <patternFill patternType="solid">
        <fgColor rgb="FF5BBC8C"/>
        <bgColor rgb="FF5BBC8C"/>
      </patternFill>
    </fill>
    <fill>
      <patternFill patternType="solid">
        <fgColor rgb="FF9CD7BA"/>
        <bgColor rgb="FF9CD7BA"/>
      </patternFill>
    </fill>
    <fill>
      <patternFill patternType="solid">
        <fgColor rgb="FFBEE4D1"/>
        <bgColor rgb="FFBEE4D1"/>
      </patternFill>
    </fill>
    <fill>
      <patternFill patternType="solid">
        <fgColor rgb="FFB8E2CD"/>
        <bgColor rgb="FFB8E2CD"/>
      </patternFill>
    </fill>
    <fill>
      <patternFill patternType="solid">
        <fgColor rgb="FFF5FBF9"/>
        <bgColor rgb="FFF5FBF9"/>
      </patternFill>
    </fill>
    <fill>
      <patternFill patternType="solid">
        <fgColor rgb="FFC1E6D4"/>
        <bgColor rgb="FFC1E6D4"/>
      </patternFill>
    </fill>
    <fill>
      <patternFill patternType="solid">
        <fgColor rgb="FF7BC9A3"/>
        <bgColor rgb="FF7BC9A3"/>
      </patternFill>
    </fill>
    <fill>
      <patternFill patternType="solid">
        <fgColor rgb="FFDDF1E7"/>
        <bgColor rgb="FFDDF1E7"/>
      </patternFill>
    </fill>
    <fill>
      <patternFill patternType="solid">
        <fgColor rgb="FFFEF5F5"/>
        <bgColor rgb="FFFEF5F5"/>
      </patternFill>
    </fill>
    <fill>
      <patternFill patternType="solid">
        <fgColor rgb="FFD7EEE3"/>
        <bgColor rgb="FFD7EEE3"/>
      </patternFill>
    </fill>
    <fill>
      <patternFill patternType="solid">
        <fgColor rgb="FFF0F9F5"/>
        <bgColor rgb="FFF0F9F5"/>
      </patternFill>
    </fill>
    <fill>
      <patternFill patternType="solid">
        <fgColor rgb="FFFEF8F8"/>
        <bgColor rgb="FFFEF8F8"/>
      </patternFill>
    </fill>
    <fill>
      <patternFill patternType="solid">
        <fgColor rgb="FFFBFDFC"/>
        <bgColor rgb="FFFBFDFC"/>
      </patternFill>
    </fill>
    <fill>
      <patternFill patternType="solid">
        <fgColor rgb="FFF0F9F4"/>
        <bgColor rgb="FFF0F9F4"/>
      </patternFill>
    </fill>
    <fill>
      <patternFill patternType="solid">
        <fgColor rgb="FF82CCA7"/>
        <bgColor rgb="FF82CCA7"/>
      </patternFill>
    </fill>
    <fill>
      <patternFill patternType="solid">
        <fgColor rgb="FFF4FAF7"/>
        <bgColor rgb="FFF4FAF7"/>
      </patternFill>
    </fill>
    <fill>
      <patternFill patternType="solid">
        <fgColor rgb="FF88CEAC"/>
        <bgColor rgb="FF88CEAC"/>
      </patternFill>
    </fill>
    <fill>
      <patternFill patternType="solid">
        <fgColor rgb="FFEEF8F3"/>
        <bgColor rgb="FFEEF8F3"/>
      </patternFill>
    </fill>
    <fill>
      <patternFill patternType="solid">
        <fgColor rgb="FF9FD8BC"/>
        <bgColor rgb="FF9FD8BC"/>
      </patternFill>
    </fill>
    <fill>
      <patternFill patternType="solid">
        <fgColor rgb="FFE1F3EA"/>
        <bgColor rgb="FFE1F3EA"/>
      </patternFill>
    </fill>
    <fill>
      <patternFill patternType="solid">
        <fgColor rgb="FFFEFCFB"/>
        <bgColor rgb="FFFEFCFB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/>
      <right style="thin">
        <color rgb="FF999999"/>
      </right>
      <top style="thin">
        <color indexed="65"/>
      </top>
      <bottom/>
      <diagonal/>
    </border>
  </borders>
  <cellStyleXfs count="1">
    <xf numFmtId="0" fontId="0" fillId="0" borderId="0"/>
  </cellStyleXfs>
  <cellXfs count="392">
    <xf numFmtId="0" fontId="0" fillId="0" borderId="0" xfId="0"/>
    <xf numFmtId="0" fontId="1" fillId="0" borderId="0" xfId="0" applyFont="1"/>
    <xf numFmtId="0" fontId="2" fillId="2" borderId="1" xfId="0" applyFont="1" applyFill="1" applyBorder="1"/>
    <xf numFmtId="0" fontId="2" fillId="2" borderId="0" xfId="0" applyFont="1" applyFill="1"/>
    <xf numFmtId="0" fontId="1" fillId="3" borderId="1" xfId="0" applyFont="1" applyFill="1" applyBorder="1"/>
    <xf numFmtId="0" fontId="2" fillId="4" borderId="0" xfId="0" applyFont="1" applyFill="1"/>
    <xf numFmtId="0" fontId="1" fillId="0" borderId="1" xfId="0" applyFont="1" applyBorder="1"/>
    <xf numFmtId="10" fontId="1" fillId="5" borderId="0" xfId="0" applyNumberFormat="1" applyFont="1" applyFill="1" applyAlignment="1">
      <alignment horizontal="right"/>
    </xf>
    <xf numFmtId="10" fontId="1" fillId="6" borderId="0" xfId="0" applyNumberFormat="1" applyFont="1" applyFill="1" applyAlignment="1">
      <alignment horizontal="right"/>
    </xf>
    <xf numFmtId="164" fontId="3" fillId="0" borderId="0" xfId="0" applyNumberFormat="1" applyFont="1"/>
    <xf numFmtId="164" fontId="1" fillId="7" borderId="0" xfId="0" applyNumberFormat="1" applyFont="1" applyFill="1" applyAlignment="1">
      <alignment horizontal="right"/>
    </xf>
    <xf numFmtId="0" fontId="1" fillId="0" borderId="1" xfId="0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10" fontId="1" fillId="0" borderId="1" xfId="0" applyNumberFormat="1" applyFont="1" applyBorder="1" applyAlignment="1">
      <alignment horizontal="right"/>
    </xf>
    <xf numFmtId="0" fontId="4" fillId="0" borderId="0" xfId="0" applyFont="1"/>
    <xf numFmtId="0" fontId="4" fillId="0" borderId="0" xfId="0" applyFont="1" applyAlignment="1">
      <alignment horizontal="right"/>
    </xf>
    <xf numFmtId="10" fontId="1" fillId="8" borderId="0" xfId="0" applyNumberFormat="1" applyFont="1" applyFill="1" applyAlignment="1">
      <alignment horizontal="right"/>
    </xf>
    <xf numFmtId="10" fontId="1" fillId="9" borderId="0" xfId="0" applyNumberFormat="1" applyFont="1" applyFill="1" applyAlignment="1">
      <alignment horizontal="right"/>
    </xf>
    <xf numFmtId="9" fontId="3" fillId="0" borderId="0" xfId="0" applyNumberFormat="1" applyFont="1"/>
    <xf numFmtId="164" fontId="1" fillId="10" borderId="0" xfId="0" applyNumberFormat="1" applyFont="1" applyFill="1" applyAlignment="1">
      <alignment horizontal="right"/>
    </xf>
    <xf numFmtId="1" fontId="1" fillId="0" borderId="1" xfId="0" applyNumberFormat="1" applyFont="1" applyBorder="1" applyAlignment="1">
      <alignment horizontal="right"/>
    </xf>
    <xf numFmtId="0" fontId="1" fillId="0" borderId="0" xfId="0" applyFont="1" applyAlignment="1">
      <alignment horizontal="right"/>
    </xf>
    <xf numFmtId="10" fontId="1" fillId="11" borderId="0" xfId="0" applyNumberFormat="1" applyFont="1" applyFill="1" applyAlignment="1">
      <alignment horizontal="right"/>
    </xf>
    <xf numFmtId="10" fontId="1" fillId="12" borderId="0" xfId="0" applyNumberFormat="1" applyFont="1" applyFill="1" applyAlignment="1">
      <alignment horizontal="right"/>
    </xf>
    <xf numFmtId="10" fontId="1" fillId="13" borderId="0" xfId="0" applyNumberFormat="1" applyFont="1" applyFill="1" applyAlignment="1">
      <alignment horizontal="right"/>
    </xf>
    <xf numFmtId="0" fontId="5" fillId="2" borderId="0" xfId="0" applyFont="1" applyFill="1"/>
    <xf numFmtId="9" fontId="1" fillId="0" borderId="0" xfId="0" applyNumberFormat="1" applyFont="1" applyAlignment="1">
      <alignment horizontal="right"/>
    </xf>
    <xf numFmtId="10" fontId="1" fillId="14" borderId="0" xfId="0" applyNumberFormat="1" applyFont="1" applyFill="1" applyAlignment="1">
      <alignment horizontal="right"/>
    </xf>
    <xf numFmtId="10" fontId="1" fillId="15" borderId="0" xfId="0" applyNumberFormat="1" applyFont="1" applyFill="1" applyAlignment="1">
      <alignment horizontal="right"/>
    </xf>
    <xf numFmtId="0" fontId="6" fillId="0" borderId="0" xfId="0" applyFont="1"/>
    <xf numFmtId="164" fontId="6" fillId="16" borderId="0" xfId="0" applyNumberFormat="1" applyFont="1" applyFill="1" applyAlignment="1">
      <alignment horizontal="right"/>
    </xf>
    <xf numFmtId="164" fontId="6" fillId="14" borderId="0" xfId="0" applyNumberFormat="1" applyFont="1" applyFill="1" applyAlignment="1">
      <alignment horizontal="right"/>
    </xf>
    <xf numFmtId="10" fontId="6" fillId="17" borderId="0" xfId="0" applyNumberFormat="1" applyFont="1" applyFill="1" applyAlignment="1">
      <alignment horizontal="right"/>
    </xf>
    <xf numFmtId="164" fontId="6" fillId="18" borderId="0" xfId="0" applyNumberFormat="1" applyFont="1" applyFill="1" applyAlignment="1">
      <alignment horizontal="right"/>
    </xf>
    <xf numFmtId="164" fontId="6" fillId="19" borderId="0" xfId="0" applyNumberFormat="1" applyFont="1" applyFill="1" applyAlignment="1">
      <alignment horizontal="right"/>
    </xf>
    <xf numFmtId="164" fontId="7" fillId="0" borderId="0" xfId="0" applyNumberFormat="1" applyFont="1"/>
    <xf numFmtId="164" fontId="6" fillId="20" borderId="0" xfId="0" applyNumberFormat="1" applyFont="1" applyFill="1" applyAlignment="1">
      <alignment horizontal="right"/>
    </xf>
    <xf numFmtId="164" fontId="1" fillId="0" borderId="1" xfId="0" applyNumberFormat="1" applyFont="1" applyBorder="1" applyAlignment="1">
      <alignment horizontal="right"/>
    </xf>
    <xf numFmtId="0" fontId="4" fillId="0" borderId="2" xfId="0" applyFont="1" applyBorder="1"/>
    <xf numFmtId="9" fontId="1" fillId="0" borderId="2" xfId="0" applyNumberFormat="1" applyFont="1" applyBorder="1" applyAlignment="1">
      <alignment horizontal="right"/>
    </xf>
    <xf numFmtId="10" fontId="1" fillId="21" borderId="0" xfId="0" applyNumberFormat="1" applyFont="1" applyFill="1" applyAlignment="1">
      <alignment horizontal="right"/>
    </xf>
    <xf numFmtId="0" fontId="8" fillId="0" borderId="0" xfId="0" applyFont="1"/>
    <xf numFmtId="164" fontId="6" fillId="22" borderId="0" xfId="0" applyNumberFormat="1" applyFont="1" applyFill="1" applyAlignment="1">
      <alignment horizontal="right"/>
    </xf>
    <xf numFmtId="164" fontId="6" fillId="23" borderId="0" xfId="0" applyNumberFormat="1" applyFont="1" applyFill="1" applyAlignment="1">
      <alignment horizontal="right"/>
    </xf>
    <xf numFmtId="10" fontId="6" fillId="24" borderId="0" xfId="0" applyNumberFormat="1" applyFont="1" applyFill="1" applyAlignment="1">
      <alignment horizontal="right"/>
    </xf>
    <xf numFmtId="164" fontId="6" fillId="5" borderId="0" xfId="0" applyNumberFormat="1" applyFont="1" applyFill="1" applyAlignment="1">
      <alignment horizontal="right"/>
    </xf>
    <xf numFmtId="9" fontId="6" fillId="25" borderId="0" xfId="0" applyNumberFormat="1" applyFont="1" applyFill="1" applyAlignment="1">
      <alignment horizontal="right"/>
    </xf>
    <xf numFmtId="9" fontId="7" fillId="0" borderId="0" xfId="0" applyNumberFormat="1" applyFont="1"/>
    <xf numFmtId="164" fontId="6" fillId="26" borderId="0" xfId="0" applyNumberFormat="1" applyFont="1" applyFill="1" applyAlignment="1">
      <alignment horizontal="right"/>
    </xf>
    <xf numFmtId="9" fontId="1" fillId="0" borderId="0" xfId="0" applyNumberFormat="1" applyFont="1"/>
    <xf numFmtId="10" fontId="3" fillId="0" borderId="0" xfId="0" applyNumberFormat="1" applyFont="1"/>
    <xf numFmtId="0" fontId="9" fillId="27" borderId="1" xfId="0" applyFont="1" applyFill="1" applyBorder="1"/>
    <xf numFmtId="0" fontId="1" fillId="0" borderId="2" xfId="0" applyFont="1" applyBorder="1"/>
    <xf numFmtId="9" fontId="1" fillId="0" borderId="2" xfId="0" applyNumberFormat="1" applyFont="1" applyBorder="1"/>
    <xf numFmtId="0" fontId="7" fillId="0" borderId="1" xfId="0" applyFont="1" applyBorder="1"/>
    <xf numFmtId="10" fontId="7" fillId="0" borderId="1" xfId="0" applyNumberFormat="1" applyFont="1" applyBorder="1"/>
    <xf numFmtId="164" fontId="7" fillId="0" borderId="1" xfId="0" applyNumberFormat="1" applyFont="1" applyBorder="1"/>
    <xf numFmtId="0" fontId="6" fillId="0" borderId="1" xfId="0" applyFont="1" applyBorder="1"/>
    <xf numFmtId="164" fontId="6" fillId="0" borderId="1" xfId="0" applyNumberFormat="1" applyFont="1" applyBorder="1"/>
    <xf numFmtId="0" fontId="1" fillId="28" borderId="1" xfId="0" applyFont="1" applyFill="1" applyBorder="1" applyAlignment="1">
      <alignment horizontal="right"/>
    </xf>
    <xf numFmtId="0" fontId="1" fillId="29" borderId="1" xfId="0" applyFont="1" applyFill="1" applyBorder="1" applyAlignment="1">
      <alignment horizontal="right"/>
    </xf>
    <xf numFmtId="0" fontId="1" fillId="30" borderId="1" xfId="0" applyFont="1" applyFill="1" applyBorder="1" applyAlignment="1">
      <alignment horizontal="right"/>
    </xf>
    <xf numFmtId="0" fontId="1" fillId="31" borderId="1" xfId="0" applyFont="1" applyFill="1" applyBorder="1" applyAlignment="1">
      <alignment horizontal="right"/>
    </xf>
    <xf numFmtId="0" fontId="1" fillId="32" borderId="1" xfId="0" applyFont="1" applyFill="1" applyBorder="1" applyAlignment="1">
      <alignment horizontal="right"/>
    </xf>
    <xf numFmtId="10" fontId="6" fillId="0" borderId="1" xfId="0" applyNumberFormat="1" applyFont="1" applyBorder="1"/>
    <xf numFmtId="0" fontId="1" fillId="5" borderId="1" xfId="0" applyFont="1" applyFill="1" applyBorder="1" applyAlignment="1">
      <alignment horizontal="right"/>
    </xf>
    <xf numFmtId="0" fontId="1" fillId="33" borderId="1" xfId="0" applyFont="1" applyFill="1" applyBorder="1" applyAlignment="1">
      <alignment horizontal="right"/>
    </xf>
    <xf numFmtId="0" fontId="1" fillId="34" borderId="1" xfId="0" applyFont="1" applyFill="1" applyBorder="1" applyAlignment="1">
      <alignment horizontal="right"/>
    </xf>
    <xf numFmtId="0" fontId="1" fillId="35" borderId="1" xfId="0" applyFont="1" applyFill="1" applyBorder="1" applyAlignment="1">
      <alignment horizontal="right"/>
    </xf>
    <xf numFmtId="0" fontId="1" fillId="36" borderId="1" xfId="0" applyFont="1" applyFill="1" applyBorder="1" applyAlignment="1">
      <alignment horizontal="right"/>
    </xf>
    <xf numFmtId="0" fontId="3" fillId="0" borderId="0" xfId="0" applyFont="1"/>
    <xf numFmtId="0" fontId="4" fillId="0" borderId="1" xfId="0" applyFont="1" applyBorder="1"/>
    <xf numFmtId="0" fontId="1" fillId="21" borderId="1" xfId="0" applyFont="1" applyFill="1" applyBorder="1" applyAlignment="1">
      <alignment horizontal="right"/>
    </xf>
    <xf numFmtId="0" fontId="4" fillId="37" borderId="1" xfId="0" applyFont="1" applyFill="1" applyBorder="1" applyAlignment="1">
      <alignment horizontal="right"/>
    </xf>
    <xf numFmtId="0" fontId="1" fillId="38" borderId="1" xfId="0" applyFont="1" applyFill="1" applyBorder="1" applyAlignment="1">
      <alignment horizontal="right"/>
    </xf>
    <xf numFmtId="0" fontId="1" fillId="15" borderId="1" xfId="0" applyFont="1" applyFill="1" applyBorder="1" applyAlignment="1">
      <alignment horizontal="right"/>
    </xf>
    <xf numFmtId="165" fontId="1" fillId="0" borderId="0" xfId="0" applyNumberFormat="1" applyFont="1"/>
    <xf numFmtId="1" fontId="1" fillId="39" borderId="1" xfId="0" applyNumberFormat="1" applyFont="1" applyFill="1" applyBorder="1" applyAlignment="1">
      <alignment horizontal="right"/>
    </xf>
    <xf numFmtId="1" fontId="1" fillId="5" borderId="1" xfId="0" applyNumberFormat="1" applyFont="1" applyFill="1" applyBorder="1" applyAlignment="1">
      <alignment horizontal="right"/>
    </xf>
    <xf numFmtId="1" fontId="1" fillId="21" borderId="1" xfId="0" applyNumberFormat="1" applyFont="1" applyFill="1" applyBorder="1" applyAlignment="1">
      <alignment horizontal="right"/>
    </xf>
    <xf numFmtId="0" fontId="1" fillId="40" borderId="1" xfId="0" applyFont="1" applyFill="1" applyBorder="1" applyAlignment="1">
      <alignment horizontal="right"/>
    </xf>
    <xf numFmtId="0" fontId="1" fillId="41" borderId="1" xfId="0" applyFont="1" applyFill="1" applyBorder="1" applyAlignment="1">
      <alignment horizontal="right"/>
    </xf>
    <xf numFmtId="1" fontId="1" fillId="42" borderId="1" xfId="0" applyNumberFormat="1" applyFont="1" applyFill="1" applyBorder="1" applyAlignment="1">
      <alignment horizontal="right"/>
    </xf>
    <xf numFmtId="4" fontId="1" fillId="5" borderId="1" xfId="0" applyNumberFormat="1" applyFont="1" applyFill="1" applyBorder="1" applyAlignment="1">
      <alignment horizontal="right"/>
    </xf>
    <xf numFmtId="4" fontId="1" fillId="43" borderId="1" xfId="0" applyNumberFormat="1" applyFont="1" applyFill="1" applyBorder="1" applyAlignment="1">
      <alignment horizontal="right"/>
    </xf>
    <xf numFmtId="4" fontId="1" fillId="44" borderId="1" xfId="0" applyNumberFormat="1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4" fontId="1" fillId="46" borderId="1" xfId="0" applyNumberFormat="1" applyFont="1" applyFill="1" applyBorder="1" applyAlignment="1">
      <alignment horizontal="right"/>
    </xf>
    <xf numFmtId="4" fontId="1" fillId="0" borderId="0" xfId="0" applyNumberFormat="1" applyFont="1"/>
    <xf numFmtId="0" fontId="1" fillId="15" borderId="0" xfId="0" applyFont="1" applyFill="1"/>
    <xf numFmtId="0" fontId="10" fillId="0" borderId="0" xfId="0" applyFont="1"/>
    <xf numFmtId="167" fontId="10" fillId="0" borderId="0" xfId="0" applyNumberFormat="1" applyFont="1" applyAlignment="1">
      <alignment horizontal="right"/>
    </xf>
    <xf numFmtId="166" fontId="10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1" fontId="3" fillId="0" borderId="0" xfId="0" applyNumberFormat="1" applyFont="1"/>
    <xf numFmtId="10" fontId="3" fillId="0" borderId="1" xfId="0" applyNumberFormat="1" applyFont="1" applyBorder="1"/>
    <xf numFmtId="0" fontId="11" fillId="57" borderId="1" xfId="0" applyFont="1" applyFill="1" applyBorder="1"/>
    <xf numFmtId="1" fontId="11" fillId="57" borderId="1" xfId="0" applyNumberFormat="1" applyFont="1" applyFill="1" applyBorder="1"/>
    <xf numFmtId="0" fontId="10" fillId="0" borderId="1" xfId="0" applyFont="1" applyBorder="1"/>
    <xf numFmtId="0" fontId="10" fillId="0" borderId="1" xfId="0" applyFont="1" applyBorder="1" applyAlignment="1">
      <alignment horizontal="right"/>
    </xf>
    <xf numFmtId="0" fontId="13" fillId="15" borderId="0" xfId="0" applyFont="1" applyFill="1"/>
    <xf numFmtId="0" fontId="3" fillId="0" borderId="1" xfId="0" applyFont="1" applyBorder="1"/>
    <xf numFmtId="0" fontId="13" fillId="15" borderId="1" xfId="0" applyFont="1" applyFill="1" applyBorder="1"/>
    <xf numFmtId="1" fontId="1" fillId="0" borderId="0" xfId="0" applyNumberFormat="1" applyFont="1" applyAlignment="1">
      <alignment horizontal="right"/>
    </xf>
    <xf numFmtId="0" fontId="10" fillId="58" borderId="1" xfId="0" applyFont="1" applyFill="1" applyBorder="1"/>
    <xf numFmtId="0" fontId="14" fillId="15" borderId="1" xfId="0" applyFont="1" applyFill="1" applyBorder="1"/>
    <xf numFmtId="0" fontId="15" fillId="15" borderId="1" xfId="0" applyFont="1" applyFill="1" applyBorder="1" applyAlignment="1">
      <alignment horizontal="left"/>
    </xf>
    <xf numFmtId="0" fontId="15" fillId="59" borderId="1" xfId="0" applyFont="1" applyFill="1" applyBorder="1" applyAlignment="1">
      <alignment horizontal="left"/>
    </xf>
    <xf numFmtId="0" fontId="13" fillId="15" borderId="0" xfId="0" applyFont="1" applyFill="1" applyAlignment="1">
      <alignment horizontal="left"/>
    </xf>
    <xf numFmtId="0" fontId="13" fillId="15" borderId="1" xfId="0" applyFont="1" applyFill="1" applyBorder="1" applyAlignment="1">
      <alignment horizontal="left"/>
    </xf>
    <xf numFmtId="0" fontId="16" fillId="15" borderId="1" xfId="0" applyFont="1" applyFill="1" applyBorder="1" applyAlignment="1">
      <alignment horizontal="left"/>
    </xf>
    <xf numFmtId="0" fontId="17" fillId="15" borderId="1" xfId="0" applyFont="1" applyFill="1" applyBorder="1" applyAlignment="1">
      <alignment horizontal="right"/>
    </xf>
    <xf numFmtId="1" fontId="3" fillId="0" borderId="1" xfId="0" applyNumberFormat="1" applyFont="1" applyBorder="1"/>
    <xf numFmtId="0" fontId="10" fillId="15" borderId="1" xfId="0" applyFont="1" applyFill="1" applyBorder="1" applyAlignment="1">
      <alignment horizontal="left"/>
    </xf>
    <xf numFmtId="0" fontId="18" fillId="15" borderId="1" xfId="0" applyFont="1" applyFill="1" applyBorder="1" applyAlignment="1">
      <alignment horizontal="left"/>
    </xf>
    <xf numFmtId="0" fontId="18" fillId="59" borderId="1" xfId="0" applyFont="1" applyFill="1" applyBorder="1" applyAlignment="1">
      <alignment horizontal="right"/>
    </xf>
    <xf numFmtId="0" fontId="19" fillId="15" borderId="0" xfId="0" applyFont="1" applyFill="1"/>
    <xf numFmtId="0" fontId="19" fillId="15" borderId="1" xfId="0" applyFont="1" applyFill="1" applyBorder="1"/>
    <xf numFmtId="0" fontId="20" fillId="15" borderId="1" xfId="0" applyFont="1" applyFill="1" applyBorder="1" applyAlignment="1">
      <alignment horizontal="left"/>
    </xf>
    <xf numFmtId="0" fontId="19" fillId="15" borderId="0" xfId="0" applyFont="1" applyFill="1" applyAlignment="1">
      <alignment horizontal="left"/>
    </xf>
    <xf numFmtId="0" fontId="10" fillId="58" borderId="1" xfId="0" applyFont="1" applyFill="1" applyBorder="1" applyAlignment="1">
      <alignment horizontal="right"/>
    </xf>
    <xf numFmtId="0" fontId="10" fillId="15" borderId="1" xfId="0" applyFont="1" applyFill="1" applyBorder="1" applyAlignment="1">
      <alignment horizontal="right"/>
    </xf>
    <xf numFmtId="0" fontId="21" fillId="15" borderId="1" xfId="0" applyFont="1" applyFill="1" applyBorder="1" applyAlignment="1">
      <alignment horizontal="right"/>
    </xf>
    <xf numFmtId="0" fontId="22" fillId="15" borderId="1" xfId="0" applyFont="1" applyFill="1" applyBorder="1" applyAlignment="1">
      <alignment horizontal="right"/>
    </xf>
    <xf numFmtId="0" fontId="23" fillId="15" borderId="1" xfId="0" applyFont="1" applyFill="1" applyBorder="1" applyAlignment="1">
      <alignment horizontal="left"/>
    </xf>
    <xf numFmtId="0" fontId="24" fillId="15" borderId="1" xfId="0" applyFont="1" applyFill="1" applyBorder="1" applyAlignment="1">
      <alignment horizontal="left"/>
    </xf>
    <xf numFmtId="0" fontId="24" fillId="15" borderId="0" xfId="0" applyFont="1" applyFill="1" applyAlignment="1">
      <alignment horizontal="left"/>
    </xf>
    <xf numFmtId="0" fontId="15" fillId="15" borderId="0" xfId="0" applyFont="1" applyFill="1" applyAlignment="1">
      <alignment horizontal="left"/>
    </xf>
    <xf numFmtId="0" fontId="25" fillId="3" borderId="1" xfId="0" applyFont="1" applyFill="1" applyBorder="1"/>
    <xf numFmtId="0" fontId="26" fillId="60" borderId="1" xfId="0" applyFont="1" applyFill="1" applyBorder="1" applyAlignment="1">
      <alignment horizontal="center"/>
    </xf>
    <xf numFmtId="0" fontId="5" fillId="60" borderId="1" xfId="0" applyFont="1" applyFill="1" applyBorder="1" applyAlignment="1">
      <alignment horizontal="center"/>
    </xf>
    <xf numFmtId="1" fontId="27" fillId="60" borderId="1" xfId="0" applyNumberFormat="1" applyFont="1" applyFill="1" applyBorder="1"/>
    <xf numFmtId="1" fontId="27" fillId="60" borderId="1" xfId="0" applyNumberFormat="1" applyFont="1" applyFill="1" applyBorder="1" applyAlignment="1">
      <alignment horizontal="center"/>
    </xf>
    <xf numFmtId="0" fontId="27" fillId="60" borderId="1" xfId="0" applyFont="1" applyFill="1" applyBorder="1"/>
    <xf numFmtId="1" fontId="28" fillId="60" borderId="1" xfId="0" applyNumberFormat="1" applyFont="1" applyFill="1" applyBorder="1"/>
    <xf numFmtId="0" fontId="29" fillId="0" borderId="0" xfId="0" applyFont="1" applyAlignment="1">
      <alignment horizontal="left"/>
    </xf>
    <xf numFmtId="0" fontId="13" fillId="15" borderId="0" xfId="0" applyFont="1" applyFill="1" applyAlignment="1">
      <alignment horizontal="right"/>
    </xf>
    <xf numFmtId="0" fontId="19" fillId="15" borderId="0" xfId="0" applyFont="1" applyFill="1" applyAlignment="1">
      <alignment horizontal="right"/>
    </xf>
    <xf numFmtId="0" fontId="30" fillId="0" borderId="0" xfId="0" applyFont="1" applyAlignment="1">
      <alignment horizontal="left"/>
    </xf>
    <xf numFmtId="0" fontId="13" fillId="61" borderId="0" xfId="0" applyFont="1" applyFill="1" applyAlignment="1">
      <alignment horizontal="right"/>
    </xf>
    <xf numFmtId="0" fontId="8" fillId="62" borderId="1" xfId="0" applyFont="1" applyFill="1" applyBorder="1"/>
    <xf numFmtId="0" fontId="31" fillId="62" borderId="1" xfId="0" applyFont="1" applyFill="1" applyBorder="1" applyAlignment="1">
      <alignment horizontal="center"/>
    </xf>
    <xf numFmtId="1" fontId="31" fillId="62" borderId="1" xfId="0" applyNumberFormat="1" applyFont="1" applyFill="1" applyBorder="1" applyAlignment="1">
      <alignment horizontal="center"/>
    </xf>
    <xf numFmtId="10" fontId="31" fillId="62" borderId="1" xfId="0" applyNumberFormat="1" applyFont="1" applyFill="1" applyBorder="1"/>
    <xf numFmtId="1" fontId="31" fillId="62" borderId="1" xfId="0" applyNumberFormat="1" applyFont="1" applyFill="1" applyBorder="1"/>
    <xf numFmtId="0" fontId="31" fillId="62" borderId="1" xfId="0" applyFont="1" applyFill="1" applyBorder="1"/>
    <xf numFmtId="1" fontId="32" fillId="62" borderId="1" xfId="0" applyNumberFormat="1" applyFont="1" applyFill="1" applyBorder="1"/>
    <xf numFmtId="0" fontId="4" fillId="0" borderId="1" xfId="0" applyFont="1" applyBorder="1" applyAlignment="1">
      <alignment horizontal="right"/>
    </xf>
    <xf numFmtId="1" fontId="33" fillId="0" borderId="1" xfId="0" applyNumberFormat="1" applyFont="1" applyBorder="1"/>
    <xf numFmtId="10" fontId="34" fillId="0" borderId="1" xfId="0" applyNumberFormat="1" applyFont="1" applyBorder="1"/>
    <xf numFmtId="0" fontId="3" fillId="0" borderId="0" xfId="0" applyFont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63" borderId="1" xfId="0" applyFont="1" applyFill="1" applyBorder="1"/>
    <xf numFmtId="0" fontId="3" fillId="63" borderId="1" xfId="0" applyFont="1" applyFill="1" applyBorder="1" applyAlignment="1">
      <alignment horizontal="center"/>
    </xf>
    <xf numFmtId="9" fontId="3" fillId="63" borderId="1" xfId="0" applyNumberFormat="1" applyFont="1" applyFill="1" applyBorder="1" applyAlignment="1">
      <alignment horizontal="center"/>
    </xf>
    <xf numFmtId="9" fontId="3" fillId="0" borderId="1" xfId="0" applyNumberFormat="1" applyFont="1" applyBorder="1" applyAlignment="1">
      <alignment horizontal="center"/>
    </xf>
    <xf numFmtId="168" fontId="3" fillId="0" borderId="0" xfId="0" applyNumberFormat="1" applyFont="1"/>
    <xf numFmtId="169" fontId="3" fillId="0" borderId="0" xfId="0" applyNumberFormat="1" applyFont="1"/>
    <xf numFmtId="0" fontId="35" fillId="0" borderId="0" xfId="0" applyFont="1"/>
    <xf numFmtId="165" fontId="1" fillId="0" borderId="0" xfId="0" applyNumberFormat="1" applyFont="1" applyAlignment="1">
      <alignment horizontal="right"/>
    </xf>
    <xf numFmtId="0" fontId="19" fillId="64" borderId="0" xfId="0" applyFont="1" applyFill="1"/>
    <xf numFmtId="0" fontId="36" fillId="64" borderId="0" xfId="0" applyFont="1" applyFill="1"/>
    <xf numFmtId="1" fontId="31" fillId="62" borderId="0" xfId="0" applyNumberFormat="1" applyFont="1" applyFill="1" applyAlignment="1">
      <alignment horizontal="right"/>
    </xf>
    <xf numFmtId="10" fontId="1" fillId="65" borderId="1" xfId="0" applyNumberFormat="1" applyFont="1" applyFill="1" applyBorder="1" applyAlignment="1">
      <alignment horizontal="right"/>
    </xf>
    <xf numFmtId="164" fontId="1" fillId="65" borderId="1" xfId="0" applyNumberFormat="1" applyFont="1" applyFill="1" applyBorder="1" applyAlignment="1">
      <alignment horizontal="right"/>
    </xf>
    <xf numFmtId="9" fontId="1" fillId="65" borderId="1" xfId="0" applyNumberFormat="1" applyFont="1" applyFill="1" applyBorder="1" applyAlignment="1">
      <alignment horizontal="right"/>
    </xf>
    <xf numFmtId="2" fontId="1" fillId="0" borderId="0" xfId="0" applyNumberFormat="1" applyFont="1" applyAlignment="1">
      <alignment horizontal="right"/>
    </xf>
    <xf numFmtId="0" fontId="8" fillId="63" borderId="3" xfId="0" applyFont="1" applyFill="1" applyBorder="1"/>
    <xf numFmtId="0" fontId="36" fillId="64" borderId="4" xfId="0" applyFont="1" applyFill="1" applyBorder="1"/>
    <xf numFmtId="0" fontId="5" fillId="66" borderId="4" xfId="0" applyFont="1" applyFill="1" applyBorder="1"/>
    <xf numFmtId="0" fontId="5" fillId="66" borderId="0" xfId="0" applyFont="1" applyFill="1"/>
    <xf numFmtId="164" fontId="1" fillId="0" borderId="0" xfId="0" applyNumberFormat="1" applyFont="1"/>
    <xf numFmtId="0" fontId="4" fillId="0" borderId="3" xfId="0" applyFont="1" applyBorder="1"/>
    <xf numFmtId="2" fontId="1" fillId="15" borderId="4" xfId="0" applyNumberFormat="1" applyFont="1" applyFill="1" applyBorder="1" applyAlignment="1">
      <alignment horizontal="right"/>
    </xf>
    <xf numFmtId="1" fontId="1" fillId="56" borderId="4" xfId="0" applyNumberFormat="1" applyFont="1" applyFill="1" applyBorder="1" applyAlignment="1">
      <alignment horizontal="right"/>
    </xf>
    <xf numFmtId="1" fontId="1" fillId="67" borderId="4" xfId="0" applyNumberFormat="1" applyFont="1" applyFill="1" applyBorder="1" applyAlignment="1">
      <alignment horizontal="right"/>
    </xf>
    <xf numFmtId="1" fontId="1" fillId="68" borderId="4" xfId="0" applyNumberFormat="1" applyFont="1" applyFill="1" applyBorder="1" applyAlignment="1">
      <alignment horizontal="right"/>
    </xf>
    <xf numFmtId="2" fontId="1" fillId="69" borderId="0" xfId="0" applyNumberFormat="1" applyFont="1" applyFill="1" applyAlignment="1">
      <alignment horizontal="right"/>
    </xf>
    <xf numFmtId="1" fontId="1" fillId="68" borderId="0" xfId="0" applyNumberFormat="1" applyFont="1" applyFill="1" applyAlignment="1">
      <alignment horizontal="right"/>
    </xf>
    <xf numFmtId="1" fontId="1" fillId="15" borderId="4" xfId="0" applyNumberFormat="1" applyFont="1" applyFill="1" applyBorder="1" applyAlignment="1">
      <alignment horizontal="right"/>
    </xf>
    <xf numFmtId="2" fontId="1" fillId="70" borderId="0" xfId="0" applyNumberFormat="1" applyFont="1" applyFill="1" applyAlignment="1">
      <alignment horizontal="right"/>
    </xf>
    <xf numFmtId="1" fontId="1" fillId="71" borderId="0" xfId="0" applyNumberFormat="1" applyFont="1" applyFill="1" applyAlignment="1">
      <alignment horizontal="right"/>
    </xf>
    <xf numFmtId="0" fontId="1" fillId="0" borderId="3" xfId="0" applyFont="1" applyBorder="1"/>
    <xf numFmtId="1" fontId="1" fillId="55" borderId="4" xfId="0" applyNumberFormat="1" applyFont="1" applyFill="1" applyBorder="1" applyAlignment="1">
      <alignment horizontal="right"/>
    </xf>
    <xf numFmtId="1" fontId="1" fillId="72" borderId="4" xfId="0" applyNumberFormat="1" applyFont="1" applyFill="1" applyBorder="1" applyAlignment="1">
      <alignment horizontal="right"/>
    </xf>
    <xf numFmtId="2" fontId="1" fillId="73" borderId="0" xfId="0" applyNumberFormat="1" applyFont="1" applyFill="1" applyAlignment="1">
      <alignment horizontal="right"/>
    </xf>
    <xf numFmtId="1" fontId="1" fillId="74" borderId="0" xfId="0" applyNumberFormat="1" applyFont="1" applyFill="1" applyAlignment="1">
      <alignment horizontal="right"/>
    </xf>
    <xf numFmtId="0" fontId="22" fillId="15" borderId="0" xfId="0" applyFont="1" applyFill="1" applyAlignment="1">
      <alignment horizontal="right"/>
    </xf>
    <xf numFmtId="1" fontId="1" fillId="75" borderId="4" xfId="0" applyNumberFormat="1" applyFont="1" applyFill="1" applyBorder="1" applyAlignment="1">
      <alignment horizontal="right"/>
    </xf>
    <xf numFmtId="1" fontId="1" fillId="76" borderId="4" xfId="0" applyNumberFormat="1" applyFont="1" applyFill="1" applyBorder="1" applyAlignment="1">
      <alignment horizontal="right"/>
    </xf>
    <xf numFmtId="1" fontId="1" fillId="77" borderId="4" xfId="0" applyNumberFormat="1" applyFont="1" applyFill="1" applyBorder="1" applyAlignment="1">
      <alignment horizontal="right"/>
    </xf>
    <xf numFmtId="2" fontId="1" fillId="78" borderId="0" xfId="0" applyNumberFormat="1" applyFont="1" applyFill="1" applyAlignment="1">
      <alignment horizontal="right"/>
    </xf>
    <xf numFmtId="1" fontId="1" fillId="54" borderId="0" xfId="0" applyNumberFormat="1" applyFont="1" applyFill="1" applyAlignment="1">
      <alignment horizontal="right"/>
    </xf>
    <xf numFmtId="1" fontId="1" fillId="79" borderId="4" xfId="0" applyNumberFormat="1" applyFont="1" applyFill="1" applyBorder="1" applyAlignment="1">
      <alignment horizontal="right"/>
    </xf>
    <xf numFmtId="2" fontId="1" fillId="80" borderId="0" xfId="0" applyNumberFormat="1" applyFont="1" applyFill="1" applyAlignment="1">
      <alignment horizontal="right"/>
    </xf>
    <xf numFmtId="1" fontId="1" fillId="81" borderId="0" xfId="0" applyNumberFormat="1" applyFont="1" applyFill="1" applyAlignment="1">
      <alignment horizontal="right"/>
    </xf>
    <xf numFmtId="1" fontId="1" fillId="82" borderId="4" xfId="0" applyNumberFormat="1" applyFont="1" applyFill="1" applyBorder="1" applyAlignment="1">
      <alignment horizontal="right"/>
    </xf>
    <xf numFmtId="1" fontId="1" fillId="83" borderId="4" xfId="0" applyNumberFormat="1" applyFont="1" applyFill="1" applyBorder="1" applyAlignment="1">
      <alignment horizontal="right"/>
    </xf>
    <xf numFmtId="2" fontId="1" fillId="84" borderId="0" xfId="0" applyNumberFormat="1" applyFont="1" applyFill="1" applyAlignment="1">
      <alignment horizontal="right"/>
    </xf>
    <xf numFmtId="0" fontId="37" fillId="0" borderId="3" xfId="0" applyFont="1" applyBorder="1"/>
    <xf numFmtId="1" fontId="1" fillId="85" borderId="4" xfId="0" applyNumberFormat="1" applyFont="1" applyFill="1" applyBorder="1" applyAlignment="1">
      <alignment horizontal="right"/>
    </xf>
    <xf numFmtId="1" fontId="1" fillId="86" borderId="4" xfId="0" applyNumberFormat="1" applyFont="1" applyFill="1" applyBorder="1" applyAlignment="1">
      <alignment horizontal="right"/>
    </xf>
    <xf numFmtId="2" fontId="1" fillId="87" borderId="0" xfId="0" applyNumberFormat="1" applyFont="1" applyFill="1" applyAlignment="1">
      <alignment horizontal="right"/>
    </xf>
    <xf numFmtId="1" fontId="1" fillId="88" borderId="0" xfId="0" applyNumberFormat="1" applyFont="1" applyFill="1" applyAlignment="1">
      <alignment horizontal="right"/>
    </xf>
    <xf numFmtId="1" fontId="1" fillId="89" borderId="4" xfId="0" applyNumberFormat="1" applyFont="1" applyFill="1" applyBorder="1" applyAlignment="1">
      <alignment horizontal="right"/>
    </xf>
    <xf numFmtId="1" fontId="1" fillId="90" borderId="4" xfId="0" applyNumberFormat="1" applyFont="1" applyFill="1" applyBorder="1" applyAlignment="1">
      <alignment horizontal="right"/>
    </xf>
    <xf numFmtId="2" fontId="1" fillId="91" borderId="0" xfId="0" applyNumberFormat="1" applyFont="1" applyFill="1" applyAlignment="1">
      <alignment horizontal="right"/>
    </xf>
    <xf numFmtId="2" fontId="38" fillId="15" borderId="4" xfId="0" applyNumberFormat="1" applyFont="1" applyFill="1" applyBorder="1" applyAlignment="1">
      <alignment horizontal="right"/>
    </xf>
    <xf numFmtId="1" fontId="1" fillId="71" borderId="4" xfId="0" applyNumberFormat="1" applyFont="1" applyFill="1" applyBorder="1" applyAlignment="1">
      <alignment horizontal="right"/>
    </xf>
    <xf numFmtId="2" fontId="1" fillId="92" borderId="0" xfId="0" applyNumberFormat="1" applyFont="1" applyFill="1" applyAlignment="1">
      <alignment horizontal="right"/>
    </xf>
    <xf numFmtId="1" fontId="1" fillId="93" borderId="0" xfId="0" applyNumberFormat="1" applyFont="1" applyFill="1" applyAlignment="1">
      <alignment horizontal="right"/>
    </xf>
    <xf numFmtId="1" fontId="1" fillId="19" borderId="4" xfId="0" applyNumberFormat="1" applyFont="1" applyFill="1" applyBorder="1" applyAlignment="1">
      <alignment horizontal="right"/>
    </xf>
    <xf numFmtId="1" fontId="1" fillId="94" borderId="4" xfId="0" applyNumberFormat="1" applyFont="1" applyFill="1" applyBorder="1" applyAlignment="1">
      <alignment horizontal="right"/>
    </xf>
    <xf numFmtId="1" fontId="1" fillId="95" borderId="4" xfId="0" applyNumberFormat="1" applyFont="1" applyFill="1" applyBorder="1" applyAlignment="1">
      <alignment horizontal="right"/>
    </xf>
    <xf numFmtId="2" fontId="1" fillId="5" borderId="0" xfId="0" applyNumberFormat="1" applyFont="1" applyFill="1" applyAlignment="1">
      <alignment horizontal="right"/>
    </xf>
    <xf numFmtId="1" fontId="1" fillId="96" borderId="0" xfId="0" applyNumberFormat="1" applyFont="1" applyFill="1" applyAlignment="1">
      <alignment horizontal="right"/>
    </xf>
    <xf numFmtId="1" fontId="1" fillId="97" borderId="4" xfId="0" applyNumberFormat="1" applyFont="1" applyFill="1" applyBorder="1" applyAlignment="1">
      <alignment horizontal="right"/>
    </xf>
    <xf numFmtId="2" fontId="1" fillId="98" borderId="0" xfId="0" applyNumberFormat="1" applyFont="1" applyFill="1" applyAlignment="1">
      <alignment horizontal="right"/>
    </xf>
    <xf numFmtId="164" fontId="1" fillId="0" borderId="3" xfId="0" applyNumberFormat="1" applyFont="1" applyBorder="1"/>
    <xf numFmtId="1" fontId="1" fillId="99" borderId="4" xfId="0" applyNumberFormat="1" applyFont="1" applyFill="1" applyBorder="1" applyAlignment="1">
      <alignment horizontal="right"/>
    </xf>
    <xf numFmtId="1" fontId="1" fillId="93" borderId="4" xfId="0" applyNumberFormat="1" applyFont="1" applyFill="1" applyBorder="1" applyAlignment="1">
      <alignment horizontal="right"/>
    </xf>
    <xf numFmtId="1" fontId="1" fillId="100" borderId="4" xfId="0" applyNumberFormat="1" applyFont="1" applyFill="1" applyBorder="1" applyAlignment="1">
      <alignment horizontal="right"/>
    </xf>
    <xf numFmtId="2" fontId="1" fillId="101" borderId="0" xfId="0" applyNumberFormat="1" applyFont="1" applyFill="1" applyAlignment="1">
      <alignment horizontal="right"/>
    </xf>
    <xf numFmtId="1" fontId="1" fillId="46" borderId="0" xfId="0" applyNumberFormat="1" applyFont="1" applyFill="1" applyAlignment="1">
      <alignment horizontal="right"/>
    </xf>
    <xf numFmtId="0" fontId="39" fillId="0" borderId="3" xfId="0" applyFont="1" applyBorder="1"/>
    <xf numFmtId="4" fontId="40" fillId="102" borderId="4" xfId="0" applyNumberFormat="1" applyFont="1" applyFill="1" applyBorder="1" applyAlignment="1">
      <alignment horizontal="right"/>
    </xf>
    <xf numFmtId="1" fontId="1" fillId="9" borderId="4" xfId="0" applyNumberFormat="1" applyFont="1" applyFill="1" applyBorder="1" applyAlignment="1">
      <alignment horizontal="right"/>
    </xf>
    <xf numFmtId="1" fontId="1" fillId="103" borderId="4" xfId="0" applyNumberFormat="1" applyFont="1" applyFill="1" applyBorder="1" applyAlignment="1">
      <alignment horizontal="right"/>
    </xf>
    <xf numFmtId="1" fontId="1" fillId="104" borderId="0" xfId="0" applyNumberFormat="1" applyFont="1" applyFill="1" applyAlignment="1">
      <alignment horizontal="right"/>
    </xf>
    <xf numFmtId="2" fontId="1" fillId="105" borderId="0" xfId="0" applyNumberFormat="1" applyFont="1" applyFill="1" applyAlignment="1">
      <alignment horizontal="right"/>
    </xf>
    <xf numFmtId="1" fontId="1" fillId="100" borderId="0" xfId="0" applyNumberFormat="1" applyFont="1" applyFill="1" applyAlignment="1">
      <alignment horizontal="right"/>
    </xf>
    <xf numFmtId="1" fontId="1" fillId="106" borderId="4" xfId="0" applyNumberFormat="1" applyFont="1" applyFill="1" applyBorder="1" applyAlignment="1">
      <alignment horizontal="right"/>
    </xf>
    <xf numFmtId="1" fontId="1" fillId="107" borderId="4" xfId="0" applyNumberFormat="1" applyFont="1" applyFill="1" applyBorder="1" applyAlignment="1">
      <alignment horizontal="right"/>
    </xf>
    <xf numFmtId="2" fontId="1" fillId="108" borderId="0" xfId="0" applyNumberFormat="1" applyFont="1" applyFill="1" applyAlignment="1">
      <alignment horizontal="right"/>
    </xf>
    <xf numFmtId="1" fontId="1" fillId="109" borderId="4" xfId="0" applyNumberFormat="1" applyFont="1" applyFill="1" applyBorder="1" applyAlignment="1">
      <alignment horizontal="right"/>
    </xf>
    <xf numFmtId="1" fontId="1" fillId="110" borderId="4" xfId="0" applyNumberFormat="1" applyFont="1" applyFill="1" applyBorder="1" applyAlignment="1">
      <alignment horizontal="right"/>
    </xf>
    <xf numFmtId="2" fontId="1" fillId="95" borderId="0" xfId="0" applyNumberFormat="1" applyFont="1" applyFill="1" applyAlignment="1">
      <alignment horizontal="right"/>
    </xf>
    <xf numFmtId="1" fontId="1" fillId="111" borderId="0" xfId="0" applyNumberFormat="1" applyFont="1" applyFill="1" applyAlignment="1">
      <alignment horizontal="right"/>
    </xf>
    <xf numFmtId="1" fontId="1" fillId="29" borderId="4" xfId="0" applyNumberFormat="1" applyFont="1" applyFill="1" applyBorder="1" applyAlignment="1">
      <alignment horizontal="right"/>
    </xf>
    <xf numFmtId="1" fontId="1" fillId="112" borderId="0" xfId="0" applyNumberFormat="1" applyFont="1" applyFill="1" applyAlignment="1">
      <alignment horizontal="right"/>
    </xf>
    <xf numFmtId="1" fontId="1" fillId="113" borderId="4" xfId="0" applyNumberFormat="1" applyFont="1" applyFill="1" applyBorder="1" applyAlignment="1">
      <alignment horizontal="right"/>
    </xf>
    <xf numFmtId="1" fontId="1" fillId="114" borderId="4" xfId="0" applyNumberFormat="1" applyFont="1" applyFill="1" applyBorder="1" applyAlignment="1">
      <alignment horizontal="right"/>
    </xf>
    <xf numFmtId="2" fontId="1" fillId="115" borderId="0" xfId="0" applyNumberFormat="1" applyFont="1" applyFill="1" applyAlignment="1">
      <alignment horizontal="right"/>
    </xf>
    <xf numFmtId="1" fontId="1" fillId="116" borderId="0" xfId="0" applyNumberFormat="1" applyFont="1" applyFill="1" applyAlignment="1">
      <alignment horizontal="right"/>
    </xf>
    <xf numFmtId="1" fontId="1" fillId="117" borderId="4" xfId="0" applyNumberFormat="1" applyFont="1" applyFill="1" applyBorder="1" applyAlignment="1">
      <alignment horizontal="right"/>
    </xf>
    <xf numFmtId="1" fontId="1" fillId="118" borderId="4" xfId="0" applyNumberFormat="1" applyFont="1" applyFill="1" applyBorder="1" applyAlignment="1">
      <alignment horizontal="right"/>
    </xf>
    <xf numFmtId="2" fontId="1" fillId="119" borderId="0" xfId="0" applyNumberFormat="1" applyFont="1" applyFill="1" applyAlignment="1">
      <alignment horizontal="right"/>
    </xf>
    <xf numFmtId="1" fontId="1" fillId="120" borderId="0" xfId="0" applyNumberFormat="1" applyFont="1" applyFill="1" applyAlignment="1">
      <alignment horizontal="right"/>
    </xf>
    <xf numFmtId="1" fontId="1" fillId="121" borderId="4" xfId="0" applyNumberFormat="1" applyFont="1" applyFill="1" applyBorder="1" applyAlignment="1">
      <alignment horizontal="right"/>
    </xf>
    <xf numFmtId="1" fontId="1" fillId="53" borderId="4" xfId="0" applyNumberFormat="1" applyFont="1" applyFill="1" applyBorder="1" applyAlignment="1">
      <alignment horizontal="right"/>
    </xf>
    <xf numFmtId="1" fontId="1" fillId="15" borderId="0" xfId="0" applyNumberFormat="1" applyFont="1" applyFill="1" applyAlignment="1">
      <alignment horizontal="right"/>
    </xf>
    <xf numFmtId="0" fontId="38" fillId="0" borderId="3" xfId="0" applyFont="1" applyBorder="1"/>
    <xf numFmtId="1" fontId="1" fillId="122" borderId="4" xfId="0" applyNumberFormat="1" applyFont="1" applyFill="1" applyBorder="1" applyAlignment="1">
      <alignment horizontal="right"/>
    </xf>
    <xf numFmtId="1" fontId="1" fillId="123" borderId="0" xfId="0" applyNumberFormat="1" applyFont="1" applyFill="1" applyAlignment="1">
      <alignment horizontal="right"/>
    </xf>
    <xf numFmtId="0" fontId="22" fillId="0" borderId="3" xfId="0" applyFont="1" applyBorder="1"/>
    <xf numFmtId="1" fontId="1" fillId="124" borderId="4" xfId="0" applyNumberFormat="1" applyFont="1" applyFill="1" applyBorder="1" applyAlignment="1">
      <alignment horizontal="right"/>
    </xf>
    <xf numFmtId="1" fontId="1" fillId="53" borderId="0" xfId="0" applyNumberFormat="1" applyFont="1" applyFill="1" applyAlignment="1">
      <alignment horizontal="right"/>
    </xf>
    <xf numFmtId="1" fontId="1" fillId="125" borderId="4" xfId="0" applyNumberFormat="1" applyFont="1" applyFill="1" applyBorder="1" applyAlignment="1">
      <alignment horizontal="right"/>
    </xf>
    <xf numFmtId="1" fontId="1" fillId="126" borderId="0" xfId="0" applyNumberFormat="1" applyFont="1" applyFill="1" applyAlignment="1">
      <alignment horizontal="right"/>
    </xf>
    <xf numFmtId="1" fontId="1" fillId="127" borderId="4" xfId="0" applyNumberFormat="1" applyFont="1" applyFill="1" applyBorder="1" applyAlignment="1">
      <alignment horizontal="right"/>
    </xf>
    <xf numFmtId="1" fontId="1" fillId="48" borderId="4" xfId="0" applyNumberFormat="1" applyFont="1" applyFill="1" applyBorder="1" applyAlignment="1">
      <alignment horizontal="right"/>
    </xf>
    <xf numFmtId="2" fontId="1" fillId="104" borderId="0" xfId="0" applyNumberFormat="1" applyFont="1" applyFill="1" applyAlignment="1">
      <alignment horizontal="right"/>
    </xf>
    <xf numFmtId="1" fontId="1" fillId="72" borderId="0" xfId="0" applyNumberFormat="1" applyFont="1" applyFill="1" applyAlignment="1">
      <alignment horizontal="right"/>
    </xf>
    <xf numFmtId="1" fontId="1" fillId="21" borderId="4" xfId="0" applyNumberFormat="1" applyFont="1" applyFill="1" applyBorder="1" applyAlignment="1">
      <alignment horizontal="right"/>
    </xf>
    <xf numFmtId="1" fontId="1" fillId="87" borderId="4" xfId="0" applyNumberFormat="1" applyFont="1" applyFill="1" applyBorder="1" applyAlignment="1">
      <alignment horizontal="right"/>
    </xf>
    <xf numFmtId="1" fontId="1" fillId="128" borderId="0" xfId="0" applyNumberFormat="1" applyFont="1" applyFill="1" applyAlignment="1">
      <alignment horizontal="right"/>
    </xf>
    <xf numFmtId="2" fontId="1" fillId="0" borderId="4" xfId="0" applyNumberFormat="1" applyFont="1" applyBorder="1" applyAlignment="1">
      <alignment horizontal="right"/>
    </xf>
    <xf numFmtId="2" fontId="1" fillId="129" borderId="0" xfId="0" applyNumberFormat="1" applyFont="1" applyFill="1" applyAlignment="1">
      <alignment horizontal="right"/>
    </xf>
    <xf numFmtId="1" fontId="1" fillId="130" borderId="0" xfId="0" applyNumberFormat="1" applyFont="1" applyFill="1" applyAlignment="1">
      <alignment horizontal="right"/>
    </xf>
    <xf numFmtId="1" fontId="1" fillId="131" borderId="4" xfId="0" applyNumberFormat="1" applyFont="1" applyFill="1" applyBorder="1" applyAlignment="1">
      <alignment horizontal="right"/>
    </xf>
    <xf numFmtId="1" fontId="1" fillId="132" borderId="4" xfId="0" applyNumberFormat="1" applyFont="1" applyFill="1" applyBorder="1" applyAlignment="1">
      <alignment horizontal="right"/>
    </xf>
    <xf numFmtId="1" fontId="1" fillId="133" borderId="0" xfId="0" applyNumberFormat="1" applyFont="1" applyFill="1" applyAlignment="1">
      <alignment horizontal="right"/>
    </xf>
    <xf numFmtId="1" fontId="1" fillId="134" borderId="4" xfId="0" applyNumberFormat="1" applyFont="1" applyFill="1" applyBorder="1" applyAlignment="1">
      <alignment horizontal="right"/>
    </xf>
    <xf numFmtId="1" fontId="1" fillId="101" borderId="0" xfId="0" applyNumberFormat="1" applyFont="1" applyFill="1" applyAlignment="1">
      <alignment horizontal="right"/>
    </xf>
    <xf numFmtId="1" fontId="1" fillId="5" borderId="4" xfId="0" applyNumberFormat="1" applyFont="1" applyFill="1" applyBorder="1" applyAlignment="1">
      <alignment horizontal="right"/>
    </xf>
    <xf numFmtId="1" fontId="1" fillId="135" borderId="4" xfId="0" applyNumberFormat="1" applyFont="1" applyFill="1" applyBorder="1" applyAlignment="1">
      <alignment horizontal="right"/>
    </xf>
    <xf numFmtId="2" fontId="1" fillId="136" borderId="0" xfId="0" applyNumberFormat="1" applyFont="1" applyFill="1" applyAlignment="1">
      <alignment horizontal="right"/>
    </xf>
    <xf numFmtId="1" fontId="1" fillId="137" borderId="0" xfId="0" applyNumberFormat="1" applyFont="1" applyFill="1" applyAlignment="1">
      <alignment horizontal="right"/>
    </xf>
    <xf numFmtId="1" fontId="1" fillId="138" borderId="4" xfId="0" applyNumberFormat="1" applyFont="1" applyFill="1" applyBorder="1" applyAlignment="1">
      <alignment horizontal="right"/>
    </xf>
    <xf numFmtId="1" fontId="1" fillId="139" borderId="4" xfId="0" applyNumberFormat="1" applyFont="1" applyFill="1" applyBorder="1" applyAlignment="1">
      <alignment horizontal="right"/>
    </xf>
    <xf numFmtId="2" fontId="1" fillId="140" borderId="0" xfId="0" applyNumberFormat="1" applyFont="1" applyFill="1" applyAlignment="1">
      <alignment horizontal="right"/>
    </xf>
    <xf numFmtId="1" fontId="1" fillId="16" borderId="0" xfId="0" applyNumberFormat="1" applyFont="1" applyFill="1" applyAlignment="1">
      <alignment horizontal="right"/>
    </xf>
    <xf numFmtId="1" fontId="1" fillId="141" borderId="4" xfId="0" applyNumberFormat="1" applyFont="1" applyFill="1" applyBorder="1" applyAlignment="1">
      <alignment horizontal="right"/>
    </xf>
    <xf numFmtId="1" fontId="1" fillId="142" borderId="4" xfId="0" applyNumberFormat="1" applyFont="1" applyFill="1" applyBorder="1" applyAlignment="1">
      <alignment horizontal="right"/>
    </xf>
    <xf numFmtId="1" fontId="1" fillId="143" borderId="4" xfId="0" applyNumberFormat="1" applyFont="1" applyFill="1" applyBorder="1" applyAlignment="1">
      <alignment horizontal="right"/>
    </xf>
    <xf numFmtId="1" fontId="1" fillId="83" borderId="0" xfId="0" applyNumberFormat="1" applyFont="1" applyFill="1" applyAlignment="1">
      <alignment horizontal="right"/>
    </xf>
    <xf numFmtId="1" fontId="1" fillId="144" borderId="4" xfId="0" applyNumberFormat="1" applyFont="1" applyFill="1" applyBorder="1" applyAlignment="1">
      <alignment horizontal="right"/>
    </xf>
    <xf numFmtId="0" fontId="17" fillId="0" borderId="3" xfId="0" applyFont="1" applyBorder="1"/>
    <xf numFmtId="1" fontId="1" fillId="50" borderId="4" xfId="0" applyNumberFormat="1" applyFont="1" applyFill="1" applyBorder="1" applyAlignment="1">
      <alignment horizontal="right"/>
    </xf>
    <xf numFmtId="2" fontId="1" fillId="145" borderId="0" xfId="0" applyNumberFormat="1" applyFont="1" applyFill="1" applyAlignment="1">
      <alignment horizontal="right"/>
    </xf>
    <xf numFmtId="1" fontId="1" fillId="146" borderId="0" xfId="0" applyNumberFormat="1" applyFont="1" applyFill="1" applyAlignment="1">
      <alignment horizontal="right"/>
    </xf>
    <xf numFmtId="1" fontId="1" fillId="36" borderId="4" xfId="0" applyNumberFormat="1" applyFont="1" applyFill="1" applyBorder="1" applyAlignment="1">
      <alignment horizontal="right"/>
    </xf>
    <xf numFmtId="1" fontId="1" fillId="39" borderId="4" xfId="0" applyNumberFormat="1" applyFont="1" applyFill="1" applyBorder="1" applyAlignment="1">
      <alignment horizontal="right"/>
    </xf>
    <xf numFmtId="1" fontId="1" fillId="147" borderId="0" xfId="0" applyNumberFormat="1" applyFont="1" applyFill="1" applyAlignment="1">
      <alignment horizontal="right"/>
    </xf>
    <xf numFmtId="1" fontId="1" fillId="148" borderId="4" xfId="0" applyNumberFormat="1" applyFont="1" applyFill="1" applyBorder="1" applyAlignment="1">
      <alignment horizontal="right"/>
    </xf>
    <xf numFmtId="1" fontId="1" fillId="130" borderId="4" xfId="0" applyNumberFormat="1" applyFont="1" applyFill="1" applyBorder="1" applyAlignment="1">
      <alignment horizontal="right"/>
    </xf>
    <xf numFmtId="2" fontId="1" fillId="149" borderId="0" xfId="0" applyNumberFormat="1" applyFont="1" applyFill="1" applyAlignment="1">
      <alignment horizontal="right"/>
    </xf>
    <xf numFmtId="1" fontId="1" fillId="51" borderId="4" xfId="0" applyNumberFormat="1" applyFont="1" applyFill="1" applyBorder="1" applyAlignment="1">
      <alignment horizontal="right"/>
    </xf>
    <xf numFmtId="1" fontId="1" fillId="150" borderId="4" xfId="0" applyNumberFormat="1" applyFont="1" applyFill="1" applyBorder="1" applyAlignment="1">
      <alignment horizontal="right"/>
    </xf>
    <xf numFmtId="1" fontId="1" fillId="151" borderId="0" xfId="0" applyNumberFormat="1" applyFont="1" applyFill="1" applyAlignment="1">
      <alignment horizontal="right"/>
    </xf>
    <xf numFmtId="1" fontId="1" fillId="152" borderId="4" xfId="0" applyNumberFormat="1" applyFont="1" applyFill="1" applyBorder="1" applyAlignment="1">
      <alignment horizontal="right"/>
    </xf>
    <xf numFmtId="1" fontId="1" fillId="153" borderId="4" xfId="0" applyNumberFormat="1" applyFont="1" applyFill="1" applyBorder="1" applyAlignment="1">
      <alignment horizontal="right"/>
    </xf>
    <xf numFmtId="1" fontId="1" fillId="119" borderId="0" xfId="0" applyNumberFormat="1" applyFont="1" applyFill="1" applyAlignment="1">
      <alignment horizontal="right"/>
    </xf>
    <xf numFmtId="1" fontId="1" fillId="154" borderId="4" xfId="0" applyNumberFormat="1" applyFont="1" applyFill="1" applyBorder="1" applyAlignment="1">
      <alignment horizontal="right"/>
    </xf>
    <xf numFmtId="1" fontId="1" fillId="33" borderId="0" xfId="0" applyNumberFormat="1" applyFont="1" applyFill="1" applyAlignment="1">
      <alignment horizontal="right"/>
    </xf>
    <xf numFmtId="1" fontId="1" fillId="112" borderId="4" xfId="0" applyNumberFormat="1" applyFont="1" applyFill="1" applyBorder="1" applyAlignment="1">
      <alignment horizontal="right"/>
    </xf>
    <xf numFmtId="2" fontId="1" fillId="155" borderId="0" xfId="0" applyNumberFormat="1" applyFont="1" applyFill="1" applyAlignment="1">
      <alignment horizontal="right"/>
    </xf>
    <xf numFmtId="2" fontId="1" fillId="156" borderId="0" xfId="0" applyNumberFormat="1" applyFont="1" applyFill="1" applyAlignment="1">
      <alignment horizontal="right"/>
    </xf>
    <xf numFmtId="1" fontId="1" fillId="157" borderId="0" xfId="0" applyNumberFormat="1" applyFont="1" applyFill="1" applyAlignment="1">
      <alignment horizontal="right"/>
    </xf>
    <xf numFmtId="1" fontId="1" fillId="158" borderId="4" xfId="0" applyNumberFormat="1" applyFont="1" applyFill="1" applyBorder="1" applyAlignment="1">
      <alignment horizontal="right"/>
    </xf>
    <xf numFmtId="1" fontId="1" fillId="159" borderId="0" xfId="0" applyNumberFormat="1" applyFont="1" applyFill="1" applyAlignment="1">
      <alignment horizontal="right"/>
    </xf>
    <xf numFmtId="1" fontId="1" fillId="160" borderId="4" xfId="0" applyNumberFormat="1" applyFont="1" applyFill="1" applyBorder="1" applyAlignment="1">
      <alignment horizontal="right"/>
    </xf>
    <xf numFmtId="1" fontId="1" fillId="161" borderId="4" xfId="0" applyNumberFormat="1" applyFont="1" applyFill="1" applyBorder="1" applyAlignment="1">
      <alignment horizontal="right"/>
    </xf>
    <xf numFmtId="1" fontId="1" fillId="162" borderId="0" xfId="0" applyNumberFormat="1" applyFont="1" applyFill="1" applyAlignment="1">
      <alignment horizontal="right"/>
    </xf>
    <xf numFmtId="1" fontId="1" fillId="163" borderId="4" xfId="0" applyNumberFormat="1" applyFont="1" applyFill="1" applyBorder="1" applyAlignment="1">
      <alignment horizontal="right"/>
    </xf>
    <xf numFmtId="1" fontId="1" fillId="49" borderId="4" xfId="0" applyNumberFormat="1" applyFont="1" applyFill="1" applyBorder="1" applyAlignment="1">
      <alignment horizontal="right"/>
    </xf>
    <xf numFmtId="1" fontId="1" fillId="164" borderId="4" xfId="0" applyNumberFormat="1" applyFont="1" applyFill="1" applyBorder="1" applyAlignment="1">
      <alignment horizontal="right"/>
    </xf>
    <xf numFmtId="1" fontId="1" fillId="123" borderId="4" xfId="0" applyNumberFormat="1" applyFont="1" applyFill="1" applyBorder="1" applyAlignment="1">
      <alignment horizontal="right"/>
    </xf>
    <xf numFmtId="1" fontId="1" fillId="165" borderId="0" xfId="0" applyNumberFormat="1" applyFont="1" applyFill="1" applyAlignment="1">
      <alignment horizontal="right"/>
    </xf>
    <xf numFmtId="1" fontId="1" fillId="47" borderId="4" xfId="0" applyNumberFormat="1" applyFont="1" applyFill="1" applyBorder="1" applyAlignment="1">
      <alignment horizontal="right"/>
    </xf>
    <xf numFmtId="1" fontId="1" fillId="52" borderId="0" xfId="0" applyNumberFormat="1" applyFont="1" applyFill="1" applyAlignment="1">
      <alignment horizontal="right"/>
    </xf>
    <xf numFmtId="1" fontId="1" fillId="166" borderId="4" xfId="0" applyNumberFormat="1" applyFont="1" applyFill="1" applyBorder="1" applyAlignment="1">
      <alignment horizontal="right"/>
    </xf>
    <xf numFmtId="1" fontId="1" fillId="167" borderId="4" xfId="0" applyNumberFormat="1" applyFont="1" applyFill="1" applyBorder="1" applyAlignment="1">
      <alignment horizontal="right"/>
    </xf>
    <xf numFmtId="1" fontId="1" fillId="168" borderId="0" xfId="0" applyNumberFormat="1" applyFont="1" applyFill="1" applyAlignment="1">
      <alignment horizontal="right"/>
    </xf>
    <xf numFmtId="1" fontId="1" fillId="168" borderId="4" xfId="0" applyNumberFormat="1" applyFont="1" applyFill="1" applyBorder="1" applyAlignment="1">
      <alignment horizontal="right"/>
    </xf>
    <xf numFmtId="1" fontId="1" fillId="84" borderId="0" xfId="0" applyNumberFormat="1" applyFont="1" applyFill="1" applyAlignment="1">
      <alignment horizontal="right"/>
    </xf>
    <xf numFmtId="1" fontId="1" fillId="34" borderId="4" xfId="0" applyNumberFormat="1" applyFont="1" applyFill="1" applyBorder="1" applyAlignment="1">
      <alignment horizontal="right"/>
    </xf>
    <xf numFmtId="1" fontId="1" fillId="169" borderId="4" xfId="0" applyNumberFormat="1" applyFont="1" applyFill="1" applyBorder="1" applyAlignment="1">
      <alignment horizontal="right"/>
    </xf>
    <xf numFmtId="1" fontId="1" fillId="170" borderId="0" xfId="0" applyNumberFormat="1" applyFont="1" applyFill="1" applyAlignment="1">
      <alignment horizontal="right"/>
    </xf>
    <xf numFmtId="1" fontId="1" fillId="171" borderId="4" xfId="0" applyNumberFormat="1" applyFont="1" applyFill="1" applyBorder="1" applyAlignment="1">
      <alignment horizontal="right"/>
    </xf>
    <xf numFmtId="1" fontId="1" fillId="172" borderId="0" xfId="0" applyNumberFormat="1" applyFont="1" applyFill="1" applyAlignment="1">
      <alignment horizontal="right"/>
    </xf>
    <xf numFmtId="2" fontId="1" fillId="15" borderId="1" xfId="0" applyNumberFormat="1" applyFont="1" applyFill="1" applyBorder="1" applyAlignment="1">
      <alignment horizontal="right"/>
    </xf>
    <xf numFmtId="1" fontId="1" fillId="173" borderId="4" xfId="0" applyNumberFormat="1" applyFont="1" applyFill="1" applyBorder="1" applyAlignment="1">
      <alignment horizontal="right"/>
    </xf>
    <xf numFmtId="1" fontId="1" fillId="174" borderId="0" xfId="0" applyNumberFormat="1" applyFont="1" applyFill="1" applyAlignment="1">
      <alignment horizontal="right"/>
    </xf>
    <xf numFmtId="0" fontId="1" fillId="0" borderId="1" xfId="0" applyFont="1" applyBorder="1" applyAlignment="1">
      <alignment horizontal="center"/>
    </xf>
    <xf numFmtId="9" fontId="3" fillId="0" borderId="1" xfId="0" applyNumberFormat="1" applyFont="1" applyBorder="1"/>
    <xf numFmtId="0" fontId="41" fillId="0" borderId="1" xfId="0" applyFont="1" applyBorder="1"/>
    <xf numFmtId="170" fontId="41" fillId="0" borderId="1" xfId="0" applyNumberFormat="1" applyFont="1" applyBorder="1"/>
    <xf numFmtId="164" fontId="31" fillId="62" borderId="1" xfId="0" applyNumberFormat="1" applyFont="1" applyFill="1" applyBorder="1"/>
    <xf numFmtId="164" fontId="3" fillId="0" borderId="1" xfId="0" applyNumberFormat="1" applyFont="1" applyBorder="1"/>
    <xf numFmtId="0" fontId="13" fillId="0" borderId="1" xfId="0" applyFont="1" applyBorder="1" applyAlignment="1">
      <alignment horizontal="center"/>
    </xf>
    <xf numFmtId="0" fontId="13" fillId="15" borderId="1" xfId="0" applyFont="1" applyFill="1" applyBorder="1" applyAlignment="1">
      <alignment horizontal="right"/>
    </xf>
    <xf numFmtId="0" fontId="42" fillId="0" borderId="1" xfId="0" applyFont="1" applyBorder="1"/>
    <xf numFmtId="10" fontId="31" fillId="62" borderId="1" xfId="0" applyNumberFormat="1" applyFont="1" applyFill="1" applyBorder="1" applyAlignment="1">
      <alignment horizontal="center"/>
    </xf>
    <xf numFmtId="10" fontId="1" fillId="56" borderId="4" xfId="0" applyNumberFormat="1" applyFont="1" applyFill="1" applyBorder="1" applyAlignment="1">
      <alignment horizontal="right"/>
    </xf>
    <xf numFmtId="10" fontId="1" fillId="175" borderId="4" xfId="0" applyNumberFormat="1" applyFont="1" applyFill="1" applyBorder="1" applyAlignment="1">
      <alignment horizontal="right"/>
    </xf>
    <xf numFmtId="10" fontId="1" fillId="176" borderId="4" xfId="0" applyNumberFormat="1" applyFont="1" applyFill="1" applyBorder="1" applyAlignment="1">
      <alignment horizontal="right"/>
    </xf>
    <xf numFmtId="10" fontId="43" fillId="0" borderId="1" xfId="0" applyNumberFormat="1" applyFont="1" applyBorder="1" applyAlignment="1">
      <alignment horizontal="right"/>
    </xf>
    <xf numFmtId="10" fontId="44" fillId="56" borderId="4" xfId="0" applyNumberFormat="1" applyFont="1" applyFill="1" applyBorder="1" applyAlignment="1">
      <alignment horizontal="right"/>
    </xf>
    <xf numFmtId="0" fontId="12" fillId="0" borderId="0" xfId="0" applyFont="1"/>
    <xf numFmtId="0" fontId="45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/>
    </xf>
    <xf numFmtId="1" fontId="30" fillId="0" borderId="1" xfId="0" applyNumberFormat="1" applyFont="1" applyBorder="1" applyAlignment="1">
      <alignment horizontal="center"/>
    </xf>
    <xf numFmtId="10" fontId="30" fillId="0" borderId="1" xfId="0" applyNumberFormat="1" applyFont="1" applyBorder="1" applyAlignment="1">
      <alignment horizontal="center"/>
    </xf>
    <xf numFmtId="0" fontId="30" fillId="0" borderId="0" xfId="0" applyFont="1" applyAlignment="1">
      <alignment horizontal="center"/>
    </xf>
    <xf numFmtId="20" fontId="30" fillId="0" borderId="0" xfId="0" applyNumberFormat="1" applyFont="1" applyAlignment="1">
      <alignment horizontal="center"/>
    </xf>
    <xf numFmtId="0" fontId="46" fillId="0" borderId="0" xfId="0" applyFont="1"/>
    <xf numFmtId="0" fontId="47" fillId="0" borderId="1" xfId="0" applyFont="1" applyBorder="1"/>
    <xf numFmtId="10" fontId="42" fillId="0" borderId="1" xfId="0" applyNumberFormat="1" applyFont="1" applyBorder="1"/>
    <xf numFmtId="0" fontId="42" fillId="0" borderId="0" xfId="0" applyFont="1"/>
    <xf numFmtId="1" fontId="1" fillId="56" borderId="1" xfId="0" applyNumberFormat="1" applyFont="1" applyFill="1" applyBorder="1" applyAlignment="1">
      <alignment horizontal="right"/>
    </xf>
    <xf numFmtId="0" fontId="48" fillId="0" borderId="1" xfId="0" applyFont="1" applyBorder="1" applyAlignment="1">
      <alignment horizontal="center"/>
    </xf>
    <xf numFmtId="0" fontId="0" fillId="0" borderId="5" xfId="0" applyBorder="1"/>
    <xf numFmtId="0" fontId="0" fillId="0" borderId="5" xfId="0" pivotButton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5" xfId="0" applyNumberFormat="1" applyBorder="1"/>
    <xf numFmtId="0" fontId="0" fillId="0" borderId="8" xfId="0" applyNumberFormat="1" applyBorder="1"/>
    <xf numFmtId="0" fontId="0" fillId="0" borderId="9" xfId="0" applyNumberFormat="1" applyBorder="1"/>
    <xf numFmtId="0" fontId="0" fillId="0" borderId="10" xfId="0" applyBorder="1"/>
    <xf numFmtId="0" fontId="0" fillId="0" borderId="10" xfId="0" applyNumberFormat="1" applyBorder="1"/>
    <xf numFmtId="0" fontId="0" fillId="0" borderId="0" xfId="0" applyNumberFormat="1"/>
    <xf numFmtId="0" fontId="0" fillId="0" borderId="11" xfId="0" applyNumberFormat="1" applyBorder="1"/>
    <xf numFmtId="0" fontId="0" fillId="0" borderId="12" xfId="0" applyBorder="1"/>
    <xf numFmtId="0" fontId="0" fillId="0" borderId="12" xfId="0" applyNumberFormat="1" applyBorder="1"/>
    <xf numFmtId="0" fontId="0" fillId="0" borderId="13" xfId="0" applyNumberFormat="1" applyBorder="1"/>
    <xf numFmtId="0" fontId="0" fillId="0" borderId="14" xfId="0" applyNumberFormat="1" applyBorder="1"/>
    <xf numFmtId="0" fontId="1" fillId="0" borderId="0" xfId="0" applyFont="1" applyBorder="1"/>
    <xf numFmtId="9" fontId="1" fillId="0" borderId="0" xfId="0" applyNumberFormat="1" applyFont="1" applyBorder="1"/>
    <xf numFmtId="0" fontId="0" fillId="0" borderId="5" xfId="0" applyBorder="1" applyAlignment="1">
      <alignment horizontal="left"/>
    </xf>
    <xf numFmtId="0" fontId="0" fillId="0" borderId="15" xfId="0" applyBorder="1" applyAlignment="1">
      <alignment horizontal="left" indent="1"/>
    </xf>
    <xf numFmtId="0" fontId="0" fillId="0" borderId="15" xfId="0" applyBorder="1" applyAlignment="1">
      <alignment horizontal="left" indent="2"/>
    </xf>
    <xf numFmtId="0" fontId="0" fillId="0" borderId="15" xfId="0" applyBorder="1" applyAlignment="1">
      <alignment horizontal="left"/>
    </xf>
    <xf numFmtId="0" fontId="0" fillId="0" borderId="12" xfId="0" applyBorder="1" applyAlignment="1">
      <alignment horizontal="left"/>
    </xf>
    <xf numFmtId="9" fontId="0" fillId="0" borderId="5" xfId="0" applyNumberFormat="1" applyBorder="1"/>
    <xf numFmtId="9" fontId="0" fillId="0" borderId="9" xfId="0" applyNumberFormat="1" applyBorder="1"/>
    <xf numFmtId="9" fontId="0" fillId="0" borderId="15" xfId="0" applyNumberFormat="1" applyBorder="1"/>
    <xf numFmtId="9" fontId="0" fillId="0" borderId="16" xfId="0" applyNumberFormat="1" applyBorder="1"/>
    <xf numFmtId="9" fontId="0" fillId="0" borderId="12" xfId="0" applyNumberFormat="1" applyBorder="1"/>
    <xf numFmtId="9" fontId="0" fillId="0" borderId="14" xfId="0" applyNumberFormat="1" applyBorder="1"/>
  </cellXfs>
  <cellStyles count="1">
    <cellStyle name="Normal" xfId="0" builtinId="0"/>
  </cellStyles>
  <dxfs count="4">
    <dxf>
      <numFmt numFmtId="13" formatCode="0%"/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1">
    <tableStyle name=" Result Trend-style" pivot="0" count="3" xr9:uid="{00000000-0011-0000-FFFF-FFFF00000000}">
      <tableStyleElement type="headerRow" dxfId="3"/>
      <tableStyleElement type="firstRowStripe" dxfId="2"/>
      <tableStyleElement type="secondRowStripe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pivotCacheDefinition" Target="pivotCache/pivotCacheDefinition2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theme" Target="theme/theme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styles" Target="style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alcChain" Target="calcChain.xml"/><Relationship Id="rId190" Type="http://schemas.openxmlformats.org/officeDocument/2006/relationships/pivotCacheDefinition" Target="pivotCache/pivotCacheDefinition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microsoft.com/office/2017/10/relationships/person" Target="persons/person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persons/person.xml><?xml version="1.0" encoding="utf-8"?>
<x18tc:personList xmlns:x18tc="http://schemas.microsoft.com/office/spreadsheetml/2018/threadedcomments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Piyush Patel" refreshedDate="46118.610379861108" refreshedVersion="8" recordCount="1005" xr:uid="{00000000-000A-0000-FFFF-FFFF01000000}">
  <cacheSource type="worksheet">
    <worksheetSource ref="A4:Y1007" sheet="BSE ALL CAP"/>
  </cacheSource>
  <cacheFields count="25">
    <cacheField name="Company Name" numFmtId="0">
      <sharedItems/>
    </cacheField>
    <cacheField name="Symbol" numFmtId="0">
      <sharedItems containsMixedTypes="1" containsNumber="1" containsInteger="1" minValue="500002" maxValue="590071"/>
    </cacheField>
    <cacheField name="Macro-Economic Sector" numFmtId="0">
      <sharedItems count="13">
        <s v="Energy"/>
        <s v="Telecommunication"/>
        <s v="Financial Services"/>
        <s v="Information Technology"/>
        <s v="Industrials"/>
        <s v="Fast Moving Consumer Goods"/>
        <s v="Consumer Discretionary"/>
        <s v="Healthcare"/>
        <s v="Commodities"/>
        <s v="Utilities"/>
        <s v="Services"/>
        <s v="Diversified"/>
        <s v="Iron &amp; Steel Products"/>
      </sharedItems>
    </cacheField>
    <cacheField name="Basic Industry" numFmtId="0">
      <sharedItems containsBlank="1"/>
    </cacheField>
    <cacheField name="Price" numFmtId="0">
      <sharedItems containsSemiMixedTypes="0" containsString="0" containsNumber="1" minValue="8.2899999999999991" maxValue="126670"/>
    </cacheField>
    <cacheField name="MarketCap" numFmtId="1">
      <sharedItems containsString="0" containsBlank="1" containsNumber="1" minValue="1103.4744218999999" maxValue="1763144.2464381999"/>
    </cacheField>
    <cacheField name="Weightage" numFmtId="10">
      <sharedItems containsSemiMixedTypes="0" containsString="0" containsNumber="1" minValue="0" maxValue="4.3748857798288819E-2"/>
    </cacheField>
    <cacheField name="Sales 9M_FY26" numFmtId="0">
      <sharedItems containsString="0" containsBlank="1" containsNumber="1" containsInteger="1" minValue="3" maxValue="777054"/>
    </cacheField>
    <cacheField name="Sales 9M_FY25" numFmtId="0">
      <sharedItems containsString="0" containsBlank="1" containsNumber="1" containsInteger="1" minValue="2" maxValue="715563"/>
    </cacheField>
    <cacheField name="Profit 9M_FY26" numFmtId="0">
      <sharedItems containsString="0" containsBlank="1" containsNumber="1" minValue="-17418" maxValue="70809"/>
    </cacheField>
    <cacheField name="Profit 9M_FY25" numFmtId="0">
      <sharedItems containsString="0" containsBlank="1" containsNumber="1" minValue="-20217" maxValue="59076"/>
    </cacheField>
    <cacheField name="Sales Q3_FY26" numFmtId="0">
      <sharedItems containsString="0" containsBlank="1" containsNumber="1" minValue="0.34" maxValue="269496"/>
    </cacheField>
    <cacheField name="Sales Q3_FY25" numFmtId="0">
      <sharedItems containsString="0" containsBlank="1" containsNumber="1" minValue="0.25" maxValue="243865"/>
    </cacheField>
    <cacheField name="Profit Q3_FY26" numFmtId="0">
      <sharedItems containsString="0" containsBlank="1" containsNumber="1" minValue="-5286" maxValue="21876"/>
    </cacheField>
    <cacheField name="Profit Q3_FY25" numFmtId="0">
      <sharedItems containsString="0" containsBlank="1" containsNumber="1" minValue="-6609" maxValue="20010"/>
    </cacheField>
    <cacheField name="Margin 9M_FY26" numFmtId="10">
      <sharedItems containsMixedTypes="1" containsNumber="1" minValue="-46" maxValue="87"/>
    </cacheField>
    <cacheField name="Margin 9M_FY25" numFmtId="10">
      <sharedItems containsMixedTypes="1" containsNumber="1" minValue="-23.2" maxValue="42"/>
    </cacheField>
    <cacheField name="Margin Change 9M_FY26" numFmtId="10">
      <sharedItems containsMixedTypes="1" containsNumber="1" minValue="-22.8" maxValue="45"/>
    </cacheField>
    <cacheField name="Margin Q3_FY26" numFmtId="10">
      <sharedItems containsMixedTypes="1" containsNumber="1" minValue="-50.5" maxValue="135.29411764705881"/>
    </cacheField>
    <cacheField name="Margin Q3_FY25" numFmtId="10">
      <sharedItems containsMixedTypes="1" containsNumber="1" minValue="-39" maxValue="16"/>
    </cacheField>
    <cacheField name="Margin Change Q3_FY26" numFmtId="10">
      <sharedItems containsMixedTypes="1" containsNumber="1" minValue="-11.5" maxValue="119.29411764705881"/>
    </cacheField>
    <cacheField name="Sales Gr. 9M_FY26" numFmtId="10">
      <sharedItems containsMixedTypes="1" containsNumber="1" minValue="-0.8902508551881414" maxValue="13.44439094848339"/>
    </cacheField>
    <cacheField name="Profit  Gr. 9M_FY26" numFmtId="10">
      <sharedItems containsMixedTypes="1" containsNumber="1" minValue="-111.90909090909091" maxValue="25.777777777777779"/>
    </cacheField>
    <cacheField name="Sales Gr Q3_FY26" numFmtId="10">
      <sharedItems containsMixedTypes="1" containsNumber="1" minValue="-0.88417865253595762" maxValue="14.25"/>
    </cacheField>
    <cacheField name="Profit Gr Q3_FY26" numFmtId="10">
      <sharedItems containsMixedTypes="1" containsNumber="1" minValue="-386.46153846153845" maxValue="78.48717948717948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iyush Patel" refreshedDate="46118.61508009259" createdVersion="8" refreshedVersion="8" minRefreshableVersion="3" recordCount="1030" xr:uid="{AEBC6607-3C34-46B5-A473-4529131F7628}">
  <cacheSource type="worksheet">
    <worksheetSource ref="A4:Y1034" sheet="BSE ALL CAP"/>
  </cacheSource>
  <cacheFields count="25">
    <cacheField name="Company Name" numFmtId="0">
      <sharedItems count="1030">
        <s v="RELIANCE INDUSTRIES LTD."/>
        <s v="BHARTI AIRTEL LTD."/>
        <s v="ICICI BANK LTD."/>
        <s v="TATA CONSULTANCY SERVICES LTD."/>
        <s v="HDFC BANK LTD."/>
        <s v="BAJAJ FINANCE LIMITED"/>
        <s v="LARSEN &amp; TOUBRO LTD."/>
        <s v="HINDUSTAN UNILEVER LTD."/>
        <s v="INFOSYS LTD."/>
        <s v="LIFE INSURANCE CORPORATION OF"/>
        <s v="MARUTI SUZUKI INDIA LTD."/>
        <s v="AXIS BANK LTD."/>
        <s v="SUN PHARMACEUTICAL INDUSTRIES"/>
        <s v="MAHINDRA &amp; MAHINDRA LTD."/>
        <s v="ITC LTD."/>
        <s v="TITAN COMPANY LIMITED"/>
        <s v="HCL TECHNOLOGIES LTD."/>
        <s v="ULTRATECH CEMENT LTD."/>
        <s v="NTPC LTD."/>
        <s v="STATE BANK OF INDIA"/>
        <s v="OIL AND NATURAL GAS CORPORATIO"/>
        <s v="BHARAT ELECTRONICS LTD."/>
        <s v="ADANI PORTS AND SPECIAL ECONOM"/>
        <s v="BAJAJ FINSERV LTD."/>
        <s v="JSW STEEL LTD."/>
        <s v="POWER GRID CORPORATION OF INDI"/>
        <s v="BAJAJ AUTO LTD."/>
        <s v="VEDANTA LIMITED"/>
        <s v="ADANI ENTERPRISES LTD."/>
        <s v="Hindustan Aeronautics Limited"/>
        <s v="TATA STEEL LTD."/>
        <s v="COAL INDIA LTD."/>
        <s v="HINDUSTAN ZINC LTD."/>
        <s v="INDIAN OIL CORPORATION LTD."/>
        <s v="NESTLE INDIA LTD."/>
        <s v="Avenue Supermarts Limited"/>
        <s v="ASIAN PAINTS LTD."/>
        <s v="Eternal Limited"/>
        <s v="EICHER MOTORS LTD."/>
        <s v="HINDALCO INDUSTRIES LTD."/>
        <s v="WIPRO LTD."/>
        <s v="SBI Life Insurance Company Lim"/>
        <s v="Shriram Finance Limited"/>
        <s v="GRASIM INDUSTRIES LTD."/>
        <s v="TVS MOTOR COMPANY LTD."/>
        <s v="InterGlobe Aviation Limited"/>
        <s v="HYUNDAI MOTOR INDIA LIMITED"/>
        <s v="DIVIS LABORATORIES LTD."/>
        <s v="BANK OF BARODA"/>
        <s v="Jio Financial Services Limited"/>
        <s v="HDFC LIFE INSURANCE COMPANY LI"/>
        <s v="ICICI AMC"/>
        <s v="UNION BANK OF INDIA"/>
        <s v="Varun Beverages Limited"/>
        <s v="PIDILITE INDUSTRIES LTD."/>
        <s v="TORRENT PHARMACEUTICALS LTD."/>
        <s v="Adani Green Energy Limited"/>
        <s v="DLF LTD."/>
        <s v="CHOLAMANDALAM INVESTMENT AND F"/>
        <s v="PUNJAB NATIONAL BANK"/>
        <s v="BRITANNIA INDUSTRIES LTD."/>
        <s v="TATA MOTORS PASSENGER VEHICLES"/>
        <s v="MUTHOOT FINANCE LTD."/>
        <s v="CANARA BANK"/>
        <s v="Tata Capital Limited"/>
        <s v="TRENT LTD."/>
        <s v="CUMMINS INDIA LTD."/>
        <s v="POWER FINANCE CORPORATION LTD."/>
        <s v="LTM"/>
        <s v="TECH MAHINDRA LTD."/>
        <s v="INDIAN BANK"/>
        <s v="Polycab India Limited"/>
        <s v="Indian Railway Finance Corpora"/>
        <s v="JINDAL STEEL LIMITED"/>
        <s v="ABB INDIA LIMITED"/>
        <s v="SOLAR INDUSTRIES INDIA LTD."/>
        <s v="ASHOK LEYLAND LTD."/>
        <s v="IDBI BANK LTD."/>
        <s v="GODREJ CONSUMER PRODUCTS LTD."/>
        <s v="SIEMENS LTD."/>
        <s v="INDUS TOWERS LIMITED"/>
        <s v="BAJAJ HOLDINGS &amp; INVESTMENT LT"/>
        <s v="TATA POWER CO.LTD."/>
        <s v="Adani Energy Solutions Limited"/>
        <s v="HDFC Asset Management Company"/>
        <s v="HITACHI ENERGY INDIA LIMITED"/>
        <s v="HERO MOTOCORP LTD."/>
        <s v="CG Power and Industrial Soluti"/>
        <s v="APOLLO HOSPITALS ENTERPRISE LT"/>
        <s v="VODAFONE IDEA LIMITED"/>
        <s v="TATA CONSUMER PRODUCTS LIMITED"/>
        <s v="CIPLA LTD."/>
        <s v="GAIL (INDIA) LTD."/>
        <s v="AMBUJA CEMENTS LTD."/>
        <s v="BSE Limited"/>
        <s v="LG Electronics India Limited"/>
        <s v="LGE India Electronics Ltd."/>
        <s v="DR.REDDYS LABORATORIES LTD."/>
        <s v="Siemens Energy India Limited"/>
        <s v="Max Healthcare Institute Limit"/>
        <s v="LUPIN LTD."/>
        <s v="BOSCH LTD."/>
        <s v="GMR Airports Limited"/>
        <s v="MARICO LTD."/>
        <s v="UNITED SPIRITS LTD."/>
        <s v="GE Vernova T&amp;D India Limited"/>
        <s v="Lodha Developers Limited"/>
        <s v="ICICI Prudential Life Insuranc"/>
        <s v="ICICI Lombard General Insuranc"/>
        <s v="SHREE CEMENT LTD."/>
        <s v="INDIAN HOTELS CO.LTD."/>
        <s v="Mankind Pharma Limited"/>
        <s v="BHARAT HEAVY ELECTRICALS LTD."/>
        <s v="Zydus Lifesciences Limited"/>
        <s v="DABUR INDIA LTD."/>
        <s v="HINDUSTAN PETROLEUM CORPORATIO"/>
        <s v="BHARAT FORGE LTD."/>
        <s v="Mazagon Dock Shipbuilders Limi"/>
        <s v="REC LIMITED"/>
        <s v="Aditya Birla Capital Ltd"/>
        <s v="Samvardhana Motherson Internat"/>
        <s v="JSW ENERGY LTD"/>
        <s v="HAVELLS INDIA LTD."/>
        <s v="KOTAK MAHINDRA BANK LTD."/>
        <s v="BHARAT PETROLEUM CORPORATION L"/>
        <s v="OIL INDIA LTD."/>
        <s v="Bharti Hexacom Limited"/>
        <s v="BANK OF INDIA"/>
        <s v="TORRENT POWER LTD."/>
        <s v="Waaree Energies Limited"/>
        <s v="SRF LTD."/>
        <s v="NTPC GREEN ENERGY LIMITED"/>
        <s v="FSN E-Commerce Ventures Limite"/>
        <s v="INDUSIND BANK LTD."/>
        <s v="PERSISTENT SYSTEMS LTD."/>
        <s v="NHPC LTD."/>
        <s v="FEDERAL BANK LTD."/>
        <s v="SBI CARDS AND PAYMENT SERVICES"/>
        <s v="AU Small Finance Bank Limited"/>
        <s v="NMDC LTD."/>
        <s v="L&amp;T Finance Limited"/>
        <s v="FORTIS HEALTHCARE LTD."/>
        <s v="Bajaj Housing Finance Limited"/>
        <s v="AUROBINDO PHARMA LTD."/>
        <s v="UNO Minda Limited"/>
        <s v="STEEL AUTHORITY OF INDIA LTD."/>
        <s v="PB Fintech Limited"/>
        <s v="INDIAN OVERSEAS BANK"/>
        <s v="Schaeffler India Limited (Yearly)"/>
        <s v="One 97 Communications Limited"/>
        <s v="Alkem Laboratories Limited"/>
        <s v="NATIONAL ALUMINIUM CO.LTD."/>
        <s v="SWIGGY LIMITED"/>
        <s v="LLOYDS METALS AND ENERGY LTD."/>
        <s v="INFO EDGE (INDIA) LTD."/>
        <s v="General Insurance Corporation"/>
        <s v="COROMANDEL INTERNATIONAL LTD."/>
        <s v="JINDAL STAINLESS LTD."/>
        <s v="MULTI COMMODITY EXCHANGE OF IN"/>
        <s v="YES BANK LTD."/>
        <s v="BIOCON LTD."/>
        <s v="Rail Vikas Nigam Limited"/>
        <s v="Max Financial Services Limited"/>
        <s v="APL APOLLO TUBES LTD."/>
        <s v="Dixon Technologies (India) Lim"/>
        <s v="COLGATE-PALMOLIVE (INDIA) LTD."/>
        <s v="GLENMARK PHARMACEUTICALS LTD."/>
        <s v="ORACLE FINANCIAL SERVICES SOFT"/>
        <s v="PRESTIGE ESTATES PROJECTS LTD."/>
        <s v="MRF LTD."/>
        <s v="THE PHOENIX MILLS LTD"/>
        <s v="HDB FINANCIAL SERVICES LIMITED"/>
        <s v="NIPPON LIFE INDIA ASSET MANAGE"/>
        <s v="Laurus Labs Limited"/>
        <s v="Sundaram Finance Ltd"/>
        <s v="Linde India Limited"/>
        <s v="ABBOTT INDIA LTD."/>
        <s v="SUZLON ENERGY LTD."/>
        <s v="HINDUSTAN COPPER LTD."/>
        <s v="BANK OF MAHARASHTRA"/>
        <s v="Patanjali Foods Limited"/>
        <s v="Vishal Mega Mart Limited"/>
        <s v="Tube Investments of India Ltd"/>
        <s v="ADANI TOTAL GAS LIMITED"/>
        <s v="OBEROI REALTY LTD."/>
        <s v="ADANI POWER LTD."/>
        <s v="UPL LIMITED"/>
        <s v="IDFC FIRST BANK LIMITED"/>
        <s v="JSW Infrastructure Limited"/>
        <s v="BERGER PAINTS INDIA LTD."/>
        <s v="GODREJ PROPERTIES LTD"/>
        <s v="SUPREME INDUSTRIES LTD."/>
        <s v="VOLTAS LTD."/>
        <s v="KEI INDUSTRIES LTD."/>
        <s v="P.I.INDUSTRIES LTD."/>
        <s v="Bharat Dynamics Limited"/>
        <s v="PETRONET LNG LTD."/>
        <s v="Indian Railway Catering and To"/>
        <s v="MAHINDRA &amp; MAHINDRA FINANCIAL"/>
        <s v="BALKRISHNA INDUSTRIES LTD."/>
        <s v="ASTRAL LIMITED"/>
        <s v="TATA COMMUNICATIONS LTD."/>
        <s v="J.K.CEMENT LTD."/>
        <s v="MPHASIS LTD."/>
        <s v="GLAXOSMITHKLINE PHARMACEUTICAL"/>
        <s v="APAR INDUSTRIES LTD."/>
        <s v="MOTILAL OSWAL FINANCIAL SERVIC"/>
        <s v="UNITED BREWERIES LTD."/>
        <s v="360 ONE WAM LIMITED"/>
        <s v="Kalyan Jewellers India Limited"/>
        <s v="3M INDIA LTD."/>
        <s v="COFORGE LIMITED"/>
        <s v="Piramal Finance Ltd"/>
        <s v="BLUE STAR LTD."/>
        <s v="Anthem Biosciences Ltd"/>
        <s v="IPCA LABORATORIES LTD."/>
        <s v="Cochin Shipyard Limited"/>
        <s v="Escorts Kubota Limited"/>
        <s v="Endurance Technologies Limited"/>
        <s v="AJANTA PHARMA LTD."/>
        <s v="Gujarat Fluorochemicals Limite"/>
        <s v="L&amp;T Technology Services Limite"/>
        <s v="DALMIA BHARAT LIMITED"/>
        <s v="PROCTER &amp; GAMBLE HYGIENE &amp; HEA"/>
        <s v="Narayana Hrudayalaya Limited"/>
        <s v="Housing &amp;Urban Development Cor"/>
        <s v="ITC Hotels Limited"/>
        <s v="UCO BANK"/>
        <s v="AIA ENGINEERING LTD."/>
        <s v="CENTRAL BANK OF INDIA"/>
        <s v="RADICO KHAITAN LTD."/>
        <s v="NLC India Limited"/>
        <s v="PAGE INDUSTRIES LTD."/>
        <s v="THERMAX LTD."/>
        <s v="POONAWALLA FINCORP LIMITED"/>
        <s v="J.B.CHEMICALS &amp; PHARMACEUTICAL"/>
        <s v="Aster DM Healthcare Limited"/>
        <s v="JUBILANT FOODWORKS LTD"/>
        <s v="MANGALORE REFINERY &amp; PETROCHEM"/>
        <s v="GODREJ INDUSTRIES LTD."/>
        <s v="Delhivery Limited"/>
        <s v="Sona BLW Precision Forgings Li"/>
        <s v="Premier Energies Limited"/>
        <s v="GODFREY PHILLIPS INDIA LTD."/>
        <s v="CRISIL LTD."/>
        <s v="Indian Renewable Energy Develo"/>
        <s v="FORCE MOTORS LTD."/>
        <s v="NAVIN FLUORINE INTERNATIONAL L"/>
        <s v="Go Digit General Insurance Lim"/>
        <s v="Karur Vysya Bank Ltd"/>
        <s v="TVS Holdings Limited"/>
        <s v="Global Health Limited"/>
        <s v="CHOLAMANDALAM FINANCIAL HOLDIN"/>
        <s v="K.P.R.MILL LIMITED"/>
        <s v="Gland Pharma Limited"/>
        <s v="CONTAINER CORPORATION OF INDIA"/>
        <s v="ACC LTD."/>
        <s v="LIC HOUSING FINANCE LTD."/>
        <s v="Hexaware Technologies Limited"/>
        <s v="Bandhan Bank Limited"/>
        <s v="Krishna Institute of Medical S"/>
        <s v="APOLLO TYRES LTD."/>
        <s v="ZF Commercial Vehicle Control"/>
        <s v="TATA ELXSI LTD."/>
        <s v="SJVN LTD"/>
        <s v="EXIDE INDUSTRIES LTD."/>
        <s v="Metro Brands Limited"/>
        <s v="Gujarat Gas Limited"/>
        <s v="Emcure Pharmaceuticals Limited"/>
        <s v="Star Health and Allied Insuran"/>
        <s v="Garden Reach Shipbuilders &amp; En"/>
        <s v="PTC Industries Ltd."/>
        <s v="HONEYWELL AUTOMATION INDIA LTD"/>
        <s v="Amber Enterprises India Limite"/>
        <s v="GILLETTE INDIA LTD."/>
        <s v="Anand Rathi Wealth Limited"/>
        <s v="THE RAMCO CEMENTS LIMITED"/>
        <s v="Ather Energy Limited"/>
        <s v="CDSL"/>
        <s v="Aditya Birla Sun Life AMC Limi"/>
        <s v="TIMKEN INDIA LTD."/>
        <s v="ITI LTD."/>
        <s v="SUN TV NETWORK LTD."/>
        <s v="IRB INFRASTRUCTURE DEVELOPERS"/>
        <s v="NBCC (India) Limited"/>
        <s v="Manappuram Finance Ltd"/>
        <s v="Dr. Lal Pathlabs Limited"/>
        <s v="KAYNES TECHNOLOGY INDIA LIMITE"/>
        <s v="AEGIS LOGISTICS LTD."/>
        <s v="AEGIS VOPAK TERMINALS LIMITED"/>
        <s v="Tata Technologies Limited"/>
        <s v="The New India Assurance Compan"/>
        <s v="INDRAPRASTHA GAS LTD."/>
        <s v="AWL AGRI BUSINESS LIMITED"/>
        <s v="Shyam Metalics and Energy Limited"/>
        <s v="Himadri Speciality Chemical Lt"/>
        <s v="INVENTURUS KNOWLEDGE SOLUTIONS"/>
        <s v="PFIZER LTD."/>
        <s v="Nuvama Wealth Management Limit"/>
        <s v="ASTRAZENECA PHARMA INDIA LTD."/>
        <s v="ASAHI INDIA GLASS LTD."/>
        <s v="WELSPUN CORP LIMITED"/>
        <s v="WOCKHARDT LTD."/>
        <s v="KALPATARU PROJECTS INTERNATION"/>
        <s v="PNB Housing Finance Limited"/>
        <s v="Sai Life Sciences Limited"/>
        <s v="IIFL FINANCE LIMITED"/>
        <s v="DEEPAK NITRITE LTD."/>
        <s v="PRIME FOCUS LTD."/>
        <s v="SCHNEIDER ELECTRIC INFRASTRUCT"/>
        <s v="NETWEB TECHNOLOGIES INDIA LIMI"/>
        <s v="CITY UNION BANK LTD."/>
        <s v="Redington Limited"/>
        <s v="KPIT Technologies Ltd"/>
        <s v="BAYER CROPSCIENCE LTD."/>
        <s v="CESC LTD."/>
        <s v="PIRAMAL PHARMA LIMITED"/>
        <s v="HATSUN AGRO PRODUCT LTD."/>
        <s v="SUMITOMO CHEMICAL INDIA LIMITE"/>
        <s v="EMAMI LTD."/>
        <s v="KIRLOSKAR OIL ENGINES LTD."/>
        <s v="KIOCL Limited"/>
        <s v="Aadhar Housing Finance Limited"/>
        <s v="EIH LTD."/>
        <s v="ATUL"/>
        <s v="CreditAccess Grameen Ltd."/>
        <s v="RBL Bank Limited"/>
        <s v="AFFLE 3I LIMITED"/>
        <s v="SARDA ENERGY &amp; MINERALS LTD."/>
        <s v="Eris Lifesciences Limited"/>
        <s v="GREAT EASTERN SHIPPING CO.LTD."/>
        <s v="Motherson Sumi Wiring India Li"/>
        <s v="HBL ENGINEERING LIMITED"/>
        <s v="CASTROL INDIA LTD."/>
        <s v="ANANT RAJ LIMITED"/>
        <s v="Craftsman Automation Limited"/>
        <s v="PUNJAB &amp; SIND BANK"/>
        <s v="Jyoti CNC Automation Limited"/>
        <s v="JSW HOLDINGS LIMITED"/>
        <s v="Sagility Limited"/>
        <s v="Data Patterns (India) Limited"/>
        <s v="TATA CHEMICALS LTD."/>
        <s v="GRINDWELL NORTON LTD."/>
        <s v="CHAMBAL FERTILISERS &amp; CHEMICAL"/>
        <s v="CIE Automotive India Limited"/>
        <s v="SUNDRAM FASTENERS LTD."/>
        <s v="ACUTAAS CHEMICALS LIMITED"/>
        <s v="AVANTI FEEDS LTD."/>
        <s v="GUJARAT MINERAL DEVELOPMENT CO"/>
        <s v="GODAWARI POWER &amp; ISPAT LTD."/>
        <s v="R R KABEL LIMITED"/>
        <s v="PG ELECTROPLAST LTD."/>
        <s v="Chalet Hotels Limited"/>
        <s v="NATCO PHARMA LTD."/>
        <s v="GUJARAT STATE PETRONET LTD."/>
        <s v="NAVA LIMITED"/>
        <s v="BRIGADE ENTERPRISES LTD."/>
        <s v="NEULAND LABORATORIES LTD."/>
        <s v="RATNAMANI METALS &amp; TUBES LTD."/>
        <s v="BELRISE INDUSTRIES LIMITED"/>
        <s v="Syngene International Limited"/>
        <s v="Ventive Hospitality Limited"/>
        <s v="JSW Cement Ltd."/>
        <s v="ELGI EQUIPMENTS LTD."/>
        <s v="Crompton Greaves Consumer Elec"/>
        <s v="CENTURY PLYBOARDS (I) LTD."/>
        <s v="Computer Age Management Servic"/>
        <s v="KFin Technologies Limited"/>
        <s v="Bikaji Foods International Lim"/>
        <s v="CHOICE INTERNATIONAL LTD."/>
        <s v="KANSAI NEROLAC PAINTS LTD."/>
        <s v="AARTI INDUSTRIES LTD."/>
        <s v="VARDHMAN TEXTILES LTD."/>
        <s v="DCM SHRIRAM LIMITED"/>
        <s v="Amara Raja Energy &amp; Mobility L"/>
        <s v="BASF INDIA LTD."/>
        <s v="Inox Wind Limited"/>
        <s v="E.I.D.-PARRY (INDIA) LTD."/>
        <s v="CAPRI GLOBAL CAPITAL LIMITED"/>
        <s v="CARBORUNDUM UNIVERSAL LTD."/>
        <s v="IFCI LTD."/>
        <s v="Devyani International Limited"/>
        <s v="Syrma SGS Technology Limited"/>
        <s v="KEC INTERNATIONAL LTD."/>
        <s v="KAJARIA CERAMICS LTD."/>
        <s v="MAHARASHTRA SCOOTERS LTD."/>
        <s v="TRIVENI TURBINE LTD."/>
        <s v="ECLERX SERVICES LTD."/>
        <s v="Leela Palaces Hotels &amp; Resorts"/>
        <s v="Onesource Specialty Pharma Lim"/>
        <s v="SOBHA"/>
        <s v="VINATI ORGANICS LTD."/>
        <s v="FIRSTSOURCE SOLUTIONS LTD."/>
        <s v="FINOLEX CABLES LTD."/>
        <s v="International Gemmological Ins"/>
        <s v="Dr. Agarwal's Health Care Limi"/>
        <s v="GRANULES INDIA LTD."/>
        <s v="T D POWER SYSTEMS LTD."/>
        <s v="ACME Solar Holdings Limited"/>
        <s v="CHENNAI PETROLEUM CORPORATION"/>
        <s v="LT FOODS LTD."/>
        <s v="CEAT LTD."/>
        <s v="Sansera Engineering Limited"/>
        <s v="GABRIEL INDIA LTD."/>
        <s v="GRAPHITE INDIA LTD."/>
        <s v="GALLANTT ISPAT LIMITED"/>
        <s v="ADITYA BIRLA REAL ESTATE LIMIT"/>
        <s v="DOMS Industries Limited"/>
        <s v="ALEMBIC PHARMACEUTICALS LTD."/>
        <s v="Fine Organic Industries Limite"/>
        <s v="BEML LTD."/>
        <s v="NIVA BUPA HEALTH INSURANCE COM"/>
        <s v="SHRIRAM PISTONS &amp; RINGS LTD"/>
        <s v="SIGNATUREGLOBAL (INDIA) LIMITE"/>
        <s v="V-GUARD INDUSTRIES LTD."/>
        <s v="CCL PRODUCTS (INDIA) LTD."/>
        <s v="JUBILANT PHARMOVA LIMITED"/>
        <s v="Tega Industries Limited"/>
        <s v="AKZO NOBEL INDIA LIMITED"/>
        <s v="POLY MEDICURE LTD."/>
        <s v="Techno Electric &amp; Engineering"/>
        <s v="JAMMU &amp; KASHMIR BANK LTD."/>
        <s v="BLUE DART EXPRESS LTD."/>
        <s v="Allied Blenders and Distillers"/>
        <s v="JK TYRE &amp; INDUSTRIES LTD."/>
        <s v="SUPREME PETROCHEM LTD."/>
        <s v="KSB LIMITED"/>
        <s v="ZENSAR TECHNOLOGIES LTD."/>
        <s v="USHA MARTIN LTD."/>
        <s v="IRCON International Ltd"/>
        <s v="CAPLIN POINT LABORATORIES LTD."/>
        <s v="Minda Corporation Limited"/>
        <s v="IndiaMART InterMESH Limited"/>
        <s v="Concord Biotech Limited"/>
        <s v="UTI Asset Management Company L"/>
        <s v="TRIDENT LTD."/>
        <s v="JBM AUTO LTD."/>
        <s v="TBO TEK LIMITED"/>
        <s v="Aether Industries Limited"/>
        <s v="DEEPAK FERTILISERS &amp; PETROCHEM"/>
        <s v="INGERSOLL-RAND (INDIA) LTD."/>
        <s v="INDIA CEMENTS LTD."/>
        <s v="ZYDUS WELLNESS LTD."/>
        <s v="Sammaan Capital Limited"/>
        <s v="Happy Forgings Limited"/>
        <s v="Rainbow Children's Medicare Li"/>
        <s v="ZEN TECHNOLOGIES LTD."/>
        <s v="KIRLOSKAR BROTHERS LTD."/>
        <s v="Aditya Birla Lifestyle Brands"/>
        <s v="ENGINEERS INDIA LTD."/>
        <s v="WELSPUN LIVING LIMITED"/>
        <s v="THANGAMAYIL JEWELLERY LTD"/>
        <s v="Five-Star Business Finance Ltd"/>
        <s v="Aptus Value Housing Finance In"/>
        <s v="JM FINANCIAL LTD."/>
        <s v="Mahanagar Gas Limited"/>
        <s v="SHIPPING CORPORATION OF INDIA"/>
        <s v="Paradeep Phosphates Limited"/>
        <s v="NMDC Steel Limited"/>
        <s v="MTAR Technologies Limited"/>
        <s v="PRIVI SPECIALITY CHEMICALS LIM"/>
        <s v="WHIRLPOOL OF INDIA LTD."/>
        <s v="Godrej Agrovet Limited"/>
        <s v="Cohance Lifesciences Limited"/>
        <s v="Indegene Limited"/>
        <s v="The Bombay Burmah Trading Corp"/>
        <s v="JUPITER WAGONS LIMITED"/>
        <s v="LUMAX AUTO TECHNOLOGIES LTD."/>
        <s v="Home First Finance Company Ind"/>
        <s v="GRAVITA INDIA LTD."/>
        <s v="Swan Corp Limited"/>
        <s v="Nuvoco Vistas Corporation Limi"/>
        <s v="JINDAL SAW LTD."/>
        <s v="ALIVUS LIFE SCIENCES LIMITED"/>
        <s v="Ujjivan Small Finance Bank Lim"/>
        <s v="PCBL Chemical Limited"/>
        <s v="FINOLEX INDUSTRIES LTD."/>
        <s v="CAN FIN HOMES LTD."/>
        <s v="HEG LTD."/>
        <s v="BLS International Services Ltd"/>
        <s v="Indian Energy Exchange Limited"/>
        <s v="TILAKNAGAR INDUSTRIES LTD."/>
        <s v="EDELWEISS FINANCIAL SERVICES L"/>
        <s v="Azad Engineering Limited"/>
        <s v="SOUTH INDIAN BANK LTD."/>
        <s v="Tamilnad Mercantile Bank Limit"/>
        <s v="BIRLASOFT LIMITED"/>
        <s v="BlackBuck Limited"/>
        <s v="Afcons Infrastructure Limited"/>
        <s v="Brainbees Solutions Limited"/>
        <s v="SBFC Finance Limited"/>
        <s v="CUPID LTD."/>
        <s v="ACTION CONSTRUCTION EQUIPMENT"/>
        <s v="INOX India Limited"/>
        <s v="Sharda Cropchem Limited"/>
        <s v="VESUVIUS INDIA LTD."/>
        <s v="Medplus Health Services Limite"/>
        <s v="Ola Electric Mobility Limited"/>
        <s v="PVR INOX LIMITED"/>
        <s v="SANDUR MANGANESE &amp; IRON ORES L"/>
        <s v="Vijaya Diagnostic Centre Limit"/>
        <s v="RAMKRISHNA FORGINGS LTD."/>
        <s v="CYIENT LIMITED"/>
        <s v="JAIPRAKASH POWER VENTURES LIMI"/>
        <s v="RITES Limited"/>
        <s v="BATA INDIA LTD."/>
        <s v="IIFL CAPITAL SERVICES LIMITED"/>
        <s v="AAVAS Financiers Limited"/>
        <s v="Cemindia Projects Limited"/>
        <s v="Metropolis Healthcare Limited"/>
        <s v="Nazara Technologies Limited"/>
        <s v="Honasa Consumer Limited"/>
        <s v="Prudent Corporate Advisory Ser"/>
        <s v="RELIANCE POWER LTD."/>
        <s v="RailTel Corporation of India L"/>
        <s v="INTELLECT DESIGN ARENA LIMITED"/>
        <s v="HFCL LIMITED"/>
        <s v="GARWARE HI-TECH FILMS LIMITED"/>
        <s v="NCC LIMITED"/>
        <s v="SEQUENT SCIENTIFIC LTD."/>
        <s v="BALRAMPUR CHINI MILLS LTD."/>
        <s v="ASTRA MICROWAVE PRODUCTS LTD."/>
        <s v="Cello World Limited"/>
        <s v="Vedant Fashions Limited"/>
        <s v="ELECON ENGINEERING CO.LTD."/>
        <s v="JYOTHY LABS LIMITED"/>
        <s v="TITAGARH RAIL SYSTEMS LIMITED"/>
        <s v="SHAILY ENGINEERING PLASTICS LT"/>
        <s v="ARVIND LTD."/>
        <s v="RHI MAGNESITA INDIA LIMITED"/>
        <s v="VOLTAMP TRANSFORMERS LTD."/>
        <s v="Jubilant Ingrevia Limited"/>
        <s v="Lemon Tree Hotels Limited"/>
        <s v="G R Infraprojects Limited"/>
        <s v="Eureka Forbes Limited"/>
        <s v="SANOFI INDIA LTD"/>
        <s v="MMTC LTD."/>
        <s v="BLACK BOX LIMITED"/>
        <s v="GMR Power and Urban Infra Limi"/>
        <s v="TRIVENI ENGINEERING &amp; INDUSTRI"/>
        <s v="WAAREE RENEWABLE TECHNOLOGIES"/>
        <s v="CarTrade Tech Limited"/>
        <s v="JK LAKSHMI CEMENT LTD."/>
        <s v="BANCO PRODUCTS (INDIA) LTD."/>
        <s v="SKF INDIA LTD."/>
        <s v="Star Cement Limited"/>
        <s v="Tejas Networks Limited"/>
        <s v="SAFARI INDUSTRIES (INDIA) LTD."/>
        <s v="STERLITE TECHNOLOGIES LTD."/>
        <s v="ESAB INDIA LTD."/>
        <s v="GUJARAT PIPAVAV PORT LTD."/>
        <s v="KAMA HOLDINGS LIMITED"/>
        <s v="PROCTER &amp; GAMBLE HEALTH LIMITE"/>
        <s v="Manorama Industries Limited"/>
        <s v="EMBASSY DEVELOPMENTS LIMITED"/>
        <s v="Jupiter Life Line Hospitals Li"/>
        <s v="RELAXO FOOTWEARS LTD."/>
        <s v="ZEE ENTERTAINMENT ENTERPRISES"/>
        <s v="Varroc Engineering Limited"/>
        <s v="Aditya Birla Fashion and Retai"/>
        <s v="HealthCare Global Enterprises"/>
        <s v="India Shelter Finance Corporat"/>
        <s v="ASK Automotive Limited"/>
        <s v="GENUS POWER INFRASTRUCTURES LT"/>
        <s v="Authum Investment &amp; Infrastruc"/>
        <s v="OLECTRA GREENTECH LIMITED"/>
        <s v="NESCO LTD."/>
        <s v="STRIDES PHARMA SCIENCE LIMITED"/>
        <s v="TATA TELESERVICES (MAHARASHTRA"/>
        <s v="Clean Science and Technology L"/>
        <s v="KARNATAKA BANK LTD."/>
        <s v="MARKSANS PHARMA LTD."/>
        <s v="Apollo Micro Systems Limited"/>
        <s v="Campus Activewear Limited"/>
        <s v="WESTLIFE FOODWORLD LIMITED"/>
        <s v="VA TECH WABAG LTD."/>
        <s v="KRBL LTD."/>
        <s v="LLOYDS ENGINEERING WORKS LIMIT"/>
        <s v="PC JEWELLER LTD."/>
        <s v="TRANSPORT CORPORATION OF INDIA"/>
        <s v="MAHINDRA LIFESPACE DEVELOPERS"/>
        <s v="KIRLOSKAR PNEUMATIC CO.LTD."/>
        <s v="JAYASWAL NECO INDUSTRIES LTD."/>
        <s v="ALKYL AMINES CHEMICALS LTD."/>
        <s v="MAHARASHTRA SEAMLESS LTD."/>
        <s v="LLOYDS ENTERPRISES LIMITED"/>
        <s v="Akums Drugs and Pharmaceutical"/>
        <s v="Le Travenues Technology Limite"/>
        <s v="SONATA SOFTWARE LTD."/>
        <s v="Transrail Lighting Limited"/>
        <s v="DIAMOND POWER INFRASTRUCTURE L"/>
        <s v="BIRLA CORPORATION LTD."/>
        <s v="Pricol Limited"/>
        <s v="P N GADGIL JEWELLERS LIMITED"/>
        <s v="KPI Green Energy Limited"/>
        <s v="Equitas Small Finance Bank Lim"/>
        <s v="DYNAMATIC TECHNOLOGIES LTD."/>
        <s v="Bengal &amp; Assam Company Ltd"/>
        <s v="V2 RETAIL LTD."/>
        <s v="RELIGARE ENTERPRISES LTD."/>
        <s v="TTK PRESTIGE LTD."/>
        <s v="SML Mahindra Limited"/>
        <s v="PEARL GLOBAL INDUSTRIES LIMITE"/>
        <s v="Newgen Software Technologies L"/>
        <s v="INDIAN METALS &amp; FERRO ALLOYS L"/>
        <s v="Dilip Buildcon Limited"/>
        <s v="Galaxy Surfactants Limited"/>
        <s v="ALOK INDUSTRIES LTD."/>
        <s v="TIPS MUSIC LIMITED"/>
        <s v="Dodla Dairy Limited"/>
        <s v="Archean Chemical Industries Li"/>
        <s v="EPL LIMITED"/>
        <s v="ELANTAS BECK INDIA LTD."/>
        <s v="SUDARSHAN CHEMICAL INDUSTRIES"/>
        <s v="RASHTRIYA CHEMICALS &amp; FERTILIZ"/>
        <s v="Blue Jet Healthcare Limited"/>
        <s v="Avalon Technologies Limited"/>
        <s v="Latent View Analytics Limited"/>
        <s v="INOX GREEN ENERGY SERVICES LIM"/>
        <s v="YATHARTH HOSPITAL &amp; TRAUMA CAR"/>
        <s v="Max Estates Limited"/>
        <s v="GUJARAT STATE FERTILIZERS &amp; CH"/>
        <s v="GUJARAT NARMADA VALLEY FERTILI"/>
        <s v="CSB Bank Limited"/>
        <s v="Mishra Dhatu Nigam Limited"/>
        <s v="WELSPUN ENTERPRISES LIMTED"/>
        <s v="GUJARAT AMBUJA EXPORTS LTD."/>
        <s v="Aarti Pharmalabs Limited"/>
        <s v="ISGEC HEAVY ENGINEERING LTD."/>
        <s v="QUALITY POWER ELECTRICAL EQUIP"/>
        <s v="REDTAPE Limited"/>
        <s v="Sapphire Foods India Limited"/>
        <s v="PRISM JOHNSON LIMITED."/>
        <s v="Power Mech Projects Limited"/>
        <s v="SAREGAMA INDIA LTD."/>
        <s v="SHILPA MEDICARE LTD."/>
        <s v="KIRLOSKAR FERROUS INDUSTRIES L"/>
        <s v="GARWARE TECHNICAL FIBRES LIMIT"/>
        <s v="ETHOS LIMITED"/>
        <s v="CERA SANITARYWARE LTD."/>
        <s v="SHAKTI PUMPS (INDIA) LTD."/>
        <s v="Thyrocare Technologies Limited"/>
        <s v="BOROSIL RENEWABLES LIMITED"/>
        <s v="INDIA GLYCOLS LTD."/>
        <s v="AXISCADES TECHNOLOGIES LIMITED"/>
        <s v="L.G.BALAKRISHNAN &amp; BROS.LTD."/>
        <s v="MOIL LTD."/>
        <s v="Aditya Vision Limited"/>
        <s v="JAI BALAJI INDUSTRIES LTD."/>
        <s v="Sheela Foam Limited"/>
        <s v="FDC LTD."/>
        <s v="Greenlam Industries Ltd"/>
        <s v="SG MART LIMITED"/>
        <s v="SUPRAJIT ENGINEERING LTD."/>
        <s v="PRECISION WIRES INDIA LTD."/>
        <s v="JK PAPER LTD."/>
        <s v="DCB BANK LIMITED"/>
        <s v="Kingfa Science &amp; Technology (I"/>
        <s v="RateGain Travel Technologies L"/>
        <s v="KOVAI MEDICAL CENTER &amp; HOSPITA"/>
        <s v="TANLA PLATFORMS LIMITED"/>
        <s v="Arvind Fashions Limited"/>
        <s v="KRN HEAT EXCHANGER AND REFRIGE"/>
        <s v="FIEM INDUSTRIES LTD."/>
        <s v="MAS Financial Services Limited"/>
        <s v="JAMNA AUTO INDUSTRIES LTD."/>
        <s v="SUNTECK REALTY LTD."/>
        <s v="HINDUSTAN FOODS LTD."/>
        <s v="MAHINDRA HOLIDAYS &amp; RESORTS IN"/>
        <s v="PRAJ INDUSTRIES LTD."/>
        <s v="C.E. Info Systems Limited"/>
        <s v="LUMAX INDUSTRIES LTD."/>
        <s v="S.J.S. Enterprises Limited"/>
        <s v="Paras Defence and Space Techno"/>
        <s v="BALU FORGE INDUSTRIES LIMITED"/>
        <s v="ICRA LTD."/>
        <s v="SYMPHONY LIMITED"/>
        <s v="AJAX Engineering Limited"/>
        <s v="GANESH HOUSING LIMITED"/>
        <s v="Sky Gold And Diamonds Limited"/>
        <s v="GULF OIL LUBRICANTS INDIA LTD"/>
        <s v="Keystone Realtors Limited"/>
        <s v="PICCADILY AGRO INDUSTRIES LTD."/>
        <s v="Raymond Lifestyle Limited"/>
        <s v="Happiest Minds Technologies Li"/>
        <s v="PNC Infratech Limited"/>
        <s v="TECHNOCRAFT INDUSTRIES (INDIA)"/>
        <s v="INDO COUNT INDUSTRIES LTD."/>
        <s v="SHARDA MOTOR INDUSTRIES LTD"/>
        <s v="KENNAMETAL INDIA LTD."/>
        <s v="Supriya Lifescience Limited"/>
        <s v="RALLIS INDIA LTD."/>
        <s v="NETWORK18 MEDIA &amp; INVESTMENTS"/>
        <s v="AHLUWALIA CONTRACTS (INDIA) LT"/>
        <s v="Senco Gold Limited"/>
        <s v="BAJAJ CONSUMER CARE LIMITED"/>
        <s v="V.I.P.INDUSTRIES LTD."/>
        <s v="SHREE RENUKA SUGARS LTD."/>
        <s v="CMS Info Systems Limited"/>
        <s v="SUBROS LTD."/>
        <s v="Pilani Investment And Industri"/>
        <s v="TVS Supply Chain Solutions Lim"/>
        <s v="V.S.T.TILLERS TRACTORS LTD."/>
        <s v="CARE Ratings Limited"/>
        <s v="RAIN INDUSTRIES LIMITED"/>
        <s v="MASTEK LTD."/>
        <s v="VRL Logistics Limited"/>
        <s v="PTC INDIA LTD."/>
        <s v="Gokul Agro Resources Ltd"/>
        <s v="SURYA ROSHNI LTD."/>
        <s v="Ceigall India Limited"/>
        <s v="Fedbank Financial Services Lim"/>
        <s v="AURIONPRO SOLUTIONS LTD."/>
        <s v="GOKALDAS EXPORTS LTD."/>
        <s v="Juniper Hotels Limited"/>
        <s v="THOMAS COOK (INDIA) LTD."/>
        <s v="JUST DIAL LTD."/>
        <s v="NIIT Learning Systems Limited"/>
        <s v="DHANUKA AGRITECH LTD."/>
        <s v="TRANSFORMERS AND RECTIFIERS (I"/>
        <s v="RESPONSIVE INDUSTRIES LTD."/>
        <s v="BANNARI AMMAN SUGARS LTD."/>
        <s v="NIRLON LTD."/>
        <s v="SHILCHAR TECHNOLOGIES LTD."/>
        <s v="Entero Healthcare Solutions Li"/>
        <s v="STERLING AND WILSON RENEWABLE"/>
        <s v="Unimech Aerospace and Manufact"/>
        <s v="SUNFLAG IRON &amp; STEEL CO.LTD."/>
        <s v="HINDUSTAN CONSTRUCTION CO.LTD."/>
        <s v="DATAMATICS GLOBAL SERVICES LTD"/>
        <s v="V-MART RETAIL LTD."/>
        <s v="Indigo Paints Limited"/>
        <s v="IFB INDUSTRIES LTD."/>
        <s v="SIS LIMITED"/>
        <s v="ION EXCHANGE (INDIA) LTD."/>
        <s v="INDIA TOURISM DEVELOPMENT CORP"/>
        <s v="GHCL LTD."/>
        <s v="RATTANINDIA POWER LTD."/>
        <s v="SWARAJ ENGINES LTD."/>
        <s v="PDS LIMITED"/>
        <s v="ELECTROSTEEL CASTINGS LTD."/>
        <s v="TARC LIMITED"/>
        <s v="BAJAJ ELECTRICALS LTD."/>
        <s v="MAN INFRACONSTRUCTION LTD."/>
        <s v="GMM PFAUDLER LTD."/>
        <s v="SUN PHARMA ADVANCED RESEARCH C"/>
        <s v="RAJESH EXPORTS LTD."/>
        <s v="FOSECO INDIA LTD."/>
        <s v="TANFAC INDUSTRIES LTD."/>
        <s v="TEXMACO RAIL &amp; ENGINEERING LTD"/>
        <s v="Northern Arc Capital Ltd."/>
        <s v="TIME TECHNOPLAST LTD."/>
        <s v="Hemisphere Properties India Li"/>
        <s v="Bansal Wire Industries Limited"/>
        <s v="CENTUM ELECTRONICS LTD."/>
        <s v="SKIPPER LTD"/>
        <s v="Knowledge Marine &amp; Engineering"/>
        <s v="Mahindra Logistics Limited"/>
        <s v="VST INDUSTRIES LTD."/>
        <s v="D B CORP LTD"/>
        <s v="JANA SMALL FINANCE BANK LIMITE"/>
        <s v="WPIL LTD."/>
        <s v="HAWKINS COOKERS LTD."/>
        <s v="JTEKT India Ltd"/>
        <s v="J.KUMAR INFRAPROJECTS LTD."/>
        <s v="Orient Electric Limited"/>
        <s v="KAVERI SEED COMPANY LTD."/>
        <s v="INNOVA CAPTAB LIMITED"/>
        <s v="Goodluck India Limited"/>
        <s v="Chemplast Sanmar Limited"/>
        <s v="GOLDIAM INTERNATIONAL LTD."/>
        <s v="RATTANINDIA ENTERPRISES LIMITE"/>
        <s v="AVANTEL LTD."/>
        <s v="STYLAM INDUSTRIES LIMITED"/>
        <s v="Epigral Limited"/>
        <s v="BOSCH HOME COMFORT INDIA LIMIT"/>
        <s v="Electronics Mart India Limited"/>
        <s v="Restaurant Brands Asia Limited"/>
        <s v="AGI Infra Limited"/>
        <s v="VAIBHAV GLOBAL LTD"/>
        <s v="Artemis Medicare Services Limi"/>
        <s v="HEIDELBERGCEMENT INDIA LTD."/>
        <s v="SINDHU TRADE LINKS LIMITED"/>
        <s v="Neogen Chemicals Limited"/>
        <s v="Gopal Snacks Limited"/>
        <s v="VADILAL INDUSTRIES LTD."/>
        <s v="KNR CONSTRUCTIONS LTD."/>
        <s v="NATIONAL FERTILIZERS LTD."/>
        <s v="ASHOKA BUILDCON LTD."/>
        <s v="INDRAPRASTHA MEDICAL CORP.LTD."/>
        <s v="Rolex Rings Limited"/>
        <s v="OPTIEMUS INFRACOM LTD"/>
        <s v="MOSCHIP TECHNOLOGIES LIMITED"/>
        <s v="eMudhra Limited"/>
        <s v="GREAVES COTTON LTD."/>
        <s v="RELIANCE INFRASTRUCTURE LTD."/>
        <s v="Samhi Hotels Limited"/>
        <s v="SENORES PHARMACEUTICALS LIMITE"/>
        <s v="SMS PHARMACEUTICALS LTD."/>
        <s v="BALAJI AMINES LTD."/>
        <s v="H.G. Infra Engineering Limited"/>
        <s v="SHANTHI GEARS LTD."/>
        <s v="GUJARAT ALKALIES &amp; CHEMICALS L"/>
        <s v="Oswal Pumps Limited"/>
        <s v="AGI GREENPAC LIMITED"/>
        <s v="SEAMEC LTD."/>
        <s v="Sanathan Textiles Limited"/>
        <s v="IndoStar Capital Finance Limit"/>
        <s v="KITEX GARMENTS LTD."/>
        <s v="Styrenix Performance Materials"/>
        <s v="PONDY OXIDES &amp; CHEMICALS LTD."/>
        <s v="INDO THAI SECURITIES LTD."/>
        <s v="Laxmi Organic Industries Limit"/>
        <s v="ASM TECHNOLOGIES LTD."/>
        <s v="MAN INDUSTRIES (INDIA) LTD."/>
        <s v="SHOPPERS STOP LTD."/>
        <s v="UFLEX LTD."/>
        <s v="VISHNU CHEMICALS LTD."/>
        <s v="PITTI ENGINEERING LIMITED"/>
        <s v="Advanced Enzyme Technologies L"/>
        <s v="SUVEN LIFE SCIENCES LTD."/>
        <s v="Flair Writing Industries Limit"/>
        <s v="R SYSTEMS INTERNATIONAL LTD."/>
        <s v="GRM OVERSEAS LTD."/>
        <s v="Harsha Engineers International"/>
        <s v="AARTI DRUGS LTD."/>
        <s v="STEEL STRIPS WHEELS LTD."/>
        <s v="TATA INVESTMENT CORPORATION LT"/>
        <s v="ASHIANA HOUSING LTD."/>
        <s v="GUJARAT THEMIS BIOSYN LTD."/>
        <s v="GE Power India Ltd"/>
        <s v="TOURISM FINANCE CORPORATION OF"/>
        <s v="KALYANI STEELS LTD."/>
        <s v="CIGNITI TECHNOLOGIES LTD."/>
        <s v="MSTC Limited"/>
        <s v="NAVNEET EDUCATION LIMITED"/>
        <s v="RAGHAV PRODUCTIVITY ENHANCERS"/>
        <s v="EFC (I) LIMITED"/>
        <s v="The Anup Engineering Ltd"/>
        <s v="ORIENT CEMENT LTD"/>
        <s v="Route Mobile Limited"/>
        <s v="RAM RATNA WIRES LTD."/>
        <s v="SUNDARAM-CLAYTON LIMITED"/>
        <s v="RAMKY INFRASTRUCTURE LTD."/>
        <s v="Interarch Building Solutions L"/>
        <s v="Orchid Pharma Limited"/>
        <s v="PAISALO DIGITAL LIMITED"/>
        <s v="KEWAL KIRAN CLOTHING LTD."/>
        <s v="KOLTE-PATIL DEVELOPERS LTD."/>
        <s v="BALMER LAWRIE &amp; CO.LTD."/>
        <s v="AUTOMOTIVE AXLES LTD."/>
        <s v="Sandhar Technologies Limited"/>
        <s v="WONDERLA HOLIDAYS LTD"/>
        <s v="NACL Industries Limited"/>
        <s v="NALWA SONS INVESTMENTS LTD."/>
        <s v="RPG LIFE SCIENCES LTD."/>
        <s v="KDDL LTD."/>
        <s v="ZAGGLE PREPAID OCEAN SERVICES"/>
        <s v="Aeroflex Industries Limited"/>
        <s v="KIRLOSKAR INDUSTRIES LTD"/>
        <s v="TVS SRICHAKRA LTD."/>
        <s v="FUSION FINANCE LIMITED"/>
        <s v="REFEX INDUSTRIES LTD."/>
        <s v="SRI ADHIKARI BROTHERS TELEVISI"/>
        <s v="HERITAGE FOODS LIMITED"/>
        <s v="CARRARO INDIA LIMITED"/>
        <s v="HUBTOWN LTD."/>
        <s v="Quess Corp Limited"/>
        <s v="Sambhv Steel Tubes Ltd"/>
        <s v="Gateway Distriparks Limited"/>
        <s v="TIMEX GROUP INDIA LTD."/>
        <s v="PREMIER EXPLOSIVES LTD."/>
        <s v="MARATHON NEXTGEN REALTY LTD."/>
        <s v="PSP Projects Limited"/>
        <s v="GUFIC BIOSCIENCES LTD."/>
        <s v="63 Moons Technologies Limited"/>
        <s v="POKARNA LTD."/>
        <s v="DREDGING CORPORATION OF INDIA"/>
        <s v="Share India Securities Limited"/>
        <s v="DDEV PLASTIKS INDUSTRIES LIMIT"/>
        <s v="Tatva Chintan Pharma Chem Limi"/>
        <s v="GRAUER &amp; WEIL (INDIA) LTD."/>
        <s v="Camlin Fine Sciences Ltd"/>
        <s v="Muthoot Microfin Limited"/>
        <s v="Jubilant Agri and Consumer Pro"/>
        <s v="BHARAT BIJLEE LTD."/>
        <s v="Borosil Limited"/>
        <s v="Rossell Techsys Limited"/>
        <s v="ROSSARI BIOTECH LIMITED"/>
        <s v="Prince Pipes and Fittings Limi"/>
        <s v="West Coast Paper Mills Limited"/>
        <s v="ENVIRO INFRA ENGINEERS LIMITED"/>
        <s v="Medi Assist Healthcare Service"/>
        <s v="FINEOTEX CHEMICAL LTD."/>
        <s v="Dishman Carbogen Amcis Limited"/>
        <s v="D P ABHUSHAN LIMITED"/>
        <s v="GREENPLY INDUSTRIES LTD."/>
        <s v="KIRI INDUSTRIES LTD."/>
        <s v="BHAGIRADHA CHEMICALS &amp; INDUSTR"/>
        <s v="POLYPLEX CORPORATION LTD."/>
        <s v="NRB BEARINGS LTD."/>
        <s v="JAIN IRRIGATION SYSTEMS LTD."/>
        <s v="RAYMOND LTD."/>
        <s v="KILBURN ENGINEERING LTD."/>
        <s v="Parag Milk Foods Limited"/>
        <s v="Apeejay Surrendra Park Hotels"/>
        <s v="Sirca Paints India Limited"/>
        <s v="AJMERA REALTY &amp; INFRA INDIA LT"/>
        <s v="JASH ENGINEERING LIMITED"/>
        <s v="PATEL ENGINEERING LTD."/>
        <s v="SHIVALIK BIMETAL CONTROLS LTD."/>
        <s v="GLOBUS SPIRITS LTD."/>
        <s v="SAVITA OIL TECHNOLOGIES LTD."/>
        <s v="RAVINDRA ENERGY LIMITED"/>
        <s v="Greenpanel Industries Limited"/>
        <s v="CARYSIL LIMITED"/>
        <s v="MPS LTD."/>
        <s v="SAGAR CEMENTS LTD."/>
        <s v="Prataap Snacks Limited"/>
        <s v="STANDARD GLASS LINING TECHNOLO"/>
        <s v="WELSPUN SPECIALTY SOLUTIONS LI"/>
        <s v="SUNDROP BRANDS LIMITED"/>
        <s v="IMAGICAAWORLD ENTERTAINMENT LI"/>
        <s v="RAMCO INDUSTRIES LTD."/>
        <s v="VARDHMAN SPECIAL STEELS LTD."/>
        <s v="Cyient DLM Limited"/>
        <s v="TCPL PACKAGING LTD."/>
        <s v="FISCHER MEDICAL VENTURES LIMIT"/>
        <s v="JINDAL WORLDWIDE LTD."/>
        <s v="Arvind SmartSpaces Limited"/>
        <s v="UNIVERSAL CABLES LTD."/>
        <s v="HIKAL LTD."/>
        <s v="EVEREADY INDUSTRIES INDIA LTD."/>
        <s v="BOMBAY DYEING &amp; MFG.CO.LTD."/>
        <s v="UTKARSH SMALL FINANCE BANK LIM"/>
        <s v="Deep Industries Limited"/>
        <s v="SIYARAM SILK MILLS LTD."/>
        <s v="HIND RECTIFIERS LTD."/>
        <s v="Rashi Peripherals Limited"/>
        <s v="UNICHEM LABORATORIES LTD."/>
        <s v="PRAKASH INDUSTRIES LTD."/>
        <s v="REPCO HOME FINANCE LTD."/>
        <s v="Prabha Energy Limited"/>
        <s v="EPACK Durable Limited"/>
        <s v="NOCIL LTD."/>
        <s v="Protean eGov Technologies Limi"/>
        <s v="SPICEJET LTD."/>
        <s v="WEBSOL ENERGY SYSTEM LTD."/>
        <s v="MOREPEN LABORATORIES LTD."/>
        <s v="ALEMBIC LTD."/>
        <s v="MARSONS LIMITED"/>
        <s v="RANE (MADRAS) LTD."/>
        <s v="G.M.BREWERIES LTD."/>
        <s v="Network People Services Techno"/>
        <s v="THIRUMALAI CHEMICALS LTD."/>
        <s v="HLE GLASCOAT LIMITED"/>
        <s v="LA OPALA RG LTD."/>
        <s v="FEDERAL-MOGUL GOETZE (INDIA) L"/>
        <s v="SANGHVI MOVERS LTD."/>
        <s v="SANGAM (INDIA) LTD."/>
        <s v="DR.AGARWALS EYE HOSPITAL LTD."/>
        <s v="Monarch Networth Capital Limit"/>
        <s v="JTL INDUSTRIES LIMITED"/>
        <s v="RPSG VENTURES LIMITED"/>
        <s v="SG FINSERVE LIMITED"/>
        <s v="Venus Pipes &amp; Tubes Limited"/>
        <s v="CANTABIL RETAIL INDIA LTD."/>
        <s v="TAJGVK HOTELS &amp; RESORTS LTD."/>
        <s v="ADF FOODS LTD."/>
        <s v="GUJARAT INDUSTRIES POWER CO.LT"/>
        <s v="RAJRATAN GLOBAL WIRE LTD."/>
        <s v="HONDA INDIA POWER PRODUCTS LIM"/>
        <s v="WINDSOR MACHINES LTD."/>
        <s v="IOL CHEMICALS &amp; PHARMACEUTICAL"/>
        <s v="HPL Electric &amp; Power Limited"/>
        <s v="ARKADE DEVELOPERS LIMITED"/>
        <s v="VINTAGE COFFEE AND BEVERAGES L"/>
        <s v="Krsnaa Diagnostics Limited"/>
        <s v="SOLARA ACTIVE PHARMA SCIENCES"/>
        <s v="NUCLEUS SOFTWARE EXPORTS LTD."/>
        <s v="Uniparts India Limited"/>
        <s v="TCI Express Limited"/>
        <s v="GANESHA ECOSPHERE LTD."/>
        <s v="Awfis Space Solutions Limited"/>
        <s v="TeamLease Services Limited"/>
        <s v="BAJAJ HINDUSTHAN SUGAR LIMITED"/>
        <s v="BHANSALI ENGINEERING POLYMERS"/>
        <s v="S H Kelkar and Company Limited"/>
        <s v="PENNAR INDUSTRIES LTD."/>
        <s v="PANACEA BIOTEC LTD."/>
        <s v="VIMTA LABS LTD."/>
        <s v="Jaykay Enterprises Limited"/>
        <s v="BF UTILITIES LTD."/>
        <s v="JAI CORP LTD."/>
        <s v="Hindware Home Innovation Limit"/>
        <s v="VENKYS (INDIA) LTD."/>
        <s v="K.P. Energy Limited"/>
        <s v="MAHANAGAR TELEPHONE NIGAM LTD."/>
        <s v="YATRA ONLINE LIMITED"/>
        <s v="Sasken Technologies Limited"/>
        <s v="INDIAN HUME PIPE CO.LTD."/>
        <s v="NITCO LTD."/>
        <s v="UGRO CAPITAL LIMITED"/>
        <s v="Go Fashion (India) Limited"/>
        <s v="EMS LIMITED"/>
        <s v="ANGEL ONE LIMITED"/>
        <s v="LMW Limited"/>
        <s v="TCC CONCEPT LIMITED"/>
        <s v="Lenskart Solutions Ltd"/>
        <s v="City Pulse Multiventures Ltd"/>
        <s v="Baazar Style Retail Ltd"/>
        <s v="Sai Silks (Kalamandir) Ltd"/>
        <s v="Yasho Industries Ltd"/>
        <s v="Anupam Rasayan India Ltd"/>
        <s v="Sudeep Pharma Ltd"/>
        <s v="Belding India Ltd"/>
        <s v="KSH International Ltd"/>
        <s v="Vidya Wires Ltd"/>
        <s v="Elitecon International Ltd"/>
        <s v="Bharat Coking Coal Ltd"/>
        <s v="Tata Motors Ltd"/>
        <s v="National Securities Depository Ltd"/>
        <s v="Physicswallah Ltd"/>
        <s v="Panorama Studios International Ltd"/>
        <s v="Media Matrix Worldwide Ltd"/>
        <s v="Midwest Ltd"/>
        <s v="HMA Agro Industries Ltd"/>
        <s v="SKM Egg Products Export (India) Ltd"/>
        <s v="Billionbrains Garage Ventures Ltd"/>
        <s v="GNG Electronics Ltd"/>
      </sharedItems>
    </cacheField>
    <cacheField name="Symbol" numFmtId="0">
      <sharedItems containsMixedTypes="1" containsNumber="1" containsInteger="1" minValue="500002" maxValue="590071"/>
    </cacheField>
    <cacheField name="Macro-Economic Sector" numFmtId="0">
      <sharedItems count="13">
        <s v="Energy"/>
        <s v="Telecommunication"/>
        <s v="Financial Services"/>
        <s v="Information Technology"/>
        <s v="Industrials"/>
        <s v="Fast Moving Consumer Goods"/>
        <s v="Consumer Discretionary"/>
        <s v="Healthcare"/>
        <s v="Commodities"/>
        <s v="Utilities"/>
        <s v="Services"/>
        <s v="Diversified"/>
        <s v="Iron &amp; Steel Products"/>
      </sharedItems>
    </cacheField>
    <cacheField name="Basic Industry" numFmtId="0">
      <sharedItems containsBlank="1" count="165">
        <s v="Refineries &amp; Marketing"/>
        <s v="Telecom - Cellular &amp; Fixed line services"/>
        <s v="Private Sector Bank"/>
        <s v="Computers - Software &amp; Consulting"/>
        <s v="Non Banking Financial Company (NBFC)"/>
        <s v="Civil Construction"/>
        <s v="Diversified FMCG"/>
        <s v="Life Insurance"/>
        <s v="Passenger Cars &amp; Utility Vehicles"/>
        <s v="Pharmaceuticals"/>
        <s v="Gems, Jewellery And Watches"/>
        <s v="Cement &amp; Cement Products"/>
        <s v="Power Generation"/>
        <s v="Public Sector Bank"/>
        <s v="Oil Exploration &amp; Production"/>
        <s v="Aerospace &amp; Defense"/>
        <s v="Port &amp; Port services"/>
        <s v="Holding Company"/>
        <s v="Iron &amp; Steel"/>
        <s v="Power - Transmission"/>
        <s v="2/3 Wheelers"/>
        <s v="Diversified Metals"/>
        <s v="Trading - Minerals"/>
        <s v="Coal"/>
        <s v="Zinc"/>
        <s v="Packaged Foods"/>
        <s v="Diversified Retail"/>
        <s v="Paints"/>
        <s v="E-Retail/ E-Commerce"/>
        <s v="Aluminium"/>
        <s v="Airline"/>
        <s v="Investment Company"/>
        <s v="Asset Management Company"/>
        <s v="Other Beverages"/>
        <s v="Specialty Chemicals"/>
        <s v="Residential, Commercial Projects"/>
        <s v="Speciality Retail"/>
        <s v="Compressors, Pumps &amp; Diesel Engines"/>
        <s v="Financial Institution"/>
        <s v="Cables - Electricals"/>
        <s v="Heavy Electrical Equipment"/>
        <s v="Explosives"/>
        <s v="Commercial Vehicles"/>
        <s v="Personal Care"/>
        <s v="Telecom - Infrastructure"/>
        <s v="Integrated Power Utilities"/>
        <s v="Power Distribution"/>
        <s v="Hospital"/>
        <s v="Tea &amp; Coffee"/>
        <s v="Gas Transmission/Marketing"/>
        <s v="Exchange and Data Platform"/>
        <s v="Household Appliances"/>
        <s v="Auto Components &amp; Equipments"/>
        <s v="Airport &amp; Airport services"/>
        <s v="Edible Oil"/>
        <s v="Breweries &amp; Distilleries"/>
        <s v="General Insurance"/>
        <s v="Hotels &amp; Resorts"/>
        <s v="Ship Building &amp; Allied Services"/>
        <s v="Consumer Electronics"/>
        <s v="Other Electrical Equipment"/>
        <s v="Commodity Chemicals"/>
        <s v="Other Bank"/>
        <s v="Industrial Minerals"/>
        <s v="Housing Finance Company"/>
        <s v="Financial Technology (Fintech)"/>
        <s v="Internet &amp; Catalogue Retail"/>
        <s v="Fertilizers"/>
        <s v="Iron &amp; Steel Products"/>
        <s v="Software Products"/>
        <s v="Tyres &amp; Rubber Products"/>
        <s v="Industrial Gases"/>
        <s v="Copper"/>
        <s v="_x0009_Edible Oil"/>
        <s v="LPG/CNG/PNG/LNG Supplier"/>
        <s v="Pesticides &amp; Agrochemicals"/>
        <s v="Plastic Products - Industrial"/>
        <s v="Tour, Travel Related Services"/>
        <s v="Stockbroking &amp; Allied"/>
        <s v="Diversified"/>
        <s v="Biotechnology"/>
        <s v="Tractors"/>
        <s v="IT Enabled Services"/>
        <s v="Castings &amp; Forgings"/>
        <s v="Garments &amp; Apparels"/>
        <s v="Restaurants"/>
        <s v="Logistics Solution Provider"/>
        <s v="Cigarettes &amp; Tobacco Products"/>
        <s v="Other Financial Services"/>
        <s v="Other Textile Products"/>
        <s v="Footwear"/>
        <s v="Other Industrial Products"/>
        <s v="Industrial Products"/>
        <s v="Financial Products Distributor"/>
        <s v="Depositories Clearing Houses and Other Intermediaries"/>
        <s v="Abrasives &amp; Bearings"/>
        <s v="Telecom - Equipment &amp; Accessories"/>
        <s v="TV Broadcasting &amp; Software Production"/>
        <s v="Healthcare Service Provider"/>
        <s v="Trading - Gas"/>
        <s v="Oil Storage &amp; Transportation"/>
        <s v="Carbon Black"/>
        <s v="Media &amp; Entertainment"/>
        <s v="Trading &amp; Distributors"/>
        <s v="Dairy Products"/>
        <s v="Sponge Iron"/>
        <s v="Microfinance Institutions"/>
        <s v="Shipping"/>
        <s v="Lubricants"/>
        <s v="Animal Feed"/>
        <s v="Healthcare Research, Analytics &amp; Technology"/>
        <s v="Plywood Boards/ Laminates"/>
        <s v="Depositories, Clearing Houses and Other Intermediaries"/>
        <s v="Other Food Products"/>
        <s v="Ceramics"/>
        <s v="Business Process Outsourcing (BPO)/ Knowledge Process Outsourcing (KPO)"/>
        <s v="Diversified Commercial Services"/>
        <s v="Other Agricultural Products"/>
        <s v="Electrodes &amp; Refractories"/>
        <s v="Paper &amp; Paper Products"/>
        <s v="Stationary"/>
        <s v="Construction Vehicles"/>
        <s v="Medical Equipment &amp; Supplies"/>
        <s v="Petrochemicals"/>
        <s v="Railway Wagons"/>
        <s v="Transport Related Services"/>
        <s v="Pharmacy Retail"/>
        <s v="Film Production, Distribution &amp; Exhibition"/>
        <s v="Digital Entertainment"/>
        <s v="Other Telecom Services"/>
        <s v="Sugar"/>
        <s v="Houseware"/>
        <s v="Household Products"/>
        <s v="Plastic Products - Consumer"/>
        <s v="Water Supply &amp; Management"/>
        <s v="Trading - Metals"/>
        <s v="Ferro &amp; Silica Manganese"/>
        <s v="Packaging"/>
        <s v="Dyes And Pigments"/>
        <s v="Pig Iron"/>
        <s v="Sanitary Ware"/>
        <s v="Glass - Industrial"/>
        <s v="Furniture, Home Furnishing"/>
        <s v="Aluminium, Copper &amp; Zinc Products"/>
        <s v="Ratings"/>
        <m/>
        <s v="Power Trading"/>
        <s v="Education"/>
        <s v="Other Consumer Services"/>
        <s v="Trading - Textile Products"/>
        <s v="Dredging"/>
        <s v="Print Media"/>
        <s v="Computers Hardware &amp; Equipments"/>
        <s v="Printing &amp; Publication"/>
        <s v="Amusement Parks/ Other Recreation"/>
        <s v="Industrials"/>
        <s v="Granites &amp; Marbles"/>
        <s v="Insurance Distributors"/>
        <s v="E-Learning"/>
        <s v="Other Construction Materials"/>
        <s v="Oil Equipment &amp; Services"/>
        <s v="Glass - Consumer"/>
        <s v="Road Assets–Toll, Annuity, Hybrid-Annuity"/>
        <s v="Meat Products including Poultry"/>
        <s v="Waste Management"/>
      </sharedItems>
    </cacheField>
    <cacheField name="Price" numFmtId="0">
      <sharedItems containsString="0" containsBlank="1" containsNumber="1" minValue="8.2899999999999991" maxValue="126670"/>
    </cacheField>
    <cacheField name="MarketCap" numFmtId="1">
      <sharedItems containsString="0" containsBlank="1" containsNumber="1" minValue="859.09523669999999" maxValue="1763144.2464381999"/>
    </cacheField>
    <cacheField name="Weightage" numFmtId="10">
      <sharedItems containsSemiMixedTypes="0" containsString="0" containsNumber="1" minValue="0" maxValue="4.3762833950231977E-2"/>
    </cacheField>
    <cacheField name="Sales 9M_FY26" numFmtId="0">
      <sharedItems containsString="0" containsBlank="1" containsNumber="1" containsInteger="1" minValue="3" maxValue="777054"/>
    </cacheField>
    <cacheField name="Sales 9M_FY25" numFmtId="0">
      <sharedItems containsString="0" containsBlank="1" containsNumber="1" containsInteger="1" minValue="2" maxValue="715563"/>
    </cacheField>
    <cacheField name="Profit 9M_FY26" numFmtId="0">
      <sharedItems containsString="0" containsBlank="1" containsNumber="1" minValue="-17418" maxValue="70809"/>
    </cacheField>
    <cacheField name="Profit 9M_FY25" numFmtId="0">
      <sharedItems containsString="0" containsBlank="1" containsNumber="1" minValue="-20217" maxValue="59076"/>
    </cacheField>
    <cacheField name="Sales Q3_FY26" numFmtId="0">
      <sharedItems containsString="0" containsBlank="1" containsNumber="1" minValue="0" maxValue="269496"/>
    </cacheField>
    <cacheField name="Sales Q3_FY25" numFmtId="0">
      <sharedItems containsString="0" containsBlank="1" containsNumber="1" minValue="0.25" maxValue="243865"/>
    </cacheField>
    <cacheField name="Profit Q3_FY26" numFmtId="0">
      <sharedItems containsString="0" containsBlank="1" containsNumber="1" minValue="-5286" maxValue="21876"/>
    </cacheField>
    <cacheField name="Profit Q3_FY25" numFmtId="0">
      <sharedItems containsString="0" containsBlank="1" containsNumber="1" minValue="-6609" maxValue="20010"/>
    </cacheField>
    <cacheField name="Margin 9M_FY26" numFmtId="10">
      <sharedItems containsMixedTypes="1" containsNumber="1" minValue="-46" maxValue="87"/>
    </cacheField>
    <cacheField name="Margin 9M_FY25" numFmtId="10">
      <sharedItems containsMixedTypes="1" containsNumber="1" minValue="-23.2" maxValue="42"/>
    </cacheField>
    <cacheField name="Margin Change 9M_FY26" numFmtId="10">
      <sharedItems containsMixedTypes="1" containsNumber="1" minValue="-22.8" maxValue="45"/>
    </cacheField>
    <cacheField name="Margin Q3_FY26" numFmtId="10">
      <sharedItems containsMixedTypes="1" containsNumber="1" minValue="-50.5" maxValue="135.29411764705881"/>
    </cacheField>
    <cacheField name="Margin Q3_FY25" numFmtId="10">
      <sharedItems containsMixedTypes="1" containsNumber="1" minValue="-39" maxValue="16"/>
    </cacheField>
    <cacheField name="Margin Change Q3_FY26" numFmtId="10">
      <sharedItems containsMixedTypes="1" containsNumber="1" minValue="-11.5" maxValue="119.29411764705881"/>
    </cacheField>
    <cacheField name="Sales Gr. 9M_FY26" numFmtId="10">
      <sharedItems containsMixedTypes="1" containsNumber="1" minValue="-0.8902508551881414" maxValue="22.207627118644069"/>
    </cacheField>
    <cacheField name="Profit  Gr. 9M_FY26" numFmtId="10">
      <sharedItems containsMixedTypes="1" containsNumber="1" minValue="-111.90909090909091" maxValue="25.777777777777779"/>
    </cacheField>
    <cacheField name="Sales Gr Q3_FY26" numFmtId="10">
      <sharedItems containsMixedTypes="1" containsNumber="1" minValue="-1" maxValue="17.521276595744681"/>
    </cacheField>
    <cacheField name="Profit Gr Q3_FY26" numFmtId="10">
      <sharedItems containsMixedTypes="1" containsNumber="1" minValue="-386.46153846153845" maxValue="78.48717948717948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5">
  <r>
    <s v="RELIANCE INDUSTRIES LTD."/>
    <n v="500325"/>
    <x v="0"/>
    <s v="Refineries &amp; Marketing"/>
    <n v="1303.5999999999999"/>
    <n v="1763144.2464381999"/>
    <n v="4.3748857798288819E-2"/>
    <n v="777054"/>
    <n v="715563"/>
    <n v="70809"/>
    <n v="55569"/>
    <n v="269496"/>
    <n v="243865"/>
    <n v="21723"/>
    <n v="20010"/>
    <n v="9.1124941123782902E-2"/>
    <n v="7.7657732442845698E-2"/>
    <n v="1.3467208680937204E-2"/>
    <n v="8.0606020126458275E-2"/>
    <n v="8.2053595226867324E-2"/>
    <n v="-1.4475751004090487E-3"/>
    <n v="8.5933733298116266E-2"/>
    <n v="0.27425363062138963"/>
    <n v="0.10510323334631866"/>
    <n v="8.5607196401799035E-2"/>
  </r>
  <r>
    <s v="BHARTI AIRTEL LTD."/>
    <n v="532454"/>
    <x v="1"/>
    <s v="Telecom - Cellular &amp; Fixed line services"/>
    <n v="1790"/>
    <n v="1090476.4905969"/>
    <n v="2.7057968181489339E-2"/>
    <n v="155589"/>
    <n v="125109"/>
    <n v="24575"/>
    <n v="25005"/>
    <n v="53981"/>
    <n v="45129"/>
    <n v="8502"/>
    <n v="16134"/>
    <n v="0.15794818399758337"/>
    <n v="0.19986571709469342"/>
    <n v="-4.1917533097110049E-2"/>
    <n v="0.1574998610622256"/>
    <n v="0.35750847570298477"/>
    <n v="-0.20000861464075917"/>
    <n v="0.24362755677049619"/>
    <n v="-1.7196560687862461E-2"/>
    <n v="0.19614881783332216"/>
    <n v="-0.47303830420230564"/>
  </r>
  <r>
    <s v="ICICI BANK LTD."/>
    <n v="532174"/>
    <x v="2"/>
    <s v="Private Sector Bank"/>
    <n v="1229.8"/>
    <n v="876826.47490529995"/>
    <n v="2.1756675236243295E-2"/>
    <n v="227504"/>
    <n v="214839"/>
    <n v="39452"/>
    <n v="37526"/>
    <n v="76782"/>
    <n v="74626"/>
    <n v="12539"/>
    <n v="12883"/>
    <n v="0.17341233560728603"/>
    <n v="0.17467033452957798"/>
    <n v="-1.2579989222919474E-3"/>
    <n v="0.16330650412857181"/>
    <n v="0.17263420255674966"/>
    <n v="-9.3276984281778497E-3"/>
    <n v="5.8951121537523354E-2"/>
    <n v="5.1324415072216523E-2"/>
    <n v="2.8890735132527601E-2"/>
    <n v="-2.6701855157960086E-2"/>
  </r>
  <r>
    <s v="TATA CONSULTANCY SERVICES LTD."/>
    <n v="532540"/>
    <x v="3"/>
    <s v="Computers - Software &amp; Consulting"/>
    <n v="2472.6"/>
    <n v="894572.01075000002"/>
    <n v="2.2196994810658462E-2"/>
    <n v="196323"/>
    <n v="190845"/>
    <n v="35670"/>
    <n v="36504"/>
    <n v="67087"/>
    <n v="63973"/>
    <n v="10720"/>
    <n v="12444"/>
    <n v="0.18169037759202947"/>
    <n v="0.19127564253713747"/>
    <n v="-9.5852649451080019E-3"/>
    <n v="0.1597925082355747"/>
    <n v="0.19451956294061556"/>
    <n v="-3.4727054705040866E-2"/>
    <n v="2.8703922030967499E-2"/>
    <n v="-2.2846811308349757E-2"/>
    <n v="4.8676785518890764E-2"/>
    <n v="-0.13854066216650596"/>
  </r>
  <r>
    <s v="HDFC BANK LTD."/>
    <n v="500180"/>
    <x v="2"/>
    <s v="Private Sector Bank"/>
    <n v="768.6"/>
    <n v="1183202.9674811999"/>
    <n v="2.9358788128321604E-2"/>
    <n v="378542"/>
    <n v="350647"/>
    <n v="55675"/>
    <n v="51957"/>
    <n v="126927"/>
    <n v="112193"/>
    <n v="19807"/>
    <n v="17657"/>
    <n v="0.14707747092792875"/>
    <n v="0.1481746599856836"/>
    <n v="-1.0971890577548549E-3"/>
    <n v="0.1560503281413726"/>
    <n v="0.15738058524150347"/>
    <n v="-1.3302571001308772E-3"/>
    <n v="7.9552940706750563E-2"/>
    <n v="7.1559173932290054E-2"/>
    <n v="0.1313272664069951"/>
    <n v="0.12176473919691899"/>
  </r>
  <r>
    <s v="BAJAJ FINANCE LIMITED"/>
    <n v="500034"/>
    <x v="2"/>
    <s v="Non Banking Financial Company (NBFC)"/>
    <n v="850.25"/>
    <n v="528700.22730000003"/>
    <n v="1.3118626628987733E-2"/>
    <n v="60917"/>
    <n v="51227"/>
    <n v="13779"/>
    <n v="12234"/>
    <n v="21215"/>
    <n v="18058"/>
    <n v="4066"/>
    <n v="4308"/>
    <n v="0.22619301672767864"/>
    <n v="0.23881937259648231"/>
    <n v="-1.2626355868803674E-2"/>
    <n v="0.19165684657082252"/>
    <n v="0.23856462509690995"/>
    <n v="-4.6907778526087435E-2"/>
    <n v="0.1891580611786754"/>
    <n v="0.12628739578224613"/>
    <n v="0.17482556207774946"/>
    <n v="-5.6174558960074283E-2"/>
  </r>
  <r>
    <s v="LARSEN &amp; TOUBRO LTD."/>
    <n v="500510"/>
    <x v="4"/>
    <s v="Civil Construction"/>
    <n v="3723.95"/>
    <n v="512093.19839999999"/>
    <n v="1.2706556801311475E-2"/>
    <n v="203112"/>
    <n v="181342"/>
    <n v="14186"/>
    <n v="11554"/>
    <n v="71450"/>
    <n v="64668"/>
    <n v="5173"/>
    <n v="4001"/>
    <n v="6.9843239198077903E-2"/>
    <n v="6.3713866616669057E-2"/>
    <n v="6.1293725814088457E-3"/>
    <n v="7.2400279916025198E-2"/>
    <n v="6.1869858353436009E-2"/>
    <n v="1.0530421562589189E-2"/>
    <n v="0.12004940940322695"/>
    <n v="0.22779989613986507"/>
    <n v="0.10487412630667414"/>
    <n v="0.29292676830792308"/>
  </r>
  <r>
    <s v="HINDUSTAN UNILEVER LTD."/>
    <n v="500696"/>
    <x v="5"/>
    <s v="Diversified FMCG"/>
    <n v="2064.3000000000002"/>
    <n v="485049.54309470003"/>
    <n v="1.2706556801311475E-2"/>
    <n v="47464"/>
    <n v="45505"/>
    <n v="12065"/>
    <n v="8196"/>
    <n v="16197"/>
    <n v="15715"/>
    <n v="6603"/>
    <n v="2694"/>
    <n v="0.25419265127254342"/>
    <n v="0.18011207559608836"/>
    <n v="7.4080575676455068E-2"/>
    <n v="0.40766808668271903"/>
    <n v="0.17142857142857143"/>
    <n v="0.2362395152541476"/>
    <n v="4.3050214262168929E-2"/>
    <n v="0.47205954123962912"/>
    <n v="3.0671333121221833E-2"/>
    <n v="1.4510022271714922"/>
  </r>
  <r>
    <s v="INFOSYS LTD."/>
    <n v="500209"/>
    <x v="3"/>
    <s v="Computers - Software &amp; Consulting"/>
    <n v="1306.6500000000001"/>
    <n v="528527.33039050002"/>
    <n v="1.3114336541932881E-2"/>
    <n v="132248"/>
    <n v="122064"/>
    <n v="20965"/>
    <n v="19712"/>
    <n v="45479"/>
    <n v="41764"/>
    <n v="6666"/>
    <n v="6822"/>
    <n v="0.15852791724638557"/>
    <n v="0.16148905492200813"/>
    <n v="-2.9611376756225605E-3"/>
    <n v="0.14657314364871699"/>
    <n v="0.16334642275644096"/>
    <n v="-1.6773279107723971E-2"/>
    <n v="8.3431642417092666E-2"/>
    <n v="6.3565340909090828E-2"/>
    <n v="8.8952207642946091E-2"/>
    <n v="-2.2867194371152144E-2"/>
  </r>
  <r>
    <s v="LIFE INSURANCE CORPORATION OF"/>
    <n v="543526"/>
    <x v="2"/>
    <s v="Life Insurance"/>
    <n v="744"/>
    <n v="470959.33563809999"/>
    <n v="1.1685903206859373E-2"/>
    <n v="697403"/>
    <n v="645069"/>
    <n v="33986"/>
    <n v="29282"/>
    <n v="234466"/>
    <n v="202930"/>
    <n v="12930"/>
    <n v="11009"/>
    <n v="4.8732225126648439E-2"/>
    <n v="4.5393593553557834E-2"/>
    <n v="3.3386315730906044E-3"/>
    <n v="5.5146588417936931E-2"/>
    <n v="5.4250234070861873E-2"/>
    <n v="8.9635434707505818E-4"/>
    <n v="8.112930554715847E-2"/>
    <n v="0.16064476470186473"/>
    <n v="0.15540334105356535"/>
    <n v="0.1744935961486056"/>
  </r>
  <r>
    <s v="MARUTI SUZUKI INDIA LTD."/>
    <n v="532500"/>
    <x v="6"/>
    <s v="Passenger Cars &amp; Utility Vehicles"/>
    <n v="12680.35"/>
    <n v="398442.28824999998"/>
    <n v="9.8865393711761989E-3"/>
    <n v="130853"/>
    <n v="111992"/>
    <n v="11020"/>
    <n v="10589"/>
    <n v="49904"/>
    <n v="38764"/>
    <n v="3879"/>
    <n v="3726"/>
    <n v="8.4216640046464356E-2"/>
    <n v="9.455139652832345E-2"/>
    <n v="-1.0334756481859095E-2"/>
    <n v="7.7729240141070854E-2"/>
    <n v="9.6120111443607464E-2"/>
    <n v="-1.839087130253661E-2"/>
    <n v="0.16841381527251942"/>
    <n v="4.0702615922183494E-2"/>
    <n v="0.28738004333918066"/>
    <n v="4.106280193236711E-2"/>
  </r>
  <r>
    <s v="AXIS BANK LTD."/>
    <n v="532215"/>
    <x v="2"/>
    <s v="Private Sector Bank"/>
    <n v="1244.4000000000001"/>
    <n v="385677.54645969998"/>
    <n v="9.5698081255371405E-3"/>
    <n v="121069"/>
    <n v="115958"/>
    <n v="18862"/>
    <n v="20622"/>
    <n v="40898"/>
    <n v="38959"/>
    <n v="7044"/>
    <n v="6763"/>
    <n v="0.15579545548406282"/>
    <n v="0.1778402525052174"/>
    <n v="-2.2044797021154583E-2"/>
    <n v="0.17223336104454987"/>
    <n v="0.17359275135398752"/>
    <n v="-1.359390309437658E-3"/>
    <n v="4.4076303489194446E-2"/>
    <n v="-8.5345747260207494E-2"/>
    <n v="4.97702713108652E-2"/>
    <n v="4.1549608162058327E-2"/>
  </r>
  <r>
    <s v="SUN PHARMACEUTICAL INDUSTRIES"/>
    <n v="524715"/>
    <x v="7"/>
    <s v="Pharmaceuticals"/>
    <n v="1687.15"/>
    <n v="404647.84775000002"/>
    <n v="1.0040517776898114E-2"/>
    <n v="43850"/>
    <n v="39619"/>
    <n v="8765"/>
    <n v="8779"/>
    <n v="15520"/>
    <n v="13675"/>
    <n v="3368"/>
    <n v="2903"/>
    <n v="0.19988597491448118"/>
    <n v="0.22158560286731113"/>
    <n v="-2.1699627952829953E-2"/>
    <n v="0.21701030927835052"/>
    <n v="0.2122851919561243"/>
    <n v="4.7251173222262188E-3"/>
    <n v="0.1067921956636968"/>
    <n v="-1.5947146599840645E-3"/>
    <n v="0.13491773308957944"/>
    <n v="0.16017912504305887"/>
  </r>
  <r>
    <s v="MAHINDRA &amp; MAHINDRA LTD."/>
    <n v="500520"/>
    <x v="6"/>
    <s v="Passenger Cars &amp; Utility Vehicles"/>
    <n v="3014.5"/>
    <n v="361894.30084330001"/>
    <n v="8.9796749968634113E-3"/>
    <n v="143664"/>
    <n v="116611"/>
    <n v="13362"/>
    <n v="10531"/>
    <n v="52100"/>
    <n v="41470"/>
    <n v="5021"/>
    <n v="3624"/>
    <n v="9.3008686936184429E-2"/>
    <n v="9.0308804486712232E-2"/>
    <n v="2.6998824494721962E-3"/>
    <n v="9.6372360844529756E-2"/>
    <n v="8.738847359537015E-2"/>
    <n v="8.9838872491596056E-3"/>
    <n v="0.23199355120871967"/>
    <n v="0.26882537270914453"/>
    <n v="0.25632987701953214"/>
    <n v="0.38548565121412803"/>
  </r>
  <r>
    <s v="ITC LTD."/>
    <n v="500875"/>
    <x v="5"/>
    <s v="Diversified FMCG"/>
    <n v="293.95"/>
    <n v="368296.4371944"/>
    <n v="9.1385310594886589E-3"/>
    <n v="66092"/>
    <n v="61236"/>
    <n v="15548"/>
    <n v="15245"/>
    <n v="21707"/>
    <n v="20350"/>
    <n v="5018"/>
    <n v="5013"/>
    <n v="0.23524783634933125"/>
    <n v="0.24895486315239401"/>
    <n v="-1.3707026803062766E-2"/>
    <n v="0.2311696687704427"/>
    <n v="0.24633906633906633"/>
    <n v="-1.5169397568623622E-2"/>
    <n v="7.9299758312104007E-2"/>
    <n v="1.9875368973433893E-2"/>
    <n v="6.6683046683046587E-2"/>
    <n v="9.974067424696198E-4"/>
  </r>
  <r>
    <s v="TITAN COMPANY LIMITED"/>
    <n v="500114"/>
    <x v="6"/>
    <s v="Gems, Jewellery And Watches"/>
    <n v="4252.95"/>
    <n v="377233.7295291"/>
    <n v="9.360291889461813E-3"/>
    <n v="56190"/>
    <n v="43246"/>
    <n v="3895"/>
    <n v="2466"/>
    <n v="24915"/>
    <n v="17550"/>
    <n v="1684"/>
    <n v="1047"/>
    <n v="6.931838405410215E-2"/>
    <n v="5.702261480830597E-2"/>
    <n v="1.229576924579618E-2"/>
    <n v="6.7589805338149705E-2"/>
    <n v="5.9658119658119659E-2"/>
    <n v="7.931685680030047E-3"/>
    <n v="0.29931091892891826"/>
    <n v="0.57948094079480938"/>
    <n v="0.41965811965811972"/>
    <n v="0.60840496657115573"/>
  </r>
  <r>
    <s v="HCL TECHNOLOGIES LTD."/>
    <n v="532281"/>
    <x v="3"/>
    <s v="Computers - Software &amp; Consulting"/>
    <n v="1404"/>
    <n v="380205.33351040003"/>
    <n v="9.4340262309788783E-3"/>
    <n v="96163"/>
    <n v="86809"/>
    <n v="12162"/>
    <n v="13090"/>
    <n v="33872"/>
    <n v="29890"/>
    <n v="4082"/>
    <n v="4594"/>
    <n v="0.12647275979326769"/>
    <n v="0.15079081662039651"/>
    <n v="-2.4318056827128814E-2"/>
    <n v="0.12051251771374587"/>
    <n v="0.15369688859150218"/>
    <n v="-3.3184370877756317E-2"/>
    <n v="0.10775380432904424"/>
    <n v="-7.0893812070282669E-2"/>
    <n v="0.1332218133154901"/>
    <n v="-0.11144971702220285"/>
  </r>
  <r>
    <s v="ULTRATECH CEMENT LTD."/>
    <n v="532538"/>
    <x v="8"/>
    <s v="Cement &amp; Cement Products"/>
    <n v="10902.5"/>
    <n v="320580.57023999997"/>
    <n v="7.954558345782908E-3"/>
    <n v="62712"/>
    <n v="52892"/>
    <n v="5188"/>
    <n v="3565"/>
    <n v="21830"/>
    <n v="17779"/>
    <n v="1729"/>
    <n v="1363"/>
    <n v="8.2727388697537957E-2"/>
    <n v="6.7401497390909781E-2"/>
    <n v="1.5325891306628175E-2"/>
    <n v="7.9202931745304628E-2"/>
    <n v="7.6663479385792224E-2"/>
    <n v="2.5394523595124036E-3"/>
    <n v="0.18566134765181874"/>
    <n v="0.4552594670406731"/>
    <n v="0.22785308510039926"/>
    <n v="0.26852531181217909"/>
  </r>
  <r>
    <s v="NTPC LTD."/>
    <n v="532555"/>
    <x v="9"/>
    <s v="Power Generation"/>
    <n v="365.45"/>
    <n v="353993.62940929999"/>
    <n v="8.7836358175533112E-3"/>
    <n v="137697"/>
    <n v="138303"/>
    <n v="16931"/>
    <n v="16056"/>
    <n v="45846"/>
    <n v="45059"/>
    <n v="5597"/>
    <n v="5170"/>
    <n v="0.12295837963063828"/>
    <n v="0.11609292640072884"/>
    <n v="6.8654532299094462E-3"/>
    <n v="0.12208262443833705"/>
    <n v="0.11473845402694245"/>
    <n v="7.344170411394596E-3"/>
    <n v="-4.381683694496874E-3"/>
    <n v="5.4496761335326438E-2"/>
    <n v="1.7465989036596463E-2"/>
    <n v="8.2591876208897519E-2"/>
  </r>
  <r>
    <s v="STATE BANK OF INDIA"/>
    <n v="500112"/>
    <x v="2"/>
    <s v="Public Sector Bank"/>
    <n v="1025.3"/>
    <n v="354763.614"/>
    <n v="8.8027414275642108E-3"/>
    <n v="528538"/>
    <n v="483781"/>
    <n v="65007"/>
    <n v="59076"/>
    <n v="185648"/>
    <n v="167853"/>
    <n v="21876"/>
    <n v="19175"/>
    <n v="0.12299399475534399"/>
    <n v="0.12211310489663711"/>
    <n v="8.8088985870687919E-4"/>
    <n v="0.11783590450745497"/>
    <n v="0.11423686201616891"/>
    <n v="3.5990424912860641E-3"/>
    <n v="9.251500162263504E-2"/>
    <n v="0.10039609993906162"/>
    <n v="0.10601538250731291"/>
    <n v="0.14086049543676671"/>
  </r>
  <r>
    <s v="OIL AND NATURAL GAS CORPORATIO"/>
    <n v="500312"/>
    <x v="0"/>
    <s v="Oil Exploration &amp; Production"/>
    <n v="282.05"/>
    <n v="354763.614"/>
    <n v="8.8027414275642108E-3"/>
    <n v="488442"/>
    <n v="495511"/>
    <n v="36115"/>
    <n v="29364"/>
    <n v="167422"/>
    <n v="167212"/>
    <n v="11946"/>
    <n v="9746"/>
    <n v="7.3939178039562528E-2"/>
    <n v="5.9260036608672663E-2"/>
    <n v="1.4679141430889865E-2"/>
    <n v="7.1352629881377597E-2"/>
    <n v="5.8285290529387843E-2"/>
    <n v="1.3067339351989754E-2"/>
    <n v="-1.4266080874087539E-2"/>
    <n v="0.22990736956817881"/>
    <n v="1.2558907255459939E-3"/>
    <n v="0.22573363431151239"/>
  </r>
  <r>
    <s v="BHARAT ELECTRONICS LTD."/>
    <n v="500049"/>
    <x v="4"/>
    <s v="Aerospace &amp; Defense"/>
    <n v="427.5"/>
    <n v="312383.4100265"/>
    <n v="7.7511623971787845E-3"/>
    <n v="17385"/>
    <n v="14619"/>
    <n v="3835"/>
    <n v="3195"/>
    <n v="7153"/>
    <n v="5770"/>
    <n v="1579"/>
    <n v="1311"/>
    <n v="0.22059246476847857"/>
    <n v="0.21855120049250976"/>
    <n v="2.0412642759688182E-3"/>
    <n v="0.22074653991332308"/>
    <n v="0.22720970537261698"/>
    <n v="-6.4631654592939014E-3"/>
    <n v="0.18920582803201302"/>
    <n v="0.20031298904538342"/>
    <n v="0.239688041594454"/>
    <n v="0.20442410373760489"/>
  </r>
  <r>
    <s v="ADANI PORTS AND SPECIAL ECONOM"/>
    <n v="532921"/>
    <x v="10"/>
    <s v="Port &amp; Port services"/>
    <n v="1385.5"/>
    <n v="319006.15751510003"/>
    <n v="7.9154924789052502E-3"/>
    <n v="27998"/>
    <n v="21987"/>
    <n v="9474"/>
    <n v="8038"/>
    <n v="9705"/>
    <n v="7964"/>
    <n v="3043"/>
    <n v="2518"/>
    <n v="0.33838131295092505"/>
    <n v="0.36557966070860054"/>
    <n v="-2.719834775767549E-2"/>
    <n v="0.31354971664090675"/>
    <n v="0.31617277749874434"/>
    <n v="-2.6230608578375891E-3"/>
    <n v="0.27338882066675763"/>
    <n v="0.17865140582234385"/>
    <n v="0.21860873932697134"/>
    <n v="0.20849880857823666"/>
  </r>
  <r>
    <s v="BAJAJ FINSERV LTD."/>
    <n v="532978"/>
    <x v="2"/>
    <s v="Holding Company"/>
    <n v="1668"/>
    <n v="266903.03276680002"/>
    <n v="6.6226588380589634E-3"/>
    <n v="112562"/>
    <n v="97226"/>
    <n v="14443"/>
    <n v="12801"/>
    <n v="39708"/>
    <n v="32042"/>
    <n v="4368"/>
    <n v="4412"/>
    <n v="0.12831150832430127"/>
    <n v="0.13166231255014091"/>
    <n v="-3.3508042258396376E-3"/>
    <n v="0.11000302206104563"/>
    <n v="0.1376942762624056"/>
    <n v="-2.7691254201359969E-2"/>
    <n v="0.15773558513154917"/>
    <n v="0.12827122881024922"/>
    <n v="0.23924848636165041"/>
    <n v="-9.9728014505893192E-3"/>
  </r>
  <r>
    <s v="JSW STEEL LTD."/>
    <n v="500228"/>
    <x v="8"/>
    <s v="Iron &amp; Steel"/>
    <n v="1130.5"/>
    <n v="275539.42259999999"/>
    <n v="6.8369533811552113E-3"/>
    <n v="134290"/>
    <n v="124005"/>
    <n v="6265"/>
    <n v="1990"/>
    <n v="45991"/>
    <n v="41378"/>
    <n v="2410"/>
    <n v="719"/>
    <n v="4.6652766401072306E-2"/>
    <n v="1.6047740010483449E-2"/>
    <n v="3.0605026390588857E-2"/>
    <n v="5.2401556826335585E-2"/>
    <n v="1.7376383585480208E-2"/>
    <n v="3.5025173240855377E-2"/>
    <n v="8.2940204024031239E-2"/>
    <n v="2.1482412060301508"/>
    <n v="0.11148436367151637"/>
    <n v="2.3518776077885954"/>
  </r>
  <r>
    <s v="POWER GRID CORPORATION OF INDI"/>
    <n v="532898"/>
    <x v="9"/>
    <s v="Power - Transmission"/>
    <n v="294.2"/>
    <n v="273809.74664329999"/>
    <n v="6.794034971263534E-3"/>
    <n v="35067"/>
    <n v="33517"/>
    <n v="11382"/>
    <n v="11379"/>
    <n v="12395"/>
    <n v="11233"/>
    <n v="4185"/>
    <n v="3861"/>
    <n v="0.32457866370091537"/>
    <n v="0.33949935853447505"/>
    <n v="-1.4920694833559678E-2"/>
    <n v="0.33763614360629285"/>
    <n v="0.34371939820172703"/>
    <n v="-6.0832545954341843E-3"/>
    <n v="4.6245189008562892E-2"/>
    <n v="2.6364355391517158E-4"/>
    <n v="0.10344520608920149"/>
    <n v="8.3916083916083961E-2"/>
  </r>
  <r>
    <s v="BAJAJ AUTO LTD."/>
    <n v="532977"/>
    <x v="6"/>
    <s v="2/3 Wheelers"/>
    <n v="8920.15"/>
    <n v="249297.312875"/>
    <n v="6.1858085136803215E-3"/>
    <n v="45073"/>
    <n v="38348"/>
    <n v="7082"/>
    <n v="5523"/>
    <n v="16204"/>
    <n v="13169"/>
    <n v="2750"/>
    <n v="2196"/>
    <n v="0.15712288953475473"/>
    <n v="0.14402315635756754"/>
    <n v="1.3099733177187184E-2"/>
    <n v="0.1697111824240928"/>
    <n v="0.16675525856177387"/>
    <n v="2.9559238623189377E-3"/>
    <n v="0.1753676854073225"/>
    <n v="0.28227412638059035"/>
    <n v="0.23046548712886317"/>
    <n v="0.25227686703096541"/>
  </r>
  <r>
    <s v="VEDANTA LIMITED"/>
    <n v="500295"/>
    <x v="8"/>
    <s v="Diversified Metals"/>
    <n v="690.95"/>
    <n v="269396.58715769998"/>
    <n v="6.6845313460401788E-3"/>
    <n v="59900"/>
    <n v="50666"/>
    <n v="15744"/>
    <n v="15574"/>
    <n v="23369"/>
    <n v="17063"/>
    <n v="7807"/>
    <n v="4876"/>
    <n v="0.26283806343906513"/>
    <n v="0.307385623495046"/>
    <n v="-4.4547560055980873E-2"/>
    <n v="0.33407505669904575"/>
    <n v="0.28576451972103384"/>
    <n v="4.8310536978011909E-2"/>
    <n v="0.18225239805786919"/>
    <n v="1.0915628611788852E-2"/>
    <n v="0.36957158764578324"/>
    <n v="0.60110746513535696"/>
  </r>
  <r>
    <s v="ADANI ENTERPRISES LTD."/>
    <n v="512599"/>
    <x v="8"/>
    <s v="Trading - Minerals"/>
    <n v="1894.05"/>
    <n v="243419.193"/>
    <n v="6.0399548598728285E-3"/>
    <n v="68029"/>
    <n v="70929"/>
    <n v="10117"/>
    <n v="3990"/>
    <n v="24820"/>
    <n v="22848"/>
    <n v="5727"/>
    <n v="229"/>
    <n v="0.14871598876949535"/>
    <n v="5.6253436535126676E-2"/>
    <n v="9.2462552234368667E-2"/>
    <n v="0.23074133763094279"/>
    <n v="1.0022759103641457E-2"/>
    <n v="0.22071857852730134"/>
    <n v="-4.0885956378914123E-2"/>
    <n v="1.5355889724310776"/>
    <n v="8.6309523809523725E-2"/>
    <n v="24.008733624454148"/>
  </r>
  <r>
    <s v="Hindustan Aeronautics Limited"/>
    <n v="541154"/>
    <x v="4"/>
    <s v="Aerospace &amp; Defense"/>
    <n v="3748.8"/>
    <n v="250677.76070499999"/>
    <n v="6.2200615340640072E-3"/>
    <n v="19146"/>
    <n v="17281"/>
    <n v="4919"/>
    <n v="4387"/>
    <n v="7698"/>
    <n v="6957"/>
    <n v="1866"/>
    <n v="1439"/>
    <n v="0.25692050558863472"/>
    <n v="0.25386262369075863"/>
    <n v="3.0578818978760913E-3"/>
    <n v="0.24240062353858144"/>
    <n v="0.20684202961046427"/>
    <n v="3.5558593928117166E-2"/>
    <n v="0.1079219952549042"/>
    <n v="0.12126738089810796"/>
    <n v="0.10651142733937036"/>
    <n v="0.29673384294649052"/>
  </r>
  <r>
    <s v="TATA STEEL LTD."/>
    <n v="500470"/>
    <x v="8"/>
    <s v="Iron &amp; Steel"/>
    <n v="196"/>
    <n v="244482.01698280001"/>
    <n v="6.0663266870117933E-3"/>
    <n v="168869"/>
    <n v="162324"/>
    <n v="7921"/>
    <n v="1973"/>
    <n v="57002"/>
    <n v="53648"/>
    <n v="2730"/>
    <n v="295"/>
    <n v="4.6906181714820361E-2"/>
    <n v="1.2154702939799414E-2"/>
    <n v="3.4751478775020946E-2"/>
    <n v="4.7893056383986526E-2"/>
    <n v="5.4988070384730092E-3"/>
    <n v="4.2394249345513516E-2"/>
    <n v="4.0320593381139025E-2"/>
    <n v="3.0146984287886465"/>
    <n v="6.2518640023859318E-2"/>
    <n v="8.2542372881355934"/>
  </r>
  <r>
    <s v="COAL INDIA LTD."/>
    <n v="533278"/>
    <x v="0"/>
    <s v="Coal"/>
    <n v="458.75"/>
    <n v="282684.3408828"/>
    <n v="7.0142400748367242E-3"/>
    <n v="100953"/>
    <n v="105544"/>
    <n v="20163"/>
    <n v="25710"/>
    <n v="34924"/>
    <n v="36857"/>
    <n v="7166"/>
    <n v="8491"/>
    <n v="0.19972660545006091"/>
    <n v="0.24359508830440385"/>
    <n v="-4.3868482854342944E-2"/>
    <n v="0.20518840911693964"/>
    <n v="0.23037686192582141"/>
    <n v="-2.5188452808881767E-2"/>
    <n v="-4.3498446145683323E-2"/>
    <n v="-0.2157526254375729"/>
    <n v="-5.2445939712944645E-2"/>
    <n v="-0.15604757979036632"/>
  </r>
  <r>
    <s v="HINDUSTAN ZINC LTD."/>
    <n v="500188"/>
    <x v="8"/>
    <s v="Zinc"/>
    <n v="524.65"/>
    <n v="221702.44061779999"/>
    <n v="5.5010975804818656E-3"/>
    <n v="27300"/>
    <n v="24996"/>
    <n v="8799"/>
    <n v="7350"/>
    <n v="10980"/>
    <n v="8614"/>
    <n v="3916"/>
    <n v="2678"/>
    <n v="0.3223076923076923"/>
    <n v="0.29404704752760441"/>
    <n v="2.8260644780087885E-2"/>
    <n v="0.35664845173041893"/>
    <n v="0.31088925005804502"/>
    <n v="4.5759201672373906E-2"/>
    <n v="9.2174747959673509E-2"/>
    <n v="0.19714285714285706"/>
    <n v="0.274669143255166"/>
    <n v="0.46228528752800591"/>
  </r>
  <r>
    <s v="INDIAN OIL CORPORATION LTD."/>
    <n v="530965"/>
    <x v="0"/>
    <s v="Refineries &amp; Marketing"/>
    <n v="133.4"/>
    <n v="188405.58149429999"/>
    <n v="4.6749033777860874E-3"/>
    <n v="664553"/>
    <n v="638002"/>
    <n v="28501"/>
    <n v="5421"/>
    <n v="236257"/>
    <n v="219522"/>
    <n v="13502"/>
    <n v="2147"/>
    <n v="4.2887474738658921E-2"/>
    <n v="8.4968385679041764E-3"/>
    <n v="3.4390636170754746E-2"/>
    <n v="5.7149629428969298E-2"/>
    <n v="9.7803409225499047E-3"/>
    <n v="4.7369288506419395E-2"/>
    <n v="4.1615857003583168E-2"/>
    <n v="4.2575170632724593"/>
    <n v="7.62338171117245E-2"/>
    <n v="5.2887750349324643"/>
  </r>
  <r>
    <s v="NESTLE INDIA LTD."/>
    <n v="500790"/>
    <x v="5"/>
    <s v="Packaged Foods"/>
    <n v="1212"/>
    <n v="233673.09993550001"/>
    <n v="5.7981252759184542E-3"/>
    <n v="16406"/>
    <n v="16697"/>
    <n v="2388"/>
    <n v="2334"/>
    <n v="5667"/>
    <n v="4779"/>
    <n v="998"/>
    <n v="688"/>
    <n v="0.1455565037181519"/>
    <n v="0.13978559022578907"/>
    <n v="5.7709134923628336E-3"/>
    <n v="0.17610728780659962"/>
    <n v="0.14396317221175978"/>
    <n v="3.2144115594839845E-2"/>
    <n v="-1.7428280529436457E-2"/>
    <n v="2.3136246786632286E-2"/>
    <n v="0.18581293157564338"/>
    <n v="0.45058139534883712"/>
  </r>
  <r>
    <s v="Avenue Supermarts Limited"/>
    <n v="540376"/>
    <x v="6"/>
    <s v="Diversified Retail"/>
    <n v="4545.1000000000004"/>
    <n v="296315.45640000002"/>
    <n v="7.3524686319152138E-3"/>
    <n v="51136"/>
    <n v="44486"/>
    <n v="2313"/>
    <n v="2157"/>
    <n v="18100"/>
    <n v="15972"/>
    <n v="856"/>
    <n v="723"/>
    <n v="4.5232321652065081E-2"/>
    <n v="4.8487164501191386E-2"/>
    <n v="-3.2548428491263048E-3"/>
    <n v="4.7292817679558008E-2"/>
    <n v="4.5266716754320063E-2"/>
    <n v="2.0261009252379447E-3"/>
    <n v="0.14948523130872626"/>
    <n v="7.2322670375521536E-2"/>
    <n v="0.13323315802654645"/>
    <n v="0.1839557399723375"/>
  </r>
  <r>
    <s v="ASIAN PAINTS LTD."/>
    <n v="500820"/>
    <x v="6"/>
    <s v="Paints"/>
    <n v="2184.6"/>
    <n v="209356.97328000001"/>
    <n v="5.1947697822283135E-3"/>
    <n v="26288"/>
    <n v="25468"/>
    <n v="3209"/>
    <n v="3009"/>
    <n v="8850"/>
    <n v="8521"/>
    <n v="1074"/>
    <n v="1128"/>
    <n v="0.12207090687766281"/>
    <n v="0.11814826448877022"/>
    <n v="3.9226423888925888E-3"/>
    <n v="0.12135593220338983"/>
    <n v="0.13237882877596527"/>
    <n v="-1.1022896572575436E-2"/>
    <n v="3.2197267158787568E-2"/>
    <n v="6.6467264872050569E-2"/>
    <n v="3.8610491726323248E-2"/>
    <n v="-4.7872340425531901E-2"/>
  </r>
  <r>
    <s v="Eternal Limited"/>
    <n v="543320"/>
    <x v="6"/>
    <s v="E-Retail/ E-Commerce"/>
    <n v="232.7"/>
    <n v="212021.45298999999"/>
    <n v="5.2608834562369484E-3"/>
    <n v="37072"/>
    <n v="14410"/>
    <n v="192"/>
    <n v="488"/>
    <n v="16315"/>
    <n v="5405"/>
    <n v="102"/>
    <n v="59"/>
    <n v="5.1791109192921882E-3"/>
    <n v="3.3865371269951421E-2"/>
    <n v="-2.8686260350659232E-2"/>
    <n v="6.251915415262029E-3"/>
    <n v="1.091581868640148E-2"/>
    <n v="-4.6639032711394508E-3"/>
    <n v="1.5726578764746701"/>
    <n v="-0.60655737704918034"/>
    <n v="2.0185013876040703"/>
    <n v="0.72881355932203395"/>
  </r>
  <r>
    <s v="EICHER MOTORS LTD."/>
    <n v="505200"/>
    <x v="6"/>
    <s v="2/3 Wheelers"/>
    <n v="6608.7"/>
    <n v="180967.64872669999"/>
    <n v="4.4903461224053542E-3"/>
    <n v="17327"/>
    <n v="13629"/>
    <n v="3995"/>
    <n v="3372"/>
    <n v="6114"/>
    <n v="4973"/>
    <n v="1421"/>
    <n v="1170"/>
    <n v="0.23056501413978184"/>
    <n v="0.24741360334580673"/>
    <n v="-1.6848589206024889E-2"/>
    <n v="0.23241740268236832"/>
    <n v="0.23527046048662778"/>
    <n v="-2.8530578042594568E-3"/>
    <n v="0.27133318658742378"/>
    <n v="0.18475682087781742"/>
    <n v="0.22943897044037809"/>
    <n v="0.21452991452991443"/>
  </r>
  <r>
    <s v="HINDALCO INDUSTRIES LTD."/>
    <n v="500440"/>
    <x v="8"/>
    <s v="Aluminium"/>
    <n v="930.25"/>
    <n v="207914.02170859999"/>
    <n v="5.1589658579410513E-3"/>
    <n v="196811"/>
    <n v="173606"/>
    <n v="10794"/>
    <n v="10718"/>
    <n v="66521"/>
    <n v="58390"/>
    <n v="2049"/>
    <n v="3735"/>
    <n v="5.4844495480435546E-2"/>
    <n v="6.1737497551927929E-2"/>
    <n v="-6.8930020714923837E-3"/>
    <n v="3.0802303032125194E-2"/>
    <n v="6.396643260832334E-2"/>
    <n v="-3.3164129576198145E-2"/>
    <n v="0.13366473508980103"/>
    <n v="7.0908751632767775E-3"/>
    <n v="0.13925329679739673"/>
    <n v="-0.45140562248995986"/>
  </r>
  <r>
    <s v="WIPRO LTD."/>
    <n v="507685"/>
    <x v="3"/>
    <s v="Computers - Software &amp; Consulting"/>
    <n v="197.05"/>
    <n v="206408.007476"/>
    <n v="5.1215971612860178E-3"/>
    <n v="68387"/>
    <n v="66584"/>
    <n v="9743"/>
    <n v="9629"/>
    <n v="23555"/>
    <n v="22318"/>
    <n v="3145"/>
    <n v="3366"/>
    <n v="0.14246859783292146"/>
    <n v="0.14461432175898115"/>
    <n v="-2.1457239260596894E-3"/>
    <n v="0.13351729993631925"/>
    <n v="0.15081996594676941"/>
    <n v="-1.7302666010450163E-2"/>
    <n v="2.7078577436020712E-2"/>
    <n v="1.183923564233047E-2"/>
    <n v="5.5426113451026104E-2"/>
    <n v="-6.5656565656565635E-2"/>
  </r>
  <r>
    <s v="SBI Life Insurance Company Lim"/>
    <n v="540719"/>
    <x v="2"/>
    <s v="Life Insurance"/>
    <n v="1840"/>
    <n v="184335.984"/>
    <n v="4.5739245483828383E-3"/>
    <n v="107308"/>
    <n v="92949"/>
    <n v="1665"/>
    <n v="1599"/>
    <n v="45803"/>
    <n v="18542"/>
    <n v="576"/>
    <n v="550"/>
    <n v="1.551608454169307E-2"/>
    <n v="1.7202982280605492E-2"/>
    <n v="-1.6868977389124223E-3"/>
    <n v="1.2575595485011899E-2"/>
    <n v="2.9662388091899472E-2"/>
    <n v="-1.7086792606887571E-2"/>
    <n v="0.15448256570807639"/>
    <n v="4.1275797373358403E-2"/>
    <n v="1.4702297486786753"/>
    <n v="4.7272727272727355E-2"/>
  </r>
  <r>
    <s v="Shriram Finance Limited"/>
    <n v="511218"/>
    <x v="2"/>
    <s v="Non Banking Financial Company (NBFC)"/>
    <n v="925.7"/>
    <n v="174204.69093129999"/>
    <n v="4.3225370055480772E-3"/>
    <n v="35660"/>
    <n v="30399"/>
    <n v="7003"/>
    <n v="7432"/>
    <n v="12196"/>
    <n v="10705"/>
    <n v="2529"/>
    <n v="3248"/>
    <n v="0.19638250140213123"/>
    <n v="0.24448172637257803"/>
    <n v="-4.8099224970446802E-2"/>
    <n v="0.20736306985897016"/>
    <n v="0.30340962167211583"/>
    <n v="-9.604655181314567E-2"/>
    <n v="0.17306490345077141"/>
    <n v="-5.7723358449946138E-2"/>
    <n v="0.13928070994862218"/>
    <n v="-0.22136699507389157"/>
  </r>
  <r>
    <s v="GRASIM INDUSTRIES LTD."/>
    <n v="500300"/>
    <x v="8"/>
    <s v="Cement &amp; Cement Products"/>
    <n v="2587.5"/>
    <n v="175072.26564"/>
    <n v="4.3440641169213996E-3"/>
    <n v="124330"/>
    <n v="104211"/>
    <n v="6498"/>
    <n v="4783"/>
    <n v="44312"/>
    <n v="35378"/>
    <n v="2233"/>
    <n v="1734"/>
    <n v="5.226413576771495E-2"/>
    <n v="4.5897266123537825E-2"/>
    <n v="6.3668696441771255E-3"/>
    <n v="5.039267015706806E-2"/>
    <n v="4.9013511221663184E-2"/>
    <n v="1.3791589354048769E-3"/>
    <n v="0.19306023356459501"/>
    <n v="0.35856157223499885"/>
    <n v="0.25252982079258302"/>
    <n v="0.28777393310265276"/>
  </r>
  <r>
    <s v="TVS MOTOR COMPANY LTD."/>
    <n v="532343"/>
    <x v="6"/>
    <s v="2/3 Wheelers"/>
    <n v="3493.8"/>
    <n v="168029.55483109999"/>
    <n v="4.1693134949484867E-3"/>
    <n v="41032"/>
    <n v="32685"/>
    <n v="2367"/>
    <n v="1682"/>
    <n v="14745"/>
    <n v="11100"/>
    <n v="891"/>
    <n v="609"/>
    <n v="5.7686683564047575E-2"/>
    <n v="5.1460914792718374E-2"/>
    <n v="6.2257687713292015E-3"/>
    <n v="6.0427263479145475E-2"/>
    <n v="5.4864864864864867E-2"/>
    <n v="5.5623986142806087E-3"/>
    <n v="0.2553770842894294"/>
    <n v="0.40725326991676569"/>
    <n v="0.32837837837837847"/>
    <n v="0.46305418719211833"/>
  </r>
  <r>
    <s v="InterGlobe Aviation Limited"/>
    <n v="539448"/>
    <x v="10"/>
    <s v="Airline"/>
    <n v="4314.3500000000004"/>
    <n v="166730.42427349999"/>
    <n v="4.1370781981821163E-3"/>
    <n v="62523"/>
    <n v="58651"/>
    <n v="143"/>
    <n v="4190"/>
    <n v="23471"/>
    <n v="22110"/>
    <n v="549"/>
    <n v="2448"/>
    <n v="2.2871583257361291E-3"/>
    <n v="7.1439532147789461E-2"/>
    <n v="-6.9152373822053331E-2"/>
    <n v="2.3390567082783007E-2"/>
    <n v="0.11071913161465401"/>
    <n v="-8.7328564531871003E-2"/>
    <n v="6.6017629707933345E-2"/>
    <n v="-0.96587112171837708"/>
    <n v="6.1555857078245069E-2"/>
    <n v="-0.77573529411764708"/>
  </r>
  <r>
    <s v="HYUNDAI MOTOR INDIA LIMITED"/>
    <n v="544274"/>
    <x v="6"/>
    <s v="Passenger Cars &amp; Utility Vehicles"/>
    <n v="1693.95"/>
    <n v="137563.19130000001"/>
    <n v="3.4133523145483875E-3"/>
    <n v="51847"/>
    <n v="51252"/>
    <n v="4175"/>
    <n v="4025"/>
    <n v="17973"/>
    <n v="16647"/>
    <n v="1234"/>
    <n v="1160"/>
    <n v="8.0525392018824624E-2"/>
    <n v="7.8533520643096849E-2"/>
    <n v="1.9918713757277745E-3"/>
    <n v="6.8658543370611474E-2"/>
    <n v="6.968222502553012E-2"/>
    <n v="-1.0236816549186456E-3"/>
    <n v="1.1609303051588249E-2"/>
    <n v="3.7267080745341685E-2"/>
    <n v="7.9653991710218142E-2"/>
    <n v="6.3793103448275934E-2"/>
  </r>
  <r>
    <s v="DIVIS LABORATORIES LTD."/>
    <n v="532488"/>
    <x v="7"/>
    <s v="Pharmaceuticals"/>
    <n v="5813.9"/>
    <n v="154436.35805000001"/>
    <n v="3.832025814600239E-3"/>
    <n v="7729"/>
    <n v="6775"/>
    <n v="1817"/>
    <n v="1529"/>
    <n v="2604"/>
    <n v="2319"/>
    <n v="583"/>
    <n v="589"/>
    <n v="0.2350886272480269"/>
    <n v="0.22568265682656827"/>
    <n v="9.4059704214586315E-3"/>
    <n v="0.22388632872503841"/>
    <n v="0.2539887882708064"/>
    <n v="-3.0102459545767984E-2"/>
    <n v="0.14081180811808114"/>
    <n v="0.18835840418574223"/>
    <n v="0.12289780077619672"/>
    <n v="-1.018675721561968E-2"/>
  </r>
  <r>
    <s v="BANK OF BARODA"/>
    <n v="532134"/>
    <x v="2"/>
    <s v="Public Sector Bank"/>
    <n v="258.5"/>
    <n v="133555.57423609999"/>
    <n v="3.3139114041448588E-3"/>
    <n v="116837"/>
    <n v="112988"/>
    <n v="14045"/>
    <n v="15296"/>
    <n v="39999"/>
    <n v="37732"/>
    <n v="5442"/>
    <n v="5213"/>
    <n v="0.1202102073829352"/>
    <n v="0.13537720819910079"/>
    <n v="-1.5167000816165593E-2"/>
    <n v="0.13605340133503338"/>
    <n v="0.138158592176402"/>
    <n v="-2.1051908413686204E-3"/>
    <n v="3.4065564484724087E-2"/>
    <n v="-8.1786087866108748E-2"/>
    <n v="6.0081628326089209E-2"/>
    <n v="4.3928639938614955E-2"/>
  </r>
  <r>
    <s v="Jio Financial Services Limited"/>
    <n v="543940"/>
    <x v="2"/>
    <s v="Investment Company"/>
    <n v="233.7"/>
    <n v="148853.15649620001"/>
    <n v="3.6934899623409481E-3"/>
    <n v="2522"/>
    <n v="1560"/>
    <n v="1288"/>
    <n v="1296"/>
    <n v="901"/>
    <n v="448"/>
    <n v="268"/>
    <n v="294"/>
    <n v="0.51070578905630448"/>
    <n v="0.83076923076923082"/>
    <n v="-0.32006344171292633"/>
    <n v="0.29744728079911209"/>
    <n v="0.65625"/>
    <n v="-0.35880271920088791"/>
    <n v="0.6166666666666667"/>
    <n v="-6.1728395061728669E-3"/>
    <n v="1.0111607142857144"/>
    <n v="-8.8435374149659851E-2"/>
  </r>
  <r>
    <s v="HDFC LIFE INSURANCE COMPANY LI"/>
    <n v="540777"/>
    <x v="2"/>
    <s v="Life Insurance"/>
    <n v="580.70000000000005"/>
    <n v="125273.1941633"/>
    <n v="3.1084008971240663E-3"/>
    <n v="78864"/>
    <n v="72218"/>
    <n v="1414"/>
    <n v="1335"/>
    <n v="29157"/>
    <n v="16979"/>
    <n v="418"/>
    <n v="421"/>
    <n v="1.7929600324609454E-2"/>
    <n v="1.8485696086848153E-2"/>
    <n v="-5.5609576223869875E-4"/>
    <n v="1.4336179991082759E-2"/>
    <n v="2.4795335414335356E-2"/>
    <n v="-1.0459155423252597E-2"/>
    <n v="9.2026918496773691E-2"/>
    <n v="5.9176029962546783E-2"/>
    <n v="0.71723894222274565"/>
    <n v="-7.1258907363420665E-3"/>
  </r>
  <r>
    <s v="ICICI AMC"/>
    <n v="544658"/>
    <x v="2"/>
    <s v="Asset Management Company"/>
    <n v="2928"/>
    <n v="144744.36240000001"/>
    <n v="3.5915385485526361E-3"/>
    <n v="4248"/>
    <n v="3414"/>
    <n v="2535"/>
    <n v="1959"/>
    <n v="1515"/>
    <n v="1227"/>
    <n v="917"/>
    <n v="632"/>
    <n v="0.59675141242937857"/>
    <n v="0.57381370826010547"/>
    <n v="2.2937704169273099E-2"/>
    <n v="0.6052805280528053"/>
    <n v="0.51507742461287698"/>
    <n v="9.0203103439928323E-2"/>
    <n v="0.24428822495606317"/>
    <n v="0.29402756508422656"/>
    <n v="0.23471882640586794"/>
    <n v="0.45094936708860756"/>
  </r>
  <r>
    <s v="UNION BANK OF INDIA"/>
    <n v="532477"/>
    <x v="2"/>
    <s v="Public Sector Bank"/>
    <n v="173.7"/>
    <n v="132638.9851896"/>
    <n v="3.2911681011304835E-3"/>
    <n v="95724"/>
    <n v="94571"/>
    <n v="13446"/>
    <n v="12919"/>
    <n v="32001"/>
    <n v="31334"/>
    <n v="5028"/>
    <n v="4597"/>
    <n v="0.1404663407295976"/>
    <n v="0.13660635924331985"/>
    <n v="3.8599814862777526E-3"/>
    <n v="0.1571200899971876"/>
    <n v="0.14670964447564946"/>
    <n v="1.0410445521538136E-2"/>
    <n v="1.2191898150595959E-2"/>
    <n v="4.0792631008591984E-2"/>
    <n v="2.1286781132316301E-2"/>
    <n v="9.3756797911681566E-2"/>
  </r>
  <r>
    <s v="Varun Beverages Limited"/>
    <n v="540180"/>
    <x v="5"/>
    <s v="Other Beverages"/>
    <n v="401.05"/>
    <n v="135554.36347139999"/>
    <n v="3.3635073156538242E-3"/>
    <n v="22225"/>
    <n v="20481"/>
    <n v="195"/>
    <n v="3062"/>
    <n v="4334"/>
    <n v="3817"/>
    <n v="260"/>
    <n v="195"/>
    <n v="8.7739032620922381E-3"/>
    <n v="0.14950441872955422"/>
    <n v="-0.14073051546746199"/>
    <n v="5.9990770650669129E-2"/>
    <n v="5.1087241288970395E-2"/>
    <n v="8.9035293616987338E-3"/>
    <n v="8.5152092182998906E-2"/>
    <n v="-0.9363161332462443"/>
    <n v="0.13544668587896247"/>
    <n v="0.33333333333333326"/>
  </r>
  <r>
    <s v="PIDILITE INDUSTRIES LTD."/>
    <n v="500331"/>
    <x v="8"/>
    <s v="Specialty Chemicals"/>
    <n v="1282.55"/>
    <n v="65258.775711900002"/>
    <n v="1.6192645068478283E-3"/>
    <n v="11017"/>
    <n v="9999"/>
    <n v="1887"/>
    <n v="1669"/>
    <n v="3710"/>
    <n v="3369"/>
    <n v="624"/>
    <n v="557"/>
    <n v="0.17128074793500953"/>
    <n v="0.16691669166916692"/>
    <n v="4.364056265842603E-3"/>
    <n v="0.16819407008086254"/>
    <n v="0.16533095874146631"/>
    <n v="2.8631113393962349E-3"/>
    <n v="0.1018101810181018"/>
    <n v="0.13061713600958669"/>
    <n v="0.10121697833184928"/>
    <n v="0.12028725314183131"/>
  </r>
  <r>
    <s v="TORRENT PHARMACEUTICALS LTD."/>
    <n v="500420"/>
    <x v="7"/>
    <s v="Pharmaceuticals"/>
    <n v="4007.6"/>
    <n v="135581.26730000001"/>
    <n v="3.3641748797365867E-3"/>
    <n v="9783"/>
    <n v="8557"/>
    <n v="1774"/>
    <n v="1413"/>
    <n v="3303"/>
    <n v="2809"/>
    <n v="635"/>
    <n v="503"/>
    <n v="0.18133496882346928"/>
    <n v="0.16512796540843755"/>
    <n v="1.6207003415031729E-2"/>
    <n v="0.19224947017862548"/>
    <n v="0.17906728373086508"/>
    <n v="1.3182186447760397E-2"/>
    <n v="0.14327451209536046"/>
    <n v="0.25548478414720455"/>
    <n v="0.17586329654681387"/>
    <n v="0.2624254473161034"/>
  </r>
  <r>
    <s v="Adani Green Energy Limited"/>
    <n v="541450"/>
    <x v="9"/>
    <s v="Power Generation"/>
    <n v="925.05"/>
    <n v="150157.25015450001"/>
    <n v="3.7258484084112973E-3"/>
    <n v="10092"/>
    <n v="9144"/>
    <n v="1473"/>
    <n v="1618"/>
    <n v="2837"/>
    <n v="2636"/>
    <n v="5"/>
    <n v="475"/>
    <n v="0.14595719381688466"/>
    <n v="0.17694663167104113"/>
    <n v="-3.0989437854156476E-2"/>
    <n v="1.7624250969333803E-3"/>
    <n v="0.18019726858877086"/>
    <n v="-0.17843484349183747"/>
    <n v="0.10367454068241466"/>
    <n v="-8.961681087762674E-2"/>
    <n v="7.6251896813353648E-2"/>
    <n v="-0.98947368421052628"/>
  </r>
  <r>
    <s v="DLF LTD."/>
    <n v="532868"/>
    <x v="6"/>
    <s v="Residential, Commercial Projects"/>
    <n v="526.5"/>
    <n v="130349.92387670001"/>
    <n v="3.2343696752093307E-3"/>
    <n v="6380"/>
    <n v="4866"/>
    <n v="3146"/>
    <n v="3084"/>
    <n v="2020"/>
    <n v="1529"/>
    <n v="1203"/>
    <n v="1058"/>
    <n v="0.49310344827586206"/>
    <n v="0.63378545006165232"/>
    <n v="-0.14068200178579027"/>
    <n v="0.59554455445544552"/>
    <n v="0.6919555264879006"/>
    <n v="-9.6410972032455078E-2"/>
    <n v="0.31113851212494859"/>
    <n v="2.0103761348897464E-2"/>
    <n v="0.32112491824722045"/>
    <n v="0.13705103969754262"/>
  </r>
  <r>
    <s v="CHOLAMANDALAM INVESTMENT AND F"/>
    <n v="511243"/>
    <x v="2"/>
    <s v="Non Banking Financial Company (NBFC)"/>
    <n v="1394.35"/>
    <n v="118859.17545"/>
    <n v="2.9492499977177423E-3"/>
    <n v="22975"/>
    <n v="19015"/>
    <n v="3587"/>
    <n v="3003"/>
    <n v="8009"/>
    <n v="6837"/>
    <n v="1290"/>
    <n v="1088"/>
    <n v="0.15612622415669206"/>
    <n v="0.15792795161714435"/>
    <n v="-1.8017274604522904E-3"/>
    <n v="0.16106879760269696"/>
    <n v="0.15913412315342987"/>
    <n v="1.9346744492670931E-3"/>
    <n v="0.20825663949513551"/>
    <n v="0.19447219447219455"/>
    <n v="0.17142021354395198"/>
    <n v="0.18566176470588225"/>
  </r>
  <r>
    <s v="PUNJAB NATIONAL BANK"/>
    <n v="532461"/>
    <x v="2"/>
    <s v="Public Sector Bank"/>
    <n v="106"/>
    <n v="121894.11883409999"/>
    <n v="3.0245559783855596E-3"/>
    <n v="112585"/>
    <n v="103157"/>
    <n v="11870"/>
    <n v="12796"/>
    <n v="37902"/>
    <n v="35286"/>
    <n v="5189"/>
    <n v="4648"/>
    <n v="0.10543145179197939"/>
    <n v="0.12404393303411305"/>
    <n v="-1.8612481242133661E-2"/>
    <n v="0.13690570418447576"/>
    <n v="0.13172362976818003"/>
    <n v="5.1820744162957288E-3"/>
    <n v="9.1394670259895117E-2"/>
    <n v="-7.2366364488902768E-2"/>
    <n v="7.4137051521850017E-2"/>
    <n v="0.11639414802065406"/>
  </r>
  <r>
    <s v="BRITANNIA INDUSTRIES LTD."/>
    <n v="500825"/>
    <x v="5"/>
    <s v="Packaged Foods"/>
    <n v="5504.8"/>
    <n v="132706.33478999999"/>
    <n v="3.2928392452224219E-3"/>
    <n v="14433"/>
    <n v="13510"/>
    <n v="1857"/>
    <n v="1619"/>
    <n v="4970"/>
    <n v="4593"/>
    <n v="682"/>
    <n v="582"/>
    <n v="0.12866347952608606"/>
    <n v="0.11983715766099186"/>
    <n v="8.8263218650942027E-3"/>
    <n v="0.13722334004024145"/>
    <n v="0.12671456564337036"/>
    <n v="1.050877439687109E-2"/>
    <n v="6.8319763138416034E-2"/>
    <n v="0.14700432365657812"/>
    <n v="8.2081428260396327E-2"/>
    <n v="0.17182130584192445"/>
  </r>
  <r>
    <s v="TATA MOTORS PASSENGER VEHICLES"/>
    <n v="500570"/>
    <x v="6"/>
    <s v="Passenger Cars &amp; Utility Vehicles"/>
    <n v="306.95"/>
    <n v="111686.5"/>
    <n v="2.7712745660823327E-3"/>
    <n v="230135"/>
    <n v="267717"/>
    <m/>
    <m/>
    <n v="70108"/>
    <n v="94472"/>
    <n v="-3486"/>
    <n v="5485"/>
    <n v="0"/>
    <n v="0"/>
    <n v="0"/>
    <n v="-4.9723284075997035E-2"/>
    <n v="5.8059530866288421E-2"/>
    <n v="-0.10778281494228545"/>
    <n v="-0.14037957992955252"/>
    <e v="#DIV/0!"/>
    <n v="-0.25789651960369209"/>
    <n v="-1.6355515041020965"/>
  </r>
  <r>
    <s v="MUTHOOT FINANCE LTD."/>
    <n v="533398"/>
    <x v="2"/>
    <s v="Non Banking Financial Company (NBFC)"/>
    <n v="3302.5"/>
    <n v="132604.37503940001"/>
    <n v="3.2903093202663902E-3"/>
    <n v="22056"/>
    <n v="14671"/>
    <n v="7209"/>
    <n v="3908"/>
    <n v="8239"/>
    <n v="5221"/>
    <n v="2823"/>
    <n v="1391"/>
    <n v="0.32684983677910773"/>
    <n v="0.26637584350078386"/>
    <n v="6.0473993278323868E-2"/>
    <n v="0.3426386697414735"/>
    <n v="0.26642405669411989"/>
    <n v="7.6214613047353608E-2"/>
    <n v="0.50337400313543723"/>
    <n v="0.84467758444216989"/>
    <n v="0.57805018195747948"/>
    <n v="1.0294751976994969"/>
  </r>
  <r>
    <s v="CANARA BANK"/>
    <n v="532483"/>
    <x v="2"/>
    <s v="Public Sector Bank"/>
    <n v="130.05000000000001"/>
    <n v="117882.22547390001"/>
    <n v="2.9250089603398977E-3"/>
    <n v="116545"/>
    <n v="112402"/>
    <n v="12737"/>
    <n v="12239"/>
    <n v="33089"/>
    <n v="37430"/>
    <n v="4868"/>
    <n v="4161"/>
    <n v="0.10928825775451542"/>
    <n v="0.10888596288322272"/>
    <n v="4.0229487129270214E-4"/>
    <n v="0.14711837770860406"/>
    <n v="0.11116751269035532"/>
    <n v="3.5950865018248734E-2"/>
    <n v="3.6858774754897627E-2"/>
    <n v="4.068959882343326E-2"/>
    <n v="-0.1159764894469677"/>
    <n v="0.16991107906753178"/>
  </r>
  <r>
    <s v="Tata Capital Limited"/>
    <n v="544574"/>
    <x v="2"/>
    <s v="Non Banking Financial Company (NBFC)"/>
    <n v="307.5"/>
    <n v="129662.7255"/>
    <n v="3.2173182376300192E-3"/>
    <n v="23420"/>
    <n v="20861"/>
    <n v="3424"/>
    <n v="2655"/>
    <n v="7978"/>
    <n v="7111"/>
    <n v="1265"/>
    <n v="1050"/>
    <n v="0.14619982920580701"/>
    <n v="0.12727098413307128"/>
    <n v="1.8928845072735734E-2"/>
    <n v="0.15856104286788669"/>
    <n v="0.14765855716495571"/>
    <n v="1.0902485702930981E-2"/>
    <n v="0.12266909544125393"/>
    <n v="0.28964218455743884"/>
    <n v="0.12192378005906335"/>
    <n v="0.2047619047619047"/>
  </r>
  <r>
    <s v="TRENT LTD."/>
    <n v="500251"/>
    <x v="6"/>
    <s v="Speciality Retail"/>
    <n v="3827.8"/>
    <n v="135970.92161610001"/>
    <n v="3.3738433633561122E-3"/>
    <n v="15046"/>
    <n v="12918"/>
    <n v="1308"/>
    <n v="1223"/>
    <n v="5345"/>
    <n v="4657"/>
    <n v="510"/>
    <n v="497"/>
    <n v="8.6933404227037089E-2"/>
    <n v="9.4674098157609535E-2"/>
    <n v="-7.7406939305724454E-3"/>
    <n v="9.5416276894293731E-2"/>
    <n v="0.1067210650633455"/>
    <n v="-1.1304788169051769E-2"/>
    <n v="0.16473138256696074"/>
    <n v="6.9501226492232115E-2"/>
    <n v="0.14773459308567749"/>
    <n v="2.6156941649899457E-2"/>
  </r>
  <r>
    <s v="CUMMINS INDIA LTD."/>
    <n v="500480"/>
    <x v="4"/>
    <s v="Compressors, Pumps &amp; Diesel Engines"/>
    <n v="4686.8999999999996"/>
    <n v="129851.56529290001"/>
    <n v="3.2220039150854685E-3"/>
    <n v="9505"/>
    <n v="8241"/>
    <n v="1712"/>
    <n v="1470"/>
    <n v="3171"/>
    <n v="3207"/>
    <n v="486"/>
    <n v="558"/>
    <n v="0.18011572856391372"/>
    <n v="0.17837641062977794"/>
    <n v="1.7393179341357867E-3"/>
    <n v="0.1532639545884579"/>
    <n v="0.17399438727782976"/>
    <n v="-2.0730432689371858E-2"/>
    <n v="0.15337944424220362"/>
    <n v="0.1646258503401361"/>
    <n v="-1.1225444340505097E-2"/>
    <n v="-0.12903225806451613"/>
  </r>
  <r>
    <s v="POWER FINANCE CORPORATION LTD."/>
    <n v="532810"/>
    <x v="2"/>
    <s v="Financial Institution"/>
    <n v="405.25"/>
    <n v="133867.95491550001"/>
    <n v="3.3216624987870654E-3"/>
    <n v="86671"/>
    <n v="77313"/>
    <n v="25028"/>
    <n v="22156"/>
    <n v="29141"/>
    <n v="26822"/>
    <n v="8212"/>
    <n v="7760"/>
    <n v="0.28877017687577161"/>
    <n v="0.28657534955311526"/>
    <n v="2.1948273226563564E-3"/>
    <n v="0.2818022717133935"/>
    <n v="0.2893147416300052"/>
    <n v="-7.5124699166116971E-3"/>
    <n v="0.12104044597933084"/>
    <n v="0.12962628633327311"/>
    <n v="8.6458877041234894E-2"/>
    <n v="5.8247422680412386E-2"/>
  </r>
  <r>
    <s v="LTM"/>
    <n v="540005"/>
    <x v="3"/>
    <s v="Computers - Software &amp; Consulting"/>
    <n v="4306"/>
    <n v="127569.60000000001"/>
    <n v="3.1653815625460264E-3"/>
    <n v="31015"/>
    <n v="28236"/>
    <n v="3595"/>
    <n v="3473"/>
    <n v="10781"/>
    <n v="9660"/>
    <n v="959"/>
    <n v="1086"/>
    <n v="0.1159116556504917"/>
    <n v="0.12299900835812438"/>
    <n v="-7.0873527076326798E-3"/>
    <n v="8.8952787311010112E-2"/>
    <n v="0.11242236024844721"/>
    <n v="-2.3469572937437094E-2"/>
    <n v="9.8420456155262848E-2"/>
    <n v="3.512813129858916E-2"/>
    <n v="0.11604554865424421"/>
    <n v="-0.1169429097605893"/>
  </r>
  <r>
    <s v="TECH MAHINDRA LTD."/>
    <n v="532755"/>
    <x v="3"/>
    <s v="Computers - Software &amp; Consulting"/>
    <n v="1452.4"/>
    <n v="142292.51975760001"/>
    <n v="3.5307010332314534E-3"/>
    <n v="41739"/>
    <n v="39604"/>
    <n v="3449"/>
    <n v="3111"/>
    <n v="14393"/>
    <n v="13285"/>
    <n v="1118"/>
    <n v="988"/>
    <n v="8.2632549893385088E-2"/>
    <n v="7.8552671447328554E-2"/>
    <n v="4.079878446056534E-3"/>
    <n v="7.7676648370735776E-2"/>
    <n v="7.4369589762890473E-2"/>
    <n v="3.3070586078453035E-3"/>
    <n v="5.3908696091303998E-2"/>
    <n v="0.10864673738347808"/>
    <n v="8.3402333458788114E-2"/>
    <n v="0.13157894736842102"/>
  </r>
  <r>
    <s v="INDIAN BANK"/>
    <n v="532814"/>
    <x v="2"/>
    <s v="Public Sector Bank"/>
    <n v="899.15"/>
    <n v="121213.29364839999"/>
    <n v="3.0076626786485392E-3"/>
    <n v="58071"/>
    <n v="53256"/>
    <n v="8345"/>
    <n v="8033"/>
    <n v="19894"/>
    <n v="18167"/>
    <n v="3086"/>
    <n v="2876"/>
    <n v="0.14370339756504968"/>
    <n v="0.15083746432326875"/>
    <n v="-7.1340667582190653E-3"/>
    <n v="0.15512214738111993"/>
    <n v="0.15830902185281004"/>
    <n v="-3.1868744716901098E-3"/>
    <n v="9.0412347904461399E-2"/>
    <n v="3.883978588323167E-2"/>
    <n v="9.506247591787309E-2"/>
    <n v="7.3018080667593965E-2"/>
  </r>
  <r>
    <s v="Polycab India Limited"/>
    <n v="542652"/>
    <x v="4"/>
    <s v="Cables - Electricals"/>
    <n v="7032.05"/>
    <n v="105996.55803"/>
    <n v="2.6300901663209885E-3"/>
    <n v="20019"/>
    <n v="15422"/>
    <n v="1922"/>
    <n v="1311"/>
    <n v="7636"/>
    <n v="5226"/>
    <n v="630"/>
    <n v="464"/>
    <n v="9.6008791647934466E-2"/>
    <n v="8.5008429516275449E-2"/>
    <n v="1.1000362131659017E-2"/>
    <n v="8.2503928758512313E-2"/>
    <n v="8.8786835055491772E-2"/>
    <n v="-6.2829062969794597E-3"/>
    <n v="0.29808066398651278"/>
    <n v="0.46605644546147973"/>
    <n v="0.46115575966322231"/>
    <n v="0.35775862068965525"/>
  </r>
  <r>
    <s v="Indian Railway Finance Corpora"/>
    <n v="543257"/>
    <x v="2"/>
    <s v="Financial Institution"/>
    <n v="92.64"/>
    <n v="121188.28191029999"/>
    <n v="3.0070420629640113E-3"/>
    <n v="20009"/>
    <n v="20433"/>
    <n v="5325"/>
    <n v="4820"/>
    <n v="6719"/>
    <n v="6766"/>
    <n v="1802"/>
    <n v="1631"/>
    <n v="0.26613024139137387"/>
    <n v="0.2358929183184065"/>
    <n v="3.0237323072967365E-2"/>
    <n v="0.26819467182616463"/>
    <n v="0.2410582323381614"/>
    <n v="2.7136439488003233E-2"/>
    <n v="-2.0750746341702153E-2"/>
    <n v="0.10477178423236522"/>
    <n v="-6.9464971918415941E-3"/>
    <n v="0.1048436541998774"/>
  </r>
  <r>
    <s v="JINDAL STEEL LIMITED"/>
    <n v="532286"/>
    <x v="8"/>
    <s v="Iron &amp; Steel"/>
    <n v="1139.7"/>
    <n v="115942.7576"/>
    <n v="2.8768849884124679E-3"/>
    <n v="37008"/>
    <n v="36582"/>
    <n v="2320"/>
    <n v="3150"/>
    <n v="13027"/>
    <n v="11751"/>
    <n v="189"/>
    <n v="951"/>
    <n v="6.2689148292261132E-2"/>
    <n v="8.6107921928817457E-2"/>
    <n v="-2.3418773636556325E-2"/>
    <n v="1.4508328855454057E-2"/>
    <n v="8.092928261424559E-2"/>
    <n v="-6.6420953758791534E-2"/>
    <n v="1.1645071346563896E-2"/>
    <n v="-0.26349206349206344"/>
    <n v="0.10858650327631691"/>
    <n v="-0.80126182965299686"/>
  </r>
  <r>
    <s v="ABB INDIA LIMITED"/>
    <n v="500002"/>
    <x v="4"/>
    <s v="Heavy Electrical Equipment"/>
    <n v="6177.5"/>
    <n v="130959.3294"/>
    <n v="3.2494908404992395E-3"/>
    <n v="13202"/>
    <n v="12188"/>
    <n v="1668"/>
    <n v="1871"/>
    <n v="3557"/>
    <n v="3365"/>
    <n v="433"/>
    <n v="528"/>
    <n v="0.12634449325859717"/>
    <n v="0.15351165080406959"/>
    <n v="-2.7167157545472415E-2"/>
    <n v="0.12173179645768907"/>
    <n v="0.15690936106983655"/>
    <n v="-3.517756461214748E-2"/>
    <n v="8.3196586806695061E-2"/>
    <n v="-0.1084981293425975"/>
    <n v="5.7057949479940584E-2"/>
    <n v="-0.17992424242424243"/>
  </r>
  <r>
    <s v="SOLAR INDUSTRIES INDIA LTD."/>
    <n v="532725"/>
    <x v="8"/>
    <s v="Explosives"/>
    <n v="13281"/>
    <n v="120487.48826"/>
    <n v="2.9896532861722917E-3"/>
    <n v="6385"/>
    <n v="5374"/>
    <n v="1181"/>
    <n v="942"/>
    <n v="2548"/>
    <n v="1973"/>
    <n v="467"/>
    <n v="337"/>
    <n v="0.18496476115896632"/>
    <n v="0.17528842575362857"/>
    <n v="9.6763354053377437E-3"/>
    <n v="0.18328100470957615"/>
    <n v="0.17080587937151545"/>
    <n v="1.2475125338060694E-2"/>
    <n v="0.18812802381838489"/>
    <n v="0.25371549893842893"/>
    <n v="0.29143436391282318"/>
    <n v="0.3857566765578635"/>
  </r>
  <r>
    <s v="ASHOK LEYLAND LTD."/>
    <n v="500477"/>
    <x v="4"/>
    <s v="Commercial Vehicles"/>
    <n v="150.1"/>
    <n v="88124.921977299993"/>
    <n v="2.1866416703333123E-3"/>
    <n v="39116"/>
    <n v="33840"/>
    <n v="2340"/>
    <n v="2137"/>
    <n v="14830"/>
    <n v="11995"/>
    <n v="862"/>
    <n v="820"/>
    <n v="5.9822067696083447E-2"/>
    <n v="6.3150118203309694E-2"/>
    <n v="-3.3280505072262462E-3"/>
    <n v="5.8125421443020901E-2"/>
    <n v="6.8361817423926635E-2"/>
    <n v="-1.0236395980905734E-2"/>
    <n v="0.15591016548463354"/>
    <n v="9.499298081422558E-2"/>
    <n v="0.2363484785327219"/>
    <n v="5.1219512195121997E-2"/>
  </r>
  <r>
    <s v="IDBI BANK LTD."/>
    <n v="500116"/>
    <x v="2"/>
    <s v="Private Sector Bank"/>
    <n v="69.81"/>
    <n v="74987.235302999994"/>
    <n v="1.8606565518306608E-3"/>
    <n v="26113"/>
    <n v="24968"/>
    <n v="7224"/>
    <n v="5516"/>
    <n v="8351"/>
    <n v="8628"/>
    <n v="1959"/>
    <n v="1929"/>
    <n v="0.27664381725577297"/>
    <n v="0.22092278115988465"/>
    <n v="5.5721036095888327E-2"/>
    <n v="0.23458268470841814"/>
    <n v="0.22357440890125174"/>
    <n v="1.1008275807166401E-2"/>
    <n v="4.58586991348926E-2"/>
    <n v="0.30964467005076135"/>
    <n v="-3.2104775150672227E-2"/>
    <n v="1.5552099533437058E-2"/>
  </r>
  <r>
    <s v="GODREJ CONSUMER PRODUCTS LTD."/>
    <n v="532424"/>
    <x v="5"/>
    <s v="Personal Care"/>
    <n v="1002.25"/>
    <n v="102534.16377090001"/>
    <n v="2.5441778568834708E-3"/>
    <n v="11586"/>
    <n v="10766"/>
    <n v="1409"/>
    <n v="1440"/>
    <n v="4099"/>
    <n v="3768"/>
    <n v="497"/>
    <n v="498"/>
    <n v="0.12161229069566719"/>
    <n v="0.13375441203789709"/>
    <n v="-1.2142121342229903E-2"/>
    <n v="0.12124908514271773"/>
    <n v="0.1321656050955414"/>
    <n v="-1.0916519952823667E-2"/>
    <n v="7.6165706854913529E-2"/>
    <n v="-2.1527777777777812E-2"/>
    <n v="8.784501061571115E-2"/>
    <n v="-2.0080321285140812E-3"/>
  </r>
  <r>
    <s v="SIEMENS LTD."/>
    <n v="500550"/>
    <x v="4"/>
    <s v="Heavy Electrical Equipment"/>
    <n v="3038.25"/>
    <n v="108160.21125750001"/>
    <n v="2.6837768442918505E-3"/>
    <n v="20228"/>
    <n v="15145"/>
    <n v="2383"/>
    <n v="2718"/>
    <n v="3830"/>
    <n v="3360"/>
    <n v="277"/>
    <n v="614"/>
    <n v="0.1178070001977457"/>
    <n v="0.17946517002310994"/>
    <n v="-6.1658169825364234E-2"/>
    <n v="7.232375979112271E-2"/>
    <n v="0.18273809523809523"/>
    <n v="-0.11041433544697252"/>
    <n v="0.33562231759656647"/>
    <n v="-0.12325239146431199"/>
    <n v="0.13988095238095233"/>
    <n v="-0.54885993485342022"/>
  </r>
  <r>
    <s v="INDUS TOWERS LIMITED"/>
    <n v="534816"/>
    <x v="1"/>
    <s v="Telecom - Infrastructure"/>
    <n v="428.75"/>
    <n v="113213.0180008"/>
    <n v="2.8091520222680304E-3"/>
    <n v="24392"/>
    <n v="22395"/>
    <n v="5352"/>
    <n v="8152"/>
    <n v="8146"/>
    <n v="7547"/>
    <n v="1775"/>
    <n v="4003"/>
    <n v="0.21941620203345358"/>
    <n v="0.36400982362134404"/>
    <n v="-0.14459362158789046"/>
    <n v="0.21789835502086913"/>
    <n v="0.53040943421226983"/>
    <n v="-0.3125110791914007"/>
    <n v="8.9171690109399515E-2"/>
    <n v="-0.3434739941118744"/>
    <n v="7.9369285808930767E-2"/>
    <n v="-0.55658256307769172"/>
  </r>
  <r>
    <s v="BAJAJ HOLDINGS &amp; INVESTMENT LT"/>
    <n v="500490"/>
    <x v="2"/>
    <s v="Holding Company"/>
    <n v="9178"/>
    <n v="102095.092225"/>
    <n v="2.5332831846729248E-3"/>
    <n v="1048"/>
    <n v="599"/>
    <n v="7062"/>
    <n v="4795"/>
    <n v="300"/>
    <n v="158"/>
    <n v="2016"/>
    <n v="1748"/>
    <n v="6.7385496183206106"/>
    <n v="8.0050083472454094"/>
    <n v="-1.2664587289247988"/>
    <n v="6.72"/>
    <n v="11.063291139240507"/>
    <n v="-4.3432911392405069"/>
    <n v="0.74958263772954914"/>
    <n v="0.47278415015641295"/>
    <n v="0.89873417721518978"/>
    <n v="0.15331807780320372"/>
  </r>
  <r>
    <s v="TATA POWER CO.LTD."/>
    <n v="500400"/>
    <x v="9"/>
    <s v="Integrated Power Utilities"/>
    <n v="385.05"/>
    <n v="123052.5453502"/>
    <n v="3.0532999889933171E-3"/>
    <n v="47528"/>
    <n v="48382"/>
    <n v="3702"/>
    <n v="3469"/>
    <n v="13948"/>
    <n v="15391"/>
    <n v="1194"/>
    <n v="1188"/>
    <n v="7.7890927453290695E-2"/>
    <n v="7.1700219089744124E-2"/>
    <n v="6.1907083635465709E-3"/>
    <n v="8.5603670777172361E-2"/>
    <n v="7.7187966993697621E-2"/>
    <n v="8.41570378347474E-3"/>
    <n v="-1.7651192592286424E-2"/>
    <n v="6.7166330354569093E-2"/>
    <n v="-9.375609122214279E-2"/>
    <n v="5.050505050504972E-3"/>
  </r>
  <r>
    <s v="Adani Energy Solutions Limited"/>
    <n v="539254"/>
    <x v="9"/>
    <s v="Power Distribution"/>
    <n v="997.9"/>
    <n v="119735.4687523"/>
    <n v="2.970993443354344E-3"/>
    <n v="20144"/>
    <n v="17392"/>
    <n v="1670"/>
    <n v="208"/>
    <n v="6729"/>
    <n v="5830"/>
    <n v="574"/>
    <n v="625"/>
    <n v="8.2903097696584591E-2"/>
    <n v="1.1959521619135235E-2"/>
    <n v="7.0943576077449361E-2"/>
    <n v="8.5302422351017981E-2"/>
    <n v="0.1072041166380789"/>
    <n v="-2.1901694287060916E-2"/>
    <n v="0.15823367065317395"/>
    <n v="7.0288461538461533"/>
    <n v="0.15420240137221275"/>
    <n v="-8.1600000000000006E-2"/>
  </r>
  <r>
    <s v="HDFC Asset Management Company"/>
    <n v="541729"/>
    <x v="2"/>
    <s v="Asset Management Company"/>
    <n v="2394.9"/>
    <n v="102653.2777942"/>
    <n v="2.5471334304150526E-3"/>
    <n v="3559"/>
    <n v="3034"/>
    <n v="2235"/>
    <n v="1821"/>
    <n v="1234"/>
    <n v="1027"/>
    <n v="769"/>
    <n v="641"/>
    <n v="0.62798538915425683"/>
    <n v="0.60019775873434411"/>
    <n v="2.7787630419912723E-2"/>
    <n v="0.62317666126418148"/>
    <n v="0.62414800389483938"/>
    <n v="-9.7134263065790094E-4"/>
    <n v="0.17303889255108773"/>
    <n v="0.22734761120263602"/>
    <n v="0.20155793573515091"/>
    <n v="0.19968798751950079"/>
  </r>
  <r>
    <s v="HITACHI ENERGY INDIA LIMITED"/>
    <n v="543187"/>
    <x v="4"/>
    <s v="Heavy Electrical Equipment"/>
    <n v="25104.95"/>
    <n v="112683.6649881"/>
    <n v="2.7960171980898657E-3"/>
    <n v="5393"/>
    <n v="4501"/>
    <n v="657"/>
    <n v="200"/>
    <n v="2082"/>
    <n v="1620"/>
    <n v="261"/>
    <n v="137"/>
    <n v="0.1218245874281476"/>
    <n v="4.4434570095534323E-2"/>
    <n v="7.7390017332613276E-2"/>
    <n v="0.12536023054755044"/>
    <n v="8.4567901234567908E-2"/>
    <n v="4.0792329312982531E-2"/>
    <n v="0.19817818262608311"/>
    <n v="2.2850000000000001"/>
    <n v="0.28518518518518521"/>
    <n v="0.9051094890510949"/>
  </r>
  <r>
    <s v="HERO MOTOCORP LTD."/>
    <n v="500182"/>
    <x v="6"/>
    <s v="2/3 Wheelers"/>
    <n v="5095.8999999999996"/>
    <n v="101968.49841489999"/>
    <n v="2.5301420153628147E-3"/>
    <n v="34433"/>
    <n v="30954"/>
    <n v="4302"/>
    <n v="3207"/>
    <n v="12487"/>
    <n v="10260"/>
    <n v="1275"/>
    <n v="1108"/>
    <n v="0.12493828594662097"/>
    <n v="0.10360534987400659"/>
    <n v="2.1332936072614384E-2"/>
    <n v="0.10210619043805558"/>
    <n v="0.10799220272904483"/>
    <n v="-5.8860122909892565E-3"/>
    <n v="0.11239258254183637"/>
    <n v="0.3414405986903648"/>
    <n v="0.21705653021442495"/>
    <n v="0.15072202166064974"/>
  </r>
  <r>
    <s v="CG Power and Industrial Soluti"/>
    <n v="500093"/>
    <x v="4"/>
    <s v="Heavy Electrical Equipment"/>
    <n v="684.75"/>
    <n v="107913.5203225"/>
    <n v="2.6776557077726778E-3"/>
    <n v="8976"/>
    <n v="7155"/>
    <n v="835"/>
    <n v="699"/>
    <n v="3175"/>
    <n v="2515"/>
    <n v="284"/>
    <n v="238"/>
    <n v="9.3025846702317297E-2"/>
    <n v="9.7693920335429771E-2"/>
    <n v="-4.6680736331124739E-3"/>
    <n v="8.9448818897637797E-2"/>
    <n v="9.4632206759443338E-2"/>
    <n v="-5.1833878618055412E-3"/>
    <n v="0.25450733752620547"/>
    <n v="0.19456366237482126"/>
    <n v="0.2624254473161034"/>
    <n v="0.19327731092436973"/>
  </r>
  <r>
    <s v="APOLLO HOSPITALS ENTERPRISE LT"/>
    <n v="508869"/>
    <x v="7"/>
    <s v="Hospital"/>
    <n v="7364.5"/>
    <n v="105890.16867"/>
    <n v="2.6274503295683838E-3"/>
    <n v="18623"/>
    <n v="16201"/>
    <n v="1451"/>
    <n v="1090"/>
    <n v="6477"/>
    <n v="5526"/>
    <n v="516"/>
    <n v="379"/>
    <n v="7.7914406916178916E-2"/>
    <n v="6.7279797543361525E-2"/>
    <n v="1.0634609372817391E-2"/>
    <n v="7.9666512274201018E-2"/>
    <n v="6.858487151646761E-2"/>
    <n v="1.1081640757733408E-2"/>
    <n v="0.14949694463304741"/>
    <n v="0.33119266055045871"/>
    <n v="0.17209554831704676"/>
    <n v="0.36147757255936686"/>
  </r>
  <r>
    <s v="VODAFONE IDEA LIMITED"/>
    <n v="532822"/>
    <x v="1"/>
    <s v="Telecom - Cellular &amp; Fixed line services"/>
    <n v="8.77"/>
    <n v="94908.470479700001"/>
    <n v="2.3549617039317064E-3"/>
    <n v="33541"/>
    <n v="32557"/>
    <n v="-17418"/>
    <n v="-20217"/>
    <n v="11323"/>
    <n v="11117"/>
    <n v="-5286"/>
    <n v="-6609"/>
    <n v="-0.51930473152261414"/>
    <n v="-0.62097244832140552"/>
    <n v="0.10166771679879139"/>
    <n v="-0.46683741058023492"/>
    <n v="-0.59449491769362239"/>
    <n v="0.12765750711338747"/>
    <n v="3.0223914979881528E-2"/>
    <n v="-0.13844784092595341"/>
    <n v="1.8530179005127323E-2"/>
    <n v="-0.20018157058556518"/>
  </r>
  <r>
    <s v="TATA CONSUMER PRODUCTS LIMITED"/>
    <n v="500800"/>
    <x v="5"/>
    <s v="Tea &amp; Coffee"/>
    <n v="1061"/>
    <n v="104825.07057"/>
    <n v="2.6010220748114289E-3"/>
    <n v="14856"/>
    <n v="13010"/>
    <n v="1146"/>
    <n v="973"/>
    <n v="5112"/>
    <n v="4443"/>
    <n v="403"/>
    <n v="300"/>
    <n v="7.7140549273020997E-2"/>
    <n v="7.4788624135280549E-2"/>
    <n v="2.3519251377404488E-3"/>
    <n v="7.8834115805946792E-2"/>
    <n v="6.7521944632005407E-2"/>
    <n v="1.1312171173941385E-2"/>
    <n v="0.14189085318985395"/>
    <n v="0.17780061664953761"/>
    <n v="0.15057393652937212"/>
    <n v="0.34333333333333327"/>
  </r>
  <r>
    <s v="CIPLA LTD."/>
    <n v="500087"/>
    <x v="7"/>
    <s v="Pharmaceuticals"/>
    <n v="1198.45"/>
    <n v="96956.302064699994"/>
    <n v="2.4057745021403578E-3"/>
    <n v="21621"/>
    <n v="20817"/>
    <n v="3319"/>
    <n v="4055"/>
    <n v="7074"/>
    <n v="7072"/>
    <n v="674"/>
    <n v="1574"/>
    <n v="0.15350816335969658"/>
    <n v="0.19479271749051255"/>
    <n v="-4.128455413081597E-2"/>
    <n v="9.5278484591461696E-2"/>
    <n v="0.22256787330316741"/>
    <n v="-0.1272893887117057"/>
    <n v="3.8622279867416065E-2"/>
    <n v="-0.18150431565967939"/>
    <n v="2.8280542986425239E-4"/>
    <n v="-0.5717916137229988"/>
  </r>
  <r>
    <s v="GAIL (INDIA) LTD."/>
    <n v="532155"/>
    <x v="0"/>
    <s v="Gas Transmission/Marketing"/>
    <n v="142.85"/>
    <n v="94565.987403299994"/>
    <n v="2.346463679202299E-3"/>
    <n v="106389"/>
    <n v="105740"/>
    <n v="6100"/>
    <n v="9957"/>
    <n v="35303"/>
    <n v="36937"/>
    <n v="1729"/>
    <n v="4084"/>
    <n v="5.7336754739681736E-2"/>
    <n v="9.4164932854170602E-2"/>
    <n v="-3.6828178114488866E-2"/>
    <n v="4.8976007704727646E-2"/>
    <n v="0.11056664049597964"/>
    <n v="-6.1590632791251994E-2"/>
    <n v="6.1376962360506493E-3"/>
    <n v="-0.3873656723912825"/>
    <n v="-4.4237485448195613E-2"/>
    <n v="-0.57664054848188051"/>
  </r>
  <r>
    <s v="AMBUJA CEMENTS LTD."/>
    <n v="500425"/>
    <x v="8"/>
    <s v="Cement &amp; Cement Products"/>
    <n v="428.7"/>
    <n v="106004.17374860001"/>
    <n v="2.630279134972156E-3"/>
    <n v="29554"/>
    <n v="24095"/>
    <n v="3686"/>
    <n v="3943"/>
    <n v="10181"/>
    <n v="8498"/>
    <n v="367"/>
    <n v="2663"/>
    <n v="0.12472084996954727"/>
    <n v="0.16364390952479768"/>
    <n v="-3.8923059555250411E-2"/>
    <n v="3.6047539534426874E-2"/>
    <n v="0.31336785125911981"/>
    <n v="-0.27732031172469296"/>
    <n v="0.22656152728781898"/>
    <n v="-6.5178797869642424E-2"/>
    <n v="0.19804659919981171"/>
    <n v="-0.86218550506947056"/>
  </r>
  <r>
    <s v="BSE Limited"/>
    <s v="BSE"/>
    <x v="2"/>
    <s v="Exchange and Data Platform"/>
    <n v="2948.2"/>
    <n v="120031.07424"/>
    <n v="2.978328295549169E-3"/>
    <n v="3270"/>
    <n v="2110"/>
    <n v="1679"/>
    <n v="824"/>
    <n v="1244"/>
    <n v="768"/>
    <n v="596"/>
    <n v="217"/>
    <n v="0.51345565749235478"/>
    <n v="0.39052132701421799"/>
    <n v="0.12293433047813679"/>
    <n v="0.47909967845659163"/>
    <n v="0.28255208333333331"/>
    <n v="0.19654759512325831"/>
    <n v="0.54976303317535535"/>
    <n v="1.037621359223301"/>
    <n v="0.61979166666666674"/>
    <n v="1.7465437788018434"/>
  </r>
  <r>
    <s v="LG Electronics India Limited"/>
    <n v="544576"/>
    <x v="6"/>
    <s v="Household Appliances"/>
    <n v="1396.4"/>
    <n v="94997.309175000002"/>
    <n v="2.3571660564431452E-3"/>
    <n v="16551"/>
    <n v="16918"/>
    <n v="992"/>
    <n v="1448"/>
    <n v="4114"/>
    <n v="4395"/>
    <n v="89"/>
    <n v="233"/>
    <n v="5.9935955531387829E-2"/>
    <n v="8.5589313157583641E-2"/>
    <n v="-2.5653357626195812E-2"/>
    <n v="2.1633446767136608E-2"/>
    <n v="5.3014789533560862E-2"/>
    <n v="-3.138134276642425E-2"/>
    <n v="-2.169287149781296E-2"/>
    <n v="-0.31491712707182318"/>
    <n v="-6.3936291240045517E-2"/>
    <n v="-0.61802575107296143"/>
  </r>
  <r>
    <s v="LGE India Electronics Ltd."/>
    <n v="544576"/>
    <x v="6"/>
    <s v="Household Appliances"/>
    <n v="1396.4"/>
    <n v="94997.309175000002"/>
    <n v="2.3571660564431452E-3"/>
    <n v="16551"/>
    <n v="16918"/>
    <n v="992"/>
    <n v="1448"/>
    <n v="4114"/>
    <n v="4395"/>
    <n v="89"/>
    <n v="233"/>
    <n v="5.9935955531387829E-2"/>
    <n v="8.5589313157583641E-2"/>
    <n v="-2.5653357626195812E-2"/>
    <n v="2.1633446767136608E-2"/>
    <n v="5.3014789533560862E-2"/>
    <n v="-3.138134276642425E-2"/>
    <n v="-2.169287149781296E-2"/>
    <n v="-0.31491712707182318"/>
    <n v="-6.3936291240045517E-2"/>
    <n v="-0.61802575107296143"/>
  </r>
  <r>
    <s v="DR.REDDYS LABORATORIES LTD."/>
    <n v="500124"/>
    <x v="7"/>
    <s v="Pharmaceuticals"/>
    <n v="1211.95"/>
    <n v="100711.27703"/>
    <n v="2.4989466099386306E-3"/>
    <n v="26077"/>
    <n v="24047"/>
    <n v="4026"/>
    <n v="4137"/>
    <n v="8726"/>
    <n v="8358"/>
    <n v="1189"/>
    <n v="1403"/>
    <n v="0.15438892510641561"/>
    <n v="0.17203809206969684"/>
    <n v="-1.7649166963281226E-2"/>
    <n v="0.1362594545037818"/>
    <n v="0.16786312514955731"/>
    <n v="-3.1603670645775517E-2"/>
    <n v="8.4418014721171053E-2"/>
    <n v="-2.6831036983321233E-2"/>
    <n v="4.4029672170375678E-2"/>
    <n v="-0.15253029223093373"/>
  </r>
  <r>
    <s v="Siemens Energy India Limited"/>
    <n v="544390"/>
    <x v="4"/>
    <s v="Heavy Electrical Equipment"/>
    <n v="2630.45"/>
    <n v="93655.986808899994"/>
    <n v="2.3238838552989576E-3"/>
    <n v="5181"/>
    <n v="2609"/>
    <n v="740"/>
    <n v="328"/>
    <n v="1785"/>
    <n v="1484"/>
    <n v="263"/>
    <n v="146"/>
    <n v="0.14282956958116194"/>
    <n v="0.12571866615561517"/>
    <n v="1.7110903425546775E-2"/>
    <n v="0.1473389355742297"/>
    <n v="9.8382749326145547E-2"/>
    <n v="4.8956186248084149E-2"/>
    <n v="0.98581832119586044"/>
    <n v="1.2560975609756095"/>
    <n v="0.20283018867924518"/>
    <n v="0.80136986301369872"/>
  </r>
  <r>
    <s v="Max Healthcare Institute Limit"/>
    <n v="543220"/>
    <x v="7"/>
    <s v="Hospital"/>
    <n v="934.3"/>
    <n v="90832.910277999996"/>
    <n v="2.2538349220063295E-3"/>
    <n v="6230"/>
    <n v="5118"/>
    <n v="1100"/>
    <n v="756"/>
    <n v="2067"/>
    <n v="1868"/>
    <n v="300"/>
    <n v="238"/>
    <n v="0.17656500802568217"/>
    <n v="0.1477139507620164"/>
    <n v="2.8851057263665769E-2"/>
    <n v="0.14513788098693758"/>
    <n v="0.12740899357601712"/>
    <n v="1.7728887410920463E-2"/>
    <n v="0.21727237202032046"/>
    <n v="0.45502645502645511"/>
    <n v="0.10653104925053536"/>
    <n v="0.26050420168067223"/>
  </r>
  <r>
    <s v="LUPIN LTD."/>
    <n v="500257"/>
    <x v="7"/>
    <s v="Pharmaceuticals"/>
    <n v="2273.6999999999998"/>
    <n v="103962.52734"/>
    <n v="2.5796198094038326E-3"/>
    <n v="20095"/>
    <n v="16629"/>
    <n v="3886"/>
    <n v="2523"/>
    <n v="7100"/>
    <n v="5618"/>
    <n v="1180"/>
    <n v="858"/>
    <n v="0.19338143816869868"/>
    <n v="0.15172289373985207"/>
    <n v="4.1658544428846617E-2"/>
    <n v="0.16619718309859155"/>
    <n v="0.15272338910644356"/>
    <n v="1.3473793992147987E-2"/>
    <n v="0.20843105418245234"/>
    <n v="0.54022988505747116"/>
    <n v="0.26379494482022081"/>
    <n v="0.37529137529137535"/>
  </r>
  <r>
    <s v="BOSCH LTD."/>
    <n v="500530"/>
    <x v="6"/>
    <s v="Auto Components &amp; Equipments"/>
    <n v="33225.25"/>
    <n v="97977.838860000003"/>
    <n v="2.4311218712416561E-3"/>
    <n v="1446"/>
    <n v="1317"/>
    <n v="220"/>
    <n v="145"/>
    <n v="488"/>
    <n v="446"/>
    <n v="53"/>
    <n v="45"/>
    <n v="0.15214384508990317"/>
    <n v="0.11009870918754745"/>
    <n v="4.2045135902355715E-2"/>
    <n v="0.10860655737704918"/>
    <n v="0.10089686098654709"/>
    <n v="7.709696390502091E-3"/>
    <n v="9.7949886104783612E-2"/>
    <n v="0.51724137931034475"/>
    <n v="9.4170403587443996E-2"/>
    <n v="0.17777777777777781"/>
  </r>
  <r>
    <s v="GMR Airports Limited"/>
    <n v="532754"/>
    <x v="10"/>
    <s v="Airport &amp; Airport services"/>
    <n v="90.93"/>
    <n v="96023.275757800002"/>
    <n v="2.3826233417602073E-3"/>
    <n v="10869"/>
    <n v="7551"/>
    <n v="72"/>
    <n v="-564"/>
    <n v="3994"/>
    <n v="2653"/>
    <n v="174"/>
    <n v="202"/>
    <n v="6.6243444659122271E-3"/>
    <n v="-7.4692093762415576E-2"/>
    <n v="8.1316438228327806E-2"/>
    <n v="4.3565348022033053E-2"/>
    <n v="7.6140218620429703E-2"/>
    <n v="-3.2574870598396651E-2"/>
    <n v="0.43941199841080647"/>
    <n v="-1.1276595744680851"/>
    <n v="0.50546551074255563"/>
    <n v="-0.13861386138613863"/>
  </r>
  <r>
    <s v="MARICO LTD."/>
    <n v="531642"/>
    <x v="5"/>
    <s v="Edible Oil"/>
    <n v="747.6"/>
    <n v="96916.741821200005"/>
    <n v="2.4047928947246045E-3"/>
    <n v="10278"/>
    <n v="8101"/>
    <n v="1405"/>
    <n v="1313"/>
    <n v="3537"/>
    <n v="2794"/>
    <n v="460"/>
    <n v="406"/>
    <n v="0.1366997470324966"/>
    <n v="0.16207875570917171"/>
    <n v="-2.5379008676675113E-2"/>
    <n v="0.13005371783997738"/>
    <n v="0.14531138153185397"/>
    <n v="-1.5257663691876588E-2"/>
    <n v="0.2687322552771263"/>
    <n v="7.0068545316070097E-2"/>
    <n v="0.26592698639942736"/>
    <n v="0.13300492610837433"/>
  </r>
  <r>
    <s v="UNITED SPIRITS LTD."/>
    <n v="532432"/>
    <x v="5"/>
    <s v="Breweries &amp; Distilleries"/>
    <n v="1233.3499999999999"/>
    <n v="89728.999942499999"/>
    <n v="2.2264436201389903E-3"/>
    <n v="21436"/>
    <n v="20642"/>
    <n v="1299"/>
    <n v="1161"/>
    <n v="7942"/>
    <n v="7732"/>
    <n v="418"/>
    <n v="335"/>
    <n v="6.0598992349318904E-2"/>
    <n v="5.624454994671059E-2"/>
    <n v="4.3544424026083148E-3"/>
    <n v="5.2631578947368418E-2"/>
    <n v="4.3326435592343504E-2"/>
    <n v="9.3051433550249141E-3"/>
    <n v="3.8465264993702064E-2"/>
    <n v="0.1188630490956073"/>
    <n v="2.7159855147439238E-2"/>
    <n v="0.24776119402985075"/>
  </r>
  <r>
    <s v="GE Vernova T&amp;D India Limited"/>
    <n v="522275"/>
    <x v="4"/>
    <s v="Heavy Electrical Equipment"/>
    <n v="3735"/>
    <n v="97866.11"/>
    <n v="2.4283495455978644E-3"/>
    <n v="4569"/>
    <n v="3139"/>
    <n v="881"/>
    <n v="421"/>
    <n v="1700"/>
    <n v="1073"/>
    <n v="290"/>
    <n v="142"/>
    <n v="0.19282118625519806"/>
    <n v="0.13411914622491239"/>
    <n v="5.8702040030285674E-2"/>
    <n v="0.17058823529411765"/>
    <n v="0.13233923578751164"/>
    <n v="3.8248999506606013E-2"/>
    <n v="0.45555909525326532"/>
    <n v="1.0926365795724466"/>
    <n v="0.5843429636533084"/>
    <n v="1.0422535211267605"/>
  </r>
  <r>
    <s v="Lodha Developers Limited"/>
    <n v="543287"/>
    <x v="6"/>
    <s v="Residential, Commercial Projects"/>
    <n v="703.05"/>
    <n v="70203.7520086"/>
    <n v="1.7419640904226086E-3"/>
    <n v="11962"/>
    <n v="9555"/>
    <n v="2422"/>
    <n v="1843"/>
    <n v="4672"/>
    <n v="4083"/>
    <n v="957"/>
    <n v="944"/>
    <n v="0.20247450259153987"/>
    <n v="0.19288330716902147"/>
    <n v="9.591195422518406E-3"/>
    <n v="0.20483732876712329"/>
    <n v="0.23120254714670585"/>
    <n v="-2.6365218379582556E-2"/>
    <n v="0.25190999476713771"/>
    <n v="0.31416169289202389"/>
    <n v="0.14425667401420528"/>
    <n v="1.3771186440677985E-2"/>
  </r>
  <r>
    <s v="ICICI Prudential Life Insuranc"/>
    <n v="540133"/>
    <x v="2"/>
    <s v="Life Insurance"/>
    <n v="512"/>
    <n v="74173.7711194"/>
    <n v="1.8404720836771276E-3"/>
    <n v="59637"/>
    <n v="54982"/>
    <n v="983"/>
    <n v="800"/>
    <n v="22302"/>
    <n v="4516"/>
    <n v="387"/>
    <n v="324"/>
    <n v="1.6483055821050689E-2"/>
    <n v="1.4550216434469463E-2"/>
    <n v="1.9328393865812258E-3"/>
    <n v="1.735270379338176E-2"/>
    <n v="7.1744906997342775E-2"/>
    <n v="-5.4392203203961015E-2"/>
    <n v="8.4664071878069125E-2"/>
    <n v="0.22875000000000001"/>
    <n v="3.938441098317095"/>
    <n v="0.19444444444444442"/>
  </r>
  <r>
    <s v="ICICI Lombard General Insuranc"/>
    <n v="540716"/>
    <x v="2"/>
    <s v="General Insurance"/>
    <n v="1709.1"/>
    <n v="85225.311233"/>
    <n v="2.1146936953567695E-3"/>
    <n v="19276"/>
    <n v="17085"/>
    <n v="2225"/>
    <n v="1998"/>
    <n v="6610"/>
    <n v="5882"/>
    <n v="658"/>
    <n v="724"/>
    <n v="0.11542851213944802"/>
    <n v="0.11694468832309043"/>
    <n v="-1.5161761836424148E-3"/>
    <n v="9.9546142208774585E-2"/>
    <n v="0.12308738524311459"/>
    <n v="-2.3541243034340006E-2"/>
    <n v="0.12824114720515079"/>
    <n v="0.11361361361361366"/>
    <n v="0.12376742604556279"/>
    <n v="-9.1160220994475183E-2"/>
  </r>
  <r>
    <s v="SHREE CEMENT LTD."/>
    <n v="500387"/>
    <x v="8"/>
    <s v="Cement &amp; Cement Products"/>
    <n v="23460"/>
    <n v="84645.416039999996"/>
    <n v="2.1003047692165974E-3"/>
    <n v="14842"/>
    <n v="13751"/>
    <n v="1221"/>
    <n v="549"/>
    <n v="4800"/>
    <n v="4573"/>
    <n v="266"/>
    <n v="194"/>
    <n v="8.226654089745318E-2"/>
    <n v="3.9924369136790053E-2"/>
    <n v="4.2342171760663128E-2"/>
    <n v="5.541666666666667E-2"/>
    <n v="4.242291712223923E-2"/>
    <n v="1.299374954442744E-2"/>
    <n v="7.9339684386590115E-2"/>
    <n v="1.2240437158469946"/>
    <n v="4.9639186529630397E-2"/>
    <n v="0.37113402061855671"/>
  </r>
  <r>
    <s v="INDIAN HOTELS CO.LTD."/>
    <n v="500850"/>
    <x v="6"/>
    <s v="Hotels &amp; Resorts"/>
    <n v="597.29999999999995"/>
    <n v="84986.765141600001"/>
    <n v="2.1087746566552687E-3"/>
    <n v="6923"/>
    <n v="5909"/>
    <n v="1601"/>
    <n v="1475"/>
    <n v="2841"/>
    <n v="2533"/>
    <n v="954"/>
    <n v="632"/>
    <n v="0.23125812509027879"/>
    <n v="0.24961922491115249"/>
    <n v="-1.8361099820873694E-2"/>
    <n v="0.33579725448785641"/>
    <n v="0.24950651401500198"/>
    <n v="8.6290740472854427E-2"/>
    <n v="0.17160264004061609"/>
    <n v="8.5423728813559308E-2"/>
    <n v="0.12159494670351356"/>
    <n v="0.509493670886076"/>
  </r>
  <r>
    <s v="Mankind Pharma Limited"/>
    <n v="543904"/>
    <x v="7"/>
    <s v="Pharmaceuticals"/>
    <n v="2013.7"/>
    <n v="83139.492344800005"/>
    <n v="2.0629383190639968E-3"/>
    <n v="10835"/>
    <n v="9128"/>
    <n v="1379"/>
    <n v="1586"/>
    <n v="3567"/>
    <n v="3199"/>
    <n v="414"/>
    <n v="386"/>
    <n v="0.12727272727272726"/>
    <n v="0.17375109553023663"/>
    <n v="-4.6478368257509367E-2"/>
    <n v="0.11606391925988226"/>
    <n v="0.12066270709596749"/>
    <n v="-4.5987878360852358E-3"/>
    <n v="0.1870070113935145"/>
    <n v="-0.13051702395964693"/>
    <n v="0.11503594873397938"/>
    <n v="7.2538860103626979E-2"/>
  </r>
  <r>
    <s v="BHARAT HEAVY ELECTRICALS LTD."/>
    <n v="500103"/>
    <x v="4"/>
    <s v="Heavy Electrical Equipment"/>
    <n v="246.1"/>
    <n v="85710.978619700007"/>
    <n v="2.1267445490977086E-3"/>
    <n v="21472"/>
    <n v="19346"/>
    <n v="310"/>
    <n v="29"/>
    <n v="8473"/>
    <n v="7277"/>
    <n v="390"/>
    <n v="135"/>
    <n v="1.4437406855439643E-2"/>
    <n v="1.4990178848340741E-3"/>
    <n v="1.2938388970605568E-2"/>
    <n v="4.6028561312404105E-2"/>
    <n v="1.8551600934451011E-2"/>
    <n v="2.7476960377953094E-2"/>
    <n v="0.10989351803990499"/>
    <n v="9.6896551724137936"/>
    <n v="0.16435344235261784"/>
    <n v="1.8888888888888888"/>
  </r>
  <r>
    <s v="Zydus Lifesciences Limited"/>
    <n v="532321"/>
    <x v="7"/>
    <s v="Packaged Foods"/>
    <n v="862.8"/>
    <n v="86777.622616599998"/>
    <n v="2.1532111621590309E-3"/>
    <n v="2463"/>
    <n v="1780"/>
    <n v="35"/>
    <n v="175"/>
    <n v="963"/>
    <n v="450"/>
    <n v="-39"/>
    <n v="6"/>
    <n v="1.4210312626877792E-2"/>
    <n v="9.8314606741573038E-2"/>
    <n v="-8.4104294114695249E-2"/>
    <n v="-4.0498442367601244E-2"/>
    <n v="1.3333333333333334E-2"/>
    <n v="-5.383177570093458E-2"/>
    <n v="0.38370786516853927"/>
    <n v="-0.8"/>
    <n v="1.1400000000000001"/>
    <n v="-7.5"/>
  </r>
  <r>
    <s v="DABUR INDIA LTD."/>
    <n v="500096"/>
    <x v="5"/>
    <s v="Personal Care"/>
    <n v="411.55"/>
    <n v="72779.909769799997"/>
    <n v="1.805886233938872E-3"/>
    <n v="10155"/>
    <n v="9733"/>
    <n v="1507"/>
    <n v="1428"/>
    <n v="3559"/>
    <n v="3355"/>
    <n v="554"/>
    <n v="516"/>
    <n v="0.14839980305268341"/>
    <n v="0.14671735333401828"/>
    <n v="1.6824497186651299E-3"/>
    <n v="0.15566170272548469"/>
    <n v="0.15380029806259315"/>
    <n v="1.8614046628915304E-3"/>
    <n v="4.3357649234562867E-2"/>
    <n v="5.5322128851540642E-2"/>
    <n v="6.0804769001490344E-2"/>
    <n v="7.3643410852713087E-2"/>
  </r>
  <r>
    <s v="HINDUSTAN PETROLEUM CORPORATIO"/>
    <n v="500104"/>
    <x v="0"/>
    <s v="Refineries &amp; Marketing"/>
    <n v="327.75"/>
    <n v="69813.841118700002"/>
    <n v="1.7322892404432611E-3"/>
    <n v="356808"/>
    <n v="349756"/>
    <n v="11981"/>
    <n v="3320"/>
    <n v="125189"/>
    <n v="119493"/>
    <n v="4011"/>
    <n v="2543"/>
    <n v="3.3578282998139058E-2"/>
    <n v="9.4923317970242119E-3"/>
    <n v="2.4085951201114848E-2"/>
    <n v="3.2039556191039147E-2"/>
    <n v="2.1281581347861379E-2"/>
    <n v="1.0757974843177767E-2"/>
    <n v="2.0162627660426091E-2"/>
    <n v="2.608734939759036"/>
    <n v="4.7668064238072461E-2"/>
    <n v="0.57727093983484079"/>
  </r>
  <r>
    <s v="BHARAT FORGE LTD."/>
    <n v="500493"/>
    <x v="6"/>
    <s v="Auto Components &amp; Equipments"/>
    <n v="1663.1"/>
    <n v="79525.258891200006"/>
    <n v="1.9732584271715515E-3"/>
    <n v="12283"/>
    <n v="11270"/>
    <n v="855"/>
    <n v="630"/>
    <n v="4342"/>
    <n v="3475"/>
    <n v="272"/>
    <n v="212"/>
    <n v="6.960840185622405E-2"/>
    <n v="5.5900621118012424E-2"/>
    <n v="1.3707780738211627E-2"/>
    <n v="6.2643942883463838E-2"/>
    <n v="6.1007194244604317E-2"/>
    <n v="1.6367486388595212E-3"/>
    <n v="8.988464951197872E-2"/>
    <n v="0.35714285714285721"/>
    <n v="0.24949640287769781"/>
    <n v="0.28301886792452824"/>
  </r>
  <r>
    <s v="Mazagon Dock Shipbuilders Limi"/>
    <n v="543237"/>
    <x v="4"/>
    <s v="Ship Building &amp; Allied Services"/>
    <n v="2316.3000000000002"/>
    <n v="93480.236650000006"/>
    <n v="2.3195229706321047E-3"/>
    <n v="9155"/>
    <n v="8257"/>
    <n v="2081"/>
    <n v="2088"/>
    <n v="3601"/>
    <n v="3143"/>
    <n v="879"/>
    <n v="807"/>
    <n v="0.22730748225013653"/>
    <n v="0.25287634734164949"/>
    <n v="-2.556886509151296E-2"/>
    <n v="0.24409886142738127"/>
    <n v="0.25676105631562202"/>
    <n v="-1.2662194888240746E-2"/>
    <n v="0.10875620685478982"/>
    <n v="-3.3524904214559115E-3"/>
    <n v="0.14572064906140625"/>
    <n v="8.9219330855018653E-2"/>
  </r>
  <r>
    <s v="REC LIMITED"/>
    <n v="532955"/>
    <x v="2"/>
    <s v="Financial Institution"/>
    <n v="327.9"/>
    <n v="86332.854972999994"/>
    <n v="2.1421751528067361E-3"/>
    <n v="45045"/>
    <n v="41086"/>
    <n v="12933"/>
    <n v="11574"/>
    <n v="15058"/>
    <n v="14287"/>
    <n v="4052"/>
    <n v="4076"/>
    <n v="0.28711288711288713"/>
    <n v="0.28170179623229324"/>
    <n v="5.4110908805938829E-3"/>
    <n v="0.26909284101474301"/>
    <n v="0.28529432351088402"/>
    <n v="-1.6201482496141006E-2"/>
    <n v="9.6358857031592304E-2"/>
    <n v="0.11741835147744939"/>
    <n v="5.3965143137117755E-2"/>
    <n v="-5.8881256133463955E-3"/>
  </r>
  <r>
    <s v="Aditya Birla Capital Ltd"/>
    <n v="540691"/>
    <x v="2"/>
    <s v="Investment Company"/>
    <n v="310.39999999999998"/>
    <n v="80974.736099999995"/>
    <n v="2.0092242719501364E-3"/>
    <n v="32142"/>
    <n v="28485"/>
    <n v="2635"/>
    <n v="2468"/>
    <n v="12001"/>
    <n v="9404"/>
    <n v="945"/>
    <n v="708"/>
    <n v="8.1979963910148709E-2"/>
    <n v="8.6642092329296122E-2"/>
    <n v="-4.6621284191474127E-3"/>
    <n v="7.8743438046829428E-2"/>
    <n v="7.5287111867290521E-2"/>
    <n v="3.4563261795389072E-3"/>
    <n v="0.12838335966298042"/>
    <n v="6.7666126418152395E-2"/>
    <n v="0.27615908124202471"/>
    <n v="0.3347457627118644"/>
  </r>
  <r>
    <s v="Samvardhana Motherson Internat"/>
    <n v="517334"/>
    <x v="6"/>
    <s v="Auto Components &amp; Equipments"/>
    <n v="108.4"/>
    <n v="114226.4478252"/>
    <n v="2.8342982332860943E-3"/>
    <n v="91794"/>
    <n v="84346"/>
    <n v="2524"/>
    <n v="3030"/>
    <n v="31409"/>
    <n v="27666"/>
    <n v="1072"/>
    <n v="984"/>
    <n v="2.7496350523999388E-2"/>
    <n v="3.5923458136722548E-2"/>
    <n v="-8.4271076127231601E-3"/>
    <n v="3.4130344805628959E-2"/>
    <n v="3.5567122099327692E-2"/>
    <n v="-1.4367772936987322E-3"/>
    <n v="8.8302942641026227E-2"/>
    <n v="-0.166996699669967"/>
    <n v="0.13529241668473935"/>
    <n v="8.9430894308943021E-2"/>
  </r>
  <r>
    <s v="JSW ENERGY LTD"/>
    <n v="533148"/>
    <x v="9"/>
    <s v="Power Generation"/>
    <n v="497.15"/>
    <n v="89727.297226800001"/>
    <n v="2.2264013706933309E-3"/>
    <n v="15026"/>
    <n v="9142"/>
    <n v="2188"/>
    <n v="1568"/>
    <n v="4254"/>
    <n v="2640"/>
    <n v="528"/>
    <n v="157"/>
    <n v="0.14561426860109145"/>
    <n v="0.17151607963246554"/>
    <n v="-2.5901811031374095E-2"/>
    <n v="0.12411847672778561"/>
    <n v="5.9469696969696971E-2"/>
    <n v="6.4648779758088637E-2"/>
    <n v="0.64362283964121647"/>
    <n v="0.39540816326530615"/>
    <n v="0.61136363636363633"/>
    <n v="2.3630573248407645"/>
  </r>
  <r>
    <s v="HAVELLS INDIA LTD."/>
    <n v="517354"/>
    <x v="6"/>
    <s v="Consumer Electronics"/>
    <n v="1201.4000000000001"/>
    <n v="75364.904519999996"/>
    <n v="1.8700276494607623E-3"/>
    <n v="15823"/>
    <n v="15234"/>
    <n v="966"/>
    <n v="953"/>
    <n v="5588"/>
    <n v="4889"/>
    <n v="300"/>
    <n v="278"/>
    <n v="6.1050369714971874E-2"/>
    <n v="6.25574373112774E-2"/>
    <n v="-1.5070675963055266E-3"/>
    <n v="5.3686471009305653E-2"/>
    <n v="5.6862344037635508E-2"/>
    <n v="-3.175873028329855E-3"/>
    <n v="3.8663515819876482E-2"/>
    <n v="1.3641133263378791E-2"/>
    <n v="0.14297402331765197"/>
    <n v="7.9136690647481966E-2"/>
  </r>
  <r>
    <s v="KOTAK MAHINDRA BANK LTD."/>
    <n v="500247"/>
    <x v="2"/>
    <s v="Private Sector Bank"/>
    <n v="359.9"/>
    <n v="357873.8345383"/>
    <n v="8.8799152585348085E-3"/>
    <n v="79456"/>
    <n v="75901"/>
    <n v="13864"/>
    <n v="17193"/>
    <n v="27850"/>
    <n v="23945"/>
    <n v="4924"/>
    <n v="4701"/>
    <n v="0.17448650825614176"/>
    <n v="0.22651875469361404"/>
    <n v="-5.2032246437472285E-2"/>
    <n v="0.17680430879712747"/>
    <n v="0.19632491125495929"/>
    <n v="-1.9520602457831826E-2"/>
    <n v="4.6837327571441767E-2"/>
    <n v="-0.19362531262723204"/>
    <n v="0.16308206306118178"/>
    <n v="4.7436715592427126E-2"/>
  </r>
  <r>
    <s v="BHARAT PETROLEUM CORPORATION L"/>
    <n v="500547"/>
    <x v="0"/>
    <s v="Refineries &amp; Marketing"/>
    <n v="278.10000000000002"/>
    <n v="120653.798888"/>
    <n v="2.9937799479751561E-3"/>
    <n v="390220"/>
    <n v="375481"/>
    <n v="20218"/>
    <n v="8944"/>
    <n v="137298"/>
    <n v="128158"/>
    <n v="7188"/>
    <n v="3805"/>
    <n v="5.1811798472656448E-2"/>
    <n v="2.3820113401210714E-2"/>
    <n v="2.7991685071445734E-2"/>
    <n v="5.2353275357252108E-2"/>
    <n v="2.9689914012390954E-2"/>
    <n v="2.2663361344861153E-2"/>
    <n v="3.9253650650765248E-2"/>
    <n v="1.2605098389982112"/>
    <n v="7.1318216576413462E-2"/>
    <n v="0.88909329829172146"/>
  </r>
  <r>
    <s v="OIL INDIA LTD."/>
    <n v="533106"/>
    <x v="0"/>
    <s v="Oil Exploration &amp; Production"/>
    <n v="474.65"/>
    <n v="77263.832500000004"/>
    <n v="1.9171457059295042E-3"/>
    <n v="27037"/>
    <n v="26576"/>
    <n v="5126"/>
    <n v="5543"/>
    <n v="9111"/>
    <n v="9089"/>
    <n v="1436"/>
    <n v="1457"/>
    <n v="0.18959204053704184"/>
    <n v="0.20857164358819988"/>
    <n v="-1.8979603051158034E-2"/>
    <n v="0.15761167819119745"/>
    <n v="0.16030366376939156"/>
    <n v="-2.6919855781941116E-3"/>
    <n v="1.7346478025285883E-2"/>
    <n v="-7.5230019844849338E-2"/>
    <n v="2.42050830674434E-3"/>
    <n v="-1.4413177762525708E-2"/>
  </r>
  <r>
    <s v="Bharti Hexacom Limited"/>
    <n v="544162"/>
    <x v="1"/>
    <s v="Telecom - Cellular &amp; Fixed line services"/>
    <n v="1519.95"/>
    <n v="76009.997558500007"/>
    <n v="1.8860343282478301E-3"/>
    <n v="6940"/>
    <n v="6258"/>
    <n v="1286"/>
    <n v="1025"/>
    <n v="2359"/>
    <n v="2250"/>
    <n v="473"/>
    <n v="260"/>
    <n v="0.18530259365994237"/>
    <n v="0.16379034835410675"/>
    <n v="2.151224530583562E-2"/>
    <n v="0.20050869012293346"/>
    <n v="0.11555555555555555"/>
    <n v="8.4953134567377908E-2"/>
    <n v="0.10898050495365941"/>
    <n v="0.25463414634146342"/>
    <n v="4.8444444444444512E-2"/>
    <n v="0.81923076923076921"/>
  </r>
  <r>
    <s v="BANK OF INDIA"/>
    <n v="532149"/>
    <x v="2"/>
    <s v="Public Sector Bank"/>
    <n v="142.94999999999999"/>
    <n v="65116.809848199999"/>
    <n v="1.6157419111238712E-3"/>
    <n v="62796"/>
    <n v="58478"/>
    <n v="7218"/>
    <n v="6946"/>
    <n v="21379"/>
    <n v="20739"/>
    <n v="2812"/>
    <n v="2636"/>
    <n v="0.11494362698261036"/>
    <n v="0.11877971202845515"/>
    <n v="-3.8360850458447893E-3"/>
    <n v="0.13153094157818421"/>
    <n v="0.1271035247601138"/>
    <n v="4.4274168180704065E-3"/>
    <n v="7.3839734601046647E-2"/>
    <n v="3.9159228332853457E-2"/>
    <n v="3.0859732870437417E-2"/>
    <n v="6.6767830045523446E-2"/>
  </r>
  <r>
    <s v="TORRENT POWER LTD."/>
    <n v="532779"/>
    <x v="9"/>
    <s v="Integrated Power Utilities"/>
    <n v="1383.6"/>
    <n v="69810.7921202"/>
    <n v="1.7322135857133244E-3"/>
    <n v="22560"/>
    <n v="22709"/>
    <n v="2138"/>
    <n v="1981"/>
    <n v="6778"/>
    <n v="6499"/>
    <n v="655"/>
    <n v="489"/>
    <n v="9.4769503546099296E-2"/>
    <n v="8.723413624554141E-2"/>
    <n v="7.5353673005578853E-3"/>
    <n v="9.6636175863086454E-2"/>
    <n v="7.5242344976150177E-2"/>
    <n v="2.1393830886936277E-2"/>
    <n v="-6.5612752653133599E-3"/>
    <n v="7.9252902574457273E-2"/>
    <n v="4.292968148945997E-2"/>
    <n v="0.3394683026584866"/>
  </r>
  <r>
    <s v="Waaree Energies Limited"/>
    <n v="544277"/>
    <x v="4"/>
    <s v="Other Electrical Equipment"/>
    <n v="3081"/>
    <n v="88573.327439999994"/>
    <n v="2.197767944807603E-3"/>
    <n v="18056"/>
    <n v="10440"/>
    <n v="2757"/>
    <n v="1283"/>
    <n v="7565"/>
    <n v="3457"/>
    <n v="1106"/>
    <n v="506"/>
    <n v="0.15269162605228179"/>
    <n v="0.12289272030651341"/>
    <n v="2.9798905745768378E-2"/>
    <n v="0.14619960343688038"/>
    <n v="0.14636968469771477"/>
    <n v="-1.7008126083439823E-4"/>
    <n v="0.72950191570881229"/>
    <n v="1.1488698363211225"/>
    <n v="1.1883135666763089"/>
    <n v="1.1857707509881421"/>
  </r>
  <r>
    <s v="SRF LTD."/>
    <n v="503806"/>
    <x v="8"/>
    <s v="Commodity Chemicals"/>
    <n v="2422.8000000000002"/>
    <n v="71880.046857199995"/>
    <n v="1.7835579561018089E-3"/>
    <n v="11171"/>
    <n v="10380"/>
    <n v="1253"/>
    <n v="725"/>
    <n v="3713"/>
    <n v="3419"/>
    <n v="433"/>
    <n v="271"/>
    <n v="0.11216542834124071"/>
    <n v="6.9845857418111751E-2"/>
    <n v="4.2319570923128963E-2"/>
    <n v="0.11661729060059252"/>
    <n v="7.9262942380813106E-2"/>
    <n v="3.7354348219779412E-2"/>
    <n v="7.6204238921002032E-2"/>
    <n v="0.72827586206896555"/>
    <n v="8.5990055571804724E-2"/>
    <n v="0.59778597785977849"/>
  </r>
  <r>
    <s v="NTPC GREEN ENERGY LIMITED"/>
    <n v="544289"/>
    <x v="9"/>
    <s v="Power Generation"/>
    <n v="98.58"/>
    <n v="83134.164999800007"/>
    <n v="2.0628061317745461E-3"/>
    <n v="1946"/>
    <n v="1587"/>
    <n v="324"/>
    <n v="241"/>
    <n v="653"/>
    <n v="505"/>
    <n v="17"/>
    <n v="66"/>
    <n v="0.16649537512846865"/>
    <n v="0.1518588531821046"/>
    <n v="1.4636521946364056E-2"/>
    <n v="2.6033690658499236E-2"/>
    <n v="0.1306930693069307"/>
    <n v="-0.10465937864843146"/>
    <n v="0.22621298046628868"/>
    <n v="0.34439834024896276"/>
    <n v="0.29306930693069311"/>
    <n v="-0.74242424242424243"/>
  </r>
  <r>
    <s v="FSN E-Commerce Ventures Limite"/>
    <n v="543384"/>
    <x v="6"/>
    <s v="E-Retail/ E-Commerce"/>
    <n v="252.8"/>
    <n v="72436.781445800007"/>
    <n v="1.7973721986955468E-3"/>
    <n v="7374"/>
    <n v="5888"/>
    <n v="125"/>
    <n v="53"/>
    <n v="2873"/>
    <n v="2267"/>
    <n v="68"/>
    <n v="26"/>
    <n v="1.6951451044209385E-2"/>
    <n v="9.001358695652174E-3"/>
    <n v="7.9500923485572115E-3"/>
    <n v="2.3668639053254437E-2"/>
    <n v="1.1468901632112925E-2"/>
    <n v="1.2199737421141513E-2"/>
    <n v="0.25237771739130443"/>
    <n v="1.358490566037736"/>
    <n v="0.26731363034847822"/>
    <n v="1.6153846153846154"/>
  </r>
  <r>
    <s v="INDUSIND BANK LTD."/>
    <n v="532187"/>
    <x v="2"/>
    <s v="Private Sector Bank"/>
    <n v="784.4"/>
    <n v="61083.481129100001"/>
    <n v="1.5156630180088459E-3"/>
    <n v="40760"/>
    <n v="45015"/>
    <n v="295"/>
    <n v="4904"/>
    <n v="13080"/>
    <n v="15155"/>
    <n v="127"/>
    <n v="1402"/>
    <n v="7.2374877330716389E-3"/>
    <n v="0.10894146395645896"/>
    <n v="-0.10170397622338731"/>
    <n v="9.709480122324159E-3"/>
    <n v="9.2510722533817216E-2"/>
    <n v="-8.2801242411493059E-2"/>
    <n v="-9.4524047539709E-2"/>
    <n v="-0.93984502446982054"/>
    <n v="-0.13691850874298916"/>
    <n v="-0.90941512125534951"/>
  </r>
  <r>
    <s v="PERSISTENT SYSTEMS LTD."/>
    <n v="533179"/>
    <x v="3"/>
    <s v="Computers - Software &amp; Consulting"/>
    <n v="5309.7"/>
    <n v="82992.766610999999"/>
    <n v="2.0592976167922833E-3"/>
    <n v="10692"/>
    <n v="8696"/>
    <n v="1335"/>
    <n v="1004"/>
    <n v="3778"/>
    <n v="3062"/>
    <n v="439"/>
    <n v="372"/>
    <n v="0.12485970819304153"/>
    <n v="0.11545538178472861"/>
    <n v="9.4043264083129158E-3"/>
    <n v="0.11619904711487559"/>
    <n v="0.12148922273024167"/>
    <n v="-5.2901756153660717E-3"/>
    <n v="0.22953081876724934"/>
    <n v="0.32968127490039834"/>
    <n v="0.23383409536250821"/>
    <n v="0.18010752688172049"/>
  </r>
  <r>
    <s v="NHPC LTD."/>
    <n v="533098"/>
    <x v="9"/>
    <s v="Power Generation"/>
    <n v="76.02"/>
    <n v="76382.409039599996"/>
    <n v="1.8952749657974845E-3"/>
    <n v="8800"/>
    <n v="8033"/>
    <n v="2671"/>
    <n v="2492"/>
    <n v="2221"/>
    <n v="2287"/>
    <n v="321"/>
    <n v="330"/>
    <n v="0.30352272727272728"/>
    <n v="0.3102203410929914"/>
    <n v="-6.6976138202641256E-3"/>
    <n v="0.14452949122017109"/>
    <n v="0.14429383471797114"/>
    <n v="2.3565650219994905E-4"/>
    <n v="9.5481140296277855E-2"/>
    <n v="7.182985553772081E-2"/>
    <n v="-2.8858766943594238E-2"/>
    <n v="-2.7272727272727226E-2"/>
  </r>
  <r>
    <s v="FEDERAL BANK LTD."/>
    <n v="500469"/>
    <x v="2"/>
    <s v="Private Sector Bank"/>
    <n v="271.05"/>
    <n v="66755.068135900001"/>
    <n v="1.6563919764887684E-3"/>
    <n v="25139"/>
    <n v="23874"/>
    <n v="3090"/>
    <n v="3093"/>
    <n v="8503"/>
    <n v="8196"/>
    <n v="1123"/>
    <n v="948"/>
    <n v="0.12291658379410478"/>
    <n v="0.12955516461422467"/>
    <n v="-6.6385808201198937E-3"/>
    <n v="0.13207103375279314"/>
    <n v="0.11566617862371889"/>
    <n v="1.6404855129074247E-2"/>
    <n v="5.2986512524084706E-2"/>
    <n v="-9.6993210475271319E-4"/>
    <n v="3.7457296242069393E-2"/>
    <n v="0.18459915611814348"/>
  </r>
  <r>
    <s v="SBI CARDS AND PAYMENT SERVICES"/>
    <n v="543066"/>
    <x v="2"/>
    <s v="Non Banking Financial Company (NBFC)"/>
    <n v="637.54999999999995"/>
    <n v="60654.9990712"/>
    <n v="1.5050311025214694E-3"/>
    <n v="15520"/>
    <n v="13804"/>
    <n v="1557"/>
    <n v="1382"/>
    <n v="5353"/>
    <n v="4767"/>
    <n v="557"/>
    <n v="383"/>
    <n v="0.10032216494845361"/>
    <n v="0.10011590843233845"/>
    <n v="2.0625651611516638E-4"/>
    <n v="0.10405380160657575"/>
    <n v="8.03440318858821E-2"/>
    <n v="2.3709769720693649E-2"/>
    <n v="0.1243117936829905"/>
    <n v="0.12662807525325626"/>
    <n v="0.12292846654080125"/>
    <n v="0.45430809399477812"/>
  </r>
  <r>
    <s v="AU Small Finance Bank Limited"/>
    <n v="540611"/>
    <x v="2"/>
    <s v="Other Bank"/>
    <n v="882.2"/>
    <n v="66030.822328399998"/>
    <n v="1.6384212818576669E-3"/>
    <n v="15864"/>
    <n v="13558"/>
    <n v="1809"/>
    <n v="1602"/>
    <n v="5451"/>
    <n v="4731"/>
    <n v="667"/>
    <n v="528"/>
    <n v="0.11403177004538578"/>
    <n v="0.11815902050449918"/>
    <n v="-4.1272504591133991E-3"/>
    <n v="0.12236286919831224"/>
    <n v="0.11160431198478123"/>
    <n v="1.0758557213531014E-2"/>
    <n v="0.17008408319811186"/>
    <n v="0.1292134831460674"/>
    <n v="0.15218769816106525"/>
    <n v="0.26325757575757569"/>
  </r>
  <r>
    <s v="NMDC LTD."/>
    <n v="526371"/>
    <x v="8"/>
    <s v="Industrial Minerals"/>
    <n v="81.7"/>
    <n v="71811.561524300007"/>
    <n v="1.7818586311053642E-3"/>
    <n v="20728"/>
    <n v="16901"/>
    <n v="5397"/>
    <n v="5056"/>
    <n v="7611"/>
    <n v="6568"/>
    <n v="1747"/>
    <n v="1897"/>
    <n v="0.26037244307217289"/>
    <n v="0.29915389621915861"/>
    <n v="-3.8781453146985723E-2"/>
    <n v="0.22953619760872421"/>
    <n v="0.28882460414129113"/>
    <n v="-5.9288406532566923E-2"/>
    <n v="0.22643630554405059"/>
    <n v="6.7444620253164667E-2"/>
    <n v="0.15880024360535927"/>
    <n v="-7.9072219293621515E-2"/>
  </r>
  <r>
    <s v="L&amp;T Finance Limited"/>
    <n v="533519"/>
    <x v="2"/>
    <s v="Non Banking Financial Company (NBFC)"/>
    <n v="257.14999999999998"/>
    <n v="60192.92"/>
    <n v="1.4935655451126912E-3"/>
    <n v="13165"/>
    <n v="11913"/>
    <n v="2174"/>
    <n v="2007"/>
    <n v="4581"/>
    <n v="4105"/>
    <n v="738"/>
    <n v="626"/>
    <n v="0.1651348271933156"/>
    <n v="0.16847141777889701"/>
    <n v="-3.3365905855814171E-3"/>
    <n v="0.16110019646365423"/>
    <n v="0.15249695493300852"/>
    <n v="8.6032415306457055E-3"/>
    <n v="0.10509527407034325"/>
    <n v="8.3208769307423935E-2"/>
    <n v="0.11595615103532286"/>
    <n v="0.17891373801916943"/>
  </r>
  <r>
    <s v="FORTIS HEALTHCARE LTD."/>
    <n v="532843"/>
    <x v="7"/>
    <s v="Hospital"/>
    <n v="807"/>
    <n v="60932.6744788"/>
    <n v="1.5119210560495002E-3"/>
    <n v="6763"/>
    <n v="5775"/>
    <n v="793"/>
    <n v="621"/>
    <n v="2265"/>
    <n v="1928"/>
    <n v="197"/>
    <n v="254"/>
    <n v="0.11725565577406477"/>
    <n v="0.10753246753246753"/>
    <n v="9.7231882415972359E-3"/>
    <n v="8.6975717439293596E-2"/>
    <n v="0.13174273858921162"/>
    <n v="-4.4767021149918027E-2"/>
    <n v="0.17108225108225117"/>
    <n v="0.27697262479871165"/>
    <n v="0.174792531120332"/>
    <n v="-0.22440944881889768"/>
  </r>
  <r>
    <s v="Bajaj Housing Finance Limited"/>
    <n v="544252"/>
    <x v="2"/>
    <s v="Housing Finance Company"/>
    <n v="79.55"/>
    <n v="66246.170356500006"/>
    <n v="1.6437647075459062E-3"/>
    <n v="8259"/>
    <n v="7068"/>
    <n v="1891"/>
    <n v="1576"/>
    <n v="2886"/>
    <n v="2449"/>
    <n v="654"/>
    <n v="548"/>
    <n v="0.22896234410945634"/>
    <n v="0.22297679683078664"/>
    <n v="5.9855472786697062E-3"/>
    <n v="0.22661122661122662"/>
    <n v="0.22376480195998366"/>
    <n v="2.8464246512429625E-3"/>
    <n v="0.16850594227504234"/>
    <n v="0.19987309644670059"/>
    <n v="0.17844017966516956"/>
    <n v="0.1934306569343065"/>
  </r>
  <r>
    <s v="AUROBINDO PHARMA LTD."/>
    <n v="524804"/>
    <x v="7"/>
    <s v="Pharmaceuticals"/>
    <n v="1336.65"/>
    <n v="77670.600803900001"/>
    <n v="1.9272388385362786E-3"/>
    <n v="24633"/>
    <n v="22997"/>
    <n v="2582"/>
    <n v="2580"/>
    <n v="8604"/>
    <n v="7893"/>
    <n v="909"/>
    <n v="845"/>
    <n v="0.10481873908983884"/>
    <n v="0.11218854633213028"/>
    <n v="-7.3698072422914429E-3"/>
    <n v="0.10564853556485355"/>
    <n v="0.10705688584821994"/>
    <n v="-1.4083502833663886E-3"/>
    <n v="7.1139713875722821E-2"/>
    <n v="7.751937984497026E-4"/>
    <n v="9.0079817559863162E-2"/>
    <n v="7.5739644970414188E-2"/>
  </r>
  <r>
    <s v="UNO Minda Limited"/>
    <n v="532539"/>
    <x v="6"/>
    <s v="Auto Components &amp; Equipments"/>
    <n v="1043.2"/>
    <n v="59208.83"/>
    <n v="1.469147342485373E-3"/>
    <n v="14321"/>
    <n v="12246"/>
    <n v="932"/>
    <n v="731"/>
    <n v="5018"/>
    <n v="4184"/>
    <n v="300"/>
    <n v="254"/>
    <n v="6.5079254242022211E-2"/>
    <n v="5.9692960966846315E-2"/>
    <n v="5.3862932751758963E-3"/>
    <n v="5.9784774810681549E-2"/>
    <n v="6.0707456978967497E-2"/>
    <n v="-9.2268216828594873E-4"/>
    <n v="0.16944308345582226"/>
    <n v="0.27496580027359774"/>
    <n v="0.19933078393881454"/>
    <n v="0.18110236220472431"/>
  </r>
  <r>
    <s v="STEEL AUTHORITY OF INDIA LTD."/>
    <n v="500113"/>
    <x v="8"/>
    <s v="Iron &amp; Steel"/>
    <n v="160.85"/>
    <n v="66418.843260499998"/>
    <n v="1.6480492363574167E-3"/>
    <n v="79997"/>
    <n v="73163"/>
    <n v="1537"/>
    <n v="1121"/>
    <n v="27371"/>
    <n v="24490"/>
    <n v="374"/>
    <n v="142"/>
    <n v="1.9213220495768592E-2"/>
    <n v="1.5321952352965297E-2"/>
    <n v="3.891268142803295E-3"/>
    <n v="1.3664097037009973E-2"/>
    <n v="5.7982850142915474E-3"/>
    <n v="7.8658120227184259E-3"/>
    <n v="9.3407870098273671E-2"/>
    <n v="0.37109723461195365"/>
    <n v="0.11763985300122504"/>
    <n v="1.6338028169014085"/>
  </r>
  <r>
    <s v="PB Fintech Limited"/>
    <n v="543390"/>
    <x v="2"/>
    <s v="Financial Technology (Fintech)"/>
    <n v="1472.75"/>
    <n v="68051.280423899996"/>
    <n v="1.6885548622984034E-3"/>
    <n v="5000"/>
    <n v="3776"/>
    <n v="408"/>
    <n v="182"/>
    <n v="1856"/>
    <n v="1392"/>
    <n v="189"/>
    <n v="71"/>
    <n v="8.1600000000000006E-2"/>
    <n v="4.8199152542372885E-2"/>
    <n v="3.3400847457627121E-2"/>
    <n v="0.10183189655172414"/>
    <n v="5.1005747126436782E-2"/>
    <n v="5.0826149425287362E-2"/>
    <n v="0.32415254237288127"/>
    <n v="1.2417582417582418"/>
    <n v="0.33333333333333326"/>
    <n v="1.6619718309859155"/>
  </r>
  <r>
    <s v="INDIAN OVERSEAS BANK"/>
    <n v="532388"/>
    <x v="2"/>
    <s v="Public Sector Bank"/>
    <n v="32.96"/>
    <n v="63508.232938499998"/>
    <n v="1.5758283291113725E-3"/>
    <n v="27752"/>
    <n v="24473"/>
    <n v="3862"/>
    <n v="2303"/>
    <n v="9671"/>
    <n v="8413"/>
    <n v="1427"/>
    <n v="875"/>
    <n v="0.13916114153934853"/>
    <n v="9.4103706125117481E-2"/>
    <n v="4.5057435414231045E-2"/>
    <n v="0.14755454451452796"/>
    <n v="0.10400570545584215"/>
    <n v="4.3548839058685812E-2"/>
    <n v="0.13398439096146775"/>
    <n v="0.67694311767260085"/>
    <n v="0.14953048852965645"/>
    <n v="0.63085714285714278"/>
  </r>
  <r>
    <s v="Schaeffler India Limited (Yearly)"/>
    <n v="505790"/>
    <x v="6"/>
    <s v="Auto Components &amp; Equipments"/>
    <n v="3789.8"/>
    <n v="59184.358139999997"/>
    <n v="1.4685401227837731E-3"/>
    <n v="9685"/>
    <n v="8232"/>
    <n v="1150"/>
    <n v="939"/>
    <n v="2724"/>
    <n v="2136"/>
    <n v="322"/>
    <n v="237"/>
    <n v="0.11874032008260196"/>
    <n v="0.11406705539358601"/>
    <n v="4.6732646890159518E-3"/>
    <n v="0.11820851688693099"/>
    <n v="0.11095505617977527"/>
    <n v="7.2534607071557122E-3"/>
    <n v="0.17650631681243922"/>
    <n v="0.22470713525026631"/>
    <n v="0.27528089887640439"/>
    <n v="0.35864978902953593"/>
  </r>
  <r>
    <s v="One 97 Communications Limited"/>
    <n v="543396"/>
    <x v="2"/>
    <s v="Financial Technology (Fintech)"/>
    <n v="1026.8"/>
    <n v="65736.052246399995"/>
    <n v="1.6311071585653387E-3"/>
    <n v="6849"/>
    <n v="5490"/>
    <n v="369"/>
    <n v="-119"/>
    <n v="2406"/>
    <n v="2017"/>
    <n v="225"/>
    <n v="-208"/>
    <n v="5.387647831800263E-2"/>
    <n v="-2.1675774134790528E-2"/>
    <n v="7.555225245279315E-2"/>
    <n v="9.3516209476309231E-2"/>
    <n v="-0.10312345066931086"/>
    <n v="0.19663966014562009"/>
    <n v="0.24754098360655741"/>
    <n v="-4.1008403361344534"/>
    <n v="0.19286068418443225"/>
    <n v="-2.0817307692307692"/>
  </r>
  <r>
    <s v="Alkem Laboratories Limited"/>
    <n v="539523"/>
    <x v="7"/>
    <s v="Pharmaceuticals"/>
    <n v="5218.5"/>
    <n v="62383.03875"/>
    <n v="1.5479089114870965E-3"/>
    <n v="11108"/>
    <n v="9820"/>
    <n v="2100"/>
    <n v="1892"/>
    <n v="3736"/>
    <n v="3374"/>
    <n v="653"/>
    <n v="640"/>
    <n v="0.18905293482175009"/>
    <n v="0.19266802443991854"/>
    <n v="-3.6150896181684489E-3"/>
    <n v="0.17478586723768735"/>
    <n v="0.1896858328393598"/>
    <n v="-1.4899965601672449E-2"/>
    <n v="0.13116089613034632"/>
    <n v="0.10993657505285404"/>
    <n v="0.10729104919976296"/>
    <n v="2.0312499999999956E-2"/>
  </r>
  <r>
    <s v="NATIONAL ALUMINIUM CO.LTD."/>
    <n v="532234"/>
    <x v="8"/>
    <s v="Aluminium"/>
    <n v="409.35"/>
    <n v="75154.942761900005"/>
    <n v="1.8648178731666496E-3"/>
    <n v="12830"/>
    <n v="11520"/>
    <n v="4075"/>
    <n v="3201"/>
    <n v="4731"/>
    <n v="4662"/>
    <n v="1595"/>
    <n v="1566"/>
    <n v="0.31761496492595481"/>
    <n v="0.27786458333333336"/>
    <n v="3.9750381592621453E-2"/>
    <n v="0.33713802578735996"/>
    <n v="0.3359073359073359"/>
    <n v="1.2306898800240607E-3"/>
    <n v="0.11371527777777768"/>
    <n v="0.27303967510153071"/>
    <n v="1.4800514800514808E-2"/>
    <n v="1.8518518518518601E-2"/>
  </r>
  <r>
    <s v="SWIGGY LIMITED"/>
    <n v="544285"/>
    <x v="6"/>
    <s v="E-Retail/ E-Commerce"/>
    <n v="272.7"/>
    <n v="62350.9063924"/>
    <n v="1.5471116120340279E-3"/>
    <n v="166"/>
    <n v="108"/>
    <n v="-33"/>
    <n v="-20"/>
    <n v="61"/>
    <n v="39"/>
    <n v="-10"/>
    <n v="-7"/>
    <n v="-0.19879518072289157"/>
    <n v="-0.18518518518518517"/>
    <n v="-1.3609995537706393E-2"/>
    <n v="-0.16393442622950818"/>
    <n v="-0.17948717948717949"/>
    <n v="1.5552753257671303E-2"/>
    <n v="0.53703703703703698"/>
    <n v="0.64999999999999991"/>
    <n v="0.5641025641025641"/>
    <n v="0.4285714285714286"/>
  </r>
  <r>
    <s v="LLOYDS METALS AND ENERGY LTD."/>
    <n v="512455"/>
    <x v="8"/>
    <s v="Industrial Minerals"/>
    <n v="1434.9"/>
    <n v="80729.230115300001"/>
    <n v="2.0031325375756141E-3"/>
    <n v="10827"/>
    <n v="5444"/>
    <n v="2299"/>
    <n v="1248"/>
    <n v="4909"/>
    <n v="1671"/>
    <n v="1090"/>
    <n v="389"/>
    <n v="0.21233952156645425"/>
    <n v="0.22924320352681851"/>
    <n v="-1.6903681960364264E-2"/>
    <n v="0.22204114891016499"/>
    <n v="0.23279473369239975"/>
    <n v="-1.075358478223476E-2"/>
    <n v="0.98879500367376938"/>
    <n v="0.8421474358974359"/>
    <n v="1.9377618192698982"/>
    <n v="1.8020565552699228"/>
  </r>
  <r>
    <s v="INFO EDGE (INDIA) LTD."/>
    <n v="532777"/>
    <x v="6"/>
    <s v="Internet &amp; Catalogue Retail"/>
    <n v="988.65"/>
    <n v="64015.128626799997"/>
    <n v="1.5884059202136327E-3"/>
    <n v="2415"/>
    <n v="2099"/>
    <n v="1007"/>
    <n v="632"/>
    <n v="819"/>
    <n v="722"/>
    <n v="316"/>
    <n v="288"/>
    <n v="0.41697722567287787"/>
    <n v="0.30109575988565984"/>
    <n v="0.11588146578721803"/>
    <n v="0.38583638583638585"/>
    <n v="0.39889196675900279"/>
    <n v="-1.3055580922616938E-2"/>
    <n v="0.15054787994282992"/>
    <n v="0.59335443037974689"/>
    <n v="0.13434903047091407"/>
    <n v="9.7222222222222321E-2"/>
  </r>
  <r>
    <s v="General Insurance Corporation"/>
    <n v="540755"/>
    <x v="2"/>
    <s v="General Insurance"/>
    <n v="385.9"/>
    <n v="67803.902397500002"/>
    <n v="1.6824166769960618E-3"/>
    <n v="37014"/>
    <n v="33646"/>
    <n v="6622"/>
    <n v="4610"/>
    <n v="11616"/>
    <n v="10420"/>
    <n v="1751"/>
    <n v="1623"/>
    <n v="0.17890527908359"/>
    <n v="0.13701480116507161"/>
    <n v="4.1890477918518382E-2"/>
    <n v="0.15074035812672176"/>
    <n v="0.1557581573896353"/>
    <n v="-5.0177992629135415E-3"/>
    <n v="0.10010105213101106"/>
    <n v="0.43644251626898045"/>
    <n v="0.11477927063339721"/>
    <n v="7.8866296980899531E-2"/>
  </r>
  <r>
    <s v="COROMANDEL INTERNATIONAL LTD."/>
    <n v="506395"/>
    <x v="8"/>
    <s v="Fertilizers"/>
    <n v="1892.65"/>
    <n v="55760.702360000003"/>
    <n v="1.3835890303407765E-3"/>
    <n v="25476"/>
    <n v="19097"/>
    <n v="1783"/>
    <n v="1476"/>
    <n v="8779"/>
    <n v="6935"/>
    <n v="488"/>
    <n v="508"/>
    <n v="6.998743915842362E-2"/>
    <n v="7.7289626642928211E-2"/>
    <n v="-7.3021874845045909E-3"/>
    <n v="5.5587196719444128E-2"/>
    <n v="7.3251622206200434E-2"/>
    <n v="-1.7664425486756306E-2"/>
    <n v="0.33403152327590724"/>
    <n v="0.2079945799457994"/>
    <n v="0.2658976207642394"/>
    <n v="-3.9370078740157521E-2"/>
  </r>
  <r>
    <s v="JINDAL STAINLESS LTD."/>
    <n v="532508"/>
    <x v="8"/>
    <s v="Iron &amp; Steel"/>
    <n v="723.05"/>
    <n v="59570.462317500002"/>
    <n v="1.4781205168955406E-3"/>
    <n v="31617"/>
    <n v="29113"/>
    <n v="2350"/>
    <n v="1909"/>
    <n v="10517"/>
    <n v="9907"/>
    <n v="827"/>
    <n v="654"/>
    <n v="7.4327102508144352E-2"/>
    <n v="6.5572081200838114E-2"/>
    <n v="8.7550213073062377E-3"/>
    <n v="7.8634591613578012E-2"/>
    <n v="6.6013929544766328E-2"/>
    <n v="1.2620662068811683E-2"/>
    <n v="8.6009686394394214E-2"/>
    <n v="0.23101100052383439"/>
    <n v="6.1572625416372206E-2"/>
    <n v="0.26452599388379205"/>
  </r>
  <r>
    <s v="MULTI COMMODITY EXCHANGE OF IN"/>
    <n v="534091"/>
    <x v="2"/>
    <s v="Exchange and Data Platform"/>
    <n v="2562.9"/>
    <n v="65231.938199999997"/>
    <n v="1.6185985882798239E-3"/>
    <n v="1503"/>
    <n v="888"/>
    <n v="801"/>
    <n v="424"/>
    <n v="697"/>
    <n v="324"/>
    <n v="401"/>
    <n v="160"/>
    <n v="0.53293413173652693"/>
    <n v="0.47747747747747749"/>
    <n v="5.5456654259049443E-2"/>
    <n v="0.57532281205164992"/>
    <n v="0.49382716049382713"/>
    <n v="8.149565155782279E-2"/>
    <n v="0.69256756756756754"/>
    <n v="0.88915094339622636"/>
    <n v="1.1512345679012346"/>
    <n v="1.5062500000000001"/>
  </r>
  <r>
    <s v="YES BANK LTD."/>
    <n v="532648"/>
    <x v="2"/>
    <s v="Private Sector Bank"/>
    <n v="18.079999999999998"/>
    <n v="56725.692400599997"/>
    <n v="1.4075333061130276E-3"/>
    <n v="27814"/>
    <n v="27637"/>
    <n v="2429"/>
    <n v="1701"/>
    <n v="9272"/>
    <n v="9416"/>
    <n v="956"/>
    <n v="619"/>
    <n v="8.7330121521535922E-2"/>
    <n v="6.1547924883308611E-2"/>
    <n v="2.5782196638227312E-2"/>
    <n v="0.10310612597066436"/>
    <n v="6.5739167374681398E-2"/>
    <n v="3.7366958595982963E-2"/>
    <n v="6.4044577920903123E-3"/>
    <n v="0.42798353909465026"/>
    <n v="-1.5293118096856406E-2"/>
    <n v="0.54442649434571888"/>
  </r>
  <r>
    <s v="BIOCON LTD."/>
    <n v="532523"/>
    <x v="7"/>
    <s v="Pharmaceuticals"/>
    <n v="354.8"/>
    <n v="57453.861903199999"/>
    <n v="1.4256013593007646E-3"/>
    <n v="12410"/>
    <n v="10844"/>
    <n v="170"/>
    <n v="970"/>
    <n v="4173"/>
    <n v="3821"/>
    <n v="-51"/>
    <n v="81"/>
    <n v="1.3698630136986301E-2"/>
    <n v="8.9450387310955365E-2"/>
    <n v="-7.5751757173969064E-2"/>
    <n v="-1.2221423436376708E-2"/>
    <n v="2.1198639099712119E-2"/>
    <n v="-3.3420062536088826E-2"/>
    <n v="0.14441165621541874"/>
    <n v="-0.82474226804123707"/>
    <n v="9.2122481025909364E-2"/>
    <n v="-1.6296296296296298"/>
  </r>
  <r>
    <s v="Rail Vikas Nigam Limited"/>
    <n v="542649"/>
    <x v="4"/>
    <s v="Civil Construction"/>
    <n v="260.7"/>
    <n v="54379.380029899999"/>
    <n v="1.3493143110061413E-3"/>
    <n v="13716"/>
    <n v="13496"/>
    <n v="689"/>
    <n v="822"/>
    <n v="4684"/>
    <n v="4567"/>
    <n v="324"/>
    <n v="312"/>
    <n v="5.0233304170312042E-2"/>
    <n v="6.0906935388263188E-2"/>
    <n v="-1.0673631217951146E-2"/>
    <n v="6.9171648163962429E-2"/>
    <n v="6.8316181300634993E-2"/>
    <n v="8.5546686332743649E-4"/>
    <n v="1.6301126259632426E-2"/>
    <n v="-0.16180048661800484"/>
    <n v="2.5618567987738095E-2"/>
    <n v="3.8461538461538547E-2"/>
  </r>
  <r>
    <s v="Max Financial Services Limited"/>
    <n v="500271"/>
    <x v="2"/>
    <s v="Life Insurance"/>
    <n v="1501.5"/>
    <n v="51839.693265399997"/>
    <n v="1.2862971214955489E-3"/>
    <n v="36891"/>
    <n v="34101"/>
    <n v="137"/>
    <n v="365"/>
    <n v="14267"/>
    <n v="8923"/>
    <n v="45"/>
    <n v="70"/>
    <n v="3.7136428939307689E-3"/>
    <n v="1.0703498431131052E-2"/>
    <n v="-6.9898555372002822E-3"/>
    <n v="3.1541319128057755E-3"/>
    <n v="7.8448952146139197E-3"/>
    <n v="-4.6907633018081442E-3"/>
    <n v="8.1815782528371628E-2"/>
    <n v="-0.62465753424657533"/>
    <n v="0.59890171466995401"/>
    <n v="-0.3571428571428571"/>
  </r>
  <r>
    <s v="APL APOLLO TUBES LTD."/>
    <n v="533758"/>
    <x v="4"/>
    <s v="Iron &amp; Steel Products"/>
    <n v="1919.7"/>
    <n v="53257.637845099998"/>
    <n v="1.3214805478705979E-3"/>
    <n v="16191"/>
    <n v="15180"/>
    <n v="848"/>
    <n v="463"/>
    <n v="5815"/>
    <n v="5432"/>
    <n v="310"/>
    <n v="216"/>
    <n v="5.2374776110184672E-2"/>
    <n v="3.0500658761528326E-2"/>
    <n v="2.1874117348656345E-2"/>
    <n v="5.3310404127257092E-2"/>
    <n v="3.9764359351988215E-2"/>
    <n v="1.3546044775268877E-2"/>
    <n v="6.6600790513833941E-2"/>
    <n v="0.83153347732181415"/>
    <n v="7.0508100147275377E-2"/>
    <n v="0.43518518518518512"/>
  </r>
  <r>
    <s v="Dixon Technologies (India) Lim"/>
    <n v="540699"/>
    <x v="6"/>
    <s v="Consumer Electronics"/>
    <n v="10045.950000000001"/>
    <n v="61057.257938000002"/>
    <n v="1.5150123425687798E-3"/>
    <n v="38362"/>
    <n v="28567"/>
    <n v="1346"/>
    <n v="767"/>
    <n v="10671"/>
    <n v="10453"/>
    <n v="320"/>
    <n v="216"/>
    <n v="3.508680465043533E-2"/>
    <n v="2.6849161620051108E-2"/>
    <n v="8.2376430303842223E-3"/>
    <n v="2.9987817449161278E-2"/>
    <n v="2.0663924232277815E-2"/>
    <n v="9.3238932168834623E-3"/>
    <n v="0.34287814611264755"/>
    <n v="0.7548891786179921"/>
    <n v="2.0855256864058092E-2"/>
    <n v="0.4814814814814814"/>
  </r>
  <r>
    <s v="COLGATE-PALMOLIVE (INDIA) LTD."/>
    <n v="500830"/>
    <x v="5"/>
    <s v="Personal Care"/>
    <n v="1825"/>
    <n v="49661.851368000003"/>
    <n v="1.2322583803834799E-3"/>
    <n v="4511"/>
    <n v="4697"/>
    <n v="971"/>
    <n v="1081"/>
    <n v="1525"/>
    <n v="1482"/>
    <n v="323"/>
    <n v="322"/>
    <n v="0.21525160718244291"/>
    <n v="0.23014690227804982"/>
    <n v="-1.4895295095606914E-2"/>
    <n v="0.21180327868852458"/>
    <n v="0.21727395411605938"/>
    <n v="-5.4706754275347935E-3"/>
    <n v="-3.9599744517777258E-2"/>
    <n v="-0.10175763182238673"/>
    <n v="2.9014844804318596E-2"/>
    <n v="3.1055900621117516E-3"/>
  </r>
  <r>
    <s v="GLENMARK PHARMACEUTICALS LTD."/>
    <n v="532296"/>
    <x v="7"/>
    <s v="Pharmaceuticals"/>
    <n v="2105.3000000000002"/>
    <n v="59406.0721128"/>
    <n v="1.4740415065120278E-3"/>
    <n v="13211"/>
    <n v="10065"/>
    <n v="1060"/>
    <n v="1042"/>
    <n v="3900"/>
    <n v="3387"/>
    <n v="403"/>
    <n v="348"/>
    <n v="8.0236166830671404E-2"/>
    <n v="0.1035270740188773"/>
    <n v="-2.3290907188205895E-2"/>
    <n v="0.10333333333333333"/>
    <n v="0.10274579273693533"/>
    <n v="5.8754059639799794E-4"/>
    <n v="0.312568306010929"/>
    <n v="1.7274472168905985E-2"/>
    <n v="0.15146147032772372"/>
    <n v="0.15804597701149414"/>
  </r>
  <r>
    <s v="ORACLE FINANCIAL SERVICES SOFT"/>
    <n v="532466"/>
    <x v="3"/>
    <s v="Software Products"/>
    <n v="7033.25"/>
    <n v="61216.158685499999"/>
    <n v="1.5189551431765366E-3"/>
    <n v="5606"/>
    <n v="5130"/>
    <n v="1797"/>
    <n v="1735"/>
    <n v="1965"/>
    <n v="1715"/>
    <n v="609"/>
    <n v="541"/>
    <n v="0.32054941134498749"/>
    <n v="0.3382066276803119"/>
    <n v="-1.765721633532441E-2"/>
    <n v="0.3099236641221374"/>
    <n v="0.31545189504373178"/>
    <n v="-5.5282309215943792E-3"/>
    <n v="9.2787524366471752E-2"/>
    <n v="3.5734870317002843E-2"/>
    <n v="0.14577259475218662"/>
    <n v="0.12569316081330872"/>
  </r>
  <r>
    <s v="PRESTIGE ESTATES PROJECTS LTD."/>
    <n v="533274"/>
    <x v="6"/>
    <s v="Residential, Commercial Projects"/>
    <n v="1193.3"/>
    <n v="51386.112860000001"/>
    <n v="1.2750424412865859E-3"/>
    <n v="8611"/>
    <n v="5821"/>
    <n v="1013"/>
    <n v="573"/>
    <n v="3872"/>
    <n v="1654"/>
    <n v="244"/>
    <n v="32"/>
    <n v="0.1176402276158402"/>
    <n v="9.8436694725992091E-2"/>
    <n v="1.9203532889848107E-2"/>
    <n v="6.3016528925619833E-2"/>
    <n v="1.9347037484885126E-2"/>
    <n v="4.3669491440734703E-2"/>
    <n v="0.47929908950352162"/>
    <n v="0.76788830715532286"/>
    <n v="1.3409915356711002"/>
    <n v="6.625"/>
  </r>
  <r>
    <s v="MRF LTD."/>
    <n v="500290"/>
    <x v="6"/>
    <s v="Tyres &amp; Rubber Products"/>
    <n v="126670"/>
    <n v="53658.941235999999"/>
    <n v="1.3314380797162888E-3"/>
    <n v="23105"/>
    <n v="21078"/>
    <n v="1718"/>
    <n v="1357"/>
    <n v="8050"/>
    <n v="7001"/>
    <n v="692"/>
    <n v="315"/>
    <n v="7.4356199956719327E-2"/>
    <n v="6.4379922193756517E-2"/>
    <n v="9.9762777629628097E-3"/>
    <n v="8.5962732919254659E-2"/>
    <n v="4.4993572346807599E-2"/>
    <n v="4.0969160572447059E-2"/>
    <n v="9.6166619223835292E-2"/>
    <n v="0.2660280029476787"/>
    <n v="0.14983573775174985"/>
    <n v="1.196825396825397"/>
  </r>
  <r>
    <s v="THE PHOENIX MILLS LTD"/>
    <n v="503100"/>
    <x v="6"/>
    <s v="Residential, Commercial Projects"/>
    <n v="1551.7"/>
    <n v="55533.502434200003"/>
    <n v="1.3779515237864002E-3"/>
    <n v="3189"/>
    <n v="2797"/>
    <n v="1070"/>
    <n v="1015"/>
    <n v="1121"/>
    <n v="975"/>
    <n v="368"/>
    <n v="350"/>
    <n v="0.33552837880213232"/>
    <n v="0.36288880943868429"/>
    <n v="-2.7360430636551969E-2"/>
    <n v="0.32827832292595899"/>
    <n v="0.35897435897435898"/>
    <n v="-3.0696036048399988E-2"/>
    <n v="0.14015016088666421"/>
    <n v="5.4187192118226646E-2"/>
    <n v="0.1497435897435897"/>
    <n v="5.1428571428571379E-2"/>
  </r>
  <r>
    <s v="HDB FINANCIAL SERVICES LIMITED"/>
    <n v="544429"/>
    <x v="2"/>
    <s v="Non Banking Financial Company (NBFC)"/>
    <n v="587.54999999999995"/>
    <n v="48677.081653499998"/>
    <n v="1.2078233120158433E-3"/>
    <n v="13684"/>
    <n v="12034"/>
    <n v="1793"/>
    <n v="1645"/>
    <n v="4673"/>
    <n v="4143"/>
    <n v="643"/>
    <n v="472"/>
    <n v="0.13102893890675241"/>
    <n v="0.13669602792089081"/>
    <n v="-5.6670890141383989E-3"/>
    <n v="0.13759897282259789"/>
    <n v="0.11392710596186338"/>
    <n v="2.3671866860734511E-2"/>
    <n v="0.13711151736745886"/>
    <n v="8.9969604863221919E-2"/>
    <n v="0.12792662321988901"/>
    <n v="0.36228813559322037"/>
  </r>
  <r>
    <s v="NIPPON LIFE INDIA ASSET MANAGE"/>
    <n v="540767"/>
    <x v="2"/>
    <s v="Asset Management Company"/>
    <n v="838.95"/>
    <n v="53598.545799400003"/>
    <n v="1.3299394891314196E-3"/>
    <n v="2228"/>
    <n v="1931"/>
    <n v="1144"/>
    <n v="987"/>
    <n v="781"/>
    <n v="603"/>
    <n v="404"/>
    <n v="295"/>
    <n v="0.51346499102333931"/>
    <n v="0.51113412739513209"/>
    <n v="2.3308636282072248E-3"/>
    <n v="0.51728553137003841"/>
    <n v="0.48922056384742951"/>
    <n v="2.8064967522608897E-2"/>
    <n v="0.1538063179699638"/>
    <n v="0.15906788247213788"/>
    <n v="0.29519071310116085"/>
    <n v="0.36949152542372876"/>
  </r>
  <r>
    <s v="Laurus Labs Limited"/>
    <n v="540222"/>
    <x v="7"/>
    <s v="Pharmaceuticals"/>
    <n v="1058.4000000000001"/>
    <n v="57168.101431399999"/>
    <n v="1.4185107912599447E-3"/>
    <n v="5001"/>
    <n v="3833"/>
    <n v="607"/>
    <n v="120"/>
    <n v="1778"/>
    <n v="1415"/>
    <n v="253"/>
    <n v="90"/>
    <n v="0.121375724855029"/>
    <n v="3.1307070180015655E-2"/>
    <n v="9.0068654675013349E-2"/>
    <n v="0.1422947131608549"/>
    <n v="6.3604240282685506E-2"/>
    <n v="7.8690472878169396E-2"/>
    <n v="0.30472214975215239"/>
    <n v="4.0583333333333336"/>
    <n v="0.25653710247349815"/>
    <n v="1.8111111111111109"/>
  </r>
  <r>
    <s v="Sundaram Finance Ltd"/>
    <n v="590071"/>
    <x v="2"/>
    <s v="Non Banking Financial Company (NBFC)"/>
    <n v="4598.1000000000004"/>
    <n v="50755.300269899999"/>
    <n v="1.2593901029385435E-3"/>
    <n v="7284"/>
    <n v="6263"/>
    <n v="1425"/>
    <n v="1259"/>
    <n v="2530"/>
    <n v="2207"/>
    <n v="522"/>
    <n v="451"/>
    <n v="0.19563426688632621"/>
    <n v="0.20102187450103784"/>
    <n v="-5.3876076147116314E-3"/>
    <n v="0.20632411067193676"/>
    <n v="0.20434979610330767"/>
    <n v="1.974314568629093E-3"/>
    <n v="0.1630209164936931"/>
    <n v="0.13185067513899917"/>
    <n v="0.14635251472587218"/>
    <n v="0.15742793791574283"/>
  </r>
  <r>
    <s v="Linde India Limited"/>
    <n v="523457"/>
    <x v="8"/>
    <s v="Industrial Gases"/>
    <n v="7190"/>
    <n v="61302.290148"/>
    <n v="1.5210923211825241E-3"/>
    <n v="1916"/>
    <n v="1893"/>
    <n v="471"/>
    <n v="336"/>
    <n v="701"/>
    <n v="605"/>
    <n v="192"/>
    <n v="114"/>
    <n v="0.24582463465553236"/>
    <n v="0.1774960380348653"/>
    <n v="6.8328596620667065E-2"/>
    <n v="0.27389443651925821"/>
    <n v="0.1884297520661157"/>
    <n v="8.5464684453142509E-2"/>
    <n v="1.2150026413100923E-2"/>
    <n v="0.40178571428571419"/>
    <n v="0.15867768595041332"/>
    <n v="0.68421052631578938"/>
  </r>
  <r>
    <s v="ABBOTT INDIA LTD."/>
    <n v="500488"/>
    <x v="7"/>
    <s v="Pharmaceuticals"/>
    <n v="25905.55"/>
    <n v="55035.686999999998"/>
    <n v="1.3655992408211205E-3"/>
    <n v="5220"/>
    <n v="4805"/>
    <n v="1157"/>
    <n v="1047"/>
    <n v="1724"/>
    <n v="1614"/>
    <n v="376"/>
    <n v="361"/>
    <n v="0.22164750957854407"/>
    <n v="0.21789802289281998"/>
    <n v="3.7494866857240849E-3"/>
    <n v="0.21809744779582366"/>
    <n v="0.22366790582403964"/>
    <n v="-5.5704580282159855E-3"/>
    <n v="8.6368366285119569E-2"/>
    <n v="0.10506208213944612"/>
    <n v="6.8153655514250344E-2"/>
    <n v="4.1551246537396169E-2"/>
  </r>
  <r>
    <s v="SUZLON ENERGY LTD."/>
    <n v="532667"/>
    <x v="4"/>
    <s v="Heavy Electrical Equipment"/>
    <n v="41.38"/>
    <n v="56765.059682899999"/>
    <n v="1.4085101255869458E-3"/>
    <n v="11211"/>
    <n v="7078"/>
    <n v="2049"/>
    <n v="891"/>
    <n v="4228"/>
    <n v="2969"/>
    <n v="445"/>
    <n v="388"/>
    <n v="0.18276692534118277"/>
    <n v="0.12588301780163888"/>
    <n v="5.6883907539543893E-2"/>
    <n v="0.10525070955534532"/>
    <n v="0.13068373189626137"/>
    <n v="-2.5433022340916045E-2"/>
    <n v="0.58392201186775927"/>
    <n v="1.2996632996632997"/>
    <n v="0.42404850117884818"/>
    <n v="0.14690721649484528"/>
  </r>
  <r>
    <s v="HINDUSTAN COPPER LTD."/>
    <n v="513599"/>
    <x v="8"/>
    <s v="Copper"/>
    <n v="507.5"/>
    <n v="49090.9676932"/>
    <n v="1.2180930568379763E-3"/>
    <n v="1922"/>
    <n v="1340"/>
    <n v="477"/>
    <n v="278"/>
    <n v="687"/>
    <n v="328"/>
    <n v="156"/>
    <n v="63"/>
    <n v="0.2481789802289282"/>
    <n v="0.20746268656716418"/>
    <n v="4.0716293661764019E-2"/>
    <n v="0.22707423580786026"/>
    <n v="0.19207317073170732"/>
    <n v="3.5001065076152943E-2"/>
    <n v="0.43432835820895521"/>
    <n v="0.71582733812949639"/>
    <n v="1.0945121951219514"/>
    <n v="1.4761904761904763"/>
  </r>
  <r>
    <s v="BANK OF MAHARASHTRA"/>
    <n v="532525"/>
    <x v="2"/>
    <s v="Public Sector Bank"/>
    <n v="66.06"/>
    <n v="50818.097043200003"/>
    <n v="1.2609482778359424E-3"/>
    <n v="24129"/>
    <n v="20690"/>
    <n v="5005"/>
    <n v="4026"/>
    <n v="8277"/>
    <n v="7112"/>
    <n v="1779"/>
    <n v="1406"/>
    <n v="0.20742674789672177"/>
    <n v="0.19458675688738522"/>
    <n v="1.2839991009336554E-2"/>
    <n v="0.21493294671982602"/>
    <n v="0.19769403824521936"/>
    <n v="1.7238908474606657E-2"/>
    <n v="0.1662155630739488"/>
    <n v="0.24316939890710376"/>
    <n v="0.16380764904386957"/>
    <n v="0.26529160739687052"/>
  </r>
  <r>
    <s v="Patanjali Foods Limited"/>
    <n v="500368"/>
    <x v="5"/>
    <s v="_x0009_Edible Oil"/>
    <n v="471.9"/>
    <n v="51325.867008200003"/>
    <n v="1.2735475623459325E-3"/>
    <n v="29013"/>
    <n v="24246"/>
    <n v="1290"/>
    <n v="942"/>
    <n v="10483"/>
    <n v="8996"/>
    <n v="590"/>
    <n v="370"/>
    <n v="4.446282700858236E-2"/>
    <n v="3.8851769364018809E-2"/>
    <n v="5.611057644563551E-3"/>
    <n v="5.6281598778975483E-2"/>
    <n v="4.1129390840373502E-2"/>
    <n v="1.5152207938601982E-2"/>
    <n v="0.19660975006186598"/>
    <n v="0.36942675159235661"/>
    <n v="0.16529568697198749"/>
    <n v="0.59459459459459452"/>
  </r>
  <r>
    <s v="Vishal Mega Mart Limited"/>
    <n v="544307"/>
    <x v="6"/>
    <s v="Diversified Retail"/>
    <n v="113"/>
    <n v="52829.589111100002"/>
    <n v="1.3108593844392258E-3"/>
    <n v="9792"/>
    <n v="8168"/>
    <n v="671"/>
    <n v="516"/>
    <n v="3670"/>
    <n v="3135"/>
    <n v="312"/>
    <n v="262"/>
    <n v="6.8525326797385627E-2"/>
    <n v="6.3173359451518113E-2"/>
    <n v="5.3519673458675143E-3"/>
    <n v="8.5013623978201641E-2"/>
    <n v="8.3572567783094104E-2"/>
    <n v="1.4410561951075374E-3"/>
    <n v="0.19882468168462286"/>
    <n v="0.3003875968992249"/>
    <n v="0.17065390749601272"/>
    <n v="0.19083969465648853"/>
  </r>
  <r>
    <s v="Tube Investments of India Ltd"/>
    <n v="540762"/>
    <x v="6"/>
    <s v="Auto Components &amp; Equipments"/>
    <n v="2576.6"/>
    <n v="49849.379025299997"/>
    <n v="1.2369114998483433E-3"/>
    <n v="16633"/>
    <n v="14315"/>
    <n v="884"/>
    <n v="896"/>
    <n v="5801"/>
    <n v="4812"/>
    <n v="279"/>
    <n v="280"/>
    <n v="5.3147357662478203E-2"/>
    <n v="6.2591687041564786E-2"/>
    <n v="-9.4443293790865829E-3"/>
    <n v="4.8095156007584898E-2"/>
    <n v="5.8187863674147966E-2"/>
    <n v="-1.0092707666563068E-2"/>
    <n v="0.16192804750261969"/>
    <n v="-1.3392857142857095E-2"/>
    <n v="0.20552784704904403"/>
    <n v="-3.5714285714285587E-3"/>
  </r>
  <r>
    <s v="ADANI TOTAL GAS LIMITED"/>
    <n v="542066"/>
    <x v="0"/>
    <s v="LPG/CNG/PNG/LNG Supplier"/>
    <n v="525.04999999999995"/>
    <n v="57762.022542500003"/>
    <n v="1.4332477421846385E-3"/>
    <n v="4739"/>
    <n v="3980"/>
    <n v="487"/>
    <n v="499"/>
    <n v="1648"/>
    <n v="1407"/>
    <n v="158"/>
    <n v="142"/>
    <n v="0.10276429626503482"/>
    <n v="0.12537688442211056"/>
    <n v="-2.2612588157075744E-2"/>
    <n v="9.5873786407766989E-2"/>
    <n v="0.10092395167022032"/>
    <n v="-5.0501652624533322E-3"/>
    <n v="0.19070351758793969"/>
    <n v="-2.4048096192384794E-2"/>
    <n v="0.17128642501776836"/>
    <n v="0.11267605633802824"/>
  </r>
  <r>
    <s v="OBEROI REALTY LTD."/>
    <n v="533273"/>
    <x v="6"/>
    <s v="Residential, Commercial Projects"/>
    <n v="1519.95"/>
    <n v="55311.164888500003"/>
    <n v="1.3724346673580621E-3"/>
    <n v="4259"/>
    <n v="4136"/>
    <n v="1804"/>
    <n v="1792"/>
    <n v="1492"/>
    <n v="1411"/>
    <n v="622"/>
    <n v="618"/>
    <n v="0.42357360882836348"/>
    <n v="0.4332688588007737"/>
    <n v="-9.6952499724102248E-3"/>
    <n v="0.41689008042895442"/>
    <n v="0.43798724309000708"/>
    <n v="-2.109716266105266E-2"/>
    <n v="2.9738878143133363E-2"/>
    <n v="6.6964285714286031E-3"/>
    <n v="5.7406094968107668E-2"/>
    <n v="6.4724919093850364E-3"/>
  </r>
  <r>
    <s v="ADANI POWER LTD."/>
    <n v="533096"/>
    <x v="9"/>
    <s v="Integrated Power Utilities"/>
    <n v="164.15"/>
    <n v="316751.03324999998"/>
    <n v="7.8595361321737566E-3"/>
    <n v="40017"/>
    <n v="41965"/>
    <n v="8700"/>
    <n v="10150"/>
    <n v="12451"/>
    <n v="13671"/>
    <n v="2488"/>
    <n v="2940"/>
    <n v="0.21740760176924806"/>
    <n v="0.24186822351959966"/>
    <n v="-2.4460621750351602E-2"/>
    <n v="0.19982330736487028"/>
    <n v="0.21505376344086022"/>
    <n v="-1.523045607598994E-2"/>
    <n v="-4.6419635410461124E-2"/>
    <n v="-0.1428571428571429"/>
    <n v="-8.9239997074098465E-2"/>
    <n v="-0.15374149659863945"/>
  </r>
  <r>
    <s v="UPL LIMITED"/>
    <n v="512070"/>
    <x v="8"/>
    <s v="Pesticides &amp; Agrochemicals"/>
    <n v="605.95000000000005"/>
    <n v="51257.674285000001"/>
    <n v="1.2718554978672708E-3"/>
    <n v="33504"/>
    <n v="31064"/>
    <n v="926"/>
    <n v="-259"/>
    <n v="12269"/>
    <n v="10907"/>
    <n v="490"/>
    <n v="853"/>
    <n v="2.7638490926456542E-2"/>
    <n v="-8.3376255472572755E-3"/>
    <n v="3.5976116473713821E-2"/>
    <n v="3.9938055261227484E-2"/>
    <n v="7.8206656275786199E-2"/>
    <n v="-3.8268601014558715E-2"/>
    <n v="7.8547514808138041E-2"/>
    <n v="-4.5752895752895757"/>
    <n v="0.12487393417071613"/>
    <n v="-0.42555685814771393"/>
  </r>
  <r>
    <s v="IDFC FIRST BANK LIMITED"/>
    <n v="539437"/>
    <x v="2"/>
    <s v="Private Sector Bank"/>
    <n v="60.59"/>
    <n v="44367.640462800002"/>
    <n v="1.100893246467953E-3"/>
    <n v="36239"/>
    <n v="32169"/>
    <n v="1279"/>
    <n v="1194"/>
    <n v="12541"/>
    <n v="11122"/>
    <n v="478"/>
    <n v="340"/>
    <n v="3.5293468362813545E-2"/>
    <n v="3.7116478597407444E-2"/>
    <n v="-1.8230102345938998E-3"/>
    <n v="3.8114982856231563E-2"/>
    <n v="3.0570041359467722E-2"/>
    <n v="7.5449414967638413E-3"/>
    <n v="0.12651931984208398"/>
    <n v="7.1189279731993294E-2"/>
    <n v="0.12758496673260211"/>
    <n v="0.40588235294117636"/>
  </r>
  <r>
    <s v="JSW Infrastructure Limited"/>
    <n v="543994"/>
    <x v="10"/>
    <s v="Port &amp; Port services"/>
    <n v="238.05"/>
    <n v="49258.574399999998"/>
    <n v="1.2222518782144154E-3"/>
    <n v="3839"/>
    <n v="3192"/>
    <n v="1123"/>
    <n v="1005"/>
    <n v="1349"/>
    <n v="1181"/>
    <n v="365"/>
    <n v="336"/>
    <n v="0.29252409481635844"/>
    <n v="0.31484962406015038"/>
    <n v="-2.2325529243791942E-2"/>
    <n v="0.27057079318013344"/>
    <n v="0.28450465707027944"/>
    <n v="-1.3933863890146003E-2"/>
    <n v="0.20269423558897248"/>
    <n v="0.11741293532338304"/>
    <n v="0.1422523285351398"/>
    <n v="8.6309523809523725E-2"/>
  </r>
  <r>
    <s v="BERGER PAINTS INDIA LTD."/>
    <n v="509480"/>
    <x v="6"/>
    <s v="Paints"/>
    <n v="430.75"/>
    <n v="50183.175928299999"/>
    <n v="1.2451939947561519E-3"/>
    <n v="9012"/>
    <n v="8841"/>
    <n v="793"/>
    <n v="920"/>
    <n v="2984"/>
    <n v="2975"/>
    <n v="271"/>
    <n v="296"/>
    <n v="0.06"/>
    <n v="0.1040606266259473"/>
    <n v="-4.40606266259473E-2"/>
    <n v="9.0817694369973195E-2"/>
    <n v="9.9495798319327727E-2"/>
    <n v="-8.678103949354532E-3"/>
    <n v="1.9341703427214085E-2"/>
    <n v="-0.1380434782608696"/>
    <n v="3.0252100840335583E-3"/>
    <n v="-8.4459459459459429E-2"/>
  </r>
  <r>
    <s v="GODREJ PROPERTIES LTD"/>
    <n v="533150"/>
    <x v="6"/>
    <s v="Residential, Commercial Projects"/>
    <n v="1576"/>
    <n v="47548.646786600002"/>
    <n v="1.1798234835126631E-3"/>
    <n v="1673"/>
    <n v="2801"/>
    <n v="1195"/>
    <n v="1010"/>
    <n v="498"/>
    <n v="969"/>
    <n v="194"/>
    <n v="158"/>
    <n v="0.7142857142857143"/>
    <n v="0.36058550517672261"/>
    <n v="0.35370020910899169"/>
    <n v="0.38955823293172692"/>
    <n v="0.16305469556243551"/>
    <n v="0.22650353736929141"/>
    <n v="-0.40271331667261689"/>
    <n v="0.18316831683168311"/>
    <n v="-0.48606811145510831"/>
    <n v="0.22784810126582289"/>
  </r>
  <r>
    <s v="SUPREME INDUSTRIES LTD."/>
    <n v="509930"/>
    <x v="4"/>
    <s v="Plastic Products - Industrial"/>
    <n v="3712.05"/>
    <n v="47111.700204200002"/>
    <n v="1.1689815379727659E-3"/>
    <n v="7690"/>
    <n v="7419"/>
    <n v="520"/>
    <n v="666"/>
    <n v="2686"/>
    <n v="2509"/>
    <n v="153"/>
    <n v="186"/>
    <n v="6.7620286085825751E-2"/>
    <n v="8.9769510715729889E-2"/>
    <n v="-2.2149224629904138E-2"/>
    <n v="5.6962025316455694E-2"/>
    <n v="7.4133120765245114E-2"/>
    <n v="-1.717109544878942E-2"/>
    <n v="3.6527833939884014E-2"/>
    <n v="-0.21921921921921927"/>
    <n v="7.0546034276604219E-2"/>
    <n v="-0.17741935483870963"/>
  </r>
  <r>
    <s v="VOLTAS LTD."/>
    <n v="500575"/>
    <x v="6"/>
    <s v="Household Appliances"/>
    <n v="1242.75"/>
    <n v="41138.896366599998"/>
    <n v="1.0207784931702173E-3"/>
    <n v="9357"/>
    <n v="10645"/>
    <n v="257"/>
    <n v="599"/>
    <n v="3071"/>
    <n v="3105"/>
    <n v="84"/>
    <n v="131"/>
    <n v="2.7466068184247086E-2"/>
    <n v="5.6270549553781121E-2"/>
    <n v="-2.8804481369534035E-2"/>
    <n v="2.7352653858677956E-2"/>
    <n v="4.2190016103059579E-2"/>
    <n v="-1.4837362244381622E-2"/>
    <n v="-0.12099577266322215"/>
    <n v="-0.57095158597662765"/>
    <n v="-1.0950080515297889E-2"/>
    <n v="-0.35877862595419852"/>
  </r>
  <r>
    <s v="KEI INDUSTRIES LTD."/>
    <n v="517569"/>
    <x v="4"/>
    <s v="Cables - Electricals"/>
    <n v="4149"/>
    <n v="39655.128879999997"/>
    <n v="9.8396180451407276E-4"/>
    <n v="8271"/>
    <n v="6821"/>
    <n v="634"/>
    <n v="469"/>
    <n v="2954"/>
    <n v="2472"/>
    <n v="234"/>
    <n v="164"/>
    <n v="7.6653367186555438E-2"/>
    <n v="6.8758246591408889E-2"/>
    <n v="7.8951205951465486E-3"/>
    <n v="7.9214624238320916E-2"/>
    <n v="6.6343042071197414E-2"/>
    <n v="1.2871582167123502E-2"/>
    <n v="0.21257880076235147"/>
    <n v="0.35181236673773997"/>
    <n v="0.19498381877022664"/>
    <n v="0.42682926829268286"/>
  </r>
  <r>
    <s v="P.I.INDUSTRIES LTD."/>
    <n v="523642"/>
    <x v="8"/>
    <s v="Pesticides &amp; Agrochemicals"/>
    <n v="2833.6"/>
    <n v="42994.866009700003"/>
    <n v="1.0668306254095117E-3"/>
    <n v="5148"/>
    <n v="6190"/>
    <n v="1120"/>
    <n v="1329"/>
    <n v="1375"/>
    <n v="1900"/>
    <n v="311"/>
    <n v="372"/>
    <n v="0.21756021756021757"/>
    <n v="0.2147011308562197"/>
    <n v="2.8590867039978707E-3"/>
    <n v="0.22618181818181818"/>
    <n v="0.19578947368421051"/>
    <n v="3.0392344497607665E-2"/>
    <n v="-0.16833602584814211"/>
    <n v="-0.15726109857035364"/>
    <n v="-0.27631578947368418"/>
    <n v="-0.16397849462365588"/>
  </r>
  <r>
    <s v="Bharat Dynamics Limited"/>
    <n v="541143"/>
    <x v="4"/>
    <s v="Aerospace &amp; Defense"/>
    <n v="1224.3499999999999"/>
    <n v="44892.895338100003"/>
    <n v="1.1139263836566879E-3"/>
    <n v="1961"/>
    <n v="1568"/>
    <n v="307"/>
    <n v="276"/>
    <n v="566"/>
    <n v="832"/>
    <n v="72"/>
    <n v="147"/>
    <n v="0.15655277919428862"/>
    <n v="0.17602040816326531"/>
    <n v="-1.9467628968976691E-2"/>
    <n v="0.12720848056537101"/>
    <n v="0.17668269230769232"/>
    <n v="-4.9474211742321306E-2"/>
    <n v="0.25063775510204089"/>
    <n v="0.1123188405797102"/>
    <n v="-0.31971153846153844"/>
    <n v="-0.51020408163265307"/>
  </r>
  <r>
    <s v="PETRONET LNG LTD."/>
    <n v="532522"/>
    <x v="0"/>
    <s v="LPG/CNG/PNG/LNG Supplier"/>
    <n v="254.4"/>
    <n v="38150.9994506"/>
    <n v="9.466398754376656E-4"/>
    <n v="34053"/>
    <n v="38666"/>
    <n v="2472"/>
    <n v="2816"/>
    <n v="11164"/>
    <n v="12227"/>
    <n v="845"/>
    <n v="867"/>
    <n v="7.2592723108096197E-2"/>
    <n v="7.2828841876584074E-2"/>
    <n v="-2.3611876848787794E-4"/>
    <n v="7.5689716947330704E-2"/>
    <n v="7.0908644802486306E-2"/>
    <n v="4.7810721448443977E-3"/>
    <n v="-0.1193037810996741"/>
    <n v="-0.12215909090909094"/>
    <n v="-8.6938742128077173E-2"/>
    <n v="-2.5374855824682796E-2"/>
  </r>
  <r>
    <s v="Indian Railway Catering and To"/>
    <n v="542830"/>
    <x v="6"/>
    <s v="Tour, Travel Related Services"/>
    <n v="513.1"/>
    <n v="41047.998046799999"/>
    <n v="1.0185230352432399E-3"/>
    <n v="3755"/>
    <n v="3406"/>
    <n v="1073"/>
    <n v="956"/>
    <n v="1449"/>
    <n v="1224"/>
    <n v="395"/>
    <n v="342"/>
    <n v="0.28575233022636487"/>
    <n v="0.28068115091015855"/>
    <n v="5.0711793162063201E-3"/>
    <n v="0.2726017943409248"/>
    <n v="0.27941176470588236"/>
    <n v="-6.8099703649575627E-3"/>
    <n v="0.10246623605402227"/>
    <n v="0.12238493723849375"/>
    <n v="0.18382352941176472"/>
    <n v="0.15497076023391809"/>
  </r>
  <r>
    <s v="MAHINDRA &amp; MAHINDRA FINANCIAL"/>
    <n v="532720"/>
    <x v="2"/>
    <s v="Non Banking Financial Company (NBFC)"/>
    <n v="284.7"/>
    <n v="35161.675717600003"/>
    <n v="8.7246585412757715E-4"/>
    <n v="16527"/>
    <n v="13633"/>
    <n v="1921"/>
    <n v="1805"/>
    <n v="5464"/>
    <n v="4799"/>
    <n v="827"/>
    <n v="918"/>
    <n v="0.11623404126580747"/>
    <n v="0.1323993251668745"/>
    <n v="-1.6165283901067029E-2"/>
    <n v="0.15135431918008785"/>
    <n v="0.19128985205251095"/>
    <n v="-3.9935532872423102E-2"/>
    <n v="0.21227902882711058"/>
    <n v="6.4265927977839254E-2"/>
    <n v="0.13857053552823495"/>
    <n v="-9.9128540305010948E-2"/>
  </r>
  <r>
    <s v="BALKRISHNA INDUSTRIES LTD."/>
    <n v="502355"/>
    <x v="6"/>
    <s v="Tyres &amp; Rubber Products"/>
    <n v="2130.0500000000002"/>
    <n v="41298.333016899996"/>
    <n v="1.0247345911218743E-3"/>
    <n v="7890"/>
    <n v="7694"/>
    <n v="944"/>
    <n v="1286"/>
    <n v="2737"/>
    <n v="2560"/>
    <n v="382"/>
    <n v="449"/>
    <n v="0.11964512040557668"/>
    <n v="0.16714322848973226"/>
    <n v="-4.7498108084155582E-2"/>
    <n v="0.13956887102667154"/>
    <n v="0.17539062499999999"/>
    <n v="-3.5821753973328457E-2"/>
    <n v="2.5474395632960833E-2"/>
    <n v="-0.2659409020217729"/>
    <n v="6.9140624999999956E-2"/>
    <n v="-0.1492204899777283"/>
  </r>
  <r>
    <s v="ASTRAL LIMITED"/>
    <n v="532830"/>
    <x v="4"/>
    <s v="Plastic Products - Industrial"/>
    <n v="1519.7"/>
    <n v="40837.501045099998"/>
    <n v="1.0132999779619409E-3"/>
    <n v="4480"/>
    <n v="4151"/>
    <n v="321"/>
    <n v="340"/>
    <n v="1541"/>
    <n v="1397"/>
    <n v="107"/>
    <n v="112"/>
    <n v="7.165178571428571E-2"/>
    <n v="8.1907973982172977E-2"/>
    <n v="-1.0256188267887267E-2"/>
    <n v="6.9435431537962361E-2"/>
    <n v="8.0171796707229778E-2"/>
    <n v="-1.0736365169267417E-2"/>
    <n v="7.9258010118043787E-2"/>
    <n v="-5.5882352941176494E-2"/>
    <n v="0.10307802433786684"/>
    <n v="-4.4642857142857095E-2"/>
  </r>
  <r>
    <s v="TATA COMMUNICATIONS LTD."/>
    <n v="500483"/>
    <x v="1"/>
    <s v="Telecom - Cellular &amp; Fixed line services"/>
    <n v="1396.15"/>
    <n v="39773.452087999998"/>
    <n v="9.8689775556373119E-4"/>
    <n v="18248"/>
    <n v="17118"/>
    <n v="737"/>
    <n v="796"/>
    <n v="6188"/>
    <n v="5798"/>
    <n v="364"/>
    <n v="236"/>
    <n v="4.0387987724682155E-2"/>
    <n v="4.6500759434513379E-2"/>
    <n v="-6.1127717098312245E-3"/>
    <n v="5.8823529411764705E-2"/>
    <n v="4.0703690927906176E-2"/>
    <n v="1.8119838483858529E-2"/>
    <n v="6.6012384624372089E-2"/>
    <n v="-7.4120603015075393E-2"/>
    <n v="6.7264573991031362E-2"/>
    <n v="0.54237288135593231"/>
  </r>
  <r>
    <s v="J.K.CEMENT LTD."/>
    <n v="532644"/>
    <x v="8"/>
    <s v="Cement &amp; Cement Products"/>
    <n v="5295.5"/>
    <n v="40944.445675000003"/>
    <n v="1.0159535926138547E-3"/>
    <n v="9834"/>
    <n v="8297"/>
    <n v="657"/>
    <n v="511"/>
    <n v="3463"/>
    <n v="2930"/>
    <n v="173"/>
    <n v="189"/>
    <n v="6.6809029896278224E-2"/>
    <n v="6.1588525973243338E-2"/>
    <n v="5.220503923034886E-3"/>
    <n v="4.9956684955241124E-2"/>
    <n v="6.4505119453924911E-2"/>
    <n v="-1.4548434498683788E-2"/>
    <n v="0.18524767988429547"/>
    <n v="0.28571428571428581"/>
    <n v="0.18191126279863479"/>
    <n v="-8.4656084656084651E-2"/>
  </r>
  <r>
    <s v="MPHASIS LTD."/>
    <n v="526299"/>
    <x v="3"/>
    <s v="Computers - Software &amp; Consulting"/>
    <n v="2231"/>
    <n v="42550.280966500002"/>
    <n v="1.0557991469167594E-3"/>
    <n v="11636"/>
    <n v="10519"/>
    <n v="135"/>
    <n v="125"/>
    <n v="400"/>
    <n v="356"/>
    <n v="442"/>
    <n v="427"/>
    <n v="1.1601925060158129E-2"/>
    <n v="1.1883258864911114E-2"/>
    <n v="-2.8133380475298467E-4"/>
    <n v="1.105"/>
    <n v="1.199438202247191"/>
    <n v="-9.4438202247191017E-2"/>
    <n v="0.10618880121684571"/>
    <n v="8.0000000000000071E-2"/>
    <n v="0.12359550561797761"/>
    <n v="3.5128805620608938E-2"/>
  </r>
  <r>
    <s v="GLAXOSMITHKLINE PHARMACEUTICAL"/>
    <n v="500660"/>
    <x v="7"/>
    <s v="Pharmaceuticals"/>
    <n v="2330.6999999999998"/>
    <n v="39534.277392800002"/>
    <n v="9.8096311933054052E-4"/>
    <n v="2926"/>
    <n v="2774"/>
    <n v="758"/>
    <n v="664"/>
    <n v="1041"/>
    <n v="909"/>
    <n v="295"/>
    <n v="929"/>
    <n v="0.25905673274094326"/>
    <n v="0.23936553713049746"/>
    <n v="1.96911956104458E-2"/>
    <n v="0.28338136407300674"/>
    <n v="1.022002200220022"/>
    <n v="-0.73862083614701524"/>
    <n v="5.4794520547945202E-2"/>
    <n v="0.14156626506024095"/>
    <n v="0.1452145214521452"/>
    <n v="-0.68245425188374598"/>
  </r>
  <r>
    <s v="APAR INDUSTRIES LTD."/>
    <n v="532259"/>
    <x v="4"/>
    <s v="Other Electrical Equipment"/>
    <n v="9973.15"/>
    <n v="40065.880809499999"/>
    <n v="9.9415378273160653E-4"/>
    <n v="16299"/>
    <n v="13371"/>
    <n v="724"/>
    <n v="571"/>
    <n v="5480"/>
    <n v="4716"/>
    <n v="209"/>
    <n v="175"/>
    <n v="4.4419903061537515E-2"/>
    <n v="4.2704360182484483E-2"/>
    <n v="1.7155428790530322E-3"/>
    <n v="3.8138686131386865E-2"/>
    <n v="3.7107718405428328E-2"/>
    <n v="1.030967725958537E-3"/>
    <n v="0.21898137760825676"/>
    <n v="0.26795096322241685"/>
    <n v="0.16200169635284145"/>
    <n v="0.19428571428571439"/>
  </r>
  <r>
    <s v="MOTILAL OSWAL FINANCIAL SERVIC"/>
    <n v="532892"/>
    <x v="2"/>
    <s v="Stockbroking &amp; Allied"/>
    <n v="702"/>
    <n v="42238.541083299999"/>
    <n v="1.0480639523359851E-3"/>
    <n v="6724"/>
    <n v="7208"/>
    <n v="2084"/>
    <n v="2571"/>
    <n v="2120"/>
    <n v="2019"/>
    <n v="566"/>
    <n v="566"/>
    <n v="0.30993456276026177"/>
    <n v="0.35668701442841289"/>
    <n v="-4.6752451668151118E-2"/>
    <n v="0.26698113207547169"/>
    <n v="0.28033680039623576"/>
    <n v="-1.3355668320764069E-2"/>
    <n v="-6.7147613762486125E-2"/>
    <n v="-0.18942045896538307"/>
    <n v="5.002476473501738E-2"/>
    <n v="0"/>
  </r>
  <r>
    <s v="UNITED BREWERIES LTD."/>
    <n v="532478"/>
    <x v="5"/>
    <s v="Breweries &amp; Distilleries"/>
    <n v="1472.8"/>
    <n v="38960.091484999997"/>
    <n v="9.6671585755325274E-4"/>
    <n v="13055"/>
    <n v="14981"/>
    <n v="311"/>
    <n v="344"/>
    <n v="3936"/>
    <n v="4426"/>
    <n v="81"/>
    <n v="38"/>
    <n v="2.3822290310225966E-2"/>
    <n v="2.2962419064147921E-2"/>
    <n v="8.5987124607804499E-4"/>
    <n v="2.0579268292682928E-2"/>
    <n v="8.5856303660189794E-3"/>
    <n v="1.1993637926663948E-2"/>
    <n v="-0.12856284627194448"/>
    <n v="-9.5930232558139483E-2"/>
    <n v="-0.11070944419340267"/>
    <n v="1.1315789473684212"/>
  </r>
  <r>
    <s v="360 ONE WAM LIMITED"/>
    <n v="542772"/>
    <x v="2"/>
    <s v="Stockbroking &amp; Allied"/>
    <n v="931.15"/>
    <n v="37835.852352399997"/>
    <n v="9.3882013770914589E-4"/>
    <n v="3308"/>
    <n v="2763"/>
    <n v="927"/>
    <n v="766"/>
    <n v="1220"/>
    <n v="934"/>
    <n v="327"/>
    <n v="276"/>
    <n v="0.28022974607013301"/>
    <n v="0.27723488961273979"/>
    <n v="2.9948564573932246E-3"/>
    <n v="0.2680327868852459"/>
    <n v="0.2955032119914347"/>
    <n v="-2.7470425106188801E-2"/>
    <n v="0.19724936663047421"/>
    <n v="0.21018276762402088"/>
    <n v="0.30620985010706647"/>
    <n v="0.18478260869565211"/>
  </r>
  <r>
    <s v="Kalyan Jewellers India Limited"/>
    <n v="543278"/>
    <x v="6"/>
    <s v="Gems, Jewellery And Watches"/>
    <n v="419.6"/>
    <n v="43380.242439299996"/>
    <n v="1.0763929619293066E-3"/>
    <n v="25467"/>
    <n v="18863"/>
    <n v="940"/>
    <n v="526"/>
    <n v="10343"/>
    <n v="7278"/>
    <n v="416"/>
    <n v="218"/>
    <n v="3.6910511642517768E-2"/>
    <n v="2.7885278057573026E-2"/>
    <n v="9.0252335849447425E-3"/>
    <n v="4.0220438944213475E-2"/>
    <n v="2.9953283869194835E-2"/>
    <n v="1.0267155075018641E-2"/>
    <n v="0.35010337698139216"/>
    <n v="0.78707224334600756"/>
    <n v="0.42113217917010171"/>
    <n v="0.90825688073394506"/>
  </r>
  <r>
    <s v="3M INDIA LTD."/>
    <n v="523395"/>
    <x v="11"/>
    <s v="Diversified"/>
    <n v="29305"/>
    <n v="33006.625800000002"/>
    <n v="8.189926498881865E-4"/>
    <n v="3690"/>
    <n v="3247"/>
    <n v="306"/>
    <n v="404"/>
    <n v="1228"/>
    <n v="1089"/>
    <n v="-62"/>
    <n v="113"/>
    <n v="8.2926829268292687E-2"/>
    <n v="0.12442254388666461"/>
    <n v="-4.1495714618371926E-2"/>
    <n v="-5.0488599348534204E-2"/>
    <n v="0.10376492194674013"/>
    <n v="-0.15425352129527434"/>
    <n v="0.1364336310440406"/>
    <n v="-0.24257425742574257"/>
    <n v="0.12764003673094582"/>
    <n v="-1.5486725663716814"/>
  </r>
  <r>
    <s v="COFORGE LIMITED"/>
    <n v="532541"/>
    <x v="3"/>
    <s v="Computers - Software &amp; Consulting"/>
    <n v="1217.6500000000001"/>
    <n v="40881.619785800001"/>
    <n v="1.0143946952642961E-3"/>
    <n v="11862"/>
    <n v="8640"/>
    <n v="1078"/>
    <n v="628"/>
    <n v="4188"/>
    <n v="3258"/>
    <n v="296"/>
    <n v="255"/>
    <n v="9.087843533974034E-2"/>
    <n v="7.2685185185185186E-2"/>
    <n v="1.8193250154555154E-2"/>
    <n v="7.0678127984718245E-2"/>
    <n v="7.8268876611418042E-2"/>
    <n v="-7.5907486266997976E-3"/>
    <n v="0.37291666666666656"/>
    <n v="0.71656050955414008"/>
    <n v="0.28545119705340705"/>
    <n v="0.16078431372549029"/>
  </r>
  <r>
    <s v="Piramal Finance Ltd"/>
    <n v="544597"/>
    <x v="2"/>
    <s v="Non Banking Financial Company (NBFC)"/>
    <n v="1729"/>
    <n v="38994.990439300003"/>
    <n v="9.6758180450686371E-4"/>
    <n v="8567"/>
    <n v="7579"/>
    <n v="1004"/>
    <n v="383"/>
    <n v="2975"/>
    <n v="2878"/>
    <n v="401"/>
    <n v="39"/>
    <n v="0.11719388350647834"/>
    <n v="5.0534371289088269E-2"/>
    <n v="6.6659512217390082E-2"/>
    <n v="0.13478991596638656"/>
    <n v="1.3551077136900626E-2"/>
    <n v="0.12123883882948594"/>
    <n v="0.130360205831904"/>
    <n v="1.6214099216710185"/>
    <n v="3.3703961084086131E-2"/>
    <n v="9.2820512820512828"/>
  </r>
  <r>
    <s v="BLUE STAR LTD."/>
    <n v="500067"/>
    <x v="6"/>
    <s v="Household Appliances"/>
    <n v="1563.45"/>
    <n v="32144.9843965"/>
    <n v="7.9761276148087635E-4"/>
    <n v="8330"/>
    <n v="7949"/>
    <n v="300"/>
    <n v="397"/>
    <n v="2925"/>
    <n v="2807"/>
    <n v="81"/>
    <n v="132"/>
    <n v="3.601440576230492E-2"/>
    <n v="4.9943389105547867E-2"/>
    <n v="-1.3928983343242947E-2"/>
    <n v="2.7692307692307693E-2"/>
    <n v="4.7025293908086928E-2"/>
    <n v="-1.9332986215779235E-2"/>
    <n v="4.7930557302805488E-2"/>
    <n v="-0.24433249370277077"/>
    <n v="4.2037762736017115E-2"/>
    <n v="-0.38636363636363635"/>
  </r>
  <r>
    <s v="Anthem Biosciences Ltd"/>
    <n v="544449"/>
    <x v="7"/>
    <s v="Biotechnology"/>
    <n v="662.85"/>
    <n v="37250.052018299997"/>
    <n v="9.2428468743812958E-4"/>
    <n v="1513"/>
    <n v="1361"/>
    <n v="402"/>
    <n v="368"/>
    <n v="423"/>
    <n v="497"/>
    <n v="92"/>
    <n v="124"/>
    <n v="0.26569729015201587"/>
    <n v="0.27038941954445261"/>
    <n v="-4.6921293924367391E-3"/>
    <n v="0.21749408983451538"/>
    <n v="0.24949698189134809"/>
    <n v="-3.200289205683271E-2"/>
    <n v="0.11168258633357819"/>
    <n v="9.2391304347826164E-2"/>
    <n v="-0.14889336016096577"/>
    <n v="-0.25806451612903225"/>
  </r>
  <r>
    <s v="IPCA LABORATORIES LTD."/>
    <n v="524494"/>
    <x v="7"/>
    <s v="Pharmaceuticals"/>
    <n v="1444.3"/>
    <n v="36650.108112599999"/>
    <n v="9.0939829304899117E-4"/>
    <n v="7258"/>
    <n v="6693"/>
    <n v="893"/>
    <n v="704"/>
    <n v="2352"/>
    <n v="2245"/>
    <n v="363"/>
    <n v="264"/>
    <n v="0.12303664921465969"/>
    <n v="0.10518452114149111"/>
    <n v="1.7852128073168577E-2"/>
    <n v="0.15433673469387754"/>
    <n v="0.11759465478841871"/>
    <n v="3.674207990545883E-2"/>
    <n v="8.4416554609293204E-2"/>
    <n v="0.26846590909090917"/>
    <n v="4.7661469933184764E-2"/>
    <n v="0.375"/>
  </r>
  <r>
    <s v="Cochin Shipyard Limited"/>
    <n v="540678"/>
    <x v="4"/>
    <s v="Ship Building &amp; Allied Services"/>
    <n v="1333.2"/>
    <n v="35063.396980500002"/>
    <n v="8.7002726607519909E-4"/>
    <n v="3537"/>
    <n v="3062"/>
    <n v="440"/>
    <n v="540"/>
    <n v="1350"/>
    <n v="1147"/>
    <n v="144"/>
    <n v="176"/>
    <n v="0.12439920836867402"/>
    <n v="0.17635532331809275"/>
    <n v="-5.1956114949418736E-2"/>
    <n v="0.10666666666666667"/>
    <n v="0.15344376634699217"/>
    <n v="-4.6777099680325493E-2"/>
    <n v="0.15512736773350744"/>
    <n v="-0.18518518518518523"/>
    <n v="0.17698343504795111"/>
    <n v="-0.18181818181818177"/>
  </r>
  <r>
    <s v="Escorts Kubota Limited"/>
    <n v="500495"/>
    <x v="4"/>
    <s v="Tractors"/>
    <n v="2904.55"/>
    <n v="31960.062537199999"/>
    <n v="7.9302429962209539E-4"/>
    <n v="8572"/>
    <n v="7799"/>
    <n v="2073"/>
    <n v="946"/>
    <n v="3280"/>
    <n v="2948"/>
    <n v="358"/>
    <n v="321"/>
    <n v="0.2418338777414839"/>
    <n v="0.12129760225669958"/>
    <n v="0.12053627548478432"/>
    <n v="0.10914634146341463"/>
    <n v="0.10888738127544098"/>
    <n v="2.5896018797365306E-4"/>
    <n v="9.9115271188613852E-2"/>
    <n v="1.1913319238900635"/>
    <n v="0.11261872455902311"/>
    <n v="0.11526479750778806"/>
  </r>
  <r>
    <s v="Endurance Technologies Limited"/>
    <n v="540153"/>
    <x v="6"/>
    <s v="Auto Components &amp; Equipments"/>
    <n v="2190.1"/>
    <n v="30908.422757200002"/>
    <n v="7.6692998585100919E-4"/>
    <n v="10510"/>
    <n v="8597"/>
    <n v="675"/>
    <n v="591"/>
    <n v="3608"/>
    <n v="2859"/>
    <n v="222"/>
    <n v="184"/>
    <n v="6.4224548049476693E-2"/>
    <n v="6.874491101547052E-2"/>
    <n v="-4.5203629659938266E-3"/>
    <n v="6.1529933481152994E-2"/>
    <n v="6.4358167191325644E-2"/>
    <n v="-2.8282337101726493E-3"/>
    <n v="0.22251948354077"/>
    <n v="0.14213197969543145"/>
    <n v="0.26197971318642876"/>
    <n v="0.20652173913043481"/>
  </r>
  <r>
    <s v="AJANTA PHARMA LTD."/>
    <n v="532331"/>
    <x v="7"/>
    <s v="Pharmaceuticals"/>
    <n v="2739.9"/>
    <n v="34226.107620000002"/>
    <n v="8.4925162435301252E-4"/>
    <n v="4031"/>
    <n v="3478"/>
    <n v="789"/>
    <n v="695"/>
    <n v="1375"/>
    <n v="1146"/>
    <n v="274"/>
    <n v="233"/>
    <n v="0.19573306871743984"/>
    <n v="0.19982748706152961"/>
    <n v="-4.094418344089773E-3"/>
    <n v="0.19927272727272727"/>
    <n v="0.20331588132635253"/>
    <n v="-4.0431540536252641E-3"/>
    <n v="0.1589994249568718"/>
    <n v="0.13525179856115099"/>
    <n v="0.19982547993019195"/>
    <n v="0.17596566523605151"/>
  </r>
  <r>
    <s v="Gujarat Fluorochemicals Limite"/>
    <n v="542812"/>
    <x v="8"/>
    <s v="Specialty Chemicals"/>
    <n v="3191.7"/>
    <n v="35111.3560363"/>
    <n v="8.7121727302815995E-4"/>
    <n v="3627"/>
    <n v="3512"/>
    <n v="465"/>
    <n v="355"/>
    <n v="1136"/>
    <n v="1148"/>
    <n v="102"/>
    <n v="126"/>
    <n v="0.12820512820512819"/>
    <n v="0.10108200455580865"/>
    <n v="2.7123123649319542E-2"/>
    <n v="8.9788732394366202E-2"/>
    <n v="0.10975609756097561"/>
    <n v="-1.9967365166609408E-2"/>
    <n v="3.2744874715261885E-2"/>
    <n v="0.3098591549295775"/>
    <n v="-1.0452961672473893E-2"/>
    <n v="-0.19047619047619047"/>
  </r>
  <r>
    <s v="L&amp;T Technology Services Limite"/>
    <n v="540115"/>
    <x v="3"/>
    <s v="IT Enabled Services"/>
    <n v="3349.1"/>
    <n v="35519.963309999999"/>
    <n v="8.8135603595045629E-4"/>
    <n v="8769"/>
    <n v="7687"/>
    <n v="948"/>
    <n v="953"/>
    <n v="2923"/>
    <n v="2653"/>
    <n v="303"/>
    <n v="319"/>
    <n v="0.10810810810810811"/>
    <n v="0.12397554312475609"/>
    <n v="-1.5867435016647974E-2"/>
    <n v="0.10366062264796443"/>
    <n v="0.12024123633622315"/>
    <n v="-1.6580613688258722E-2"/>
    <n v="0.14075712241446592"/>
    <n v="-5.2465897166841247E-3"/>
    <n v="0.10177157934413872"/>
    <n v="-5.0156739811912265E-2"/>
  </r>
  <r>
    <s v="DALMIA BHARAT LIMITED"/>
    <n v="542216"/>
    <x v="8"/>
    <s v="Cement &amp; Cement Products"/>
    <n v="1871"/>
    <n v="35101.0829839"/>
    <n v="8.7096236801428493E-4"/>
    <n v="10559"/>
    <n v="9889"/>
    <n v="762"/>
    <n v="260"/>
    <n v="3506"/>
    <n v="3181"/>
    <n v="128"/>
    <n v="66"/>
    <n v="7.2165924803485174E-2"/>
    <n v="2.6291839417534633E-2"/>
    <n v="4.5874085385950544E-2"/>
    <n v="3.650884198516828E-2"/>
    <n v="2.0748192392329456E-2"/>
    <n v="1.5760649592838825E-2"/>
    <n v="6.7752047729800813E-2"/>
    <n v="1.9307692307692306"/>
    <n v="0.10216912920465271"/>
    <n v="0.93939393939393945"/>
  </r>
  <r>
    <s v="PROCTER &amp; GAMBLE HYGIENE &amp; HEA"/>
    <n v="500459"/>
    <x v="5"/>
    <s v="Personal Care"/>
    <n v="9632.9500000000007"/>
    <n v="31196.384566500001"/>
    <n v="7.740751756287902E-4"/>
    <n v="3349"/>
    <n v="3314"/>
    <n v="703"/>
    <n v="561"/>
    <n v="1251"/>
    <n v="1247"/>
    <n v="301"/>
    <n v="268"/>
    <n v="0.20991340698716035"/>
    <n v="0.16928183464091731"/>
    <n v="4.0631572346243039E-2"/>
    <n v="0.24060751398880895"/>
    <n v="0.21491579791499599"/>
    <n v="2.5691716073812959E-2"/>
    <n v="1.0561255280627568E-2"/>
    <n v="0.25311942959001787"/>
    <n v="3.2076984763431682E-3"/>
    <n v="0.12313432835820892"/>
  </r>
  <r>
    <s v="Narayana Hrudayalaya Limited"/>
    <n v="539551"/>
    <x v="7"/>
    <s v="Hospital"/>
    <n v="1670"/>
    <n v="33937.976580000002"/>
    <n v="8.4210223545774896E-4"/>
    <n v="5302"/>
    <n v="4007"/>
    <n v="582"/>
    <n v="593"/>
    <n v="2151"/>
    <n v="1334"/>
    <n v="128"/>
    <n v="193"/>
    <n v="0.10976989815164089"/>
    <n v="0.14799101572248566"/>
    <n v="-3.8221117570844773E-2"/>
    <n v="5.9507205950720593E-2"/>
    <n v="0.1446776611694153"/>
    <n v="-8.5170455218694707E-2"/>
    <n v="0.32318442725230856"/>
    <n v="-1.8549747048903886E-2"/>
    <n v="0.61244377811094464"/>
    <n v="-0.33678756476683935"/>
  </r>
  <r>
    <s v="Housing &amp;Urban Development Cor"/>
    <n v="540530"/>
    <x v="2"/>
    <s v="Financial Institution"/>
    <n v="169.25"/>
    <n v="33900.047225000002"/>
    <n v="8.4116109524098686E-4"/>
    <n v="9702"/>
    <n v="7493"/>
    <n v="2053"/>
    <n v="1981"/>
    <n v="3506"/>
    <n v="2770"/>
    <n v="713"/>
    <n v="735"/>
    <n v="0.21160585446299732"/>
    <n v="0.26438008808221009"/>
    <n v="-5.2774233619212768E-2"/>
    <n v="0.2033656588705077"/>
    <n v="0.26534296028880866"/>
    <n v="-6.1977301418300962E-2"/>
    <n v="0.29480848792206049"/>
    <n v="3.6345280161534488E-2"/>
    <n v="0.26570397111913358"/>
    <n v="-2.9931972789115635E-2"/>
  </r>
  <r>
    <s v="ITC Hotels Limited"/>
    <n v="544325"/>
    <x v="6"/>
    <s v="Hotels &amp; Resorts"/>
    <n v="150.65"/>
    <n v="31390.447684300001"/>
    <n v="7.7889045932533164E-4"/>
    <n v="2886"/>
    <n v="2499"/>
    <n v="504"/>
    <n v="380"/>
    <n v="1231"/>
    <n v="1015"/>
    <n v="237"/>
    <n v="216"/>
    <n v="0.17463617463617465"/>
    <n v="0.15206082432973189"/>
    <n v="2.2575350306442754E-2"/>
    <n v="0.19252640129975629"/>
    <n v="0.21280788177339902"/>
    <n v="-2.0281480473642727E-2"/>
    <n v="0.15486194477791115"/>
    <n v="0.32631578947368411"/>
    <n v="0.21280788177339893"/>
    <n v="9.7222222222222321E-2"/>
  </r>
  <r>
    <s v="UCO BANK"/>
    <n v="532505"/>
    <x v="2"/>
    <s v="Public Sector Bank"/>
    <n v="24.22"/>
    <n v="30383.3533059"/>
    <n v="7.539014495837388E-4"/>
    <n v="22375"/>
    <n v="21336"/>
    <n v="1966"/>
    <n v="1792"/>
    <n v="7521"/>
    <n v="7405"/>
    <n v="739"/>
    <n v="638"/>
    <n v="8.7865921787709494E-2"/>
    <n v="8.3989501312335957E-2"/>
    <n v="3.8764204753735376E-3"/>
    <n v="9.8258210344369101E-2"/>
    <n v="8.6158001350438898E-2"/>
    <n v="1.2100208993930203E-2"/>
    <n v="4.8697037870266247E-2"/>
    <n v="9.7098214285714191E-2"/>
    <n v="1.5665091154625221E-2"/>
    <n v="0.15830721003134807"/>
  </r>
  <r>
    <s v="AIA ENGINEERING LTD."/>
    <n v="532683"/>
    <x v="4"/>
    <s v="Castings &amp; Forgings"/>
    <n v="3655.05"/>
    <n v="34136.591346000001"/>
    <n v="8.4703045909681181E-4"/>
    <n v="3153"/>
    <n v="3130"/>
    <n v="875"/>
    <n v="774"/>
    <n v="1066"/>
    <n v="1066"/>
    <n v="292"/>
    <n v="258"/>
    <n v="0.27751347922613384"/>
    <n v="0.24728434504792332"/>
    <n v="3.0229134178210521E-2"/>
    <n v="0.27392120075046905"/>
    <n v="0.24202626641651032"/>
    <n v="3.1894934333958735E-2"/>
    <n v="7.348242811501704E-3"/>
    <n v="0.1304909560723515"/>
    <n v="0"/>
    <n v="0.13178294573643412"/>
  </r>
  <r>
    <s v="CENTRAL BANK OF INDIA"/>
    <n v="532885"/>
    <x v="2"/>
    <s v="Public Sector Bank"/>
    <n v="33.76"/>
    <n v="30557.5316327"/>
    <n v="7.5822333241670075E-4"/>
    <n v="31700"/>
    <n v="29191"/>
    <n v="3778"/>
    <n v="2829"/>
    <n v="11006"/>
    <n v="9774"/>
    <n v="1264"/>
    <n v="963"/>
    <n v="0.11917981072555205"/>
    <n v="9.6913432222260287E-2"/>
    <n v="2.2266378503291759E-2"/>
    <n v="0.11484644739233145"/>
    <n v="9.8526703499079188E-2"/>
    <n v="1.6319743893252261E-2"/>
    <n v="8.595114932684722E-2"/>
    <n v="0.33545422410745851"/>
    <n v="0.12604870063433604"/>
    <n v="0.31256490134994808"/>
  </r>
  <r>
    <s v="RADICO KHAITAN LTD."/>
    <n v="532497"/>
    <x v="5"/>
    <s v="Breweries &amp; Distilleries"/>
    <n v="2686.4"/>
    <n v="35938.196360000002"/>
    <n v="8.9173364303958558E-4"/>
    <n v="15794"/>
    <n v="12613"/>
    <n v="425"/>
    <n v="253"/>
    <n v="5423"/>
    <n v="4440"/>
    <n v="154"/>
    <n v="95"/>
    <n v="2.6908952766873495E-2"/>
    <n v="2.0058669626575754E-2"/>
    <n v="6.8502831402977409E-3"/>
    <n v="2.8397565922920892E-2"/>
    <n v="2.1396396396396396E-2"/>
    <n v="7.0011695265244957E-3"/>
    <n v="0.25220011099659079"/>
    <n v="0.67984189723320165"/>
    <n v="0.2213963963963963"/>
    <n v="0.6210526315789473"/>
  </r>
  <r>
    <s v="NLC India Limited"/>
    <n v="513683"/>
    <x v="9"/>
    <s v="Power Generation"/>
    <n v="276.14999999999998"/>
    <n v="38257.286393599999"/>
    <n v="9.4927717091959532E-4"/>
    <n v="12447"/>
    <n v="11447"/>
    <n v="2288"/>
    <n v="2245"/>
    <n v="4443"/>
    <n v="4411"/>
    <n v="724"/>
    <n v="696"/>
    <n v="0.18381939423154173"/>
    <n v="0.19612125447715559"/>
    <n v="-1.230186024561386E-2"/>
    <n v="0.16295295971190638"/>
    <n v="0.15778734980729994"/>
    <n v="5.165609904606433E-3"/>
    <n v="8.7359133397396649E-2"/>
    <n v="1.9153674832962153E-2"/>
    <n v="7.2545907957379807E-3"/>
    <n v="4.022988505747116E-2"/>
  </r>
  <r>
    <s v="PAGE INDUSTRIES LTD."/>
    <n v="532827"/>
    <x v="6"/>
    <s v="Garments &amp; Apparels"/>
    <n v="34623.5"/>
    <n v="38737.390509999997"/>
    <n v="9.6118998336201886E-4"/>
    <n v="3994"/>
    <n v="3836"/>
    <n v="585"/>
    <n v="565"/>
    <n v="1386"/>
    <n v="1313"/>
    <n v="189"/>
    <n v="204"/>
    <n v="0.14646970455683525"/>
    <n v="0.14728884254431698"/>
    <n v="-8.1913798748173283E-4"/>
    <n v="0.13636363636363635"/>
    <n v="0.15536938309215537"/>
    <n v="-1.9005746728519013E-2"/>
    <n v="4.1188738269030134E-2"/>
    <n v="3.539823008849563E-2"/>
    <n v="5.5597867479055596E-2"/>
    <n v="-7.3529411764705843E-2"/>
  </r>
  <r>
    <s v="THERMAX LTD."/>
    <n v="500411"/>
    <x v="4"/>
    <s v="Heavy Electrical Equipment"/>
    <n v="3293.6"/>
    <n v="37110.887795900002"/>
    <n v="9.2083160877557194E-4"/>
    <n v="7266"/>
    <n v="7323"/>
    <n v="476"/>
    <n v="421"/>
    <n v="2635"/>
    <n v="2523"/>
    <n v="205"/>
    <n v="114"/>
    <n v="6.5510597302504817E-2"/>
    <n v="5.7490099685921073E-2"/>
    <n v="8.0204976165837438E-3"/>
    <n v="7.7798861480075907E-2"/>
    <n v="4.5184304399524373E-2"/>
    <n v="3.2614557080551533E-2"/>
    <n v="-7.7836952068823795E-3"/>
    <n v="0.13064133016627077"/>
    <n v="4.4391597304795916E-2"/>
    <n v="0.79824561403508776"/>
  </r>
  <r>
    <s v="POONAWALLA FINCORP LIMITED"/>
    <n v="524000"/>
    <x v="2"/>
    <s v="Non Banking Financial Company (NBFC)"/>
    <n v="390.1"/>
    <n v="31519.5928681"/>
    <n v="7.82094935812615E-4"/>
    <n v="4675"/>
    <n v="3049"/>
    <n v="287"/>
    <n v="-160"/>
    <n v="1818"/>
    <n v="1057"/>
    <n v="150"/>
    <n v="19"/>
    <n v="6.1390374331550805E-2"/>
    <n v="-5.2476221712036732E-2"/>
    <n v="0.11386659604358754"/>
    <n v="8.2508250825082508E-2"/>
    <n v="1.7975402081362345E-2"/>
    <n v="6.4532848743720159E-2"/>
    <n v="0.53328960314857321"/>
    <n v="-2.7937500000000002"/>
    <n v="0.71996215704824973"/>
    <n v="6.8947368421052628"/>
  </r>
  <r>
    <s v="J.B.CHEMICALS &amp; PHARMACEUTICAL"/>
    <n v="506943"/>
    <x v="7"/>
    <s v="Pharmaceuticals"/>
    <n v="1952.45"/>
    <n v="31373.169979999999"/>
    <n v="7.7846174804431837E-4"/>
    <n v="3243"/>
    <n v="2968"/>
    <n v="608"/>
    <n v="513"/>
    <n v="1064"/>
    <n v="963"/>
    <n v="197"/>
    <n v="162"/>
    <n v="0.18748072772124577"/>
    <n v="0.17284366576819407"/>
    <n v="1.46370619530517E-2"/>
    <n v="0.18515037593984962"/>
    <n v="0.16822429906542055"/>
    <n v="1.6926076874429069E-2"/>
    <n v="9.2654986522911154E-2"/>
    <n v="0.18518518518518512"/>
    <n v="0.10488058151609558"/>
    <n v="0.21604938271604945"/>
  </r>
  <r>
    <s v="Aster DM Healthcare Limited"/>
    <n v="540975"/>
    <x v="7"/>
    <s v="Hospital"/>
    <n v="671.95"/>
    <n v="34668.340927999998"/>
    <n v="8.6022474929411854E-4"/>
    <n v="3461"/>
    <n v="3138"/>
    <n v="274"/>
    <n v="251"/>
    <n v="1186"/>
    <n v="1050"/>
    <n v="59"/>
    <n v="64"/>
    <n v="7.9167870557642295E-2"/>
    <n v="7.9987253027405988E-2"/>
    <n v="-8.1938246976369367E-4"/>
    <n v="4.9747048903878585E-2"/>
    <n v="6.0952380952380952E-2"/>
    <n v="-1.1205332048502367E-2"/>
    <n v="0.10293180369662203"/>
    <n v="9.1633466135458086E-2"/>
    <n v="0.1295238095238096"/>
    <n v="-7.8125E-2"/>
  </r>
  <r>
    <s v="JUBILANT FOODWORKS LTD"/>
    <n v="533155"/>
    <x v="6"/>
    <s v="Restaurants"/>
    <n v="461.15"/>
    <n v="30350.061921299999"/>
    <n v="7.5307539122026915E-4"/>
    <n v="7038"/>
    <n v="6038"/>
    <n v="361"/>
    <n v="167"/>
    <n v="2437"/>
    <n v="2150"/>
    <n v="72"/>
    <n v="43"/>
    <n v="5.129298096050014E-2"/>
    <n v="2.7658164955283206E-2"/>
    <n v="2.3634816005216934E-2"/>
    <n v="2.9544521953221173E-2"/>
    <n v="0.02"/>
    <n v="9.5445219532211724E-3"/>
    <n v="0.16561775422325264"/>
    <n v="1.1616766467065869"/>
    <n v="0.13348837209302333"/>
    <n v="0.67441860465116288"/>
  </r>
  <r>
    <s v="MANGALORE REFINERY &amp; PETROCHEM"/>
    <n v="500109"/>
    <x v="0"/>
    <s v="Refineries &amp; Marketing"/>
    <n v="179.8"/>
    <n v="31498.785844999999"/>
    <n v="7.8157865162506392E-4"/>
    <n v="76661"/>
    <n v="81676"/>
    <n v="1807"/>
    <n v="-314"/>
    <n v="29720"/>
    <n v="25600"/>
    <n v="1450"/>
    <n v="309"/>
    <n v="2.3571307444463285E-2"/>
    <n v="-3.8444585924873893E-3"/>
    <n v="2.7415766036950673E-2"/>
    <n v="4.8788694481830416E-2"/>
    <n v="1.2070312499999999E-2"/>
    <n v="3.6718381981830417E-2"/>
    <n v="-6.1401145991478501E-2"/>
    <n v="-6.7547770700636942"/>
    <n v="0.16093749999999996"/>
    <n v="3.6925566343042071"/>
  </r>
  <r>
    <s v="GODREJ INDUSTRIES LTD."/>
    <n v="500164"/>
    <x v="11"/>
    <s v="Diversified"/>
    <n v="839.6"/>
    <n v="28198.981879999999"/>
    <n v="6.9970069143057191E-4"/>
    <n v="14543"/>
    <n v="13873"/>
    <n v="1571"/>
    <n v="1442"/>
    <n v="5051"/>
    <n v="4825"/>
    <n v="353"/>
    <n v="312"/>
    <n v="0.10802447913085333"/>
    <n v="0.10394291068982917"/>
    <n v="4.0815684410241693E-3"/>
    <n v="6.9887151059196198E-2"/>
    <n v="6.4663212435233167E-2"/>
    <n v="5.2239386239630314E-3"/>
    <n v="4.8295249765732073E-2"/>
    <n v="8.9459084604715633E-2"/>
    <n v="4.6839378238342055E-2"/>
    <n v="0.13141025641025639"/>
  </r>
  <r>
    <s v="Delhivery Limited"/>
    <n v="543529"/>
    <x v="10"/>
    <s v="Logistics Solution Provider"/>
    <n v="433.05"/>
    <n v="32452.156800000001"/>
    <n v="8.0523462329248235E-4"/>
    <n v="7658"/>
    <n v="6740"/>
    <n v="80"/>
    <n v="89"/>
    <n v="2804"/>
    <n v="2378"/>
    <n v="39"/>
    <n v="24"/>
    <n v="1.0446591799425437E-2"/>
    <n v="1.3204747774480712E-2"/>
    <n v="-2.7581559750552744E-3"/>
    <n v="1.3908701854493581E-2"/>
    <n v="1.0092514718250631E-2"/>
    <n v="3.8161871362429496E-3"/>
    <n v="0.1362017804154303"/>
    <n v="-0.101123595505618"/>
    <n v="0.1791421362489487"/>
    <n v="0.625"/>
  </r>
  <r>
    <s v="Sona BLW Precision Forgings Li"/>
    <n v="543300"/>
    <x v="6"/>
    <s v="Auto Components &amp; Equipments"/>
    <n v="509.9"/>
    <n v="31692.426878900002"/>
    <n v="7.8638346216346351E-4"/>
    <n v="3191"/>
    <n v="2381"/>
    <n v="442"/>
    <n v="436"/>
    <n v="1199"/>
    <n v="867"/>
    <n v="150"/>
    <n v="150"/>
    <n v="0.13851457223440927"/>
    <n v="0.18311633767324653"/>
    <n v="-4.460176543883726E-2"/>
    <n v="0.12510425354462051"/>
    <n v="0.17301038062283736"/>
    <n v="-4.7906127078216842E-2"/>
    <n v="0.34019319613607735"/>
    <n v="1.3761467889908285E-2"/>
    <n v="0.38292964244521333"/>
    <n v="0"/>
  </r>
  <r>
    <s v="Premier Energies Limited"/>
    <n v="544238"/>
    <x v="4"/>
    <s v="Other Electrical Equipment"/>
    <n v="928.95"/>
    <n v="41744.115224499998"/>
    <n v="1.0357957748274602E-3"/>
    <n v="5594"/>
    <n v="4897"/>
    <n v="1052"/>
    <n v="659"/>
    <n v="1936"/>
    <n v="1713"/>
    <n v="391"/>
    <n v="255"/>
    <n v="0.18805863425098321"/>
    <n v="0.13457218705329793"/>
    <n v="5.3486447197685277E-2"/>
    <n v="0.20196280991735538"/>
    <n v="0.14886164623467601"/>
    <n v="5.3101163682679364E-2"/>
    <n v="0.14233204002450472"/>
    <n v="0.59635811836115327"/>
    <n v="0.13018096906012833"/>
    <n v="0.53333333333333344"/>
  </r>
  <r>
    <s v="GODFREY PHILLIPS INDIA LTD."/>
    <n v="500163"/>
    <x v="5"/>
    <s v="Cigarettes &amp; Tobacco Products"/>
    <n v="1921"/>
    <n v="29962.525133800002"/>
    <n v="7.4345944978938903E-4"/>
    <n v="5635"/>
    <n v="4879"/>
    <n v="1004"/>
    <n v="792"/>
    <n v="2189"/>
    <n v="1893"/>
    <n v="343"/>
    <n v="315"/>
    <n v="0.17817213842058563"/>
    <n v="0.16232834597253534"/>
    <n v="1.5843792448050287E-2"/>
    <n v="0.15669255367747831"/>
    <n v="0.1664025356576862"/>
    <n v="-9.7099819802078935E-3"/>
    <n v="0.15494978479196564"/>
    <n v="0.26767676767676774"/>
    <n v="0.15636555731642887"/>
    <n v="8.8888888888888795E-2"/>
  </r>
  <r>
    <s v="CRISIL LTD."/>
    <n v="500092"/>
    <x v="2"/>
    <s v="Other Financial Services"/>
    <n v="3784.3"/>
    <n v="27600.018100099998"/>
    <n v="6.8483861688045699E-4"/>
    <n v="3756"/>
    <n v="3349"/>
    <n v="766"/>
    <n v="684"/>
    <n v="1109"/>
    <n v="943"/>
    <n v="241"/>
    <n v="225"/>
    <n v="0.20394036208732694"/>
    <n v="0.20424007166318303"/>
    <n v="-2.9970957585609415E-4"/>
    <n v="0.21731289449954913"/>
    <n v="0.23860021208907742"/>
    <n v="-2.1287317589528287E-2"/>
    <n v="0.12152881457151388"/>
    <n v="0.11988304093567259"/>
    <n v="0.176033934252386"/>
    <n v="7.1111111111111125E-2"/>
  </r>
  <r>
    <s v="Indian Renewable Energy Develo"/>
    <n v="544026"/>
    <x v="2"/>
    <s v="Financial Institution"/>
    <n v="115.25"/>
    <n v="30938.0048298"/>
    <n v="7.6766400514079246E-4"/>
    <n v="6157"/>
    <n v="4840"/>
    <n v="1381"/>
    <n v="1197"/>
    <n v="2139"/>
    <n v="1698"/>
    <n v="585"/>
    <n v="425"/>
    <n v="0.2242975475069027"/>
    <n v="0.24731404958677686"/>
    <n v="-2.3016502079874157E-2"/>
    <n v="0.27349228611500703"/>
    <n v="0.25029446407538281"/>
    <n v="2.3197822039624227E-2"/>
    <n v="0.27210743801652892"/>
    <n v="0.15371762740183792"/>
    <n v="0.25971731448763258"/>
    <n v="0.37647058823529411"/>
  </r>
  <r>
    <s v="FORCE MOTORS LTD."/>
    <n v="500033"/>
    <x v="6"/>
    <s v="Passenger Cars &amp; Utility Vehicles"/>
    <n v="21260"/>
    <n v="28015.364011999998"/>
    <n v="6.9514458547804698E-4"/>
    <n v="6507"/>
    <n v="5715"/>
    <n v="933"/>
    <n v="366"/>
    <n v="2128"/>
    <n v="1889"/>
    <n v="406"/>
    <n v="115"/>
    <n v="0.14338404794836329"/>
    <n v="6.4041994750656167E-2"/>
    <n v="7.9342053197707124E-2"/>
    <n v="0.19078947368421054"/>
    <n v="6.0878771836950771E-2"/>
    <n v="0.12991070184725978"/>
    <n v="0.13858267716535444"/>
    <n v="1.5491803278688523"/>
    <n v="0.12652196929592385"/>
    <n v="2.5304347826086957"/>
  </r>
  <r>
    <s v="NAVIN FLUORINE INTERNATIONAL L"/>
    <n v="532504"/>
    <x v="8"/>
    <s v="Specialty Chemicals"/>
    <n v="5848.5"/>
    <n v="29980.407599999999"/>
    <n v="7.439031670135734E-4"/>
    <n v="2376"/>
    <n v="1648"/>
    <n v="451"/>
    <n v="193"/>
    <n v="892"/>
    <n v="606"/>
    <n v="185"/>
    <n v="84"/>
    <n v="0.18981481481481483"/>
    <n v="0.1171116504854369"/>
    <n v="7.2703164329377928E-2"/>
    <n v="0.20739910313901344"/>
    <n v="0.13861386138613863"/>
    <n v="6.8785241752874815E-2"/>
    <n v="0.44174757281553401"/>
    <n v="1.3367875647668392"/>
    <n v="0.471947194719472"/>
    <n v="1.2023809523809526"/>
  </r>
  <r>
    <s v="Go Digit General Insurance Lim"/>
    <n v="544179"/>
    <x v="2"/>
    <s v="General Insurance"/>
    <n v="319.5"/>
    <n v="29533.121683500001"/>
    <n v="7.3280467181349761E-4"/>
    <n v="7085"/>
    <n v="6624"/>
    <n v="394"/>
    <n v="309"/>
    <n v="2497"/>
    <n v="2371"/>
    <n v="140"/>
    <n v="118"/>
    <n v="5.5610444601270292E-2"/>
    <n v="4.664855072463768E-2"/>
    <n v="8.9618938766326123E-3"/>
    <n v="5.6067280736884259E-2"/>
    <n v="4.976803036693378E-2"/>
    <n v="6.2992503699504793E-3"/>
    <n v="6.9595410628019216E-2"/>
    <n v="0.27508090614886727"/>
    <n v="5.3142134120624185E-2"/>
    <n v="0.18644067796610164"/>
  </r>
  <r>
    <s v="Karur Vysya Bank Ltd"/>
    <n v="590003"/>
    <x v="2"/>
    <s v="Private Sector Bank"/>
    <n v="269.10000000000002"/>
    <n v="26002.782780000001"/>
    <n v="6.4520645347089988E-4"/>
    <n v="9639"/>
    <n v="8482"/>
    <n v="1785"/>
    <n v="1428"/>
    <n v="3303"/>
    <n v="2953"/>
    <n v="689"/>
    <n v="496"/>
    <n v="0.18518518518518517"/>
    <n v="0.16835651968875265"/>
    <n v="1.6828665496432527E-2"/>
    <n v="0.20859824402058735"/>
    <n v="0.16796478157805622"/>
    <n v="4.0633462442531132E-2"/>
    <n v="0.13640650789908038"/>
    <n v="0.25"/>
    <n v="0.11852353538774119"/>
    <n v="0.38911290322580649"/>
  </r>
  <r>
    <s v="TVS Holdings Limited"/>
    <n v="520056"/>
    <x v="2"/>
    <s v="Investment Company"/>
    <n v="13965"/>
    <n v="28290.55"/>
    <n v="7.0197276909456866E-4"/>
    <n v="42607"/>
    <n v="33225"/>
    <n v="2525"/>
    <n v="1746"/>
    <n v="15291"/>
    <n v="11377"/>
    <n v="969"/>
    <n v="681"/>
    <n v="5.9262562489731732E-2"/>
    <n v="5.2550790067720093E-2"/>
    <n v="6.7117724220116387E-3"/>
    <n v="6.3370610162840887E-2"/>
    <n v="5.9857607453634526E-2"/>
    <n v="3.5130027092063615E-3"/>
    <n v="0.28237772761474789"/>
    <n v="0.44616265750286366"/>
    <n v="0.34402742374967032"/>
    <n v="0.4229074889867841"/>
  </r>
  <r>
    <s v="Global Health Limited"/>
    <n v="543654"/>
    <x v="7"/>
    <s v="Hospital"/>
    <n v="1032.5999999999999"/>
    <n v="27696.515940000001"/>
    <n v="6.8723301557140678E-4"/>
    <n v="3251"/>
    <n v="2761"/>
    <n v="412"/>
    <n v="379"/>
    <n v="1121"/>
    <n v="943"/>
    <n v="95"/>
    <n v="142"/>
    <n v="0.12673023685019993"/>
    <n v="0.13726910539659543"/>
    <n v="-1.0538868546395491E-2"/>
    <n v="8.4745762711864403E-2"/>
    <n v="0.15058324496288442"/>
    <n v="-6.5837482251020013E-2"/>
    <n v="0.17747193045997833"/>
    <n v="8.7071240105540904E-2"/>
    <n v="0.18875927889713684"/>
    <n v="-0.33098591549295775"/>
  </r>
  <r>
    <s v="CHOLAMANDALAM FINANCIAL HOLDIN"/>
    <n v="504973"/>
    <x v="2"/>
    <s v="Investment Company"/>
    <n v="1416.9"/>
    <n v="26660.6361688"/>
    <n v="6.6152975453765827E-4"/>
    <n v="21695"/>
    <n v="18146"/>
    <n v="3860"/>
    <n v="3378"/>
    <n v="7539"/>
    <n v="6451"/>
    <n v="1386"/>
    <n v="1093"/>
    <n v="0.17792117999539064"/>
    <n v="0.18615672875564862"/>
    <n v="-8.2355487602579769E-3"/>
    <n v="0.18384401114206128"/>
    <n v="0.16943109595411565"/>
    <n v="1.441291518794563E-2"/>
    <n v="0.19558029317755987"/>
    <n v="0.14268798105387814"/>
    <n v="0.16865602232212051"/>
    <n v="0.26806953339432749"/>
  </r>
  <r>
    <s v="K.P.R.MILL LIMITED"/>
    <n v="532889"/>
    <x v="6"/>
    <s v="Other Textile Products"/>
    <n v="836.15"/>
    <n v="28572.2247355"/>
    <n v="7.0896195785416917E-4"/>
    <n v="4661"/>
    <n v="4434"/>
    <n v="639"/>
    <n v="610"/>
    <n v="1406"/>
    <n v="1467"/>
    <n v="208"/>
    <n v="202"/>
    <n v="0.13709504398197811"/>
    <n v="0.13757329724853407"/>
    <n v="-4.7825326655595579E-4"/>
    <n v="0.14793741109530584"/>
    <n v="0.13769597818677573"/>
    <n v="1.0241432908530107E-2"/>
    <n v="5.1195308976093923E-2"/>
    <n v="4.7540983606557452E-2"/>
    <n v="-4.1581458759372913E-2"/>
    <n v="2.9702970297029729E-2"/>
  </r>
  <r>
    <s v="Gland Pharma Limited"/>
    <n v="543245"/>
    <x v="7"/>
    <s v="Pharmaceuticals"/>
    <n v="1698.45"/>
    <n v="27960.808241700001"/>
    <n v="6.9379089439930951E-4"/>
    <n v="4687"/>
    <n v="4191"/>
    <n v="660"/>
    <n v="511"/>
    <n v="1695"/>
    <n v="1384"/>
    <n v="261"/>
    <n v="204"/>
    <n v="0.14081502026882867"/>
    <n v="0.12192794082557862"/>
    <n v="1.8887079443250049E-2"/>
    <n v="0.15398230088495576"/>
    <n v="0.14739884393063585"/>
    <n v="6.5834569543199162E-3"/>
    <n v="0.11834884275829149"/>
    <n v="0.29158512720156549"/>
    <n v="0.2247109826589595"/>
    <n v="0.27941176470588225"/>
  </r>
  <r>
    <s v="CONTAINER CORPORATION OF INDIA"/>
    <n v="531344"/>
    <x v="10"/>
    <s v="Logistics Solution Provider"/>
    <n v="451.2"/>
    <n v="34364.200577700001"/>
    <n v="8.5267812174910868E-4"/>
    <n v="6816"/>
    <n v="6599"/>
    <n v="982"/>
    <n v="993"/>
    <n v="2308"/>
    <n v="2208"/>
    <n v="335"/>
    <n v="367"/>
    <n v="0.14407276995305165"/>
    <n v="0.15047734505228064"/>
    <n v="-6.4045750992289818E-3"/>
    <n v="0.1451473136915078"/>
    <n v="0.16621376811594202"/>
    <n v="-2.1066454424434222E-2"/>
    <n v="3.2883770268222534E-2"/>
    <n v="-1.1077542799597162E-2"/>
    <n v="4.5289855072463858E-2"/>
    <n v="-8.719346049046317E-2"/>
  </r>
  <r>
    <s v="ACC LTD."/>
    <n v="500410"/>
    <x v="8"/>
    <s v="Cement &amp; Cement Products"/>
    <n v="1356"/>
    <n v="25445.1656"/>
    <n v="6.3137031115697152E-4"/>
    <n v="18637"/>
    <n v="14906"/>
    <n v="1898"/>
    <n v="1651"/>
    <n v="6391"/>
    <n v="5251"/>
    <n v="404"/>
    <n v="1091"/>
    <n v="0.10184042496109889"/>
    <n v="0.11076076747618409"/>
    <n v="-8.9203425150851945E-3"/>
    <n v="6.321389453919575E-2"/>
    <n v="0.20776994858122264"/>
    <n v="-0.14455605404202687"/>
    <n v="0.25030189185562857"/>
    <n v="0.14960629921259838"/>
    <n v="0.21710150447533794"/>
    <n v="-0.62969752520623279"/>
  </r>
  <r>
    <s v="LIC HOUSING FINANCE LTD."/>
    <n v="500253"/>
    <x v="2"/>
    <s v="Housing Finance Company"/>
    <n v="516.4"/>
    <n v="28471.259537000002"/>
    <n v="7.0645671069661208E-4"/>
    <n v="21644"/>
    <n v="20805"/>
    <n v="4112"/>
    <n v="4069"/>
    <n v="7214"/>
    <n v="7070"/>
    <n v="1398"/>
    <n v="1435"/>
    <n v="0.18998336721493256"/>
    <n v="0.19557798606104301"/>
    <n v="-5.5946188461104551E-3"/>
    <n v="0.19378985306348767"/>
    <n v="0.20297029702970298"/>
    <n v="-9.1804439662153126E-3"/>
    <n v="4.0326844508531634E-2"/>
    <n v="1.05677070533301E-2"/>
    <n v="2.0367751060820449E-2"/>
    <n v="-2.5783972125435595E-2"/>
  </r>
  <r>
    <s v="Hexaware Technologies Limited"/>
    <n v="544362"/>
    <x v="3"/>
    <s v="Computers - Software &amp; Consulting"/>
    <n v="449.95"/>
    <n v="27420.57"/>
    <n v="6.8038597528331747E-4"/>
    <n v="13430"/>
    <n v="11974"/>
    <n v="1368"/>
    <n v="1174"/>
    <n v="3478"/>
    <n v="3154"/>
    <n v="29"/>
    <n v="32"/>
    <n v="0.10186150409530902"/>
    <n v="9.8045765825956241E-2"/>
    <n v="3.8157382693527753E-3"/>
    <n v="8.3381253594019544E-3"/>
    <n v="1.0145846544071021E-2"/>
    <n v="-1.8077211846690665E-3"/>
    <n v="0.12159679305161175"/>
    <n v="0.16524701873935266"/>
    <n v="0.102726696258719"/>
    <n v="-9.375E-2"/>
  </r>
  <r>
    <s v="Bandhan Bank Limited"/>
    <n v="541153"/>
    <x v="2"/>
    <s v="Private Sector Bank"/>
    <n v="151.19999999999999"/>
    <n v="24348.6880685"/>
    <n v="6.0416343928502026E-4"/>
    <n v="18224"/>
    <n v="18781"/>
    <n v="689"/>
    <n v="2427"/>
    <n v="6122"/>
    <n v="6590"/>
    <n v="205"/>
    <n v="426"/>
    <n v="3.7807287093942057E-2"/>
    <n v="0.12922634577498535"/>
    <n v="-9.1419058681043289E-2"/>
    <n v="3.3485788957856907E-2"/>
    <n v="6.4643399089529596E-2"/>
    <n v="-3.1157610131672689E-2"/>
    <n v="-2.9657632713912974E-2"/>
    <n v="-0.71611042439225381"/>
    <n v="-7.1016691957511369E-2"/>
    <n v="-0.51877934272300474"/>
  </r>
  <r>
    <s v="Krishna Institute of Medical S"/>
    <n v="543308"/>
    <x v="7"/>
    <s v="Hospital"/>
    <n v="621.75"/>
    <n v="24878.636107499999"/>
    <n v="6.1731302783713622E-4"/>
    <n v="2830"/>
    <n v="2238"/>
    <n v="208"/>
    <n v="308"/>
    <n v="997"/>
    <n v="772"/>
    <n v="51"/>
    <n v="92"/>
    <n v="7.3498233215547701E-2"/>
    <n v="0.13762287756925826"/>
    <n v="-6.4124644353710555E-2"/>
    <n v="5.1153460381143427E-2"/>
    <n v="0.11917098445595854"/>
    <n v="-6.8017524074815122E-2"/>
    <n v="0.26452189454870423"/>
    <n v="-0.32467532467532467"/>
    <n v="0.29145077720207246"/>
    <n v="-0.44565217391304346"/>
  </r>
  <r>
    <s v="APOLLO TYRES LTD."/>
    <n v="500877"/>
    <x v="6"/>
    <s v="Tyres &amp; Rubber Products"/>
    <n v="409.45"/>
    <n v="25979.926739999999"/>
    <n v="6.4463932707394618E-4"/>
    <n v="21134"/>
    <n v="19699"/>
    <n v="741"/>
    <n v="936"/>
    <n v="7743"/>
    <n v="6927"/>
    <n v="470"/>
    <n v="337"/>
    <n v="3.5061985426327248E-2"/>
    <n v="4.7515102289456317E-2"/>
    <n v="-1.2453116863129068E-2"/>
    <n v="6.0699987085109132E-2"/>
    <n v="4.8650209325826477E-2"/>
    <n v="1.2049777759282655E-2"/>
    <n v="7.2846337377531878E-2"/>
    <n v="-0.20833333333333337"/>
    <n v="0.11779991338241658"/>
    <n v="0.39465875370919878"/>
  </r>
  <r>
    <s v="ZF Commercial Vehicle Control"/>
    <n v="533023"/>
    <x v="6"/>
    <s v="Auto Components &amp; Equipments"/>
    <n v="13778.85"/>
    <n v="26135.428481999999"/>
    <n v="6.4849778823609287E-4"/>
    <n v="2963"/>
    <n v="2819"/>
    <n v="370"/>
    <n v="334"/>
    <n v="1074"/>
    <n v="962"/>
    <n v="140"/>
    <n v="125"/>
    <n v="0.12487343908201147"/>
    <n v="0.11848173111032281"/>
    <n v="6.3917079716886566E-3"/>
    <n v="0.13035381750465549"/>
    <n v="0.12993762993762994"/>
    <n v="4.1618756702554993E-4"/>
    <n v="5.1081943951756026E-2"/>
    <n v="0.10778443113772451"/>
    <n v="0.11642411642411643"/>
    <n v="0.12000000000000011"/>
  </r>
  <r>
    <s v="TATA ELXSI LTD."/>
    <n v="500408"/>
    <x v="3"/>
    <s v="Computers - Software &amp; Consulting"/>
    <n v="4257.8999999999996"/>
    <n v="26538.381420000002"/>
    <n v="6.5849625025618985E-4"/>
    <n v="2763"/>
    <n v="2820"/>
    <n v="408"/>
    <n v="612"/>
    <n v="953"/>
    <n v="939"/>
    <n v="108"/>
    <n v="199"/>
    <n v="0.1476655808903366"/>
    <n v="0.21702127659574469"/>
    <n v="-6.9355695705408088E-2"/>
    <n v="0.11332633788037776"/>
    <n v="0.21192758253461128"/>
    <n v="-9.8601244654233519E-2"/>
    <n v="-2.021276595744681E-2"/>
    <n v="-0.33333333333333337"/>
    <n v="1.4909478168264156E-2"/>
    <n v="-0.457286432160804"/>
  </r>
  <r>
    <s v="SJVN LTD"/>
    <n v="533206"/>
    <x v="9"/>
    <s v="Power Generation"/>
    <n v="67.540000000000006"/>
    <n v="26545.766424199999"/>
    <n v="6.5867949419623516E-4"/>
    <n v="3032"/>
    <n v="2568"/>
    <n v="760"/>
    <n v="946"/>
    <n v="1082"/>
    <n v="671"/>
    <n v="224"/>
    <n v="149"/>
    <n v="0.25065963060686014"/>
    <n v="0.36838006230529596"/>
    <n v="-0.11772043169843582"/>
    <n v="0.20702402957486138"/>
    <n v="0.22205663189269748"/>
    <n v="-1.5032602317836097E-2"/>
    <n v="0.18068535825545173"/>
    <n v="-0.19661733615221988"/>
    <n v="0.61251862891207143"/>
    <n v="0.50335570469798663"/>
  </r>
  <r>
    <s v="EXIDE INDUSTRIES LTD."/>
    <n v="500086"/>
    <x v="6"/>
    <s v="Auto Components &amp; Equipments"/>
    <n v="298.60000000000002"/>
    <n v="25388.050464899999"/>
    <n v="6.2995311461807929E-4"/>
    <n v="13260"/>
    <n v="12902"/>
    <n v="643"/>
    <n v="613"/>
    <n v="4201"/>
    <n v="4017"/>
    <n v="195"/>
    <n v="158"/>
    <n v="4.8491704374057316E-2"/>
    <n v="4.7512013641295925E-2"/>
    <n v="9.7969073276139157E-4"/>
    <n v="4.6417519638181387E-2"/>
    <n v="3.9332835449340305E-2"/>
    <n v="7.0846841888410825E-3"/>
    <n v="2.7747636025422517E-2"/>
    <n v="4.8939641109298604E-2"/>
    <n v="4.5805327358725334E-2"/>
    <n v="0.23417721518987333"/>
  </r>
  <r>
    <s v="Metro Brands Limited"/>
    <n v="543426"/>
    <x v="6"/>
    <s v="Footwear"/>
    <n v="960"/>
    <n v="26164.473600000001"/>
    <n v="6.4921848408368656E-4"/>
    <n v="2090"/>
    <n v="1864"/>
    <n v="298"/>
    <n v="259"/>
    <n v="811"/>
    <n v="703"/>
    <n v="130"/>
    <n v="99"/>
    <n v="0.14258373205741626"/>
    <n v="0.13894849785407726"/>
    <n v="3.6352342033389995E-3"/>
    <n v="0.16029593094944514"/>
    <n v="0.14082503556187767"/>
    <n v="1.9470895387567466E-2"/>
    <n v="0.12124463519313311"/>
    <n v="0.1505791505791505"/>
    <n v="0.15362731152204834"/>
    <n v="0.31313131313131315"/>
  </r>
  <r>
    <s v="Gujarat Gas Limited"/>
    <n v="539336"/>
    <x v="0"/>
    <s v="LPG/CNG/PNG/LNG Supplier"/>
    <n v="316.25"/>
    <n v="21787.546665000002"/>
    <n v="5.4061389630838516E-4"/>
    <n v="11909"/>
    <n v="12895"/>
    <n v="874"/>
    <n v="860"/>
    <n v="3865"/>
    <n v="4332"/>
    <n v="267"/>
    <n v="221"/>
    <n v="7.338987320513897E-2"/>
    <n v="6.6692516479255531E-2"/>
    <n v="6.6973567258834382E-3"/>
    <n v="6.9081500646830524E-2"/>
    <n v="5.1015697137580793E-2"/>
    <n v="1.8065803509249731E-2"/>
    <n v="-7.6463745637844083E-2"/>
    <n v="1.6279069767441756E-2"/>
    <n v="-0.10780240073868885"/>
    <n v="0.20814479638009042"/>
  </r>
  <r>
    <s v="Emcure Pharmaceuticals Limited"/>
    <n v="544210"/>
    <x v="7"/>
    <s v="Pharmaceuticals"/>
    <n v="1553.5"/>
    <n v="29435.6653071"/>
    <n v="7.3038648897833067E-4"/>
    <n v="6733"/>
    <n v="5779"/>
    <n v="697"/>
    <n v="510"/>
    <n v="2363"/>
    <n v="1962"/>
    <n v="231"/>
    <n v="156"/>
    <n v="0.10351997623644735"/>
    <n v="8.8250562381034778E-2"/>
    <n v="1.526941385541257E-2"/>
    <n v="9.7757088446889545E-2"/>
    <n v="7.9510703363914373E-2"/>
    <n v="1.8246385082975172E-2"/>
    <n v="0.16508046374805319"/>
    <n v="0.3666666666666667"/>
    <n v="0.20438328236493364"/>
    <n v="0.48076923076923084"/>
  </r>
  <r>
    <s v="Star Health and Allied Insuran"/>
    <n v="543412"/>
    <x v="2"/>
    <s v="General Insurance"/>
    <n v="453.7"/>
    <n v="26687.035488699999"/>
    <n v="6.6218480025760423E-4"/>
    <n v="12825"/>
    <n v="11607"/>
    <n v="445"/>
    <n v="645"/>
    <n v="4444"/>
    <n v="4001"/>
    <n v="128"/>
    <n v="215"/>
    <n v="3.4697855750487332E-2"/>
    <n v="5.5569914706642541E-2"/>
    <n v="-2.0872058956155209E-2"/>
    <n v="2.8802880288028802E-2"/>
    <n v="5.3736565858535368E-2"/>
    <n v="-2.4933685570506566E-2"/>
    <n v="0.10493667614370628"/>
    <n v="-0.31007751937984496"/>
    <n v="0.11072231942014499"/>
    <n v="-0.40465116279069768"/>
  </r>
  <r>
    <s v="Garden Reach Shipbuilders &amp; En"/>
    <n v="542011"/>
    <x v="4"/>
    <s v="Aerospace &amp; Defense"/>
    <n v="2265.9"/>
    <n v="25940.277754999999"/>
    <n v="6.4365551771738581E-4"/>
    <n v="4882"/>
    <n v="3433"/>
    <n v="444"/>
    <n v="283"/>
    <n v="1895"/>
    <n v="1271"/>
    <n v="170"/>
    <n v="98"/>
    <n v="9.0946333469889395E-2"/>
    <n v="8.243518788231867E-2"/>
    <n v="8.5111455875707259E-3"/>
    <n v="8.9709762532981532E-2"/>
    <n v="7.7104642014162075E-2"/>
    <n v="1.2605120518819457E-2"/>
    <n v="0.42207981357413349"/>
    <n v="0.56890459363957602"/>
    <n v="0.4909520062942565"/>
    <n v="0.73469387755102034"/>
  </r>
  <r>
    <s v="PTC Industries Ltd."/>
    <n v="539006"/>
    <x v="4"/>
    <s v="Other Industrial Products"/>
    <n v="15423"/>
    <n v="23045.048605"/>
    <n v="5.7181626313983918E-4"/>
    <n v="377"/>
    <n v="186"/>
    <n v="41"/>
    <n v="36"/>
    <n v="155"/>
    <n v="66"/>
    <n v="18"/>
    <n v="14"/>
    <n v="0.10875331564986737"/>
    <n v="0.19354838709677419"/>
    <n v="-8.4795071446906817E-2"/>
    <n v="0.11612903225806452"/>
    <n v="0.21212121212121213"/>
    <n v="-9.5992179863147606E-2"/>
    <n v="1.0268817204301075"/>
    <n v="0.13888888888888884"/>
    <n v="1.3484848484848486"/>
    <n v="0.28571428571428581"/>
  </r>
  <r>
    <s v="HONEYWELL AUTOMATION INDIA LTD"/>
    <n v="517174"/>
    <x v="4"/>
    <s v="Industrial Products"/>
    <n v="27346.7"/>
    <n v="24216.926018999999"/>
    <n v="6.0089403056906771E-4"/>
    <n v="3501"/>
    <n v="3075"/>
    <n v="365"/>
    <n v="383"/>
    <n v="1168"/>
    <n v="1090"/>
    <n v="121"/>
    <n v="132"/>
    <n v="0.10425592687803485"/>
    <n v="0.12455284552845529"/>
    <n v="-2.0296918650420437E-2"/>
    <n v="0.1035958904109589"/>
    <n v="0.12110091743119267"/>
    <n v="-1.7505027020233765E-2"/>
    <n v="0.13853658536585356"/>
    <n v="-4.6997389033942572E-2"/>
    <n v="7.1559633027522995E-2"/>
    <n v="-8.333333333333337E-2"/>
  </r>
  <r>
    <s v="Amber Enterprises India Limite"/>
    <n v="540902"/>
    <x v="6"/>
    <s v="Household Appliances"/>
    <n v="6390"/>
    <n v="22464.602544500001"/>
    <n v="5.5741366833700866E-4"/>
    <n v="8038"/>
    <n v="6219"/>
    <n v="64"/>
    <n v="132"/>
    <n v="2942"/>
    <n v="2133"/>
    <n v="-9"/>
    <n v="37"/>
    <n v="7.9621796466782784E-3"/>
    <n v="2.1225277375783887E-2"/>
    <n v="-1.3263097729105609E-2"/>
    <n v="-3.0591434398368456E-3"/>
    <n v="1.7346460384435068E-2"/>
    <n v="-2.0405603824271912E-2"/>
    <n v="0.29249075414053705"/>
    <n v="-0.51515151515151514"/>
    <n v="0.3792780121894046"/>
    <n v="-1.2432432432432432"/>
  </r>
  <r>
    <s v="GILLETTE INDIA LTD."/>
    <n v="507815"/>
    <x v="5"/>
    <s v="Personal Care"/>
    <n v="7502.3"/>
    <n v="24434.0197185"/>
    <n v="6.0628077156176668E-4"/>
    <n v="2307"/>
    <n v="2112"/>
    <n v="461"/>
    <n v="374"/>
    <n v="790"/>
    <n v="685"/>
    <n v="172"/>
    <n v="125"/>
    <n v="0.199826614651062"/>
    <n v="0.17708333333333334"/>
    <n v="2.2743281317728653E-2"/>
    <n v="0.21772151898734177"/>
    <n v="0.18248175182481752"/>
    <n v="3.5239767162524249E-2"/>
    <n v="9.2329545454545414E-2"/>
    <n v="0.23262032085561501"/>
    <n v="0.15328467153284664"/>
    <n v="0.37599999999999989"/>
  </r>
  <r>
    <s v="Anand Rathi Wealth Limited"/>
    <n v="543415"/>
    <x v="2"/>
    <s v="Financial Products Distributor"/>
    <n v="3252.3"/>
    <n v="26981.704750000001"/>
    <n v="6.6949642188821273E-4"/>
    <n v="896"/>
    <n v="738"/>
    <n v="293"/>
    <n v="227"/>
    <n v="305"/>
    <n v="244"/>
    <n v="100"/>
    <n v="77"/>
    <n v="0.32700892857142855"/>
    <n v="0.30758807588075882"/>
    <n v="1.9420852690669732E-2"/>
    <n v="0.32786885245901637"/>
    <n v="0.3155737704918033"/>
    <n v="1.2295081967213073E-2"/>
    <n v="0.21409214092140916"/>
    <n v="0.29074889867841414"/>
    <n v="0.25"/>
    <n v="0.29870129870129869"/>
  </r>
  <r>
    <s v="THE RAMCO CEMENTS LIMITED"/>
    <n v="500260"/>
    <x v="8"/>
    <s v="Cement &amp; Cement Products"/>
    <n v="935"/>
    <n v="22090.967703800001"/>
    <n v="5.4814267559362298E-4"/>
    <n v="6418"/>
    <n v="6121"/>
    <n v="548"/>
    <n v="243"/>
    <n v="2106"/>
    <n v="1983"/>
    <n v="386"/>
    <n v="182"/>
    <n v="8.538485509504519E-2"/>
    <n v="3.9699395523607253E-2"/>
    <n v="4.5685459571437936E-2"/>
    <n v="0.18328584995251662"/>
    <n v="9.1780131114473015E-2"/>
    <n v="9.1505718838043607E-2"/>
    <n v="4.8521483417742095E-2"/>
    <n v="1.2551440329218106"/>
    <n v="6.2027231467473465E-2"/>
    <n v="1.1208791208791209"/>
  </r>
  <r>
    <s v="Ather Energy Limited"/>
    <n v="544397"/>
    <x v="6"/>
    <s v="2/3 Wheelers"/>
    <n v="790.25"/>
    <n v="30240.733824999999"/>
    <n v="7.5036263567117062E-4"/>
    <n v="2497"/>
    <n v="1578"/>
    <n v="-416"/>
    <n v="-577"/>
    <n v="953"/>
    <n v="634"/>
    <n v="-84"/>
    <n v="-197"/>
    <n v="-0.16659991990388467"/>
    <n v="-0.3656527249683143"/>
    <n v="0.19905280506442963"/>
    <n v="-8.8142707240293813E-2"/>
    <n v="-0.3107255520504732"/>
    <n v="0.22258284481017937"/>
    <n v="0.58238276299112801"/>
    <n v="-0.27902946273830154"/>
    <n v="0.50315457413249209"/>
    <n v="-0.57360406091370564"/>
  </r>
  <r>
    <s v="CDSL"/>
    <s v="CDSL"/>
    <x v="2"/>
    <s v="Depositories Clearing Houses and Other Intermediaries"/>
    <n v="1202"/>
    <n v="25119.710510199999"/>
    <n v="6.2329480146900763E-4"/>
    <n v="970"/>
    <n v="943"/>
    <n v="375"/>
    <n v="426"/>
    <n v="334"/>
    <n v="298"/>
    <n v="133"/>
    <n v="130"/>
    <n v="0.38659793814432991"/>
    <n v="0.45174973488865322"/>
    <n v="-6.5151796744323309E-2"/>
    <n v="0.39820359281437123"/>
    <n v="0.43624161073825501"/>
    <n v="-3.8038017923883782E-2"/>
    <n v="2.8632025450689325E-2"/>
    <n v="-0.11971830985915488"/>
    <n v="0.12080536912751683"/>
    <n v="2.3076923076922995E-2"/>
  </r>
  <r>
    <s v="Aditya Birla Sun Life AMC Limi"/>
    <n v="543374"/>
    <x v="2"/>
    <s v="Asset Management Company"/>
    <n v="952.45"/>
    <n v="27522.052699700002"/>
    <n v="6.8290406318629573E-4"/>
    <n v="1634"/>
    <n v="1485"/>
    <n v="787"/>
    <n v="702"/>
    <n v="562"/>
    <n v="483"/>
    <n v="269"/>
    <n v="224"/>
    <n v="0.48164014687882495"/>
    <n v="0.47272727272727272"/>
    <n v="8.9128741515522303E-3"/>
    <n v="0.47864768683274023"/>
    <n v="0.46376811594202899"/>
    <n v="1.4879570890711236E-2"/>
    <n v="0.10033670033670039"/>
    <n v="0.12108262108262102"/>
    <n v="0.16356107660455477"/>
    <n v="0.20089285714285721"/>
  </r>
  <r>
    <s v="TIMKEN INDIA LTD."/>
    <n v="522113"/>
    <x v="4"/>
    <s v="Abrasives &amp; Bearings"/>
    <n v="3335.45"/>
    <n v="25044.987861199999"/>
    <n v="6.2144071009105238E-4"/>
    <n v="2388"/>
    <n v="2243"/>
    <n v="256"/>
    <n v="271"/>
    <n v="779"/>
    <n v="683"/>
    <n v="74"/>
    <n v="78"/>
    <n v="0.10720268006700168"/>
    <n v="0.12082032991529201"/>
    <n v="-1.3617649848290336E-2"/>
    <n v="9.4993581514762518E-2"/>
    <n v="0.11420204978038068"/>
    <n v="-1.9208468265618159E-2"/>
    <n v="6.4645563976816867E-2"/>
    <n v="-5.5350553505535083E-2"/>
    <n v="0.14055636896046853"/>
    <n v="-5.1282051282051322E-2"/>
  </r>
  <r>
    <s v="ITI LTD."/>
    <n v="523610"/>
    <x v="1"/>
    <s v="Telecom - Equipment &amp; Accessories"/>
    <n v="256.89999999999998"/>
    <n v="24741.4441692"/>
    <n v="6.1390888741477256E-4"/>
    <n v="1556"/>
    <n v="2570"/>
    <n v="-143"/>
    <n v="-210"/>
    <n v="514"/>
    <n v="1034"/>
    <n v="-25"/>
    <n v="-48"/>
    <n v="-9.1902313624678669E-2"/>
    <n v="-8.171206225680934E-2"/>
    <n v="-1.019025136786933E-2"/>
    <n v="-4.8638132295719845E-2"/>
    <n v="-4.6421663442940041E-2"/>
    <n v="-2.2164688527798043E-3"/>
    <n v="-0.39455252918287942"/>
    <n v="-0.31904761904761902"/>
    <n v="-0.50290135396518376"/>
    <n v="-0.47916666666666663"/>
  </r>
  <r>
    <s v="SUN TV NETWORK LTD."/>
    <n v="532733"/>
    <x v="6"/>
    <s v="TV Broadcasting &amp; Software Production"/>
    <n v="589.79999999999995"/>
    <n v="23215.522823800002"/>
    <n v="5.7604623602584772E-4"/>
    <n v="3452"/>
    <n v="3078"/>
    <n v="1208"/>
    <n v="1333"/>
    <n v="862"/>
    <n v="829"/>
    <n v="324"/>
    <n v="363"/>
    <n v="0.34994206257242177"/>
    <n v="0.43307342430149448"/>
    <n v="-8.3131361729072706E-2"/>
    <n v="0.37587006960556846"/>
    <n v="0.43787696019300359"/>
    <n v="-6.2006890587435137E-2"/>
    <n v="0.12150747238466542"/>
    <n v="-9.3773443360840258E-2"/>
    <n v="3.9806996381182236E-2"/>
    <n v="-0.1074380165289256"/>
  </r>
  <r>
    <s v="IRB INFRASTRUCTURE DEVELOPERS"/>
    <n v="532947"/>
    <x v="4"/>
    <s v="Civil Construction"/>
    <n v="20.64"/>
    <n v="12450.8422718"/>
    <n v="3.0894246407705601E-4"/>
    <n v="5721"/>
    <n v="5464"/>
    <n v="554"/>
    <n v="6265"/>
    <n v="1871"/>
    <n v="2025"/>
    <n v="210"/>
    <n v="6026"/>
    <n v="9.6836217444502715E-2"/>
    <n v="1.1465959004392388"/>
    <n v="-1.049759682994736"/>
    <n v="0.1122394441475147"/>
    <n v="2.9758024691358025"/>
    <n v="-2.863563024988288"/>
    <n v="4.7035139092240108E-2"/>
    <n v="-0.91157222665602555"/>
    <n v="-7.604938271604933E-2"/>
    <n v="-0.96515101228011946"/>
  </r>
  <r>
    <s v="NBCC (India) Limited"/>
    <n v="534309"/>
    <x v="4"/>
    <s v="Civil Construction"/>
    <n v="84.1"/>
    <n v="22733.999176000001"/>
    <n v="5.6409820078331323E-4"/>
    <n v="8328"/>
    <n v="7399"/>
    <n v="488"/>
    <n v="374"/>
    <n v="3022"/>
    <n v="2809"/>
    <n v="197"/>
    <n v="142"/>
    <n v="5.8597502401536987E-2"/>
    <n v="5.054737126638735E-2"/>
    <n v="8.0501311351496366E-3"/>
    <n v="6.5188616810059566E-2"/>
    <n v="5.0551797792808828E-2"/>
    <n v="1.4636819017250738E-2"/>
    <n v="0.12555750777132046"/>
    <n v="0.30481283422459904"/>
    <n v="7.5827696689213298E-2"/>
    <n v="0.38732394366197176"/>
  </r>
  <r>
    <s v="Manappuram Finance Ltd"/>
    <n v="531213"/>
    <x v="2"/>
    <s v="Non Banking Financial Company (NBFC)"/>
    <n v="261.10000000000002"/>
    <n v="22123.632078899998"/>
    <n v="5.4895317598473202E-4"/>
    <n v="6899"/>
    <n v="7712"/>
    <n v="588"/>
    <n v="1407"/>
    <n v="2359"/>
    <n v="2563"/>
    <n v="239"/>
    <n v="278"/>
    <n v="8.522974344107842E-2"/>
    <n v="0.18244294605809128"/>
    <n v="-9.7213202617012856E-2"/>
    <n v="0.1013141161509114"/>
    <n v="0.10846664065548185"/>
    <n v="-7.1525245045704483E-3"/>
    <n v="-0.10542012448132776"/>
    <n v="-0.58208955223880599"/>
    <n v="-7.9594225516972261E-2"/>
    <n v="-0.14028776978417268"/>
  </r>
  <r>
    <s v="Dr. Lal Pathlabs Limited"/>
    <n v="539524"/>
    <x v="7"/>
    <s v="Healthcare Service Provider"/>
    <n v="1349"/>
    <n v="22523.055822599999"/>
    <n v="5.5886406818750681E-4"/>
    <n v="2060"/>
    <n v="1858"/>
    <n v="377"/>
    <n v="336"/>
    <n v="659"/>
    <n v="596"/>
    <n v="91"/>
    <n v="98"/>
    <n v="0.18300970873786407"/>
    <n v="0.18083961248654468"/>
    <n v="2.1700962513193922E-3"/>
    <n v="0.13808801213960548"/>
    <n v="0.16442953020134229"/>
    <n v="-2.6341518061736818E-2"/>
    <n v="0.10871905274488691"/>
    <n v="0.12202380952380953"/>
    <n v="0.10570469798657722"/>
    <n v="-7.1428571428571397E-2"/>
  </r>
  <r>
    <s v="KAYNES TECHNOLOGY INDIA LIMITE"/>
    <n v="543664"/>
    <x v="4"/>
    <s v="Industrial Products"/>
    <n v="3675"/>
    <n v="23543.262750000002"/>
    <n v="5.8417843930706585E-4"/>
    <n v="2383"/>
    <n v="1737"/>
    <n v="272"/>
    <n v="177"/>
    <n v="804"/>
    <n v="661"/>
    <n v="76"/>
    <n v="66"/>
    <n v="0.1141418380193034"/>
    <n v="0.10189982728842832"/>
    <n v="1.224201073087508E-2"/>
    <n v="9.4527363184079602E-2"/>
    <n v="9.9848714069591532E-2"/>
    <n v="-5.3213508855119301E-3"/>
    <n v="0.37190558434081744"/>
    <n v="0.53672316384180796"/>
    <n v="0.21633888048411487"/>
    <n v="0.1515151515151516"/>
  </r>
  <r>
    <s v="AEGIS LOGISTICS LTD."/>
    <n v="500003"/>
    <x v="0"/>
    <s v="Trading - Gas"/>
    <n v="600"/>
    <n v="21059.993999999999"/>
    <n v="5.2256114869788674E-4"/>
    <n v="5738"/>
    <n v="5058"/>
    <n v="652"/>
    <n v="429"/>
    <n v="1725"/>
    <n v="1706"/>
    <n v="232"/>
    <n v="159"/>
    <n v="0.11362844196584175"/>
    <n v="8.481613285883749E-2"/>
    <n v="2.8812309107004261E-2"/>
    <n v="0.13449275362318841"/>
    <n v="9.3200468933177016E-2"/>
    <n v="4.1292284690011394E-2"/>
    <n v="0.13444049031237637"/>
    <n v="0.51981351981351986"/>
    <n v="1.1137162954278912E-2"/>
    <n v="0.45911949685534581"/>
  </r>
  <r>
    <s v="AEGIS VOPAK TERMINALS LIMITED"/>
    <n v="544407"/>
    <x v="0"/>
    <s v="Oil Storage &amp; Transportation"/>
    <n v="174.3"/>
    <n v="19220.005850000001"/>
    <n v="4.7690556488079271E-4"/>
    <n v="562"/>
    <n v="476"/>
    <n v="467"/>
    <n v="85"/>
    <n v="200"/>
    <n v="169"/>
    <n v="61"/>
    <n v="37"/>
    <n v="0.83096085409252674"/>
    <n v="0.17857142857142858"/>
    <n v="0.65238942552109813"/>
    <n v="0.30499999999999999"/>
    <n v="0.21893491124260356"/>
    <n v="8.6065088757396435E-2"/>
    <n v="0.18067226890756305"/>
    <n v="4.4941176470588236"/>
    <n v="0.18343195266272194"/>
    <n v="0.64864864864864868"/>
  </r>
  <r>
    <s v="Tata Technologies Limited"/>
    <n v="544028"/>
    <x v="3"/>
    <s v="IT Enabled Services"/>
    <n v="543.45000000000005"/>
    <n v="22052.796071500001"/>
    <n v="5.4719552375576586E-4"/>
    <n v="3933"/>
    <n v="3882"/>
    <n v="342"/>
    <n v="448"/>
    <n v="1365"/>
    <n v="1317"/>
    <n v="7"/>
    <n v="169"/>
    <n v="8.6956521739130432E-2"/>
    <n v="0.11540443070582174"/>
    <n v="-2.8447908966691304E-2"/>
    <n v="5.1282051282051282E-3"/>
    <n v="0.12832194381169323"/>
    <n v="-0.12319373868348811"/>
    <n v="1.3137557959814528E-2"/>
    <n v="-0.2366071428571429"/>
    <n v="3.6446469248291535E-2"/>
    <n v="-0.95857988165680474"/>
  </r>
  <r>
    <s v="The New India Assurance Compan"/>
    <n v="540769"/>
    <x v="2"/>
    <s v="General Insurance"/>
    <n v="123.5"/>
    <n v="20410.4673635"/>
    <n v="5.0644445914520622E-4"/>
    <n v="34848"/>
    <n v="30229"/>
    <n v="789"/>
    <n v="650"/>
    <n v="11428"/>
    <n v="10229"/>
    <n v="376"/>
    <n v="344"/>
    <n v="2.2641184573002755E-2"/>
    <n v="2.1502530682457242E-2"/>
    <n v="1.1386538905455122E-3"/>
    <n v="3.2901645082254113E-2"/>
    <n v="3.362987584319093E-2"/>
    <n v="-7.2823076093681688E-4"/>
    <n v="0.15280029111118454"/>
    <n v="0.2138461538461538"/>
    <n v="0.11721575911623816"/>
    <n v="9.3023255813953432E-2"/>
  </r>
  <r>
    <s v="INDRAPRASTHA GAS LTD."/>
    <n v="532514"/>
    <x v="0"/>
    <s v="LPG/CNG/PNG/LNG Supplier"/>
    <n v="148.05000000000001"/>
    <n v="20716.414852000002"/>
    <n v="5.1403592716897661E-4"/>
    <n v="13262"/>
    <n v="12114"/>
    <n v="1205"/>
    <n v="1260"/>
    <n v="4489"/>
    <n v="4142"/>
    <n v="392"/>
    <n v="325"/>
    <n v="9.0861106922032878E-2"/>
    <n v="0.10401188707280833"/>
    <n v="-1.3150780150775448E-2"/>
    <n v="8.7324571173980847E-2"/>
    <n v="7.846450989859971E-2"/>
    <n v="8.860061275381137E-3"/>
    <n v="9.4766385999669911E-2"/>
    <n v="-4.3650793650793607E-2"/>
    <n v="8.3775953645581769E-2"/>
    <n v="0.20615384615384613"/>
  </r>
  <r>
    <s v="AWL AGRI BUSINESS LIMITED"/>
    <n v="543458"/>
    <x v="5"/>
    <s v="Edible Oil"/>
    <n v="180"/>
    <n v="23320.2562583"/>
    <n v="5.7864498433695332E-4"/>
    <n v="53266"/>
    <n v="45443"/>
    <n v="752"/>
    <n v="1035"/>
    <n v="18603"/>
    <n v="16839"/>
    <n v="269"/>
    <n v="411"/>
    <n v="1.4117823752487515E-2"/>
    <n v="2.2775785049402548E-2"/>
    <n v="-8.657961296915033E-3"/>
    <n v="1.4460033327957856E-2"/>
    <n v="2.4407625155888117E-2"/>
    <n v="-9.9475918279302612E-3"/>
    <n v="0.17214972603041168"/>
    <n v="-0.27342995169082129"/>
    <n v="0.10475681453768049"/>
    <n v="-0.34549878345498786"/>
  </r>
  <r>
    <s v="Shyam Metalics and Energy Limited"/>
    <n v="543299"/>
    <x v="4"/>
    <s v="Iron &amp; Steel Products"/>
    <n v="791.85"/>
    <n v="22031.515174700002"/>
    <n v="5.4666748135095186E-4"/>
    <n v="13311"/>
    <n v="11010"/>
    <n v="748"/>
    <n v="689"/>
    <n v="4421"/>
    <n v="3756"/>
    <n v="197"/>
    <n v="197"/>
    <n v="5.6194125159642401E-2"/>
    <n v="6.2579473206176198E-2"/>
    <n v="-6.3853480465337967E-3"/>
    <n v="4.4560054286360555E-2"/>
    <n v="5.2449414270500531E-2"/>
    <n v="-7.8893599841399764E-3"/>
    <n v="0.20899182561307894"/>
    <n v="8.5631349782293142E-2"/>
    <n v="0.17705005324813627"/>
    <n v="0"/>
  </r>
  <r>
    <s v="Himadri Speciality Chemical Lt"/>
    <n v="500184"/>
    <x v="8"/>
    <s v="Carbon Black"/>
    <n v="451.9"/>
    <n v="22752.299558300001"/>
    <n v="5.6455228775011384E-4"/>
    <n v="3372"/>
    <n v="3477"/>
    <n v="547"/>
    <n v="399"/>
    <n v="1183"/>
    <n v="1140"/>
    <n v="192"/>
    <n v="141"/>
    <n v="0.16221826809015422"/>
    <n v="0.11475409836065574"/>
    <n v="4.7464169729498476E-2"/>
    <n v="0.16229923922231615"/>
    <n v="0.12368421052631579"/>
    <n v="3.8615028696000364E-2"/>
    <n v="-3.0198446937014678E-2"/>
    <n v="0.37092731829573933"/>
    <n v="3.7719298245614041E-2"/>
    <n v="0.36170212765957444"/>
  </r>
  <r>
    <s v="INVENTURUS KNOWLEDGE SOLUTIONS"/>
    <n v="544309"/>
    <x v="3"/>
    <s v="IT Enabled Services"/>
    <n v="1358.9"/>
    <n v="22743.089844999999"/>
    <n v="5.6432376734496907E-4"/>
    <n v="2336"/>
    <n v="1940"/>
    <n v="515"/>
    <n v="338"/>
    <n v="814"/>
    <n v="657"/>
    <n v="183"/>
    <n v="129"/>
    <n v="0.22046232876712329"/>
    <n v="0.17422680412371133"/>
    <n v="4.6235524643411963E-2"/>
    <n v="0.22481572481572482"/>
    <n v="0.19634703196347031"/>
    <n v="2.8468692852254507E-2"/>
    <n v="0.20412371134020613"/>
    <n v="0.52366863905325434"/>
    <n v="0.23896499238964997"/>
    <n v="0.41860465116279078"/>
  </r>
  <r>
    <s v="PFIZER LTD."/>
    <n v="500680"/>
    <x v="7"/>
    <s v="Pharmaceuticals"/>
    <n v="4835.3"/>
    <n v="22110.7889239"/>
    <n v="5.4863449907391695E-4"/>
    <n v="1890"/>
    <n v="1689"/>
    <n v="523"/>
    <n v="437"/>
    <n v="645"/>
    <n v="538"/>
    <n v="142"/>
    <n v="128"/>
    <n v="0.2767195767195767"/>
    <n v="0.25873297809354645"/>
    <n v="1.7986598626030248E-2"/>
    <n v="0.22015503875968992"/>
    <n v="0.23791821561338289"/>
    <n v="-1.7763176853692969E-2"/>
    <n v="0.11900532859680291"/>
    <n v="0.19679633867276891"/>
    <n v="0.1988847583643123"/>
    <n v="0.109375"/>
  </r>
  <r>
    <s v="Nuvama Wealth Management Limit"/>
    <n v="543988"/>
    <x v="2"/>
    <s v="Stockbroking &amp; Allied"/>
    <n v="1175.5"/>
    <n v="4213.8642209999998"/>
    <n v="1.0455851638811891E-4"/>
    <n v="3368"/>
    <n v="3044"/>
    <n v="771"/>
    <n v="729"/>
    <n v="1105"/>
    <n v="1034"/>
    <n v="253"/>
    <n v="251"/>
    <n v="0.22891923990498814"/>
    <n v="0.23948751642575558"/>
    <n v="-1.0568276520767445E-2"/>
    <n v="0.22895927601809954"/>
    <n v="0.24274661508704062"/>
    <n v="-1.3787339068941085E-2"/>
    <n v="0.10643889618922464"/>
    <n v="5.7613168724279795E-2"/>
    <n v="6.8665377176015507E-2"/>
    <n v="7.9681274900398336E-3"/>
  </r>
  <r>
    <s v="ASTRAZENECA PHARMA INDIA LTD."/>
    <n v="506820"/>
    <x v="7"/>
    <s v="Pharmaceuticals"/>
    <n v="7758.05"/>
    <n v="19420"/>
    <n v="4.818680151434498E-4"/>
    <n v="1696"/>
    <n v="1235"/>
    <n v="142"/>
    <n v="57"/>
    <n v="611"/>
    <n v="440"/>
    <n v="32"/>
    <n v="30"/>
    <n v="8.3726415094339618E-2"/>
    <n v="4.6153846153846156E-2"/>
    <n v="3.7572568940493462E-2"/>
    <n v="5.2373158756137482E-2"/>
    <n v="6.8181818181818177E-2"/>
    <n v="-1.5808659425680695E-2"/>
    <n v="0.3732793522267206"/>
    <n v="1.4912280701754388"/>
    <n v="0.38863636363636367"/>
    <n v="6.6666666666666652E-2"/>
  </r>
  <r>
    <s v="ASAHI INDIA GLASS LTD."/>
    <n v="515030"/>
    <x v="6"/>
    <s v="Auto Components &amp; Equipments"/>
    <n v="809.4"/>
    <n v="20661.849559999999"/>
    <n v="5.1268199982851498E-4"/>
    <n v="3635"/>
    <n v="3414"/>
    <n v="212"/>
    <n v="275"/>
    <n v="1255"/>
    <n v="1124"/>
    <n v="99"/>
    <n v="104"/>
    <n v="5.8321870701513068E-2"/>
    <n v="8.0550673696543645E-2"/>
    <n v="-2.2228802995030578E-2"/>
    <n v="7.8884462151394427E-2"/>
    <n v="9.2526690391459068E-2"/>
    <n v="-1.3642228240064641E-2"/>
    <n v="6.4733450497949541E-2"/>
    <n v="-0.22909090909090912"/>
    <n v="0.11654804270462638"/>
    <n v="-4.8076923076923128E-2"/>
  </r>
  <r>
    <s v="WELSPUN CORP LIMITED"/>
    <n v="532144"/>
    <x v="4"/>
    <s v="Iron &amp; Steel Products"/>
    <n v="853.6"/>
    <n v="22501.853465"/>
    <n v="5.5833797457406327E-4"/>
    <n v="12458"/>
    <n v="10053"/>
    <n v="1249"/>
    <n v="1203"/>
    <n v="4532"/>
    <n v="3614"/>
    <n v="456"/>
    <n v="672"/>
    <n v="0.1002568630598812"/>
    <n v="0.11966577141151895"/>
    <n v="-1.9408908351637749E-2"/>
    <n v="0.10061782877316858"/>
    <n v="0.18594355285002767"/>
    <n v="-8.5325724076859094E-2"/>
    <n v="0.23923207002884705"/>
    <n v="3.8237738985868575E-2"/>
    <n v="0.25401217487548422"/>
    <n v="-0.3214285714285714"/>
  </r>
  <r>
    <s v="WOCKHARDT LTD."/>
    <n v="532300"/>
    <x v="7"/>
    <s v="Pharmaceuticals"/>
    <n v="1272.25"/>
    <n v="20670.6196442"/>
    <n v="5.128996117268721E-4"/>
    <n v="2408"/>
    <n v="2269"/>
    <n v="35"/>
    <n v="-12"/>
    <n v="888"/>
    <n v="721"/>
    <n v="61"/>
    <n v="20"/>
    <n v="1.4534883720930232E-2"/>
    <n v="-5.2886734244160421E-3"/>
    <n v="1.9823557145346275E-2"/>
    <n v="6.86936936936937E-2"/>
    <n v="2.7739251040221916E-2"/>
    <n v="4.0954442653471784E-2"/>
    <n v="6.1260467166152521E-2"/>
    <n v="-3.9166666666666665"/>
    <n v="0.23162274618585288"/>
    <n v="2.0499999999999998"/>
  </r>
  <r>
    <s v="KALPATARU PROJECTS INTERNATION"/>
    <n v="522287"/>
    <x v="4"/>
    <s v="Civil Construction"/>
    <n v="1084"/>
    <n v="18889.150000000001"/>
    <n v="4.6869604625370215E-4"/>
    <n v="19365"/>
    <n v="15249"/>
    <n v="600"/>
    <n v="349"/>
    <n v="6665"/>
    <n v="5732"/>
    <n v="149"/>
    <n v="140"/>
    <n v="3.0983733539891558E-2"/>
    <n v="2.2886746671912914E-2"/>
    <n v="8.0969868679786443E-3"/>
    <n v="2.2355588897224304E-2"/>
    <n v="2.4424284717376135E-2"/>
    <n v="-2.0686958201518307E-3"/>
    <n v="0.26991933897304743"/>
    <n v="0.71919770773638958"/>
    <n v="0.16277041172365658"/>
    <n v="6.4285714285714279E-2"/>
  </r>
  <r>
    <s v="PNB Housing Finance Limited"/>
    <n v="540173"/>
    <x v="2"/>
    <s v="Housing Finance Company"/>
    <n v="813.8"/>
    <n v="21246.5092955"/>
    <n v="5.2718914845259739E-4"/>
    <n v="6333"/>
    <n v="5654"/>
    <n v="1635"/>
    <n v="1385"/>
    <n v="2120"/>
    <n v="1943"/>
    <n v="520"/>
    <n v="483"/>
    <n v="0.25817148270961632"/>
    <n v="0.2449593208348072"/>
    <n v="1.3212161874809114E-2"/>
    <n v="0.24528301886792453"/>
    <n v="0.24858466289243439"/>
    <n v="-3.3016440245098588E-3"/>
    <n v="0.12009197028652285"/>
    <n v="0.18050541516245477"/>
    <n v="9.1096242923314419E-2"/>
    <n v="7.660455486542439E-2"/>
  </r>
  <r>
    <s v="Sai Life Sciences Limited"/>
    <n v="544306"/>
    <x v="7"/>
    <s v="Pharmaceuticals"/>
    <n v="937.1"/>
    <n v="19843.711039999998"/>
    <n v="4.9238154747296395E-4"/>
    <n v="1590"/>
    <n v="1115"/>
    <n v="244"/>
    <n v="81"/>
    <n v="556"/>
    <n v="439"/>
    <n v="100"/>
    <n v="53"/>
    <n v="0.15345911949685534"/>
    <n v="7.2645739910313895E-2"/>
    <n v="8.0813379586541445E-2"/>
    <n v="0.17985611510791366"/>
    <n v="0.12072892938496584"/>
    <n v="5.9127185722947825E-2"/>
    <n v="0.42600896860986537"/>
    <n v="2.0123456790123457"/>
    <n v="0.26651480637813219"/>
    <n v="0.8867924528301887"/>
  </r>
  <r>
    <s v="IIFL FINANCE LIMITED"/>
    <n v="532636"/>
    <x v="2"/>
    <s v="Non Banking Financial Company (NBFC)"/>
    <n v="439.2"/>
    <n v="18680.836895"/>
    <n v="4.6352717795119337E-4"/>
    <n v="9688"/>
    <n v="7642"/>
    <n v="1193"/>
    <n v="326"/>
    <n v="3432"/>
    <n v="2448"/>
    <n v="501"/>
    <n v="81"/>
    <n v="0.1231420313790256"/>
    <n v="4.2658989793247844E-2"/>
    <n v="8.0483041585777765E-2"/>
    <n v="0.14597902097902099"/>
    <n v="3.3088235294117647E-2"/>
    <n v="0.11289078568490335"/>
    <n v="0.26773096048154943"/>
    <n v="2.6595092024539877"/>
    <n v="0.40196078431372539"/>
    <n v="5.1851851851851851"/>
  </r>
  <r>
    <s v="DEEPAK NITRITE LTD."/>
    <n v="506401"/>
    <x v="8"/>
    <s v="Specialty Chemicals"/>
    <n v="1386"/>
    <n v="18899.977343999999"/>
    <n v="4.6896470489235064E-4"/>
    <n v="5767"/>
    <n v="6102"/>
    <n v="331"/>
    <n v="495"/>
    <n v="1975"/>
    <n v="1903"/>
    <n v="100"/>
    <n v="98"/>
    <n v="5.7395526270157794E-2"/>
    <n v="8.1120943952802366E-2"/>
    <n v="-2.3725417682644571E-2"/>
    <n v="5.0632911392405063E-2"/>
    <n v="5.1497635312664214E-2"/>
    <n v="-8.647239202591514E-4"/>
    <n v="-5.4900032776138974E-2"/>
    <n v="-0.33131313131313134"/>
    <n v="3.7834997372569568E-2"/>
    <n v="2.0408163265306145E-2"/>
  </r>
  <r>
    <s v="PRIME FOCUS LTD."/>
    <n v="532748"/>
    <x v="6"/>
    <s v="Media &amp; Entertainment"/>
    <n v="351.85"/>
    <n v="27291.5903492"/>
    <n v="6.7718560616257127E-4"/>
    <n v="3211"/>
    <n v="2570"/>
    <n v="183"/>
    <n v="-206"/>
    <n v="1192"/>
    <n v="889"/>
    <n v="69"/>
    <n v="-98"/>
    <n v="5.6991591404546869E-2"/>
    <n v="-8.015564202334631E-2"/>
    <n v="0.13714723342789317"/>
    <n v="5.7885906040268456E-2"/>
    <n v="-0.11023622047244094"/>
    <n v="0.16812212651270941"/>
    <n v="0.24941634241245136"/>
    <n v="-1.8883495145631068"/>
    <n v="0.34083239595050618"/>
    <n v="-1.7040816326530612"/>
  </r>
  <r>
    <s v="SCHNEIDER ELECTRIC INFRASTRUCT"/>
    <n v="534139"/>
    <x v="4"/>
    <s v="Heavy Electrical Equipment"/>
    <n v="928.95"/>
    <n v="22210.371143699998"/>
    <n v="5.5110543041267097E-4"/>
    <n v="2300"/>
    <n v="2049"/>
    <n v="190"/>
    <n v="213"/>
    <n v="1029"/>
    <n v="857"/>
    <n v="97"/>
    <n v="110"/>
    <n v="8.2608695652173908E-2"/>
    <n v="0.10395314787701318"/>
    <n v="-2.1344452224839272E-2"/>
    <n v="9.4266277939747331E-2"/>
    <n v="0.12835472578763127"/>
    <n v="-3.4088447847883938E-2"/>
    <n v="0.12249877989263047"/>
    <n v="-0.107981220657277"/>
    <n v="0.20070011668611443"/>
    <n v="-0.11818181818181817"/>
  </r>
  <r>
    <s v="NETWEB TECHNOLOGIES INDIA LIMI"/>
    <n v="543945"/>
    <x v="3"/>
    <s v="IT Enabled Services"/>
    <n v="3214.6"/>
    <n v="18300.737765999998"/>
    <n v="4.5409578697029818E-4"/>
    <n v="1409"/>
    <n v="734"/>
    <n v="135"/>
    <n v="71"/>
    <n v="804"/>
    <n v="333"/>
    <n v="73"/>
    <n v="29"/>
    <n v="9.5812633073101491E-2"/>
    <n v="9.6730245231607628E-2"/>
    <n v="-9.1761215850613698E-4"/>
    <n v="9.0796019900497515E-2"/>
    <n v="8.7087087087087081E-2"/>
    <n v="3.7089328134104343E-3"/>
    <n v="0.9196185286103542"/>
    <n v="0.90140845070422526"/>
    <n v="1.4144144144144146"/>
    <n v="1.5172413793103448"/>
  </r>
  <r>
    <s v="CITY UNION BANK LTD."/>
    <n v="532210"/>
    <x v="2"/>
    <s v="Private Sector Bank"/>
    <n v="249.35"/>
    <n v="18575.434861000002"/>
    <n v="4.6091183969600998E-4"/>
    <n v="5762"/>
    <n v="4948"/>
    <n v="966"/>
    <n v="835"/>
    <n v="2001"/>
    <n v="1707"/>
    <n v="332"/>
    <n v="285"/>
    <n v="0.16765012148559527"/>
    <n v="0.16875505254648343"/>
    <n v="-1.1049310608881591E-3"/>
    <n v="0.16591704147926037"/>
    <n v="0.16695957820738136"/>
    <n v="-1.0425367281209907E-3"/>
    <n v="0.16451091350040414"/>
    <n v="0.15688622754491011"/>
    <n v="0.17223198594024614"/>
    <n v="0.16491228070175445"/>
  </r>
  <r>
    <s v="Redington Limited"/>
    <n v="532805"/>
    <x v="10"/>
    <s v="Trading &amp; Distributors"/>
    <n v="207.85"/>
    <n v="16257.002568399999"/>
    <n v="4.0338463232836628E-4"/>
    <n v="85949"/>
    <n v="72894"/>
    <n v="997"/>
    <n v="903"/>
    <n v="30922"/>
    <n v="26716"/>
    <n v="413"/>
    <n v="403"/>
    <n v="1.1599902267623823E-2"/>
    <n v="1.2387850851921969E-2"/>
    <n v="-7.8794858429814645E-4"/>
    <n v="1.3356186533859388E-2"/>
    <n v="1.508459350202126E-2"/>
    <n v="-1.7284069681618719E-3"/>
    <n v="0.17909567316925945"/>
    <n v="0.10409745293466233"/>
    <n v="0.15743374756700113"/>
    <n v="2.4813895781637729E-2"/>
  </r>
  <r>
    <s v="KPIT Technologies Ltd"/>
    <n v="542651"/>
    <x v="3"/>
    <s v="Computers - Software &amp; Consulting"/>
    <n v="698.85"/>
    <n v="18990.171857500001"/>
    <n v="4.7120269928972833E-4"/>
    <n v="4743"/>
    <n v="4314"/>
    <n v="474"/>
    <n v="594"/>
    <n v="1617"/>
    <n v="1477"/>
    <n v="133"/>
    <n v="186"/>
    <n v="9.9936748893105623E-2"/>
    <n v="0.13769123783031989"/>
    <n v="-3.7754488937214267E-2"/>
    <n v="8.2251082251082255E-2"/>
    <n v="0.12593094109681788"/>
    <n v="-4.3679858845735622E-2"/>
    <n v="9.9443671766342057E-2"/>
    <n v="-0.20202020202020199"/>
    <n v="9.4786729857819996E-2"/>
    <n v="-0.28494623655913975"/>
  </r>
  <r>
    <s v="BAYER CROPSCIENCE LTD."/>
    <n v="506285"/>
    <x v="8"/>
    <s v="Pesticides &amp; Agrochemicals"/>
    <n v="4665.05"/>
    <n v="20965.484984999999"/>
    <n v="5.2021609867362244E-4"/>
    <n v="4574"/>
    <n v="4427"/>
    <n v="527"/>
    <n v="424"/>
    <n v="1106"/>
    <n v="1057"/>
    <n v="95"/>
    <n v="34"/>
    <n v="0.11521644075207696"/>
    <n v="9.577592048791507E-2"/>
    <n v="1.944052026416189E-2"/>
    <n v="8.5895117540687155E-2"/>
    <n v="3.2166508987701042E-2"/>
    <n v="5.3728608552986112E-2"/>
    <n v="3.3205330923876231E-2"/>
    <n v="0.24292452830188682"/>
    <n v="4.635761589403975E-2"/>
    <n v="1.7941176470588234"/>
  </r>
  <r>
    <s v="CESC LTD."/>
    <n v="500084"/>
    <x v="9"/>
    <s v="Integrated Power Utilities"/>
    <n v="153.35"/>
    <n v="20298.454057200001"/>
    <n v="5.0366507554188821E-4"/>
    <n v="14474"/>
    <n v="13124"/>
    <n v="1159"/>
    <n v="1043"/>
    <n v="4005"/>
    <n v="3561"/>
    <n v="304"/>
    <n v="282"/>
    <n v="8.0074616553820643E-2"/>
    <n v="7.9472721731179516E-2"/>
    <n v="6.0189482264112748E-4"/>
    <n v="7.5905118601747812E-2"/>
    <n v="7.919123841617523E-2"/>
    <n v="-3.2861198144274184E-3"/>
    <n v="0.10286498018896673"/>
    <n v="0.1112176414189836"/>
    <n v="0.12468407750631849"/>
    <n v="7.8014184397163122E-2"/>
  </r>
  <r>
    <s v="PIRAMAL PHARMA LIMITED"/>
    <n v="543635"/>
    <x v="7"/>
    <s v="Pharmaceuticals"/>
    <n v="140.35"/>
    <n v="18535.491976000001"/>
    <n v="4.5992073780548202E-4"/>
    <n v="6117"/>
    <n v="6397"/>
    <n v="-317"/>
    <n v="-62"/>
    <n v="2140"/>
    <n v="2204"/>
    <n v="-136"/>
    <n v="4"/>
    <n v="-5.1822788948831126E-2"/>
    <n v="-9.6920431452243248E-3"/>
    <n v="-4.2130745803606803E-2"/>
    <n v="-6.3551401869158877E-2"/>
    <n v="1.8148820326678765E-3"/>
    <n v="-6.5366283901826749E-2"/>
    <n v="-4.3770517430045341E-2"/>
    <n v="4.112903225806452"/>
    <n v="-2.9038112522686066E-2"/>
    <n v="-35"/>
  </r>
  <r>
    <s v="HATSUN AGRO PRODUCT LTD."/>
    <n v="531531"/>
    <x v="5"/>
    <s v="Dairy Products"/>
    <n v="894.85"/>
    <n v="19958.238720000001"/>
    <n v="4.9522332017330317E-4"/>
    <n v="7382"/>
    <n v="6457"/>
    <n v="305"/>
    <n v="236"/>
    <n v="2364"/>
    <n v="2010"/>
    <n v="61"/>
    <n v="41"/>
    <n v="4.1316716337036034E-2"/>
    <n v="3.6549481183212017E-2"/>
    <n v="4.7672351538240176E-3"/>
    <n v="2.5803722504230117E-2"/>
    <n v="2.0398009950248756E-2"/>
    <n v="5.4057125539813608E-3"/>
    <n v="0.14325538175623365"/>
    <n v="0.29237288135593231"/>
    <n v="0.17611940298507456"/>
    <n v="0.48780487804878048"/>
  </r>
  <r>
    <s v="SUMITOMO CHEMICAL INDIA LIMITE"/>
    <n v="542920"/>
    <x v="8"/>
    <s v="Pesticides &amp; Agrochemicals"/>
    <n v="396"/>
    <n v="19852.891191499999"/>
    <n v="4.9260933436184255E-4"/>
    <n v="2554"/>
    <n v="2469"/>
    <n v="431"/>
    <n v="406"/>
    <n v="567"/>
    <n v="641"/>
    <n v="75"/>
    <n v="87"/>
    <n v="0.1687548942834769"/>
    <n v="0.1644390441474281"/>
    <n v="4.3158501360487933E-3"/>
    <n v="0.13227513227513227"/>
    <n v="0.1357254290171607"/>
    <n v="-3.4502967420284303E-3"/>
    <n v="3.4426893479141407E-2"/>
    <n v="6.1576354679802936E-2"/>
    <n v="-0.11544461778471138"/>
    <n v="-0.13793103448275867"/>
  </r>
  <r>
    <s v="EMAMI LTD."/>
    <n v="531162"/>
    <x v="5"/>
    <s v="Personal Care"/>
    <n v="398.7"/>
    <n v="17401.076219999999"/>
    <n v="4.3177250563806817E-4"/>
    <n v="2854"/>
    <n v="2846"/>
    <n v="632"/>
    <n v="640"/>
    <n v="1151"/>
    <n v="1049"/>
    <n v="319"/>
    <n v="278"/>
    <n v="0.2214435879467414"/>
    <n v="0.22487702037947996"/>
    <n v="-3.4334324327385535E-3"/>
    <n v="0.27715030408340574"/>
    <n v="0.26501429933269782"/>
    <n v="1.2136004750707918E-2"/>
    <n v="2.8109627547434624E-3"/>
    <n v="-1.2499999999999956E-2"/>
    <n v="9.7235462345090617E-2"/>
    <n v="0.14748201438848918"/>
  </r>
  <r>
    <s v="KIRLOSKAR OIL ENGINES LTD."/>
    <n v="533293"/>
    <x v="4"/>
    <s v="Compressors, Pumps &amp; Diesel Engines"/>
    <n v="1415"/>
    <n v="20548.347000000002"/>
    <n v="5.0986566340725347E-4"/>
    <n v="5585"/>
    <n v="4580"/>
    <n v="407"/>
    <n v="349"/>
    <n v="1872"/>
    <n v="1449"/>
    <n v="109"/>
    <n v="68"/>
    <n v="7.2873769024171892E-2"/>
    <n v="7.6200873362445409E-2"/>
    <n v="-3.3271043382735177E-3"/>
    <n v="5.8226495726495728E-2"/>
    <n v="4.6928916494133888E-2"/>
    <n v="1.129757923236184E-2"/>
    <n v="0.21943231441048039"/>
    <n v="0.16618911174785089"/>
    <n v="0.29192546583850931"/>
    <n v="0.60294117647058831"/>
  </r>
  <r>
    <s v="KIOCL Limited"/>
    <n v="540680"/>
    <x v="8"/>
    <s v="Sponge Iron"/>
    <n v="345.85"/>
    <n v="20970.4475131"/>
    <n v="5.2033923376969054E-4"/>
    <n v="393"/>
    <n v="344"/>
    <n v="-36"/>
    <n v="-167"/>
    <n v="159"/>
    <n v="180"/>
    <n v="18"/>
    <n v="-47"/>
    <n v="-9.1603053435114504E-2"/>
    <n v="-0.48546511627906974"/>
    <n v="0.39386206284395525"/>
    <n v="0.11320754716981132"/>
    <n v="-0.26111111111111113"/>
    <n v="0.37431865828092248"/>
    <n v="0.14244186046511631"/>
    <n v="-0.78443113772455086"/>
    <n v="-0.1166666666666667"/>
    <n v="-1.3829787234042552"/>
  </r>
  <r>
    <s v="Aadhar Housing Finance Limited"/>
    <n v="544176"/>
    <x v="2"/>
    <s v="Housing Finance Company"/>
    <n v="452.25"/>
    <n v="19711.235121999998"/>
    <n v="4.8909442555427371E-4"/>
    <n v="2694"/>
    <n v="2275"/>
    <n v="784"/>
    <n v="666"/>
    <n v="943"/>
    <n v="797"/>
    <n v="281"/>
    <n v="239"/>
    <n v="0.29101707498144025"/>
    <n v="0.29274725274725277"/>
    <n v="-1.7301777658125239E-3"/>
    <n v="0.29798515376458112"/>
    <n v="0.29987452948557092"/>
    <n v="-1.8893757209897943E-3"/>
    <n v="0.18417582417582423"/>
    <n v="0.17717717717717707"/>
    <n v="0.1831869510664994"/>
    <n v="0.17573221757322166"/>
  </r>
  <r>
    <s v="EIH LTD."/>
    <n v="500840"/>
    <x v="6"/>
    <s v="Hotels &amp; Resorts"/>
    <n v="306.5"/>
    <n v="19109.63135"/>
    <n v="4.7416684494065617E-4"/>
    <n v="2044"/>
    <n v="1916"/>
    <n v="408"/>
    <n v="508"/>
    <n v="873"/>
    <n v="800"/>
    <n v="255"/>
    <n v="279"/>
    <n v="0.19960861056751467"/>
    <n v="0.26513569937369519"/>
    <n v="-6.5527088806180522E-2"/>
    <n v="0.29209621993127149"/>
    <n v="0.34875"/>
    <n v="-5.665378006872851E-2"/>
    <n v="6.6805845511482165E-2"/>
    <n v="-0.19685039370078738"/>
    <n v="9.1250000000000053E-2"/>
    <n v="-8.6021505376344121E-2"/>
  </r>
  <r>
    <s v="ATUL"/>
    <n v="500027"/>
    <x v="8"/>
    <s v="Specialty Chemicals"/>
    <n v="6162"/>
    <n v="18142.00635"/>
    <n v="4.501571879811721E-4"/>
    <n v="4716"/>
    <n v="4192"/>
    <n v="478"/>
    <n v="368"/>
    <n v="1612"/>
    <n v="1432"/>
    <n v="163"/>
    <n v="117"/>
    <n v="0.10135708227311281"/>
    <n v="8.7786259541984726E-2"/>
    <n v="1.3570822731128085E-2"/>
    <n v="0.10111662531017369"/>
    <n v="8.1703910614525144E-2"/>
    <n v="1.941271469564855E-2"/>
    <n v="0.125"/>
    <n v="0.29891304347826098"/>
    <n v="0.12569832402234637"/>
    <n v="0.3931623931623931"/>
  </r>
  <r>
    <s v="CreditAccess Grameen Ltd."/>
    <n v="541770"/>
    <x v="2"/>
    <s v="Microfinance Institutions"/>
    <n v="1186.45"/>
    <n v="19048.905968800002"/>
    <n v="4.7266006744798509E-4"/>
    <n v="4464"/>
    <n v="4348"/>
    <n v="438"/>
    <n v="484"/>
    <n v="1491"/>
    <n v="1382"/>
    <n v="252"/>
    <n v="-99"/>
    <n v="9.8118279569892469E-2"/>
    <n v="0.11131554737810488"/>
    <n v="-1.3197267808212412E-2"/>
    <n v="0.16901408450704225"/>
    <n v="-7.1635311143270625E-2"/>
    <n v="0.24064939565031288"/>
    <n v="2.6678932842686187E-2"/>
    <n v="-9.5041322314049603E-2"/>
    <n v="7.8871201157742377E-2"/>
    <n v="-3.5454545454545454"/>
  </r>
  <r>
    <s v="RBL Bank Limited"/>
    <n v="540065"/>
    <x v="2"/>
    <s v="Private Sector Bank"/>
    <n v="317.7"/>
    <n v="19632.456924999999"/>
    <n v="4.8713970395669544E-4"/>
    <n v="13672"/>
    <n v="13341"/>
    <n v="634"/>
    <n v="630"/>
    <n v="4718"/>
    <n v="4610"/>
    <n v="227"/>
    <n v="47"/>
    <n v="4.6372147454651846E-2"/>
    <n v="4.7222846863053745E-2"/>
    <n v="-8.50699408401899E-4"/>
    <n v="4.8113607460788473E-2"/>
    <n v="1.0195227765726681E-2"/>
    <n v="3.7918379695061788E-2"/>
    <n v="2.481073382804877E-2"/>
    <n v="6.3492063492063266E-3"/>
    <n v="2.3427331887201808E-2"/>
    <n v="3.8297872340425529"/>
  </r>
  <r>
    <s v="AFFLE 3I LIMITED"/>
    <n v="542752"/>
    <x v="3"/>
    <s v="IT Enabled Services"/>
    <n v="1418.8"/>
    <n v="19947.3327364"/>
    <n v="4.9495271025206116E-4"/>
    <n v="1984"/>
    <n v="1664"/>
    <n v="335"/>
    <n v="278"/>
    <n v="717"/>
    <n v="601"/>
    <n v="119"/>
    <n v="100"/>
    <n v="0.16885080645161291"/>
    <n v="0.16706730769230768"/>
    <n v="1.7834987593052243E-3"/>
    <n v="0.16596931659693165"/>
    <n v="0.16638935108153077"/>
    <n v="-4.200344845991244E-4"/>
    <n v="0.19230769230769229"/>
    <n v="0.20503597122302164"/>
    <n v="0.19301164725457576"/>
    <n v="0.18999999999999995"/>
  </r>
  <r>
    <s v="SARDA ENERGY &amp; MINERALS LTD."/>
    <n v="504614"/>
    <x v="8"/>
    <s v="Iron &amp; Steel"/>
    <n v="522.6"/>
    <n v="18411.922924999999"/>
    <n v="4.568546217736318E-4"/>
    <n v="4437"/>
    <n v="3404"/>
    <n v="922"/>
    <n v="587"/>
    <n v="1276"/>
    <n v="1319"/>
    <n v="184"/>
    <n v="188"/>
    <n v="0.20779806175343701"/>
    <n v="0.17244418331374853"/>
    <n v="3.5353878439688485E-2"/>
    <n v="0.14420062695924765"/>
    <n v="0.14253222137983321"/>
    <n v="1.6684055794144448E-3"/>
    <n v="0.3034665099882492"/>
    <n v="0.57069846678023861"/>
    <n v="-3.2600454890068242E-2"/>
    <n v="-2.1276595744680882E-2"/>
  </r>
  <r>
    <s v="Eris Lifesciences Limited"/>
    <n v="540596"/>
    <x v="7"/>
    <s v="Pharmaceuticals"/>
    <n v="1335.05"/>
    <n v="18528.7277842"/>
    <n v="4.5975289806929684E-4"/>
    <n v="2373"/>
    <n v="2188"/>
    <n v="479"/>
    <n v="361"/>
    <n v="807"/>
    <n v="727"/>
    <n v="109"/>
    <n v="87"/>
    <n v="0.20185419300463547"/>
    <n v="0.16499085923217549"/>
    <n v="3.6863333772459983E-2"/>
    <n v="0.13506815365551425"/>
    <n v="0.11966987620357634"/>
    <n v="1.5398277451937906E-2"/>
    <n v="8.4552102376599603E-2"/>
    <n v="0.32686980609418281"/>
    <n v="0.11004126547455306"/>
    <n v="0.25287356321839072"/>
  </r>
  <r>
    <s v="GREAT EASTERN SHIPPING CO.LTD."/>
    <n v="500620"/>
    <x v="10"/>
    <s v="Shipping"/>
    <n v="1465"/>
    <n v="20923.945827399999"/>
    <n v="5.1918538850763678E-4"/>
    <n v="3898"/>
    <n v="4099"/>
    <n v="1898"/>
    <n v="1981"/>
    <n v="1454"/>
    <n v="1237"/>
    <n v="819"/>
    <n v="594"/>
    <n v="0.48691636736788096"/>
    <n v="0.48328860697731152"/>
    <n v="3.6277603905694455E-3"/>
    <n v="0.56327372764786798"/>
    <n v="0.48019401778496362"/>
    <n v="8.3079709862904361E-2"/>
    <n v="-4.903635032934861E-2"/>
    <n v="-4.1898031297324612E-2"/>
    <n v="0.17542441390460795"/>
    <n v="0.3787878787878789"/>
  </r>
  <r>
    <s v="Motherson Sumi Wiring India Li"/>
    <n v="543498"/>
    <x v="6"/>
    <s v="Auto Components &amp; Equipments"/>
    <n v="36.78"/>
    <n v="24377.9847228"/>
    <n v="6.0489037649706374E-4"/>
    <n v="8143"/>
    <n v="6811"/>
    <n v="458"/>
    <n v="441"/>
    <n v="2887"/>
    <n v="2300"/>
    <n v="149"/>
    <n v="140"/>
    <n v="5.6244627287240577E-2"/>
    <n v="6.4748201438848921E-2"/>
    <n v="-8.5035741516083438E-3"/>
    <n v="5.1610668514028402E-2"/>
    <n v="6.0869565217391307E-2"/>
    <n v="-9.2588967033629052E-3"/>
    <n v="0.1955659961826457"/>
    <n v="3.8548752834467015E-2"/>
    <n v="0.25521739130434784"/>
    <n v="6.4285714285714279E-2"/>
  </r>
  <r>
    <s v="HBL ENGINEERING LIMITED"/>
    <n v="517271"/>
    <x v="4"/>
    <s v="Other Industrial Products"/>
    <n v="677.55"/>
    <n v="18771.638966300001"/>
    <n v="4.6578024766634506E-4"/>
    <n v="2699"/>
    <n v="1492"/>
    <n v="746"/>
    <n v="210"/>
    <n v="874"/>
    <n v="450"/>
    <n v="217"/>
    <n v="58"/>
    <n v="0.27639866617265652"/>
    <n v="0.14075067024128687"/>
    <n v="0.13564799593136964"/>
    <n v="0.2482837528604119"/>
    <n v="0.12888888888888889"/>
    <n v="0.11939486397152302"/>
    <n v="0.80898123324396787"/>
    <n v="2.5523809523809522"/>
    <n v="0.94222222222222229"/>
    <n v="2.7413793103448274"/>
  </r>
  <r>
    <s v="CASTROL INDIA LTD."/>
    <n v="500870"/>
    <x v="0"/>
    <s v="Lubricants"/>
    <n v="178.65"/>
    <n v="17672.653312999999"/>
    <n v="4.3851114182562421E-4"/>
    <n v="5721"/>
    <n v="5365"/>
    <n v="950"/>
    <n v="927"/>
    <n v="1440"/>
    <n v="1354"/>
    <n v="245"/>
    <n v="271"/>
    <n v="0.1660548855095263"/>
    <n v="0.17278657968313141"/>
    <n v="-6.7316941736051128E-3"/>
    <n v="0.1701388888888889"/>
    <n v="0.20014771048744462"/>
    <n v="-3.0008821598555724E-2"/>
    <n v="6.6356011183597463E-2"/>
    <n v="2.4811218985976158E-2"/>
    <n v="6.3515509601181686E-2"/>
    <n v="-9.5940959409594129E-2"/>
  </r>
  <r>
    <s v="ANANT RAJ LIMITED"/>
    <n v="515055"/>
    <x v="6"/>
    <s v="Residential, Commercial Projects"/>
    <n v="453.85"/>
    <n v="15627.0010262"/>
    <n v="3.8775241849328771E-4"/>
    <n v="1864"/>
    <n v="1519"/>
    <n v="408"/>
    <n v="307"/>
    <n v="641"/>
    <n v="534"/>
    <n v="144"/>
    <n v="108"/>
    <n v="0.21888412017167383"/>
    <n v="0.20210664911125742"/>
    <n v="1.677747106041641E-2"/>
    <n v="0.22464898595943839"/>
    <n v="0.20224719101123595"/>
    <n v="2.2401794948202436E-2"/>
    <n v="0.22712310730743912"/>
    <n v="0.32899022801302924"/>
    <n v="0.20037453183520593"/>
    <n v="0.33333333333333326"/>
  </r>
  <r>
    <s v="Craftsman Automation Limited"/>
    <n v="543276"/>
    <x v="6"/>
    <s v="Auto Components &amp; Equipments"/>
    <n v="6758"/>
    <n v="16120.401427500001"/>
    <n v="3.9999515134835528E-4"/>
    <n v="5842"/>
    <n v="3941"/>
    <n v="267"/>
    <n v="134"/>
    <n v="2057"/>
    <n v="1576"/>
    <n v="107"/>
    <n v="12"/>
    <n v="4.5703526189661073E-2"/>
    <n v="3.400152245622938E-2"/>
    <n v="1.1702003733431693E-2"/>
    <n v="5.201750121536218E-2"/>
    <n v="7.6142131979695434E-3"/>
    <n v="4.4403288017392635E-2"/>
    <n v="0.48236488200964223"/>
    <n v="0.99253731343283591"/>
    <n v="0.30520304568527923"/>
    <n v="7.9166666666666661"/>
  </r>
  <r>
    <s v="PUNJAB &amp; SIND BANK"/>
    <n v="533295"/>
    <x v="2"/>
    <s v="Public Sector Bank"/>
    <n v="22.9"/>
    <n v="15486.449922"/>
    <n v="3.8426492716439614E-4"/>
    <n v="10301"/>
    <n v="9213"/>
    <n v="900"/>
    <n v="703"/>
    <n v="3549"/>
    <n v="3269"/>
    <n v="336"/>
    <n v="281"/>
    <n v="8.7370158237064358E-2"/>
    <n v="7.6305220883534142E-2"/>
    <n v="1.1064937353530216E-2"/>
    <n v="9.4674556213017749E-2"/>
    <n v="8.5959008871214437E-2"/>
    <n v="8.7155473418033119E-3"/>
    <n v="0.11809399761206985"/>
    <n v="0.2802275960170697"/>
    <n v="8.5653104925053514E-2"/>
    <n v="0.19572953736654797"/>
  </r>
  <r>
    <s v="Jyoti CNC Automation Limited"/>
    <n v="544081"/>
    <x v="4"/>
    <s v="Industrial Products"/>
    <n v="768.7"/>
    <n v="17471.771975"/>
    <n v="4.3352667778744601E-4"/>
    <n v="1494"/>
    <n v="1242"/>
    <n v="245"/>
    <n v="207"/>
    <n v="576"/>
    <n v="450"/>
    <n v="88.5"/>
    <n v="80"/>
    <n v="0.1639892904953146"/>
    <n v="0.16666666666666666"/>
    <n v="-2.6773761713520527E-3"/>
    <n v="0.15364583333333334"/>
    <n v="0.17777777777777778"/>
    <n v="-2.4131944444444442E-2"/>
    <n v="0.20289855072463769"/>
    <n v="0.18357487922705307"/>
    <n v="0.28000000000000003"/>
    <n v="0.10624999999999996"/>
  </r>
  <r>
    <s v="JSW HOLDINGS LIMITED"/>
    <n v="532642"/>
    <x v="2"/>
    <s v="Investment Company"/>
    <n v="11938"/>
    <n v="13256.155896"/>
    <n v="3.2892469258690316E-4"/>
    <n v="146"/>
    <n v="218"/>
    <n v="133"/>
    <n v="186"/>
    <n v="32"/>
    <n v="29"/>
    <n v="32"/>
    <n v="13"/>
    <n v="0.91095890410958902"/>
    <n v="0.85321100917431192"/>
    <n v="5.77478949352771E-2"/>
    <n v="1"/>
    <n v="0.44827586206896552"/>
    <n v="0.55172413793103448"/>
    <n v="-0.33027522935779818"/>
    <n v="-0.28494623655913975"/>
    <n v="0.10344827586206895"/>
    <n v="1.4615384615384617"/>
  </r>
  <r>
    <s v="Sagility Limited"/>
    <n v="544282"/>
    <x v="3"/>
    <s v="IT Enabled Services"/>
    <n v="42.44"/>
    <n v="19951.603562299999"/>
    <n v="4.9505868215728545E-4"/>
    <n v="5168"/>
    <n v="4001"/>
    <n v="667"/>
    <n v="356"/>
    <n v="1971"/>
    <n v="1453"/>
    <n v="267"/>
    <n v="216"/>
    <n v="0.12906346749226005"/>
    <n v="8.897775556110972E-2"/>
    <n v="4.0085711931150333E-2"/>
    <n v="0.13546423135464231"/>
    <n v="0.14865794907088781"/>
    <n v="-1.3193717716245501E-2"/>
    <n v="0.29167708072981746"/>
    <n v="0.87359550561797761"/>
    <n v="0.35650378527185134"/>
    <n v="0.23611111111111116"/>
  </r>
  <r>
    <s v="Data Patterns (India) Limited"/>
    <n v="543428"/>
    <x v="4"/>
    <s v="Aerospace &amp; Defense"/>
    <n v="3138.7"/>
    <n v="17562.168251999999"/>
    <n v="4.3576967853792731E-4"/>
    <n v="580"/>
    <n v="312"/>
    <n v="133"/>
    <n v="108"/>
    <n v="173"/>
    <n v="117"/>
    <n v="58"/>
    <n v="45"/>
    <n v="0.22931034482758619"/>
    <n v="0.34615384615384615"/>
    <n v="-0.11684350132625995"/>
    <n v="0.33526011560693642"/>
    <n v="0.38461538461538464"/>
    <n v="-4.9355269008448222E-2"/>
    <n v="0.85897435897435903"/>
    <n v="0.2314814814814814"/>
    <n v="0.47863247863247871"/>
    <n v="0.28888888888888897"/>
  </r>
  <r>
    <s v="TATA CHEMICALS LTD."/>
    <n v="500770"/>
    <x v="8"/>
    <s v="Commodity Chemicals"/>
    <n v="632.4"/>
    <n v="16099.393185499999"/>
    <n v="3.9947387432084789E-4"/>
    <n v="11146"/>
    <n v="11378"/>
    <n v="401"/>
    <n v="436"/>
    <n v="3550"/>
    <n v="3590"/>
    <n v="-69"/>
    <n v="-21"/>
    <n v="3.597703211914588E-2"/>
    <n v="3.8319564071014237E-2"/>
    <n v="-2.3425319518683568E-3"/>
    <n v="-1.9436619718309858E-2"/>
    <n v="-5.8495821727019498E-3"/>
    <n v="-1.3587037545607909E-2"/>
    <n v="-2.0390226753383756E-2"/>
    <n v="-8.0275229357798183E-2"/>
    <n v="-1.1142061281337101E-2"/>
    <n v="2.2857142857142856"/>
  </r>
  <r>
    <s v="GRINDWELL NORTON LTD."/>
    <n v="506076"/>
    <x v="4"/>
    <s v="Abrasives &amp; Bearings"/>
    <n v="1441.7"/>
    <n v="15942.573070300001"/>
    <n v="3.9558270039468979E-4"/>
    <n v="2221"/>
    <n v="2093"/>
    <n v="297"/>
    <n v="278"/>
    <n v="749"/>
    <n v="699"/>
    <n v="95"/>
    <n v="87"/>
    <n v="0.13372354795137326"/>
    <n v="0.13282369804108934"/>
    <n v="8.9984991028391192E-4"/>
    <n v="0.12683578104138851"/>
    <n v="0.12446351931330472"/>
    <n v="2.3722617280837882E-3"/>
    <n v="6.1156235069278475E-2"/>
    <n v="6.8345323741007213E-2"/>
    <n v="7.1530758226037161E-2"/>
    <n v="9.1954022988505857E-2"/>
  </r>
  <r>
    <s v="CHAMBAL FERTILISERS &amp; CHEMICAL"/>
    <n v="500085"/>
    <x v="8"/>
    <s v="Fertilizers"/>
    <n v="446.6"/>
    <n v="17909.153340000001"/>
    <n v="4.4437941157803734E-4"/>
    <n v="18009"/>
    <n v="14197"/>
    <n v="1784"/>
    <n v="1519"/>
    <n v="5898"/>
    <n v="4918"/>
    <n v="586"/>
    <n v="534"/>
    <n v="9.9061580320950637E-2"/>
    <n v="0.10699443544410792"/>
    <n v="-7.9328551231572786E-3"/>
    <n v="9.9355713801288575E-2"/>
    <n v="0.10858072387149248"/>
    <n v="-9.225010070203904E-3"/>
    <n v="0.26850743114742559"/>
    <n v="0.17445687952600397"/>
    <n v="0.1992679951199674"/>
    <n v="9.7378277153558068E-2"/>
  </r>
  <r>
    <s v="CIE Automotive India Limited"/>
    <n v="532756"/>
    <x v="6"/>
    <s v="Auto Components &amp; Equipments"/>
    <n v="466.7"/>
    <n v="17666.898862499998"/>
    <n v="4.3836835677718561E-4"/>
    <n v="9406"/>
    <n v="8964"/>
    <n v="828"/>
    <n v="827"/>
    <n v="2392"/>
    <n v="2109"/>
    <n v="204"/>
    <n v="184"/>
    <n v="8.8028917712098656E-2"/>
    <n v="9.2257920571173588E-2"/>
    <n v="-4.2290028590749318E-3"/>
    <n v="8.5284280936454848E-2"/>
    <n v="8.7245139876718822E-2"/>
    <n v="-1.9608589402639737E-3"/>
    <n v="4.9308344489067402E-2"/>
    <n v="1.2091898428052694E-3"/>
    <n v="0.1341868183973447"/>
    <n v="0.10869565217391308"/>
  </r>
  <r>
    <s v="SUNDRAM FASTENERS LTD."/>
    <n v="500403"/>
    <x v="6"/>
    <s v="Auto Components &amp; Equipments"/>
    <n v="761.75"/>
    <n v="16018.0876754"/>
    <n v="3.9745644256121285E-4"/>
    <n v="4596"/>
    <n v="4425"/>
    <n v="431"/>
    <n v="417"/>
    <n v="1541"/>
    <n v="1441"/>
    <n v="131"/>
    <n v="131"/>
    <n v="9.3777197563098352E-2"/>
    <n v="9.423728813559322E-2"/>
    <n v="-4.6009057249486729E-4"/>
    <n v="8.5009733939000645E-2"/>
    <n v="9.0909090909090912E-2"/>
    <n v="-5.8993569700902665E-3"/>
    <n v="3.8644067796610226E-2"/>
    <n v="3.3573141486810565E-2"/>
    <n v="6.9396252602359487E-2"/>
    <n v="0"/>
  </r>
  <r>
    <s v="ACUTAAS CHEMICALS LIMITED"/>
    <n v="543349"/>
    <x v="7"/>
    <s v="Pharmaceuticals"/>
    <n v="2227.6999999999998"/>
    <n v="18239.244057700002"/>
    <n v="4.5256994499489499E-4"/>
    <n v="906"/>
    <n v="698"/>
    <n v="222"/>
    <n v="97"/>
    <n v="393"/>
    <n v="274"/>
    <n v="106"/>
    <n v="45"/>
    <n v="0.24503311258278146"/>
    <n v="0.13896848137535817"/>
    <n v="0.10606463120742329"/>
    <n v="0.26972010178117051"/>
    <n v="0.16423357664233576"/>
    <n v="0.10548652513883475"/>
    <n v="0.29799426934097428"/>
    <n v="1.2886597938144329"/>
    <n v="0.43430656934306566"/>
    <n v="1.3555555555555556"/>
  </r>
  <r>
    <s v="AVANTI FEEDS LTD."/>
    <n v="512573"/>
    <x v="5"/>
    <s v="Animal Feed"/>
    <n v="1240.9000000000001"/>
    <n v="16880.829839999999"/>
    <n v="4.1886364412848189E-4"/>
    <n v="4598"/>
    <n v="4225"/>
    <n v="517"/>
    <n v="399"/>
    <n v="1383"/>
    <n v="1365"/>
    <n v="163"/>
    <n v="141"/>
    <n v="0.11244019138755981"/>
    <n v="9.4437869822485213E-2"/>
    <n v="1.80023215650746E-2"/>
    <n v="0.11785972523499638"/>
    <n v="0.10329670329670329"/>
    <n v="1.4563021938293091E-2"/>
    <n v="8.8284023668639078E-2"/>
    <n v="0.29573934837092741"/>
    <n v="1.318681318681314E-2"/>
    <n v="0.15602836879432624"/>
  </r>
  <r>
    <s v="GUJARAT MINERAL DEVELOPMENT CO"/>
    <n v="532181"/>
    <x v="8"/>
    <s v="Industrial Minerals"/>
    <n v="597.95000000000005"/>
    <n v="18984.100393299999"/>
    <n v="4.7105204818761353E-4"/>
    <n v="1839"/>
    <n v="2064"/>
    <n v="763"/>
    <n v="459"/>
    <n v="579"/>
    <n v="653"/>
    <n v="133"/>
    <n v="148"/>
    <n v="0.4148994018488309"/>
    <n v="0.22238372093023256"/>
    <n v="0.19251568091859833"/>
    <n v="0.22970639032815199"/>
    <n v="0.22664624808575803"/>
    <n v="3.0601422423939539E-3"/>
    <n v="-0.10901162790697672"/>
    <n v="0.66230936819172115"/>
    <n v="-0.11332312404287903"/>
    <n v="-0.10135135135135132"/>
  </r>
  <r>
    <s v="GODAWARI POWER &amp; ISPAT LTD."/>
    <n v="532734"/>
    <x v="4"/>
    <s v="Iron &amp; Steel Products"/>
    <n v="275.55"/>
    <n v="18496.097484999998"/>
    <n v="4.5894324320271384E-4"/>
    <n v="3770"/>
    <n v="3908"/>
    <n v="521"/>
    <n v="591"/>
    <n v="1139"/>
    <n v="1298"/>
    <n v="143"/>
    <n v="145"/>
    <n v="0.13819628647214854"/>
    <n v="0.15122824974411464"/>
    <n v="-1.3031963271966096E-2"/>
    <n v="0.12554872695346794"/>
    <n v="0.11171032357473036"/>
    <n v="1.3838403378737582E-2"/>
    <n v="-3.5312180143295846E-2"/>
    <n v="-0.11844331641285955"/>
    <n v="-0.12249614791987673"/>
    <n v="-1.379310344827589E-2"/>
  </r>
  <r>
    <s v="R R KABEL LIMITED"/>
    <n v="543981"/>
    <x v="4"/>
    <s v="Cables - Electricals"/>
    <n v="1330.75"/>
    <n v="15061.370379800001"/>
    <n v="3.7371743822114175E-4"/>
    <n v="6758"/>
    <n v="5400"/>
    <n v="324"/>
    <n v="182"/>
    <n v="2535"/>
    <n v="1782"/>
    <n v="118"/>
    <n v="68"/>
    <n v="4.794317845516425E-2"/>
    <n v="3.3703703703703701E-2"/>
    <n v="1.4239474751460549E-2"/>
    <n v="4.6548323471400394E-2"/>
    <n v="3.8159371492704826E-2"/>
    <n v="8.3889519786955677E-3"/>
    <n v="0.25148148148148142"/>
    <n v="0.78021978021978011"/>
    <n v="0.42255892255892258"/>
    <n v="0.73529411764705888"/>
  </r>
  <r>
    <s v="PG ELECTROPLAST LTD."/>
    <n v="533581"/>
    <x v="6"/>
    <s v="Consumer Electronics"/>
    <n v="452.55"/>
    <n v="12882.638165300001"/>
    <n v="3.1965660569126492E-4"/>
    <n v="3571"/>
    <n v="2959"/>
    <n v="129"/>
    <n v="144"/>
    <n v="1412"/>
    <n v="967"/>
    <n v="60"/>
    <n v="40"/>
    <n v="3.6124334920190425E-2"/>
    <n v="4.8665089557282867E-2"/>
    <n v="-1.2540754637092442E-2"/>
    <n v="4.2492917847025496E-2"/>
    <n v="4.1365046535677352E-2"/>
    <n v="1.1278713113481442E-3"/>
    <n v="0.20682663061845208"/>
    <n v="-0.10416666666666663"/>
    <n v="0.4601861427094105"/>
    <n v="0.5"/>
  </r>
  <r>
    <s v="Chalet Hotels Limited"/>
    <n v="542399"/>
    <x v="6"/>
    <s v="Hotels &amp; Resorts"/>
    <n v="731.65"/>
    <n v="16010.6508053"/>
    <n v="3.9727191167377893E-4"/>
    <n v="2211"/>
    <n v="1195"/>
    <n v="482"/>
    <n v="18"/>
    <n v="581"/>
    <n v="457"/>
    <n v="124"/>
    <n v="96"/>
    <n v="0.21800090456806875"/>
    <n v="1.506276150627615E-2"/>
    <n v="0.20293814306179261"/>
    <n v="0.21342512908777969"/>
    <n v="0.21006564551422319"/>
    <n v="3.3594835735565043E-3"/>
    <n v="0.85020920502092046"/>
    <n v="25.777777777777779"/>
    <n v="0.27133479212253819"/>
    <n v="0.29166666666666674"/>
  </r>
  <r>
    <s v="NATCO PHARMA LTD."/>
    <n v="524816"/>
    <x v="7"/>
    <s v="Pharmaceuticals"/>
    <n v="1026.5"/>
    <n v="18397.263544199999"/>
    <n v="4.5649087889364584E-4"/>
    <n v="3339"/>
    <n v="3208"/>
    <n v="1149"/>
    <n v="1477"/>
    <n v="647"/>
    <n v="474"/>
    <n v="151"/>
    <n v="132"/>
    <n v="0.34411500449236299"/>
    <n v="0.46041147132169574"/>
    <n v="-0.11629646682933276"/>
    <n v="0.23338485316846985"/>
    <n v="0.27848101265822783"/>
    <n v="-4.5096159489757981E-2"/>
    <n v="4.0835411471321637E-2"/>
    <n v="-0.22207176709546372"/>
    <n v="0.36497890295358659"/>
    <n v="0.14393939393939403"/>
  </r>
  <r>
    <s v="GUJARAT STATE PETRONET LTD."/>
    <n v="532702"/>
    <x v="0"/>
    <s v="Gas Transmission/Marketing"/>
    <n v="237.2"/>
    <n v="13385.3491911"/>
    <n v="3.3213036285877128E-4"/>
    <n v="12599"/>
    <n v="13590"/>
    <n v="1232"/>
    <n v="1285"/>
    <n v="4091"/>
    <n v="4540"/>
    <n v="379"/>
    <n v="335"/>
    <n v="9.7785538534804345E-2"/>
    <n v="9.4554819720382641E-2"/>
    <n v="3.2307188144217042E-3"/>
    <n v="9.2642385724761675E-2"/>
    <n v="7.3788546255506612E-2"/>
    <n v="1.8853839469255063E-2"/>
    <n v="-7.2921265636497479E-2"/>
    <n v="-4.1245136186770393E-2"/>
    <n v="-9.8898678414096941E-2"/>
    <n v="0.13134328358208958"/>
  </r>
  <r>
    <s v="NAVA LIMITED"/>
    <n v="513023"/>
    <x v="9"/>
    <s v="Power Generation"/>
    <n v="561.25"/>
    <n v="15900.421731"/>
    <n v="3.9453680017820529E-4"/>
    <n v="3148"/>
    <n v="2965"/>
    <n v="902"/>
    <n v="1131"/>
    <n v="991"/>
    <n v="842"/>
    <n v="325"/>
    <n v="352"/>
    <n v="0.28653113087674714"/>
    <n v="0.38145025295109614"/>
    <n v="-9.4919122074348994E-2"/>
    <n v="0.32795156407669024"/>
    <n v="0.41805225653206651"/>
    <n v="-9.0100692455376274E-2"/>
    <n v="6.1720067453625571E-2"/>
    <n v="-0.20247568523430592"/>
    <n v="0.1769596199524941"/>
    <n v="-7.6704545454545414E-2"/>
  </r>
  <r>
    <s v="BRIGADE ENTERPRISES LTD."/>
    <n v="532929"/>
    <x v="6"/>
    <s v="Residential, Commercial Projects"/>
    <n v="690.1"/>
    <n v="16842.7009268"/>
    <n v="4.1791755227867447E-4"/>
    <n v="4239"/>
    <n v="3613"/>
    <n v="534"/>
    <n v="431"/>
    <n v="1575"/>
    <n v="1463"/>
    <n v="205"/>
    <n v="235"/>
    <n v="0.1259731068648266"/>
    <n v="0.11929144755051203"/>
    <n v="6.6816593143145669E-3"/>
    <n v="0.13015873015873017"/>
    <n v="0.16062884483937115"/>
    <n v="-3.0470114680640981E-2"/>
    <n v="0.17326321616385276"/>
    <n v="0.23897911832946628"/>
    <n v="7.6555023923444931E-2"/>
    <n v="-0.12765957446808507"/>
  </r>
  <r>
    <s v="NEULAND LABORATORIES LTD."/>
    <n v="524558"/>
    <x v="7"/>
    <s v="Pharmaceuticals"/>
    <n v="13147"/>
    <n v="16858.910833000002"/>
    <n v="4.183197683098926E-4"/>
    <n v="1246"/>
    <n v="1148"/>
    <n v="151"/>
    <n v="232"/>
    <n v="439"/>
    <n v="398"/>
    <n v="40"/>
    <n v="101"/>
    <n v="0.12118780096308186"/>
    <n v="0.20209059233449478"/>
    <n v="-8.0902791371412916E-2"/>
    <n v="9.1116173120728935E-2"/>
    <n v="0.25376884422110552"/>
    <n v="-0.16265267110037657"/>
    <n v="8.5365853658536661E-2"/>
    <n v="-0.34913793103448276"/>
    <n v="0.10301507537688437"/>
    <n v="-0.60396039603960394"/>
  </r>
  <r>
    <s v="RATNAMANI METALS &amp; TUBES LTD."/>
    <n v="520111"/>
    <x v="4"/>
    <s v="Iron &amp; Steel Products"/>
    <n v="2223"/>
    <n v="15594.768395499999"/>
    <n v="3.8695263096608578E-4"/>
    <n v="3409"/>
    <n v="3471"/>
    <n v="418"/>
    <n v="338"/>
    <n v="1065"/>
    <n v="1316"/>
    <n v="135"/>
    <n v="133"/>
    <n v="0.12261660310941624"/>
    <n v="9.7378277153558054E-2"/>
    <n v="2.523832595585819E-2"/>
    <n v="0.12676056338028169"/>
    <n v="0.10106382978723404"/>
    <n v="2.5696733593047652E-2"/>
    <n v="-1.7862287525208909E-2"/>
    <n v="0.23668639053254448"/>
    <n v="-0.19072948328267481"/>
    <n v="1.5037593984962516E-2"/>
  </r>
  <r>
    <s v="BELRISE INDUSTRIES LIMITED"/>
    <n v="544405"/>
    <x v="6"/>
    <s v="Auto Components &amp; Equipments"/>
    <n v="192.05"/>
    <n v="17086.5738705"/>
    <n v="4.2396876604427228E-4"/>
    <n v="6956"/>
    <n v="6016"/>
    <n v="366"/>
    <n v="245"/>
    <n v="2340"/>
    <n v="2166"/>
    <n v="121"/>
    <n v="100"/>
    <n v="5.2616446233467513E-2"/>
    <n v="4.0724734042553189E-2"/>
    <n v="1.1891712190914325E-2"/>
    <n v="5.1709401709401706E-2"/>
    <n v="4.6168051708217916E-2"/>
    <n v="5.5413500011837896E-3"/>
    <n v="0.15625"/>
    <n v="0.49387755102040809"/>
    <n v="8.0332409972299068E-2"/>
    <n v="0.20999999999999996"/>
  </r>
  <r>
    <s v="Syngene International Limited"/>
    <n v="539268"/>
    <x v="7"/>
    <s v="Healthcare Research, Analytics &amp; Technology"/>
    <n v="398.75"/>
    <n v="16007.796976899999"/>
    <n v="3.9720109969506277E-4"/>
    <n v="2702"/>
    <n v="2624"/>
    <n v="168"/>
    <n v="312"/>
    <n v="917"/>
    <n v="943"/>
    <n v="15"/>
    <n v="131"/>
    <n v="6.2176165803108807E-2"/>
    <n v="0.11890243902439024"/>
    <n v="-5.6726273221281431E-2"/>
    <n v="1.6357688113413305E-2"/>
    <n v="0.13891834570519618"/>
    <n v="-0.12256065759178288"/>
    <n v="2.9725609756097615E-2"/>
    <n v="-0.46153846153846156"/>
    <n v="-2.7571580063626699E-2"/>
    <n v="-0.8854961832061069"/>
  </r>
  <r>
    <s v="Ventive Hospitality Limited"/>
    <n v="544321"/>
    <x v="6"/>
    <s v="Hotels &amp; Resorts"/>
    <n v="567.29999999999995"/>
    <n v="13273.336265800001"/>
    <n v="3.2935098870919753E-4"/>
    <n v="1682"/>
    <n v="906"/>
    <n v="242"/>
    <n v="13"/>
    <n v="685"/>
    <n v="533"/>
    <n v="140"/>
    <n v="34"/>
    <n v="0.14387633769322236"/>
    <n v="1.434878587196468E-2"/>
    <n v="0.12952755182125769"/>
    <n v="0.20437956204379562"/>
    <n v="6.3789868667917443E-2"/>
    <n v="0.14058969337587818"/>
    <n v="0.85651214128035313"/>
    <n v="17.615384615384617"/>
    <n v="0.28517823639774864"/>
    <n v="3.117647058823529"/>
  </r>
  <r>
    <s v="JSW Cement Ltd."/>
    <n v="544480"/>
    <x v="8"/>
    <s v="Cement &amp; Cement Products"/>
    <n v="118.25"/>
    <n v="15813.924968200001"/>
    <n v="3.9239055798424188E-4"/>
    <n v="4618"/>
    <n v="4104"/>
    <n v="-1160"/>
    <n v="-180"/>
    <n v="1621"/>
    <n v="1433"/>
    <n v="131"/>
    <n v="-80"/>
    <n v="-0.25119099177132959"/>
    <n v="-4.3859649122807015E-2"/>
    <n v="-0.20733134264852257"/>
    <n v="8.0814312152991979E-2"/>
    <n v="-5.5826936496859735E-2"/>
    <n v="0.13664124864985172"/>
    <n v="0.12524366471734893"/>
    <n v="5.4444444444444446"/>
    <n v="0.13119330076762048"/>
    <n v="-2.6375000000000002"/>
  </r>
  <r>
    <s v="ELGI EQUIPMENTS LTD."/>
    <n v="522074"/>
    <x v="4"/>
    <s v="Compressors, Pumps &amp; Diesel Engines"/>
    <n v="478"/>
    <n v="15101.149915399999"/>
    <n v="3.7470448692674936E-4"/>
    <n v="2838"/>
    <n v="2517"/>
    <n v="302"/>
    <n v="248"/>
    <n v="1003"/>
    <n v="847"/>
    <n v="95"/>
    <n v="80"/>
    <n v="0.10641296687808316"/>
    <n v="9.8529996027016287E-2"/>
    <n v="7.8829708510668728E-3"/>
    <n v="9.4715852442671986E-2"/>
    <n v="9.4451003541912631E-2"/>
    <n v="2.6484890075935408E-4"/>
    <n v="0.12753277711561384"/>
    <n v="0.217741935483871"/>
    <n v="0.18417945690672965"/>
    <n v="0.1875"/>
  </r>
  <r>
    <s v="Crompton Greaves Consumer Elec"/>
    <n v="539876"/>
    <x v="6"/>
    <s v="Household Appliances"/>
    <n v="233.2"/>
    <n v="15020.600814699999"/>
    <n v="3.7270582393622933E-4"/>
    <n v="5812"/>
    <n v="5803"/>
    <n v="300"/>
    <n v="392"/>
    <n v="1898"/>
    <n v="1769"/>
    <n v="101"/>
    <n v="112"/>
    <n v="5.1617343427391604E-2"/>
    <n v="6.7551266586248493E-2"/>
    <n v="-1.5933923158856889E-2"/>
    <n v="5.3213909378292942E-2"/>
    <n v="6.3312605992085921E-2"/>
    <n v="-1.0098696613792979E-2"/>
    <n v="1.5509219369291838E-3"/>
    <n v="-0.23469387755102045"/>
    <n v="7.2922555115884746E-2"/>
    <n v="-9.8214285714285698E-2"/>
  </r>
  <r>
    <s v="CENTURY PLYBOARDS (I) LTD."/>
    <n v="532548"/>
    <x v="6"/>
    <s v="Plywood Boards/ Laminates"/>
    <n v="718.25"/>
    <n v="15962.012271699999"/>
    <n v="3.9606504485373154E-4"/>
    <n v="3904"/>
    <n v="3329"/>
    <n v="188"/>
    <n v="132"/>
    <n v="1350"/>
    <n v="1140"/>
    <n v="65"/>
    <n v="58"/>
    <n v="4.8155737704918031E-2"/>
    <n v="3.9651547011114452E-2"/>
    <n v="8.5041906938035788E-3"/>
    <n v="4.8148148148148148E-2"/>
    <n v="5.0877192982456139E-2"/>
    <n v="-2.7290448343079907E-3"/>
    <n v="0.17272454190447584"/>
    <n v="0.42424242424242431"/>
    <n v="0.18421052631578938"/>
    <n v="0.1206896551724137"/>
  </r>
  <r>
    <s v="Computer Age Management Servic"/>
    <n v="543232"/>
    <x v="2"/>
    <s v="Depositories, Clearing Houses and Other Intermediaries"/>
    <n v="667.3"/>
    <n v="16539.3265302"/>
    <n v="4.1038993032527677E-4"/>
    <n v="1159"/>
    <n v="1105"/>
    <n v="346"/>
    <n v="351"/>
    <n v="403"/>
    <n v="384"/>
    <n v="124"/>
    <n v="124"/>
    <n v="0.29853321829163071"/>
    <n v="0.31764705882352939"/>
    <n v="-1.9113840531898685E-2"/>
    <n v="0.30769230769230771"/>
    <n v="0.32291666666666669"/>
    <n v="-1.5224358974358976E-2"/>
    <n v="4.8868778280543035E-2"/>
    <n v="-1.4245014245014231E-2"/>
    <n v="4.9479166666666741E-2"/>
    <n v="0"/>
  </r>
  <r>
    <s v="KFin Technologies Limited"/>
    <n v="543720"/>
    <x v="2"/>
    <s v="Depositories, Clearing Houses and Other Intermediaries"/>
    <n v="917.1"/>
    <n v="15822.175618699999"/>
    <n v="3.9259528118609956E-4"/>
    <n v="981"/>
    <n v="835"/>
    <n v="262"/>
    <n v="247"/>
    <n v="377"/>
    <n v="299"/>
    <n v="91"/>
    <n v="90"/>
    <n v="0.26707441386340469"/>
    <n v="0.29580838323353292"/>
    <n v="-2.8733969370128232E-2"/>
    <n v="0.2413793103448276"/>
    <n v="0.30100334448160537"/>
    <n v="-5.9624034136777776E-2"/>
    <n v="0.17485029940119756"/>
    <n v="6.0728744939271273E-2"/>
    <n v="0.26086956521739135"/>
    <n v="1.1111111111111072E-2"/>
  </r>
  <r>
    <s v="Bikaji Foods International Lim"/>
    <n v="543653"/>
    <x v="5"/>
    <s v="Packaged Foods"/>
    <n v="631.20000000000005"/>
    <n v="15791.371867899999"/>
    <n v="3.9183094842312483E-4"/>
    <n v="2272"/>
    <n v="2005"/>
    <n v="198"/>
    <n v="154"/>
    <n v="790"/>
    <n v="713"/>
    <n v="62"/>
    <n v="27"/>
    <n v="8.7147887323943657E-2"/>
    <n v="7.680798004987531E-2"/>
    <n v="1.0339907274068347E-2"/>
    <n v="7.848101265822785E-2"/>
    <n v="3.7868162692847124E-2"/>
    <n v="4.0612849965380726E-2"/>
    <n v="0.13316708229426433"/>
    <n v="0.28571428571428581"/>
    <n v="0.1079943899018232"/>
    <n v="1.2962962962962963"/>
  </r>
  <r>
    <s v="CHOICE INTERNATIONAL LTD."/>
    <n v="531358"/>
    <x v="2"/>
    <s v="Holding Company"/>
    <n v="639.85"/>
    <n v="14268.834825"/>
    <n v="3.5405227165460782E-4"/>
    <n v="812"/>
    <n v="657"/>
    <n v="170"/>
    <n v="109"/>
    <n v="303"/>
    <n v="209"/>
    <n v="65"/>
    <n v="30"/>
    <n v="0.20935960591133004"/>
    <n v="0.16590563165905631"/>
    <n v="4.3453974252273736E-2"/>
    <n v="0.21452145214521451"/>
    <n v="0.14354066985645933"/>
    <n v="7.0980782288755179E-2"/>
    <n v="0.23592085235920845"/>
    <n v="0.55963302752293576"/>
    <n v="0.44976076555023914"/>
    <n v="1.1666666666666665"/>
  </r>
  <r>
    <s v="KANSAI NEROLAC PAINTS LTD."/>
    <n v="500165"/>
    <x v="6"/>
    <s v="Paints"/>
    <n v="180.9"/>
    <n v="14575.2594458"/>
    <n v="3.6165557875120826E-4"/>
    <n v="6098"/>
    <n v="6006"/>
    <n v="466"/>
    <n v="1007"/>
    <n v="1982"/>
    <n v="1922"/>
    <n v="117"/>
    <n v="662"/>
    <n v="7.6418497868153495E-2"/>
    <n v="0.16766566766566768"/>
    <n v="-9.1247169797514183E-2"/>
    <n v="5.9031281533804235E-2"/>
    <n v="0.34443288241415193"/>
    <n v="-0.28540160088034772"/>
    <n v="1.5318015318015243E-2"/>
    <n v="-0.5372393247269116"/>
    <n v="3.1217481789802326E-2"/>
    <n v="-0.82326283987915405"/>
  </r>
  <r>
    <s v="AARTI INDUSTRIES LTD."/>
    <n v="524208"/>
    <x v="8"/>
    <s v="Specialty Chemicals"/>
    <n v="401.7"/>
    <n v="14578.1033888"/>
    <n v="3.6172614544372064E-4"/>
    <n v="5991"/>
    <n v="5330"/>
    <n v="276"/>
    <n v="240"/>
    <n v="2278"/>
    <n v="1756"/>
    <n v="131"/>
    <n v="47"/>
    <n v="4.6069103655483223E-2"/>
    <n v="4.5028142589118199E-2"/>
    <n v="1.0409610663650246E-3"/>
    <n v="5.7506584723441619E-2"/>
    <n v="2.6765375854214124E-2"/>
    <n v="3.0741208869227495E-2"/>
    <n v="0.12401500938086296"/>
    <n v="0.14999999999999991"/>
    <n v="0.29726651480637822"/>
    <n v="1.7872340425531914"/>
  </r>
  <r>
    <s v="VARDHMAN TEXTILES LTD."/>
    <n v="502986"/>
    <x v="6"/>
    <s v="Other Textile Products"/>
    <n v="539.70000000000005"/>
    <n v="15605.3016596"/>
    <n v="3.8721399260691221E-4"/>
    <n v="7371"/>
    <n v="7276"/>
    <n v="563"/>
    <n v="648"/>
    <n v="2505"/>
    <n v="2465"/>
    <n v="168"/>
    <n v="211"/>
    <n v="7.6380409713743047E-2"/>
    <n v="8.905992303463442E-2"/>
    <n v="-1.2679513320891372E-2"/>
    <n v="6.706586826347305E-2"/>
    <n v="8.559837728194726E-2"/>
    <n v="-1.8532509018474211E-2"/>
    <n v="1.3056624518966498E-2"/>
    <n v="-0.13117283950617287"/>
    <n v="1.6227180527383478E-2"/>
    <n v="-0.20379146919431279"/>
  </r>
  <r>
    <s v="DCM SHRIRAM LIMITED"/>
    <n v="523367"/>
    <x v="11"/>
    <s v="Diversified"/>
    <n v="1121.9000000000001"/>
    <n v="17358.292649999999"/>
    <n v="4.3071091789570714E-4"/>
    <n v="10891"/>
    <n v="9722"/>
    <n v="253"/>
    <n v="214"/>
    <n v="4003"/>
    <n v="3518"/>
    <n v="213"/>
    <n v="262"/>
    <n v="2.3230190065191444E-2"/>
    <n v="2.201193170129603E-2"/>
    <n v="1.2182583638954136E-3"/>
    <n v="5.3210092430676995E-2"/>
    <n v="7.4474133030130757E-2"/>
    <n v="-2.1264040599453762E-2"/>
    <n v="0.12024274840567784"/>
    <n v="0.18224299065420557"/>
    <n v="0.1378624218305855"/>
    <n v="-0.18702290076335881"/>
  </r>
  <r>
    <s v="Amara Raja Energy &amp; Mobility L"/>
    <n v="500008"/>
    <x v="6"/>
    <s v="Auto Components &amp; Equipments"/>
    <n v="718.35"/>
    <n v="13324.25"/>
    <n v="3.3061431002961436E-4"/>
    <n v="10278"/>
    <n v="9786"/>
    <n v="581"/>
    <n v="783"/>
    <n v="3410"/>
    <n v="3272"/>
    <n v="140"/>
    <n v="298"/>
    <n v="5.6528507491729905E-2"/>
    <n v="8.0012262415695895E-2"/>
    <n v="-2.348375492396599E-2"/>
    <n v="4.1055718475073312E-2"/>
    <n v="9.1075794621026898E-2"/>
    <n v="-5.0020076145953586E-2"/>
    <n v="5.0275904353157541E-2"/>
    <n v="-0.25798212005108556"/>
    <n v="4.2176039119804498E-2"/>
    <n v="-0.53020134228187921"/>
  </r>
  <r>
    <s v="BASF INDIA LTD."/>
    <n v="500042"/>
    <x v="8"/>
    <s v="Specialty Chemicals"/>
    <n v="3240"/>
    <n v="14033.20773"/>
    <n v="3.4820566194391437E-4"/>
    <n v="11500"/>
    <n v="11622"/>
    <n v="353"/>
    <n v="454"/>
    <n v="3863"/>
    <n v="3635"/>
    <n v="105"/>
    <n v="105"/>
    <n v="3.0695652173913044E-2"/>
    <n v="3.906384443297195E-2"/>
    <n v="-8.3681922590589063E-3"/>
    <n v="2.7180947450168264E-2"/>
    <n v="2.8885832187070151E-2"/>
    <n v="-1.704884736901887E-3"/>
    <n v="-1.0497332644983648E-2"/>
    <n v="-0.22246696035242286"/>
    <n v="6.2723521320495079E-2"/>
    <n v="0"/>
  </r>
  <r>
    <s v="Inox Wind Limited"/>
    <n v="539083"/>
    <x v="4"/>
    <s v="Heavy Electrical Equipment"/>
    <n v="80.83"/>
    <n v="10519.9681573"/>
    <n v="2.6103172890476034E-4"/>
    <n v="3263"/>
    <n v="2390"/>
    <n v="344"/>
    <n v="247"/>
    <n v="1238"/>
    <n v="994"/>
    <n v="126"/>
    <n v="110"/>
    <n v="0.10542445602206559"/>
    <n v="0.10334728033472804"/>
    <n v="2.0771756873375485E-3"/>
    <n v="0.10177705977382875"/>
    <n v="0.11066398390342053"/>
    <n v="-8.8869241295917722E-3"/>
    <n v="0.36527196652719662"/>
    <n v="0.39271255060728749"/>
    <n v="0.24547283702213285"/>
    <n v="0.1454545454545455"/>
  </r>
  <r>
    <s v="E.I.D.-PARRY (INDIA) LTD."/>
    <n v="500125"/>
    <x v="5"/>
    <s v="Other Food Products"/>
    <n v="814.9"/>
    <n v="14461.042380000001"/>
    <n v="3.5882151331389855E-4"/>
    <n v="30663"/>
    <n v="24797"/>
    <n v="1667"/>
    <n v="1233"/>
    <n v="10315"/>
    <n v="8720"/>
    <n v="437"/>
    <n v="415"/>
    <n v="5.4365195838632883E-2"/>
    <n v="4.9723756906077346E-2"/>
    <n v="4.6414389325555375E-3"/>
    <n v="4.2365487154629178E-2"/>
    <n v="4.7591743119266054E-2"/>
    <n v="-5.2262559646368764E-3"/>
    <n v="0.23656087429931039"/>
    <n v="0.35198702351987032"/>
    <n v="0.18291284403669716"/>
    <n v="5.3012048192771166E-2"/>
  </r>
  <r>
    <s v="CAPRI GLOBAL CAPITAL LIMITED"/>
    <n v="531595"/>
    <x v="2"/>
    <s v="Non Banking Financial Company (NBFC)"/>
    <n v="165.45"/>
    <n v="15847.640826999999"/>
    <n v="3.9322714881631253E-4"/>
    <n v="3354"/>
    <n v="2292"/>
    <n v="666"/>
    <n v="300"/>
    <n v="1225"/>
    <n v="821"/>
    <n v="255"/>
    <n v="128"/>
    <n v="0.19856887298747763"/>
    <n v="0.13089005235602094"/>
    <n v="6.7678820631456693E-2"/>
    <n v="0.20816326530612245"/>
    <n v="0.15590742996345919"/>
    <n v="5.2255835342663259E-2"/>
    <n v="0.46335078534031404"/>
    <n v="1.2200000000000002"/>
    <n v="0.49208282582216811"/>
    <n v="0.9921875"/>
  </r>
  <r>
    <s v="CARBORUNDUM UNIVERSAL LTD."/>
    <n v="513375"/>
    <x v="4"/>
    <s v="Abrasives &amp; Bearings"/>
    <n v="831.75"/>
    <n v="15840.403604900001"/>
    <n v="3.9304757179012923E-4"/>
    <n v="3807"/>
    <n v="3677"/>
    <n v="207"/>
    <n v="268"/>
    <n v="1290"/>
    <n v="1255"/>
    <n v="73"/>
    <n v="37"/>
    <n v="5.4373522458628844E-2"/>
    <n v="7.2885504487353828E-2"/>
    <n v="-1.8511982028724984E-2"/>
    <n v="5.6589147286821705E-2"/>
    <n v="2.9482071713147411E-2"/>
    <n v="2.7107075573674293E-2"/>
    <n v="3.5354908893119319E-2"/>
    <n v="-0.22761194029850751"/>
    <n v="2.7888446215139417E-2"/>
    <n v="0.97297297297297303"/>
  </r>
  <r>
    <s v="IFCI LTD."/>
    <n v="500106"/>
    <x v="2"/>
    <s v="Financial Institution"/>
    <n v="52.87"/>
    <n v="14244.8325432"/>
    <n v="3.5345670358612793E-4"/>
    <n v="1664"/>
    <n v="1648"/>
    <n v="401"/>
    <n v="88"/>
    <n v="467"/>
    <n v="457"/>
    <n v="21"/>
    <n v="-9"/>
    <n v="0.24098557692307693"/>
    <n v="5.3398058252427182E-2"/>
    <n v="0.18758751867064974"/>
    <n v="4.4967880085653104E-2"/>
    <n v="-1.9693654266958426E-2"/>
    <n v="6.466153435261153E-2"/>
    <n v="9.7087378640776656E-3"/>
    <n v="3.5568181818181817"/>
    <n v="2.1881838074398141E-2"/>
    <n v="-3.3333333333333335"/>
  </r>
  <r>
    <s v="Devyani International Limited"/>
    <n v="543330"/>
    <x v="6"/>
    <s v="Restaurants"/>
    <n v="99.74"/>
    <n v="12301.0319891"/>
    <n v="3.0522522496414514E-4"/>
    <n v="4174"/>
    <n v="3738"/>
    <n v="-32"/>
    <n v="9"/>
    <n v="1440"/>
    <n v="1294"/>
    <n v="-10"/>
    <n v="-7"/>
    <n v="-7.6665069477719217E-3"/>
    <n v="2.407704654895666E-3"/>
    <n v="-1.0074211602667587E-2"/>
    <n v="-6.9444444444444441E-3"/>
    <n v="-5.4095826893353939E-3"/>
    <n v="-1.5348617551090502E-3"/>
    <n v="0.11663991439272348"/>
    <n v="-4.5555555555555554"/>
    <n v="0.1128284389489953"/>
    <n v="0.4285714285714286"/>
  </r>
  <r>
    <s v="Syrma SGS Technology Limited"/>
    <n v="543573"/>
    <x v="4"/>
    <s v="Industrial Products"/>
    <n v="811.6"/>
    <n v="15631.397373600001"/>
    <n v="3.8786150496061621E-4"/>
    <n v="3354"/>
    <n v="2862"/>
    <n v="226"/>
    <n v="113"/>
    <n v="1264"/>
    <n v="869"/>
    <n v="110"/>
    <n v="53"/>
    <n v="6.7382230172927854E-2"/>
    <n v="3.9482879105520612E-2"/>
    <n v="2.7899351067407242E-2"/>
    <n v="8.7025316455696208E-2"/>
    <n v="6.0989643268124283E-2"/>
    <n v="2.6035673187571926E-2"/>
    <n v="0.1719077568134173"/>
    <n v="1"/>
    <n v="0.45454545454545459"/>
    <n v="1.0754716981132075"/>
  </r>
  <r>
    <s v="KEC INTERNATIONAL LTD."/>
    <n v="532714"/>
    <x v="4"/>
    <s v="Civil Construction"/>
    <n v="533.65"/>
    <n v="14217.74135"/>
    <n v="3.5278449042983794E-4"/>
    <n v="17116"/>
    <n v="14975"/>
    <n v="413"/>
    <n v="303"/>
    <n v="6001"/>
    <n v="5349"/>
    <n v="127"/>
    <n v="130"/>
    <n v="2.4129469502220145E-2"/>
    <n v="2.023372287145242E-2"/>
    <n v="3.8957466307677248E-3"/>
    <n v="2.1163139476753873E-2"/>
    <n v="2.4303608151056273E-2"/>
    <n v="-3.1404686743023991E-3"/>
    <n v="0.14297161936560943"/>
    <n v="0.36303630363036299"/>
    <n v="0.12189194241914381"/>
    <n v="-2.3076923076923106E-2"/>
  </r>
  <r>
    <s v="KAJARIA CERAMICS LTD."/>
    <n v="500233"/>
    <x v="6"/>
    <s v="Ceramics"/>
    <n v="989.25"/>
    <n v="15785.3534325"/>
    <n v="3.9168161312340974E-4"/>
    <n v="3139"/>
    <n v="3114"/>
    <n v="313"/>
    <n v="259"/>
    <n v="1053"/>
    <n v="1050"/>
    <n v="93"/>
    <n v="80"/>
    <n v="9.9713284485504941E-2"/>
    <n v="8.3172768143866413E-2"/>
    <n v="1.6540516341638528E-2"/>
    <n v="8.8319088319088315E-2"/>
    <n v="7.6190476190476197E-2"/>
    <n v="1.2128612128612118E-2"/>
    <n v="8.0282594733462886E-3"/>
    <n v="0.20849420849420852"/>
    <n v="2.8571428571428914E-3"/>
    <n v="0.16250000000000009"/>
  </r>
  <r>
    <s v="MAHARASHTRA SCOOTERS LTD."/>
    <n v="500266"/>
    <x v="2"/>
    <s v="Investment Company"/>
    <n v="11743.35"/>
    <n v="13428.558000000001"/>
    <n v="3.3320250204421702E-4"/>
    <n v="306"/>
    <n v="176"/>
    <n v="306"/>
    <n v="162"/>
    <n v="6"/>
    <n v="6"/>
    <n v="4"/>
    <n v="3"/>
    <n v="1"/>
    <n v="0.92045454545454541"/>
    <n v="7.9545454545454586E-2"/>
    <n v="0.66666666666666663"/>
    <n v="0.5"/>
    <n v="0.16666666666666663"/>
    <n v="0.73863636363636354"/>
    <n v="0.88888888888888884"/>
    <n v="0"/>
    <n v="0.33333333333333326"/>
  </r>
  <r>
    <s v="TRIVENI TURBINE LTD."/>
    <n v="533655"/>
    <x v="4"/>
    <s v="Heavy Electrical Equipment"/>
    <n v="457.5"/>
    <n v="14545.280761399999"/>
    <n v="3.6091171834191677E-4"/>
    <n v="1501"/>
    <n v="1467"/>
    <n v="247"/>
    <n v="264"/>
    <n v="624"/>
    <n v="503"/>
    <n v="91"/>
    <n v="92"/>
    <n v="0.16455696202531644"/>
    <n v="0.17995910020449898"/>
    <n v="-1.540213817918254E-2"/>
    <n v="0.14583333333333334"/>
    <n v="0.18290258449304175"/>
    <n v="-3.7069251159708411E-2"/>
    <n v="2.3176550783912786E-2"/>
    <n v="-6.4393939393939448E-2"/>
    <n v="0.24055666003976151"/>
    <n v="-1.0869565217391353E-2"/>
  </r>
  <r>
    <s v="ECLERX SERVICES LTD."/>
    <n v="532927"/>
    <x v="10"/>
    <s v="Business Process Outsourcing (BPO)/ Knowledge Process Outsourcing (KPO)"/>
    <n v="1492.55"/>
    <n v="13749.8536528"/>
    <n v="3.4117480371718067E-4"/>
    <n v="3009"/>
    <n v="2467"/>
    <n v="516"/>
    <n v="388"/>
    <n v="1070"/>
    <n v="857"/>
    <n v="191"/>
    <n v="137"/>
    <n v="0.17148554336989033"/>
    <n v="0.15727604377786786"/>
    <n v="1.4209499592022473E-2"/>
    <n v="0.17850467289719626"/>
    <n v="0.15985997666277713"/>
    <n v="1.8644696234419139E-2"/>
    <n v="0.21970004053506287"/>
    <n v="0.32989690721649478"/>
    <n v="0.24854142357059517"/>
    <n v="0.3941605839416058"/>
  </r>
  <r>
    <s v="Leela Palaces Hotels &amp; Resorts"/>
    <n v="544408"/>
    <x v="6"/>
    <s v="Hotels &amp; Resorts"/>
    <n v="412"/>
    <n v="13768.99468"/>
    <n v="3.416497495866282E-4"/>
    <n v="1042"/>
    <n v="875"/>
    <n v="231"/>
    <n v="-69"/>
    <n v="457"/>
    <n v="370"/>
    <n v="147"/>
    <n v="56"/>
    <n v="0.22168905950095968"/>
    <n v="-7.8857142857142862E-2"/>
    <n v="0.30054620235810253"/>
    <n v="0.32166301969365424"/>
    <n v="0.15135135135135136"/>
    <n v="0.17031166834230288"/>
    <n v="0.19085714285714284"/>
    <n v="-4.3478260869565215"/>
    <n v="0.23513513513513518"/>
    <n v="1.625"/>
  </r>
  <r>
    <s v="Onesource Specialty Pharma Lim"/>
    <n v="544292"/>
    <x v="7"/>
    <s v="Pharmaceuticals"/>
    <n v="1402.45"/>
    <n v="16045.8220678"/>
    <n v="3.9814461540451859E-4"/>
    <n v="993"/>
    <n v="1018"/>
    <n v="-78"/>
    <n v="-116"/>
    <n v="290"/>
    <n v="392"/>
    <n v="-88"/>
    <n v="-68"/>
    <n v="-7.8549848942598186E-2"/>
    <n v="-0.11394891944990176"/>
    <n v="3.5399070507303579E-2"/>
    <n v="-0.30344827586206896"/>
    <n v="-0.17346938775510204"/>
    <n v="-0.12997888810696692"/>
    <n v="-2.4557956777996104E-2"/>
    <n v="-0.32758620689655171"/>
    <n v="-0.26020408163265307"/>
    <n v="0.29411764705882359"/>
  </r>
  <r>
    <s v="SOBHA"/>
    <n v="532784"/>
    <x v="6"/>
    <s v="Residential, Commercial Projects"/>
    <n v="1203.0999999999999"/>
    <n v="12811.446127200001"/>
    <n v="3.1789011928069522E-4"/>
    <n v="3202"/>
    <n v="2798"/>
    <n v="101"/>
    <n v="53"/>
    <n v="943"/>
    <n v="1224"/>
    <n v="15"/>
    <n v="21"/>
    <n v="3.1542785758900689E-2"/>
    <n v="1.8942101501072194E-2"/>
    <n v="1.2600684257828496E-2"/>
    <n v="1.5906680805938492E-2"/>
    <n v="1.7156862745098041E-2"/>
    <n v="-1.2501819391595483E-3"/>
    <n v="0.14438884917798434"/>
    <n v="0.90566037735849059"/>
    <n v="-0.22957516339869277"/>
    <n v="-0.2857142857142857"/>
  </r>
  <r>
    <s v="VINATI ORGANICS LTD."/>
    <n v="524200"/>
    <x v="8"/>
    <s v="Specialty Chemicals"/>
    <n v="1312.95"/>
    <n v="13617.5129629"/>
    <n v="3.3789103721023798E-4"/>
    <n v="1623"/>
    <n v="1600"/>
    <n v="320"/>
    <n v="282"/>
    <n v="531"/>
    <n v="550"/>
    <n v="101"/>
    <n v="115"/>
    <n v="0.19716574245224891"/>
    <n v="0.17624999999999999"/>
    <n v="2.091574245224892E-2"/>
    <n v="0.19020715630885121"/>
    <n v="0.20909090909090908"/>
    <n v="-1.8883752782057867E-2"/>
    <n v="1.4375000000000027E-2"/>
    <n v="0.13475177304964547"/>
    <n v="-3.4545454545454546E-2"/>
    <n v="-0.12173913043478257"/>
  </r>
  <r>
    <s v="FIRSTSOURCE SOLUTIONS LTD."/>
    <n v="532809"/>
    <x v="10"/>
    <s v="Business Process Outsourcing (BPO)/ Knowledge Process Outsourcing (KPO)"/>
    <n v="222.7"/>
    <n v="15417.4193894"/>
    <n v="3.8255207414028401E-4"/>
    <n v="7003"/>
    <n v="5804"/>
    <n v="469"/>
    <n v="433"/>
    <n v="2467"/>
    <n v="2087"/>
    <n v="120"/>
    <n v="160"/>
    <n v="6.6971298015136377E-2"/>
    <n v="7.460372157133012E-2"/>
    <n v="-7.6324235561937431E-3"/>
    <n v="4.8642075395216859E-2"/>
    <n v="7.6665069477719214E-2"/>
    <n v="-2.8022994082502355E-2"/>
    <n v="0.20658166781529985"/>
    <n v="8.3140877598152363E-2"/>
    <n v="0.18207954000958315"/>
    <n v="-0.25"/>
  </r>
  <r>
    <s v="FINOLEX CABLES LTD."/>
    <n v="500144"/>
    <x v="4"/>
    <s v="Cables - Electricals"/>
    <n v="803.7"/>
    <n v="12291.1209156"/>
    <n v="3.0497930172442396E-4"/>
    <n v="4370"/>
    <n v="3724"/>
    <n v="489"/>
    <n v="509"/>
    <n v="1598"/>
    <n v="1182"/>
    <n v="164"/>
    <n v="147"/>
    <n v="0.11189931350114417"/>
    <n v="0.13668098818474758"/>
    <n v="-2.4781674683603414E-2"/>
    <n v="0.10262828535669587"/>
    <n v="0.12436548223350254"/>
    <n v="-2.1737196876806669E-2"/>
    <n v="0.17346938775510212"/>
    <n v="-3.9292730844793677E-2"/>
    <n v="0.35194585448392557"/>
    <n v="0.11564625850340127"/>
  </r>
  <r>
    <s v="International Gemmological Ins"/>
    <n v="544311"/>
    <x v="10"/>
    <s v="Diversified Commercial Services"/>
    <n v="321.5"/>
    <n v="13902.581293499999"/>
    <n v="3.4496443116731719E-4"/>
    <n v="1229"/>
    <n v="1053"/>
    <n v="531"/>
    <n v="427"/>
    <n v="319"/>
    <n v="265"/>
    <n v="134"/>
    <n v="113"/>
    <n v="0.43205858421480881"/>
    <n v="0.40550807217473883"/>
    <n v="2.6550512040069973E-2"/>
    <n v="0.42006269592476492"/>
    <n v="0.42641509433962266"/>
    <n v="-6.3523984148577406E-3"/>
    <n v="0.16714150047483378"/>
    <n v="0.24355971896955508"/>
    <n v="0.20377358490566033"/>
    <n v="0.18584070796460184"/>
  </r>
  <r>
    <s v="Dr. Agarwal's Health Care Limi"/>
    <n v="544350"/>
    <x v="7"/>
    <s v="Hospital"/>
    <n v="427"/>
    <n v="13527.67598"/>
    <n v="3.3566191421144809E-4"/>
    <n v="1516"/>
    <n v="1251"/>
    <n v="118"/>
    <n v="80"/>
    <n v="530"/>
    <n v="431"/>
    <n v="44"/>
    <n v="28"/>
    <n v="7.7836411609498682E-2"/>
    <n v="6.3948840927258194E-2"/>
    <n v="1.3887570682240488E-2"/>
    <n v="8.3018867924528297E-2"/>
    <n v="6.4965197215777259E-2"/>
    <n v="1.8053670708751038E-2"/>
    <n v="0.21183053557154286"/>
    <n v="0.47500000000000009"/>
    <n v="0.22969837587006969"/>
    <n v="0.5714285714285714"/>
  </r>
  <r>
    <s v="GRANULES INDIA LTD."/>
    <n v="532482"/>
    <x v="7"/>
    <s v="Pharmaceuticals"/>
    <n v="633.5"/>
    <n v="15714.041018399999"/>
    <n v="3.8991213982590949E-4"/>
    <n v="3895"/>
    <n v="3284"/>
    <n v="393"/>
    <n v="349"/>
    <n v="1387"/>
    <n v="1137"/>
    <n v="150"/>
    <n v="117"/>
    <n v="0.10089858793324775"/>
    <n v="0.10627283800243606"/>
    <n v="-5.3742500691883049E-3"/>
    <n v="0.10814708002883922"/>
    <n v="0.10290237467018469"/>
    <n v="5.244705358654525E-3"/>
    <n v="0.1860535931790499"/>
    <n v="0.12607449856733521"/>
    <n v="0.2198768689533861"/>
    <n v="0.28205128205128216"/>
  </r>
  <r>
    <s v="T D POWER SYSTEMS LTD."/>
    <n v="533553"/>
    <x v="4"/>
    <s v="Heavy Electrical Equipment"/>
    <n v="878.25"/>
    <n v="13684.887146700001"/>
    <n v="3.3956279128951786E-4"/>
    <n v="1267"/>
    <n v="930"/>
    <n v="166"/>
    <n v="121"/>
    <n v="442"/>
    <n v="350"/>
    <n v="56"/>
    <n v="44"/>
    <n v="0.13101815311760062"/>
    <n v="0.13010752688172042"/>
    <n v="9.1062623588020197E-4"/>
    <n v="0.12669683257918551"/>
    <n v="0.12571428571428572"/>
    <n v="9.8254686489979148E-4"/>
    <n v="0.36236559139784941"/>
    <n v="0.37190082644628109"/>
    <n v="0.2628571428571429"/>
    <n v="0.27272727272727271"/>
  </r>
  <r>
    <s v="ACME Solar Holdings Limited"/>
    <n v="544283"/>
    <x v="9"/>
    <s v="Power Generation"/>
    <n v="280.5"/>
    <n v="16990.6847218"/>
    <n v="4.2158947079412481E-4"/>
    <n v="1475"/>
    <n v="918"/>
    <n v="359"/>
    <n v="128"/>
    <n v="496"/>
    <n v="349"/>
    <n v="113"/>
    <n v="112"/>
    <n v="0.24338983050847457"/>
    <n v="0.13943355119825709"/>
    <n v="0.10395627931021748"/>
    <n v="0.22782258064516128"/>
    <n v="0.3209169054441261"/>
    <n v="-9.3094324798964817E-2"/>
    <n v="0.60675381263616557"/>
    <n v="1.8046875"/>
    <n v="0.42120343839541552"/>
    <n v="8.9285714285713969E-3"/>
  </r>
  <r>
    <s v="CHENNAI PETROLEUM CORPORATION"/>
    <n v="500110"/>
    <x v="0"/>
    <s v="Refineries &amp; Marketing"/>
    <n v="990.35"/>
    <n v="14748.9297947"/>
    <n v="3.6596485714017392E-4"/>
    <n v="58200"/>
    <n v="50482"/>
    <n v="1680"/>
    <n v="-255"/>
    <n v="19467"/>
    <n v="15687"/>
    <n v="1001"/>
    <n v="20"/>
    <n v="2.88659793814433E-2"/>
    <n v="-5.0513054157917672E-3"/>
    <n v="3.3917284797235069E-2"/>
    <n v="5.1420352391226179E-2"/>
    <n v="1.2749410339771786E-3"/>
    <n v="5.0145411357249002E-2"/>
    <n v="0.15288617725129749"/>
    <n v="-7.5882352941176467"/>
    <n v="0.24096385542168686"/>
    <n v="49.05"/>
  </r>
  <r>
    <s v="LT FOODS LTD."/>
    <n v="532783"/>
    <x v="5"/>
    <s v="Other Agricultural Products"/>
    <n v="382.85"/>
    <n v="13405.7"/>
    <n v="3.326353270138283E-4"/>
    <n v="8038"/>
    <n v="6453"/>
    <n v="489"/>
    <n v="451"/>
    <n v="2809"/>
    <n v="2274"/>
    <n v="157"/>
    <n v="145"/>
    <n v="6.0836028862901216E-2"/>
    <n v="6.9889973655664031E-2"/>
    <n v="-9.053944792762815E-3"/>
    <n v="5.5891776432894266E-2"/>
    <n v="6.3764291996481967E-2"/>
    <n v="-7.8725155635877009E-3"/>
    <n v="0.24562219122888584"/>
    <n v="8.4257206208425695E-2"/>
    <n v="0.23526824978012306"/>
    <n v="8.2758620689655116E-2"/>
  </r>
  <r>
    <s v="CEAT LTD."/>
    <n v="500878"/>
    <x v="6"/>
    <s v="Tyres &amp; Rubber Products"/>
    <n v="3332.4"/>
    <n v="13437.349840999999"/>
    <n v="3.3342065379355409E-4"/>
    <n v="11459"/>
    <n v="9797"/>
    <n v="453"/>
    <n v="372"/>
    <n v="4157"/>
    <n v="3299"/>
    <n v="155"/>
    <n v="97"/>
    <n v="3.9532245396631471E-2"/>
    <n v="3.7970807390017354E-2"/>
    <n v="1.5614380066141173E-3"/>
    <n v="3.7286504690882849E-2"/>
    <n v="2.9402849348287359E-2"/>
    <n v="7.88365534259549E-3"/>
    <n v="0.1696437685005614"/>
    <n v="0.217741935483871"/>
    <n v="0.26007881176113967"/>
    <n v="0.597938144329897"/>
  </r>
  <r>
    <s v="Sansera Engineering Limited"/>
    <n v="543358"/>
    <x v="6"/>
    <s v="Auto Components &amp; Equipments"/>
    <n v="2134.75"/>
    <n v="13319.737292600001"/>
    <n v="3.3050233632427137E-4"/>
    <n v="2499"/>
    <n v="2235"/>
    <n v="203"/>
    <n v="157"/>
    <n v="907"/>
    <n v="727"/>
    <n v="69"/>
    <n v="55"/>
    <n v="8.1232492997198882E-2"/>
    <n v="7.0246085011185677E-2"/>
    <n v="1.0986407986013205E-2"/>
    <n v="7.6074972436604188E-2"/>
    <n v="7.5653370013755161E-2"/>
    <n v="4.2160242284902671E-4"/>
    <n v="0.11812080536912761"/>
    <n v="0.29299363057324834"/>
    <n v="0.24759284731774422"/>
    <n v="0.25454545454545463"/>
  </r>
  <r>
    <s v="GABRIEL INDIA LTD."/>
    <n v="505714"/>
    <x v="6"/>
    <s v="Auto Components &amp; Equipments"/>
    <n v="885.7"/>
    <n v="12741.20506"/>
    <n v="3.1614722928928316E-4"/>
    <n v="3457"/>
    <n v="2990"/>
    <n v="185"/>
    <n v="180"/>
    <n v="1178"/>
    <n v="1016"/>
    <n v="54"/>
    <n v="60"/>
    <n v="5.3514608041654615E-2"/>
    <n v="6.0200668896321072E-2"/>
    <n v="-6.6860608546664563E-3"/>
    <n v="4.5840407470288627E-2"/>
    <n v="5.905511811023622E-2"/>
    <n v="-1.3214710639947592E-2"/>
    <n v="0.15618729096989958"/>
    <n v="2.7777777777777679E-2"/>
    <n v="0.15944881889763773"/>
    <n v="-9.9999999999999978E-2"/>
  </r>
  <r>
    <s v="GRAPHITE INDIA LTD."/>
    <n v="509488"/>
    <x v="4"/>
    <s v="Electrodes &amp; Refractories"/>
    <n v="630.85"/>
    <n v="12338.9457795"/>
    <n v="3.0616597897684404E-4"/>
    <n v="2036"/>
    <n v="1894"/>
    <n v="2766"/>
    <n v="409"/>
    <n v="642"/>
    <n v="523"/>
    <n v="67"/>
    <n v="-21"/>
    <n v="1.3585461689587426"/>
    <n v="0.21594508975712778"/>
    <n v="1.1426010792016148"/>
    <n v="0.1043613707165109"/>
    <n v="-4.0152963671128104E-2"/>
    <n v="0.144514334387639"/>
    <n v="7.4973600844773003E-2"/>
    <n v="5.7628361858190713"/>
    <n v="0.22753346080305925"/>
    <n v="-4.1904761904761907"/>
  </r>
  <r>
    <s v="GALLANTT ISPAT LIMITED"/>
    <n v="532726"/>
    <x v="4"/>
    <s v="Iron &amp; Steel Products"/>
    <n v="566.95000000000005"/>
    <n v="13656.085257500001"/>
    <n v="3.3884813067256705E-4"/>
    <n v="3214"/>
    <n v="3220"/>
    <n v="361"/>
    <n v="284"/>
    <n v="1073"/>
    <n v="1118"/>
    <n v="100"/>
    <n v="113"/>
    <n v="0.11232109520846298"/>
    <n v="8.819875776397515E-2"/>
    <n v="2.4122337444487829E-2"/>
    <n v="9.3196644920782848E-2"/>
    <n v="0.10107334525939177"/>
    <n v="-7.876700338608919E-3"/>
    <n v="-1.8633540372671176E-3"/>
    <n v="0.27112676056338025"/>
    <n v="-4.0250447227191399E-2"/>
    <n v="-0.11504424778761058"/>
  </r>
  <r>
    <s v="ADITYA BIRLA REAL ESTATE LIMIT"/>
    <n v="500040"/>
    <x v="8"/>
    <s v="Paper &amp; Paper Products"/>
    <n v="1172.0999999999999"/>
    <n v="12950.288175"/>
    <n v="3.2133520383228315E-4"/>
    <n v="360"/>
    <n v="849"/>
    <n v="-227"/>
    <n v="-21"/>
    <n v="90"/>
    <n v="208"/>
    <n v="-107"/>
    <n v="-30"/>
    <n v="-0.63055555555555554"/>
    <n v="-2.4734982332155476E-2"/>
    <n v="-0.60582057322340011"/>
    <n v="-1.1888888888888889"/>
    <n v="-0.14423076923076922"/>
    <n v="-1.0446581196581197"/>
    <n v="-0.57597173144876324"/>
    <n v="9.8095238095238102"/>
    <n v="-0.56730769230769229"/>
    <n v="2.5666666666666669"/>
  </r>
  <r>
    <s v="DOMS Industries Limited"/>
    <n v="544045"/>
    <x v="5"/>
    <s v="Stationary"/>
    <n v="2318"/>
    <n v="14062.0935369"/>
    <n v="3.4892240480883298E-4"/>
    <n v="1722"/>
    <n v="1403"/>
    <n v="181"/>
    <n v="162"/>
    <n v="592"/>
    <n v="501"/>
    <n v="61"/>
    <n v="54"/>
    <n v="0.10511033681765389"/>
    <n v="0.11546685673556664"/>
    <n v="-1.0356519917912754E-2"/>
    <n v="0.10304054054054054"/>
    <n v="0.10778443113772455"/>
    <n v="-4.7438905971840112E-3"/>
    <n v="0.22736992159657876"/>
    <n v="0.11728395061728403"/>
    <n v="0.1816367265469061"/>
    <n v="0.12962962962962954"/>
  </r>
  <r>
    <s v="ALEMBIC PHARMACEUTICALS LTD."/>
    <n v="533573"/>
    <x v="7"/>
    <s v="Pharmaceuticals"/>
    <n v="651.29999999999995"/>
    <n v="12797.233875"/>
    <n v="3.1753747099241857E-4"/>
    <n v="5497"/>
    <n v="4902"/>
    <n v="469"/>
    <n v="425"/>
    <n v="1876"/>
    <n v="1693"/>
    <n v="132"/>
    <n v="138"/>
    <n v="8.5319265053665633E-2"/>
    <n v="8.6699306405548751E-2"/>
    <n v="-1.3800413518831184E-3"/>
    <n v="7.0362473347547971E-2"/>
    <n v="8.1512108682811571E-2"/>
    <n v="-1.11496353352636E-2"/>
    <n v="0.12137902896776831"/>
    <n v="0.10352941176470587"/>
    <n v="0.10809214412285884"/>
    <n v="-4.3478260869565188E-2"/>
  </r>
  <r>
    <s v="Fine Organic Industries Limite"/>
    <n v="541557"/>
    <x v="8"/>
    <s v="Specialty Chemicals"/>
    <n v="4310"/>
    <n v="13185.324398999999"/>
    <n v="3.2716715227438874E-4"/>
    <n v="1740"/>
    <n v="1662"/>
    <n v="299"/>
    <n v="313"/>
    <n v="554"/>
    <n v="516"/>
    <n v="73"/>
    <n v="82"/>
    <n v="0.17183908045977012"/>
    <n v="0.18832731648616124"/>
    <n v="-1.6488236026391129E-2"/>
    <n v="0.13176895306859207"/>
    <n v="0.15891472868217055"/>
    <n v="-2.7145775613578477E-2"/>
    <n v="4.6931407942238268E-2"/>
    <n v="-4.4728434504792358E-2"/>
    <n v="7.3643410852713087E-2"/>
    <n v="-0.1097560975609756"/>
  </r>
  <r>
    <s v="BEML LTD."/>
    <n v="500048"/>
    <x v="4"/>
    <s v="Construction Vehicles"/>
    <n v="1506.1"/>
    <n v="12542.4861956"/>
    <n v="3.1121642265900573E-4"/>
    <n v="2556"/>
    <n v="2369"/>
    <n v="-38"/>
    <n v="4"/>
    <n v="1083"/>
    <n v="875"/>
    <n v="-22"/>
    <n v="24"/>
    <n v="-1.486697965571205E-2"/>
    <n v="1.6884761502743773E-3"/>
    <n v="-1.6555455805986427E-2"/>
    <n v="-2.0313942751615882E-2"/>
    <n v="2.7428571428571427E-2"/>
    <n v="-4.7742514180187309E-2"/>
    <n v="7.8936260025327165E-2"/>
    <n v="-10.5"/>
    <n v="0.23771428571428577"/>
    <n v="-1.9166666666666665"/>
  </r>
  <r>
    <s v="NIVA BUPA HEALTH INSURANCE COM"/>
    <n v="544286"/>
    <x v="2"/>
    <s v="General Insurance"/>
    <n v="73.41"/>
    <n v="13430.778607"/>
    <n v="3.3325760191484023E-4"/>
    <n v="4396"/>
    <n v="3759"/>
    <n v="-214"/>
    <n v="7"/>
    <n v="1549"/>
    <n v="1240"/>
    <n v="-87"/>
    <n v="13"/>
    <n v="-4.8680618744313009E-2"/>
    <n v="1.8621973929236499E-3"/>
    <n v="-5.0542816137236657E-2"/>
    <n v="-5.6165267914783733E-2"/>
    <n v="1.0483870967741936E-2"/>
    <n v="-6.6649138882525674E-2"/>
    <n v="0.16945996275605224"/>
    <n v="-31.571428571428573"/>
    <n v="0.24919354838709684"/>
    <n v="-7.6923076923076925"/>
  </r>
  <r>
    <s v="SHRIRAM PISTONS &amp; RINGS LTD"/>
    <n v="544344"/>
    <x v="6"/>
    <s v="Auto Components &amp; Equipments"/>
    <n v="2964.15"/>
    <n v="13060.3307016"/>
    <n v="3.2406568652405002E-4"/>
    <n v="3002"/>
    <n v="2561"/>
    <n v="402"/>
    <n v="364"/>
    <n v="1023"/>
    <n v="847"/>
    <n v="125"/>
    <n v="120"/>
    <n v="0.13391072618254496"/>
    <n v="0.14213197969543148"/>
    <n v="-8.2212535128865227E-3"/>
    <n v="0.12218963831867058"/>
    <n v="0.14167650531286896"/>
    <n v="-1.9486866994198382E-2"/>
    <n v="0.17219836001561895"/>
    <n v="0.10439560439560447"/>
    <n v="0.20779220779220786"/>
    <n v="4.1666666666666741E-2"/>
  </r>
  <r>
    <s v="SIGNATUREGLOBAL (INDIA) LIMITE"/>
    <n v="543990"/>
    <x v="6"/>
    <s v="Residential, Commercial Projects"/>
    <n v="764.1"/>
    <n v="10727.991945"/>
    <n v="2.6619341838373159E-4"/>
    <n v="1488"/>
    <n v="1977"/>
    <n v="-57"/>
    <n v="40"/>
    <n v="284"/>
    <n v="827"/>
    <n v="-45"/>
    <n v="29"/>
    <n v="-3.8306451612903226E-2"/>
    <n v="2.0232675771370764E-2"/>
    <n v="-5.8539127384273991E-2"/>
    <n v="-0.15845070422535212"/>
    <n v="3.5066505441354291E-2"/>
    <n v="-0.19351720966670641"/>
    <n v="-0.24734446130500753"/>
    <n v="-2.4249999999999998"/>
    <n v="-0.65659008464328905"/>
    <n v="-2.5517241379310347"/>
  </r>
  <r>
    <s v="V-GUARD INDUSTRIES LTD."/>
    <n v="532953"/>
    <x v="6"/>
    <s v="Household Appliances"/>
    <n v="323.5"/>
    <n v="14126.8248356"/>
    <n v="3.5052858104066753E-4"/>
    <n v="4211"/>
    <n v="4040"/>
    <n v="196"/>
    <n v="223"/>
    <n v="1404"/>
    <n v="1269"/>
    <n v="57"/>
    <n v="60"/>
    <n v="4.6544763714082164E-2"/>
    <n v="5.5198019801980198E-2"/>
    <n v="-8.6532560878980341E-3"/>
    <n v="4.05982905982906E-2"/>
    <n v="4.7281323877068557E-2"/>
    <n v="-6.683033278777957E-3"/>
    <n v="4.2326732673267253E-2"/>
    <n v="-0.12107623318385652"/>
    <n v="0.1063829787234043"/>
    <n v="-5.0000000000000044E-2"/>
  </r>
  <r>
    <s v="CCL PRODUCTS (INDIA) LTD."/>
    <n v="519600"/>
    <x v="5"/>
    <s v="Tea &amp; Coffee"/>
    <n v="1107"/>
    <n v="14754.3418096"/>
    <n v="3.660991453419139E-4"/>
    <n v="3232"/>
    <n v="2274"/>
    <n v="273"/>
    <n v="208"/>
    <n v="1050"/>
    <n v="758"/>
    <n v="100"/>
    <n v="63"/>
    <n v="8.4467821782178223E-2"/>
    <n v="9.1468777484608618E-2"/>
    <n v="-7.0009557024303948E-3"/>
    <n v="9.5238095238095233E-2"/>
    <n v="8.3113456464379953E-2"/>
    <n v="1.2124638773715279E-2"/>
    <n v="0.42128408091468783"/>
    <n v="0.3125"/>
    <n v="0.38522427440633256"/>
    <n v="0.58730158730158721"/>
  </r>
  <r>
    <s v="JUBILANT PHARMOVA LIMITED"/>
    <n v="530019"/>
    <x v="7"/>
    <s v="Pharmaceuticals"/>
    <n v="850"/>
    <n v="13474.885537800001"/>
    <n v="3.3435202617841729E-4"/>
    <n v="5989"/>
    <n v="5305"/>
    <n v="278"/>
    <n v="985"/>
    <n v="2116"/>
    <n v="1813"/>
    <n v="55"/>
    <n v="110"/>
    <n v="4.6418433795291369E-2"/>
    <n v="0.18567389255419417"/>
    <n v="-0.1392554587589028"/>
    <n v="2.5992438563327031E-2"/>
    <n v="6.0672917815774961E-2"/>
    <n v="-3.4680479252447931E-2"/>
    <n v="0.1289349670122526"/>
    <n v="-0.71776649746192889"/>
    <n v="0.16712630998345279"/>
    <n v="-0.5"/>
  </r>
  <r>
    <s v="Tega Industries Limited"/>
    <n v="543413"/>
    <x v="4"/>
    <s v="Industrial Products"/>
    <n v="1720.95"/>
    <n v="12907.686517300001"/>
    <n v="3.2027812987565495E-4"/>
    <n v="1165"/>
    <n v="1102"/>
    <n v="99"/>
    <n v="98"/>
    <n v="403"/>
    <n v="409"/>
    <n v="19"/>
    <n v="54"/>
    <n v="8.4978540772532182E-2"/>
    <n v="8.8929219600725959E-2"/>
    <n v="-3.9506788281937766E-3"/>
    <n v="4.7146401985111663E-2"/>
    <n v="0.13202933985330073"/>
    <n v="-8.4882937868189068E-2"/>
    <n v="5.7168784029038022E-2"/>
    <n v="1.0204081632652962E-2"/>
    <n v="-1.4669926650366705E-2"/>
    <n v="-0.64814814814814814"/>
  </r>
  <r>
    <s v="AKZO NOBEL INDIA LIMITED"/>
    <n v="500710"/>
    <x v="6"/>
    <s v="Paints"/>
    <n v="2958.45"/>
    <n v="13518.1851756"/>
    <n v="3.3542641909927801E-4"/>
    <n v="2737"/>
    <n v="3069"/>
    <n v="1848"/>
    <n v="321"/>
    <n v="907"/>
    <n v="1050"/>
    <n v="74"/>
    <n v="108"/>
    <n v="0.67519181585677746"/>
    <n v="0.10459433040078202"/>
    <n v="0.57059748545599542"/>
    <n v="8.1587651598676952E-2"/>
    <n v="0.10285714285714286"/>
    <n v="-2.1269491258465903E-2"/>
    <n v="-0.10817855979146307"/>
    <n v="4.7570093457943923"/>
    <n v="-0.1361904761904762"/>
    <n v="-0.31481481481481477"/>
  </r>
  <r>
    <s v="POLY MEDICURE LTD."/>
    <n v="531768"/>
    <x v="7"/>
    <s v="Medical Equipment &amp; Supplies"/>
    <n v="1356.8"/>
    <n v="13767.647796900001"/>
    <n v="3.4161632940712114E-4"/>
    <n v="1340"/>
    <n v="1229"/>
    <n v="255"/>
    <n v="246"/>
    <n v="493"/>
    <n v="424"/>
    <n v="70"/>
    <n v="85"/>
    <n v="0.19029850746268656"/>
    <n v="0.2001627339300244"/>
    <n v="-9.8642264673378388E-3"/>
    <n v="0.14198782961460446"/>
    <n v="0.20047169811320756"/>
    <n v="-5.8483868498603098E-2"/>
    <n v="9.0317331163547676E-2"/>
    <n v="3.6585365853658569E-2"/>
    <n v="0.16273584905660377"/>
    <n v="-0.17647058823529416"/>
  </r>
  <r>
    <s v="Techno Electric &amp; Engineering"/>
    <n v="542141"/>
    <x v="4"/>
    <s v="Civil Construction"/>
    <n v="1055.45"/>
    <n v="12279.8883117"/>
    <n v="3.0470058738116002E-4"/>
    <n v="2241"/>
    <n v="1452"/>
    <n v="359"/>
    <n v="288"/>
    <n v="872"/>
    <n v="636"/>
    <n v="119"/>
    <n v="95"/>
    <n v="0.16019634091923249"/>
    <n v="0.19834710743801653"/>
    <n v="-3.8150766518784046E-2"/>
    <n v="0.13646788990825687"/>
    <n v="0.14937106918238993"/>
    <n v="-1.2903179274133064E-2"/>
    <n v="0.54338842975206614"/>
    <n v="0.24652777777777768"/>
    <n v="0.37106918238993702"/>
    <n v="0.25263157894736832"/>
  </r>
  <r>
    <s v="JAMMU &amp; KASHMIR BANK LTD."/>
    <n v="532209"/>
    <x v="2"/>
    <s v="Private Sector Bank"/>
    <n v="115.15"/>
    <n v="12690.0211327"/>
    <n v="3.1487720367366536E-4"/>
    <n v="11526"/>
    <n v="11096"/>
    <n v="1561"/>
    <n v="1500"/>
    <n v="3858"/>
    <n v="3831"/>
    <n v="581"/>
    <n v="529"/>
    <n v="0.13543293423564115"/>
    <n v="0.13518385003604902"/>
    <n v="2.4908419959213113E-4"/>
    <n v="0.15059616381544841"/>
    <n v="0.1380840511615766"/>
    <n v="1.251211265387181E-2"/>
    <n v="3.8752703677000788E-2"/>
    <n v="4.0666666666666629E-2"/>
    <n v="7.0477682067344727E-3"/>
    <n v="9.8298676748582281E-2"/>
  </r>
  <r>
    <s v="BLUE DART EXPRESS LTD."/>
    <n v="526612"/>
    <x v="10"/>
    <s v="Logistics Solution Provider"/>
    <n v="4799"/>
    <n v="11368.288774000001"/>
    <n v="2.8208108893434307E-4"/>
    <n v="4607"/>
    <n v="4302"/>
    <n v="198"/>
    <n v="197"/>
    <n v="1616"/>
    <n v="1511"/>
    <n v="68"/>
    <n v="81"/>
    <n v="4.2978076839591928E-2"/>
    <n v="4.5792654579265457E-2"/>
    <n v="-2.8145777396735294E-3"/>
    <n v="4.2079207920792082E-2"/>
    <n v="5.3606882859033755E-2"/>
    <n v="-1.1527674938241673E-2"/>
    <n v="7.0897257089725718E-2"/>
    <n v="5.0761421319795996E-3"/>
    <n v="6.949040370615478E-2"/>
    <n v="-0.16049382716049387"/>
  </r>
  <r>
    <s v="Allied Blenders and Distillers"/>
    <n v="544203"/>
    <x v="5"/>
    <s v="Breweries &amp; Distilleries"/>
    <n v="422.4"/>
    <n v="11826.1384585"/>
    <n v="2.9344170266781729E-4"/>
    <n v="5662"/>
    <n v="6138"/>
    <n v="182"/>
    <n v="116"/>
    <n v="1933"/>
    <n v="2342"/>
    <n v="63"/>
    <n v="57"/>
    <n v="3.2144118685976684E-2"/>
    <n v="1.8898664059954384E-2"/>
    <n v="1.32454546260223E-2"/>
    <n v="3.2591826176927054E-2"/>
    <n v="2.4338172502134929E-2"/>
    <n v="8.2536536747921246E-3"/>
    <n v="-7.7549690452916265E-2"/>
    <n v="0.56896551724137923"/>
    <n v="-0.17463706233988041"/>
    <n v="0.10526315789473695"/>
  </r>
  <r>
    <s v="JK TYRE &amp; INDUSTRIES LTD."/>
    <n v="530007"/>
    <x v="6"/>
    <s v="Tyres &amp; Rubber Products"/>
    <n v="392.85"/>
    <n v="11329.77342"/>
    <n v="2.8112540833781746E-4"/>
    <n v="12103"/>
    <n v="12934"/>
    <n v="598"/>
    <n v="411"/>
    <n v="4223"/>
    <n v="3674"/>
    <n v="208"/>
    <n v="53"/>
    <n v="4.9409237379162189E-2"/>
    <n v="3.1776712540590689E-2"/>
    <n v="1.7632524838571501E-2"/>
    <n v="4.9254084773857447E-2"/>
    <n v="1.442569406641263E-2"/>
    <n v="3.4828390707444819E-2"/>
    <n v="-6.424926550177823E-2"/>
    <n v="0.45498783454987834"/>
    <n v="0.14942841589548173"/>
    <n v="2.9245283018867925"/>
  </r>
  <r>
    <s v="SUPREME PETROCHEM LTD."/>
    <n v="500405"/>
    <x v="8"/>
    <s v="Petrochemicals"/>
    <n v="758.65"/>
    <n v="14276.095725499999"/>
    <n v="3.5423243621238789E-4"/>
    <n v="3800"/>
    <n v="4484"/>
    <n v="161"/>
    <n v="283"/>
    <n v="1280"/>
    <n v="1405"/>
    <n v="30"/>
    <n v="71"/>
    <n v="4.2368421052631576E-2"/>
    <n v="6.3113291703835867E-2"/>
    <n v="-2.074487065120429E-2"/>
    <n v="2.34375E-2"/>
    <n v="5.0533807829181494E-2"/>
    <n v="-2.7096307829181494E-2"/>
    <n v="-0.15254237288135597"/>
    <n v="-0.43109540636042398"/>
    <n v="-8.8967971530249157E-2"/>
    <n v="-0.57746478873239437"/>
  </r>
  <r>
    <s v="KSB LIMITED"/>
    <n v="500249"/>
    <x v="4"/>
    <s v="Compressors, Pumps &amp; Diesel Engines"/>
    <n v="831.75"/>
    <n v="14447.864612900001"/>
    <n v="3.5849453368071111E-4"/>
    <n v="2696"/>
    <n v="2533"/>
    <n v="270"/>
    <n v="247"/>
    <n v="784"/>
    <n v="726"/>
    <n v="81"/>
    <n v="73"/>
    <n v="0.10014836795252226"/>
    <n v="9.7512830635609948E-2"/>
    <n v="2.6355373169123092E-3"/>
    <n v="0.10331632653061225"/>
    <n v="0.10055096418732783"/>
    <n v="2.7653623432844221E-3"/>
    <n v="6.4350572443742537E-2"/>
    <n v="9.3117408906882693E-2"/>
    <n v="7.9889807162534465E-2"/>
    <n v="0.1095890410958904"/>
  </r>
  <r>
    <s v="ZENSAR TECHNOLOGIES LTD."/>
    <n v="504067"/>
    <x v="3"/>
    <s v="Computers - Software &amp; Consulting"/>
    <n v="551.29999999999995"/>
    <n v="12497.56515"/>
    <n v="3.1010179778354535E-4"/>
    <n v="4237"/>
    <n v="3921"/>
    <n v="564"/>
    <n v="473"/>
    <n v="1430"/>
    <n v="1325"/>
    <n v="199"/>
    <n v="159"/>
    <n v="0.13311305168751475"/>
    <n v="0.12063249171129814"/>
    <n v="1.248055997621661E-2"/>
    <n v="0.13916083916083916"/>
    <n v="0.12"/>
    <n v="1.916083916083916E-2"/>
    <n v="8.0591685794440204E-2"/>
    <n v="0.19238900634249467"/>
    <n v="7.9245283018867907E-2"/>
    <n v="0.2515723270440251"/>
  </r>
  <r>
    <s v="USHA MARTIN LTD."/>
    <n v="517146"/>
    <x v="4"/>
    <s v="Iron &amp; Steel Products"/>
    <n v="407.55"/>
    <n v="12422.580509699999"/>
    <n v="3.0824120562146463E-4"/>
    <n v="2711"/>
    <n v="2578"/>
    <n v="318"/>
    <n v="305"/>
    <n v="917"/>
    <n v="860"/>
    <n v="107"/>
    <n v="92"/>
    <n v="0.11729988933972704"/>
    <n v="0.1183087664856478"/>
    <n v="-1.0088771459207529E-3"/>
    <n v="0.11668484187568157"/>
    <n v="0.10697674418604651"/>
    <n v="9.7080976896350563E-3"/>
    <n v="5.1590380139643122E-2"/>
    <n v="4.2622950819672045E-2"/>
    <n v="6.6279069767441801E-2"/>
    <n v="0.16304347826086962"/>
  </r>
  <r>
    <s v="IRCON International Ltd"/>
    <n v="541956"/>
    <x v="4"/>
    <s v="Civil Construction"/>
    <n v="125.45"/>
    <n v="11804.590049300001"/>
    <n v="2.9290702248395005E-4"/>
    <n v="5882"/>
    <n v="7347"/>
    <n v="400"/>
    <n v="516"/>
    <n v="2119"/>
    <n v="2613"/>
    <n v="100"/>
    <n v="86"/>
    <n v="6.8004080244814691E-2"/>
    <n v="7.0232748060432823E-2"/>
    <n v="-2.2286678156181322E-3"/>
    <n v="4.7192071731949031E-2"/>
    <n v="3.2912361270570227E-2"/>
    <n v="1.4279710461378804E-2"/>
    <n v="-0.19940111610181022"/>
    <n v="-0.22480620155038755"/>
    <n v="-0.18905472636815923"/>
    <n v="0.16279069767441867"/>
  </r>
  <r>
    <s v="CAPLIN POINT LABORATORIES LTD."/>
    <n v="524742"/>
    <x v="7"/>
    <s v="Pharmaceuticals"/>
    <n v="1562.1"/>
    <n v="11880.625583999999"/>
    <n v="2.947936904647049E-4"/>
    <n v="1587"/>
    <n v="1435"/>
    <n v="477"/>
    <n v="396"/>
    <n v="543"/>
    <n v="493"/>
    <n v="166"/>
    <n v="140"/>
    <n v="0.30056710775047257"/>
    <n v="0.27595818815331008"/>
    <n v="2.4608919597162493E-2"/>
    <n v="0.30570902394106814"/>
    <n v="0.28397565922920892"/>
    <n v="2.1733364711859215E-2"/>
    <n v="0.10592334494773525"/>
    <n v="0.20454545454545459"/>
    <n v="0.10141987829614596"/>
    <n v="0.18571428571428572"/>
  </r>
  <r>
    <s v="Minda Corporation Limited"/>
    <n v="538962"/>
    <x v="6"/>
    <s v="Auto Components &amp; Equipments"/>
    <n v="506.35"/>
    <n v="11913.9690453"/>
    <n v="2.9562104100613862E-4"/>
    <n v="4481"/>
    <n v="3734"/>
    <n v="234"/>
    <n v="203"/>
    <n v="1560"/>
    <n v="1252"/>
    <n v="84"/>
    <n v="64"/>
    <n v="5.2220486498549434E-2"/>
    <n v="5.4365291912158546E-2"/>
    <n v="-2.1448054136091119E-3"/>
    <n v="5.3846153846153849E-2"/>
    <n v="5.1118210862619806E-2"/>
    <n v="2.727942983534043E-3"/>
    <n v="0.20005356186395296"/>
    <n v="0.15270935960591125"/>
    <n v="0.2460063897763578"/>
    <n v="0.3125"/>
  </r>
  <r>
    <s v="IndiaMART InterMESH Limited"/>
    <n v="542726"/>
    <x v="6"/>
    <s v="Internet &amp; Catalogue Retail"/>
    <n v="2060.1"/>
    <n v="12371.58956"/>
    <n v="3.069759683546151E-4"/>
    <n v="1164"/>
    <n v="1033"/>
    <n v="424"/>
    <n v="370"/>
    <n v="401"/>
    <n v="354"/>
    <n v="188"/>
    <n v="121"/>
    <n v="0.36426116838487971"/>
    <n v="0.35818005808325265"/>
    <n v="6.0811103016270573E-3"/>
    <n v="0.46882793017456359"/>
    <n v="0.34180790960451979"/>
    <n v="0.1270200205700438"/>
    <n v="0.12681510164569221"/>
    <n v="0.14594594594594601"/>
    <n v="0.13276836158192085"/>
    <n v="0.55371900826446274"/>
  </r>
  <r>
    <s v="Concord Biotech Limited"/>
    <n v="543960"/>
    <x v="7"/>
    <s v="Pharmaceuticals"/>
    <n v="1042.4000000000001"/>
    <n v="10901.008040000001"/>
    <n v="2.7048646278566364E-4"/>
    <n v="728"/>
    <n v="770"/>
    <n v="170"/>
    <n v="231"/>
    <n v="277"/>
    <n v="244"/>
    <n v="63"/>
    <n v="75"/>
    <n v="0.23351648351648352"/>
    <n v="0.3"/>
    <n v="-6.6483516483516469E-2"/>
    <n v="0.22743682310469315"/>
    <n v="0.30737704918032788"/>
    <n v="-7.9940226075634724E-2"/>
    <n v="-5.4545454545454564E-2"/>
    <n v="-0.26406926406926412"/>
    <n v="0.13524590163934436"/>
    <n v="-0.16000000000000003"/>
  </r>
  <r>
    <s v="UTI Asset Management Company L"/>
    <n v="543238"/>
    <x v="2"/>
    <s v="Asset Management Company"/>
    <n v="938.95"/>
    <n v="12055.175999999999"/>
    <n v="2.9912480593846305E-4"/>
    <n v="1486"/>
    <n v="1494"/>
    <n v="523"/>
    <n v="710"/>
    <n v="517"/>
    <n v="420"/>
    <n v="137"/>
    <n v="173"/>
    <n v="0.35195154777927323"/>
    <n v="0.47523427041499333"/>
    <n v="-0.1232827226357201"/>
    <n v="0.26499032882011603"/>
    <n v="0.41190476190476188"/>
    <n v="-0.14691443308464586"/>
    <n v="-5.3547523427041055E-3"/>
    <n v="-0.26338028169014083"/>
    <n v="0.23095238095238102"/>
    <n v="-0.20809248554913296"/>
  </r>
  <r>
    <s v="TRIDENT LTD."/>
    <n v="521064"/>
    <x v="6"/>
    <s v="Other Textile Products"/>
    <n v="24.19"/>
    <n v="12330.8224087"/>
    <n v="3.0596441396326681E-4"/>
    <n v="5068"/>
    <n v="5122"/>
    <n v="275"/>
    <n v="237"/>
    <n v="1574"/>
    <n v="1667"/>
    <n v="44"/>
    <n v="80"/>
    <n v="5.4262036306235203E-2"/>
    <n v="4.6270987895353374E-2"/>
    <n v="7.9910484108818292E-3"/>
    <n v="2.795425667090216E-2"/>
    <n v="4.799040191961608E-2"/>
    <n v="-2.0036145248713919E-2"/>
    <n v="-1.0542756735650083E-2"/>
    <n v="0.16033755274261607"/>
    <n v="-5.578884223155367E-2"/>
    <n v="-0.44999999999999996"/>
  </r>
  <r>
    <s v="JBM AUTO LTD."/>
    <n v="532605"/>
    <x v="6"/>
    <s v="Auto Components &amp; Equipments"/>
    <n v="561.15"/>
    <n v="13270.872610300001"/>
    <n v="3.2928985808171134E-4"/>
    <n v="4236"/>
    <n v="3827"/>
    <n v="154"/>
    <n v="143"/>
    <n v="1614"/>
    <n v="1396"/>
    <n v="60"/>
    <n v="56"/>
    <n v="3.6355051935788481E-2"/>
    <n v="3.7366083093807158E-2"/>
    <n v="-1.011031158018677E-3"/>
    <n v="3.717472118959108E-2"/>
    <n v="4.0114613180515762E-2"/>
    <n v="-2.9398919909246826E-3"/>
    <n v="0.10687222367389593"/>
    <n v="7.6923076923076872E-2"/>
    <n v="0.15616045845272208"/>
    <n v="7.1428571428571397E-2"/>
  </r>
  <r>
    <s v="TBO TEK LIMITED"/>
    <n v="544174"/>
    <x v="6"/>
    <s v="Tour, Travel Related Services"/>
    <n v="1098.9000000000001"/>
    <n v="11719.07"/>
    <n v="2.9078501545968838E-4"/>
    <n v="1863"/>
    <n v="1291"/>
    <n v="184"/>
    <n v="170"/>
    <n v="784"/>
    <n v="422"/>
    <n v="53"/>
    <n v="49"/>
    <n v="9.8765432098765427E-2"/>
    <n v="0.13168086754453912"/>
    <n v="-3.2915435445773689E-2"/>
    <n v="6.7602040816326536E-2"/>
    <n v="0.11611374407582939"/>
    <n v="-4.8511703259502853E-2"/>
    <n v="0.44306738962044934"/>
    <n v="8.2352941176470518E-2"/>
    <n v="0.85781990521327023"/>
    <n v="8.163265306122458E-2"/>
  </r>
  <r>
    <s v="Aether Industries Limited"/>
    <n v="543534"/>
    <x v="8"/>
    <s v="Specialty Chemicals"/>
    <n v="1098.5"/>
    <n v="14593.4515259"/>
    <n v="3.6210697841800114E-4"/>
    <n v="853"/>
    <n v="598"/>
    <n v="165"/>
    <n v="108"/>
    <n v="317"/>
    <n v="219"/>
    <n v="64"/>
    <n v="43"/>
    <n v="0.19343493552168817"/>
    <n v="0.1806020066889632"/>
    <n v="1.2832928832724966E-2"/>
    <n v="0.20189274447949526"/>
    <n v="0.19634703196347031"/>
    <n v="5.5457125160249532E-3"/>
    <n v="0.4264214046822743"/>
    <n v="0.52777777777777768"/>
    <n v="0.44748858447488593"/>
    <n v="0.48837209302325579"/>
  </r>
  <r>
    <s v="DEEPAK FERTILISERS &amp; PETROCHEM"/>
    <n v="500645"/>
    <x v="8"/>
    <s v="Commodity Chemicals"/>
    <n v="981.4"/>
    <n v="12380.1412"/>
    <n v="3.0718816000204152E-4"/>
    <n v="8494"/>
    <n v="7607"/>
    <n v="599"/>
    <n v="666"/>
    <n v="2830"/>
    <n v="2579"/>
    <n v="141"/>
    <n v="253"/>
    <n v="7.0520367318106902E-2"/>
    <n v="8.7550939923754442E-2"/>
    <n v="-1.703057260564754E-2"/>
    <n v="4.9823321554770317E-2"/>
    <n v="9.8100038774718887E-2"/>
    <n v="-4.827671721994857E-2"/>
    <n v="0.11660312869725242"/>
    <n v="-0.10060060060060061"/>
    <n v="9.7324544397053181E-2"/>
    <n v="-0.44268774703557312"/>
  </r>
  <r>
    <s v="INGERSOLL-RAND (INDIA) LTD."/>
    <n v="500210"/>
    <x v="4"/>
    <s v="Compressors, Pumps &amp; Diesel Engines"/>
    <n v="3676.2"/>
    <n v="11603.101677000001"/>
    <n v="2.8790749611759135E-4"/>
    <n v="1092"/>
    <n v="1013"/>
    <n v="191"/>
    <n v="199"/>
    <n v="455"/>
    <n v="381"/>
    <n v="71"/>
    <n v="77"/>
    <n v="0.1749084249084249"/>
    <n v="0.19644619940769989"/>
    <n v="-2.1537774499274992E-2"/>
    <n v="0.15604395604395604"/>
    <n v="0.20209973753280841"/>
    <n v="-4.6055781488852365E-2"/>
    <n v="7.7986179664363275E-2"/>
    <n v="-4.020100502512558E-2"/>
    <n v="0.19422572178477693"/>
    <n v="-7.7922077922077948E-2"/>
  </r>
  <r>
    <s v="INDIA CEMENTS LTD."/>
    <n v="530005"/>
    <x v="8"/>
    <s v="Cement &amp; Cement Products"/>
    <n v="356.05"/>
    <n v="11042.6795908"/>
    <n v="2.7400175573037477E-4"/>
    <n v="3317"/>
    <n v="3117"/>
    <n v="-125"/>
    <n v="-151"/>
    <n v="1137"/>
    <n v="952"/>
    <n v="-2"/>
    <n v="116"/>
    <n v="-3.7684654808561951E-2"/>
    <n v="-4.844401668270773E-2"/>
    <n v="1.0759361874145779E-2"/>
    <n v="-1.7590149516270889E-3"/>
    <n v="0.12184873949579832"/>
    <n v="-0.1236077544474254"/>
    <n v="6.4164260506897719E-2"/>
    <n v="-0.17218543046357615"/>
    <n v="0.19432773109243695"/>
    <n v="-1.0172413793103448"/>
  </r>
  <r>
    <s v="ZYDUS WELLNESS LTD."/>
    <n v="531335"/>
    <x v="5"/>
    <s v="Packaged Foods"/>
    <n v="502.6"/>
    <n v="16033.708864800001"/>
    <n v="3.9784405077595837E-4"/>
    <n v="2476"/>
    <n v="1795"/>
    <n v="35"/>
    <n v="175"/>
    <n v="964"/>
    <n v="461"/>
    <n v="-39"/>
    <n v="6"/>
    <n v="1.4135702746365105E-2"/>
    <n v="9.7493036211699163E-2"/>
    <n v="-8.3357333465334055E-2"/>
    <n v="-4.0456431535269712E-2"/>
    <n v="1.3015184381778741E-2"/>
    <n v="-5.3471615917048451E-2"/>
    <n v="0.37938718662952642"/>
    <n v="-0.8"/>
    <n v="1.0911062906724514"/>
    <n v="-7.5"/>
  </r>
  <r>
    <s v="Sammaan Capital Limited"/>
    <n v="535789"/>
    <x v="2"/>
    <s v="Housing Finance Company"/>
    <n v="148.15"/>
    <n v="16793.46"/>
    <n v="4.1669573828995458E-4"/>
    <n v="6828"/>
    <n v="6551"/>
    <n v="957"/>
    <n v="-2131"/>
    <n v="2158"/>
    <n v="2019"/>
    <n v="314"/>
    <n v="302"/>
    <n v="0.14015817223198593"/>
    <n v="-0.32529384826744007"/>
    <n v="0.46545202049942602"/>
    <n v="0.14550509731232622"/>
    <n v="0.1495789995047053"/>
    <n v="-4.0739021923790752E-3"/>
    <n v="4.2283620821248702E-2"/>
    <n v="-1.4490849366494603"/>
    <n v="6.8845963348192152E-2"/>
    <n v="3.9735099337748325E-2"/>
  </r>
  <r>
    <s v="Happy Forgings Limited"/>
    <n v="544057"/>
    <x v="4"/>
    <s v="Castings &amp; Forgings"/>
    <n v="1195.2"/>
    <n v="11267.2945588"/>
    <n v="2.7957512178607353E-4"/>
    <n v="1122"/>
    <n v="1056"/>
    <n v="218"/>
    <n v="199"/>
    <n v="391"/>
    <n v="354"/>
    <n v="78"/>
    <n v="65"/>
    <n v="0.19429590017825313"/>
    <n v="0.1884469696969697"/>
    <n v="5.848930481283432E-3"/>
    <n v="0.19948849104859334"/>
    <n v="0.18361581920903955"/>
    <n v="1.5872671839553792E-2"/>
    <n v="6.25E-2"/>
    <n v="9.5477386934673447E-2"/>
    <n v="0.10451977401129953"/>
    <n v="0.19999999999999996"/>
  </r>
  <r>
    <s v="Rainbow Children's Medicare Li"/>
    <n v="543524"/>
    <x v="7"/>
    <s v="Hospital"/>
    <n v="1169.2"/>
    <n v="11864.6535912"/>
    <n v="2.9439737777323105E-4"/>
    <n v="1243"/>
    <n v="1145"/>
    <n v="203"/>
    <n v="187"/>
    <n v="445"/>
    <n v="398"/>
    <n v="73"/>
    <n v="68"/>
    <n v="0.16331456154465004"/>
    <n v="0.16331877729257641"/>
    <n v="-4.2157479263615905E-6"/>
    <n v="0.16404494382022472"/>
    <n v="0.17085427135678391"/>
    <n v="-6.8093275365591899E-3"/>
    <n v="8.5589519650655088E-2"/>
    <n v="8.5561497326203106E-2"/>
    <n v="0.11809045226130643"/>
    <n v="7.3529411764705843E-2"/>
  </r>
  <r>
    <s v="ZEN TECHNOLOGIES LTD."/>
    <n v="533339"/>
    <x v="4"/>
    <s v="Aerospace &amp; Defense"/>
    <n v="1378.15"/>
    <n v="12406.846707500001"/>
    <n v="3.0785080314789241E-4"/>
    <n v="509"/>
    <n v="648"/>
    <n v="170"/>
    <n v="185"/>
    <n v="177"/>
    <n v="152"/>
    <n v="55"/>
    <n v="42"/>
    <n v="0.33398821218074654"/>
    <n v="0.28549382716049382"/>
    <n v="4.8494385020252717E-2"/>
    <n v="0.31073446327683618"/>
    <n v="0.27631578947368424"/>
    <n v="3.4418673803151945E-2"/>
    <n v="-0.21450617283950613"/>
    <n v="-8.108108108108103E-2"/>
    <n v="0.16447368421052633"/>
    <n v="0.30952380952380953"/>
  </r>
  <r>
    <s v="KIRLOSKAR BROTHERS LTD."/>
    <n v="500241"/>
    <x v="4"/>
    <s v="Compressors, Pumps &amp; Diesel Engines"/>
    <n v="1434.45"/>
    <n v="11377.711878100001"/>
    <n v="2.8231490420052005E-4"/>
    <n v="3122"/>
    <n v="3210"/>
    <n v="256"/>
    <n v="279"/>
    <n v="1116"/>
    <n v="1144"/>
    <n v="119"/>
    <n v="113"/>
    <n v="8.1998718770019213E-2"/>
    <n v="8.6915887850467291E-2"/>
    <n v="-4.9171690804480778E-3"/>
    <n v="0.10663082437275985"/>
    <n v="9.8776223776223776E-2"/>
    <n v="7.8546005965360738E-3"/>
    <n v="-2.7414330218068494E-2"/>
    <n v="-8.2437275985663083E-2"/>
    <n v="-2.4475524475524479E-2"/>
    <n v="5.3097345132743445E-2"/>
  </r>
  <r>
    <s v="Aditya Birla Lifestyle Brands"/>
    <n v="544403"/>
    <x v="6"/>
    <s v="Speciality Retail"/>
    <n v="96.32"/>
    <n v="11676.1707486"/>
    <n v="2.8972055731739908E-4"/>
    <n v="6284"/>
    <n v="5944"/>
    <n v="116"/>
    <n v="21"/>
    <n v="2362"/>
    <n v="2059"/>
    <n v="69"/>
    <n v="60"/>
    <n v="1.8459579885423297E-2"/>
    <n v="3.5329744279946162E-3"/>
    <n v="1.4926605457428681E-2"/>
    <n v="2.9212531752751906E-2"/>
    <n v="2.9140359397765905E-2"/>
    <n v="7.2172354986001219E-5"/>
    <n v="5.7200538358008091E-2"/>
    <n v="4.5238095238095237"/>
    <n v="0.14715881495871774"/>
    <n v="0.14999999999999991"/>
  </r>
  <r>
    <s v="ENGINEERS INDIA LTD."/>
    <n v="532178"/>
    <x v="4"/>
    <s v="Civil Construction"/>
    <n v="202.6"/>
    <n v="11392.5972494"/>
    <n v="2.8268425457760575E-4"/>
    <n v="30001"/>
    <n v="2077"/>
    <n v="496"/>
    <n v="299"/>
    <n v="1210"/>
    <n v="764"/>
    <n v="347"/>
    <n v="108"/>
    <n v="1.653278224059198E-2"/>
    <n v="0.1439576311988445"/>
    <n v="-0.12742484895825251"/>
    <n v="0.28677685950413223"/>
    <n v="0.14136125654450263"/>
    <n v="0.1454156029596296"/>
    <n v="13.44439094848339"/>
    <n v="0.65886287625418061"/>
    <n v="0.58376963350785349"/>
    <n v="2.2129629629629628"/>
  </r>
  <r>
    <s v="WELSPUN LIVING LIMITED"/>
    <n v="514162"/>
    <x v="6"/>
    <s v="Other Textile Products"/>
    <n v="117.65"/>
    <n v="11082.7"/>
    <n v="2.7499478122710149E-4"/>
    <n v="6964"/>
    <n v="7899"/>
    <n v="107"/>
    <n v="511"/>
    <n v="2262"/>
    <n v="2489"/>
    <n v="3"/>
    <n v="123"/>
    <n v="1.5364732912119471E-2"/>
    <n v="6.4691733130776044E-2"/>
    <n v="-4.9327000218656575E-2"/>
    <n v="1.3262599469496021E-3"/>
    <n v="4.9417436721574927E-2"/>
    <n v="-4.8091176774625322E-2"/>
    <n v="-0.11836941384985444"/>
    <n v="-0.79060665362035221"/>
    <n v="-9.1201285656890341E-2"/>
    <n v="-0.97560975609756095"/>
  </r>
  <r>
    <s v="THANGAMAYIL JEWELLERY LTD"/>
    <n v="533158"/>
    <x v="6"/>
    <s v="Gems, Jewellery And Watches"/>
    <n v="3751.75"/>
    <n v="11682.802464300001"/>
    <n v="2.8988510992714961E-4"/>
    <n v="5661"/>
    <n v="3530"/>
    <n v="208"/>
    <n v="87"/>
    <n v="2401"/>
    <n v="1131"/>
    <n v="104"/>
    <n v="48"/>
    <n v="3.6742624977919094E-2"/>
    <n v="2.4645892351274786E-2"/>
    <n v="1.2096732626644308E-2"/>
    <n v="4.3315285297792584E-2"/>
    <n v="4.2440318302387266E-2"/>
    <n v="8.7496699540531853E-4"/>
    <n v="0.60368271954674224"/>
    <n v="1.3908045977011496"/>
    <n v="1.1229000884173299"/>
    <n v="1.1666666666666665"/>
  </r>
  <r>
    <s v="Five-Star Business Finance Ltd"/>
    <n v="543663"/>
    <x v="2"/>
    <s v="Non Banking Financial Company (NBFC)"/>
    <n v="357.2"/>
    <n v="10542.1820878"/>
    <n v="2.6158292265339938E-4"/>
    <n v="2419"/>
    <n v="2106"/>
    <n v="829"/>
    <n v="793"/>
    <n v="822"/>
    <n v="731"/>
    <n v="277"/>
    <n v="273"/>
    <n v="0.34270359652749072"/>
    <n v="0.37654320987654322"/>
    <n v="-3.38396133490525E-2"/>
    <n v="0.33698296836982966"/>
    <n v="0.37346101231190149"/>
    <n v="-3.6478043942071825E-2"/>
    <n v="0.14862298195631518"/>
    <n v="4.5397225725094525E-2"/>
    <n v="0.12448700410396718"/>
    <n v="1.46520146520146E-2"/>
  </r>
  <r>
    <s v="Aptus Value Housing Finance In"/>
    <n v="543335"/>
    <x v="2"/>
    <s v="Housing Finance Company"/>
    <n v="198.3"/>
    <n v="9915.2059276"/>
    <n v="2.4602577755258393E-4"/>
    <n v="1652"/>
    <n v="1304"/>
    <n v="681"/>
    <n v="544"/>
    <n v="568"/>
    <n v="464"/>
    <n v="236"/>
    <n v="190"/>
    <n v="0.41222760290556903"/>
    <n v="0.41717791411042943"/>
    <n v="-4.9503112048603914E-3"/>
    <n v="0.41549295774647887"/>
    <n v="0.40948275862068967"/>
    <n v="6.0101991257892062E-3"/>
    <n v="0.26687116564417179"/>
    <n v="0.25183823529411775"/>
    <n v="0.22413793103448265"/>
    <n v="0.24210526315789482"/>
  </r>
  <r>
    <s v="JM FINANCIAL LTD."/>
    <n v="523405"/>
    <x v="2"/>
    <s v="Holding Company"/>
    <n v="121.7"/>
    <n v="11639.026259099999"/>
    <n v="2.887988919503094E-4"/>
    <n v="3291"/>
    <n v="3426"/>
    <n v="1018"/>
    <n v="537"/>
    <n v="1126"/>
    <n v="1121"/>
    <n v="307"/>
    <n v="207"/>
    <n v="0.30932847158918264"/>
    <n v="0.15674255691768826"/>
    <n v="0.15258591467149438"/>
    <n v="0.27264653641207814"/>
    <n v="0.18465655664585193"/>
    <n v="8.7989979766226217E-2"/>
    <n v="-3.9404553415061327E-2"/>
    <n v="0.89571694599627572"/>
    <n v="4.4603033006245241E-3"/>
    <n v="0.48309178743961345"/>
  </r>
  <r>
    <s v="Mahanagar Gas Limited"/>
    <n v="539957"/>
    <x v="0"/>
    <s v="LPG/CNG/PNG/LNG Supplier"/>
    <n v="960.8"/>
    <n v="9493.5312334999999"/>
    <n v="2.3556277302723953E-4"/>
    <n v="6806"/>
    <n v="5826"/>
    <n v="711"/>
    <n v="799"/>
    <n v="2268"/>
    <n v="2031"/>
    <n v="201"/>
    <n v="223"/>
    <n v="0.10446664707610931"/>
    <n v="0.13714383796773086"/>
    <n v="-3.2677190891621549E-2"/>
    <n v="8.8624338624338619E-2"/>
    <n v="0.10979812900049236"/>
    <n v="-2.1173790376153745E-2"/>
    <n v="0.1682114658427738"/>
    <n v="-0.1101376720901126"/>
    <n v="0.11669128508124071"/>
    <n v="-9.8654708520179324E-2"/>
  </r>
  <r>
    <s v="SHIPPING CORPORATION OF INDIA"/>
    <n v="523598"/>
    <x v="10"/>
    <s v="Shipping"/>
    <n v="232.25"/>
    <n v="10799.385825900001"/>
    <n v="2.679649131150741E-4"/>
    <n v="4266"/>
    <n v="4280"/>
    <n v="948"/>
    <n v="658"/>
    <n v="1611"/>
    <n v="1315"/>
    <n v="404"/>
    <n v="15"/>
    <n v="0.22222222222222221"/>
    <n v="0.15373831775700936"/>
    <n v="6.8483904465212853E-2"/>
    <n v="0.25077591558038487"/>
    <n v="1.1406844106463879E-2"/>
    <n v="0.239369071473921"/>
    <n v="-3.2710280373832168E-3"/>
    <n v="0.44072948328267469"/>
    <n v="0.2250950570342205"/>
    <n v="25.933333333333334"/>
  </r>
  <r>
    <s v="Paradeep Phosphates Limited"/>
    <n v="543530"/>
    <x v="8"/>
    <s v="Fertilizers"/>
    <n v="115.7"/>
    <n v="12022.008916799999"/>
    <n v="2.9830183186278428E-4"/>
    <n v="17124"/>
    <n v="12765"/>
    <n v="841"/>
    <n v="490"/>
    <n v="5749"/>
    <n v="4990"/>
    <n v="182"/>
    <n v="209"/>
    <n v="4.9112356925951881E-2"/>
    <n v="3.8386212299255776E-2"/>
    <n v="1.0726144626696105E-2"/>
    <n v="3.1657679596451556E-2"/>
    <n v="4.1883767535070143E-2"/>
    <n v="-1.0226087938618587E-2"/>
    <n v="0.34148061104582839"/>
    <n v="0.71632653061224483"/>
    <n v="0.15210420841683359"/>
    <n v="-0.12918660287081341"/>
  </r>
  <r>
    <s v="NMDC Steel Limited"/>
    <n v="543768"/>
    <x v="8"/>
    <s v="Iron &amp; Steel"/>
    <n v="37.08"/>
    <n v="10886.9881152"/>
    <n v="2.7013858671275754E-4"/>
    <n v="9763"/>
    <n v="5665"/>
    <n v="-333"/>
    <n v="-1900"/>
    <n v="3008"/>
    <n v="2120"/>
    <n v="-244"/>
    <n v="-758"/>
    <n v="-3.4108368329406946E-2"/>
    <n v="-0.33539276257722861"/>
    <n v="0.30128439424782166"/>
    <n v="-8.1117021276595744E-2"/>
    <n v="-0.35754716981132073"/>
    <n v="0.27643014853472497"/>
    <n v="0.72338923212709627"/>
    <n v="-0.82473684210526321"/>
    <n v="0.41886792452830179"/>
    <n v="-0.67810026385224276"/>
  </r>
  <r>
    <s v="MTAR Technologies Limited"/>
    <n v="543270"/>
    <x v="4"/>
    <s v="Aerospace &amp; Defense"/>
    <n v="3623.9"/>
    <n v="11136.198042800001"/>
    <n v="2.7632222693761103E-4"/>
    <n v="570"/>
    <n v="492"/>
    <n v="49"/>
    <n v="39"/>
    <n v="277"/>
    <n v="174"/>
    <n v="34"/>
    <n v="15"/>
    <n v="8.5964912280701758E-2"/>
    <n v="7.926829268292683E-2"/>
    <n v="6.6966195977749277E-3"/>
    <n v="0.12274368231046931"/>
    <n v="8.6206896551724144E-2"/>
    <n v="3.6536785758745166E-2"/>
    <n v="0.15853658536585358"/>
    <n v="0.25641025641025639"/>
    <n v="0.59195402298850586"/>
    <n v="1.2666666666666666"/>
  </r>
  <r>
    <s v="PRIVI SPECIALITY CHEMICALS LIM"/>
    <n v="530117"/>
    <x v="8"/>
    <s v="Specialty Chemicals"/>
    <n v="2960"/>
    <n v="11564.1183661"/>
    <n v="2.8694020411722558E-4"/>
    <n v="1842"/>
    <n v="1487"/>
    <n v="222"/>
    <n v="120"/>
    <n v="604"/>
    <n v="490"/>
    <n v="74"/>
    <n v="44"/>
    <n v="0.12052117263843648"/>
    <n v="8.0699394754539341E-2"/>
    <n v="3.9821777883897139E-2"/>
    <n v="0.12251655629139073"/>
    <n v="8.9795918367346933E-2"/>
    <n v="3.2720637924043797E-2"/>
    <n v="0.23873570948217893"/>
    <n v="0.85000000000000009"/>
    <n v="0.2326530612244897"/>
    <n v="0.68181818181818188"/>
  </r>
  <r>
    <s v="WHIRLPOOL OF INDIA LTD."/>
    <n v="500238"/>
    <x v="6"/>
    <s v="Household Appliances"/>
    <n v="824"/>
    <n v="10454.23632"/>
    <n v="2.5940072633156349E-4"/>
    <n v="5443"/>
    <n v="5530"/>
    <n v="175"/>
    <n v="202"/>
    <n v="1624"/>
    <n v="1564"/>
    <n v="13"/>
    <n v="26"/>
    <n v="3.2151387102700719E-2"/>
    <n v="3.6528028933092226E-2"/>
    <n v="-4.3766418303915061E-3"/>
    <n v="8.0049261083743849E-3"/>
    <n v="1.6624040920716114E-2"/>
    <n v="-8.6191148123417292E-3"/>
    <n v="-1.5732368896925863E-2"/>
    <n v="-0.13366336633663367"/>
    <n v="3.8363171355498826E-2"/>
    <n v="-0.5"/>
  </r>
  <r>
    <s v="Godrej Agrovet Limited"/>
    <n v="540743"/>
    <x v="5"/>
    <s v="Animal Feed"/>
    <n v="574.20000000000005"/>
    <n v="11035.8320472"/>
    <n v="2.7383184778788556E-4"/>
    <n v="7900"/>
    <n v="7249"/>
    <n v="343"/>
    <n v="337"/>
    <n v="2718"/>
    <n v="2450"/>
    <n v="110"/>
    <n v="110"/>
    <n v="4.3417721518987339E-2"/>
    <n v="4.6489170920126915E-2"/>
    <n v="-3.0714494011395768E-3"/>
    <n v="4.0470934510669611E-2"/>
    <n v="4.4897959183673466E-2"/>
    <n v="-4.4270246730038557E-3"/>
    <n v="8.9805490412470768E-2"/>
    <n v="1.7804154302670572E-2"/>
    <n v="0.1093877551020408"/>
    <n v="0"/>
  </r>
  <r>
    <s v="Cohance Lifesciences Limited"/>
    <n v="543064"/>
    <x v="7"/>
    <s v="Pharmaceuticals"/>
    <n v="299.75"/>
    <n v="11461.713545500001"/>
    <n v="2.8439923564947878E-4"/>
    <n v="1649"/>
    <n v="1768"/>
    <n v="142"/>
    <n v="367"/>
    <n v="544"/>
    <n v="676"/>
    <n v="29"/>
    <n v="153"/>
    <n v="8.6112795633717404E-2"/>
    <n v="0.207579185520362"/>
    <n v="-0.1214663898866446"/>
    <n v="5.3308823529411763E-2"/>
    <n v="0.22633136094674555"/>
    <n v="-0.17302253741733378"/>
    <n v="-6.7307692307692291E-2"/>
    <n v="-0.61307901907356954"/>
    <n v="-0.19526627218934911"/>
    <n v="-0.81045751633986929"/>
  </r>
  <r>
    <s v="Indegene Limited"/>
    <n v="544172"/>
    <x v="7"/>
    <s v="Healthcare Research, Analytics &amp; Technology"/>
    <n v="469.45"/>
    <n v="11283.326585500001"/>
    <n v="2.7997292409733286E-4"/>
    <n v="256"/>
    <n v="216"/>
    <n v="321"/>
    <n v="289"/>
    <n v="942"/>
    <n v="720"/>
    <n v="102"/>
    <n v="109"/>
    <n v="1.25390625"/>
    <n v="1.337962962962963"/>
    <n v="-8.4056712962963021E-2"/>
    <n v="0.10828025477707007"/>
    <n v="0.15138888888888888"/>
    <n v="-4.3108634111818811E-2"/>
    <n v="0.18518518518518512"/>
    <n v="0.11072664359861584"/>
    <n v="0.30833333333333335"/>
    <n v="-6.422018348623848E-2"/>
  </r>
  <r>
    <s v="The Bombay Burmah Trading Corp"/>
    <n v="501425"/>
    <x v="5"/>
    <s v="Packaged Foods"/>
    <n v="1430.7"/>
    <n v="9983.6613412999995"/>
    <n v="2.4772436016460463E-4"/>
    <n v="9655"/>
    <n v="9095"/>
    <n v="1064"/>
    <n v="987"/>
    <n v="4943"/>
    <n v="4761"/>
    <n v="566"/>
    <n v="516"/>
    <n v="0.11020196789228379"/>
    <n v="0.108521165475536"/>
    <n v="1.6808024167477842E-3"/>
    <n v="0.11450536111673074"/>
    <n v="0.10838059231253938"/>
    <n v="6.1247688041913551E-3"/>
    <n v="6.1572292468389245E-2"/>
    <n v="7.8014184397163122E-2"/>
    <n v="3.8227263180004245E-2"/>
    <n v="9.68992248062015E-2"/>
  </r>
  <r>
    <s v="JUPITER WAGONS LIMITED"/>
    <n v="533272"/>
    <x v="4"/>
    <s v="Railway Wagons"/>
    <n v="257.55"/>
    <n v="10966.75"/>
    <n v="2.7211771653318375E-4"/>
    <n v="2135"/>
    <n v="2918"/>
    <n v="138"/>
    <n v="277"/>
    <n v="890"/>
    <n v="1029"/>
    <n v="62"/>
    <n v="96"/>
    <n v="6.463700234192038E-2"/>
    <n v="9.4928032899246062E-2"/>
    <n v="-3.0291030557325682E-2"/>
    <n v="6.9662921348314602E-2"/>
    <n v="9.3294460641399415E-2"/>
    <n v="-2.3631539293084813E-2"/>
    <n v="-0.26833447566826596"/>
    <n v="-0.50180505415162457"/>
    <n v="-0.13508260447035958"/>
    <n v="-0.35416666666666663"/>
  </r>
  <r>
    <s v="LUMAX AUTO TECHNOLOGIES LTD."/>
    <n v="532796"/>
    <x v="6"/>
    <s v="Auto Components &amp; Equipments"/>
    <n v="1671.4"/>
    <n v="11386.5848205"/>
    <n v="2.8253506831703756E-4"/>
    <n v="3453"/>
    <n v="2503"/>
    <n v="239"/>
    <n v="149"/>
    <n v="1270"/>
    <n v="905"/>
    <n v="108"/>
    <n v="56"/>
    <n v="6.9215175209962357E-2"/>
    <n v="5.9528565721134637E-2"/>
    <n v="9.6866094888277202E-3"/>
    <n v="8.5039370078740156E-2"/>
    <n v="6.1878453038674036E-2"/>
    <n v="2.316091704006612E-2"/>
    <n v="0.37954454654414693"/>
    <n v="0.60402684563758391"/>
    <n v="0.40331491712707179"/>
    <n v="0.9285714285714286"/>
  </r>
  <r>
    <s v="Home First Finance Company Ind"/>
    <n v="543259"/>
    <x v="2"/>
    <s v="Housing Finance Company"/>
    <n v="977.8"/>
    <n v="10197.0092007"/>
    <n v="2.5301815571270877E-4"/>
    <n v="1417"/>
    <n v="1123"/>
    <n v="390"/>
    <n v="277"/>
    <n v="483"/>
    <n v="407"/>
    <n v="140"/>
    <n v="97"/>
    <n v="0.27522935779816515"/>
    <n v="0.24666073018699911"/>
    <n v="2.8568627611166048E-2"/>
    <n v="0.28985507246376813"/>
    <n v="0.23832923832923833"/>
    <n v="5.1525834134529797E-2"/>
    <n v="0.26179875333926983"/>
    <n v="0.40794223826714804"/>
    <n v="0.18673218673218672"/>
    <n v="0.44329896907216493"/>
  </r>
  <r>
    <s v="GRAVITA INDIA LTD."/>
    <n v="533282"/>
    <x v="8"/>
    <s v="Industrial Minerals"/>
    <n v="1370.55"/>
    <n v="9975.9014117999996"/>
    <n v="2.4753181321167893E-4"/>
    <n v="3092"/>
    <n v="2831"/>
    <n v="286"/>
    <n v="217"/>
    <n v="1017"/>
    <n v="996"/>
    <n v="97"/>
    <n v="78"/>
    <n v="9.2496765847347992E-2"/>
    <n v="7.6651359943482864E-2"/>
    <n v="1.5845405903865128E-2"/>
    <n v="9.5378564405113081E-2"/>
    <n v="7.8313253012048195E-2"/>
    <n v="1.7065311393064886E-2"/>
    <n v="9.2193571176262701E-2"/>
    <n v="0.31797235023041481"/>
    <n v="2.108433734939763E-2"/>
    <n v="0.24358974358974361"/>
  </r>
  <r>
    <s v="Swan Corp Limited"/>
    <n v="503310"/>
    <x v="8"/>
    <s v="Petrochemicals"/>
    <n v="313.5"/>
    <n v="9839.4087605999994"/>
    <n v="2.4414502418410879E-4"/>
    <n v="3501"/>
    <n v="4082"/>
    <n v="19"/>
    <n v="896"/>
    <n v="1150"/>
    <n v="1908"/>
    <n v="-1"/>
    <n v="561"/>
    <n v="5.4270208511853759E-3"/>
    <n v="0.21950024497795198"/>
    <n v="-0.2140732241267666"/>
    <n v="-8.6956521739130438E-4"/>
    <n v="0.29402515723270439"/>
    <n v="-0.29489472245009568"/>
    <n v="-0.14233219010289078"/>
    <n v="-0.9787946428571429"/>
    <n v="-0.39727463312368971"/>
    <n v="-1.0017825311942958"/>
  </r>
  <r>
    <s v="Nuvoco Vistas Corporation Limi"/>
    <n v="543334"/>
    <x v="8"/>
    <s v="Cement &amp; Cement Products"/>
    <n v="295.7"/>
    <n v="10545.0309"/>
    <n v="2.6165361016525983E-4"/>
    <n v="8031"/>
    <n v="7314"/>
    <n v="218"/>
    <n v="-143"/>
    <n v="2701"/>
    <n v="2409"/>
    <n v="49"/>
    <n v="-61"/>
    <n v="2.7144813846345411E-2"/>
    <n v="-1.9551544982225867E-2"/>
    <n v="4.6696358828571274E-2"/>
    <n v="1.8141429100333211E-2"/>
    <n v="-2.5321710253217101E-2"/>
    <n v="4.3463139353550312E-2"/>
    <n v="9.8031173092699042E-2"/>
    <n v="-2.5244755244755241"/>
    <n v="0.1212121212121211"/>
    <n v="-1.8032786885245902"/>
  </r>
  <r>
    <s v="JINDAL SAW LTD."/>
    <n v="500378"/>
    <x v="4"/>
    <s v="Iron &amp; Steel Products"/>
    <n v="195.1"/>
    <n v="12435.117291299999"/>
    <n v="3.0855228049612369E-4"/>
    <n v="13261"/>
    <n v="15782"/>
    <n v="801"/>
    <n v="1371"/>
    <n v="4943"/>
    <n v="5271"/>
    <n v="247"/>
    <n v="479"/>
    <n v="6.0402684563758392E-2"/>
    <n v="8.6871118996324923E-2"/>
    <n v="-2.646843443256653E-2"/>
    <n v="4.9969654056241146E-2"/>
    <n v="9.0874596850692463E-2"/>
    <n v="-4.0904942794451317E-2"/>
    <n v="-0.15973894309973391"/>
    <n v="-0.41575492341356679"/>
    <n v="-6.2227281350787367E-2"/>
    <n v="-0.48434237995824636"/>
  </r>
  <r>
    <s v="ALIVUS LIFE SCIENCES LIMITED"/>
    <n v="543322"/>
    <x v="7"/>
    <s v="Pharmaceuticals"/>
    <n v="999.2"/>
    <n v="12279.1532833"/>
    <n v="3.0468234913830824E-4"/>
    <n v="1862"/>
    <n v="1737"/>
    <n v="401"/>
    <n v="343"/>
    <n v="672"/>
    <n v="641"/>
    <n v="150"/>
    <n v="136"/>
    <n v="0.21535982814178303"/>
    <n v="0.19746689694876224"/>
    <n v="1.7892931193020795E-2"/>
    <n v="0.22321428571428573"/>
    <n v="0.21216848673946959"/>
    <n v="1.104579897481614E-2"/>
    <n v="7.1963154864709278E-2"/>
    <n v="0.16909620991253638"/>
    <n v="4.8361934477379132E-2"/>
    <n v="0.10294117647058831"/>
  </r>
  <r>
    <s v="Ujjivan Small Finance Bank Lim"/>
    <n v="542904"/>
    <x v="2"/>
    <s v="Other Bank"/>
    <n v="55.64"/>
    <n v="10811.1981414"/>
    <n v="2.6825801182898924E-4"/>
    <n v="5853"/>
    <n v="5357"/>
    <n v="410"/>
    <n v="642"/>
    <n v="2047"/>
    <n v="1763"/>
    <n v="185"/>
    <n v="108"/>
    <n v="7.0049547240731244E-2"/>
    <n v="0.11984319581855517"/>
    <n v="-4.9793648577823924E-2"/>
    <n v="9.0376160234489494E-2"/>
    <n v="6.1259217243335225E-2"/>
    <n v="2.911694299115427E-2"/>
    <n v="9.2589135710285708E-2"/>
    <n v="-0.36137071651090347"/>
    <n v="0.16108905275099272"/>
    <n v="0.71296296296296302"/>
  </r>
  <r>
    <s v="PCBL Chemical Limited"/>
    <n v="506590"/>
    <x v="8"/>
    <s v="Carbon Black"/>
    <n v="259.95"/>
    <n v="10222.554312599999"/>
    <n v="2.5365200598911815E-4"/>
    <n v="6123"/>
    <n v="6317"/>
    <n v="158"/>
    <n v="334"/>
    <n v="1846"/>
    <n v="2010"/>
    <n v="2"/>
    <n v="93"/>
    <n v="2.5804344275681856E-2"/>
    <n v="5.2873199303466838E-2"/>
    <n v="-2.7068855027784982E-2"/>
    <n v="1.0834236186348862E-3"/>
    <n v="4.6268656716417909E-2"/>
    <n v="-4.5185233097783023E-2"/>
    <n v="-3.0710780433750196E-2"/>
    <n v="-0.52694610778443107"/>
    <n v="-8.1592039800995053E-2"/>
    <n v="-0.978494623655914"/>
  </r>
  <r>
    <s v="FINOLEX INDUSTRIES LTD."/>
    <n v="500940"/>
    <x v="4"/>
    <s v="Plastic Products - Industrial"/>
    <n v="159.44999999999999"/>
    <n v="9862.1067050000001"/>
    <n v="2.4470822775856115E-4"/>
    <n v="2800"/>
    <n v="2970"/>
    <n v="338"/>
    <n v="635"/>
    <n v="898"/>
    <n v="1001"/>
    <n v="116"/>
    <n v="94"/>
    <n v="0.12071428571428572"/>
    <n v="0.2138047138047138"/>
    <n v="-9.3090428090428085E-2"/>
    <n v="0.1291759465478842"/>
    <n v="9.3906093906093904E-2"/>
    <n v="3.5269852641790292E-2"/>
    <n v="-5.7239057239057201E-2"/>
    <n v="-0.4677165354330709"/>
    <n v="-0.10289710289710285"/>
    <n v="0.23404255319148937"/>
  </r>
  <r>
    <s v="CAN FIN HOMES LTD."/>
    <n v="511196"/>
    <x v="2"/>
    <s v="Housing Finance Company"/>
    <n v="809.5"/>
    <n v="10781.293369999999"/>
    <n v="2.6751598542127368E-4"/>
    <n v="3143"/>
    <n v="2879"/>
    <n v="740"/>
    <n v="623"/>
    <n v="1073"/>
    <n v="986"/>
    <n v="264"/>
    <n v="212"/>
    <n v="0.23544384346166083"/>
    <n v="0.21639458145189303"/>
    <n v="1.9049262009767809E-2"/>
    <n v="0.24603914259086673"/>
    <n v="0.21501014198782961"/>
    <n v="3.1029000603037121E-2"/>
    <n v="9.1698506425842208E-2"/>
    <n v="0.187800963081862"/>
    <n v="8.8235294117646967E-2"/>
    <n v="0.24528301886792447"/>
  </r>
  <r>
    <s v="HEG LTD."/>
    <n v="509631"/>
    <x v="4"/>
    <s v="Electrodes &amp; Refractories"/>
    <n v="550.35"/>
    <n v="10623.405870000001"/>
    <n v="2.6359832650052386E-4"/>
    <n v="1972"/>
    <n v="1617"/>
    <n v="455"/>
    <n v="189"/>
    <n v="656"/>
    <n v="478"/>
    <n v="207"/>
    <n v="83"/>
    <n v="0.23073022312373226"/>
    <n v="0.11688311688311688"/>
    <n v="0.11384710624061538"/>
    <n v="0.31554878048780488"/>
    <n v="0.17364016736401675"/>
    <n v="0.14190861312378814"/>
    <n v="0.2195423623995052"/>
    <n v="1.4074074074074074"/>
    <n v="0.37238493723849375"/>
    <n v="1.4939759036144578"/>
  </r>
  <r>
    <s v="BLS International Services Ltd"/>
    <n v="540073"/>
    <x v="6"/>
    <s v="Tour, Travel Related Services"/>
    <n v="267.7"/>
    <n v="11012.191332300001"/>
    <n v="2.7324525127061296E-4"/>
    <n v="2183"/>
    <n v="1500"/>
    <n v="536"/>
    <n v="394"/>
    <n v="736"/>
    <n v="512"/>
    <n v="170"/>
    <n v="127"/>
    <n v="0.24553366926248282"/>
    <n v="0.26266666666666666"/>
    <n v="-1.7132997404183836E-2"/>
    <n v="0.23097826086956522"/>
    <n v="0.248046875"/>
    <n v="-1.7068614130434784E-2"/>
    <n v="0.45533333333333337"/>
    <n v="0.36040609137055846"/>
    <n v="0.4375"/>
    <n v="0.3385826771653544"/>
  </r>
  <r>
    <s v="Indian Energy Exchange Limited"/>
    <n v="540750"/>
    <x v="2"/>
    <s v="Exchange and Data Platform"/>
    <n v="125.45"/>
    <n v="11157.156463900001"/>
    <n v="2.7684226776026797E-4"/>
    <n v="441"/>
    <n v="395"/>
    <n v="363"/>
    <n v="312"/>
    <n v="145"/>
    <n v="132"/>
    <n v="119"/>
    <n v="107"/>
    <n v="0.8231292517006803"/>
    <n v="0.78987341772151898"/>
    <n v="3.325583397916132E-2"/>
    <n v="0.82068965517241377"/>
    <n v="0.81060606060606055"/>
    <n v="1.0083594566353216E-2"/>
    <n v="0.1164556962025316"/>
    <n v="0.16346153846153855"/>
    <n v="9.8484848484848397E-2"/>
    <n v="0.11214953271028039"/>
  </r>
  <r>
    <s v="TILAKNAGAR INDUSTRIES LTD."/>
    <n v="507205"/>
    <x v="5"/>
    <s v="Breweries &amp; Distilleries"/>
    <n v="421"/>
    <n v="10410.8343977"/>
    <n v="2.5832379542774724E-4"/>
    <n v="3232"/>
    <n v="2293"/>
    <n v="35"/>
    <n v="152"/>
    <n v="1453"/>
    <n v="805"/>
    <n v="-105"/>
    <n v="53"/>
    <n v="1.0829207920792078E-2"/>
    <n v="6.628870475359791E-2"/>
    <n v="-5.5459496832805835E-2"/>
    <n v="-7.2264280798348249E-2"/>
    <n v="6.5838509316770183E-2"/>
    <n v="-0.13810279011511845"/>
    <n v="0.40950719581334494"/>
    <n v="-0.76973684210526316"/>
    <n v="0.8049689440993788"/>
    <n v="-2.9811320754716979"/>
  </r>
  <r>
    <s v="EDELWEISS FINANCIAL SERVICES L"/>
    <n v="532922"/>
    <x v="2"/>
    <s v="Holding Company"/>
    <n v="107.39"/>
    <n v="10167.643348"/>
    <n v="2.5228950148235119E-4"/>
    <n v="8511"/>
    <n v="6986"/>
    <n v="548"/>
    <n v="377"/>
    <n v="4404"/>
    <n v="1898"/>
    <n v="270"/>
    <n v="155"/>
    <n v="6.4387263541299491E-2"/>
    <n v="5.3965073003149157E-2"/>
    <n v="1.0422190538150335E-2"/>
    <n v="6.1307901907356951E-2"/>
    <n v="8.1664910432033722E-2"/>
    <n v="-2.035700852467677E-2"/>
    <n v="0.21829373031777832"/>
    <n v="0.45358090185676403"/>
    <n v="1.3203371970495259"/>
    <n v="0.74193548387096775"/>
  </r>
  <r>
    <s v="Azad Engineering Limited"/>
    <n v="544061"/>
    <x v="4"/>
    <s v="Heavy Electrical Equipment"/>
    <n v="1554.55"/>
    <n v="9188.4898553999992"/>
    <n v="2.2799378830006806E-4"/>
    <n v="441"/>
    <n v="330"/>
    <n v="96"/>
    <n v="61"/>
    <n v="158"/>
    <n v="120"/>
    <n v="34"/>
    <n v="23"/>
    <n v="0.21768707482993196"/>
    <n v="0.18484848484848485"/>
    <n v="3.2838589981447119E-2"/>
    <n v="0.21518987341772153"/>
    <n v="0.19166666666666668"/>
    <n v="2.3523206751054848E-2"/>
    <n v="0.33636363636363642"/>
    <n v="0.57377049180327866"/>
    <n v="0.31666666666666665"/>
    <n v="0.47826086956521729"/>
  </r>
  <r>
    <s v="SOUTH INDIAN BANK LTD."/>
    <n v="532218"/>
    <x v="2"/>
    <s v="Private Sector Bank"/>
    <n v="37.28"/>
    <n v="9761.6632962999993"/>
    <n v="2.422159277593587E-4"/>
    <n v="8909"/>
    <n v="8280"/>
    <n v="1048"/>
    <n v="960"/>
    <n v="3003"/>
    <n v="2779"/>
    <n v="374"/>
    <n v="342"/>
    <n v="0.11763385340666742"/>
    <n v="0.11594202898550725"/>
    <n v="1.6918244211601707E-3"/>
    <n v="0.12454212454212454"/>
    <n v="0.12306585102554876"/>
    <n v="1.4762735165757823E-3"/>
    <n v="7.5966183574879276E-2"/>
    <n v="9.1666666666666563E-2"/>
    <n v="8.0604534005037864E-2"/>
    <n v="9.3567251461988299E-2"/>
  </r>
  <r>
    <s v="Tamilnad Mercantile Bank Limit"/>
    <n v="543596"/>
    <x v="2"/>
    <s v="Private Sector Bank"/>
    <n v="628.29999999999995"/>
    <n v="9951.5939263"/>
    <n v="2.4692867213078223E-4"/>
    <n v="4904"/>
    <n v="4599"/>
    <n v="963"/>
    <n v="890"/>
    <n v="1469"/>
    <n v="1331"/>
    <n v="341"/>
    <n v="300"/>
    <n v="0.19637030995106036"/>
    <n v="0.19352033050663187"/>
    <n v="2.8499794444284965E-3"/>
    <n v="0.23213070115724982"/>
    <n v="0.22539444027047334"/>
    <n v="6.7362608867764795E-3"/>
    <n v="6.6318764948901876E-2"/>
    <n v="8.202247191011236E-2"/>
    <n v="0.10368144252441769"/>
    <n v="0.13666666666666671"/>
  </r>
  <r>
    <s v="BIRLASOFT LIMITED"/>
    <n v="532400"/>
    <x v="3"/>
    <s v="Computers - Software &amp; Consulting"/>
    <n v="366.75"/>
    <n v="10104.982071599999"/>
    <n v="2.5073468866642826E-4"/>
    <n v="3961"/>
    <n v="4058"/>
    <n v="342"/>
    <n v="394"/>
    <n v="1347"/>
    <n v="1362"/>
    <n v="119"/>
    <n v="116"/>
    <n v="8.6341832870487245E-2"/>
    <n v="9.7092163627402667E-2"/>
    <n v="-1.0750330756915422E-2"/>
    <n v="8.8344469190794361E-2"/>
    <n v="8.5168869309838469E-2"/>
    <n v="3.1755998809558927E-3"/>
    <n v="-2.390340068999508E-2"/>
    <n v="-0.13197969543147203"/>
    <n v="-1.1013215859030812E-2"/>
    <n v="2.5862068965517349E-2"/>
  </r>
  <r>
    <s v="BlackBuck Limited"/>
    <n v="544288"/>
    <x v="10"/>
    <s v="Transport Related Services"/>
    <n v="569"/>
    <n v="10359.678807099999"/>
    <n v="2.5705447293001741E-4"/>
    <n v="466"/>
    <n v="304"/>
    <n v="94"/>
    <n v="-288"/>
    <n v="171"/>
    <n v="113"/>
    <n v="31"/>
    <n v="-48"/>
    <n v="0.20171673819742489"/>
    <n v="-0.94736842105263153"/>
    <n v="1.1490851592500564"/>
    <n v="0.18128654970760233"/>
    <n v="-0.4247787610619469"/>
    <n v="0.60606531076954928"/>
    <n v="0.53289473684210531"/>
    <n v="-1.3263888888888888"/>
    <n v="0.51327433628318575"/>
    <n v="-1.6458333333333335"/>
  </r>
  <r>
    <s v="Afcons Infrastructure Limited"/>
    <n v="544280"/>
    <x v="4"/>
    <s v="Civil Construction"/>
    <n v="286.95"/>
    <n v="10540.7068604"/>
    <n v="2.6154631786971637E-4"/>
    <n v="9334"/>
    <n v="9325"/>
    <n v="339"/>
    <n v="376"/>
    <n v="2976"/>
    <n v="3211"/>
    <n v="81"/>
    <n v="149"/>
    <n v="3.6318834368973645E-2"/>
    <n v="4.0321715817694372E-2"/>
    <n v="-4.002881448720727E-3"/>
    <n v="2.7217741935483871E-2"/>
    <n v="4.6402989722827782E-2"/>
    <n v="-1.9185247787343911E-2"/>
    <n v="9.6514745308318162E-4"/>
    <n v="-9.8404255319148981E-2"/>
    <n v="-7.3185923388352503E-2"/>
    <n v="-0.4563758389261745"/>
  </r>
  <r>
    <s v="Brainbees Solutions Limited"/>
    <n v="544226"/>
    <x v="6"/>
    <s v="E-Retail/ E-Commerce"/>
    <n v="225.5"/>
    <n v="10943.021575999999"/>
    <n v="2.7152894369202193E-4"/>
    <n v="6385"/>
    <n v="5729"/>
    <n v="-155"/>
    <n v="-153"/>
    <n v="2423"/>
    <n v="2172"/>
    <n v="-38"/>
    <n v="-14"/>
    <n v="-2.4275646045418951E-2"/>
    <n v="-2.6706231454005934E-2"/>
    <n v="2.4305854085869827E-3"/>
    <n v="-1.5683037556747832E-2"/>
    <n v="-6.4456721915285451E-3"/>
    <n v="-9.2373653652192862E-3"/>
    <n v="0.11450514924070521"/>
    <n v="1.3071895424836555E-2"/>
    <n v="0.11556169429097607"/>
    <n v="1.7142857142857144"/>
  </r>
  <r>
    <s v="SBFC Finance Limited"/>
    <n v="543959"/>
    <x v="2"/>
    <s v="Non Banking Financial Company (NBFC)"/>
    <n v="83.4"/>
    <n v="9207.1968367999998"/>
    <n v="2.2845796420102292E-4"/>
    <n v="1225"/>
    <n v="944"/>
    <n v="328"/>
    <n v="250"/>
    <n v="425"/>
    <n v="333"/>
    <n v="118"/>
    <n v="88"/>
    <n v="0.26775510204081632"/>
    <n v="0.26483050847457629"/>
    <n v="2.9245935662400302E-3"/>
    <n v="0.27764705882352941"/>
    <n v="0.26426426426426425"/>
    <n v="1.3382794559265165E-2"/>
    <n v="0.29766949152542366"/>
    <n v="0.31200000000000006"/>
    <n v="0.27627627627627627"/>
    <n v="0.34090909090909083"/>
  </r>
  <r>
    <s v="CUPID LTD."/>
    <n v="530843"/>
    <x v="5"/>
    <s v="Personal Care"/>
    <n v="88.24"/>
    <n v="11862.5906841"/>
    <n v="2.9434619090661405E-4"/>
    <n v="237"/>
    <n v="127"/>
    <n v="72"/>
    <n v="29"/>
    <n v="93"/>
    <n v="46"/>
    <n v="32"/>
    <n v="11"/>
    <n v="0.30379746835443039"/>
    <n v="0.2283464566929134"/>
    <n v="7.5451011661516992E-2"/>
    <n v="0.34408602150537637"/>
    <n v="0.2391304347826087"/>
    <n v="0.10495558672276767"/>
    <n v="0.86614173228346458"/>
    <n v="1.4827586206896552"/>
    <n v="1.0217391304347827"/>
    <n v="1.9090909090909092"/>
  </r>
  <r>
    <s v="ACTION CONSTRUCTION EQUIPMENT"/>
    <n v="532762"/>
    <x v="4"/>
    <s v="Construction Vehicles"/>
    <n v="824.6"/>
    <n v="9820.0428733999997"/>
    <n v="2.4366449886863218E-4"/>
    <n v="2250"/>
    <n v="2366"/>
    <n v="304"/>
    <n v="290"/>
    <n v="854"/>
    <n v="875"/>
    <n v="116"/>
    <n v="111"/>
    <n v="0.1351111111111111"/>
    <n v="0.12256973795435334"/>
    <n v="1.2541373156757754E-2"/>
    <n v="0.13583138173302109"/>
    <n v="0.12685714285714286"/>
    <n v="8.9742388758782266E-3"/>
    <n v="-4.9027895181741332E-2"/>
    <n v="4.8275862068965614E-2"/>
    <n v="-2.4000000000000021E-2"/>
    <n v="4.5045045045045029E-2"/>
  </r>
  <r>
    <s v="INOX India Limited"/>
    <n v="544046"/>
    <x v="4"/>
    <s v="Other Industrial Products"/>
    <n v="1218"/>
    <n v="11068.608824999999"/>
    <n v="2.7464513722461493E-4"/>
    <n v="1126"/>
    <n v="936"/>
    <n v="182"/>
    <n v="160"/>
    <n v="428"/>
    <n v="333"/>
    <n v="60"/>
    <n v="58"/>
    <n v="0.16163410301953818"/>
    <n v="0.17094017094017094"/>
    <n v="-9.3060679206327657E-3"/>
    <n v="0.14018691588785046"/>
    <n v="0.17417417417417416"/>
    <n v="-3.3987258286323707E-2"/>
    <n v="0.20299145299145294"/>
    <n v="0.13749999999999996"/>
    <n v="0.28528528528528518"/>
    <n v="3.4482758620689724E-2"/>
  </r>
  <r>
    <s v="Sharda Cropchem Limited"/>
    <n v="538666"/>
    <x v="8"/>
    <s v="Pesticides &amp; Agrochemicals"/>
    <n v="916.9"/>
    <n v="8255.1757500000003"/>
    <n v="2.0483548678232953E-4"/>
    <n v="3202"/>
    <n v="2491"/>
    <n v="362"/>
    <n v="100"/>
    <n v="1288"/>
    <n v="929"/>
    <n v="145"/>
    <n v="31"/>
    <n v="0.11305434103685197"/>
    <n v="4.0144520272982737E-2"/>
    <n v="7.2909820763869232E-2"/>
    <n v="0.1125776397515528"/>
    <n v="3.3369214208826693E-2"/>
    <n v="7.9208425542726113E-2"/>
    <n v="0.28542753914090735"/>
    <n v="2.62"/>
    <n v="0.38643702906350907"/>
    <n v="3.67741935483871"/>
  </r>
  <r>
    <s v="VESUVIUS INDIA LTD."/>
    <n v="520113"/>
    <x v="4"/>
    <s v="Electrodes &amp; Refractories"/>
    <n v="452.1"/>
    <n v="9156.5718565999996"/>
    <n v="2.2720180772699356E-4"/>
    <n v="2104"/>
    <n v="1869"/>
    <n v="264"/>
    <n v="264"/>
    <n v="551"/>
    <n v="509"/>
    <n v="80"/>
    <n v="60"/>
    <n v="0.12547528517110265"/>
    <n v="0.14125200642054575"/>
    <n v="-1.5776721249443099E-2"/>
    <n v="0.14519056261343014"/>
    <n v="0.11787819253438114"/>
    <n v="2.7312370079048992E-2"/>
    <n v="0.12573568753344033"/>
    <n v="0"/>
    <n v="8.25147347740669E-2"/>
    <n v="0.33333333333333326"/>
  </r>
  <r>
    <s v="Sanofi Consumer Healthcare Ind"/>
    <n v="544250"/>
    <x v="7"/>
    <m/>
    <n v="4647.2"/>
    <n v="10663.4075911"/>
    <n v="2.6459088828985333E-4"/>
    <m/>
    <m/>
    <m/>
    <m/>
    <m/>
    <m/>
    <m/>
    <m/>
    <e v="#DIV/0!"/>
    <e v="#DIV/0!"/>
    <e v="#DIV/0!"/>
    <e v="#DIV/0!"/>
    <e v="#DIV/0!"/>
    <e v="#DIV/0!"/>
    <e v="#DIV/0!"/>
    <e v="#DIV/0!"/>
    <e v="#DIV/0!"/>
    <e v="#DIV/0!"/>
  </r>
  <r>
    <s v="Medplus Health Services Limite"/>
    <n v="543427"/>
    <x v="6"/>
    <s v="Pharmacy Retail"/>
    <n v="832.05"/>
    <n v="10032.875749999999"/>
    <n v="2.4894551616031667E-4"/>
    <n v="5028"/>
    <n v="4626"/>
    <n v="155"/>
    <n v="98"/>
    <n v="1806"/>
    <n v="1561"/>
    <n v="57"/>
    <n v="45"/>
    <n v="3.0827366746221163E-2"/>
    <n v="2.1184608733246867E-2"/>
    <n v="9.6427580129742965E-3"/>
    <n v="3.1561461794019932E-2"/>
    <n v="2.8827674567584883E-2"/>
    <n v="2.7337872264350492E-3"/>
    <n v="8.6900129701686035E-2"/>
    <n v="0.58163265306122458"/>
    <n v="0.15695067264573992"/>
    <n v="0.26666666666666661"/>
  </r>
  <r>
    <s v="Ola Electric Mobility Limited"/>
    <n v="544225"/>
    <x v="6"/>
    <s v="2/3 Wheelers"/>
    <n v="28.97"/>
    <n v="12153.1958452"/>
    <n v="3.015569701120569E-4"/>
    <n v="1988"/>
    <n v="3903"/>
    <n v="-1333"/>
    <n v="-1406"/>
    <n v="470"/>
    <n v="1045"/>
    <n v="-487"/>
    <n v="-564"/>
    <n v="-0.67052313883299797"/>
    <n v="-0.36023571611580835"/>
    <n v="-0.31028742271718962"/>
    <n v="-1.0361702127659576"/>
    <n v="-0.53971291866028703"/>
    <n v="-0.49645729410567052"/>
    <n v="-0.49064821931847302"/>
    <n v="-5.1920341394025571E-2"/>
    <n v="-0.55023923444976075"/>
    <n v="-0.13652482269503541"/>
  </r>
  <r>
    <s v="PVR INOX LIMITED"/>
    <n v="532689"/>
    <x v="6"/>
    <s v="Film Production, Distribution &amp; Exhibition"/>
    <n v="939.55"/>
    <n v="9254.3639999999996"/>
    <n v="2.2962832194103997E-4"/>
    <n v="1571"/>
    <n v="1530"/>
    <n v="146"/>
    <n v="-135"/>
    <n v="1879"/>
    <n v="1717"/>
    <n v="95"/>
    <n v="35"/>
    <n v="9.2934436664544873E-2"/>
    <n v="-8.8235294117647065E-2"/>
    <n v="0.18116973078219195"/>
    <n v="5.0558807876530068E-2"/>
    <n v="2.03843913803145E-2"/>
    <n v="3.0174416496215568E-2"/>
    <n v="2.6797385620914937E-2"/>
    <n v="-2.0814814814814815"/>
    <n v="9.4350611531741402E-2"/>
    <n v="1.7142857142857144"/>
  </r>
  <r>
    <s v="SANDUR MANGANESE &amp; IRON ORES L"/>
    <n v="504918"/>
    <x v="0"/>
    <s v="Coal"/>
    <n v="186.3"/>
    <n v="9058.0766650999994"/>
    <n v="2.2475784879654663E-4"/>
    <n v="3577"/>
    <n v="1813"/>
    <n v="420"/>
    <n v="313"/>
    <n v="1209"/>
    <n v="951"/>
    <n v="113"/>
    <n v="137"/>
    <n v="0.11741682974559686"/>
    <n v="0.17264202978488694"/>
    <n v="-5.5225200039290073E-2"/>
    <n v="9.3465674110835395E-2"/>
    <n v="0.14405888538380651"/>
    <n v="-5.0593211272971117E-2"/>
    <n v="0.97297297297297303"/>
    <n v="0.34185303514377008"/>
    <n v="0.27129337539432186"/>
    <n v="-0.17518248175182483"/>
  </r>
  <r>
    <s v="Vijaya Diagnostic Centre Limit"/>
    <n v="543350"/>
    <x v="7"/>
    <s v="Healthcare Service Provider"/>
    <n v="896.6"/>
    <n v="9213.3707692000007"/>
    <n v="2.2861115784423704E-4"/>
    <n v="594"/>
    <n v="508"/>
    <n v="125"/>
    <n v="108"/>
    <n v="205"/>
    <n v="168"/>
    <n v="43"/>
    <n v="35"/>
    <n v="0.21043771043771045"/>
    <n v="0.2125984251968504"/>
    <n v="-2.1607147591399534E-3"/>
    <n v="0.2097560975609756"/>
    <n v="0.20833333333333334"/>
    <n v="1.4227642276422592E-3"/>
    <n v="0.16929133858267709"/>
    <n v="0.15740740740740744"/>
    <n v="0.22023809523809534"/>
    <n v="0.22857142857142865"/>
  </r>
  <r>
    <s v="RAMKRISHNA FORGINGS LTD."/>
    <n v="532527"/>
    <x v="6"/>
    <s v="Auto Components &amp; Equipments"/>
    <n v="502.75"/>
    <n v="9102.3889741999992"/>
    <n v="2.2585736910717691E-4"/>
    <n v="3021"/>
    <n v="3086"/>
    <n v="15"/>
    <n v="215"/>
    <n v="1098"/>
    <n v="1073"/>
    <n v="13"/>
    <n v="20"/>
    <n v="4.9652432969215492E-3"/>
    <n v="6.9669475048606613E-2"/>
    <n v="-6.4704231751685062E-2"/>
    <n v="1.1839708561020037E-2"/>
    <n v="1.8639328984156569E-2"/>
    <n v="-6.799620423136532E-3"/>
    <n v="-2.106286454957873E-2"/>
    <n v="-0.93023255813953487"/>
    <n v="2.329916123019582E-2"/>
    <n v="-0.35"/>
  </r>
  <r>
    <s v="CYIENT LIMITED"/>
    <n v="532175"/>
    <x v="3"/>
    <s v="IT Enabled Services"/>
    <n v="812.1"/>
    <n v="8969.4417200999997"/>
    <n v="2.2255855193663423E-4"/>
    <n v="5341"/>
    <n v="5451"/>
    <n v="397"/>
    <n v="461"/>
    <n v="1848"/>
    <n v="1926"/>
    <n v="97"/>
    <n v="127"/>
    <n v="7.4330649691069089E-2"/>
    <n v="8.4571638231517157E-2"/>
    <n v="-1.0240988540448068E-2"/>
    <n v="5.2489177489177488E-2"/>
    <n v="6.5939771547248185E-2"/>
    <n v="-1.3450594058070697E-2"/>
    <n v="-2.0179783525958506E-2"/>
    <n v="-0.13882863340563989"/>
    <n v="-4.0498442367601251E-2"/>
    <n v="-0.23622047244094491"/>
  </r>
  <r>
    <s v="JAIPRAKASH POWER VENTURES LIMI"/>
    <n v="532627"/>
    <x v="9"/>
    <s v="Power Generation"/>
    <n v="15.21"/>
    <n v="10437.8146972"/>
    <n v="2.589932569811994E-4"/>
    <n v="4177"/>
    <n v="4121"/>
    <n v="464"/>
    <n v="657"/>
    <n v="1155"/>
    <n v="1140"/>
    <n v="3"/>
    <n v="126"/>
    <n v="0.11108451041417285"/>
    <n v="0.15942732346517835"/>
    <n v="-4.8342813051005504E-2"/>
    <n v="2.5974025974025974E-3"/>
    <n v="0.11052631578947368"/>
    <n v="-0.10792891319207108"/>
    <n v="1.3588934724581447E-2"/>
    <n v="-0.29375951293759517"/>
    <n v="1.3157894736842035E-2"/>
    <n v="-0.97619047619047616"/>
  </r>
  <r>
    <s v="RITES Limited"/>
    <n v="541556"/>
    <x v="4"/>
    <s v="Civil Construction"/>
    <n v="190.75"/>
    <n v="9151.4534449999992"/>
    <n v="2.2707480469721087E-4"/>
    <n v="1647"/>
    <n v="1602"/>
    <n v="315"/>
    <n v="282"/>
    <n v="609"/>
    <n v="576"/>
    <n v="115"/>
    <n v="109"/>
    <n v="0.19125683060109289"/>
    <n v="0.17602996254681649"/>
    <n v="1.5226868054276393E-2"/>
    <n v="0.18883415435139572"/>
    <n v="0.1892361111111111"/>
    <n v="-4.0195675971538281E-4"/>
    <n v="2.8089887640449396E-2"/>
    <n v="0.11702127659574457"/>
    <n v="5.7291666666666741E-2"/>
    <n v="5.504587155963292E-2"/>
  </r>
  <r>
    <s v="BATA INDIA LTD."/>
    <n v="500043"/>
    <x v="6"/>
    <s v="Footwear"/>
    <n v="665.75"/>
    <n v="8549.7786500000002"/>
    <n v="2.1214546179152132E-4"/>
    <n v="2687"/>
    <n v="2700"/>
    <n v="131"/>
    <n v="284"/>
    <n v="944"/>
    <n v="918"/>
    <n v="66"/>
    <n v="58"/>
    <n v="4.8753256419799031E-2"/>
    <n v="0.10518518518518519"/>
    <n v="-5.6431928765386156E-2"/>
    <n v="6.991525423728813E-2"/>
    <n v="6.3180827886710242E-2"/>
    <n v="6.7344263505778879E-3"/>
    <n v="-4.8148148148148273E-3"/>
    <n v="-0.53873239436619724"/>
    <n v="2.8322440087146017E-2"/>
    <n v="0.13793103448275867"/>
  </r>
  <r>
    <s v="IIFL CAPITAL SERVICES LIMITED"/>
    <n v="542773"/>
    <x v="2"/>
    <s v="Stockbroking &amp; Allied"/>
    <n v="263.64999999999998"/>
    <n v="8203.1898079000002"/>
    <n v="2.0354556079185121E-4"/>
    <n v="1775"/>
    <n v="1867"/>
    <n v="448"/>
    <n v="584"/>
    <n v="586"/>
    <n v="582"/>
    <n v="187"/>
    <n v="197"/>
    <n v="0.25239436619718308"/>
    <n v="0.31280128548473485"/>
    <n v="-6.0406919287551764E-2"/>
    <n v="0.3191126279863481"/>
    <n v="0.33848797250859108"/>
    <n v="-1.9375344522242988E-2"/>
    <n v="-4.9276914836636321E-2"/>
    <n v="-0.23287671232876717"/>
    <n v="6.8728522336769515E-3"/>
    <n v="-5.0761421319796995E-2"/>
  </r>
  <r>
    <s v="AAVAS Financiers Limited"/>
    <n v="541988"/>
    <x v="2"/>
    <s v="Housing Finance Company"/>
    <n v="1152.7"/>
    <n v="9130.9927786000007"/>
    <n v="2.2656711465052296E-4"/>
    <n v="1970"/>
    <n v="1720"/>
    <n v="473"/>
    <n v="420"/>
    <n v="674"/>
    <n v="597"/>
    <n v="170"/>
    <n v="146"/>
    <n v="0.24010152284263958"/>
    <n v="0.2441860465116279"/>
    <n v="-4.0845236689883158E-3"/>
    <n v="0.25222551928783382"/>
    <n v="0.24455611390284757"/>
    <n v="7.6694053849862553E-3"/>
    <n v="0.14534883720930236"/>
    <n v="0.12619047619047619"/>
    <n v="0.12897822445561147"/>
    <n v="0.16438356164383561"/>
  </r>
  <r>
    <s v="Cemindia Projects Limited"/>
    <n v="509496"/>
    <x v="4"/>
    <s v="Civil Construction"/>
    <n v="554.25"/>
    <n v="9516.1687722000006"/>
    <n v="2.361244777564415E-4"/>
    <n v="7087"/>
    <n v="6714"/>
    <n v="356"/>
    <n v="259"/>
    <n v="2315"/>
    <n v="2270"/>
    <n v="111"/>
    <n v="87"/>
    <n v="5.0232820657541977E-2"/>
    <n v="3.8576109621686026E-2"/>
    <n v="1.165671103585595E-2"/>
    <n v="4.7948164146868248E-2"/>
    <n v="3.8325991189427311E-2"/>
    <n v="9.6221729574409373E-3"/>
    <n v="5.555555555555558E-2"/>
    <n v="0.37451737451737444"/>
    <n v="1.982378854625555E-2"/>
    <n v="0.27586206896551735"/>
  </r>
  <r>
    <s v="Metropolis Healthcare Limited"/>
    <n v="542650"/>
    <x v="7"/>
    <s v="Healthcare Service Provider"/>
    <n v="428.3"/>
    <n v="8879.8451378999998"/>
    <n v="2.203353939949066E-4"/>
    <n v="1221"/>
    <n v="985"/>
    <n v="140"/>
    <n v="116"/>
    <n v="405"/>
    <n v="322"/>
    <n v="42"/>
    <n v="31"/>
    <n v="0.11466011466011466"/>
    <n v="0.11776649746192894"/>
    <n v="-3.1063828018142725E-3"/>
    <n v="0.1037037037037037"/>
    <n v="9.627329192546584E-2"/>
    <n v="7.4304117782378609E-3"/>
    <n v="0.23959390862944163"/>
    <n v="0.2068965517241379"/>
    <n v="0.2577639751552796"/>
    <n v="0.35483870967741926"/>
  </r>
  <r>
    <s v="Nazara Technologies Limited"/>
    <n v="543280"/>
    <x v="6"/>
    <s v="Digital Entertainment"/>
    <n v="232.15"/>
    <n v="8591.9316331000009"/>
    <n v="2.1319140279557757E-4"/>
    <n v="1431"/>
    <n v="1103"/>
    <n v="26"/>
    <n v="53"/>
    <n v="405"/>
    <n v="534"/>
    <n v="8"/>
    <n v="13"/>
    <n v="1.8169112508735149E-2"/>
    <n v="4.805077062556664E-2"/>
    <n v="-2.9881658116831491E-2"/>
    <n v="1.9753086419753086E-2"/>
    <n v="2.4344569288389514E-2"/>
    <n v="-4.5914828686364276E-3"/>
    <n v="0.29737080689029916"/>
    <n v="-0.50943396226415094"/>
    <n v="-0.2415730337078652"/>
    <n v="-0.38461538461538458"/>
  </r>
  <r>
    <s v="Honasa Consumer Limited"/>
    <n v="544014"/>
    <x v="5"/>
    <s v="Personal Care"/>
    <n v="307.25"/>
    <n v="9965.8411725000005"/>
    <n v="2.4728218872437926E-4"/>
    <n v="1734"/>
    <n v="1533"/>
    <n v="130"/>
    <n v="47"/>
    <n v="601"/>
    <n v="517"/>
    <n v="50"/>
    <n v="26"/>
    <n v="7.4971164936562862E-2"/>
    <n v="3.0658838878016959E-2"/>
    <n v="4.4312326058545903E-2"/>
    <n v="8.3194675540765387E-2"/>
    <n v="5.0290135396518373E-2"/>
    <n v="3.2904540144247013E-2"/>
    <n v="0.13111545988258322"/>
    <n v="1.7659574468085109"/>
    <n v="0.16247582205029021"/>
    <n v="0.92307692307692313"/>
  </r>
  <r>
    <s v="Prudent Corporate Advisory Ser"/>
    <n v="543527"/>
    <x v="2"/>
    <s v="Financial Products Distributor"/>
    <n v="2247.0500000000002"/>
    <n v="9303.6665248000008"/>
    <n v="2.3085166435952284E-4"/>
    <n v="935"/>
    <n v="746"/>
    <n v="155"/>
    <n v="120"/>
    <n v="339"/>
    <n v="260"/>
    <n v="55"/>
    <n v="40"/>
    <n v="0.16577540106951871"/>
    <n v="0.16085790884718498"/>
    <n v="4.9174922223337303E-3"/>
    <n v="0.16224188790560473"/>
    <n v="0.15384615384615385"/>
    <n v="8.3957340594508767E-3"/>
    <n v="0.25335120643431641"/>
    <n v="0.29166666666666674"/>
    <n v="0.30384615384615388"/>
    <n v="0.375"/>
  </r>
  <r>
    <s v="RELIANCE POWER LTD."/>
    <n v="532939"/>
    <x v="9"/>
    <s v="Power Generation"/>
    <n v="23.36"/>
    <n v="9661.1589724000005"/>
    <n v="2.397221162726941E-4"/>
    <n v="5732"/>
    <n v="5604"/>
    <n v="157"/>
    <n v="2822"/>
    <n v="1872"/>
    <n v="1852"/>
    <n v="25"/>
    <n v="41"/>
    <n v="2.7390090718771808E-2"/>
    <n v="0.50356887937187722"/>
    <n v="-0.47617878865310542"/>
    <n v="1.3354700854700854E-2"/>
    <n v="2.2138228941684664E-2"/>
    <n v="-8.7835280869838096E-3"/>
    <n v="2.28408279800143E-2"/>
    <n v="-0.94436569808646353"/>
    <n v="1.0799136069114423E-2"/>
    <n v="-0.3902439024390244"/>
  </r>
  <r>
    <s v="RailTel Corporation of India L"/>
    <n v="543265"/>
    <x v="1"/>
    <s v="Other Telecom Services"/>
    <n v="264.35000000000002"/>
    <n v="8491.7090079999998"/>
    <n v="2.1070458109478439E-4"/>
    <n v="2647"/>
    <n v="2222"/>
    <n v="204"/>
    <n v="186"/>
    <n v="913"/>
    <n v="767"/>
    <n v="62"/>
    <n v="65"/>
    <n v="7.7068379297317718E-2"/>
    <n v="8.3708370837083712E-2"/>
    <n v="-6.6399915397659937E-3"/>
    <n v="6.7907995618838993E-2"/>
    <n v="8.4745762711864403E-2"/>
    <n v="-1.683776709302541E-2"/>
    <n v="0.19126912691269138"/>
    <n v="9.6774193548387011E-2"/>
    <n v="0.19035202086049541"/>
    <n v="-4.6153846153846101E-2"/>
  </r>
  <r>
    <s v="INTELLECT DESIGN ARENA LIMITED"/>
    <n v="538835"/>
    <x v="3"/>
    <s v="Computers - Software &amp; Consulting"/>
    <n v="652.79999999999995"/>
    <n v="9106.9469200000003"/>
    <n v="2.2597046531190287E-4"/>
    <n v="2191"/>
    <n v="1774"/>
    <n v="223"/>
    <n v="198"/>
    <n v="731"/>
    <n v="609"/>
    <n v="27"/>
    <n v="70"/>
    <n v="0.10178000912825194"/>
    <n v="0.11161217587373168"/>
    <n v="-9.8321667454797368E-3"/>
    <n v="3.6935704514363885E-2"/>
    <n v="0.11494252873563218"/>
    <n v="-7.8006824221268298E-2"/>
    <n v="0.23506200676437428"/>
    <n v="0.1262626262626263"/>
    <n v="0.20032840722495893"/>
    <n v="-0.61428571428571432"/>
  </r>
  <r>
    <s v="HFCL LIMITED"/>
    <n v="500183"/>
    <x v="1"/>
    <s v="Telecom - Infrastructure"/>
    <n v="72.819999999999993"/>
    <n v="10501.408565899999"/>
    <n v="2.6057121018849917E-4"/>
    <n v="3125"/>
    <n v="3264"/>
    <n v="145"/>
    <n v="257"/>
    <n v="1211"/>
    <n v="1012"/>
    <n v="102"/>
    <n v="73"/>
    <n v="4.6399999999999997E-2"/>
    <n v="7.8737745098039214E-2"/>
    <n v="-3.2337745098039217E-2"/>
    <n v="8.4227910817506191E-2"/>
    <n v="7.2134387351778656E-2"/>
    <n v="1.2093523465727535E-2"/>
    <n v="-4.2585784313725505E-2"/>
    <n v="-0.43579766536964981"/>
    <n v="0.19664031620553368"/>
    <n v="0.39726027397260277"/>
  </r>
  <r>
    <s v="GARWARE HI-TECH FILMS LIMITED"/>
    <n v="500655"/>
    <x v="4"/>
    <s v="Plastic Products - Industrial"/>
    <n v="3697.5"/>
    <n v="8590.8732875999995"/>
    <n v="2.131651420929297E-4"/>
    <n v="1523"/>
    <n v="1561"/>
    <n v="230"/>
    <n v="253"/>
    <n v="459"/>
    <n v="466"/>
    <n v="56"/>
    <n v="61"/>
    <n v="0.15101772816808931"/>
    <n v="0.16207559256886611"/>
    <n v="-1.1057864400776801E-2"/>
    <n v="0.12200435729847495"/>
    <n v="0.13090128755364808"/>
    <n v="-8.89693025517313E-3"/>
    <n v="-2.434336963484951E-2"/>
    <n v="-9.0909090909090939E-2"/>
    <n v="-1.5021459227467782E-2"/>
    <n v="-8.1967213114754078E-2"/>
  </r>
  <r>
    <s v="NCC LIMITED"/>
    <n v="500294"/>
    <x v="4"/>
    <s v="Civil Construction"/>
    <n v="140.85"/>
    <n v="8850.7521871000008"/>
    <n v="2.1961351127314235E-4"/>
    <n v="14590"/>
    <n v="16068"/>
    <n v="507"/>
    <n v="603"/>
    <n v="4868"/>
    <n v="5344"/>
    <n v="135"/>
    <n v="206"/>
    <n v="3.474982864976011E-2"/>
    <n v="3.7528005974607918E-2"/>
    <n v="-2.7781773248478081E-3"/>
    <n v="2.7732128184059162E-2"/>
    <n v="3.8547904191616765E-2"/>
    <n v="-1.0815776007557603E-2"/>
    <n v="-9.1984067712223005E-2"/>
    <n v="-0.15920398009950254"/>
    <n v="-8.90718562874252E-2"/>
    <n v="-0.34466019417475724"/>
  </r>
  <r>
    <s v="SEQUENT SCIENTIFIC LTD."/>
    <n v="512529"/>
    <x v="7"/>
    <s v="Pharmaceuticals"/>
    <n v="195.55"/>
    <n v="8369.4660000000003"/>
    <n v="2.0767136813751742E-4"/>
    <n v="2500"/>
    <n v="2234"/>
    <n v="158"/>
    <n v="47"/>
    <n v="858"/>
    <n v="774"/>
    <n v="48"/>
    <n v="41"/>
    <n v="6.3200000000000006E-2"/>
    <n v="2.1038495971351837E-2"/>
    <n v="4.216150402864817E-2"/>
    <n v="5.5944055944055944E-2"/>
    <n v="5.2971576227390182E-2"/>
    <n v="2.9724797166657616E-3"/>
    <n v="0.11906893464637425"/>
    <n v="2.3617021276595747"/>
    <n v="0.10852713178294571"/>
    <n v="0.1707317073170731"/>
  </r>
  <r>
    <s v="BALRAMPUR CHINI MILLS LTD."/>
    <n v="500038"/>
    <x v="5"/>
    <s v="Sugar"/>
    <n v="485"/>
    <n v="9793.5848944999998"/>
    <n v="2.4300799764426296E-4"/>
    <n v="4667"/>
    <n v="3911"/>
    <n v="218"/>
    <n v="207"/>
    <n v="1454"/>
    <n v="1192"/>
    <n v="113"/>
    <n v="70"/>
    <n v="4.6710949217913009E-2"/>
    <n v="5.2927639989772436E-2"/>
    <n v="-6.2166907718594275E-3"/>
    <n v="7.7716643741403024E-2"/>
    <n v="5.8724832214765099E-2"/>
    <n v="1.8991811526637925E-2"/>
    <n v="0.19330094604960357"/>
    <n v="5.3140096618357502E-2"/>
    <n v="0.21979865771812079"/>
    <n v="0.61428571428571432"/>
  </r>
  <r>
    <s v="ASTRA MICROWAVE PRODUCTS LTD."/>
    <n v="532493"/>
    <x v="4"/>
    <s v="Aerospace &amp; Defense"/>
    <n v="947.05"/>
    <n v="8977.9989681999996"/>
    <n v="2.2277088273771751E-4"/>
    <n v="674"/>
    <n v="643"/>
    <n v="86"/>
    <n v="80"/>
    <n v="260"/>
    <n v="258"/>
    <n v="46"/>
    <n v="47"/>
    <n v="0.12759643916913946"/>
    <n v="0.12441679626749612"/>
    <n v="3.1796429016433397E-3"/>
    <n v="0.17692307692307693"/>
    <n v="0.18217054263565891"/>
    <n v="-5.2474657125819724E-3"/>
    <n v="4.8211508553654747E-2"/>
    <n v="7.4999999999999956E-2"/>
    <n v="7.7519379844961378E-3"/>
    <n v="-2.1276595744680882E-2"/>
  </r>
  <r>
    <s v="Cello World Limited"/>
    <n v="544012"/>
    <x v="6"/>
    <s v="Houseware"/>
    <n v="402.4"/>
    <n v="8875.9257933000008"/>
    <n v="2.2023814338712776E-4"/>
    <n v="1670"/>
    <n v="1547"/>
    <n v="241"/>
    <n v="268"/>
    <n v="553"/>
    <n v="556"/>
    <n v="69"/>
    <n v="92"/>
    <n v="0.14431137724550899"/>
    <n v="0.17323852617970265"/>
    <n v="-2.8927148934193653E-2"/>
    <n v="0.12477396021699819"/>
    <n v="0.16546762589928057"/>
    <n v="-4.0693665682282387E-2"/>
    <n v="7.9508726567550037E-2"/>
    <n v="-0.10074626865671643"/>
    <n v="-5.3956834532373765E-3"/>
    <n v="-0.25"/>
  </r>
  <r>
    <s v="Vedant Fashions Limited"/>
    <n v="543463"/>
    <x v="6"/>
    <s v="Speciality Retail"/>
    <n v="378.25"/>
    <n v="9183.1686109999991"/>
    <n v="2.278617523846653E-4"/>
    <n v="1036"/>
    <n v="1019"/>
    <n v="261"/>
    <n v="287"/>
    <n v="491"/>
    <n v="511"/>
    <n v="134"/>
    <n v="157"/>
    <n v="0.25193050193050193"/>
    <n v="0.28164867517173697"/>
    <n v="-2.9718173241235046E-2"/>
    <n v="0.27291242362525459"/>
    <n v="0.30724070450097846"/>
    <n v="-3.4328280875723871E-2"/>
    <n v="1.6683022571148287E-2"/>
    <n v="-9.0592334494773552E-2"/>
    <n v="-3.9138943248532287E-2"/>
    <n v="-0.14649681528662417"/>
  </r>
  <r>
    <s v="ELECON ENGINEERING CO.LTD."/>
    <n v="505700"/>
    <x v="4"/>
    <s v="Heavy Electrical Equipment"/>
    <n v="394.6"/>
    <n v="8837.9901984000007"/>
    <n v="2.1929684833986985E-4"/>
    <n v="1684"/>
    <n v="1470"/>
    <n v="335"/>
    <n v="268"/>
    <n v="570"/>
    <n v="544"/>
    <n v="71"/>
    <n v="107"/>
    <n v="0.19893111638954869"/>
    <n v="0.18231292517006803"/>
    <n v="1.661819121948066E-2"/>
    <n v="0.12456140350877193"/>
    <n v="0.19669117647058823"/>
    <n v="-7.2129772961816302E-2"/>
    <n v="0.1455782312925169"/>
    <n v="0.25"/>
    <n v="4.7794117647058876E-2"/>
    <n v="-0.33644859813084116"/>
  </r>
  <r>
    <s v="JYOTHY LABS LIMITED"/>
    <n v="532926"/>
    <x v="5"/>
    <s v="Household Products"/>
    <n v="207.1"/>
    <n v="7596.1991693999998"/>
    <n v="1.8848431598316682E-4"/>
    <n v="2226"/>
    <n v="2177"/>
    <n v="265"/>
    <n v="294"/>
    <n v="739"/>
    <n v="703"/>
    <n v="81"/>
    <n v="87"/>
    <n v="0.11904761904761904"/>
    <n v="0.13504823151125403"/>
    <n v="-1.6000612463634989E-2"/>
    <n v="0.10960757780784844"/>
    <n v="0.12375533428165007"/>
    <n v="-1.4147756473801634E-2"/>
    <n v="2.2508038585209E-2"/>
    <n v="-9.8639455782312924E-2"/>
    <n v="5.1209103840682779E-2"/>
    <n v="-6.8965517241379337E-2"/>
  </r>
  <r>
    <s v="TITAGARH RAIL SYSTEMS LIMITED"/>
    <n v="532966"/>
    <x v="4"/>
    <s v="Railway Wagons"/>
    <n v="640.45000000000005"/>
    <n v="8620.2394112999991"/>
    <n v="2.1389380304760405E-4"/>
    <n v="2310"/>
    <n v="2862"/>
    <n v="116"/>
    <n v="210"/>
    <n v="832"/>
    <n v="902"/>
    <n v="48"/>
    <n v="63"/>
    <n v="5.0216450216450215E-2"/>
    <n v="7.337526205450734E-2"/>
    <n v="-2.3158811838057125E-2"/>
    <n v="5.7692307692307696E-2"/>
    <n v="6.9844789356984474E-2"/>
    <n v="-1.2152481664676779E-2"/>
    <n v="-0.19287211740041932"/>
    <n v="-0.44761904761904758"/>
    <n v="-7.7605321507760561E-2"/>
    <n v="-0.23809523809523814"/>
  </r>
  <r>
    <s v="SHAILY ENGINEERING PLASTICS LT"/>
    <n v="501423"/>
    <x v="4"/>
    <s v="Plastic Products - Industrial"/>
    <n v="2083.4499999999998"/>
    <n v="9551.1304428000003"/>
    <n v="2.369919808881676E-4"/>
    <n v="753"/>
    <n v="568"/>
    <n v="126"/>
    <n v="64"/>
    <n v="250"/>
    <n v="197"/>
    <n v="37"/>
    <n v="25"/>
    <n v="0.16733067729083664"/>
    <n v="0.11267605633802817"/>
    <n v="5.4654620952808472E-2"/>
    <n v="0.14799999999999999"/>
    <n v="0.12690355329949238"/>
    <n v="2.1096446700507615E-2"/>
    <n v="0.32570422535211274"/>
    <n v="0.96875"/>
    <n v="0.26903553299492389"/>
    <n v="0.48"/>
  </r>
  <r>
    <s v="ARVIND LTD."/>
    <n v="500101"/>
    <x v="6"/>
    <s v="Garments &amp; Apparels"/>
    <n v="373.65"/>
    <n v="9782.1171919000008"/>
    <n v="2.427234498023414E-4"/>
    <n v="6750"/>
    <n v="6108"/>
    <n v="262"/>
    <n v="213"/>
    <n v="2373"/>
    <n v="2089"/>
    <n v="101"/>
    <n v="106"/>
    <n v="3.8814814814814816E-2"/>
    <n v="3.4872298624754418E-2"/>
    <n v="3.9425161900603981E-3"/>
    <n v="4.2562157606405394E-2"/>
    <n v="5.0741981809478219E-2"/>
    <n v="-8.1798242030728247E-3"/>
    <n v="0.10510805500982312"/>
    <n v="0.2300469483568075"/>
    <n v="0.13595021541407371"/>
    <n v="-4.7169811320754707E-2"/>
  </r>
  <r>
    <s v="RHI MAGNESITA INDIA LIMITED"/>
    <n v="534076"/>
    <x v="4"/>
    <s v="Electrodes &amp; Refractories"/>
    <n v="368"/>
    <n v="7516.652"/>
    <n v="1.8651051389104232E-4"/>
    <n v="3087"/>
    <n v="2756"/>
    <n v="135"/>
    <n v="166"/>
    <n v="1092"/>
    <n v="1010"/>
    <n v="61"/>
    <n v="47"/>
    <n v="4.3731778425655975E-2"/>
    <n v="6.0232220609579099E-2"/>
    <n v="-1.6500442183923124E-2"/>
    <n v="5.5860805860805864E-2"/>
    <n v="4.6534653465346534E-2"/>
    <n v="9.3261523954593292E-3"/>
    <n v="0.12010159651669094"/>
    <n v="-0.18674698795180722"/>
    <n v="8.118811881188126E-2"/>
    <n v="0.2978723404255319"/>
  </r>
  <r>
    <s v="VOLTAMP TRANSFORMERS LTD."/>
    <n v="532757"/>
    <x v="4"/>
    <s v="Heavy Electrical Equipment"/>
    <n v="9056"/>
    <n v="9163.0755840000002"/>
    <n v="2.2736318456598802E-4"/>
    <n v="1536"/>
    <n v="1309"/>
    <n v="257"/>
    <n v="228"/>
    <n v="630"/>
    <n v="483"/>
    <n v="99"/>
    <n v="73"/>
    <n v="0.16731770833333334"/>
    <n v="0.17417876241405653"/>
    <n v="-6.8610540807231835E-3"/>
    <n v="0.15714285714285714"/>
    <n v="0.15113871635610765"/>
    <n v="6.00414078674949E-3"/>
    <n v="0.17341482047364409"/>
    <n v="0.12719298245614041"/>
    <n v="0.30434782608695654"/>
    <n v="0.35616438356164393"/>
  </r>
  <r>
    <s v="Jubilant Ingrevia Limited"/>
    <n v="543271"/>
    <x v="8"/>
    <s v="Specialty Chemicals"/>
    <n v="593.65"/>
    <n v="9380.3115276999997"/>
    <n v="2.3275345506076315E-4"/>
    <n v="3209"/>
    <n v="3126"/>
    <n v="191"/>
    <n v="177"/>
    <n v="1039"/>
    <n v="1046"/>
    <n v="46"/>
    <n v="69"/>
    <n v="5.9520099719538797E-2"/>
    <n v="5.6621880998080618E-2"/>
    <n v="2.8982187214581789E-3"/>
    <n v="4.4273339749759381E-2"/>
    <n v="6.5965583173996173E-2"/>
    <n v="-2.1692243424236791E-2"/>
    <n v="2.655150351887392E-2"/>
    <n v="7.909604519774005E-2"/>
    <n v="-6.6921606118547361E-3"/>
    <n v="-0.33333333333333337"/>
  </r>
  <r>
    <s v="Lemon Tree Hotels Limited"/>
    <n v="541233"/>
    <x v="6"/>
    <s v="Hotels &amp; Resorts"/>
    <n v="109.9"/>
    <n v="8696.8623356999997"/>
    <n v="2.1579504591552964E-4"/>
    <n v="1028"/>
    <n v="907"/>
    <n v="171"/>
    <n v="135"/>
    <n v="406"/>
    <n v="355"/>
    <n v="81"/>
    <n v="79"/>
    <n v="0.16634241245136186"/>
    <n v="0.14884233737596472"/>
    <n v="1.7500075075397137E-2"/>
    <n v="0.19950738916256158"/>
    <n v="0.22253521126760564"/>
    <n v="-2.302782210504406E-2"/>
    <n v="0.13340683572216094"/>
    <n v="0.26666666666666661"/>
    <n v="0.14366197183098595"/>
    <n v="2.5316455696202445E-2"/>
  </r>
  <r>
    <s v="G R Infraprojects Limited"/>
    <n v="543317"/>
    <x v="4"/>
    <s v="Civil Construction"/>
    <n v="835.2"/>
    <n v="8082.6556349000002"/>
    <n v="2.0055474911829469E-4"/>
    <n v="5898"/>
    <n v="5119"/>
    <n v="692"/>
    <n v="612"/>
    <n v="2308"/>
    <n v="1694"/>
    <n v="258"/>
    <n v="262"/>
    <n v="0.11732790776534419"/>
    <n v="0.1195546005079117"/>
    <n v="-2.2266927425675098E-3"/>
    <n v="0.11178509532062392"/>
    <n v="0.15466351829988192"/>
    <n v="-4.2878422979258007E-2"/>
    <n v="0.15217815979683524"/>
    <n v="0.13071895424836599"/>
    <n v="0.36245572609208976"/>
    <n v="-1.5267175572519109E-2"/>
  </r>
  <r>
    <s v="Eureka Forbes Limited"/>
    <n v="543482"/>
    <x v="6"/>
    <s v="Household Appliances"/>
    <n v="456.6"/>
    <n v="8833.8678928000008"/>
    <n v="2.1919456166544725E-4"/>
    <n v="2025"/>
    <n v="1824"/>
    <n v="111"/>
    <n v="114"/>
    <n v="645"/>
    <n v="597"/>
    <n v="9"/>
    <n v="35"/>
    <n v="5.4814814814814816E-2"/>
    <n v="6.25E-2"/>
    <n v="-7.6851851851851838E-3"/>
    <n v="1.3953488372093023E-2"/>
    <n v="5.8626465661641543E-2"/>
    <n v="-4.467297728954852E-2"/>
    <n v="0.11019736842105265"/>
    <n v="-2.6315789473684181E-2"/>
    <n v="8.040201005025116E-2"/>
    <n v="-0.74285714285714288"/>
  </r>
  <r>
    <s v="SANOFI INDIA LTD"/>
    <n v="500674"/>
    <x v="7"/>
    <s v="Pharmaceuticals"/>
    <n v="3340.4"/>
    <n v="7680.4812388"/>
    <n v="1.9057560504052835E-4"/>
    <m/>
    <m/>
    <m/>
    <m/>
    <m/>
    <m/>
    <m/>
    <m/>
    <e v="#DIV/0!"/>
    <e v="#DIV/0!"/>
    <e v="#DIV/0!"/>
    <e v="#DIV/0!"/>
    <e v="#DIV/0!"/>
    <e v="#DIV/0!"/>
    <e v="#DIV/0!"/>
    <e v="#DIV/0!"/>
    <e v="#DIV/0!"/>
    <e v="#DIV/0!"/>
  </r>
  <r>
    <s v="MMTC LTD."/>
    <n v="513377"/>
    <x v="10"/>
    <s v="Trading &amp; Distributors"/>
    <n v="56.42"/>
    <n v="8461.7866952999993"/>
    <n v="2.0996211943519373E-4"/>
    <n v="3"/>
    <n v="2"/>
    <n v="261"/>
    <n v="84"/>
    <n v="0.34"/>
    <n v="0.25"/>
    <n v="46"/>
    <n v="4"/>
    <n v="87"/>
    <n v="42"/>
    <n v="45"/>
    <n v="135.29411764705881"/>
    <n v="16"/>
    <n v="119.29411764705881"/>
    <n v="0.5"/>
    <n v="2.1071428571428572"/>
    <n v="0.3600000000000001"/>
    <n v="10.5"/>
  </r>
  <r>
    <s v="BLACK BOX LIMITED"/>
    <n v="500463"/>
    <x v="3"/>
    <s v="IT Enabled Services"/>
    <n v="475.95"/>
    <n v="8437.2344403000006"/>
    <n v="2.0935290489430055E-4"/>
    <n v="4631"/>
    <n v="4422"/>
    <n v="153"/>
    <n v="144"/>
    <n v="1659"/>
    <n v="1502"/>
    <n v="50"/>
    <n v="56"/>
    <n v="3.3038220686676743E-2"/>
    <n v="3.2564450474898234E-2"/>
    <n v="4.7377021177850975E-4"/>
    <n v="3.0138637733574444E-2"/>
    <n v="3.7283621837549935E-2"/>
    <n v="-7.1449841039754915E-3"/>
    <n v="4.7263681592039752E-2"/>
    <n v="6.25E-2"/>
    <n v="0.10452729693741669"/>
    <n v="-0.1071428571428571"/>
  </r>
  <r>
    <s v="GMR Power and Urban Infra Limi"/>
    <n v="543490"/>
    <x v="9"/>
    <s v="Power Generation"/>
    <n v="98.78"/>
    <n v="7719.5766838999998"/>
    <n v="1.9154567942423001E-4"/>
    <n v="5328"/>
    <n v="4607"/>
    <n v="700"/>
    <n v="1560"/>
    <n v="1869"/>
    <n v="1611"/>
    <n v="-160"/>
    <n v="-90"/>
    <n v="0.13138138138138139"/>
    <n v="0.33861515085739091"/>
    <n v="-0.20723376947600952"/>
    <n v="-8.5607276618512571E-2"/>
    <n v="-5.5865921787709494E-2"/>
    <n v="-2.9741354830803077E-2"/>
    <n v="0.15650097677447361"/>
    <n v="-0.55128205128205132"/>
    <n v="0.16014897579143383"/>
    <n v="0.77777777777777768"/>
  </r>
  <r>
    <s v="TRIVENI ENGINEERING &amp; INDUSTRI"/>
    <n v="532356"/>
    <x v="5"/>
    <s v="Sugar"/>
    <n v="389.85"/>
    <n v="8537.0180999999993"/>
    <n v="2.1182883455667892E-4"/>
    <n v="5787"/>
    <n v="4883"/>
    <n v="101"/>
    <n v="51"/>
    <n v="1818"/>
    <n v="1600"/>
    <n v="78"/>
    <n v="43"/>
    <n v="1.745291169863487E-2"/>
    <n v="1.0444398935080893E-2"/>
    <n v="7.0085127635539767E-3"/>
    <n v="4.2904290429042903E-2"/>
    <n v="2.6875E-2"/>
    <n v="1.6029290429042903E-2"/>
    <n v="0.18513209092770833"/>
    <n v="0.98039215686274517"/>
    <n v="0.13624999999999998"/>
    <n v="0.81395348837209291"/>
  </r>
  <r>
    <s v="WAAREE RENEWABLE TECHNOLOGIES"/>
    <n v="534618"/>
    <x v="4"/>
    <s v="Other Electrical Equipment"/>
    <n v="863.25"/>
    <n v="9003.4684696999993"/>
    <n v="2.234028568950037E-4"/>
    <n v="2229"/>
    <n v="1121"/>
    <n v="322"/>
    <n v="135"/>
    <n v="851"/>
    <n v="360"/>
    <n v="120"/>
    <n v="53"/>
    <n v="0.14445939883355766"/>
    <n v="0.12042818911685994"/>
    <n v="2.4031209716697713E-2"/>
    <n v="0.14101057579318449"/>
    <n v="0.14722222222222223"/>
    <n v="-6.2116464290377371E-3"/>
    <n v="0.9884032114183765"/>
    <n v="1.3851851851851853"/>
    <n v="1.3638888888888889"/>
    <n v="1.2641509433962264"/>
  </r>
  <r>
    <s v="CarTrade Tech Limited"/>
    <n v="543333"/>
    <x v="6"/>
    <s v="E-Retail/ E-Commerce"/>
    <n v="1741.4"/>
    <n v="8333.1711214999996"/>
    <n v="2.0677078414870856E-4"/>
    <n v="576"/>
    <n v="471"/>
    <n v="172"/>
    <n v="99"/>
    <n v="209"/>
    <n v="176"/>
    <n v="61"/>
    <n v="45"/>
    <n v="0.2986111111111111"/>
    <n v="0.21019108280254778"/>
    <n v="8.8420028308563325E-2"/>
    <n v="0.291866028708134"/>
    <n v="0.25568181818181818"/>
    <n v="3.6184210526315819E-2"/>
    <n v="0.22292993630573243"/>
    <n v="0.73737373737373746"/>
    <n v="0.1875"/>
    <n v="0.35555555555555562"/>
  </r>
  <r>
    <s v="JK LAKSHMI CEMENT LTD."/>
    <n v="500380"/>
    <x v="8"/>
    <s v="Cement &amp; Cement Products"/>
    <n v="590.15"/>
    <n v="7333.83043"/>
    <n v="1.8197416646255062E-4"/>
    <n v="4861"/>
    <n v="4295"/>
    <n v="288"/>
    <n v="101"/>
    <n v="1588"/>
    <n v="1497"/>
    <n v="57"/>
    <n v="75"/>
    <n v="5.9247068504422962E-2"/>
    <n v="2.351571594877765E-2"/>
    <n v="3.5731352555645315E-2"/>
    <n v="3.5894206549118388E-2"/>
    <n v="5.0100200400801605E-2"/>
    <n v="-1.4205993851683217E-2"/>
    <n v="0.13178114086146686"/>
    <n v="1.8514851485148514"/>
    <n v="6.078824315297271E-2"/>
    <n v="-0.24"/>
  </r>
  <r>
    <s v="BANCO PRODUCTS (INDIA) LTD."/>
    <n v="500039"/>
    <x v="6"/>
    <s v="Auto Components &amp; Equipments"/>
    <n v="531.65"/>
    <n v="7615.3062012"/>
    <n v="1.8895841832553288E-4"/>
    <n v="2776"/>
    <n v="2318"/>
    <n v="334"/>
    <n v="238"/>
    <n v="781"/>
    <n v="632"/>
    <n v="85"/>
    <n v="30"/>
    <n v="0.12031700288184438"/>
    <n v="0.10267471958584987"/>
    <n v="1.7642283295994515E-2"/>
    <n v="0.1088348271446863"/>
    <n v="4.746835443037975E-2"/>
    <n v="6.136647271430655E-2"/>
    <n v="0.19758412424503891"/>
    <n v="0.40336134453781503"/>
    <n v="0.235759493670886"/>
    <n v="1.8333333333333335"/>
  </r>
  <r>
    <s v="SKF INDIA LTD."/>
    <n v="500472"/>
    <x v="6"/>
    <s v="Auto Components &amp; Equipments"/>
    <n v="1517.95"/>
    <n v="7495.2889949"/>
    <n v="1.8598043413486126E-4"/>
    <n v="3168"/>
    <n v="3706"/>
    <n v="285"/>
    <n v="362"/>
    <n v="576"/>
    <n v="1256"/>
    <n v="62"/>
    <n v="109"/>
    <n v="8.9962121212121215E-2"/>
    <n v="9.7679438747976258E-2"/>
    <n v="-7.7173175358550422E-3"/>
    <n v="0.1076388888888889"/>
    <n v="8.6783439490445854E-2"/>
    <n v="2.0855449398443041E-2"/>
    <n v="-0.1451699946033459"/>
    <n v="-0.21270718232044195"/>
    <n v="-0.54140127388535031"/>
    <n v="-0.43119266055045868"/>
  </r>
  <r>
    <s v="Star Cement Limited"/>
    <n v="540575"/>
    <x v="8"/>
    <s v="Cement &amp; Cement Products"/>
    <n v="209.6"/>
    <n v="8452.4178780999991"/>
    <n v="2.0972965118862288E-4"/>
    <n v="2602"/>
    <n v="2111"/>
    <n v="243"/>
    <n v="45"/>
    <n v="880"/>
    <n v="718"/>
    <n v="74"/>
    <n v="9"/>
    <n v="9.3389700230591857E-2"/>
    <n v="2.1316911416390336E-2"/>
    <n v="7.2072788814201524E-2"/>
    <n v="8.4090909090909091E-2"/>
    <n v="1.2534818941504178E-2"/>
    <n v="7.1556090149404908E-2"/>
    <n v="0.23259118900994791"/>
    <n v="4.4000000000000004"/>
    <n v="0.22562674094707513"/>
    <n v="7.2222222222222214"/>
  </r>
  <r>
    <s v="Tejas Networks Limited"/>
    <n v="540595"/>
    <x v="1"/>
    <s v="Telecom - Equipment &amp; Accessories"/>
    <n v="425"/>
    <n v="7540.5769442000001"/>
    <n v="1.8710416298342502E-4"/>
    <n v="770"/>
    <n v="7016"/>
    <n v="-697"/>
    <n v="518"/>
    <n v="306"/>
    <n v="2642"/>
    <n v="-196"/>
    <n v="165"/>
    <n v="-0.90519480519480522"/>
    <n v="7.3831242873432151E-2"/>
    <n v="-0.97902604806823734"/>
    <n v="-0.64052287581699341"/>
    <n v="6.2452687358062073E-2"/>
    <n v="-0.7029755631750555"/>
    <n v="-0.8902508551881414"/>
    <n v="-2.3455598455598459"/>
    <n v="-0.88417865253595762"/>
    <n v="-2.187878787878788"/>
  </r>
  <r>
    <s v="SAFARI INDUSTRIES (INDIA) LTD."/>
    <n v="523025"/>
    <x v="6"/>
    <s v="Plastic Products - Consumer"/>
    <n v="1511.4"/>
    <n v="7386.8130791000003"/>
    <n v="1.8328882372098827E-4"/>
    <n v="1574"/>
    <n v="1350"/>
    <n v="130"/>
    <n v="105"/>
    <n v="512"/>
    <n v="443"/>
    <n v="33"/>
    <n v="31"/>
    <n v="8.2592121982210928E-2"/>
    <n v="7.7777777777777779E-2"/>
    <n v="4.8143442044331491E-3"/>
    <n v="6.4453125E-2"/>
    <n v="6.9977426636568849E-2"/>
    <n v="-5.5243016365688485E-3"/>
    <n v="0.16592592592592603"/>
    <n v="0.23809523809523814"/>
    <n v="0.15575620767494347"/>
    <n v="6.4516129032258007E-2"/>
  </r>
  <r>
    <s v="STERLITE TECHNOLOGIES LTD."/>
    <n v="532374"/>
    <x v="1"/>
    <s v="Telecom - Equipment &amp; Accessories"/>
    <n v="188.65"/>
    <n v="9206.1792478999996"/>
    <n v="2.2843271479095728E-4"/>
    <n v="3340"/>
    <n v="2959"/>
    <n v="-3"/>
    <n v="-84"/>
    <n v="1266"/>
    <n v="1003"/>
    <n v="-17"/>
    <n v="-24"/>
    <n v="-8.9820359281437125E-4"/>
    <n v="-2.8387968908415006E-2"/>
    <n v="2.7489765315600635E-2"/>
    <n v="-1.3428120063191154E-2"/>
    <n v="-2.3928215353938187E-2"/>
    <n v="1.0500095290747033E-2"/>
    <n v="0.1287597161203109"/>
    <n v="-0.9642857142857143"/>
    <n v="0.2622133599202392"/>
    <n v="-0.29166666666666663"/>
  </r>
  <r>
    <s v="ESAB INDIA LTD."/>
    <n v="500133"/>
    <x v="4"/>
    <s v="Other Industrial Products"/>
    <n v="5159"/>
    <n v="7986.8173188999999"/>
    <n v="1.9817671517876787E-4"/>
    <n v="1112"/>
    <n v="1005"/>
    <n v="163"/>
    <n v="127"/>
    <n v="378"/>
    <n v="337"/>
    <n v="43"/>
    <n v="40"/>
    <n v="0.14658273381294964"/>
    <n v="0.12636815920398009"/>
    <n v="2.0214574608969554E-2"/>
    <n v="0.11375661375661375"/>
    <n v="0.11869436201780416"/>
    <n v="-4.9377482611904083E-3"/>
    <n v="0.10646766169154231"/>
    <n v="0.2834645669291338"/>
    <n v="0.12166172106824935"/>
    <n v="7.4999999999999956E-2"/>
  </r>
  <r>
    <s v="GUJARAT PIPAVAV PORT LTD."/>
    <n v="533248"/>
    <x v="10"/>
    <s v="Port &amp; Port services"/>
    <n v="146.80000000000001"/>
    <n v="7097.8634976000003"/>
    <n v="1.7611912437423565E-4"/>
    <n v="842"/>
    <n v="735"/>
    <n v="372"/>
    <n v="284"/>
    <n v="292"/>
    <n v="262"/>
    <n v="107"/>
    <n v="99"/>
    <n v="0.44180522565320662"/>
    <n v="0.38639455782312926"/>
    <n v="5.5410667830077365E-2"/>
    <n v="0.36643835616438358"/>
    <n v="0.37786259541984735"/>
    <n v="-1.1424239255463764E-2"/>
    <n v="0.1455782312925169"/>
    <n v="0.3098591549295775"/>
    <n v="0.11450381679389321"/>
    <n v="8.0808080808080884E-2"/>
  </r>
  <r>
    <s v="KAMA HOLDINGS LIMITED"/>
    <n v="532468"/>
    <x v="2"/>
    <s v="Holding Company"/>
    <n v="2438.9"/>
    <n v="7826.5688038999997"/>
    <n v="1.9420047244690715E-4"/>
    <n v="11272"/>
    <n v="10478"/>
    <n v="1260"/>
    <n v="727"/>
    <n v="3743"/>
    <n v="3525"/>
    <n v="433"/>
    <n v="272"/>
    <n v="0.11178140525195174"/>
    <n v="6.9383470127886995E-2"/>
    <n v="4.2397935124064742E-2"/>
    <n v="0.11568260753406359"/>
    <n v="7.7163120567375884E-2"/>
    <n v="3.8519486966687708E-2"/>
    <n v="7.5777820194693701E-2"/>
    <n v="0.73314993122420913"/>
    <n v="6.1843971631205585E-2"/>
    <n v="0.59191176470588225"/>
  </r>
  <r>
    <s v="PROCTER &amp; GAMBLE HEALTH LIMITE"/>
    <n v="500126"/>
    <x v="7"/>
    <s v="Pharmaceuticals"/>
    <n v="4800.6000000000004"/>
    <n v="7992.2691580999999"/>
    <n v="1.9831199153995147E-4"/>
    <n v="1037"/>
    <n v="907"/>
    <n v="232"/>
    <n v="190"/>
    <n v="373"/>
    <n v="309"/>
    <n v="77"/>
    <n v="90"/>
    <n v="0.22372227579556414"/>
    <n v="0.20948180815876516"/>
    <n v="1.4240467636798981E-2"/>
    <n v="0.2064343163538874"/>
    <n v="0.29126213592233008"/>
    <n v="-8.4827819568442681E-2"/>
    <n v="0.14332965821389188"/>
    <n v="0.22105263157894739"/>
    <n v="0.20711974110032361"/>
    <n v="-0.14444444444444449"/>
  </r>
  <r>
    <s v="Manorama Industries Limited"/>
    <n v="541974"/>
    <x v="5"/>
    <s v="Other Food Products"/>
    <n v="1230.3"/>
    <n v="7332.1133951000002"/>
    <n v="1.8193156171490926E-4"/>
    <n v="992"/>
    <n v="549"/>
    <n v="172"/>
    <n v="69"/>
    <n v="374"/>
    <n v="213"/>
    <n v="72"/>
    <n v="30"/>
    <n v="0.17338709677419356"/>
    <n v="0.12568306010928962"/>
    <n v="4.7704036664903943E-2"/>
    <n v="0.19251336898395721"/>
    <n v="0.14084507042253522"/>
    <n v="5.1668298561421994E-2"/>
    <n v="0.80692167577413487"/>
    <n v="1.4927536231884058"/>
    <n v="0.755868544600939"/>
    <n v="1.4"/>
  </r>
  <r>
    <s v="EMBASSY DEVELOPMENTS LIMITED"/>
    <n v="532832"/>
    <x v="6"/>
    <s v="Residential, Commercial Projects"/>
    <n v="45.54"/>
    <n v="6348.2804563999998"/>
    <n v="1.5751973754373952E-4"/>
    <n v="1386"/>
    <n v="1290"/>
    <n v="-557"/>
    <n v="-70"/>
    <n v="212"/>
    <n v="325"/>
    <n v="-240"/>
    <n v="-98"/>
    <n v="-0.40187590187590189"/>
    <n v="-5.4263565891472867E-2"/>
    <n v="-0.34761233598442903"/>
    <n v="-1.1320754716981132"/>
    <n v="-0.30153846153846153"/>
    <n v="-0.83053701015965165"/>
    <n v="7.441860465116279E-2"/>
    <n v="6.9571428571428573"/>
    <n v="-0.34769230769230774"/>
    <n v="1.4489795918367347"/>
  </r>
  <r>
    <s v="Jupiter Life Line Hospitals Li"/>
    <n v="543980"/>
    <x v="7"/>
    <s v="Hospital"/>
    <n v="1207.8499999999999"/>
    <n v="7897.4271090000002"/>
    <n v="1.9595867794819274E-4"/>
    <n v="1111"/>
    <n v="965"/>
    <n v="143"/>
    <n v="148"/>
    <n v="365"/>
    <n v="332"/>
    <n v="42"/>
    <n v="52"/>
    <n v="0.12871287128712872"/>
    <n v="0.15336787564766841"/>
    <n v="-2.465500436053969E-2"/>
    <n v="0.11506849315068493"/>
    <n v="0.15662650602409639"/>
    <n v="-4.155801287341146E-2"/>
    <n v="0.15129533678756468"/>
    <n v="-3.3783783783783772E-2"/>
    <n v="9.9397590361445687E-2"/>
    <n v="-0.19230769230769229"/>
  </r>
  <r>
    <s v="RELAXO FOOTWEARS LTD."/>
    <n v="530517"/>
    <x v="6"/>
    <s v="Footwear"/>
    <n v="273"/>
    <n v="6786.5639916"/>
    <n v="1.6839485686283726E-4"/>
    <n v="1951"/>
    <n v="2094"/>
    <n v="112"/>
    <n v="114"/>
    <n v="668"/>
    <n v="667"/>
    <n v="27"/>
    <n v="33"/>
    <n v="5.7406458226550487E-2"/>
    <n v="5.4441260744985676E-2"/>
    <n v="2.9651974815648116E-3"/>
    <n v="4.0419161676646706E-2"/>
    <n v="4.9475262368815595E-2"/>
    <n v="-9.0561006921688891E-3"/>
    <n v="-6.8290353390639935E-2"/>
    <n v="-1.7543859649122862E-2"/>
    <n v="1.4992503748125774E-3"/>
    <n v="-0.18181818181818177"/>
  </r>
  <r>
    <s v="ZEE ENTERTAINMENT ENTERPRISES"/>
    <n v="505537"/>
    <x v="6"/>
    <s v="TV Broadcasting &amp; Software Production"/>
    <n v="73.66"/>
    <n v="7080.9483968000004"/>
    <n v="1.7569941036556174E-4"/>
    <n v="6143"/>
    <n v="6197"/>
    <n v="375"/>
    <n v="498"/>
    <n v="2298"/>
    <n v="2013"/>
    <n v="154"/>
    <n v="163"/>
    <n v="6.104509197460524E-2"/>
    <n v="8.0361465225108925E-2"/>
    <n v="-1.9316373250503685E-2"/>
    <n v="6.7014795474325498E-2"/>
    <n v="8.0973671137605563E-2"/>
    <n v="-1.3958875663280065E-2"/>
    <n v="-8.7138938195900906E-3"/>
    <n v="-0.24698795180722888"/>
    <n v="0.14157973174366623"/>
    <n v="-5.5214723926380382E-2"/>
  </r>
  <r>
    <s v="Varroc Engineering Limited"/>
    <n v="541578"/>
    <x v="6"/>
    <s v="Auto Components &amp; Equipments"/>
    <n v="478.8"/>
    <n v="7319.9965172000002"/>
    <n v="1.8163090590113951E-4"/>
    <n v="6522"/>
    <n v="6054"/>
    <n v="159"/>
    <n v="46"/>
    <n v="2287"/>
    <n v="2075"/>
    <n v="-11"/>
    <n v="-45"/>
    <n v="2.437902483900644E-2"/>
    <n v="7.5982821275189958E-3"/>
    <n v="1.6780742711487443E-2"/>
    <n v="-4.809794490599038E-3"/>
    <n v="-2.1686746987951807E-2"/>
    <n v="1.6876952497352771E-2"/>
    <n v="7.7304261645193328E-2"/>
    <n v="2.4565217391304346"/>
    <n v="0.10216867469879509"/>
    <n v="-0.75555555555555554"/>
  </r>
  <r>
    <s v="Aditya Birla Fashion and Retai"/>
    <n v="535755"/>
    <x v="6"/>
    <s v="Speciality Retail"/>
    <n v="58.81"/>
    <n v="7148.2086418999997"/>
    <n v="1.7736833728648855E-4"/>
    <n v="6187"/>
    <n v="5635"/>
    <n v="-666"/>
    <n v="-454"/>
    <n v="2374"/>
    <n v="2200"/>
    <n v="-137"/>
    <n v="-103"/>
    <n v="-0.10764506222725069"/>
    <n v="-8.0567879325643299E-2"/>
    <n v="-2.7077182901607391E-2"/>
    <n v="-5.7708508845829821E-2"/>
    <n v="-4.6818181818181821E-2"/>
    <n v="-1.0890327027648E-2"/>
    <n v="9.7959183673469452E-2"/>
    <n v="0.46696035242290757"/>
    <n v="7.9090909090909101E-2"/>
    <n v="0.33009708737864085"/>
  </r>
  <r>
    <s v="HealthCare Global Enterprises"/>
    <n v="539787"/>
    <x v="7"/>
    <s v="Hospital"/>
    <n v="537.85"/>
    <n v="8024.2415467000001"/>
    <n v="1.9910532168588747E-4"/>
    <n v="1888"/>
    <n v="1634"/>
    <n v="7"/>
    <n v="18"/>
    <n v="631"/>
    <n v="557"/>
    <n v="-7"/>
    <n v="7"/>
    <n v="3.7076271186440679E-3"/>
    <n v="1.1015911872705019E-2"/>
    <n v="-7.3082847540609508E-3"/>
    <n v="-1.1093502377179081E-2"/>
    <n v="1.2567324955116697E-2"/>
    <n v="-2.3660827332295777E-2"/>
    <n v="0.15544675642594852"/>
    <n v="-0.61111111111111116"/>
    <n v="0.1328545780969479"/>
    <n v="-2"/>
  </r>
  <r>
    <s v="India Shelter Finance Corporat"/>
    <n v="544044"/>
    <x v="2"/>
    <s v="Housing Finance Company"/>
    <n v="778.7"/>
    <n v="8488.0494607000001"/>
    <n v="2.1061377683145925E-4"/>
    <n v="1120"/>
    <n v="848"/>
    <n v="365"/>
    <n v="269"/>
    <n v="310"/>
    <n v="240"/>
    <n v="124"/>
    <n v="96"/>
    <n v="0.32589285714285715"/>
    <n v="0.31721698113207547"/>
    <n v="8.6758760107816801E-3"/>
    <n v="0.4"/>
    <n v="0.4"/>
    <n v="0"/>
    <n v="0.320754716981132"/>
    <n v="0.35687732342007439"/>
    <n v="0.29166666666666674"/>
    <n v="0.29166666666666674"/>
  </r>
  <r>
    <s v="ASK Automotive Limited"/>
    <n v="544022"/>
    <x v="6"/>
    <s v="Auto Components &amp; Equipments"/>
    <n v="434.8"/>
    <n v="8562.8846078000006"/>
    <n v="2.1247065962219278E-4"/>
    <n v="3042"/>
    <n v="2760"/>
    <n v="225"/>
    <n v="190"/>
    <n v="1088"/>
    <n v="919"/>
    <n v="80"/>
    <n v="66"/>
    <n v="7.3964497041420121E-2"/>
    <n v="6.8840579710144928E-2"/>
    <n v="5.1239173312751934E-3"/>
    <n v="7.3529411764705885E-2"/>
    <n v="7.181719260065289E-2"/>
    <n v="1.7122191640529943E-3"/>
    <n v="0.10217391304347823"/>
    <n v="0.18421052631578938"/>
    <n v="0.18389553862894448"/>
    <n v="0.21212121212121215"/>
  </r>
  <r>
    <s v="GENUS POWER INFRASTRUCTURES LT"/>
    <n v="530343"/>
    <x v="4"/>
    <s v="Other Electrical Equipment"/>
    <n v="236.35"/>
    <n v="7184.1007997999995"/>
    <n v="1.7825892857827475E-4"/>
    <n v="3213"/>
    <n v="1505"/>
    <n v="421"/>
    <n v="188"/>
    <n v="1122"/>
    <n v="604"/>
    <n v="140"/>
    <n v="57"/>
    <n v="0.13103018985371925"/>
    <n v="0.12491694352159469"/>
    <n v="6.1132463321245667E-3"/>
    <n v="0.12477718360071301"/>
    <n v="9.4370860927152314E-2"/>
    <n v="3.0406322673560693E-2"/>
    <n v="1.1348837209302327"/>
    <n v="1.2393617021276597"/>
    <n v="0.85761589403973515"/>
    <n v="1.4561403508771931"/>
  </r>
  <r>
    <s v="Authum Investment &amp; Infrastruc"/>
    <n v="539177"/>
    <x v="2"/>
    <s v="Non Banking Financial Company (NBFC)"/>
    <n v="425"/>
    <n v="36045.3688951"/>
    <n v="8.9439291269800619E-4"/>
    <n v="2298"/>
    <n v="3126"/>
    <n v="1247"/>
    <n v="3096"/>
    <n v="478"/>
    <n v="617"/>
    <n v="-337"/>
    <n v="567"/>
    <n v="0.54264577893820709"/>
    <n v="0.99040307101727443"/>
    <n v="-0.44775729207906734"/>
    <n v="-0.70502092050209209"/>
    <n v="0.91896272285251213"/>
    <n v="-1.6239836433546042"/>
    <n v="-0.26487523992322459"/>
    <n v="-0.59722222222222221"/>
    <n v="-0.22528363047001621"/>
    <n v="-1.5943562610229276"/>
  </r>
  <r>
    <s v="OLECTRA GREENTECH LIMITED"/>
    <n v="532439"/>
    <x v="6"/>
    <s v="Passenger Cars &amp; Utility Vehicles"/>
    <n v="1027.25"/>
    <n v="8431.1736151999994"/>
    <n v="2.0920251777993036E-4"/>
    <n v="1667"/>
    <n v="1352"/>
    <n v="122"/>
    <n v="118"/>
    <n v="663"/>
    <n v="513"/>
    <n v="46"/>
    <n v="46"/>
    <n v="7.3185362927414524E-2"/>
    <n v="8.7278106508875741E-2"/>
    <n v="-1.4092743581461217E-2"/>
    <n v="6.9381598793363503E-2"/>
    <n v="8.9668615984405453E-2"/>
    <n v="-2.0287017191041951E-2"/>
    <n v="0.23298816568047331"/>
    <n v="3.3898305084745672E-2"/>
    <n v="0.29239766081871355"/>
    <n v="0"/>
  </r>
  <r>
    <s v="NESCO LTD."/>
    <n v="505355"/>
    <x v="10"/>
    <s v="Diversified Commercial Services"/>
    <n v="1080.25"/>
    <n v="7644.9045749999996"/>
    <n v="1.8969284209661836E-4"/>
    <n v="680"/>
    <n v="540"/>
    <n v="319"/>
    <n v="286"/>
    <n v="247"/>
    <n v="206"/>
    <n v="104"/>
    <n v="109"/>
    <n v="0.46911764705882353"/>
    <n v="0.52962962962962967"/>
    <n v="-6.0511982570806144E-2"/>
    <n v="0.42105263157894735"/>
    <n v="0.529126213592233"/>
    <n v="-0.10807358201328565"/>
    <n v="0.2592592592592593"/>
    <n v="0.11538461538461542"/>
    <n v="0.19902912621359214"/>
    <n v="-4.587155963302747E-2"/>
  </r>
  <r>
    <s v="STRIDES PHARMA SCIENCE LIMITED"/>
    <n v="532531"/>
    <x v="7"/>
    <s v="Pharmaceuticals"/>
    <n v="977.95"/>
    <n v="9017.2561067000006"/>
    <n v="2.2374496921604949E-4"/>
    <n v="3535"/>
    <n v="3374"/>
    <n v="445"/>
    <n v="3511"/>
    <n v="1194"/>
    <n v="1153"/>
    <n v="208"/>
    <n v="90"/>
    <n v="0.12588401697312587"/>
    <n v="1.0406046235921755"/>
    <n v="-0.91472060661904964"/>
    <n v="0.17420435510887772"/>
    <n v="7.8057241977450134E-2"/>
    <n v="9.6147113131427583E-2"/>
    <n v="4.7717842323651505E-2"/>
    <n v="-0.873255482768442"/>
    <n v="3.555941023417164E-2"/>
    <n v="1.3111111111111109"/>
  </r>
  <r>
    <s v="TATA TELESERVICES (MAHARASHTRA"/>
    <n v="532371"/>
    <x v="1"/>
    <s v="Telecom - Cellular &amp; Fixed line services"/>
    <n v="37.49"/>
    <n v="7323.1563630000001"/>
    <n v="1.817093110825919E-4"/>
    <n v="865"/>
    <n v="1000"/>
    <n v="-796"/>
    <n v="-969"/>
    <n v="294"/>
    <n v="333"/>
    <n v="-151"/>
    <n v="-315"/>
    <n v="-0.92023121387283235"/>
    <n v="-0.96899999999999997"/>
    <n v="4.8768786127167618E-2"/>
    <n v="-0.51360544217687076"/>
    <n v="-0.94594594594594594"/>
    <n v="0.43234050376907518"/>
    <n v="-0.13500000000000001"/>
    <n v="-0.17853457172342624"/>
    <n v="-0.11711711711711714"/>
    <n v="-0.52063492063492056"/>
  </r>
  <r>
    <s v="Clean Science and Technology L"/>
    <n v="543318"/>
    <x v="8"/>
    <s v="Specialty Chemicals"/>
    <n v="694.25"/>
    <n v="7376.7071335000001"/>
    <n v="1.8303806512431372E-4"/>
    <n v="707"/>
    <n v="702"/>
    <n v="171"/>
    <n v="190"/>
    <n v="219"/>
    <n v="240"/>
    <n v="45"/>
    <n v="65"/>
    <n v="0.24186704384724186"/>
    <n v="0.27065527065527067"/>
    <n v="-2.8788226808028811E-2"/>
    <n v="0.20547945205479451"/>
    <n v="0.27083333333333331"/>
    <n v="-6.5353881278538806E-2"/>
    <n v="7.1225071225071712E-3"/>
    <n v="-9.9999999999999978E-2"/>
    <n v="-8.7500000000000022E-2"/>
    <n v="-0.30769230769230771"/>
  </r>
  <r>
    <s v="KARNATAKA BANK LTD."/>
    <n v="532652"/>
    <x v="2"/>
    <s v="Private Sector Bank"/>
    <n v="229.6"/>
    <n v="8673.3147265000007"/>
    <n v="2.152107596278583E-4"/>
    <n v="7665"/>
    <n v="7603"/>
    <n v="902"/>
    <n v="1020"/>
    <n v="2522"/>
    <n v="2542"/>
    <n v="291"/>
    <n v="283"/>
    <n v="0.11767775603392042"/>
    <n v="0.13415756938050769"/>
    <n v="-1.6479813346587269E-2"/>
    <n v="0.11538461538461539"/>
    <n v="0.11132966168371361"/>
    <n v="4.0549537009017811E-3"/>
    <n v="8.1546757858739216E-3"/>
    <n v="-0.11568627450980395"/>
    <n v="-7.8678206136899576E-3"/>
    <n v="2.8268551236749095E-2"/>
  </r>
  <r>
    <s v="MARKSANS PHARMA LTD."/>
    <n v="524404"/>
    <x v="7"/>
    <s v="Pharmaceuticals"/>
    <n v="165.9"/>
    <n v="7514.3608052999998"/>
    <n v="1.8645366252943593E-4"/>
    <n v="2142"/>
    <n v="1966"/>
    <n v="271"/>
    <n v="291"/>
    <n v="774"/>
    <n v="717"/>
    <n v="113"/>
    <n v="106"/>
    <n v="0.1265172735760971"/>
    <n v="0.14801627670396744"/>
    <n v="-2.1499003127870342E-2"/>
    <n v="0.14599483204134367"/>
    <n v="0.14783821478382148"/>
    <n v="-1.843382742477806E-3"/>
    <n v="8.9521871820956278E-2"/>
    <n v="-6.8728522336769737E-2"/>
    <n v="7.9497907949790836E-2"/>
    <n v="6.60377358490567E-2"/>
  </r>
  <r>
    <s v="Apollo Micro Systems Limited"/>
    <n v="540879"/>
    <x v="4"/>
    <s v="Aerospace &amp; Defense"/>
    <n v="200"/>
    <n v="7147.2769297000004"/>
    <n v="1.7734521873301283E-4"/>
    <n v="611"/>
    <n v="400"/>
    <n v="70"/>
    <n v="42"/>
    <n v="252"/>
    <n v="148"/>
    <n v="22"/>
    <n v="18"/>
    <n v="0.11456628477905073"/>
    <n v="0.105"/>
    <n v="9.5662847790507349E-3"/>
    <n v="8.7301587301587297E-2"/>
    <n v="0.12162162162162163"/>
    <n v="-3.4320034320034332E-2"/>
    <n v="0.52750000000000008"/>
    <n v="0.66666666666666674"/>
    <n v="0.70270270270270263"/>
    <n v="0.22222222222222232"/>
  </r>
  <r>
    <s v="Campus Activewear Limited"/>
    <n v="543523"/>
    <x v="6"/>
    <s v="Footwear"/>
    <n v="232.05"/>
    <n v="7090.3712366999998"/>
    <n v="1.7593321907615018E-4"/>
    <n v="1319"/>
    <n v="1187"/>
    <n v="106"/>
    <n v="86"/>
    <n v="589"/>
    <n v="515"/>
    <n v="64"/>
    <n v="46"/>
    <n v="8.0363912054586803E-2"/>
    <n v="7.2451558550968825E-2"/>
    <n v="7.9123535036179776E-3"/>
    <n v="0.10865874363327674"/>
    <n v="8.9320388349514557E-2"/>
    <n v="1.9338355283762182E-2"/>
    <n v="0.11120471777590568"/>
    <n v="0.23255813953488369"/>
    <n v="0.14368932038834958"/>
    <n v="0.39130434782608692"/>
  </r>
  <r>
    <s v="WESTLIFE FOODWORLD LIMITED"/>
    <n v="505533"/>
    <x v="6"/>
    <s v="Restaurants"/>
    <n v="461.85"/>
    <n v="7160.8764142"/>
    <n v="1.776826624303861E-4"/>
    <n v="1995"/>
    <n v="1902"/>
    <n v="29"/>
    <n v="10"/>
    <n v="678"/>
    <n v="656"/>
    <n v="10"/>
    <n v="70"/>
    <n v="1.4536340852130326E-2"/>
    <n v="5.2576235541535229E-3"/>
    <n v="9.2787172979768035E-3"/>
    <n v="1.4749262536873156E-2"/>
    <n v="0.10670731707317073"/>
    <n v="-9.1958054536297573E-2"/>
    <n v="4.8895899053627678E-2"/>
    <n v="1.9"/>
    <n v="3.3536585365853577E-2"/>
    <n v="-0.85714285714285721"/>
  </r>
  <r>
    <s v="VA TECH WABAG LTD."/>
    <n v="533269"/>
    <x v="9"/>
    <s v="Water Supply &amp; Management"/>
    <n v="1251.8"/>
    <n v="7778.5678342000001"/>
    <n v="1.9300942548530572E-4"/>
    <n v="2592"/>
    <n v="2171"/>
    <n v="241"/>
    <n v="195"/>
    <n v="984"/>
    <n v="825"/>
    <n v="91"/>
    <n v="70"/>
    <n v="9.2978395061728392E-2"/>
    <n v="8.9820359281437126E-2"/>
    <n v="3.1580357802912656E-3"/>
    <n v="9.2479674796747971E-2"/>
    <n v="8.4848484848484854E-2"/>
    <n v="7.6311899482631174E-3"/>
    <n v="0.19391985260248723"/>
    <n v="0.23589743589743595"/>
    <n v="0.19272727272727264"/>
    <n v="0.30000000000000004"/>
  </r>
  <r>
    <s v="KRBL LTD."/>
    <n v="530813"/>
    <x v="5"/>
    <s v="Other Agricultural Products"/>
    <n v="312.10000000000002"/>
    <n v="7150.5172122000004"/>
    <n v="1.7742561978845975E-4"/>
    <n v="4572"/>
    <n v="4151"/>
    <n v="492"/>
    <n v="321"/>
    <n v="1476"/>
    <n v="1681"/>
    <n v="169"/>
    <n v="132"/>
    <n v="0.10761154855643044"/>
    <n v="7.7330763671404484E-2"/>
    <n v="3.028078488502596E-2"/>
    <n v="0.11449864498644986"/>
    <n v="7.8524687685901248E-2"/>
    <n v="3.5973957300548615E-2"/>
    <n v="0.10142134425439653"/>
    <n v="0.53271028037383172"/>
    <n v="-0.12195121951219512"/>
    <n v="0.28030303030303028"/>
  </r>
  <r>
    <s v="LLOYDS ENGINEERING WORKS LIMIT"/>
    <n v="539992"/>
    <x v="4"/>
    <s v="Industrial Products"/>
    <n v="43.51"/>
    <n v="6279.6451659000004"/>
    <n v="1.5581669165280087E-4"/>
    <n v="806"/>
    <n v="614"/>
    <n v="117"/>
    <n v="85"/>
    <n v="272"/>
    <n v="266"/>
    <n v="56"/>
    <n v="36"/>
    <n v="0.14516129032258066"/>
    <n v="0.13843648208469056"/>
    <n v="6.7248082378900953E-3"/>
    <n v="0.20588235294117646"/>
    <n v="0.13533834586466165"/>
    <n v="7.0544007076514814E-2"/>
    <n v="0.31270358306188917"/>
    <n v="0.37647058823529411"/>
    <n v="2.2556390977443552E-2"/>
    <n v="0.55555555555555558"/>
  </r>
  <r>
    <s v="PC JEWELLER LTD."/>
    <n v="534809"/>
    <x v="6"/>
    <s v="Gems, Jewellery And Watches"/>
    <n v="8.5399999999999991"/>
    <n v="7377.2572749999999"/>
    <n v="1.8305171577275104E-4"/>
    <n v="2425"/>
    <n v="1545"/>
    <n v="561"/>
    <n v="482"/>
    <n v="875"/>
    <n v="639"/>
    <n v="190"/>
    <n v="147"/>
    <n v="0.231340206185567"/>
    <n v="0.31197411003236247"/>
    <n v="-8.0633903846795474E-2"/>
    <n v="0.21714285714285714"/>
    <n v="0.2300469483568075"/>
    <n v="-1.2904091213950364E-2"/>
    <n v="0.56957928802588986"/>
    <n v="0.16390041493775942"/>
    <n v="0.36932707355242567"/>
    <n v="0.29251700680272119"/>
  </r>
  <r>
    <s v="TRANSPORT CORPORATION OF INDIA"/>
    <n v="532349"/>
    <x v="10"/>
    <s v="Logistics Solution Provider"/>
    <n v="992.9"/>
    <n v="7606.0778306000002"/>
    <n v="1.8872943497723061E-4"/>
    <n v="3628"/>
    <n v="3341"/>
    <n v="33"/>
    <n v="30"/>
    <n v="1260"/>
    <n v="1153"/>
    <n v="115"/>
    <n v="102"/>
    <n v="9.0959206174200669E-3"/>
    <n v="8.9793475007482783E-3"/>
    <n v="1.1657311667178857E-4"/>
    <n v="9.1269841269841265E-2"/>
    <n v="8.8464874241110145E-2"/>
    <n v="2.8049670287311201E-3"/>
    <n v="8.5902424423825119E-2"/>
    <n v="0.10000000000000009"/>
    <n v="9.2801387684301906E-2"/>
    <n v="0.12745098039215685"/>
  </r>
  <r>
    <s v="MAHINDRA LIFESPACE DEVELOPERS"/>
    <n v="532313"/>
    <x v="6"/>
    <s v="Residential, Commercial Projects"/>
    <n v="326.45"/>
    <n v="6966.7056080000002"/>
    <n v="1.7286470666404225E-4"/>
    <n v="508"/>
    <n v="363"/>
    <n v="208"/>
    <n v="-23"/>
    <n v="459"/>
    <n v="167"/>
    <n v="108"/>
    <n v="-22"/>
    <n v="0.40944881889763779"/>
    <n v="-6.3360881542699726E-2"/>
    <n v="0.47280970044033754"/>
    <n v="0.23529411764705882"/>
    <n v="-0.1317365269461078"/>
    <n v="0.36703064459316659"/>
    <n v="0.3994490358126721"/>
    <n v="-10.043478260869565"/>
    <n v="1.7485029940119761"/>
    <n v="-5.9090909090909092"/>
  </r>
  <r>
    <s v="KIRLOSKAR PNEUMATIC CO.LTD."/>
    <n v="505283"/>
    <x v="4"/>
    <s v="Compressors, Pumps &amp; Diesel Engines"/>
    <n v="1122.4000000000001"/>
    <n v="7301.9488552000003"/>
    <n v="1.8118308967735375E-4"/>
    <n v="1074"/>
    <n v="1048"/>
    <n v="110"/>
    <n v="131"/>
    <n v="406"/>
    <n v="342"/>
    <n v="41"/>
    <n v="36"/>
    <n v="0.10242085661080075"/>
    <n v="0.125"/>
    <n v="-2.2579143389199252E-2"/>
    <n v="0.10098522167487685"/>
    <n v="0.10526315789473684"/>
    <n v="-4.2779362198599874E-3"/>
    <n v="2.4809160305343525E-2"/>
    <n v="-0.16030534351145043"/>
    <n v="0.1871345029239766"/>
    <n v="0.13888888888888884"/>
  </r>
  <r>
    <s v="JAYASWAL NECO INDUSTRIES LTD."/>
    <n v="522285"/>
    <x v="4"/>
    <s v="Iron &amp; Steel Products"/>
    <n v="79.06"/>
    <n v="7680.5956138000001"/>
    <n v="1.9057844302478334E-4"/>
    <n v="5157"/>
    <n v="4324"/>
    <n v="272"/>
    <n v="11"/>
    <n v="1727"/>
    <n v="1656"/>
    <n v="74"/>
    <n v="76"/>
    <n v="5.2743843319759551E-2"/>
    <n v="2.5439407955596669E-3"/>
    <n v="5.0199902524199883E-2"/>
    <n v="4.2848870874348584E-2"/>
    <n v="4.5893719806763288E-2"/>
    <n v="-3.0448489324147038E-3"/>
    <n v="0.19264569842738211"/>
    <n v="23.727272727272727"/>
    <n v="4.287439613526578E-2"/>
    <n v="-2.6315789473684181E-2"/>
  </r>
  <r>
    <s v="ALKYL AMINES CHEMICALS LTD."/>
    <n v="506767"/>
    <x v="8"/>
    <s v="Specialty Chemicals"/>
    <n v="1308.8"/>
    <n v="6701.4051212000004"/>
    <n v="1.6628181176234777E-4"/>
    <n v="1149"/>
    <n v="1186"/>
    <n v="135"/>
    <n v="140"/>
    <n v="354"/>
    <n v="371"/>
    <n v="42"/>
    <n v="44"/>
    <n v="0.1174934725848564"/>
    <n v="0.11804384485666104"/>
    <n v="-5.5037227180464166E-4"/>
    <n v="0.11864406779661017"/>
    <n v="0.11859838274932614"/>
    <n v="4.5685047284027558E-5"/>
    <n v="-3.1197301854974713E-2"/>
    <n v="-3.5714285714285698E-2"/>
    <n v="-4.5822102425876032E-2"/>
    <n v="-4.5454545454545414E-2"/>
  </r>
  <r>
    <s v="MAHARASHTRA SEAMLESS LTD."/>
    <n v="500265"/>
    <x v="4"/>
    <s v="Iron &amp; Steel Products"/>
    <n v="595.75"/>
    <n v="7980.2916775000003"/>
    <n v="1.9801479458819344E-4"/>
    <n v="3394"/>
    <n v="3851"/>
    <n v="598"/>
    <n v="535"/>
    <n v="1190"/>
    <n v="1408"/>
    <n v="243"/>
    <n v="186"/>
    <n v="0.17619328226281675"/>
    <n v="0.13892495455725787"/>
    <n v="3.7268327705558879E-2"/>
    <n v="0.2042016806722689"/>
    <n v="0.13210227272727273"/>
    <n v="7.2099407944996169E-2"/>
    <n v="-0.11867047520124641"/>
    <n v="0.11775700934579447"/>
    <n v="-0.15482954545454541"/>
    <n v="0.30645161290322576"/>
  </r>
  <r>
    <s v="LLOYDS ENTERPRISES LIMITED"/>
    <n v="512463"/>
    <x v="8"/>
    <s v="Trading - Metals"/>
    <n v="47.04"/>
    <n v="7143.0176542999998"/>
    <n v="1.772395334300804E-4"/>
    <n v="1037"/>
    <n v="999"/>
    <n v="348"/>
    <n v="99"/>
    <n v="299"/>
    <n v="290"/>
    <n v="38"/>
    <n v="41"/>
    <n v="0.33558341369334621"/>
    <n v="9.90990990990991E-2"/>
    <n v="0.23648431459424712"/>
    <n v="0.12709030100334448"/>
    <n v="0.14137931034482759"/>
    <n v="-1.4289009341483111E-2"/>
    <n v="3.8038038038038069E-2"/>
    <n v="2.5151515151515151"/>
    <n v="3.1034482758620641E-2"/>
    <n v="-7.3170731707317027E-2"/>
  </r>
  <r>
    <s v="Akums Drugs and Pharmaceutical"/>
    <n v="544222"/>
    <x v="7"/>
    <s v="Pharmaceuticals"/>
    <n v="493.45"/>
    <n v="7544.8663730999997"/>
    <n v="1.8721059648446218E-4"/>
    <n v="3201"/>
    <n v="3062"/>
    <n v="175"/>
    <n v="194"/>
    <n v="1159"/>
    <n v="1010"/>
    <n v="67"/>
    <n v="66"/>
    <n v="5.4670415495157762E-2"/>
    <n v="6.3357282821685179E-2"/>
    <n v="-8.6868673265274171E-3"/>
    <n v="5.7808455565142365E-2"/>
    <n v="6.5346534653465349E-2"/>
    <n v="-7.538079088322984E-3"/>
    <n v="4.53951665578054E-2"/>
    <n v="-9.7938144329896892E-2"/>
    <n v="0.14752475247524743"/>
    <n v="1.5151515151515138E-2"/>
  </r>
  <r>
    <s v="Le Travenues Technology Limite"/>
    <n v="544192"/>
    <x v="6"/>
    <s v="Tour, Travel Related Services"/>
    <n v="163.1"/>
    <n v="7142.3910500000002"/>
    <n v="1.7722398551193823E-4"/>
    <n v="914"/>
    <n v="630"/>
    <n v="39"/>
    <n v="43"/>
    <n v="317"/>
    <n v="241"/>
    <n v="23"/>
    <n v="15"/>
    <n v="4.2669584245076587E-2"/>
    <n v="6.8253968253968247E-2"/>
    <n v="-2.558438400889166E-2"/>
    <n v="7.2555205047318619E-2"/>
    <n v="6.2240663900414939E-2"/>
    <n v="1.031454114690368E-2"/>
    <n v="0.45079365079365075"/>
    <n v="-9.3023255813953543E-2"/>
    <n v="0.31535269709543567"/>
    <n v="0.53333333333333344"/>
  </r>
  <r>
    <s v="SONATA SOFTWARE LTD."/>
    <n v="532221"/>
    <x v="3"/>
    <s v="Computers - Software &amp; Consulting"/>
    <n v="231.65"/>
    <n v="6424.5361413999999"/>
    <n v="1.5941186810884529E-4"/>
    <n v="8165"/>
    <n v="7540"/>
    <n v="333"/>
    <n v="317"/>
    <n v="3080"/>
    <n v="2842"/>
    <n v="36"/>
    <n v="31"/>
    <n v="4.0783833435394976E-2"/>
    <n v="4.2042440318302385E-2"/>
    <n v="-1.2586068829074093E-3"/>
    <n v="1.1688311688311689E-2"/>
    <n v="1.0907811400422239E-2"/>
    <n v="7.8050028788945007E-4"/>
    <n v="8.2891246684350106E-2"/>
    <n v="5.0473186119873725E-2"/>
    <n v="8.3743842364532028E-2"/>
    <n v="0.16129032258064524"/>
  </r>
  <r>
    <s v="Transrail Lighting Limited"/>
    <n v="544317"/>
    <x v="4"/>
    <s v="Heavy Electrical Equipment"/>
    <n v="495"/>
    <n v="6636.8362500000003"/>
    <n v="1.6467966584034999E-4"/>
    <n v="4948"/>
    <n v="3306"/>
    <n v="307"/>
    <n v="200"/>
    <n v="1777"/>
    <n v="1340"/>
    <n v="110"/>
    <n v="93"/>
    <n v="6.2045270816491513E-2"/>
    <n v="6.0496067755595885E-2"/>
    <n v="1.5492030608956278E-3"/>
    <n v="6.1902082160945414E-2"/>
    <n v="6.9402985074626861E-2"/>
    <n v="-7.5009029136814467E-3"/>
    <n v="0.49667271627344212"/>
    <n v="0.53499999999999992"/>
    <n v="0.32611940298507469"/>
    <n v="0.18279569892473124"/>
  </r>
  <r>
    <s v="DIAMOND POWER INFRASTRUCTURE L"/>
    <n v="522163"/>
    <x v="4"/>
    <s v="Other Electrical Equipment"/>
    <n v="127.55"/>
    <n v="6718.8802500000002"/>
    <n v="1.6671542173295705E-4"/>
    <n v="1214"/>
    <n v="781"/>
    <n v="97"/>
    <n v="26"/>
    <n v="474"/>
    <n v="307"/>
    <n v="49"/>
    <n v="6"/>
    <n v="7.9901153212520587E-2"/>
    <n v="3.3290653008962869E-2"/>
    <n v="4.6610500203557718E-2"/>
    <n v="0.10337552742616034"/>
    <n v="1.9543973941368076E-2"/>
    <n v="8.3831553484792265E-2"/>
    <n v="0.5544174135723432"/>
    <n v="2.7307692307692308"/>
    <n v="0.5439739413680782"/>
    <n v="7.1666666666666661"/>
  </r>
  <r>
    <s v="BIRLA CORPORATION LTD."/>
    <n v="500335"/>
    <x v="8"/>
    <s v="Cement &amp; Cement Products"/>
    <n v="892.7"/>
    <n v="6893.9030634999999"/>
    <n v="1.7105825879506142E-4"/>
    <n v="6819"/>
    <n v="6400"/>
    <n v="263"/>
    <n v="39"/>
    <n v="2159"/>
    <n v="2257"/>
    <n v="53"/>
    <n v="31"/>
    <n v="3.8568705088722684E-2"/>
    <n v="6.0937500000000002E-3"/>
    <n v="3.2474955088722682E-2"/>
    <n v="2.4548402037980546E-2"/>
    <n v="1.3735046521931768E-2"/>
    <n v="1.0813355516048779E-2"/>
    <n v="6.5468749999999964E-2"/>
    <n v="5.7435897435897436"/>
    <n v="-4.3420469649977811E-2"/>
    <n v="0.70967741935483875"/>
  </r>
  <r>
    <s v="Pricol Limited"/>
    <n v="540293"/>
    <x v="6"/>
    <s v="Auto Components &amp; Equipments"/>
    <n v="533.75"/>
    <n v="6487.1375150000003"/>
    <n v="1.6096519455796403E-4"/>
    <n v="2886"/>
    <n v="1869"/>
    <n v="178"/>
    <n v="132"/>
    <n v="1020"/>
    <n v="616"/>
    <n v="64"/>
    <n v="41"/>
    <n v="6.1677061677061676E-2"/>
    <n v="7.0626003210272875E-2"/>
    <n v="-8.9489415332111993E-3"/>
    <n v="6.2745098039215685E-2"/>
    <n v="6.6558441558441553E-2"/>
    <n v="-3.8133435192258675E-3"/>
    <n v="0.54414125200642061"/>
    <n v="0.3484848484848484"/>
    <n v="0.6558441558441559"/>
    <n v="0.56097560975609762"/>
  </r>
  <r>
    <s v="P N GADGIL JEWELLERS LIMITED"/>
    <n v="544256"/>
    <x v="6"/>
    <s v="Gems, Jewellery And Watches"/>
    <n v="583.29999999999995"/>
    <n v="7905.0084749999996"/>
    <n v="1.9614679420908336E-4"/>
    <n v="7194"/>
    <n v="6105"/>
    <n v="319"/>
    <n v="156"/>
    <n v="3302"/>
    <n v="2435"/>
    <n v="170"/>
    <n v="86"/>
    <n v="4.4342507645259939E-2"/>
    <n v="2.5552825552825554E-2"/>
    <n v="1.8789682092434385E-2"/>
    <n v="5.14839491217444E-2"/>
    <n v="3.5318275154004104E-2"/>
    <n v="1.6165673967740296E-2"/>
    <n v="0.17837837837837833"/>
    <n v="1.0448717948717947"/>
    <n v="0.35605749486652982"/>
    <n v="0.97674418604651159"/>
  </r>
  <r>
    <s v="KPI Green Energy Limited"/>
    <n v="542323"/>
    <x v="9"/>
    <s v="Power Generation"/>
    <n v="392.05"/>
    <n v="8124.4266383000004"/>
    <n v="2.0159121206880491E-4"/>
    <n v="1900"/>
    <n v="1166"/>
    <n v="353"/>
    <n v="221"/>
    <n v="662"/>
    <n v="458"/>
    <n v="125"/>
    <n v="85"/>
    <n v="0.18578947368421053"/>
    <n v="0.1895368782161235"/>
    <n v="-3.7474045319129679E-3"/>
    <n v="0.18882175226586104"/>
    <n v="0.18558951965065501"/>
    <n v="3.2322326152060266E-3"/>
    <n v="0.6295025728987993"/>
    <n v="0.59728506787330327"/>
    <n v="0.44541484716157198"/>
    <n v="0.47058823529411775"/>
  </r>
  <r>
    <s v="Equitas Small Finance Bank Lim"/>
    <n v="543243"/>
    <x v="2"/>
    <s v="Other Bank"/>
    <n v="54.8"/>
    <n v="6255.2078497000002"/>
    <n v="1.5521032908571915E-4"/>
    <n v="5767"/>
    <n v="5353"/>
    <n v="-109"/>
    <n v="104"/>
    <n v="1981"/>
    <n v="1850"/>
    <n v="90"/>
    <n v="66"/>
    <n v="-1.8900641581411481E-2"/>
    <n v="1.9428357930132634E-2"/>
    <n v="-3.8328999511544115E-2"/>
    <n v="4.5431600201918221E-2"/>
    <n v="3.5675675675675679E-2"/>
    <n v="9.7559245262425417E-3"/>
    <n v="7.7339809452643404E-2"/>
    <n v="-2.0480769230769234"/>
    <n v="7.0810810810810754E-2"/>
    <n v="0.36363636363636354"/>
  </r>
  <r>
    <s v="DYNAMATIC TECHNOLOGIES LTD."/>
    <n v="505242"/>
    <x v="4"/>
    <s v="Industrial Products"/>
    <n v="9282.2999999999993"/>
    <n v="6306.8726133"/>
    <n v="1.5649228568143426E-4"/>
    <n v="1188"/>
    <n v="1023"/>
    <n v="19"/>
    <n v="26"/>
    <n v="424"/>
    <n v="315"/>
    <n v="5"/>
    <n v="3"/>
    <n v="1.5993265993265993E-2"/>
    <n v="2.5415444770283482E-2"/>
    <n v="-9.4221787770174883E-3"/>
    <n v="1.179245283018868E-2"/>
    <n v="9.5238095238095247E-3"/>
    <n v="2.2686433063791554E-3"/>
    <n v="0.16129032258064524"/>
    <n v="-0.26923076923076927"/>
    <n v="0.34603174603174613"/>
    <n v="0.66666666666666674"/>
  </r>
  <r>
    <s v="Bengal &amp; Assam Company Ltd"/>
    <n v="533095"/>
    <x v="2"/>
    <s v="Non Banking Financial Company (NBFC)"/>
    <n v="5603.15"/>
    <n v="6389.7705139"/>
    <n v="1.585492293900687E-4"/>
    <n v="1845"/>
    <n v="1606"/>
    <n v="639"/>
    <n v="524"/>
    <n v="563"/>
    <n v="681"/>
    <n v="155"/>
    <n v="225"/>
    <n v="0.34634146341463412"/>
    <n v="0.32627646326276466"/>
    <n v="2.0065000151869461E-2"/>
    <n v="0.27531083481349911"/>
    <n v="0.33039647577092512"/>
    <n v="-5.5085640957426019E-2"/>
    <n v="0.14881693648816929"/>
    <n v="0.21946564885496178"/>
    <n v="-0.17327459618208518"/>
    <n v="-0.31111111111111112"/>
  </r>
  <r>
    <s v="V2 RETAIL LTD."/>
    <n v="532867"/>
    <x v="6"/>
    <s v="Speciality Retail"/>
    <n v="193.05"/>
    <n v="7053.5478890000004"/>
    <n v="1.7501952219318745E-4"/>
    <n v="2270"/>
    <n v="1385"/>
    <n v="143"/>
    <n v="65"/>
    <n v="929"/>
    <n v="590"/>
    <n v="102"/>
    <n v="51"/>
    <n v="6.2995594713656386E-2"/>
    <n v="4.6931407942238268E-2"/>
    <n v="1.6064186771418118E-2"/>
    <n v="0.10979547900968784"/>
    <n v="8.6440677966101692E-2"/>
    <n v="2.3354801043586143E-2"/>
    <n v="0.63898916967509023"/>
    <n v="1.2000000000000002"/>
    <n v="0.57457627118644061"/>
    <n v="1"/>
  </r>
  <r>
    <s v="RELIGARE ENTERPRISES LTD."/>
    <n v="532915"/>
    <x v="2"/>
    <s v="Investment Company"/>
    <n v="219.55"/>
    <n v="7308.6088335000004"/>
    <n v="1.8134834356635062E-4"/>
    <n v="6033"/>
    <n v="5355"/>
    <n v="-22"/>
    <n v="32"/>
    <n v="2067"/>
    <n v="1670"/>
    <n v="-76"/>
    <n v="-63"/>
    <n v="-3.6466103099618763E-3"/>
    <n v="5.9757236227824459E-3"/>
    <n v="-9.622333932744323E-3"/>
    <n v="-3.6768263183357526E-2"/>
    <n v="-3.772455089820359E-2"/>
    <n v="9.562877148460644E-4"/>
    <n v="0.12661064425770308"/>
    <n v="-1.6875"/>
    <n v="0.23772455089820355"/>
    <n v="0.20634920634920628"/>
  </r>
  <r>
    <s v="TTK PRESTIGE LTD."/>
    <n v="517506"/>
    <x v="6"/>
    <s v="Household Appliances"/>
    <n v="458"/>
    <n v="6257.9715426000002"/>
    <n v="1.5527890453433856E-4"/>
    <n v="2244"/>
    <n v="2065"/>
    <n v="121"/>
    <n v="150"/>
    <n v="801"/>
    <n v="727"/>
    <n v="32"/>
    <n v="57"/>
    <n v="5.3921568627450983E-2"/>
    <n v="7.2639225181598058E-2"/>
    <n v="-1.8717656554147075E-2"/>
    <n v="3.9950062421972535E-2"/>
    <n v="7.8404401650618988E-2"/>
    <n v="-3.8454339228646453E-2"/>
    <n v="8.6682808716707083E-2"/>
    <n v="-0.19333333333333336"/>
    <n v="0.10178817056396139"/>
    <n v="-0.43859649122807021"/>
  </r>
  <r>
    <s v="SML Mahindra Limited"/>
    <n v="505192"/>
    <x v="4"/>
    <s v="Commercial Vehicles"/>
    <n v="4076.3"/>
    <n v="5876.9359999999997"/>
    <n v="1.4582427834423714E-4"/>
    <n v="1940"/>
    <n v="1627"/>
    <n v="106"/>
    <n v="69"/>
    <n v="539"/>
    <n v="331"/>
    <n v="18"/>
    <n v="0.53"/>
    <n v="5.4639175257731959E-2"/>
    <n v="4.2409342347879533E-2"/>
    <n v="1.2229832909852426E-2"/>
    <n v="3.3395176252319109E-2"/>
    <n v="1.6012084592145015E-3"/>
    <n v="3.1793967793104609E-2"/>
    <n v="0.19237861094038111"/>
    <n v="0.53623188405797095"/>
    <n v="0.6283987915407856"/>
    <n v="32.962264150943398"/>
  </r>
  <r>
    <s v="PEARL GLOBAL INDUSTRIES LIMITE"/>
    <n v="532808"/>
    <x v="6"/>
    <s v="Garments &amp; Apparels"/>
    <n v="1529.95"/>
    <n v="7098.8278139000004"/>
    <n v="1.7614305193249782E-4"/>
    <n v="3737"/>
    <n v="3305"/>
    <n v="189"/>
    <n v="165"/>
    <n v="1170"/>
    <n v="1022"/>
    <n v="51"/>
    <n v="48"/>
    <n v="5.0575327803050574E-2"/>
    <n v="4.9924357034795766E-2"/>
    <n v="6.5097076825480771E-4"/>
    <n v="4.3589743589743588E-2"/>
    <n v="4.6966731898238745E-2"/>
    <n v="-3.3769883084951574E-3"/>
    <n v="0.13071104387291976"/>
    <n v="0.1454545454545455"/>
    <n v="0.14481409001956957"/>
    <n v="6.25E-2"/>
  </r>
  <r>
    <s v="Newgen Software Technologies L"/>
    <n v="540900"/>
    <x v="3"/>
    <s v="Computers - Software &amp; Consulting"/>
    <n v="441"/>
    <n v="6232.51188"/>
    <n v="1.5464717450945268E-4"/>
    <n v="1121"/>
    <n v="1056"/>
    <n v="194"/>
    <n v="206"/>
    <n v="400"/>
    <n v="381"/>
    <n v="62"/>
    <n v="89"/>
    <n v="0.17305976806422838"/>
    <n v="0.19507575757575757"/>
    <n v="-2.2015989511529194E-2"/>
    <n v="0.155"/>
    <n v="0.23359580052493439"/>
    <n v="-7.8595800524934395E-2"/>
    <n v="6.1553030303030276E-2"/>
    <n v="-5.8252427184465994E-2"/>
    <n v="4.986876640419946E-2"/>
    <n v="-0.3033707865168539"/>
  </r>
  <r>
    <s v="INDIAN METALS &amp; FERRO ALLOYS L"/>
    <n v="533047"/>
    <x v="8"/>
    <s v="Ferro &amp; Silica Manganese"/>
    <n v="1283.6500000000001"/>
    <n v="6927.7064399999999"/>
    <n v="1.7189702120181744E-4"/>
    <n v="2063"/>
    <n v="1997"/>
    <n v="322"/>
    <n v="332"/>
    <n v="703"/>
    <n v="643"/>
    <n v="131"/>
    <n v="93"/>
    <n v="0.15608337372758119"/>
    <n v="0.16624937406109164"/>
    <n v="-1.016600033351045E-2"/>
    <n v="0.18634423897581792"/>
    <n v="0.14463452566096424"/>
    <n v="4.170971331485368E-2"/>
    <n v="3.3049574361542211E-2"/>
    <n v="-3.0120481927710885E-2"/>
    <n v="9.3312597200622127E-2"/>
    <n v="0.40860215053763449"/>
  </r>
  <r>
    <s v="Dilip Buildcon Limited"/>
    <n v="540047"/>
    <x v="4"/>
    <s v="Civil Construction"/>
    <n v="402.7"/>
    <n v="6542.46432"/>
    <n v="1.6233801730305045E-4"/>
    <n v="6684"/>
    <n v="8220"/>
    <n v="1274"/>
    <n v="563"/>
    <n v="2137"/>
    <n v="2589"/>
    <n v="788"/>
    <n v="157"/>
    <n v="0.19060442848593656"/>
    <n v="6.8491484184914839E-2"/>
    <n v="0.12211294430102172"/>
    <n v="0.36874122601778192"/>
    <n v="6.0641174198532252E-2"/>
    <n v="0.30810005181924965"/>
    <n v="-0.18686131386861315"/>
    <n v="1.2628774422735347"/>
    <n v="-0.17458478176902281"/>
    <n v="4.0191082802547768"/>
  </r>
  <r>
    <s v="Galaxy Surfactants Limited"/>
    <n v="540935"/>
    <x v="8"/>
    <s v="Specialty Chemicals"/>
    <n v="1681.95"/>
    <n v="5956.3980000000001"/>
    <n v="1.4779596712999042E-4"/>
    <n v="3933"/>
    <n v="3078"/>
    <n v="205"/>
    <n v="229"/>
    <n v="1329"/>
    <n v="1041"/>
    <n v="59"/>
    <n v="65"/>
    <n v="5.2123061276379355E-2"/>
    <n v="7.439896036387264E-2"/>
    <n v="-2.2275899087493285E-2"/>
    <n v="4.439428141459744E-2"/>
    <n v="6.2439961575408258E-2"/>
    <n v="-1.8045680160810817E-2"/>
    <n v="0.27777777777777768"/>
    <n v="-0.10480349344978168"/>
    <n v="0.27665706051873196"/>
    <n v="-9.2307692307692313E-2"/>
  </r>
  <r>
    <s v="ALOK INDUSTRIES LTD."/>
    <n v="521070"/>
    <x v="6"/>
    <s v="Other Textile Products"/>
    <n v="12.65"/>
    <n v="6285.9937642000004"/>
    <n v="1.5597421927699058E-4"/>
    <n v="2731"/>
    <n v="2755"/>
    <n v="-551"/>
    <n v="-741"/>
    <n v="858"/>
    <n v="863"/>
    <n v="-217"/>
    <n v="-272"/>
    <n v="-0.20175759794946907"/>
    <n v="-0.26896551724137929"/>
    <n v="6.7207919291910223E-2"/>
    <n v="-0.2529137529137529"/>
    <n v="-0.31517960602549244"/>
    <n v="6.2265853111739544E-2"/>
    <n v="-8.7114337568058309E-3"/>
    <n v="-0.25641025641025639"/>
    <n v="-5.7937427578215184E-3"/>
    <n v="-0.20220588235294112"/>
  </r>
  <r>
    <s v="TIPS MUSIC LIMITED"/>
    <n v="532375"/>
    <x v="6"/>
    <s v="Media &amp; Entertainment"/>
    <n v="527.95000000000005"/>
    <n v="6755.2557735"/>
    <n v="1.6761800676430355E-4"/>
    <n v="271"/>
    <n v="232"/>
    <n v="157"/>
    <n v="135"/>
    <n v="94"/>
    <n v="77"/>
    <n v="58"/>
    <n v="44"/>
    <n v="0.57933579335793361"/>
    <n v="0.5818965517241379"/>
    <n v="-2.5607583662042854E-3"/>
    <n v="0.61702127659574468"/>
    <n v="0.5714285714285714"/>
    <n v="4.5592705167173286E-2"/>
    <n v="0.1681034482758621"/>
    <n v="0.16296296296296298"/>
    <n v="0.22077922077922074"/>
    <n v="0.31818181818181812"/>
  </r>
  <r>
    <s v="Dodla Dairy Limited"/>
    <n v="543306"/>
    <x v="5"/>
    <s v="Dairy Products"/>
    <n v="1017"/>
    <n v="6124.4783295999996"/>
    <n v="1.5196654049811652E-4"/>
    <n v="3050"/>
    <n v="2810"/>
    <n v="19"/>
    <n v="19"/>
    <n v="1025"/>
    <n v="901"/>
    <n v="68"/>
    <n v="63"/>
    <n v="6.2295081967213119E-3"/>
    <n v="6.7615658362989326E-3"/>
    <n v="-5.3205763957762074E-4"/>
    <n v="6.634146341463415E-2"/>
    <n v="6.9922308546059936E-2"/>
    <n v="-3.5808451314257861E-3"/>
    <n v="8.5409252669039093E-2"/>
    <n v="0"/>
    <n v="0.13762486126526086"/>
    <n v="7.9365079365079305E-2"/>
  </r>
  <r>
    <s v="Archean Chemical Industries Li"/>
    <n v="543657"/>
    <x v="8"/>
    <s v="Specialty Chemicals"/>
    <n v="575.95000000000005"/>
    <n v="7098.8580000000002"/>
    <n v="1.7614380093950566E-4"/>
    <n v="780"/>
    <n v="695"/>
    <n v="93"/>
    <n v="108"/>
    <n v="254"/>
    <n v="242"/>
    <n v="23"/>
    <n v="47"/>
    <n v="0.11923076923076924"/>
    <n v="0.1553956834532374"/>
    <n v="-3.6164914222468161E-2"/>
    <n v="9.055118110236221E-2"/>
    <n v="0.19421487603305784"/>
    <n v="-0.10366369493069563"/>
    <n v="0.1223021582733812"/>
    <n v="-0.13888888888888884"/>
    <n v="4.9586776859504189E-2"/>
    <n v="-0.5106382978723405"/>
  </r>
  <r>
    <s v="EPL LIMITED"/>
    <n v="500135"/>
    <x v="4"/>
    <s v="Packaging"/>
    <n v="216.45"/>
    <n v="6930.8028289000003"/>
    <n v="1.7197385182866375E-4"/>
    <n v="3462"/>
    <n v="3107"/>
    <n v="290"/>
    <n v="248"/>
    <n v="1148"/>
    <n v="1014"/>
    <n v="83"/>
    <n v="94"/>
    <n v="8.3766608896591571E-2"/>
    <n v="7.9819761828130026E-2"/>
    <n v="3.9468470684615453E-3"/>
    <n v="7.2299651567944254E-2"/>
    <n v="9.270216962524655E-2"/>
    <n v="-2.0402518057302296E-2"/>
    <n v="0.11425812681042813"/>
    <n v="0.16935483870967749"/>
    <n v="0.13214990138067062"/>
    <n v="-0.11702127659574468"/>
  </r>
  <r>
    <s v="ELANTAS BECK INDIA LTD."/>
    <n v="500123"/>
    <x v="8"/>
    <s v="Specialty Chemicals"/>
    <n v="8302.9500000000007"/>
    <n v="6582.3140506999998"/>
    <n v="1.6332680775806642E-4"/>
    <n v="848"/>
    <n v="748"/>
    <n v="148"/>
    <n v="139"/>
    <n v="215"/>
    <n v="197"/>
    <n v="39"/>
    <n v="30"/>
    <n v="0.17452830188679244"/>
    <n v="0.18582887700534759"/>
    <n v="-1.1300575118555145E-2"/>
    <n v="0.18139534883720931"/>
    <n v="0.15228426395939088"/>
    <n v="2.9111084877818438E-2"/>
    <n v="0.1336898395721926"/>
    <n v="6.4748201438848962E-2"/>
    <n v="9.137055837563457E-2"/>
    <n v="0.30000000000000004"/>
  </r>
  <r>
    <s v="SUDARSHAN CHEMICAL INDUSTRIES"/>
    <n v="506655"/>
    <x v="8"/>
    <s v="Dyes And Pigments"/>
    <n v="757.85"/>
    <n v="5950.9231010000003"/>
    <n v="1.4766011858651767E-4"/>
    <n v="6997"/>
    <n v="1996"/>
    <n v="-42"/>
    <n v="60"/>
    <n v="2103"/>
    <n v="666"/>
    <n v="-116"/>
    <n v="0.5"/>
    <n v="-6.0025725310847503E-3"/>
    <n v="3.0060120240480961E-2"/>
    <n v="-3.6062692771565708E-2"/>
    <n v="-5.515929624346172E-2"/>
    <n v="7.5075075075075074E-4"/>
    <n v="-5.5910046994212467E-2"/>
    <n v="2.5055110220440882"/>
    <n v="-1.7"/>
    <n v="2.1576576576576576"/>
    <n v="-233"/>
  </r>
  <r>
    <s v="RASHTRIYA CHEMICALS &amp; FERTILIZ"/>
    <n v="524230"/>
    <x v="8"/>
    <s v="Fertilizers"/>
    <n v="116.9"/>
    <n v="6454.7496000000001"/>
    <n v="1.6016155396498334E-4"/>
    <n v="12899"/>
    <n v="13204"/>
    <n v="241"/>
    <n v="170"/>
    <n v="4236"/>
    <n v="4518"/>
    <n v="81"/>
    <n v="80"/>
    <n v="1.8683618885184897E-2"/>
    <n v="1.2874886398061194E-2"/>
    <n v="5.808732487123703E-3"/>
    <n v="1.9121813031161474E-2"/>
    <n v="1.7706949977866312E-2"/>
    <n v="1.4148630532951623E-3"/>
    <n v="-2.3099060890639178E-2"/>
    <n v="0.41764705882352948"/>
    <n v="-6.2416998671978696E-2"/>
    <n v="1.2499999999999956E-2"/>
  </r>
  <r>
    <s v="Blue Jet Healthcare Limited"/>
    <n v="544009"/>
    <x v="7"/>
    <s v="Pharmaceuticals"/>
    <n v="362.9"/>
    <n v="6280.3145952000004"/>
    <n v="1.5583330218668705E-4"/>
    <n v="712"/>
    <n v="689"/>
    <n v="183"/>
    <n v="195"/>
    <n v="192"/>
    <n v="318"/>
    <n v="40"/>
    <n v="98"/>
    <n v="0.25702247191011235"/>
    <n v="0.28301886792452829"/>
    <n v="-2.5996396014415946E-2"/>
    <n v="0.20833333333333334"/>
    <n v="0.3081761006289308"/>
    <n v="-9.9842767295597462E-2"/>
    <n v="3.3381712626995741E-2"/>
    <n v="-6.1538461538461542E-2"/>
    <n v="-0.39622641509433965"/>
    <n v="-0.59183673469387754"/>
  </r>
  <r>
    <s v="Avalon Technologies Limited"/>
    <n v="543896"/>
    <x v="4"/>
    <s v="Other Electrical Equipment"/>
    <n v="959.4"/>
    <n v="6406.5468012000001"/>
    <n v="1.5896549902254692E-4"/>
    <n v="1123"/>
    <n v="755"/>
    <n v="71"/>
    <n v="39"/>
    <n v="417"/>
    <n v="280"/>
    <n v="32"/>
    <n v="23"/>
    <n v="6.3223508459483532E-2"/>
    <n v="5.1655629139072845E-2"/>
    <n v="1.1567879320410687E-2"/>
    <n v="7.6738609112709827E-2"/>
    <n v="8.2142857142857142E-2"/>
    <n v="-5.4042480301473156E-3"/>
    <n v="0.48741721854304632"/>
    <n v="0.82051282051282048"/>
    <n v="0.48928571428571432"/>
    <n v="0.39130434782608692"/>
  </r>
  <r>
    <s v="Latent View Analytics Limited"/>
    <n v="543398"/>
    <x v="3"/>
    <s v="Computers - Software &amp; Consulting"/>
    <n v="303.05"/>
    <n v="6276.0319644000001"/>
    <n v="1.5572703736674943E-4"/>
    <n v="771"/>
    <n v="615"/>
    <n v="147"/>
    <n v="122"/>
    <n v="278"/>
    <n v="227"/>
    <n v="50"/>
    <n v="42"/>
    <n v="0.19066147859922178"/>
    <n v="0.19837398373983739"/>
    <n v="-7.7125051406156109E-3"/>
    <n v="0.17985611510791366"/>
    <n v="0.18502202643171806"/>
    <n v="-5.1659113238043952E-3"/>
    <n v="0.25365853658536586"/>
    <n v="0.20491803278688514"/>
    <n v="0.22466960352422904"/>
    <n v="0.19047619047619047"/>
  </r>
  <r>
    <s v="INOX GREEN ENERGY SERVICES LIM"/>
    <n v="543667"/>
    <x v="9"/>
    <s v="Power Generation"/>
    <n v="145.85"/>
    <n v="5850.1402015000003"/>
    <n v="1.451593948098716E-4"/>
    <n v="223"/>
    <n v="167"/>
    <n v="75"/>
    <n v="15"/>
    <n v="81"/>
    <n v="61"/>
    <n v="24"/>
    <n v="5"/>
    <n v="0.33632286995515698"/>
    <n v="8.9820359281437126E-2"/>
    <n v="0.24650251067371987"/>
    <n v="0.29629629629629628"/>
    <n v="8.1967213114754092E-2"/>
    <n v="0.2143290831815422"/>
    <n v="0.33532934131736525"/>
    <n v="4"/>
    <n v="0.32786885245901631"/>
    <n v="3.8"/>
  </r>
  <r>
    <s v="YATHARTH HOSPITAL &amp; TRAUMA CAR"/>
    <n v="543950"/>
    <x v="7"/>
    <s v="Hospital"/>
    <n v="674.9"/>
    <n v="6480.7586504000001"/>
    <n v="1.6080691593676574E-4"/>
    <n v="857"/>
    <n v="648"/>
    <n v="126"/>
    <n v="91"/>
    <n v="320"/>
    <n v="219"/>
    <n v="43"/>
    <n v="30"/>
    <n v="0.14702450408401399"/>
    <n v="0.14043209876543211"/>
    <n v="6.5924053185818787E-3"/>
    <n v="0.13437499999999999"/>
    <n v="0.13698630136986301"/>
    <n v="-2.6113013698630116E-3"/>
    <n v="0.32253086419753085"/>
    <n v="0.38461538461538458"/>
    <n v="0.46118721461187207"/>
    <n v="0.43333333333333335"/>
  </r>
  <r>
    <s v="Max Estates Limited"/>
    <n v="544008"/>
    <x v="6"/>
    <s v="Residential, Commercial Projects"/>
    <n v="356.05"/>
    <n v="5818.83068"/>
    <n v="1.4438251237010351E-4"/>
    <n v="150"/>
    <n v="120"/>
    <n v="19"/>
    <n v="12"/>
    <n v="49"/>
    <n v="40"/>
    <n v="3"/>
    <n v="15"/>
    <n v="0.12666666666666668"/>
    <n v="0.1"/>
    <n v="2.6666666666666672E-2"/>
    <n v="6.1224489795918366E-2"/>
    <n v="0.375"/>
    <n v="-0.31377551020408162"/>
    <n v="0.25"/>
    <n v="0.58333333333333326"/>
    <n v="0.22500000000000009"/>
    <n v="-0.8"/>
  </r>
  <r>
    <s v="GUJARAT STATE FERTILIZERS &amp; CH"/>
    <n v="500690"/>
    <x v="8"/>
    <s v="Fertilizers"/>
    <n v="152.15"/>
    <n v="6062.4366606000003"/>
    <n v="1.5042710198641637E-4"/>
    <n v="8313"/>
    <n v="7612"/>
    <n v="621"/>
    <n v="519"/>
    <n v="2941"/>
    <n v="2841"/>
    <n v="158"/>
    <n v="134"/>
    <n v="7.4702273547455789E-2"/>
    <n v="6.8181818181818177E-2"/>
    <n v="6.5204553656376119E-3"/>
    <n v="5.3723223393403602E-2"/>
    <n v="4.7166490672298486E-2"/>
    <n v="6.5567327211051157E-3"/>
    <n v="9.2091434576983655E-2"/>
    <n v="0.19653179190751446"/>
    <n v="3.5198873636043571E-2"/>
    <n v="0.17910447761194037"/>
  </r>
  <r>
    <s v="GUJARAT NARMADA VALLEY FERTILI"/>
    <n v="500670"/>
    <x v="8"/>
    <s v="Commodity Chemicals"/>
    <n v="402.15"/>
    <n v="5908.4816155999997"/>
    <n v="1.4660701898150028E-4"/>
    <n v="1996"/>
    <n v="1899"/>
    <n v="150"/>
    <n v="163"/>
    <n v="1996"/>
    <n v="1899"/>
    <n v="150"/>
    <n v="158"/>
    <n v="7.5150300601202411E-2"/>
    <n v="8.5834649815692471E-2"/>
    <n v="-1.068434921449006E-2"/>
    <n v="7.5150300601202411E-2"/>
    <n v="8.3201685097419695E-2"/>
    <n v="-8.0513844962172842E-3"/>
    <n v="5.1079515534491859E-2"/>
    <n v="-7.9754601226993849E-2"/>
    <n v="5.1079515534491859E-2"/>
    <n v="-5.0632911392405111E-2"/>
  </r>
  <r>
    <s v="CSB Bank Limited"/>
    <n v="542867"/>
    <x v="2"/>
    <s v="Private Sector Bank"/>
    <n v="371.55"/>
    <n v="6288.3954707000003"/>
    <n v="1.5603381276535884E-4"/>
    <n v="4174"/>
    <n v="3206"/>
    <n v="431"/>
    <n v="403"/>
    <n v="1430"/>
    <n v="1138"/>
    <n v="152"/>
    <n v="151"/>
    <n v="0.10325826545280306"/>
    <n v="0.12570180910792264"/>
    <n v="-2.244354365511958E-2"/>
    <n v="0.1062937062937063"/>
    <n v="0.13268892794376097"/>
    <n v="-2.6395221650054673E-2"/>
    <n v="0.3019338739862758"/>
    <n v="6.9478908188585597E-2"/>
    <n v="0.25659050966608077"/>
    <n v="6.6225165562914245E-3"/>
  </r>
  <r>
    <s v="Mishra Dhatu Nigam Limited"/>
    <n v="541195"/>
    <x v="4"/>
    <s v="Aerospace &amp; Defense"/>
    <n v="305.25"/>
    <n v="5723.2370000000001"/>
    <n v="1.420105485780408E-4"/>
    <n v="655"/>
    <n v="663"/>
    <n v="53"/>
    <n v="53"/>
    <n v="275"/>
    <n v="237"/>
    <n v="27"/>
    <n v="25"/>
    <n v="8.0916030534351147E-2"/>
    <n v="7.9939668174962286E-2"/>
    <n v="9.763623593888604E-4"/>
    <n v="9.8181818181818176E-2"/>
    <n v="0.10548523206751055"/>
    <n v="-7.3034138856923753E-3"/>
    <n v="-1.2066365007541435E-2"/>
    <n v="0"/>
    <n v="0.16033755274261607"/>
    <n v="8.0000000000000071E-2"/>
  </r>
  <r>
    <s v="WELSPUN ENTERPRISES LIMTED"/>
    <n v="532553"/>
    <x v="4"/>
    <s v="Civil Construction"/>
    <n v="440.75"/>
    <n v="6029.384333"/>
    <n v="1.4960697533881169E-4"/>
    <n v="2416"/>
    <n v="2641"/>
    <n v="230"/>
    <n v="248"/>
    <n v="789"/>
    <n v="896"/>
    <n v="31"/>
    <n v="77"/>
    <n v="9.5198675496688742E-2"/>
    <n v="9.3903824308973871E-2"/>
    <n v="1.2948511877148711E-3"/>
    <n v="3.9290240811153357E-2"/>
    <n v="8.59375E-2"/>
    <n v="-4.6647259188846643E-2"/>
    <n v="-8.5195001893222266E-2"/>
    <n v="-7.2580645161290369E-2"/>
    <n v="-0.1194196428571429"/>
    <n v="-0.59740259740259738"/>
  </r>
  <r>
    <s v="GUJARAT AMBUJA EXPORTS LTD."/>
    <n v="524226"/>
    <x v="5"/>
    <s v="Other Agricultural Products"/>
    <n v="145.1"/>
    <n v="6660.0569071"/>
    <n v="1.6525583947305357E-4"/>
    <n v="4262"/>
    <n v="3346"/>
    <n v="169"/>
    <n v="217"/>
    <n v="1481"/>
    <n v="1131"/>
    <n v="66"/>
    <n v="71"/>
    <n v="3.9652745190051616E-2"/>
    <n v="6.4853556485355651E-2"/>
    <n v="-2.5200811295304035E-2"/>
    <n v="4.4564483457123563E-2"/>
    <n v="6.2776304155614499E-2"/>
    <n v="-1.8211820698490935E-2"/>
    <n v="0.27375971309025693"/>
    <n v="-0.22119815668202769"/>
    <n v="0.30946065428824054"/>
    <n v="-7.0422535211267623E-2"/>
  </r>
  <r>
    <s v="Aarti Pharmalabs Limited"/>
    <n v="543748"/>
    <x v="7"/>
    <s v="Pharmaceuticals"/>
    <n v="648.70000000000005"/>
    <n v="5880.0614435999996"/>
    <n v="1.4590182990468898E-4"/>
    <n v="1236"/>
    <n v="1551"/>
    <n v="125"/>
    <n v="184"/>
    <n v="432"/>
    <n v="537"/>
    <n v="47"/>
    <n v="73"/>
    <n v="0.1011326860841424"/>
    <n v="0.11863313990973566"/>
    <n v="-1.750045382559326E-2"/>
    <n v="0.10879629629629629"/>
    <n v="0.13594040968342644"/>
    <n v="-2.7144113387130145E-2"/>
    <n v="-0.20309477756286265"/>
    <n v="-0.32065217391304346"/>
    <n v="-0.1955307262569832"/>
    <n v="-0.35616438356164382"/>
  </r>
  <r>
    <s v="ISGEC HEAVY ENGINEERING LTD."/>
    <n v="533033"/>
    <x v="4"/>
    <s v="Civil Construction"/>
    <n v="913.95"/>
    <n v="6727.9492499999997"/>
    <n v="1.6694045062221223E-4"/>
    <n v="4770"/>
    <n v="4677"/>
    <n v="199"/>
    <n v="185"/>
    <n v="1738"/>
    <n v="1495"/>
    <n v="112"/>
    <n v="58"/>
    <n v="4.1719077568134172E-2"/>
    <n v="3.955527047252512E-2"/>
    <n v="2.1638070956090522E-3"/>
    <n v="6.4441887226697359E-2"/>
    <n v="3.8795986622073578E-2"/>
    <n v="2.5645900604623781E-2"/>
    <n v="1.9884541372674702E-2"/>
    <n v="7.5675675675675569E-2"/>
    <n v="0.16254180602006696"/>
    <n v="0.93103448275862077"/>
  </r>
  <r>
    <s v="QUALITY POWER ELECTRICAL EQUIP"/>
    <n v="544367"/>
    <x v="4"/>
    <s v="Heavy Electrical Equipment"/>
    <n v="882.9"/>
    <n v="6830.1824939999997"/>
    <n v="1.6947716176371358E-4"/>
    <n v="666"/>
    <n v="228"/>
    <n v="134"/>
    <n v="69"/>
    <n v="283"/>
    <n v="72"/>
    <n v="62"/>
    <n v="19"/>
    <n v="0.20120120120120119"/>
    <n v="0.30263157894736842"/>
    <n v="-0.10143037774616723"/>
    <n v="0.21908127208480566"/>
    <n v="0.2638888888888889"/>
    <n v="-4.4807616804083239E-2"/>
    <n v="1.9210526315789473"/>
    <n v="0.94202898550724634"/>
    <n v="2.9305555555555554"/>
    <n v="2.263157894736842"/>
  </r>
  <r>
    <s v="REDTAPE Limited"/>
    <n v="543957"/>
    <x v="6"/>
    <s v="Footwear"/>
    <n v="115"/>
    <n v="6357.8403256000001"/>
    <n v="1.5775694635920991E-4"/>
    <n v="1743"/>
    <n v="1514"/>
    <n v="170"/>
    <n v="128"/>
    <n v="786"/>
    <n v="661"/>
    <n v="104"/>
    <n v="73"/>
    <n v="9.7532989099254161E-2"/>
    <n v="8.4544253632760899E-2"/>
    <n v="1.2988735466493262E-2"/>
    <n v="0.13231552162849872"/>
    <n v="0.11043872919818457"/>
    <n v="2.1876792430314151E-2"/>
    <n v="0.15125495376486131"/>
    <n v="0.328125"/>
    <n v="0.18910741301059009"/>
    <n v="0.42465753424657526"/>
  </r>
  <r>
    <s v="Sapphire Foods India Limited"/>
    <n v="543397"/>
    <x v="6"/>
    <s v="Restaurants"/>
    <n v="157.15"/>
    <n v="5046.7937437000001"/>
    <n v="1.2522597755484547E-4"/>
    <n v="2333"/>
    <n v="2170"/>
    <n v="-19"/>
    <n v="14"/>
    <n v="813"/>
    <n v="756"/>
    <n v="-4"/>
    <n v="12"/>
    <n v="-8.144020574367767E-3"/>
    <n v="6.4516129032258064E-3"/>
    <n v="-1.4595633477593573E-2"/>
    <n v="-4.9200492004920051E-3"/>
    <n v="1.5873015873015872E-2"/>
    <n v="-2.0793065073507876E-2"/>
    <n v="7.5115207373271931E-2"/>
    <n v="-2.3571428571428572"/>
    <n v="7.5396825396825351E-2"/>
    <n v="-1.3333333333333333"/>
  </r>
  <r>
    <s v="PRISM JOHNSON LIMITED."/>
    <n v="500338"/>
    <x v="8"/>
    <s v="Cement &amp; Cement Products"/>
    <n v="123.05"/>
    <n v="6186.7549257999999"/>
    <n v="1.5351180825304877E-4"/>
    <n v="5646"/>
    <n v="5323"/>
    <n v="46"/>
    <n v="-76"/>
    <n v="1850"/>
    <n v="1792"/>
    <n v="50"/>
    <n v="46"/>
    <n v="8.1473609635139919E-3"/>
    <n v="-1.4277662972008266E-2"/>
    <n v="2.2425023935522259E-2"/>
    <n v="2.7027027027027029E-2"/>
    <n v="2.5669642857142856E-2"/>
    <n v="1.3573841698841724E-3"/>
    <n v="6.0680067631035062E-2"/>
    <n v="-1.6052631578947367"/>
    <n v="3.2366071428571397E-2"/>
    <n v="8.6956521739130377E-2"/>
  </r>
  <r>
    <s v="Power Mech Projects Limited"/>
    <n v="539302"/>
    <x v="4"/>
    <s v="Civil Construction"/>
    <n v="1925.65"/>
    <n v="6085.1871818999998"/>
    <n v="1.5099161015028401E-4"/>
    <n v="3951"/>
    <n v="3381"/>
    <n v="258"/>
    <n v="218"/>
    <n v="1420"/>
    <n v="1338"/>
    <n v="100"/>
    <n v="86"/>
    <n v="6.5299924069855728E-2"/>
    <n v="6.4477965099083115E-2"/>
    <n v="8.2195897077261271E-4"/>
    <n v="7.0422535211267609E-2"/>
    <n v="6.4275037369207769E-2"/>
    <n v="6.1474978420598403E-3"/>
    <n v="0.16858917480035496"/>
    <n v="0.1834862385321101"/>
    <n v="6.1285500747384258E-2"/>
    <n v="0.16279069767441867"/>
  </r>
  <r>
    <s v="SAREGAMA INDIA LTD."/>
    <n v="532163"/>
    <x v="6"/>
    <s v="Media &amp; Entertainment"/>
    <n v="317.5"/>
    <n v="6098.5535492999998"/>
    <n v="1.5132326951839504E-4"/>
    <n v="697"/>
    <n v="930"/>
    <n v="131"/>
    <n v="144"/>
    <n v="260"/>
    <n v="483"/>
    <n v="51"/>
    <n v="62"/>
    <n v="0.18794835007173602"/>
    <n v="0.15483870967741936"/>
    <n v="3.3109640394316658E-2"/>
    <n v="0.19615384615384615"/>
    <n v="0.12836438923395446"/>
    <n v="6.7789456919891689E-2"/>
    <n v="-0.25053763440860211"/>
    <n v="-9.027777777777779E-2"/>
    <n v="-0.4616977225672878"/>
    <n v="-0.17741935483870963"/>
  </r>
  <r>
    <s v="SHILPA MEDICARE LTD."/>
    <n v="530549"/>
    <x v="7"/>
    <s v="Pharmaceuticals"/>
    <n v="385.8"/>
    <n v="7546.5238723000002"/>
    <n v="1.8725172397414324E-4"/>
    <n v="1101"/>
    <n v="955"/>
    <n v="135"/>
    <n v="63"/>
    <n v="409"/>
    <n v="319"/>
    <n v="44"/>
    <n v="31"/>
    <n v="0.1226158038147139"/>
    <n v="6.5968586387434552E-2"/>
    <n v="5.664721742727935E-2"/>
    <n v="0.10757946210268948"/>
    <n v="9.7178683385579931E-2"/>
    <n v="1.0400778717109552E-2"/>
    <n v="0.15287958115183242"/>
    <n v="1.1428571428571428"/>
    <n v="0.28213166144200619"/>
    <n v="0.41935483870967749"/>
  </r>
  <r>
    <s v="KIRLOSKAR FERROUS INDUSTRIES L"/>
    <n v="500245"/>
    <x v="8"/>
    <s v="Pig Iron"/>
    <n v="376.45"/>
    <n v="6208.4738332999996"/>
    <n v="1.5405071900732832E-4"/>
    <n v="5003"/>
    <n v="4830"/>
    <n v="246"/>
    <n v="222"/>
    <n v="1590"/>
    <n v="1609"/>
    <n v="57"/>
    <n v="61"/>
    <n v="4.9170497701379171E-2"/>
    <n v="4.5962732919254658E-2"/>
    <n v="3.2077647821245128E-3"/>
    <n v="3.5849056603773584E-2"/>
    <n v="3.791174642635177E-2"/>
    <n v="-2.0626898225781856E-3"/>
    <n v="3.5817805383022705E-2"/>
    <n v="0.10810810810810811"/>
    <n v="-1.1808576755748867E-2"/>
    <n v="-6.557377049180324E-2"/>
  </r>
  <r>
    <s v="GARWARE TECHNICAL FIBRES LIMIT"/>
    <n v="509557"/>
    <x v="6"/>
    <s v="Other Textile Products"/>
    <n v="600.20000000000005"/>
    <n v="5959.9212759000002"/>
    <n v="1.4788339009418899E-4"/>
    <n v="1102"/>
    <n v="1107"/>
    <n v="141"/>
    <n v="160"/>
    <n v="387"/>
    <n v="350"/>
    <n v="56"/>
    <n v="47"/>
    <n v="0.1279491833030853"/>
    <n v="0.14453477868112014"/>
    <n v="-1.6585595378034834E-2"/>
    <n v="0.14470284237726097"/>
    <n v="0.13428571428571429"/>
    <n v="1.0417128091546685E-2"/>
    <n v="-4.5167118337849921E-3"/>
    <n v="-0.11875000000000002"/>
    <n v="0.10571428571428565"/>
    <n v="0.1914893617021276"/>
  </r>
  <r>
    <s v="ETHOS LIMITED"/>
    <n v="543532"/>
    <x v="6"/>
    <s v="Gems, Jewellery And Watches"/>
    <n v="2250.25"/>
    <n v="6032.7890487000004"/>
    <n v="1.4969145647148352E-4"/>
    <n v="1198"/>
    <n v="940"/>
    <n v="73"/>
    <n v="73"/>
    <n v="468"/>
    <n v="369"/>
    <n v="30"/>
    <n v="29"/>
    <n v="6.0934891485809682E-2"/>
    <n v="7.7659574468085107E-2"/>
    <n v="-1.6724682982275425E-2"/>
    <n v="6.4102564102564097E-2"/>
    <n v="7.8590785907859076E-2"/>
    <n v="-1.4488221805294979E-2"/>
    <n v="0.27446808510638299"/>
    <n v="0"/>
    <n v="0.26829268292682928"/>
    <n v="3.4482758620689724E-2"/>
  </r>
  <r>
    <s v="CERA SANITARYWARE LTD."/>
    <n v="532443"/>
    <x v="6"/>
    <s v="Sanitary Ware"/>
    <n v="4790.95"/>
    <n v="6180.6744720999995"/>
    <n v="1.5336093409467643E-4"/>
    <n v="1406"/>
    <n v="1337"/>
    <n v="126"/>
    <n v="160"/>
    <n v="498"/>
    <n v="449"/>
    <n v="23"/>
    <n v="45"/>
    <n v="8.9615931721194877E-2"/>
    <n v="0.11967090501121914"/>
    <n v="-3.0054973290024267E-2"/>
    <n v="4.6184738955823292E-2"/>
    <n v="0.10022271714922049"/>
    <n v="-5.4037978193397194E-2"/>
    <n v="5.1608077786088336E-2"/>
    <n v="-0.21250000000000002"/>
    <n v="0.10913140311804015"/>
    <n v="-0.48888888888888893"/>
  </r>
  <r>
    <s v="SHAKTI PUMPS (INDIA) LTD."/>
    <n v="531431"/>
    <x v="4"/>
    <s v="Compressors, Pumps &amp; Diesel Engines"/>
    <n v="496.3"/>
    <n v="6122.3867331000001"/>
    <n v="1.5191464176207451E-4"/>
    <n v="1840"/>
    <n v="1851"/>
    <n v="219"/>
    <n v="298"/>
    <n v="550"/>
    <n v="649"/>
    <n v="32"/>
    <n v="104"/>
    <n v="0.11902173913043479"/>
    <n v="0.16099405726634253"/>
    <n v="-4.1972318135907738E-2"/>
    <n v="5.8181818181818182E-2"/>
    <n v="0.16024653312788906"/>
    <n v="-0.10206471494607088"/>
    <n v="-5.9427336574824352E-3"/>
    <n v="-0.2651006711409396"/>
    <n v="-0.15254237288135597"/>
    <n v="-0.69230769230769229"/>
  </r>
  <r>
    <s v="Thyrocare Technologies Limited"/>
    <n v="539871"/>
    <x v="7"/>
    <s v="Healthcare Service Provider"/>
    <n v="380"/>
    <n v="6045.8"/>
    <n v="1.500142969080468E-4"/>
    <n v="605"/>
    <n v="500"/>
    <n v="114"/>
    <n v="69"/>
    <n v="196"/>
    <n v="166"/>
    <n v="28"/>
    <n v="19"/>
    <n v="0.1884297520661157"/>
    <n v="0.13800000000000001"/>
    <n v="5.0429752066115691E-2"/>
    <n v="0.14285714285714285"/>
    <n v="0.1144578313253012"/>
    <n v="2.8399311531841651E-2"/>
    <n v="0.20999999999999996"/>
    <n v="0.65217391304347827"/>
    <n v="0.18072289156626509"/>
    <n v="0.47368421052631571"/>
  </r>
  <r>
    <s v="BOROSIL RENEWABLES LIMITED"/>
    <n v="502219"/>
    <x v="4"/>
    <s v="Glass - Industrial"/>
    <n v="415.9"/>
    <n v="5831.1533071000003"/>
    <n v="1.4468827343405976E-4"/>
    <n v="1115"/>
    <n v="1105"/>
    <n v="-41"/>
    <n v="-57"/>
    <n v="390"/>
    <n v="361"/>
    <n v="100"/>
    <n v="-30"/>
    <n v="-3.6771300448430494E-2"/>
    <n v="-5.1583710407239816E-2"/>
    <n v="1.4812409958809322E-2"/>
    <n v="0.25641025641025639"/>
    <n v="-8.3102493074792241E-2"/>
    <n v="0.33951274948504861"/>
    <n v="9.0497737556560764E-3"/>
    <n v="-0.2807017543859649"/>
    <n v="8.0332409972299068E-2"/>
    <n v="-4.3333333333333339"/>
  </r>
  <r>
    <s v="INDIA GLYCOLS LTD."/>
    <n v="500201"/>
    <x v="5"/>
    <s v="Breweries &amp; Distilleries"/>
    <n v="902.6"/>
    <n v="6047.1543689999999"/>
    <n v="1.5004790283501909E-4"/>
    <n v="7463"/>
    <n v="6850"/>
    <n v="206"/>
    <n v="167"/>
    <n v="2551"/>
    <n v="2424"/>
    <n v="68"/>
    <n v="57"/>
    <n v="2.760284068069141E-2"/>
    <n v="2.437956204379562E-2"/>
    <n v="3.2232786368957891E-3"/>
    <n v="2.6656213249705997E-2"/>
    <n v="2.3514851485148515E-2"/>
    <n v="3.1413617645574821E-3"/>
    <n v="8.948905109489047E-2"/>
    <n v="0.23353293413173648"/>
    <n v="5.2392739273927402E-2"/>
    <n v="0.19298245614035081"/>
  </r>
  <r>
    <s v="AXISCADES TECHNOLOGIES LIMITED"/>
    <n v="532395"/>
    <x v="4"/>
    <s v="Aerospace &amp; Defense"/>
    <n v="1679.3"/>
    <n v="7134.4163639999997"/>
    <n v="1.770261098108974E-4"/>
    <n v="885"/>
    <n v="762"/>
    <n v="71"/>
    <n v="43"/>
    <n v="343"/>
    <n v="274"/>
    <n v="27"/>
    <n v="14"/>
    <n v="8.0225988700564965E-2"/>
    <n v="5.6430446194225721E-2"/>
    <n v="2.3795542506339244E-2"/>
    <n v="7.8717201166180764E-2"/>
    <n v="5.1094890510948905E-2"/>
    <n v="2.7622310655231859E-2"/>
    <n v="0.1614173228346456"/>
    <n v="0.65116279069767447"/>
    <n v="0.25182481751824826"/>
    <n v="0.9285714285714286"/>
  </r>
  <r>
    <s v="L.G.BALAKRISHNAN &amp; BROS.LTD."/>
    <n v="500250"/>
    <x v="6"/>
    <s v="Auto Components &amp; Equipments"/>
    <n v="1705.85"/>
    <n v="5422.0285462000002"/>
    <n v="1.3453667011372394E-4"/>
    <n v="2260"/>
    <n v="1909"/>
    <n v="249"/>
    <n v="218"/>
    <n v="816"/>
    <n v="676"/>
    <n v="88"/>
    <n v="75"/>
    <n v="0.11017699115044248"/>
    <n v="0.1141959140911472"/>
    <n v="-4.0189229407047167E-3"/>
    <n v="0.10784313725490197"/>
    <n v="0.11094674556213018"/>
    <n v="-3.1036083072282089E-3"/>
    <n v="0.18386589837611322"/>
    <n v="0.14220183486238525"/>
    <n v="0.20710059171597628"/>
    <n v="0.17333333333333334"/>
  </r>
  <r>
    <s v="MOIL LTD."/>
    <n v="533286"/>
    <x v="8"/>
    <s v="Industrial Minerals"/>
    <n v="301"/>
    <n v="6124.9015099999997"/>
    <n v="1.5197704086368787E-4"/>
    <n v="1056"/>
    <n v="1151"/>
    <n v="174"/>
    <n v="265"/>
    <n v="359"/>
    <n v="366"/>
    <n v="52"/>
    <n v="63"/>
    <n v="0.16477272727272727"/>
    <n v="0.23023457862728064"/>
    <n v="-6.5461851354553374E-2"/>
    <n v="0.14484679665738162"/>
    <n v="0.1721311475409836"/>
    <n v="-2.7284350883601982E-2"/>
    <n v="-8.2536924413553425E-2"/>
    <n v="-0.34339622641509437"/>
    <n v="-1.9125683060109311E-2"/>
    <n v="-0.17460317460317465"/>
  </r>
  <r>
    <s v="Aditya Vision Limited"/>
    <n v="540205"/>
    <x v="6"/>
    <s v="Speciality Retail"/>
    <n v="459.55"/>
    <n v="5926.1427411000004"/>
    <n v="1.4704524408396601E-4"/>
    <n v="2054"/>
    <n v="1778"/>
    <n v="95"/>
    <n v="89"/>
    <n v="652"/>
    <n v="510"/>
    <n v="27"/>
    <n v="24"/>
    <n v="4.6251217137293084E-2"/>
    <n v="5.0056242969628795E-2"/>
    <n v="-3.8050258323357108E-3"/>
    <n v="4.1411042944785273E-2"/>
    <n v="4.7058823529411764E-2"/>
    <n v="-5.6477805846264911E-3"/>
    <n v="0.15523059617547807"/>
    <n v="6.7415730337078594E-2"/>
    <n v="0.27843137254901951"/>
    <n v="0.125"/>
  </r>
  <r>
    <s v="JAI BALAJI INDUSTRIES LTD."/>
    <n v="532976"/>
    <x v="8"/>
    <s v="Iron &amp; Steel"/>
    <n v="56.87"/>
    <n v="5195.2712229999997"/>
    <n v="1.2891014584752279E-4"/>
    <n v="4039"/>
    <n v="4761"/>
    <n v="108"/>
    <n v="482"/>
    <n v="1328"/>
    <n v="1486"/>
    <n v="12"/>
    <n v="120"/>
    <n v="2.6739291903936618E-2"/>
    <n v="0.1012392354547364"/>
    <n v="-7.449994355079978E-2"/>
    <n v="9.0361445783132526E-3"/>
    <n v="8.0753701211305512E-2"/>
    <n v="-7.1717556632992258E-2"/>
    <n v="-0.15164881327452218"/>
    <n v="-0.77593360995850624"/>
    <n v="-0.10632570659488561"/>
    <n v="-0.9"/>
  </r>
  <r>
    <s v="Sheela Foam Limited"/>
    <n v="540203"/>
    <x v="6"/>
    <s v="Furniture, Home Furnishing"/>
    <n v="502.45"/>
    <n v="5469.2353832999997"/>
    <n v="1.3570801228131286E-4"/>
    <n v="2771"/>
    <n v="2590"/>
    <n v="69"/>
    <n v="77"/>
    <n v="1074"/>
    <n v="967"/>
    <n v="53"/>
    <n v="17"/>
    <n v="2.4900757849151932E-2"/>
    <n v="2.9729729729729731E-2"/>
    <n v="-4.8289718805777995E-3"/>
    <n v="4.9348230912476726E-2"/>
    <n v="1.7580144777662874E-2"/>
    <n v="3.1768086134813855E-2"/>
    <n v="6.98841698841699E-2"/>
    <n v="-0.10389610389610393"/>
    <n v="0.11065149948293684"/>
    <n v="2.1176470588235294"/>
  </r>
  <r>
    <s v="FDC LTD."/>
    <n v="531599"/>
    <x v="7"/>
    <s v="Pharmaceuticals"/>
    <n v="335.45"/>
    <n v="5465.5318987000001"/>
    <n v="1.3561611780276927E-4"/>
    <n v="1586"/>
    <n v="1616"/>
    <n v="178"/>
    <n v="228"/>
    <n v="464"/>
    <n v="464"/>
    <n v="28"/>
    <n v="37"/>
    <n v="0.11223203026481715"/>
    <n v="0.14108910891089108"/>
    <n v="-2.8857078646073925E-2"/>
    <n v="6.0344827586206899E-2"/>
    <n v="7.9741379310344834E-2"/>
    <n v="-1.9396551724137935E-2"/>
    <n v="-1.8564356435643581E-2"/>
    <n v="-0.2192982456140351"/>
    <n v="0"/>
    <n v="-0.2432432432432432"/>
  </r>
  <r>
    <s v="Greenlam Industries Ltd"/>
    <n v="538979"/>
    <x v="6"/>
    <s v="Plywood Boards/ Laminates"/>
    <n v="219.35"/>
    <n v="5580.0801210999998"/>
    <n v="1.3845840022120895E-4"/>
    <n v="2188"/>
    <n v="1888"/>
    <n v="15"/>
    <n v="67"/>
    <n v="706"/>
    <n v="602"/>
    <n v="-0.59"/>
    <n v="13"/>
    <n v="6.855575868372943E-3"/>
    <n v="3.5487288135593223E-2"/>
    <n v="-2.8631712267220281E-2"/>
    <n v="-8.3569405099150138E-4"/>
    <n v="2.1594684385382059E-2"/>
    <n v="-2.243037843637356E-2"/>
    <n v="0.15889830508474567"/>
    <n v="-0.77611940298507465"/>
    <n v="0.1727574750830565"/>
    <n v="-1.0453846153846154"/>
  </r>
  <r>
    <s v="SG MART LIMITED"/>
    <n v="512329"/>
    <x v="8"/>
    <s v="Trading - Metals"/>
    <n v="503.2"/>
    <n v="6344.7298461"/>
    <n v="1.5743163633169993E-4"/>
    <n v="4549"/>
    <n v="4323"/>
    <n v="69"/>
    <n v="70"/>
    <n v="1662"/>
    <n v="1360"/>
    <n v="10"/>
    <n v="28"/>
    <n v="1.5168168828313915E-2"/>
    <n v="1.6192458940550544E-2"/>
    <n v="-1.0242901122366286E-3"/>
    <n v="6.0168471720818293E-3"/>
    <n v="2.0588235294117647E-2"/>
    <n v="-1.4571388122035817E-2"/>
    <n v="5.2278510293777503E-2"/>
    <n v="-1.4285714285714235E-2"/>
    <n v="0.22205882352941186"/>
    <n v="-0.64285714285714279"/>
  </r>
  <r>
    <s v="SUPRAJIT ENGINEERING LTD."/>
    <n v="532509"/>
    <x v="6"/>
    <s v="Auto Components &amp; Equipments"/>
    <n v="413.15"/>
    <n v="5667.2239127000003"/>
    <n v="1.4062069712596521E-4"/>
    <n v="2782"/>
    <n v="2400"/>
    <n v="111"/>
    <n v="72"/>
    <n v="978"/>
    <n v="831"/>
    <n v="12"/>
    <n v="33"/>
    <n v="3.9899352983465135E-2"/>
    <n v="0.03"/>
    <n v="9.8993529834651359E-3"/>
    <n v="1.2269938650306749E-2"/>
    <n v="3.9711191335740074E-2"/>
    <n v="-2.7441252685433327E-2"/>
    <n v="0.15916666666666668"/>
    <n v="0.54166666666666674"/>
    <n v="0.17689530685920585"/>
    <n v="-0.63636363636363635"/>
  </r>
  <r>
    <s v="PRECISION WIRES INDIA LTD."/>
    <n v="523539"/>
    <x v="4"/>
    <s v="Aluminium, Copper &amp; Zinc Products"/>
    <n v="299.89999999999998"/>
    <n v="5475.0966049999997"/>
    <n v="1.3585344664109115E-4"/>
    <n v="3666"/>
    <n v="2969"/>
    <n v="100"/>
    <n v="60"/>
    <n v="1336"/>
    <n v="979"/>
    <n v="37"/>
    <n v="18"/>
    <n v="2.7277686852154936E-2"/>
    <n v="2.0208824520040417E-2"/>
    <n v="7.0688623321145186E-3"/>
    <n v="2.7694610778443114E-2"/>
    <n v="1.8386108273748723E-2"/>
    <n v="9.3085025046943902E-3"/>
    <n v="0.23475917817446956"/>
    <n v="0.66666666666666674"/>
    <n v="0.36465781409601639"/>
    <n v="1.0555555555555554"/>
  </r>
  <r>
    <s v="JK PAPER LTD."/>
    <n v="532162"/>
    <x v="8"/>
    <s v="Paper &amp; Paper Products"/>
    <n v="336.5"/>
    <n v="6103.1875526000003"/>
    <n v="1.5143825293612622E-4"/>
    <n v="5533"/>
    <n v="5315"/>
    <n v="191"/>
    <n v="335"/>
    <n v="1878"/>
    <n v="1733"/>
    <n v="28"/>
    <n v="65"/>
    <n v="3.4520151816374481E-2"/>
    <n v="6.3029162746942619E-2"/>
    <n v="-2.8509010930568138E-2"/>
    <n v="1.4909478168264111E-2"/>
    <n v="3.7507212925562611E-2"/>
    <n v="-2.2597734757298499E-2"/>
    <n v="4.1015992474129792E-2"/>
    <n v="-0.42985074626865671"/>
    <n v="8.3669936526254984E-2"/>
    <n v="-0.56923076923076921"/>
  </r>
  <r>
    <s v="DCB BANK LIMITED"/>
    <n v="532772"/>
    <x v="2"/>
    <s v="Private Sector Bank"/>
    <n v="168.45"/>
    <n v="5424.6875859000002"/>
    <n v="1.3460264880488904E-4"/>
    <n v="6140"/>
    <n v="5260"/>
    <n v="525"/>
    <n v="438"/>
    <n v="2082"/>
    <n v="1855"/>
    <n v="184"/>
    <n v="151"/>
    <n v="8.5504885993485338E-2"/>
    <n v="8.3269961977186308E-2"/>
    <n v="2.2349240162990308E-3"/>
    <n v="8.8376560999039386E-2"/>
    <n v="8.1401617250673852E-2"/>
    <n v="6.9749437483655335E-3"/>
    <n v="0.16730038022813698"/>
    <n v="0.19863013698630128"/>
    <n v="0.12237196765498659"/>
    <n v="0.2185430463576159"/>
  </r>
  <r>
    <s v="Kingfa Science &amp; Technology (I"/>
    <n v="524019"/>
    <x v="4"/>
    <s v="Plastic Products - Industrial"/>
    <n v="4234.3999999999996"/>
    <n v="5754.9997936999998"/>
    <n v="1.4279867805052431E-4"/>
    <n v="1417"/>
    <n v="1275"/>
    <n v="126"/>
    <n v="110"/>
    <n v="489"/>
    <n v="440"/>
    <n v="45"/>
    <n v="34"/>
    <n v="8.8920254057868742E-2"/>
    <n v="8.6274509803921567E-2"/>
    <n v="2.6457442539471743E-3"/>
    <n v="9.202453987730061E-2"/>
    <n v="7.7272727272727271E-2"/>
    <n v="1.4751812604573339E-2"/>
    <n v="0.1113725490196078"/>
    <n v="0.1454545454545455"/>
    <n v="0.11136363636363633"/>
    <n v="0.32352941176470584"/>
  </r>
  <r>
    <s v="RateGain Travel Technologies L"/>
    <n v="543417"/>
    <x v="3"/>
    <s v="Computers - Software &amp; Consulting"/>
    <n v="496.65"/>
    <n v="5870.0460343000004"/>
    <n v="1.4565331778315242E-4"/>
    <n v="1108"/>
    <n v="815"/>
    <n v="124"/>
    <n v="154"/>
    <n v="540"/>
    <n v="278"/>
    <n v="26"/>
    <n v="56"/>
    <n v="0.11191335740072202"/>
    <n v="0.18895705521472392"/>
    <n v="-7.7043697814001902E-2"/>
    <n v="4.8148148148148148E-2"/>
    <n v="0.20143884892086331"/>
    <n v="-0.15329070077271517"/>
    <n v="0.35950920245398765"/>
    <n v="-0.19480519480519476"/>
    <n v="0.94244604316546754"/>
    <n v="-0.5357142857142857"/>
  </r>
  <r>
    <s v="KOVAI MEDICAL CENTER &amp; HOSPITA"/>
    <n v="523323"/>
    <x v="7"/>
    <s v="Hospital"/>
    <n v="5233.8500000000004"/>
    <n v="5727.0148569000003"/>
    <n v="1.4210428845476061E-4"/>
    <n v="1170"/>
    <n v="1013"/>
    <n v="181"/>
    <n v="154"/>
    <n v="406"/>
    <n v="354"/>
    <n v="65"/>
    <n v="57"/>
    <n v="0.15470085470085471"/>
    <n v="0.15202369200394866"/>
    <n v="2.6771626969060436E-3"/>
    <n v="0.16009852216748768"/>
    <n v="0.16101694915254236"/>
    <n v="-9.1842698505467668E-4"/>
    <n v="0.15498519249753206"/>
    <n v="0.17532467532467533"/>
    <n v="0.14689265536723162"/>
    <n v="0.14035087719298245"/>
  </r>
  <r>
    <s v="TANLA PLATFORMS LIMITED"/>
    <n v="532790"/>
    <x v="3"/>
    <s v="Software Products"/>
    <n v="421.2"/>
    <n v="5561.7231700000002"/>
    <n v="1.380029096140698E-4"/>
    <n v="3240"/>
    <n v="3003"/>
    <n v="374"/>
    <n v="389"/>
    <n v="1121"/>
    <n v="1000"/>
    <n v="131"/>
    <n v="118"/>
    <n v="0.1154320987654321"/>
    <n v="0.12953712953712954"/>
    <n v="-1.4105030771697433E-2"/>
    <n v="0.11685994647636039"/>
    <n v="0.11799999999999999"/>
    <n v="-1.1400535236396059E-3"/>
    <n v="7.8921078921079024E-2"/>
    <n v="-3.8560411311054033E-2"/>
    <n v="0.121"/>
    <n v="0.11016949152542366"/>
  </r>
  <r>
    <s v="Arvind Fashions Limited"/>
    <n v="542484"/>
    <x v="6"/>
    <s v="Speciality Retail"/>
    <n v="442.05"/>
    <n v="5898.1905737999996"/>
    <n v="1.4635166759705516E-4"/>
    <n v="3934"/>
    <n v="3454"/>
    <n v="118"/>
    <n v="106"/>
    <n v="1382"/>
    <n v="1211"/>
    <n v="36"/>
    <n v="47"/>
    <n v="2.9994916115912557E-2"/>
    <n v="3.0689056166763172E-2"/>
    <n v="-6.9414005085061473E-4"/>
    <n v="2.6049204052098408E-2"/>
    <n v="3.8810900082576386E-2"/>
    <n v="-1.2761696030477977E-2"/>
    <n v="0.13896931094383325"/>
    <n v="0.1132075471698113"/>
    <n v="0.14120561519405439"/>
    <n v="-0.23404255319148937"/>
  </r>
  <r>
    <s v="KRN HEAT EXCHANGER AND REFRIGE"/>
    <n v="544263"/>
    <x v="4"/>
    <s v="Other Industrial Products"/>
    <n v="889.7"/>
    <n v="5538.1530599999996"/>
    <n v="1.3741806501456347E-4"/>
    <n v="420"/>
    <n v="298"/>
    <n v="53"/>
    <n v="38"/>
    <n v="153"/>
    <n v="111"/>
    <n v="22"/>
    <n v="13"/>
    <n v="0.12619047619047619"/>
    <n v="0.12751677852348994"/>
    <n v="-1.3263023330137569E-3"/>
    <n v="0.1437908496732026"/>
    <n v="0.11711711711711711"/>
    <n v="2.6673732556085489E-2"/>
    <n v="0.40939597315436238"/>
    <n v="0.39473684210526305"/>
    <n v="0.37837837837837829"/>
    <n v="0.69230769230769229"/>
  </r>
  <r>
    <s v="FIEM INDUSTRIES LTD."/>
    <n v="532768"/>
    <x v="6"/>
    <s v="Auto Components &amp; Equipments"/>
    <n v="2022.9"/>
    <n v="5314.6596761999999"/>
    <n v="1.3187252880192705E-4"/>
    <n v="2064"/>
    <n v="1783"/>
    <n v="184"/>
    <n v="146"/>
    <n v="685"/>
    <n v="590"/>
    <n v="63"/>
    <n v="47"/>
    <n v="8.9147286821705432E-2"/>
    <n v="8.1884464385866523E-2"/>
    <n v="7.2628224358389087E-3"/>
    <n v="9.1970802919708022E-2"/>
    <n v="7.9661016949152536E-2"/>
    <n v="1.2309785970555487E-2"/>
    <n v="0.15759955131800329"/>
    <n v="0.26027397260273966"/>
    <n v="0.16101694915254239"/>
    <n v="0.34042553191489366"/>
  </r>
  <r>
    <s v="MAS Financial Services Limited"/>
    <n v="540749"/>
    <x v="2"/>
    <s v="Non Banking Financial Company (NBFC)"/>
    <n v="304.3"/>
    <n v="5513.4586312000001"/>
    <n v="1.3680532271842768E-4"/>
    <n v="1453"/>
    <n v="1158"/>
    <n v="271"/>
    <n v="231"/>
    <n v="507"/>
    <n v="410"/>
    <n v="93"/>
    <n v="80"/>
    <n v="0.18651066758430832"/>
    <n v="0.19948186528497408"/>
    <n v="-1.2971197700665765E-2"/>
    <n v="0.18343195266272189"/>
    <n v="0.1951219512195122"/>
    <n v="-1.1689998556790315E-2"/>
    <n v="0.25474956822107075"/>
    <n v="0.17316017316017307"/>
    <n v="0.23658536585365852"/>
    <n v="0.16250000000000009"/>
  </r>
  <r>
    <s v="JAMNA AUTO INDUSTRIES LTD."/>
    <n v="520051"/>
    <x v="6"/>
    <s v="Auto Components &amp; Equipments"/>
    <n v="116.7"/>
    <n v="4666.309244"/>
    <n v="1.1578502437959896E-4"/>
    <n v="1771"/>
    <n v="1632"/>
    <n v="143"/>
    <n v="130"/>
    <n v="667"/>
    <n v="562"/>
    <n v="58"/>
    <n v="43"/>
    <n v="8.0745341614906832E-2"/>
    <n v="7.9656862745098034E-2"/>
    <n v="1.0884788698087983E-3"/>
    <n v="8.6956521739130432E-2"/>
    <n v="7.6512455516014238E-2"/>
    <n v="1.0444066223116194E-2"/>
    <n v="8.5171568627451011E-2"/>
    <n v="0.10000000000000009"/>
    <n v="0.18683274021352303"/>
    <n v="0.34883720930232553"/>
  </r>
  <r>
    <s v="SUNTECK REALTY LTD."/>
    <n v="512179"/>
    <x v="6"/>
    <s v="Residential, Commercial Projects"/>
    <n v="303"/>
    <n v="4442.7045306999999"/>
    <n v="1.1023672575062928E-4"/>
    <n v="784"/>
    <n v="647"/>
    <n v="163"/>
    <n v="105"/>
    <n v="344"/>
    <n v="161"/>
    <n v="68"/>
    <n v="47"/>
    <n v="0.20790816326530612"/>
    <n v="0.16228748068006182"/>
    <n v="4.5620682585244293E-2"/>
    <n v="0.19767441860465115"/>
    <n v="0.29192546583850931"/>
    <n v="-9.425104723385816E-2"/>
    <n v="0.21174652241112835"/>
    <n v="0.55238095238095242"/>
    <n v="1.1366459627329193"/>
    <n v="0.44680851063829796"/>
  </r>
  <r>
    <s v="HINDUSTAN FOODS LTD."/>
    <n v="519126"/>
    <x v="5"/>
    <s v="Diversified FMCG"/>
    <n v="497.05"/>
    <n v="5938.8377526000004"/>
    <n v="1.4736024511350919E-4"/>
    <n v="3031"/>
    <n v="2631"/>
    <n v="103"/>
    <n v="79"/>
    <n v="998"/>
    <n v="880"/>
    <n v="36"/>
    <n v="29"/>
    <n v="3.398218409765754E-2"/>
    <n v="3.0026605853287723E-2"/>
    <n v="3.9555782443698173E-3"/>
    <n v="3.6072144288577156E-2"/>
    <n v="3.2954545454545452E-2"/>
    <n v="3.117598834031704E-3"/>
    <n v="0.15203344735841884"/>
    <n v="0.30379746835443044"/>
    <n v="0.13409090909090904"/>
    <n v="0.24137931034482762"/>
  </r>
  <r>
    <s v="MAHINDRA HOLIDAYS &amp; RESORTS IN"/>
    <n v="533088"/>
    <x v="6"/>
    <s v="Hotels &amp; Resorts"/>
    <n v="249.6"/>
    <n v="5022.7481398999998"/>
    <n v="1.2462933453857196E-4"/>
    <n v="2171"/>
    <n v="2002"/>
    <n v="25"/>
    <n v="52"/>
    <n v="752"/>
    <n v="678"/>
    <n v="1"/>
    <n v="35"/>
    <n v="1.1515430677107323E-2"/>
    <n v="2.5974025974025976E-2"/>
    <n v="-1.4458595296918652E-2"/>
    <n v="1.3297872340425532E-3"/>
    <n v="5.1622418879056046E-2"/>
    <n v="-5.0292631645013491E-2"/>
    <n v="8.4415584415584499E-2"/>
    <n v="-0.51923076923076916"/>
    <n v="0.10914454277286145"/>
    <n v="-0.97142857142857142"/>
  </r>
  <r>
    <s v="PRAJ INDUSTRIES LTD."/>
    <n v="522205"/>
    <x v="4"/>
    <s v="Industrial Products"/>
    <n v="340"/>
    <n v="6252.3990827999996"/>
    <n v="1.5514063521697023E-4"/>
    <n v="2323"/>
    <n v="2368"/>
    <n v="12"/>
    <n v="179"/>
    <n v="841"/>
    <n v="853"/>
    <n v="-12"/>
    <n v="41"/>
    <n v="5.165733964700818E-3"/>
    <n v="7.5591216216216214E-2"/>
    <n v="-7.0425482251515403E-2"/>
    <n v="-1.4268727705112961E-2"/>
    <n v="4.8065650644783117E-2"/>
    <n v="-6.233437834989608E-2"/>
    <n v="-1.9003378378378399E-2"/>
    <n v="-0.93296089385474856"/>
    <n v="-1.4067995310668269E-2"/>
    <n v="-1.2926829268292683"/>
  </r>
  <r>
    <s v="C.E. Info Systems Limited"/>
    <n v="543425"/>
    <x v="3"/>
    <s v="Software Products"/>
    <n v="877.7"/>
    <n v="4799.0895819999996"/>
    <n v="1.190796998647759E-4"/>
    <n v="329"/>
    <n v="319"/>
    <n v="83"/>
    <n v="98"/>
    <n v="93"/>
    <n v="114"/>
    <n v="18"/>
    <n v="32"/>
    <n v="0.25227963525835867"/>
    <n v="0.30721003134796238"/>
    <n v="-5.4930396089603706E-2"/>
    <n v="0.19354838709677419"/>
    <n v="0.2807017543859649"/>
    <n v="-8.7153367289190709E-2"/>
    <n v="3.1347962382445083E-2"/>
    <n v="-0.15306122448979587"/>
    <n v="-0.18421052631578949"/>
    <n v="-0.4375"/>
  </r>
  <r>
    <s v="LUMAX INDUSTRIES LTD."/>
    <n v="517206"/>
    <x v="6"/>
    <s v="Auto Components &amp; Equipments"/>
    <n v="4832.2"/>
    <n v="4509.3459167999999"/>
    <n v="1.1189029693736539E-4"/>
    <n v="2983"/>
    <n v="2477"/>
    <n v="118"/>
    <n v="95"/>
    <n v="1052"/>
    <n v="887"/>
    <n v="46"/>
    <n v="33"/>
    <n v="3.9557492457257794E-2"/>
    <n v="3.835284618490109E-2"/>
    <n v="1.2046462723567034E-3"/>
    <n v="4.3726235741444866E-2"/>
    <n v="3.7204058624577228E-2"/>
    <n v="6.5221771168676376E-3"/>
    <n v="0.20427937020589426"/>
    <n v="0.24210526315789482"/>
    <n v="0.18602029312288604"/>
    <n v="0.39393939393939403"/>
  </r>
  <r>
    <s v="S.J.S. Enterprises Limited"/>
    <n v="543387"/>
    <x v="6"/>
    <s v="Other Textile Products"/>
    <n v="1598.2"/>
    <n v="5108.9241095999996"/>
    <n v="1.2676761690069352E-4"/>
    <n v="20"/>
    <n v="23"/>
    <n v="1"/>
    <n v="2"/>
    <n v="6"/>
    <n v="8"/>
    <n v="1"/>
    <n v="1"/>
    <n v="0.05"/>
    <n v="8.6956521739130432E-2"/>
    <n v="-3.695652173913043E-2"/>
    <n v="0.16666666666666666"/>
    <n v="0.125"/>
    <n v="4.1666666666666657E-2"/>
    <n v="-0.13043478260869568"/>
    <n v="-0.5"/>
    <n v="-0.25"/>
    <n v="0"/>
  </r>
  <r>
    <s v="Paras Defence and Space Techno"/>
    <n v="543367"/>
    <x v="4"/>
    <s v="Aerospace &amp; Defense"/>
    <n v="642.9"/>
    <n v="5178.5416290000003"/>
    <n v="1.2849503481482787E-4"/>
    <n v="305"/>
    <n v="256"/>
    <n v="50"/>
    <n v="40"/>
    <n v="106"/>
    <n v="85"/>
    <n v="16"/>
    <n v="13"/>
    <n v="0.16393442622950818"/>
    <n v="0.15625"/>
    <n v="7.6844262295081844E-3"/>
    <n v="0.15094339622641509"/>
    <n v="0.15294117647058825"/>
    <n v="-1.9977802441731585E-3"/>
    <n v="0.19140625"/>
    <n v="0.25"/>
    <n v="0.24705882352941178"/>
    <n v="0.23076923076923084"/>
  </r>
  <r>
    <s v="BALU FORGE INDUSTRIES LIMITED"/>
    <n v="531112"/>
    <x v="4"/>
    <s v="Castings &amp; Forgings"/>
    <n v="433"/>
    <n v="5256.2692699999998"/>
    <n v="1.3042368899044335E-4"/>
    <n v="843"/>
    <n v="653"/>
    <n v="193"/>
    <n v="141"/>
    <n v="311"/>
    <n v="255"/>
    <n v="71"/>
    <n v="59"/>
    <n v="0.22894424673784106"/>
    <n v="0.21592649310872894"/>
    <n v="1.3017753629112117E-2"/>
    <n v="0.22829581993569131"/>
    <n v="0.23137254901960785"/>
    <n v="-3.0767290839165407E-3"/>
    <n v="0.29096477794793252"/>
    <n v="0.36879432624113484"/>
    <n v="0.21960784313725501"/>
    <n v="0.20338983050847448"/>
  </r>
  <r>
    <s v="ICRA LTD."/>
    <n v="532835"/>
    <x v="2"/>
    <s v="Ratings"/>
    <n v="5115"/>
    <n v="4900.7745045000001"/>
    <n v="1.2160280551745823E-4"/>
    <n v="485"/>
    <n v="418"/>
    <n v="129"/>
    <n v="115"/>
    <n v="179"/>
    <n v="139"/>
    <n v="39"/>
    <n v="42"/>
    <n v="0.26597938144329897"/>
    <n v="0.27511961722488038"/>
    <n v="-9.1402357815814073E-3"/>
    <n v="0.21787709497206703"/>
    <n v="0.30215827338129497"/>
    <n v="-8.4281178409227941E-2"/>
    <n v="0.16028708133971281"/>
    <n v="0.12173913043478257"/>
    <n v="0.28776978417266186"/>
    <n v="-7.1428571428571397E-2"/>
  </r>
  <r>
    <s v="SYMPHONY LIMITED"/>
    <n v="517385"/>
    <x v="6"/>
    <s v="Household Appliances"/>
    <n v="718.7"/>
    <n v="4935.4128830999998"/>
    <n v="1.2246228681219402E-4"/>
    <n v="593"/>
    <n v="875"/>
    <n v="81"/>
    <n v="134"/>
    <n v="179"/>
    <n v="193"/>
    <n v="20"/>
    <n v="-10"/>
    <n v="0.13659359190556492"/>
    <n v="0.15314285714285714"/>
    <n v="-1.6549265237292221E-2"/>
    <n v="0.11173184357541899"/>
    <n v="-5.181347150259067E-2"/>
    <n v="0.16354531507800965"/>
    <n v="-0.32228571428571429"/>
    <n v="-0.39552238805970152"/>
    <n v="-7.2538860103626979E-2"/>
    <n v="-3"/>
  </r>
  <r>
    <s v="AJAX Engineering Limited"/>
    <n v="544356"/>
    <x v="4"/>
    <s v="Construction Vehicles"/>
    <n v="442.45"/>
    <n v="5071.0814099999998"/>
    <n v="1.2582862686238655E-4"/>
    <n v="1344"/>
    <n v="1318"/>
    <n v="130"/>
    <n v="169"/>
    <n v="433"/>
    <n v="548"/>
    <n v="38"/>
    <n v="68"/>
    <n v="9.6726190476190479E-2"/>
    <n v="0.12822458270106221"/>
    <n v="-3.1498392224871732E-2"/>
    <n v="8.7759815242494224E-2"/>
    <n v="0.12408759124087591"/>
    <n v="-3.6327775998381689E-2"/>
    <n v="1.9726858877086473E-2"/>
    <n v="-0.23076923076923073"/>
    <n v="-0.20985401459854014"/>
    <n v="-0.44117647058823528"/>
  </r>
  <r>
    <s v="GANESH HOUSING LIMITED"/>
    <n v="526367"/>
    <x v="6"/>
    <s v="Residential, Commercial Projects"/>
    <n v="566.04999999999995"/>
    <n v="4719.7092940000002"/>
    <n v="1.1711003859700684E-4"/>
    <n v="416"/>
    <n v="708"/>
    <n v="254"/>
    <n v="433"/>
    <n v="91"/>
    <n v="257"/>
    <n v="63"/>
    <n v="160"/>
    <n v="0.61057692307692313"/>
    <n v="0.6115819209039548"/>
    <n v="-1.0049978270316728E-3"/>
    <n v="0.69230769230769229"/>
    <n v="0.62256809338521402"/>
    <n v="6.9739598922478274E-2"/>
    <n v="-0.41242937853107342"/>
    <n v="-0.41339491916859128"/>
    <n v="-0.64591439688715946"/>
    <n v="-0.60624999999999996"/>
  </r>
  <r>
    <s v="Sky Gold And Diamonds Limited"/>
    <n v="541967"/>
    <x v="6"/>
    <s v="Gems, Jewellery And Watches"/>
    <n v="361.05"/>
    <n v="5600.2367025000003"/>
    <n v="1.3895854501375766E-4"/>
    <n v="4383"/>
    <n v="2489"/>
    <n v="191"/>
    <n v="94"/>
    <n v="1767"/>
    <n v="997"/>
    <n v="80"/>
    <n v="36"/>
    <n v="4.357745836185261E-2"/>
    <n v="3.776617115307352E-2"/>
    <n v="5.8112872087790896E-3"/>
    <n v="4.5274476513865305E-2"/>
    <n v="3.6108324974924777E-2"/>
    <n v="9.1661515389405285E-3"/>
    <n v="0.76094817195660913"/>
    <n v="1.0319148936170213"/>
    <n v="0.77231695085255758"/>
    <n v="1.2222222222222223"/>
  </r>
  <r>
    <s v="GULF OIL LUBRICANTS INDIA LTD"/>
    <n v="538567"/>
    <x v="0"/>
    <s v="Lubricants"/>
    <n v="882.85"/>
    <n v="4363.4939499000002"/>
    <n v="1.082712754237263E-4"/>
    <n v="3000"/>
    <n v="2678"/>
    <n v="255"/>
    <n v="264"/>
    <n v="1017"/>
    <n v="920"/>
    <n v="76"/>
    <n v="97"/>
    <n v="8.5000000000000006E-2"/>
    <n v="9.8581030619865576E-2"/>
    <n v="-1.3581030619865569E-2"/>
    <n v="7.4729596853490662E-2"/>
    <n v="0.10543478260869565"/>
    <n v="-3.0705185755204992E-2"/>
    <n v="0.12023898431665425"/>
    <n v="-3.4090909090909061E-2"/>
    <n v="0.10543478260869565"/>
    <n v="-0.21649484536082475"/>
  </r>
  <r>
    <s v="Keystone Realtors Limited"/>
    <n v="543669"/>
    <x v="6"/>
    <s v="Residential, Commercial Projects"/>
    <n v="388.25"/>
    <n v="4898.6305113999997"/>
    <n v="1.2154960666578065E-4"/>
    <n v="1038"/>
    <n v="1419"/>
    <n v="31"/>
    <n v="121"/>
    <n v="266"/>
    <n v="464"/>
    <n v="5"/>
    <n v="29"/>
    <n v="2.9865125240847785E-2"/>
    <n v="8.5271317829457363E-2"/>
    <n v="-5.5406192588609578E-2"/>
    <n v="1.8796992481203006E-2"/>
    <n v="6.25E-2"/>
    <n v="-4.3703007518796994E-2"/>
    <n v="-0.26849894291754761"/>
    <n v="-0.74380165289256195"/>
    <n v="-0.42672413793103448"/>
    <n v="-0.82758620689655171"/>
  </r>
  <r>
    <s v="PICCADILY AGRO INDUSTRIES LTD."/>
    <n v="530305"/>
    <x v="5"/>
    <s v="Breweries &amp; Distilleries"/>
    <n v="532.95000000000005"/>
    <n v="5255.3402962999999"/>
    <n v="1.3040063838730536E-4"/>
    <n v="775"/>
    <n v="614"/>
    <n v="92"/>
    <n v="62"/>
    <n v="312"/>
    <n v="203"/>
    <n v="47"/>
    <n v="24"/>
    <n v="0.11870967741935484"/>
    <n v="0.10097719869706841"/>
    <n v="1.7732478722286435E-2"/>
    <n v="0.15064102564102563"/>
    <n v="0.11822660098522167"/>
    <n v="3.2414424655803964E-2"/>
    <n v="0.26221498371335494"/>
    <n v="0.4838709677419355"/>
    <n v="0.53694581280788167"/>
    <n v="0.95833333333333326"/>
  </r>
  <r>
    <s v="Raymond Lifestyle Limited"/>
    <n v="544240"/>
    <x v="6"/>
    <s v="Other Textile Products"/>
    <n v="794.3"/>
    <n v="4843.8374043000003"/>
    <n v="1.2019002655446144E-4"/>
    <n v="5111"/>
    <n v="4682"/>
    <n v="98"/>
    <n v="83"/>
    <n v="1848"/>
    <n v="1754"/>
    <n v="42"/>
    <n v="64"/>
    <n v="1.9174329876736451E-2"/>
    <n v="1.7727466894489535E-2"/>
    <n v="1.4468629822469159E-3"/>
    <n v="2.2727272727272728E-2"/>
    <n v="3.6488027366020526E-2"/>
    <n v="-1.3760754638747798E-2"/>
    <n v="9.1627509611277302E-2"/>
    <n v="0.18072289156626509"/>
    <n v="5.3591790193842748E-2"/>
    <n v="-0.34375"/>
  </r>
  <r>
    <s v="Happiest Minds Technologies Li"/>
    <n v="543227"/>
    <x v="3"/>
    <s v="Computers - Software &amp; Consulting"/>
    <n v="384.85"/>
    <n v="5782.3949473000002"/>
    <n v="1.4347843336925666E-4"/>
    <n v="1711"/>
    <n v="1516"/>
    <n v="151"/>
    <n v="150"/>
    <n v="587"/>
    <n v="530"/>
    <n v="40"/>
    <n v="50"/>
    <n v="8.8252483927527756E-2"/>
    <n v="9.894459102902374E-2"/>
    <n v="-1.0692107101495985E-2"/>
    <n v="6.8143100511073251E-2"/>
    <n v="9.4339622641509441E-2"/>
    <n v="-2.6196522130436189E-2"/>
    <n v="0.12862796833773094"/>
    <n v="6.6666666666665986E-3"/>
    <n v="0.10754716981132084"/>
    <n v="-0.19999999999999996"/>
  </r>
  <r>
    <s v="PNC Infratech Limited"/>
    <n v="539150"/>
    <x v="4"/>
    <s v="Civil Construction"/>
    <n v="174.95"/>
    <n v="4487.6382884000004"/>
    <n v="1.1135166605113577E-4"/>
    <n v="3751"/>
    <n v="5064"/>
    <n v="723"/>
    <n v="739"/>
    <n v="1200"/>
    <n v="1470"/>
    <n v="76"/>
    <n v="81"/>
    <n v="0.1927486003732338"/>
    <n v="0.14593206951026857"/>
    <n v="4.6816530862965222E-2"/>
    <n v="6.3333333333333339E-2"/>
    <n v="5.5102040816326532E-2"/>
    <n v="8.2312925170068066E-3"/>
    <n v="-0.25928120063191151"/>
    <n v="-2.1650879566982417E-2"/>
    <n v="-0.18367346938775508"/>
    <n v="-6.1728395061728447E-2"/>
  </r>
  <r>
    <s v="TECHNOCRAFT INDUSTRIES (INDIA)"/>
    <n v="532804"/>
    <x v="4"/>
    <s v="Iron &amp; Steel Products"/>
    <n v="2252.25"/>
    <n v="5099.5638159999999"/>
    <n v="1.2653536015001424E-4"/>
    <n v="2047"/>
    <n v="1893"/>
    <n v="215"/>
    <n v="196"/>
    <n v="662"/>
    <n v="644"/>
    <n v="53"/>
    <n v="41"/>
    <n v="0.10503175378602833"/>
    <n v="0.10353935552033809"/>
    <n v="1.4923982656902396E-3"/>
    <n v="8.0060422960725075E-2"/>
    <n v="6.3664596273291921E-2"/>
    <n v="1.6395826687433154E-2"/>
    <n v="8.1352350765979908E-2"/>
    <n v="9.6938775510204023E-2"/>
    <n v="2.7950310559006208E-2"/>
    <n v="0.29268292682926833"/>
  </r>
  <r>
    <s v="INDO COUNT INDUSTRIES LTD."/>
    <n v="521016"/>
    <x v="6"/>
    <s v="Other Textile Products"/>
    <n v="253.55"/>
    <n v="5026.4199466999999"/>
    <n v="1.2472044299658978E-4"/>
    <n v="3083"/>
    <n v="3128"/>
    <n v="102"/>
    <n v="228"/>
    <n v="1062"/>
    <n v="1151"/>
    <n v="24"/>
    <n v="70"/>
    <n v="3.3084657800843333E-2"/>
    <n v="7.2890025575447576E-2"/>
    <n v="-3.9805367774604243E-2"/>
    <n v="2.2598870056497175E-2"/>
    <n v="6.0816681146828845E-2"/>
    <n v="-3.821781109033167E-2"/>
    <n v="-1.4386189258312032E-2"/>
    <n v="-0.55263157894736836"/>
    <n v="-7.7324066029539562E-2"/>
    <n v="-0.65714285714285714"/>
  </r>
  <r>
    <s v="SHARDA MOTOR INDUSTRIES LTD"/>
    <n v="535602"/>
    <x v="6"/>
    <s v="Auto Components &amp; Equipments"/>
    <n v="749.9"/>
    <n v="4294.3829284000003"/>
    <n v="1.0655642523038227E-4"/>
    <n v="2425"/>
    <n v="2086"/>
    <n v="255"/>
    <n v="230"/>
    <n v="881"/>
    <n v="689"/>
    <n v="81"/>
    <n v="75"/>
    <n v="0.10515463917525773"/>
    <n v="0.11025886864813039"/>
    <n v="-5.1042294728726595E-3"/>
    <n v="9.1940976163450622E-2"/>
    <n v="0.10885341074020319"/>
    <n v="-1.6912434576752566E-2"/>
    <n v="0.16251198465963568"/>
    <n v="0.10869565217391308"/>
    <n v="0.27866473149492021"/>
    <n v="8.0000000000000071E-2"/>
  </r>
  <r>
    <s v="KENNAMETAL INDIA LTD."/>
    <n v="505890"/>
    <x v="4"/>
    <s v="Industrial Products"/>
    <n v="2210"/>
    <n v="4857.1888300000001"/>
    <n v="1.2052131517451262E-4"/>
    <n v="630"/>
    <n v="557"/>
    <n v="55"/>
    <n v="47"/>
    <n v="33"/>
    <n v="28"/>
    <n v="24"/>
    <n v="22"/>
    <n v="8.7301587301587297E-2"/>
    <n v="8.4380610412926396E-2"/>
    <n v="2.9209768886609006E-3"/>
    <n v="0.72727272727272729"/>
    <n v="0.7857142857142857"/>
    <n v="-5.8441558441558406E-2"/>
    <n v="0.13105924596050267"/>
    <n v="0.17021276595744683"/>
    <n v="0.1785714285714286"/>
    <n v="9.0909090909090828E-2"/>
  </r>
  <r>
    <s v="Supriya Lifescience Limited"/>
    <n v="543434"/>
    <x v="7"/>
    <s v="Pharmaceuticals"/>
    <n v="613.9"/>
    <n v="4941.6459531"/>
    <n v="1.2261694783532225E-4"/>
    <n v="551"/>
    <n v="512"/>
    <n v="134"/>
    <n v="137"/>
    <n v="206"/>
    <n v="185"/>
    <n v="49"/>
    <n v="46"/>
    <n v="0.24319419237749546"/>
    <n v="0.267578125"/>
    <n v="-2.4383932622504545E-2"/>
    <n v="0.23786407766990292"/>
    <n v="0.24864864864864866"/>
    <n v="-1.0784570978745744E-2"/>
    <n v="7.6171875E-2"/>
    <n v="-2.1897810218978075E-2"/>
    <n v="0.11351351351351346"/>
    <n v="6.5217391304347894E-2"/>
  </r>
  <r>
    <s v="RALLIS INDIA LTD."/>
    <n v="500355"/>
    <x v="8"/>
    <s v="Pesticides &amp; Agrochemicals"/>
    <n v="239.1"/>
    <n v="4650.1402417999998"/>
    <n v="1.1538382329839586E-4"/>
    <n v="2441"/>
    <n v="2233"/>
    <n v="199"/>
    <n v="157"/>
    <n v="623"/>
    <n v="522"/>
    <n v="2"/>
    <n v="11"/>
    <n v="8.1523965587873823E-2"/>
    <n v="7.0309001343484098E-2"/>
    <n v="1.1214964244389725E-2"/>
    <n v="3.2102728731942215E-3"/>
    <n v="2.1072796934865901E-2"/>
    <n v="-1.7862524061671679E-2"/>
    <n v="9.3148231079265509E-2"/>
    <n v="0.26751592356687892"/>
    <n v="0.19348659003831425"/>
    <n v="-0.81818181818181812"/>
  </r>
  <r>
    <s v="NETWORK18 MEDIA &amp; INVESTMENTS"/>
    <n v="532798"/>
    <x v="6"/>
    <s v="Media &amp; Entertainment"/>
    <n v="30.35"/>
    <n v="4664.55"/>
    <n v="1.157413722985262E-4"/>
    <n v="1505"/>
    <n v="6326"/>
    <n v="184"/>
    <n v="-1747"/>
    <n v="539"/>
    <n v="1360"/>
    <n v="-5"/>
    <n v="-1399"/>
    <n v="0.12225913621262459"/>
    <n v="-0.27616187164084732"/>
    <n v="0.3984210078534719"/>
    <n v="-9.2764378478664197E-3"/>
    <n v="-1.0286764705882352"/>
    <n v="1.0194000327403687"/>
    <n v="-0.76209294973126784"/>
    <n v="-1.1053234115626789"/>
    <n v="-0.60367647058823537"/>
    <n v="-0.99642601858470337"/>
  </r>
  <r>
    <s v="AHLUWALIA CONTRACTS (INDIA) LT"/>
    <n v="532811"/>
    <x v="4"/>
    <s v="Civil Construction"/>
    <n v="714.1"/>
    <n v="4798.3181247000002"/>
    <n v="1.1906055771246288E-4"/>
    <n v="3242"/>
    <n v="2882"/>
    <n v="184"/>
    <n v="118"/>
    <n v="1060"/>
    <n v="951"/>
    <n v="54"/>
    <n v="49"/>
    <n v="5.6755089450956198E-2"/>
    <n v="4.0943789035392086E-2"/>
    <n v="1.5811300415564111E-2"/>
    <n v="5.0943396226415097E-2"/>
    <n v="5.152471083070452E-2"/>
    <n v="-5.813146042894235E-4"/>
    <n v="0.12491325468424708"/>
    <n v="0.55932203389830515"/>
    <n v="0.11461619348054675"/>
    <n v="0.1020408163265305"/>
  </r>
  <r>
    <s v="Senco Gold Limited"/>
    <n v="543936"/>
    <x v="6"/>
    <s v="Gems, Jewellery And Watches"/>
    <n v="328.55"/>
    <n v="5403.1608009000001"/>
    <n v="1.34068505181801E-4"/>
    <n v="6433"/>
    <n v="4950"/>
    <n v="417"/>
    <n v="96"/>
    <n v="3070"/>
    <n v="2045"/>
    <n v="264"/>
    <n v="33"/>
    <n v="6.4822011503186699E-2"/>
    <n v="1.9393939393939394E-2"/>
    <n v="4.5428072109247306E-2"/>
    <n v="8.5993485342019546E-2"/>
    <n v="1.6136919315403422E-2"/>
    <n v="6.9856566026616121E-2"/>
    <n v="0.29959595959595964"/>
    <n v="3.34375"/>
    <n v="0.50122249388753048"/>
    <n v="7"/>
  </r>
  <r>
    <s v="BAJAJ CONSUMER CARE LIMITED"/>
    <n v="533229"/>
    <x v="5"/>
    <s v="Personal Care"/>
    <n v="380.6"/>
    <n v="4963.4953999999998"/>
    <n v="1.2315909766074374E-4"/>
    <n v="838"/>
    <n v="714"/>
    <n v="126"/>
    <n v="94"/>
    <n v="306"/>
    <n v="234"/>
    <n v="46"/>
    <n v="25"/>
    <n v="0.15035799522673032"/>
    <n v="0.13165266106442577"/>
    <n v="1.8705334162304549E-2"/>
    <n v="0.15032679738562091"/>
    <n v="0.10683760683760683"/>
    <n v="4.3489190548014076E-2"/>
    <n v="0.1736694677871149"/>
    <n v="0.34042553191489366"/>
    <n v="0.30769230769230771"/>
    <n v="0.84000000000000008"/>
  </r>
  <r>
    <s v="V.I.P.INDUSTRIES LTD."/>
    <n v="507880"/>
    <x v="6"/>
    <s v="Plastic Products - Consumer"/>
    <n v="317"/>
    <n v="4510.1446500000002"/>
    <n v="1.1191011588596031E-4"/>
    <n v="1422"/>
    <n v="1684"/>
    <n v="-209"/>
    <n v="-41"/>
    <n v="454"/>
    <n v="501"/>
    <n v="-53"/>
    <n v="-12"/>
    <n v="-0.1469760900140647"/>
    <n v="-2.4346793349168647E-2"/>
    <n v="-0.12262929666489605"/>
    <n v="-0.11674008810572688"/>
    <n v="-2.3952095808383235E-2"/>
    <n v="-9.2787992297343636E-2"/>
    <n v="-0.1555819477434679"/>
    <n v="4.0975609756097562"/>
    <n v="-9.3812375249501034E-2"/>
    <n v="3.416666666666667"/>
  </r>
  <r>
    <s v="SHREE RENUKA SUGARS LTD."/>
    <n v="532670"/>
    <x v="5"/>
    <s v="Sugar"/>
    <n v="28.38"/>
    <n v="6040.6516032999998"/>
    <n v="1.4988654985866471E-4"/>
    <n v="6780"/>
    <n v="8288"/>
    <n v="-670"/>
    <n v="-393"/>
    <n v="2300"/>
    <n v="2635"/>
    <n v="-38"/>
    <n v="-203"/>
    <n v="-9.8820058997050153E-2"/>
    <n v="-4.741795366795367E-2"/>
    <n v="-5.1402105329096483E-2"/>
    <n v="-1.6521739130434782E-2"/>
    <n v="-7.7039848197343455E-2"/>
    <n v="6.0518109066908674E-2"/>
    <n v="-0.181949806949807"/>
    <n v="0.7048346055979644"/>
    <n v="-0.12713472485768496"/>
    <n v="-0.81280788177339902"/>
  </r>
  <r>
    <s v="CMS Info Systems Limited"/>
    <n v="543441"/>
    <x v="10"/>
    <s v="Diversified Commercial Services"/>
    <n v="287.25"/>
    <n v="4725.0962499999996"/>
    <n v="1.172437050128351E-4"/>
    <n v="1854"/>
    <n v="1805"/>
    <n v="224"/>
    <n v="274"/>
    <n v="6182"/>
    <n v="5815"/>
    <n v="57"/>
    <n v="93"/>
    <n v="0.12081984897518878"/>
    <n v="0.15180055401662049"/>
    <n v="-3.0980705041431703E-2"/>
    <n v="9.2203170494985446E-3"/>
    <n v="1.599312123817713E-2"/>
    <n v="-6.7728041886785852E-3"/>
    <n v="2.7146814404432229E-2"/>
    <n v="-0.18248175182481752"/>
    <n v="6.3112639724849595E-2"/>
    <n v="-0.38709677419354838"/>
  </r>
  <r>
    <s v="SUBROS LTD."/>
    <n v="517168"/>
    <x v="4"/>
    <s v="Other Industrial Products"/>
    <n v="690.85"/>
    <n v="4499.3097570999998"/>
    <n v="1.1164126993662894E-4"/>
    <n v="2705"/>
    <n v="2459"/>
    <n v="116"/>
    <n v="104"/>
    <n v="947"/>
    <n v="820"/>
    <n v="34"/>
    <n v="32"/>
    <n v="4.2883548983364141E-2"/>
    <n v="4.2293615290768603E-2"/>
    <n v="5.899336925955373E-4"/>
    <n v="3.5902851108764518E-2"/>
    <n v="3.9024390243902439E-2"/>
    <n v="-3.1215391351379213E-3"/>
    <n v="0.10004066693777958"/>
    <n v="0.11538461538461542"/>
    <n v="0.15487804878048772"/>
    <n v="6.25E-2"/>
  </r>
  <r>
    <s v="Pilani Investment And Industri"/>
    <n v="539883"/>
    <x v="2"/>
    <m/>
    <n v="4395"/>
    <n v="4890.7236555999998"/>
    <n v="1.2135341403393866E-4"/>
    <n v="239"/>
    <n v="247"/>
    <n v="64"/>
    <n v="133"/>
    <n v="59"/>
    <n v="61"/>
    <n v="9"/>
    <n v="26"/>
    <n v="0.26778242677824265"/>
    <n v="0.53846153846153844"/>
    <n v="-0.27067911168329578"/>
    <n v="0.15254237288135594"/>
    <n v="0.42622950819672129"/>
    <n v="-0.27368713531536537"/>
    <n v="-3.2388663967611309E-2"/>
    <n v="-0.51879699248120303"/>
    <n v="-3.2786885245901676E-2"/>
    <n v="-0.65384615384615385"/>
  </r>
  <r>
    <s v="TVS Supply Chain Solutions Lim"/>
    <n v="543965"/>
    <x v="10"/>
    <s v="Logistics Solution Provider"/>
    <n v="102"/>
    <n v="4500.4772741999996"/>
    <n v="1.1167023951168676E-4"/>
    <n v="7971"/>
    <n v="7497"/>
    <n v="99"/>
    <n v="-6"/>
    <n v="2716"/>
    <n v="2445"/>
    <n v="11"/>
    <n v="-24"/>
    <n v="1.2420022581859239E-2"/>
    <n v="-8.0032012805122054E-4"/>
    <n v="1.322034270991046E-2"/>
    <n v="4.050073637702504E-3"/>
    <n v="-9.8159509202453993E-3"/>
    <n v="1.3866024557947904E-2"/>
    <n v="6.3225290116046384E-2"/>
    <n v="-17.5"/>
    <n v="0.11083844580777091"/>
    <n v="-1.4583333333333333"/>
  </r>
  <r>
    <s v="V.S.T.TILLERS TRACTORS LTD."/>
    <n v="531266"/>
    <x v="4"/>
    <s v="Tractors"/>
    <n v="5078.3"/>
    <n v="4397.6534367000004"/>
    <n v="1.0911887398719876E-4"/>
    <n v="911"/>
    <n v="693"/>
    <n v="99"/>
    <n v="68"/>
    <n v="314"/>
    <n v="219"/>
    <n v="30"/>
    <n v="1"/>
    <n v="0.10867178924259056"/>
    <n v="9.8124098124098127E-2"/>
    <n v="1.0547691118492436E-2"/>
    <n v="9.5541401273885357E-2"/>
    <n v="4.5662100456621002E-3"/>
    <n v="9.0975191228223257E-2"/>
    <n v="0.31457431457431451"/>
    <n v="0.45588235294117641"/>
    <n v="0.43378995433789957"/>
    <n v="29"/>
  </r>
  <r>
    <s v="CARE Ratings Limited"/>
    <n v="534804"/>
    <x v="2"/>
    <s v="Ratings"/>
    <n v="1533.2"/>
    <n v="4602.5006678"/>
    <n v="1.1420174364001999E-4"/>
    <n v="342"/>
    <n v="292"/>
    <n v="120"/>
    <n v="96"/>
    <n v="112"/>
    <n v="96"/>
    <n v="36"/>
    <n v="28"/>
    <n v="0.35087719298245612"/>
    <n v="0.32876712328767121"/>
    <n v="2.2110069694784906E-2"/>
    <n v="0.32142857142857145"/>
    <n v="0.29166666666666669"/>
    <n v="2.9761904761904767E-2"/>
    <n v="0.17123287671232879"/>
    <n v="0.25"/>
    <n v="0.16666666666666674"/>
    <n v="0.28571428571428581"/>
  </r>
  <r>
    <s v="RAIN INDUSTRIES LIMITED"/>
    <n v="500339"/>
    <x v="8"/>
    <s v="Petrochemicals"/>
    <n v="111.45"/>
    <n v="3745.5446221000002"/>
    <n v="9.2938112908473217E-5"/>
    <n v="16946"/>
    <n v="15374"/>
    <n v="136"/>
    <n v="-450"/>
    <n v="4301"/>
    <n v="3676"/>
    <n v="38"/>
    <n v="-133"/>
    <n v="8.0254927416499467E-3"/>
    <n v="-2.9270196435540522E-2"/>
    <n v="3.7295689177190471E-2"/>
    <n v="8.8351546152057661E-3"/>
    <n v="-3.6180631120783457E-2"/>
    <n v="4.5015785735989224E-2"/>
    <n v="0.10225055288148832"/>
    <n v="-1.3022222222222222"/>
    <n v="0.17002176278563663"/>
    <n v="-1.2857142857142856"/>
  </r>
  <r>
    <s v="MASTEK LTD."/>
    <n v="523704"/>
    <x v="3"/>
    <s v="Computers - Software &amp; Consulting"/>
    <n v="1490.5"/>
    <n v="4618.6036599999998"/>
    <n v="1.1460130681660517E-4"/>
    <n v="2760"/>
    <n v="2549"/>
    <n v="297"/>
    <n v="294"/>
    <n v="905"/>
    <n v="869"/>
    <n v="108"/>
    <n v="94"/>
    <n v="0.10760869565217392"/>
    <n v="0.11533934876422126"/>
    <n v="-7.7306531120473476E-3"/>
    <n v="0.11933701657458563"/>
    <n v="0.10817031070195628"/>
    <n v="1.1166705872629357E-2"/>
    <n v="8.2777559827383218E-2"/>
    <n v="1.0204081632652962E-2"/>
    <n v="4.1426927502876909E-2"/>
    <n v="0.14893617021276606"/>
  </r>
  <r>
    <s v="VRL Logistics Limited"/>
    <n v="539118"/>
    <x v="10"/>
    <s v="Logistics Solution Provider"/>
    <n v="235.3"/>
    <n v="4116.4401510999996"/>
    <n v="1.0214113517339647E-4"/>
    <n v="2368"/>
    <n v="2351"/>
    <n v="164"/>
    <n v="108"/>
    <n v="826"/>
    <n v="825"/>
    <n v="64"/>
    <n v="59"/>
    <n v="6.9256756756756757E-2"/>
    <n v="4.5937898766482348E-2"/>
    <n v="2.3318857990274409E-2"/>
    <n v="7.7481840193704604E-2"/>
    <n v="7.1515151515151518E-2"/>
    <n v="5.9666886785530865E-3"/>
    <n v="7.2309655465758738E-3"/>
    <n v="0.5185185185185186"/>
    <n v="1.2121212121212199E-3"/>
    <n v="8.4745762711864403E-2"/>
  </r>
  <r>
    <s v="PTC INDIA LTD."/>
    <n v="532524"/>
    <x v="9"/>
    <s v="Power Trading"/>
    <n v="164.8"/>
    <n v="4878.2152262999998"/>
    <n v="1.2104304266425004E-4"/>
    <n v="12873"/>
    <n v="12755"/>
    <n v="596"/>
    <n v="489"/>
    <n v="3405"/>
    <n v="3315"/>
    <n v="131"/>
    <n v="176"/>
    <n v="4.6298454128796705E-2"/>
    <n v="3.8337906703253627E-2"/>
    <n v="7.9605474255430783E-3"/>
    <n v="3.8472834067547722E-2"/>
    <n v="5.3092006033182503E-2"/>
    <n v="-1.4619171965634781E-2"/>
    <n v="9.2512740101919899E-3"/>
    <n v="0.21881390593047034"/>
    <n v="2.7149321266968229E-2"/>
    <n v="-0.25568181818181823"/>
  </r>
  <r>
    <s v="Gokul Agro Resources Ltd"/>
    <n v="539725"/>
    <x v="5"/>
    <s v="Edible Oil"/>
    <n v="196.15"/>
    <n v="5783.1090205"/>
    <n v="1.4349615165121086E-4"/>
    <n v="17876"/>
    <n v="14088"/>
    <n v="250"/>
    <n v="196"/>
    <n v="6314"/>
    <n v="4988"/>
    <n v="77"/>
    <n v="72"/>
    <n v="1.3985231595435221E-2"/>
    <n v="1.3912549687677456E-2"/>
    <n v="7.2681907757764577E-5"/>
    <n v="1.2195121951219513E-2"/>
    <n v="1.4434643143544507E-2"/>
    <n v="-2.239521192324994E-3"/>
    <n v="0.26888131743327648"/>
    <n v="0.27551020408163263"/>
    <n v="0.26583801122694473"/>
    <n v="6.944444444444442E-2"/>
  </r>
  <r>
    <s v="SURYA ROSHNI LTD."/>
    <n v="500336"/>
    <x v="4"/>
    <s v="Iron &amp; Steel Products"/>
    <n v="210"/>
    <n v="4567.3550999999998"/>
    <n v="1.1332967747128283E-4"/>
    <n v="5377"/>
    <n v="5290"/>
    <n v="187"/>
    <n v="216"/>
    <n v="1927"/>
    <n v="1867"/>
    <n v="79"/>
    <n v="89"/>
    <n v="3.4777757113632138E-2"/>
    <n v="4.0831758034026465E-2"/>
    <n v="-6.0540009203943271E-3"/>
    <n v="4.0996367410482612E-2"/>
    <n v="4.7670058918050345E-2"/>
    <n v="-6.6736915075677333E-3"/>
    <n v="1.6446124763705106E-2"/>
    <n v="-0.1342592592592593"/>
    <n v="3.2137118371719398E-2"/>
    <n v="-0.11235955056179781"/>
  </r>
  <r>
    <s v="Ceigall India Limited"/>
    <n v="544223"/>
    <x v="4"/>
    <s v="Civil Construction"/>
    <n v="280.39999999999998"/>
    <n v="4879.4765543000003"/>
    <n v="1.2107433996702064E-4"/>
    <n v="2635"/>
    <n v="2425"/>
    <n v="181"/>
    <n v="214"/>
    <n v="991"/>
    <n v="830"/>
    <n v="72"/>
    <n v="70"/>
    <n v="6.8690702087286531E-2"/>
    <n v="8.8247422680412371E-2"/>
    <n v="-1.955672059312584E-2"/>
    <n v="7.2653884964682142E-2"/>
    <n v="8.4337349397590355E-2"/>
    <n v="-1.1683464432908214E-2"/>
    <n v="8.6597938144329811E-2"/>
    <n v="-0.15420560747663548"/>
    <n v="0.19397590361445793"/>
    <n v="2.857142857142847E-2"/>
  </r>
  <r>
    <s v="Fedbank Financial Services Lim"/>
    <n v="544027"/>
    <x v="2"/>
    <s v="Non Banking Financial Company (NBFC)"/>
    <n v="135.65"/>
    <n v="5079.0088895999997"/>
    <n v="1.2602533123210551E-4"/>
    <n v="1609"/>
    <n v="1542"/>
    <n v="243"/>
    <n v="153"/>
    <n v="555"/>
    <n v="532"/>
    <n v="87"/>
    <n v="18"/>
    <n v="0.15102548166563082"/>
    <n v="9.9221789883268477E-2"/>
    <n v="5.1803691782362341E-2"/>
    <n v="0.15675675675675677"/>
    <n v="3.3834586466165412E-2"/>
    <n v="0.12292217029059135"/>
    <n v="4.3450064850843129E-2"/>
    <n v="0.58823529411764697"/>
    <n v="4.3233082706766846E-2"/>
    <n v="3.833333333333333"/>
  </r>
  <r>
    <s v="AURIONPRO SOLUTIONS LTD."/>
    <n v="532668"/>
    <x v="3"/>
    <s v="Computers - Software &amp; Consulting"/>
    <n v="785.3"/>
    <n v="4334.2613199999996"/>
    <n v="1.0754592684765337E-4"/>
    <n v="1065"/>
    <n v="846"/>
    <n v="150"/>
    <n v="137"/>
    <n v="371"/>
    <n v="306"/>
    <n v="43"/>
    <n v="47"/>
    <n v="0.14084507042253522"/>
    <n v="0.16193853427895982"/>
    <n v="-2.1093463856424605E-2"/>
    <n v="0.11590296495956873"/>
    <n v="0.15359477124183007"/>
    <n v="-3.7691806282261348E-2"/>
    <n v="0.25886524822695045"/>
    <n v="9.4890510948905105E-2"/>
    <n v="0.21241830065359468"/>
    <n v="-8.5106382978723416E-2"/>
  </r>
  <r>
    <s v="GOKALDAS EXPORTS LTD."/>
    <n v="532630"/>
    <x v="6"/>
    <s v="Garments &amp; Apparels"/>
    <n v="621.20000000000005"/>
    <n v="4547.1879489000003"/>
    <n v="1.1282927041301018E-4"/>
    <n v="2918"/>
    <n v="2848"/>
    <n v="64"/>
    <n v="105"/>
    <n v="978"/>
    <n v="987"/>
    <n v="14"/>
    <n v="50"/>
    <n v="2.193283070596299E-2"/>
    <n v="3.6867977528089887E-2"/>
    <n v="-1.4935146822126898E-2"/>
    <n v="1.4314928425357873E-2"/>
    <n v="5.0658561296859167E-2"/>
    <n v="-3.6343632871501295E-2"/>
    <n v="2.4578651685393194E-2"/>
    <n v="-0.39047619047619042"/>
    <n v="-9.1185410334346795E-3"/>
    <n v="-0.72"/>
  </r>
  <r>
    <s v="Juniper Hotels Limited"/>
    <n v="544129"/>
    <x v="6"/>
    <s v="Hotels &amp; Resorts"/>
    <n v="203.25"/>
    <n v="4524.8067862999997"/>
    <n v="1.1227392713810467E-4"/>
    <n v="746"/>
    <n v="666"/>
    <n v="91"/>
    <n v="16"/>
    <n v="295"/>
    <n v="252"/>
    <n v="65"/>
    <n v="32"/>
    <n v="0.12198391420911528"/>
    <n v="2.4024024024024024E-2"/>
    <n v="9.7959890185091256E-2"/>
    <n v="0.22033898305084745"/>
    <n v="0.12698412698412698"/>
    <n v="9.3354856066720476E-2"/>
    <n v="0.12012012012012008"/>
    <n v="4.6875"/>
    <n v="0.17063492063492069"/>
    <n v="1.03125"/>
  </r>
  <r>
    <s v="THOMAS COOK (INDIA) LTD."/>
    <n v="500413"/>
    <x v="6"/>
    <s v="Tour, Travel Related Services"/>
    <n v="97.05"/>
    <n v="4523.4422689000003"/>
    <n v="1.1224006939911567E-4"/>
    <n v="6627"/>
    <n v="6170"/>
    <n v="188"/>
    <n v="191"/>
    <n v="2145"/>
    <n v="2061"/>
    <n v="44"/>
    <n v="46"/>
    <n v="2.8368794326241134E-2"/>
    <n v="3.0956239870340355E-2"/>
    <n v="-2.5874455440992213E-3"/>
    <n v="2.0512820512820513E-2"/>
    <n v="2.2319262493934983E-2"/>
    <n v="-1.8064419811144698E-3"/>
    <n v="7.4068071312803907E-2"/>
    <n v="-1.5706806282722474E-2"/>
    <n v="4.0756914119359555E-2"/>
    <n v="-4.3478260869565188E-2"/>
  </r>
  <r>
    <s v="JUST DIAL LTD."/>
    <n v="535648"/>
    <x v="6"/>
    <s v="Internet &amp; Catalogue Retail"/>
    <n v="517.29999999999995"/>
    <n v="4402.3501519000001"/>
    <n v="1.0923541347386807E-4"/>
    <n v="906"/>
    <n v="852"/>
    <n v="397"/>
    <n v="426"/>
    <n v="305"/>
    <n v="287"/>
    <n v="117"/>
    <n v="131"/>
    <n v="0.4381898454746137"/>
    <n v="0.5"/>
    <n v="-6.1810154525386296E-2"/>
    <n v="0.38360655737704918"/>
    <n v="0.45644599303135891"/>
    <n v="-7.2839435654309725E-2"/>
    <n v="6.3380281690140761E-2"/>
    <n v="-6.8075117370892002E-2"/>
    <n v="6.2717770034843134E-2"/>
    <n v="-0.10687022900763354"/>
  </r>
  <r>
    <s v="NIIT Learning Systems Limited"/>
    <n v="543952"/>
    <x v="6"/>
    <s v="Education"/>
    <n v="285.5"/>
    <n v="3916.5808241"/>
    <n v="9.7182030270749942E-5"/>
    <n v="1426"/>
    <n v="1223"/>
    <n v="170"/>
    <n v="178"/>
    <n v="499"/>
    <n v="418"/>
    <n v="74"/>
    <n v="61"/>
    <n v="0.11921458625525946"/>
    <n v="0.14554374488961569"/>
    <n v="-2.6329158634356226E-2"/>
    <n v="0.14829659318637275"/>
    <n v="0.145933014354067"/>
    <n v="2.3635788323057572E-3"/>
    <n v="0.1659852820932135"/>
    <n v="-4.49438202247191E-2"/>
    <n v="0.19377990430622005"/>
    <n v="0.21311475409836067"/>
  </r>
  <r>
    <s v="DHANUKA AGRITECH LTD."/>
    <n v="507717"/>
    <x v="8"/>
    <s v="Pesticides &amp; Agrochemicals"/>
    <n v="991.6"/>
    <n v="4471.7693440000003"/>
    <n v="1.109579102972506E-4"/>
    <n v="1539"/>
    <n v="1593"/>
    <n v="189"/>
    <n v="221"/>
    <n v="409"/>
    <n v="445"/>
    <n v="39"/>
    <n v="55"/>
    <n v="0.12280701754385964"/>
    <n v="0.13873195229127433"/>
    <n v="-1.5924934747414687E-2"/>
    <n v="9.5354523227383858E-2"/>
    <n v="0.12359550561797752"/>
    <n v="-2.8240982390593666E-2"/>
    <n v="-3.3898305084745783E-2"/>
    <n v="-0.14479638009049778"/>
    <n v="-8.0898876404494335E-2"/>
    <n v="-0.29090909090909089"/>
  </r>
  <r>
    <s v="TRANSFORMERS AND RECTIFIERS (I"/>
    <n v="532928"/>
    <x v="4"/>
    <s v="Heavy Electrical Equipment"/>
    <n v="274.14999999999998"/>
    <n v="4163.6777057999998"/>
    <n v="1.0331323953609055E-4"/>
    <n v="1764"/>
    <n v="1367"/>
    <n v="181"/>
    <n v="122"/>
    <n v="741"/>
    <n v="568"/>
    <n v="76"/>
    <n v="55"/>
    <n v="0.10260770975056689"/>
    <n v="8.9246525237746885E-2"/>
    <n v="1.3361184512820007E-2"/>
    <n v="0.10256410256410256"/>
    <n v="9.6830985915492954E-2"/>
    <n v="5.7331166486096069E-3"/>
    <n v="0.29041697147037304"/>
    <n v="0.48360655737704916"/>
    <n v="0.30457746478873249"/>
    <n v="0.38181818181818183"/>
  </r>
  <r>
    <s v="RESPONSIVE INDUSTRIES LTD."/>
    <n v="505509"/>
    <x v="6"/>
    <s v="Furniture, Home Furnishing"/>
    <n v="132.9"/>
    <n v="3522.4313717999999"/>
    <n v="8.7402008939664521E-5"/>
    <n v="963"/>
    <n v="1037"/>
    <n v="125"/>
    <n v="144"/>
    <n v="311"/>
    <n v="367"/>
    <n v="22"/>
    <n v="46"/>
    <n v="0.12980269989615784"/>
    <n v="0.13886210221793635"/>
    <n v="-9.0594023217785147E-3"/>
    <n v="7.0739549839228297E-2"/>
    <n v="0.12534059945504086"/>
    <n v="-5.4601049615812566E-2"/>
    <n v="-7.1359691417550608E-2"/>
    <n v="-0.13194444444444442"/>
    <n v="-0.15258855585831066"/>
    <n v="-0.52173913043478259"/>
  </r>
  <r>
    <s v="BANNARI AMMAN SUGARS LTD."/>
    <n v="500041"/>
    <x v="5"/>
    <s v="Sugar"/>
    <n v="3670"/>
    <n v="4575.9836134999996"/>
    <n v="1.135437765791038E-4"/>
    <n v="1634"/>
    <n v="1299"/>
    <n v="106"/>
    <n v="69"/>
    <n v="644"/>
    <n v="421"/>
    <n v="48"/>
    <n v="28"/>
    <n v="6.4871481028151781E-2"/>
    <n v="5.3117782909930716E-2"/>
    <n v="1.1753698118221065E-2"/>
    <n v="7.4534161490683232E-2"/>
    <n v="6.6508313539192399E-2"/>
    <n v="8.0258479514908332E-3"/>
    <n v="0.2578906851424172"/>
    <n v="0.53623188405797095"/>
    <n v="0.52969121140142517"/>
    <n v="0.71428571428571419"/>
  </r>
  <r>
    <s v="NIRLON LTD."/>
    <n v="500307"/>
    <x v="10"/>
    <s v="Diversified Commercial Services"/>
    <n v="514.85"/>
    <n v="4639.7265545"/>
    <n v="1.151254287139687E-4"/>
    <n v="498"/>
    <n v="478"/>
    <n v="275"/>
    <n v="164"/>
    <n v="169"/>
    <n v="161"/>
    <n v="69"/>
    <n v="58"/>
    <n v="0.55220883534136544"/>
    <n v="0.34309623430962344"/>
    <n v="0.20911260103174201"/>
    <n v="0.40828402366863903"/>
    <n v="0.36024844720496896"/>
    <n v="4.8035576463670071E-2"/>
    <n v="4.1841004184100417E-2"/>
    <n v="0.67682926829268286"/>
    <n v="4.9689440993788914E-2"/>
    <n v="0.18965517241379315"/>
  </r>
  <r>
    <s v="SHILCHAR TECHNOLOGIES LTD."/>
    <n v="531201"/>
    <x v="4"/>
    <s v="Heavy Electrical Equipment"/>
    <n v="4066.7"/>
    <n v="4656.1614"/>
    <n v="1.1553322615888499E-4"/>
    <n v="500"/>
    <n v="391"/>
    <n v="129"/>
    <n v="91"/>
    <n v="170"/>
    <n v="153"/>
    <n v="42"/>
    <n v="34"/>
    <n v="0.25800000000000001"/>
    <n v="0.23273657289002558"/>
    <n v="2.5263427109974423E-2"/>
    <n v="0.24705882352941178"/>
    <n v="0.22222222222222221"/>
    <n v="2.4836601307189565E-2"/>
    <n v="0.27877237851662406"/>
    <n v="0.41758241758241765"/>
    <n v="0.11111111111111116"/>
    <n v="0.23529411764705888"/>
  </r>
  <r>
    <s v="Entero Healthcare Solutions Li"/>
    <n v="544122"/>
    <x v="6"/>
    <s v="Pharmacy Retail"/>
    <n v="1235.45"/>
    <n v="5372.7298487999997"/>
    <n v="1.3331342266442961E-4"/>
    <n v="4681"/>
    <n v="3756"/>
    <n v="100"/>
    <n v="76"/>
    <n v="1706"/>
    <n v="1358"/>
    <n v="33"/>
    <n v="29"/>
    <n v="2.1362956633198035E-2"/>
    <n v="2.0234291799787009E-2"/>
    <n v="1.1286648334110257E-3"/>
    <n v="1.9343493552168817E-2"/>
    <n v="2.1354933726067747E-2"/>
    <n v="-2.0114401738989297E-3"/>
    <n v="0.24627263045793391"/>
    <n v="0.31578947368421062"/>
    <n v="0.25625920471281294"/>
    <n v="0.13793103448275867"/>
  </r>
  <r>
    <s v="STERLING AND WILSON RENEWABLE"/>
    <n v="542760"/>
    <x v="4"/>
    <s v="Civil Construction"/>
    <n v="166.55"/>
    <n v="3890.6313881999999"/>
    <n v="9.6538147512190454E-5"/>
    <n v="5602"/>
    <n v="3782"/>
    <n v="-437"/>
    <n v="30"/>
    <n v="2092"/>
    <n v="1837"/>
    <n v="1"/>
    <n v="17"/>
    <n v="-7.8007854337736521E-2"/>
    <n v="7.9323109465891072E-3"/>
    <n v="-8.5940165284325631E-2"/>
    <n v="4.7801147227533459E-4"/>
    <n v="9.2542188350571587E-3"/>
    <n v="-8.7762073627818248E-3"/>
    <n v="0.48122686409307236"/>
    <n v="-15.566666666666666"/>
    <n v="0.13881328252585745"/>
    <n v="-0.94117647058823528"/>
  </r>
  <r>
    <s v="Unimech Aerospace and Manufact"/>
    <n v="544322"/>
    <x v="4"/>
    <s v="Aerospace &amp; Defense"/>
    <n v="729.95"/>
    <n v="3717.637197"/>
    <n v="9.2245646608746048E-5"/>
    <n v="158"/>
    <n v="174"/>
    <n v="37"/>
    <n v="54"/>
    <n v="33"/>
    <n v="53"/>
    <n v="2"/>
    <n v="15"/>
    <n v="0.23417721518987342"/>
    <n v="0.31034482758620691"/>
    <n v="-7.6167612396333489E-2"/>
    <n v="6.0606060606060608E-2"/>
    <n v="0.28301886792452829"/>
    <n v="-0.22241280731846769"/>
    <n v="-9.1954022988505746E-2"/>
    <n v="-0.31481481481481477"/>
    <n v="-0.37735849056603776"/>
    <n v="-0.8666666666666667"/>
  </r>
  <r>
    <s v="SUNFLAG IRON &amp; STEEL CO.LTD."/>
    <n v="500404"/>
    <x v="4"/>
    <s v="Iron &amp; Steel Products"/>
    <n v="224.75"/>
    <n v="4050.9716512"/>
    <n v="1.005166667850735E-4"/>
    <n v="2938"/>
    <n v="2652"/>
    <n v="168"/>
    <n v="118"/>
    <n v="942"/>
    <n v="892"/>
    <n v="59"/>
    <n v="50"/>
    <n v="5.7181756296800543E-2"/>
    <n v="4.4494720965309202E-2"/>
    <n v="1.2687035331491341E-2"/>
    <n v="6.2632696390658174E-2"/>
    <n v="5.6053811659192827E-2"/>
    <n v="6.5788847314653467E-3"/>
    <n v="0.10784313725490202"/>
    <n v="0.42372881355932202"/>
    <n v="5.6053811659192876E-2"/>
    <n v="0.17999999999999994"/>
  </r>
  <r>
    <s v="HINDUSTAN CONSTRUCTION CO.LTD."/>
    <n v="500185"/>
    <x v="4"/>
    <s v="Civil Construction"/>
    <n v="15.48"/>
    <n v="4054.9363440000002"/>
    <n v="1.0061504261670015E-4"/>
    <n v="2977"/>
    <n v="4230"/>
    <n v="106"/>
    <n v="22"/>
    <n v="925"/>
    <n v="1007"/>
    <n v="8"/>
    <n v="-39"/>
    <n v="3.5606315082297613E-2"/>
    <n v="5.2009456264775411E-3"/>
    <n v="3.0405369455820071E-2"/>
    <n v="8.6486486486486488E-3"/>
    <n v="-3.8728897715988087E-2"/>
    <n v="4.7377546364636737E-2"/>
    <n v="-0.29621749408983455"/>
    <n v="3.8181818181818183"/>
    <n v="-8.1429990069513458E-2"/>
    <n v="-1.2051282051282051"/>
  </r>
  <r>
    <s v="DATAMATICS GLOBAL SERVICES LTD"/>
    <n v="532528"/>
    <x v="3"/>
    <s v="IT Enabled Services"/>
    <n v="700.85"/>
    <n v="4156.9523364999995"/>
    <n v="1.0314636310170859E-4"/>
    <n v="1467"/>
    <n v="1226"/>
    <n v="150"/>
    <n v="160"/>
    <n v="510"/>
    <n v="425"/>
    <n v="36"/>
    <n v="74"/>
    <n v="0.10224948875255624"/>
    <n v="0.13050570962479607"/>
    <n v="-2.8256220872239834E-2"/>
    <n v="7.0588235294117646E-2"/>
    <n v="0.17411764705882352"/>
    <n v="-0.10352941176470587"/>
    <n v="0.19657422512234901"/>
    <n v="-6.25E-2"/>
    <n v="0.19999999999999996"/>
    <n v="-0.51351351351351349"/>
  </r>
  <r>
    <s v="V-MART RETAIL LTD."/>
    <n v="534976"/>
    <x v="6"/>
    <s v="Diversified Retail"/>
    <n v="628.04999999999995"/>
    <n v="4958.6179899999997"/>
    <n v="1.2303807459814121E-4"/>
    <n v="2818"/>
    <n v="2473"/>
    <n v="112"/>
    <n v="27"/>
    <n v="1126"/>
    <n v="1026"/>
    <n v="87"/>
    <n v="71"/>
    <n v="3.9744499645138397E-2"/>
    <n v="1.0917913465426607E-2"/>
    <n v="2.8826586179711788E-2"/>
    <n v="7.7264653641207812E-2"/>
    <n v="6.9200779727095513E-2"/>
    <n v="8.0638739141122989E-3"/>
    <n v="0.13950667205822898"/>
    <n v="3.1481481481481479"/>
    <n v="9.7465886939571256E-2"/>
    <n v="0.22535211267605626"/>
  </r>
  <r>
    <s v="Indigo Paints Limited"/>
    <n v="543258"/>
    <x v="6"/>
    <s v="Paints"/>
    <n v="770.05"/>
    <n v="3674.8398146"/>
    <n v="9.1183716139620232E-5"/>
    <n v="979"/>
    <n v="953"/>
    <n v="88"/>
    <n v="84"/>
    <n v="358"/>
    <n v="342"/>
    <n v="37"/>
    <n v="35"/>
    <n v="8.98876404494382E-2"/>
    <n v="8.8142707240293813E-2"/>
    <n v="1.7449332091443864E-3"/>
    <n v="0.10335195530726257"/>
    <n v="0.1023391812865497"/>
    <n v="1.0127740207128699E-3"/>
    <n v="2.7282266526757581E-2"/>
    <n v="4.7619047619047672E-2"/>
    <n v="4.6783625730994149E-2"/>
    <n v="5.7142857142857162E-2"/>
  </r>
  <r>
    <s v="IFB INDUSTRIES LTD."/>
    <n v="505726"/>
    <x v="6"/>
    <s v="Household Appliances"/>
    <n v="962.5"/>
    <n v="3893.587775"/>
    <n v="9.6611504270136512E-5"/>
    <n v="4145"/>
    <n v="3781"/>
    <n v="101"/>
    <n v="100"/>
    <n v="1419"/>
    <n v="1273"/>
    <n v="24"/>
    <n v="31"/>
    <n v="2.4366706875753919E-2"/>
    <n v="2.6448029621793177E-2"/>
    <n v="-2.0813227460392582E-3"/>
    <n v="1.6913319238900635E-2"/>
    <n v="2.4351924587588374E-2"/>
    <n v="-7.4386053486877393E-3"/>
    <n v="9.6270827823327076E-2"/>
    <n v="1.0000000000000009E-2"/>
    <n v="0.11468970934799683"/>
    <n v="-0.22580645161290325"/>
  </r>
  <r>
    <s v="SIS LIMITED"/>
    <n v="540673"/>
    <x v="6"/>
    <s v="Other Consumer Services"/>
    <n v="288.45"/>
    <n v="4075.7000849999999"/>
    <n v="1.0113025284649534E-4"/>
    <n v="11492"/>
    <n v="9761"/>
    <n v="35"/>
    <n v="235"/>
    <n v="4185"/>
    <n v="3362"/>
    <n v="-138"/>
    <n v="102"/>
    <n v="3.0455969369996517E-3"/>
    <n v="2.4075402110439504E-2"/>
    <n v="-2.1029805173439851E-2"/>
    <n v="-3.2974910394265235E-2"/>
    <n v="3.0339083878643664E-2"/>
    <n v="-6.3313994272908902E-2"/>
    <n v="0.17733838746030117"/>
    <n v="-0.85106382978723405"/>
    <n v="0.24479476502082087"/>
    <n v="-2.3529411764705883"/>
  </r>
  <r>
    <s v="ION EXCHANGE (INDIA) LTD."/>
    <n v="500214"/>
    <x v="9"/>
    <s v="Water Supply &amp; Management"/>
    <n v="343.5"/>
    <n v="4220.8153590000002"/>
    <n v="1.0473099481608226E-4"/>
    <n v="2051"/>
    <n v="1902"/>
    <n v="118"/>
    <n v="145"/>
    <n v="734"/>
    <n v="690"/>
    <n v="20"/>
    <n v="49"/>
    <n v="5.7532910775231594E-2"/>
    <n v="7.6235541535226076E-2"/>
    <n v="-1.8702630759994482E-2"/>
    <n v="2.7247956403269755E-2"/>
    <n v="7.101449275362319E-2"/>
    <n v="-4.3766536350353435E-2"/>
    <n v="7.8338590956887444E-2"/>
    <n v="-0.18620689655172418"/>
    <n v="6.3768115942028913E-2"/>
    <n v="-0.59183673469387754"/>
  </r>
  <r>
    <s v="INDIA TOURISM DEVELOPMENT CORP"/>
    <n v="532189"/>
    <x v="6"/>
    <s v="Hotels &amp; Resorts"/>
    <n v="409.5"/>
    <n v="3504.5369191"/>
    <n v="8.6957994294730061E-5"/>
    <n v="391"/>
    <n v="387"/>
    <n v="54"/>
    <n v="56"/>
    <n v="184"/>
    <n v="149"/>
    <n v="28"/>
    <n v="20"/>
    <n v="0.13810741687979539"/>
    <n v="0.14470284237726097"/>
    <n v="-6.5954254974655846E-3"/>
    <n v="0.15217391304347827"/>
    <n v="0.13422818791946309"/>
    <n v="1.7945725124015183E-2"/>
    <n v="1.0335917312661591E-2"/>
    <n v="-3.5714285714285698E-2"/>
    <n v="0.2348993288590604"/>
    <n v="0.39999999999999991"/>
  </r>
  <r>
    <s v="GHCL LTD."/>
    <n v="500171"/>
    <x v="8"/>
    <s v="Commodity Chemicals"/>
    <n v="451.05"/>
    <n v="4148.0591112000002"/>
    <n v="1.0292569570605801E-4"/>
    <n v="2274"/>
    <n v="2402"/>
    <n v="357"/>
    <n v="474"/>
    <n v="757"/>
    <n v="779"/>
    <n v="106"/>
    <n v="168"/>
    <n v="0.15699208443271767"/>
    <n v="0.19733555370524564"/>
    <n v="-4.0343469272527965E-2"/>
    <n v="0.14002642007926025"/>
    <n v="0.21566110397946084"/>
    <n v="-7.5634683900200589E-2"/>
    <n v="-5.328892589508738E-2"/>
    <n v="-0.24683544303797467"/>
    <n v="-2.8241335044929428E-2"/>
    <n v="-0.36904761904761907"/>
  </r>
  <r>
    <s v="RATTANINDIA POWER LTD."/>
    <n v="533122"/>
    <x v="9"/>
    <s v="Power Generation"/>
    <n v="8.2899999999999991"/>
    <n v="4441.0640654999997"/>
    <n v="1.1019602092520002E-4"/>
    <n v="2204"/>
    <n v="2348"/>
    <n v="10"/>
    <n v="96"/>
    <n v="728"/>
    <n v="733"/>
    <n v="54"/>
    <n v="4"/>
    <n v="4.5372050816696917E-3"/>
    <n v="4.0885860306643949E-2"/>
    <n v="-3.6348655224974255E-2"/>
    <n v="7.4175824175824176E-2"/>
    <n v="5.4570259208731242E-3"/>
    <n v="6.8718798254951058E-2"/>
    <n v="-6.1328790459965976E-2"/>
    <n v="-0.89583333333333337"/>
    <n v="-6.8212824010913664E-3"/>
    <n v="12.5"/>
  </r>
  <r>
    <s v="SWARAJ ENGINES LTD."/>
    <n v="500407"/>
    <x v="4"/>
    <s v="Compressors, Pumps &amp; Diesel Engines"/>
    <n v="3630"/>
    <n v="4412.8291520000002"/>
    <n v="1.094954286633055E-4"/>
    <n v="1461"/>
    <n v="1227"/>
    <n v="141"/>
    <n v="120"/>
    <n v="476"/>
    <n v="349"/>
    <n v="42"/>
    <n v="31"/>
    <n v="9.6509240246406572E-2"/>
    <n v="9.7799511002444994E-2"/>
    <n v="-1.2902707560384225E-3"/>
    <n v="8.8235294117647065E-2"/>
    <n v="8.882521489971347E-2"/>
    <n v="-5.8992078206640541E-4"/>
    <n v="0.19070904645476783"/>
    <n v="0.17500000000000004"/>
    <n v="0.36389684813753576"/>
    <n v="0.35483870967741926"/>
  </r>
  <r>
    <s v="PDS LIMITED"/>
    <n v="538730"/>
    <x v="6"/>
    <s v="Trading - Textile Products"/>
    <n v="287.95"/>
    <n v="4052.9881700000001"/>
    <n v="1.0056670261986524E-4"/>
    <n v="9591"/>
    <n v="9052"/>
    <n v="105"/>
    <n v="161"/>
    <n v="3172"/>
    <n v="3124"/>
    <n v="37"/>
    <n v="45"/>
    <n v="1.0947763528307789E-2"/>
    <n v="1.7786124613345118E-2"/>
    <n v="-6.838361085037329E-3"/>
    <n v="1.1664564943253467E-2"/>
    <n v="1.4404609475032011E-2"/>
    <n v="-2.7400445317785436E-3"/>
    <n v="5.9544851966416346E-2"/>
    <n v="-0.34782608695652173"/>
    <n v="1.5364916773367376E-2"/>
    <n v="-0.17777777777777781"/>
  </r>
  <r>
    <s v="ELECTROSTEEL CASTINGS LTD."/>
    <n v="500128"/>
    <x v="4"/>
    <s v="Iron &amp; Steel Products"/>
    <n v="78.63"/>
    <n v="4858.3117591"/>
    <n v="1.2054917838854783E-4"/>
    <n v="4425"/>
    <n v="5619"/>
    <n v="145"/>
    <n v="541"/>
    <n v="1471"/>
    <n v="1779"/>
    <n v="-21"/>
    <n v="160"/>
    <n v="3.2768361581920903E-2"/>
    <n v="9.6280476953194513E-2"/>
    <n v="-6.3512115371273603E-2"/>
    <n v="-1.4276002719238613E-2"/>
    <n v="8.9938167509836991E-2"/>
    <n v="-0.1042141702290756"/>
    <n v="-0.21249332621462891"/>
    <n v="-0.73197781885397406"/>
    <n v="-0.17313097245643616"/>
    <n v="-1.1312500000000001"/>
  </r>
  <r>
    <s v="TARC LIMITED"/>
    <n v="543249"/>
    <x v="6"/>
    <s v="Residential, Commercial Projects"/>
    <n v="116.85"/>
    <n v="3438.1670543"/>
    <n v="8.5311160359791062E-5"/>
    <n v="121"/>
    <n v="21"/>
    <n v="17"/>
    <n v="-126"/>
    <n v="38"/>
    <n v="9"/>
    <n v="-21"/>
    <n v="-28"/>
    <n v="0.14049586776859505"/>
    <n v="-6"/>
    <n v="6.1404958677685952"/>
    <n v="-0.55263157894736847"/>
    <n v="-3.1111111111111112"/>
    <n v="2.5584795321637426"/>
    <n v="4.7619047619047619"/>
    <n v="-1.1349206349206349"/>
    <n v="3.2222222222222223"/>
    <n v="-0.25"/>
  </r>
  <r>
    <s v="BAJAJ ELECTRICALS LTD."/>
    <n v="500031"/>
    <x v="6"/>
    <s v="Household Appliances"/>
    <n v="351"/>
    <n v="4062.3294526"/>
    <n v="1.0079848765103702E-4"/>
    <n v="3210"/>
    <n v="5553"/>
    <n v="-23"/>
    <n v="74"/>
    <n v="1048"/>
    <n v="1286"/>
    <n v="-34"/>
    <n v="33"/>
    <n v="-7.1651090342679125E-3"/>
    <n v="1.3326130019809113E-2"/>
    <n v="-2.0491239054077025E-2"/>
    <n v="-3.2442748091603052E-2"/>
    <n v="2.5660964230171075E-2"/>
    <n v="-5.8103712321774123E-2"/>
    <n v="-0.42193408968125334"/>
    <n v="-1.3108108108108107"/>
    <n v="-0.18506998444790046"/>
    <n v="-2.0303030303030303"/>
  </r>
  <r>
    <s v="MAN INFRACONSTRUCTION LTD."/>
    <n v="533169"/>
    <x v="4"/>
    <s v="Civil Construction"/>
    <n v="89.02"/>
    <n v="3598.4900421000002"/>
    <n v="8.9289250983532248E-5"/>
    <n v="484"/>
    <n v="814"/>
    <n v="169"/>
    <n v="215"/>
    <n v="153"/>
    <n v="242"/>
    <n v="51"/>
    <n v="84"/>
    <n v="0.34917355371900827"/>
    <n v="0.26412776412776412"/>
    <n v="8.5045789591244147E-2"/>
    <n v="0.33333333333333331"/>
    <n v="0.34710743801652894"/>
    <n v="-1.377410468319562E-2"/>
    <n v="-0.40540540540540537"/>
    <n v="-0.21395348837209305"/>
    <n v="-0.36776859504132231"/>
    <n v="-0.3928571428571429"/>
  </r>
  <r>
    <s v="GMM PFAUDLER LTD."/>
    <n v="505255"/>
    <x v="4"/>
    <s v="Industrial Products"/>
    <n v="865.85"/>
    <n v="3890.3729229"/>
    <n v="9.6531734218622262E-5"/>
    <n v="2580"/>
    <n v="2392"/>
    <n v="41"/>
    <n v="77"/>
    <n v="883"/>
    <n v="801"/>
    <n v="-9"/>
    <n v="40"/>
    <n v="1.5891472868217054E-2"/>
    <n v="3.2190635451505016E-2"/>
    <n v="-1.6299162583287962E-2"/>
    <n v="-1.0192525481313703E-2"/>
    <n v="4.9937578027465665E-2"/>
    <n v="-6.013010350877937E-2"/>
    <n v="7.8595317725752567E-2"/>
    <n v="-0.46753246753246758"/>
    <n v="0.10237203495630465"/>
    <n v="-1.2250000000000001"/>
  </r>
  <r>
    <s v="SUN PHARMA ADVANCED RESEARCH C"/>
    <n v="532872"/>
    <x v="7"/>
    <s v="Pharmaceuticals"/>
    <n v="121.95"/>
    <n v="3946.7238481999998"/>
    <n v="9.7929968437252934E-5"/>
    <n v="25"/>
    <n v="44"/>
    <n v="-208"/>
    <n v="-282"/>
    <n v="8"/>
    <n v="14"/>
    <n v="-80"/>
    <n v="-79"/>
    <n v="-8.32"/>
    <n v="-6.4090909090909092"/>
    <n v="-1.9109090909090911"/>
    <n v="-10"/>
    <n v="-5.6428571428571432"/>
    <n v="-4.3571428571428568"/>
    <n v="-0.43181818181818177"/>
    <n v="-0.26241134751773054"/>
    <n v="-0.4285714285714286"/>
    <n v="1.2658227848101333E-2"/>
  </r>
  <r>
    <s v="RAJESH EXPORTS LTD."/>
    <n v="531500"/>
    <x v="6"/>
    <s v="Gems, Jewellery And Watches"/>
    <n v="91.78"/>
    <n v="2705.7617055000001"/>
    <n v="6.7138003217324431E-5"/>
    <n v="541884"/>
    <n v="223613"/>
    <n v="165"/>
    <n v="92"/>
    <n v="234937"/>
    <n v="96496"/>
    <n v="71"/>
    <n v="35"/>
    <n v="3.0449321256947984E-4"/>
    <n v="4.1142509603645585E-4"/>
    <n v="-1.06931883466976E-4"/>
    <n v="3.0220867721985045E-4"/>
    <n v="3.6270933510197315E-4"/>
    <n v="-6.0500657882122701E-5"/>
    <n v="1.4233117037023786"/>
    <n v="0.79347826086956519"/>
    <n v="1.4346812303100647"/>
    <n v="1.0285714285714285"/>
  </r>
  <r>
    <s v="FOSECO INDIA LTD."/>
    <n v="500150"/>
    <x v="8"/>
    <s v="Specialty Chemicals"/>
    <n v="4621.3"/>
    <n v="3466.1589835999998"/>
    <n v="8.6005723460297082E-5"/>
    <n v="643"/>
    <n v="525"/>
    <n v="75"/>
    <n v="73"/>
    <n v="187"/>
    <n v="136"/>
    <n v="15"/>
    <n v="19"/>
    <n v="0.1166407465007776"/>
    <n v="0.13904761904761906"/>
    <n v="-2.2406872546841455E-2"/>
    <n v="8.0213903743315509E-2"/>
    <n v="0.13970588235294118"/>
    <n v="-5.949197860962567E-2"/>
    <n v="0.22476190476190472"/>
    <n v="2.7397260273972712E-2"/>
    <n v="0.375"/>
    <n v="-0.21052631578947367"/>
  </r>
  <r>
    <s v="TANFAC INDUSTRIES LTD."/>
    <n v="506854"/>
    <x v="8"/>
    <s v="Commodity Chemicals"/>
    <n v="2010.2"/>
    <n v="4010.3468923"/>
    <n v="9.9508645573084611E-5"/>
    <n v="517"/>
    <n v="385"/>
    <n v="52"/>
    <n v="65"/>
    <n v="173"/>
    <n v="178"/>
    <n v="15"/>
    <n v="34"/>
    <n v="0.10058027079303675"/>
    <n v="0.16883116883116883"/>
    <n v="-6.8250898038132085E-2"/>
    <n v="8.6705202312138727E-2"/>
    <n v="0.19101123595505617"/>
    <n v="-0.10430603364291745"/>
    <n v="0.34285714285714275"/>
    <n v="-0.19999999999999996"/>
    <n v="-2.8089887640449396E-2"/>
    <n v="-0.55882352941176472"/>
  </r>
  <r>
    <s v="TEXMACO RAIL &amp; ENGINEERING LTD"/>
    <n v="533326"/>
    <x v="4"/>
    <s v="Industrial Products"/>
    <n v="89.95"/>
    <n v="3656.4913732"/>
    <n v="9.0728436683472249E-5"/>
    <n v="3210"/>
    <n v="3760"/>
    <n v="135"/>
    <n v="209"/>
    <n v="1041"/>
    <n v="1326"/>
    <n v="42"/>
    <n v="76"/>
    <n v="4.2056074766355138E-2"/>
    <n v="5.558510638297872E-2"/>
    <n v="-1.3529031616623582E-2"/>
    <n v="4.0345821325648415E-2"/>
    <n v="5.7315233785822019E-2"/>
    <n v="-1.6969412460173604E-2"/>
    <n v="-0.14627659574468088"/>
    <n v="-0.35406698564593297"/>
    <n v="-0.21493212669683259"/>
    <n v="-0.44736842105263153"/>
  </r>
  <r>
    <s v="Northern Arc Capital Ltd."/>
    <n v="544260"/>
    <x v="2"/>
    <s v="Non Banking Financial Company (NBFC)"/>
    <n v="225.3"/>
    <n v="3638.1786870000001"/>
    <n v="9.0274044420282811E-5"/>
    <n v="1960"/>
    <n v="1749"/>
    <n v="270"/>
    <n v="262"/>
    <n v="724"/>
    <n v="580"/>
    <n v="101"/>
    <n v="73"/>
    <n v="0.13775510204081631"/>
    <n v="0.14979988564894225"/>
    <n v="-1.2044783608125942E-2"/>
    <n v="0.13950276243093923"/>
    <n v="0.12586206896551724"/>
    <n v="1.3640693465421988E-2"/>
    <n v="0.12064036592338478"/>
    <n v="3.0534351145038219E-2"/>
    <n v="0.24827586206896557"/>
    <n v="0.38356164383561642"/>
  </r>
  <r>
    <s v="TIME TECHNOPLAST LTD."/>
    <n v="532856"/>
    <x v="4"/>
    <s v="Plastic Products - Industrial"/>
    <n v="170.4"/>
    <n v="3862.8366535999999"/>
    <n v="9.5848477399258371E-5"/>
    <n v="4428"/>
    <n v="3988"/>
    <n v="342"/>
    <n v="282"/>
    <n v="1564"/>
    <n v="1387"/>
    <n v="128"/>
    <n v="102"/>
    <n v="7.7235772357723581E-2"/>
    <n v="7.0712136409227688E-2"/>
    <n v="6.5236359484958928E-3"/>
    <n v="8.1841432225063945E-2"/>
    <n v="7.3540014419610666E-2"/>
    <n v="8.3014178054532789E-3"/>
    <n v="0.11033099297893689"/>
    <n v="0.2127659574468086"/>
    <n v="0.12761355443403022"/>
    <n v="0.25490196078431371"/>
  </r>
  <r>
    <s v="Hemisphere Properties India Li"/>
    <n v="543242"/>
    <x v="10"/>
    <s v="Diversified Commercial Services"/>
    <n v="119.9"/>
    <n v="3412.0200347"/>
    <n v="8.4662374961409561E-5"/>
    <n v="4"/>
    <n v="5"/>
    <n v="-9"/>
    <n v="-6"/>
    <n v="1"/>
    <n v="1"/>
    <n v="-3"/>
    <n v="-2"/>
    <n v="-2.25"/>
    <n v="-1.2"/>
    <n v="-1.05"/>
    <n v="-3"/>
    <n v="-2"/>
    <n v="-1"/>
    <n v="-0.19999999999999996"/>
    <n v="0.5"/>
    <n v="0"/>
    <n v="0.5"/>
  </r>
  <r>
    <s v="Bansal Wire Industries Limited"/>
    <n v="544209"/>
    <x v="4"/>
    <s v="Iron &amp; Steel Products"/>
    <n v="252.8"/>
    <n v="3956.9503725"/>
    <n v="9.8183718950448469E-5"/>
    <n v="3023"/>
    <n v="2566"/>
    <n v="120"/>
    <n v="113"/>
    <n v="1029"/>
    <n v="924"/>
    <n v="43"/>
    <n v="41"/>
    <n v="3.9695666556400923E-2"/>
    <n v="4.4037412314886983E-2"/>
    <n v="-4.3417457584860597E-3"/>
    <n v="4.1788143828960157E-2"/>
    <n v="4.4372294372294376E-2"/>
    <n v="-2.5841505433342182E-3"/>
    <n v="0.17809820732657844"/>
    <n v="6.1946902654867353E-2"/>
    <n v="0.11363636363636354"/>
    <n v="4.8780487804878092E-2"/>
  </r>
  <r>
    <s v="CENTUM ELECTRONICS LTD."/>
    <n v="517544"/>
    <x v="4"/>
    <s v="Industrial Products"/>
    <n v="2786.6"/>
    <n v="4114.2075180000002"/>
    <n v="1.0208573689942941E-4"/>
    <n v="8519"/>
    <n v="7372"/>
    <n v="-53"/>
    <n v="-23"/>
    <n v="232"/>
    <n v="267"/>
    <n v="-61"/>
    <n v="-19"/>
    <n v="-6.2213874867942248E-3"/>
    <n v="-3.1199131850244166E-3"/>
    <n v="-3.1014743017698083E-3"/>
    <n v="-0.26293103448275862"/>
    <n v="-7.116104868913857E-2"/>
    <n v="-0.19176998579362003"/>
    <n v="0.1555887140531742"/>
    <n v="1.3043478260869565"/>
    <n v="-0.13108614232209737"/>
    <n v="2.2105263157894739"/>
  </r>
  <r>
    <s v="SKIPPER LTD"/>
    <n v="538562"/>
    <x v="4"/>
    <s v="Heavy Electrical Equipment"/>
    <n v="357.7"/>
    <n v="4043.7163080999999"/>
    <n v="1.0033664012293232E-4"/>
    <n v="3886"/>
    <n v="3336"/>
    <n v="135"/>
    <n v="101"/>
    <n v="1370"/>
    <n v="1135"/>
    <n v="52"/>
    <n v="36"/>
    <n v="3.4740092640247043E-2"/>
    <n v="3.02757793764988E-2"/>
    <n v="4.464313263748243E-3"/>
    <n v="3.7956204379562042E-2"/>
    <n v="3.1718061674008813E-2"/>
    <n v="6.238142705553229E-3"/>
    <n v="0.16486810551558762"/>
    <n v="0.33663366336633671"/>
    <n v="0.20704845814977979"/>
    <n v="0.44444444444444442"/>
  </r>
  <r>
    <s v="Knowledge Marine &amp; Engineering"/>
    <n v="543273"/>
    <x v="10"/>
    <s v="Dredging"/>
    <n v="1621.7"/>
    <n v="3969.9662213000001"/>
    <n v="9.8506680908567074E-5"/>
    <n v="90"/>
    <n v="50"/>
    <n v="32"/>
    <n v="11"/>
    <n v="82"/>
    <n v="42"/>
    <n v="30"/>
    <n v="10"/>
    <n v="0.35555555555555557"/>
    <n v="0.22"/>
    <n v="0.13555555555555557"/>
    <n v="0.36585365853658536"/>
    <n v="0.23809523809523808"/>
    <n v="0.12775842044134728"/>
    <n v="0.8"/>
    <n v="1.9090909090909092"/>
    <n v="0.95238095238095233"/>
    <n v="2"/>
  </r>
  <r>
    <s v="Mahindra Logistics Limited"/>
    <n v="540768"/>
    <x v="10"/>
    <s v="Logistics Solution Provider"/>
    <n v="352.7"/>
    <n v="3489.1580969000001"/>
    <n v="8.6576399931766204E-5"/>
    <n v="5207"/>
    <n v="4535"/>
    <n v="-12"/>
    <n v="-25"/>
    <n v="1898"/>
    <n v="1594"/>
    <n v="6"/>
    <n v="-7"/>
    <n v="-2.3045899750336087E-3"/>
    <n v="-5.512679162072767E-3"/>
    <n v="3.2080891870391584E-3"/>
    <n v="3.1612223393045311E-3"/>
    <n v="-4.3914680050188204E-3"/>
    <n v="7.5526903443233519E-3"/>
    <n v="0.14818081587651588"/>
    <n v="-0.52"/>
    <n v="0.1907151819322459"/>
    <n v="-1.8571428571428572"/>
  </r>
  <r>
    <s v="VST INDUSTRIES LTD."/>
    <n v="509966"/>
    <x v="5"/>
    <s v="Cigarettes &amp; Tobacco Products"/>
    <n v="212.25"/>
    <n v="3601.1059605"/>
    <n v="8.9354159706868239E-5"/>
    <n v="1356"/>
    <n v="1355"/>
    <n v="175"/>
    <n v="237"/>
    <n v="491"/>
    <n v="470"/>
    <n v="60"/>
    <n v="136"/>
    <n v="0.12905604719764011"/>
    <n v="0.17490774907749077"/>
    <n v="-4.5851701879850659E-2"/>
    <n v="0.12219959266802444"/>
    <n v="0.28936170212765955"/>
    <n v="-0.16716210945963511"/>
    <n v="7.3800738007379074E-4"/>
    <n v="-0.26160337552742619"/>
    <n v="4.4680851063829685E-2"/>
    <n v="-0.55882352941176472"/>
  </r>
  <r>
    <s v="D B CORP LTD"/>
    <n v="533151"/>
    <x v="6"/>
    <s v="Print Media"/>
    <n v="198.25"/>
    <n v="3545.1326942000001"/>
    <n v="8.7965296332353474E-5"/>
    <n v="1779"/>
    <n v="1791"/>
    <n v="269"/>
    <n v="318"/>
    <n v="605"/>
    <n v="642"/>
    <n v="95"/>
    <n v="118"/>
    <n v="0.15120854412591345"/>
    <n v="0.17755443886097153"/>
    <n v="-2.6345894735058079E-2"/>
    <n v="0.15702479338842976"/>
    <n v="0.18380062305295949"/>
    <n v="-2.6775829664529738E-2"/>
    <n v="-6.7001675041875597E-3"/>
    <n v="-0.15408805031446537"/>
    <n v="-5.7632398753894032E-2"/>
    <n v="-0.19491525423728817"/>
  </r>
  <r>
    <s v="JANA SMALL FINANCE BANK LIMITE"/>
    <n v="544118"/>
    <x v="2"/>
    <s v="Other Bank"/>
    <n v="386.25"/>
    <n v="4067.6323185000001"/>
    <n v="1.0093006754114025E-4"/>
    <n v="46972"/>
    <n v="40524"/>
    <n v="1866"/>
    <n v="3779"/>
    <n v="13841"/>
    <n v="11774"/>
    <n v="96"/>
    <n v="1106"/>
    <n v="3.9725794090096231E-2"/>
    <n v="9.3253380712664105E-2"/>
    <n v="-5.3527586622567874E-2"/>
    <n v="6.9359150350408209E-3"/>
    <n v="9.3935790725326998E-2"/>
    <n v="-8.699987569028618E-2"/>
    <n v="0.15911558582568364"/>
    <n v="-0.50621857634294787"/>
    <n v="0.17555631051469334"/>
    <n v="-0.91320072332730562"/>
  </r>
  <r>
    <s v="WPIL LTD."/>
    <n v="505872"/>
    <x v="4"/>
    <s v="Industrial Products"/>
    <n v="394.75"/>
    <n v="3855.5552247000001"/>
    <n v="9.5667803470759344E-5"/>
    <n v="1343"/>
    <n v="1235"/>
    <n v="153"/>
    <n v="150"/>
    <n v="538"/>
    <n v="381"/>
    <n v="75"/>
    <n v="37"/>
    <n v="0.11392405063291139"/>
    <n v="0.1214574898785425"/>
    <n v="-7.5334392456311156E-3"/>
    <n v="0.13940520446096655"/>
    <n v="9.711286089238845E-2"/>
    <n v="4.2292343568578097E-2"/>
    <n v="8.7449392712550589E-2"/>
    <n v="2.0000000000000018E-2"/>
    <n v="0.4120734908136483"/>
    <n v="1.0270270270270272"/>
  </r>
  <r>
    <s v="HAWKINS COOKERS LTD."/>
    <n v="508486"/>
    <x v="6"/>
    <s v="Houseware"/>
    <n v="7384.9"/>
    <n v="3904.9984476999998"/>
    <n v="9.6894637030455795E-5"/>
    <n v="887"/>
    <n v="809"/>
    <n v="91"/>
    <n v="80"/>
    <n v="332"/>
    <n v="286"/>
    <n v="34"/>
    <n v="21"/>
    <n v="0.10259301014656144"/>
    <n v="9.8887515451174288E-2"/>
    <n v="3.7054946953871543E-3"/>
    <n v="0.10240963855421686"/>
    <n v="7.3426573426573424E-2"/>
    <n v="2.898306512764344E-2"/>
    <n v="9.6415327564894904E-2"/>
    <n v="0.13749999999999996"/>
    <n v="0.16083916083916083"/>
    <n v="0.61904761904761907"/>
  </r>
  <r>
    <s v="JTEKT India Ltd"/>
    <n v="520057"/>
    <x v="6"/>
    <s v="Auto Components &amp; Equipments"/>
    <n v="125.55"/>
    <n v="3498.5285177000001"/>
    <n v="8.6808907968427115E-5"/>
    <n v="1885"/>
    <n v="1750"/>
    <n v="49"/>
    <n v="50"/>
    <n v="680"/>
    <n v="591"/>
    <n v="20"/>
    <n v="16"/>
    <n v="2.59946949602122E-2"/>
    <n v="2.8571428571428571E-2"/>
    <n v="-2.5767336112163704E-3"/>
    <n v="2.9411764705882353E-2"/>
    <n v="2.7072758037225041E-2"/>
    <n v="2.3390066686573112E-3"/>
    <n v="7.714285714285718E-2"/>
    <n v="-2.0000000000000018E-2"/>
    <n v="0.15059221658206434"/>
    <n v="0.25"/>
  </r>
  <r>
    <s v="J.KUMAR INFRAPROJECTS LTD."/>
    <n v="532940"/>
    <x v="4"/>
    <s v="Civil Construction"/>
    <n v="457.8"/>
    <n v="3461.3007283000002"/>
    <n v="8.5885175682826897E-5"/>
    <n v="4137"/>
    <n v="4060"/>
    <n v="276"/>
    <n v="277"/>
    <n v="1311"/>
    <n v="1486"/>
    <n v="82"/>
    <n v="99"/>
    <n v="6.6715010877447425E-2"/>
    <n v="6.822660098522168E-2"/>
    <n v="-1.511590107774255E-3"/>
    <n v="6.2547673531655232E-2"/>
    <n v="6.6621803499327059E-2"/>
    <n v="-4.0741299676718273E-3"/>
    <n v="1.8965517241379404E-2"/>
    <n v="-3.6101083032491488E-3"/>
    <n v="-0.11776581426648725"/>
    <n v="-0.17171717171717171"/>
  </r>
  <r>
    <s v="Orient Electric Limited"/>
    <n v="541301"/>
    <x v="6"/>
    <s v="Household Appliances"/>
    <n v="161.1"/>
    <n v="3427.0813754000001"/>
    <n v="8.5036091663186512E-5"/>
    <n v="2378"/>
    <n v="2231"/>
    <n v="55"/>
    <n v="51"/>
    <n v="906"/>
    <n v="816"/>
    <n v="25"/>
    <n v="27"/>
    <n v="2.3128679562657694E-2"/>
    <n v="2.2859704168534289E-2"/>
    <n v="2.6897539412340521E-4"/>
    <n v="2.759381898454746E-2"/>
    <n v="3.3088235294117647E-2"/>
    <n v="-5.4944163095701874E-3"/>
    <n v="6.5889735544598871E-2"/>
    <n v="7.8431372549019551E-2"/>
    <n v="0.11029411764705888"/>
    <n v="-7.407407407407407E-2"/>
  </r>
  <r>
    <s v="KAVERI SEED COMPANY LTD."/>
    <n v="532899"/>
    <x v="5"/>
    <s v="Other Agricultural Products"/>
    <n v="847.9"/>
    <n v="4300.8237614999998"/>
    <n v="1.0671624147455152E-4"/>
    <n v="1287"/>
    <n v="1114"/>
    <n v="323"/>
    <n v="305"/>
    <n v="210"/>
    <n v="174"/>
    <n v="12"/>
    <n v="14"/>
    <n v="0.25097125097125095"/>
    <n v="0.27378815080789948"/>
    <n v="-2.281689983664853E-2"/>
    <n v="5.7142857142857141E-2"/>
    <n v="8.0459770114942528E-2"/>
    <n v="-2.3316912972085387E-2"/>
    <n v="0.15529622980251356"/>
    <n v="5.9016393442622883E-2"/>
    <n v="0.2068965517241379"/>
    <n v="-0.1428571428571429"/>
  </r>
  <r>
    <s v="INNOVA CAPTAB LIMITED"/>
    <n v="544067"/>
    <x v="7"/>
    <s v="Pharmaceuticals"/>
    <n v="698.2"/>
    <n v="3988.0048145000001"/>
    <n v="9.8954272108426193E-5"/>
    <n v="1188"/>
    <n v="937"/>
    <n v="102"/>
    <n v="98"/>
    <n v="451"/>
    <n v="320"/>
    <n v="42"/>
    <n v="34"/>
    <n v="8.5858585858585856E-2"/>
    <n v="0.10458911419423693"/>
    <n v="-1.8730528335651073E-2"/>
    <n v="9.3126385809312637E-2"/>
    <n v="0.10625"/>
    <n v="-1.312361419068736E-2"/>
    <n v="0.26787620064034146"/>
    <n v="4.081632653061229E-2"/>
    <n v="0.40937500000000004"/>
    <n v="0.23529411764705888"/>
  </r>
  <r>
    <s v="Goodluck India Limited"/>
    <n v="530655"/>
    <x v="4"/>
    <s v="Iron &amp; Steel Products"/>
    <n v="1049.55"/>
    <n v="3483.2284451999999"/>
    <n v="8.6429267619965422E-5"/>
    <n v="3011"/>
    <n v="2831"/>
    <n v="126"/>
    <n v="123"/>
    <n v="1037"/>
    <n v="941"/>
    <n v="43"/>
    <n v="41"/>
    <n v="4.1846562603786115E-2"/>
    <n v="4.344754503708937E-2"/>
    <n v="-1.6009824333032552E-3"/>
    <n v="4.1465766634522665E-2"/>
    <n v="4.3570669500531352E-2"/>
    <n v="-2.1049028660086871E-3"/>
    <n v="6.3581773225008797E-2"/>
    <n v="2.4390243902439046E-2"/>
    <n v="0.10201912858660989"/>
    <n v="4.8780487804878092E-2"/>
  </r>
  <r>
    <s v="Chemplast Sanmar Limited"/>
    <n v="543336"/>
    <x v="8"/>
    <s v="Commodity Chemicals"/>
    <n v="240.4"/>
    <n v="3798.5807374999999"/>
    <n v="9.4254096824987978E-5"/>
    <n v="2968"/>
    <n v="3195"/>
    <n v="-234"/>
    <n v="-56"/>
    <n v="835"/>
    <n v="1058"/>
    <n v="-119"/>
    <n v="-49"/>
    <n v="-7.8840970350404313E-2"/>
    <n v="-1.7527386541471048E-2"/>
    <n v="-6.1313583808933265E-2"/>
    <n v="-0.14251497005988023"/>
    <n v="-4.6313799621928164E-2"/>
    <n v="-9.6201170437952066E-2"/>
    <n v="-7.1048513302034433E-2"/>
    <n v="3.1785714285714288"/>
    <n v="-0.21077504725897922"/>
    <n v="1.4285714285714284"/>
  </r>
  <r>
    <s v="GOLDIAM INTERNATIONAL LTD."/>
    <n v="526729"/>
    <x v="6"/>
    <s v="Gems, Jewellery And Watches"/>
    <n v="302.2"/>
    <n v="3412.940505"/>
    <n v="8.4685214569878121E-5"/>
    <n v="742"/>
    <n v="582"/>
    <n v="133"/>
    <n v="93"/>
    <n v="319"/>
    <n v="279"/>
    <n v="68"/>
    <n v="49"/>
    <n v="0.17924528301886791"/>
    <n v="0.15979381443298968"/>
    <n v="1.9451468585878234E-2"/>
    <n v="0.21316614420062696"/>
    <n v="0.17562724014336917"/>
    <n v="3.7538904057257794E-2"/>
    <n v="0.27491408934707895"/>
    <n v="0.43010752688172049"/>
    <n v="0.14336917562724016"/>
    <n v="0.38775510204081631"/>
  </r>
  <r>
    <s v="RATTANINDIA ENTERPRISES LIMITE"/>
    <n v="534597"/>
    <x v="6"/>
    <s v="E-Retail/ E-Commerce"/>
    <n v="28.96"/>
    <n v="3996.2870517000001"/>
    <n v="9.9159779070347477E-5"/>
    <n v="5833"/>
    <n v="5773"/>
    <n v="-56"/>
    <n v="439"/>
    <n v="2006"/>
    <n v="1921"/>
    <n v="-162"/>
    <n v="-170"/>
    <n v="-9.6005486027773007E-3"/>
    <n v="7.6043651481032398E-2"/>
    <n v="-8.5644200083809699E-2"/>
    <n v="-8.0757726819541381E-2"/>
    <n v="-8.8495575221238937E-2"/>
    <n v="7.7378484016975557E-3"/>
    <n v="1.0393209769617107E-2"/>
    <n v="-1.1275626423690206"/>
    <n v="4.4247787610619538E-2"/>
    <n v="-4.705882352941182E-2"/>
  </r>
  <r>
    <s v="AVANTEL LTD."/>
    <n v="532406"/>
    <x v="4"/>
    <s v="Aerospace &amp; Defense"/>
    <n v="135.30000000000001"/>
    <n v="3594.0041348"/>
    <n v="8.9177942268456624E-5"/>
    <n v="159"/>
    <n v="199"/>
    <n v="10"/>
    <n v="50"/>
    <n v="51"/>
    <n v="70"/>
    <n v="2"/>
    <n v="20"/>
    <n v="6.2893081761006289E-2"/>
    <n v="0.25125628140703515"/>
    <n v="-0.18836319964602888"/>
    <n v="3.9215686274509803E-2"/>
    <n v="0.2857142857142857"/>
    <n v="-0.2464985994397759"/>
    <n v="-0.20100502512562812"/>
    <n v="-0.8"/>
    <n v="-0.27142857142857146"/>
    <n v="-0.9"/>
  </r>
  <r>
    <s v="STYLAM INDUSTRIES LIMITED"/>
    <n v="526951"/>
    <x v="6"/>
    <s v="Plywood Boards/ Laminates"/>
    <n v="2211.5500000000002"/>
    <n v="3756.7049284999998"/>
    <n v="9.3215033335525768E-5"/>
    <n v="849"/>
    <n v="766"/>
    <n v="111"/>
    <n v="92"/>
    <n v="272"/>
    <n v="256"/>
    <n v="46"/>
    <n v="29"/>
    <n v="0.13074204946996468"/>
    <n v="0.12010443864229765"/>
    <n v="1.0637610827667024E-2"/>
    <n v="0.16911764705882354"/>
    <n v="0.11328125"/>
    <n v="5.5836397058823539E-2"/>
    <n v="0.10835509138381205"/>
    <n v="0.20652173913043481"/>
    <n v="6.25E-2"/>
    <n v="0.5862068965517242"/>
  </r>
  <r>
    <s v="Epigral Limited"/>
    <n v="543332"/>
    <x v="8"/>
    <s v="Specialty Chemicals"/>
    <n v="896.1"/>
    <n v="3867.8649998000001"/>
    <n v="9.5973245638333984E-5"/>
    <n v="1791"/>
    <n v="1922"/>
    <n v="251"/>
    <n v="271"/>
    <n v="597"/>
    <n v="645"/>
    <n v="39"/>
    <n v="104"/>
    <n v="0.14014517029592408"/>
    <n v="0.14099895941727367"/>
    <n v="-8.5378912134959073E-4"/>
    <n v="6.5326633165829151E-2"/>
    <n v="0.16124031007751938"/>
    <n v="-9.5913676911690227E-2"/>
    <n v="-6.8158168574401712E-2"/>
    <n v="-7.3800738007380073E-2"/>
    <n v="-7.441860465116279E-2"/>
    <n v="-0.625"/>
  </r>
  <r>
    <s v="BOSCH HOME COMFORT INDIA LIMIT"/>
    <n v="523398"/>
    <x v="6"/>
    <s v="Household Appliances"/>
    <n v="1159.3"/>
    <n v="3159.8520984000002"/>
    <n v="7.8405337734442469E-5"/>
    <n v="1752"/>
    <n v="1846"/>
    <n v="-43"/>
    <n v="2"/>
    <n v="477"/>
    <n v="436"/>
    <n v="-19"/>
    <n v="-3"/>
    <n v="-2.4543378995433789E-2"/>
    <n v="1.0834236186348862E-3"/>
    <n v="-2.5626802614068675E-2"/>
    <n v="-3.9832285115303984E-2"/>
    <n v="-6.8807339449541288E-3"/>
    <n v="-3.2951551170349855E-2"/>
    <n v="-5.0920910075839654E-2"/>
    <n v="-22.5"/>
    <n v="9.4036697247706469E-2"/>
    <n v="5.333333333333333"/>
  </r>
  <r>
    <s v="Electronics Mart India Limited"/>
    <n v="543626"/>
    <x v="6"/>
    <s v="Diversified Retail"/>
    <n v="96"/>
    <n v="3687.4313999000001"/>
    <n v="9.1496150857232E-5"/>
    <n v="5270"/>
    <n v="5067"/>
    <n v="67"/>
    <n v="133"/>
    <n v="1939"/>
    <n v="1804"/>
    <n v="29"/>
    <n v="33"/>
    <n v="1.2713472485768502E-2"/>
    <n v="2.6248273139925005E-2"/>
    <n v="-1.3534800654156503E-2"/>
    <n v="1.4956162970603403E-2"/>
    <n v="1.8292682926829267E-2"/>
    <n v="-3.3365199562258637E-3"/>
    <n v="4.0063153739885449E-2"/>
    <n v="-0.49624060150375937"/>
    <n v="7.4833702882483477E-2"/>
    <n v="-0.12121212121212122"/>
  </r>
  <r>
    <s v="Restaurant Brands Asia Limited"/>
    <n v="543248"/>
    <x v="6"/>
    <s v="Restaurants"/>
    <n v="60.82"/>
    <n v="3543.8878595000001"/>
    <n v="8.7934408277457973E-5"/>
    <n v="2115"/>
    <n v="1918"/>
    <n v="-156"/>
    <n v="-172"/>
    <n v="714"/>
    <n v="639"/>
    <n v="-47"/>
    <n v="-54"/>
    <n v="-7.3758865248226946E-2"/>
    <n v="-8.9676746611053182E-2"/>
    <n v="1.5917881362826236E-2"/>
    <n v="-6.5826330532212887E-2"/>
    <n v="-8.4507042253521125E-2"/>
    <n v="1.8680711721308238E-2"/>
    <n v="0.10271115745568293"/>
    <n v="-9.3023255813953543E-2"/>
    <n v="0.11737089201877926"/>
    <n v="-0.12962962962962965"/>
  </r>
  <r>
    <s v="AGI Infra Limited"/>
    <n v="539042"/>
    <x v="6"/>
    <s v="Residential, Commercial Projects"/>
    <n v="312.35000000000002"/>
    <n v="3906.1656250000001"/>
    <n v="9.6923598174064013E-5"/>
    <n v="264"/>
    <n v="241"/>
    <n v="68"/>
    <n v="50"/>
    <n v="87"/>
    <n v="91"/>
    <n v="26"/>
    <n v="19"/>
    <n v="0.25757575757575757"/>
    <n v="0.2074688796680498"/>
    <n v="5.0106877907707764E-2"/>
    <n v="0.2988505747126437"/>
    <n v="0.2087912087912088"/>
    <n v="9.0059365921434903E-2"/>
    <n v="9.543568464730301E-2"/>
    <n v="0.3600000000000001"/>
    <n v="-4.3956043956043911E-2"/>
    <n v="0.36842105263157898"/>
  </r>
  <r>
    <s v="VAIBHAV GLOBAL LTD"/>
    <n v="532156"/>
    <x v="6"/>
    <s v="Gems, Jewellery And Watches"/>
    <n v="191.65"/>
    <n v="3195.3411348999998"/>
    <n v="7.9285926384164838E-5"/>
    <n v="2757"/>
    <n v="2529"/>
    <n v="174"/>
    <n v="119"/>
    <n v="1066"/>
    <n v="977"/>
    <n v="89"/>
    <n v="63"/>
    <n v="6.3112078346028291E-2"/>
    <n v="4.7054171609331751E-2"/>
    <n v="1.6057906736696541E-2"/>
    <n v="8.3489681050656656E-2"/>
    <n v="6.4483111566018422E-2"/>
    <n v="1.9006569484638233E-2"/>
    <n v="9.0154211150652364E-2"/>
    <n v="0.46218487394957974"/>
    <n v="9.1095189355168804E-2"/>
    <n v="0.41269841269841279"/>
  </r>
  <r>
    <s v="Artemis Medicare Services Limi"/>
    <n v="542919"/>
    <x v="7"/>
    <s v="Hospital"/>
    <n v="228.9"/>
    <n v="3622.8374835999998"/>
    <n v="8.9893383491741619E-5"/>
    <n v="802"/>
    <n v="697"/>
    <n v="73"/>
    <n v="59"/>
    <n v="272"/>
    <n v="232"/>
    <n v="22"/>
    <n v="20"/>
    <n v="9.1022443890274321E-2"/>
    <n v="8.4648493543758974E-2"/>
    <n v="6.3739503465153474E-3"/>
    <n v="8.0882352941176475E-2"/>
    <n v="8.6206896551724144E-2"/>
    <n v="-5.324543610547669E-3"/>
    <n v="0.15064562410329985"/>
    <n v="0.23728813559322037"/>
    <n v="0.17241379310344818"/>
    <n v="0.10000000000000009"/>
  </r>
  <r>
    <s v="HEIDELBERGCEMENT INDIA LTD."/>
    <n v="500292"/>
    <x v="8"/>
    <s v="Cement &amp; Cement Products"/>
    <n v="147.5"/>
    <n v="3338.4628819"/>
    <n v="8.2837203013966742E-5"/>
    <n v="1683"/>
    <n v="1536"/>
    <n v="88"/>
    <n v="56"/>
    <n v="574"/>
    <n v="542"/>
    <n v="15"/>
    <n v="5"/>
    <n v="5.2287581699346407E-2"/>
    <n v="3.6458333333333336E-2"/>
    <n v="1.5829248366013071E-2"/>
    <n v="2.6132404181184669E-2"/>
    <n v="9.2250922509225092E-3"/>
    <n v="1.690731193026216E-2"/>
    <n v="9.5703125E-2"/>
    <n v="0.5714285714285714"/>
    <n v="5.9040590405904148E-2"/>
    <n v="2"/>
  </r>
  <r>
    <s v="SINDHU TRADE LINKS LIMITED"/>
    <n v="532029"/>
    <x v="10"/>
    <s v="Logistics Solution Provider"/>
    <n v="22.44"/>
    <n v="3461.6284776000002"/>
    <n v="8.58933081187E-5"/>
    <n v="322"/>
    <n v="352"/>
    <n v="16"/>
    <n v="45"/>
    <n v="95"/>
    <n v="113"/>
    <n v="5"/>
    <n v="14"/>
    <n v="4.9689440993788817E-2"/>
    <n v="0.12784090909090909"/>
    <n v="-7.8151468097120272E-2"/>
    <n v="5.2631578947368418E-2"/>
    <n v="0.12389380530973451"/>
    <n v="-7.1262226362366093E-2"/>
    <n v="-8.5227272727272707E-2"/>
    <n v="-0.64444444444444438"/>
    <n v="-0.15929203539823011"/>
    <n v="-0.64285714285714279"/>
  </r>
  <r>
    <s v="Neogen Chemicals Limited"/>
    <n v="542665"/>
    <x v="8"/>
    <s v="Specialty Chemicals"/>
    <n v="1187.8499999999999"/>
    <n v="3138.0996464999998"/>
    <n v="7.7865594643734102E-5"/>
    <n v="615"/>
    <n v="575"/>
    <n v="17"/>
    <n v="32"/>
    <n v="220"/>
    <n v="201"/>
    <n v="4"/>
    <n v="10"/>
    <n v="2.7642276422764227E-2"/>
    <n v="5.565217391304348E-2"/>
    <n v="-2.8009897490279254E-2"/>
    <n v="1.8181818181818181E-2"/>
    <n v="4.975124378109453E-2"/>
    <n v="-3.1569425599276349E-2"/>
    <n v="6.956521739130439E-2"/>
    <n v="-0.46875"/>
    <n v="9.4527363184079505E-2"/>
    <n v="-0.6"/>
  </r>
  <r>
    <s v="Gopal Snacks Limited"/>
    <n v="544140"/>
    <x v="5"/>
    <s v="Packaged Foods"/>
    <n v="263.89999999999998"/>
    <n v="3280.1225699000001"/>
    <n v="8.1389606188720114E-5"/>
    <n v="1098"/>
    <n v="1150"/>
    <n v="43"/>
    <n v="58"/>
    <n v="4007"/>
    <n v="3935"/>
    <n v="15"/>
    <n v="5"/>
    <n v="3.9162112932604735E-2"/>
    <n v="5.0434782608695654E-2"/>
    <n v="-1.1272669676090918E-2"/>
    <n v="3.7434489643124532E-3"/>
    <n v="1.2706480304955528E-3"/>
    <n v="2.4728009338169004E-3"/>
    <n v="-4.5217391304347876E-2"/>
    <n v="-0.25862068965517238"/>
    <n v="1.8297331639135939E-2"/>
    <n v="2"/>
  </r>
  <r>
    <s v="VADILAL INDUSTRIES LTD."/>
    <n v="519156"/>
    <x v="5"/>
    <s v="Dairy Products"/>
    <n v="4417.25"/>
    <n v="3169.4016900000001"/>
    <n v="7.864229153205949E-5"/>
    <n v="1085"/>
    <n v="964"/>
    <n v="100"/>
    <n v="128"/>
    <n v="238"/>
    <n v="204"/>
    <n v="-0.15"/>
    <n v="12"/>
    <n v="9.2165898617511524E-2"/>
    <n v="0.13278008298755187"/>
    <n v="-4.0614184370040343E-2"/>
    <n v="-6.3025210084033606E-4"/>
    <n v="5.8823529411764705E-2"/>
    <n v="-5.9453781512605039E-2"/>
    <n v="0.12551867219917012"/>
    <n v="-0.21875"/>
    <n v="0.16666666666666674"/>
    <n v="-1.0125"/>
  </r>
  <r>
    <s v="KNR CONSTRUCTIONS LTD."/>
    <n v="532942"/>
    <x v="4"/>
    <s v="Civil Construction"/>
    <n v="115"/>
    <n v="3233.3542305000001"/>
    <n v="8.0229144454516552E-5"/>
    <n v="2002"/>
    <n v="3777"/>
    <n v="325"/>
    <n v="1013"/>
    <n v="743"/>
    <n v="848"/>
    <n v="101"/>
    <n v="250"/>
    <n v="0.16233766233766234"/>
    <n v="0.26820227693936988"/>
    <n v="-0.10586461460170754"/>
    <n v="0.13593539703903096"/>
    <n v="0.294811320754717"/>
    <n v="-0.15887592371568604"/>
    <n v="-0.46994969552554933"/>
    <n v="-0.67917077986179664"/>
    <n v="-0.12382075471698117"/>
    <n v="-0.59599999999999997"/>
  </r>
  <r>
    <s v="NATIONAL FERTILIZERS LTD."/>
    <n v="523630"/>
    <x v="8"/>
    <s v="Fertilizers"/>
    <n v="69.84"/>
    <n v="3431.1054493000001"/>
    <n v="8.5135940916687206E-5"/>
    <n v="17166"/>
    <n v="15137"/>
    <n v="51"/>
    <n v="-21"/>
    <n v="6869"/>
    <n v="5855"/>
    <n v="93"/>
    <n v="30"/>
    <n v="2.9709891646277527E-3"/>
    <n v="-1.3873290612406686E-3"/>
    <n v="4.3583182258684211E-3"/>
    <n v="1.3539088659193479E-2"/>
    <n v="5.1238257899231428E-3"/>
    <n v="8.415262869270336E-3"/>
    <n v="0.13404241263130068"/>
    <n v="-3.4285714285714284"/>
    <n v="0.17318531169940221"/>
    <n v="2.1"/>
  </r>
  <r>
    <s v="ASHOKA BUILDCON LTD."/>
    <n v="533271"/>
    <x v="4"/>
    <s v="Civil Construction"/>
    <n v="112.3"/>
    <n v="3152.2397156000002"/>
    <n v="7.8216451854403948E-5"/>
    <n v="5565"/>
    <n v="7342"/>
    <n v="2428"/>
    <n v="1281"/>
    <n v="1827"/>
    <n v="2387"/>
    <n v="2111"/>
    <n v="661"/>
    <n v="0.43629829290206651"/>
    <n v="0.17447561972214656"/>
    <n v="0.26182267317991992"/>
    <n v="1.1554460864805693"/>
    <n v="0.27691663175534142"/>
    <n v="0.87852945472522792"/>
    <n v="-0.24203214383001903"/>
    <n v="0.89539422326307583"/>
    <n v="-0.23460410557184752"/>
    <n v="2.1936459909228443"/>
  </r>
  <r>
    <s v="INDRAPRASTHA MEDICAL CORP.LTD."/>
    <n v="532150"/>
    <x v="7"/>
    <s v="Hospital"/>
    <n v="411"/>
    <n v="3760.4261617000002"/>
    <n v="9.330736820967459E-5"/>
    <n v="1118"/>
    <n v="1023"/>
    <n v="142"/>
    <n v="120"/>
    <n v="372"/>
    <n v="325"/>
    <n v="41"/>
    <n v="33"/>
    <n v="0.12701252236135957"/>
    <n v="0.11730205278592376"/>
    <n v="9.7104695754358095E-3"/>
    <n v="0.11021505376344086"/>
    <n v="0.10153846153846154"/>
    <n v="8.6765922249793237E-3"/>
    <n v="9.2864125122189556E-2"/>
    <n v="0.18333333333333335"/>
    <n v="0.14461538461538459"/>
    <n v="0.24242424242424243"/>
  </r>
  <r>
    <s v="Rolex Rings Limited"/>
    <n v="543325"/>
    <x v="6"/>
    <s v="Auto Components &amp; Equipments"/>
    <n v="120"/>
    <n v="3266.0908765999998"/>
    <n v="8.104143810429309E-5"/>
    <n v="837"/>
    <n v="870"/>
    <n v="141"/>
    <n v="119"/>
    <n v="274"/>
    <n v="259"/>
    <n v="47"/>
    <n v="20"/>
    <n v="0.16845878136200718"/>
    <n v="0.1367816091954023"/>
    <n v="3.1677172166604872E-2"/>
    <n v="0.17153284671532848"/>
    <n v="7.7220077220077218E-2"/>
    <n v="9.4312769495251261E-2"/>
    <n v="-3.7931034482758585E-2"/>
    <n v="0.18487394957983194"/>
    <n v="5.7915057915058021E-2"/>
    <n v="1.35"/>
  </r>
  <r>
    <s v="OPTIEMUS INFRACOM LTD"/>
    <n v="530135"/>
    <x v="1"/>
    <s v="Telecom - Equipment &amp; Accessories"/>
    <n v="318"/>
    <n v="2818.5293200999999"/>
    <n v="6.9936103455211333E-5"/>
    <n v="1283"/>
    <n v="1440"/>
    <n v="43"/>
    <n v="40"/>
    <n v="430"/>
    <n v="471"/>
    <n v="12"/>
    <n v="15"/>
    <n v="3.3515198752922838E-2"/>
    <n v="2.7777777777777776E-2"/>
    <n v="5.7374209751450619E-3"/>
    <n v="2.7906976744186046E-2"/>
    <n v="3.1847133757961783E-2"/>
    <n v="-3.9401570137757372E-3"/>
    <n v="-0.10902777777777772"/>
    <n v="7.4999999999999956E-2"/>
    <n v="-8.7048832271762189E-2"/>
    <n v="-0.19999999999999996"/>
  </r>
  <r>
    <s v="MOSCHIP TECHNOLOGIES LIMITED"/>
    <n v="532407"/>
    <x v="3"/>
    <s v="Computers Hardware &amp; Equipments"/>
    <n v="167.05"/>
    <n v="3237.3710749000002"/>
    <n v="8.0328814322599363E-5"/>
    <n v="431"/>
    <n v="332"/>
    <n v="27"/>
    <n v="24"/>
    <n v="149"/>
    <n v="126"/>
    <n v="4"/>
    <n v="11"/>
    <n v="6.2645011600928072E-2"/>
    <n v="7.2289156626506021E-2"/>
    <n v="-9.6441450255779493E-3"/>
    <n v="2.6845637583892617E-2"/>
    <n v="8.7301587301587297E-2"/>
    <n v="-6.0455949717694676E-2"/>
    <n v="0.29819277108433728"/>
    <n v="0.125"/>
    <n v="0.18253968253968256"/>
    <n v="-0.63636363636363635"/>
  </r>
  <r>
    <s v="eMudhra Limited"/>
    <n v="543533"/>
    <x v="3"/>
    <s v="IT Enabled Services"/>
    <n v="422.45"/>
    <n v="3460.1208519000002"/>
    <n v="8.5855899436741283E-5"/>
    <n v="516"/>
    <n v="378"/>
    <n v="80"/>
    <n v="62"/>
    <n v="191"/>
    <n v="140"/>
    <n v="28"/>
    <n v="22"/>
    <n v="0.15503875968992248"/>
    <n v="0.16402116402116401"/>
    <n v="-8.9824043312415336E-3"/>
    <n v="0.14659685863874344"/>
    <n v="0.15714285714285714"/>
    <n v="-1.0545998504113696E-2"/>
    <n v="0.36507936507936511"/>
    <n v="0.29032258064516125"/>
    <n v="0.36428571428571432"/>
    <n v="0.27272727272727271"/>
  </r>
  <r>
    <s v="GREAVES COTTON LTD."/>
    <n v="501455"/>
    <x v="4"/>
    <s v="Compressors, Pumps &amp; Diesel Engines"/>
    <n v="135.19999999999999"/>
    <n v="3156.5777001000001"/>
    <n v="7.8324090164431657E-5"/>
    <n v="2436"/>
    <n v="2096"/>
    <n v="33"/>
    <n v="-7"/>
    <n v="875"/>
    <n v="751"/>
    <n v="6"/>
    <n v="7"/>
    <n v="1.3546798029556651E-2"/>
    <n v="-3.3396946564885495E-3"/>
    <n v="1.6886492686045199E-2"/>
    <n v="6.8571428571428568E-3"/>
    <n v="9.3209054593874838E-3"/>
    <n v="-2.463762602244627E-3"/>
    <n v="0.16221374045801529"/>
    <n v="-5.7142857142857144"/>
    <n v="0.16511318242343531"/>
    <n v="-0.1428571428571429"/>
  </r>
  <r>
    <s v="RELIANCE INFRASTRUCTURE LTD."/>
    <n v="500390"/>
    <x v="9"/>
    <s v="Integrated Power Utilities"/>
    <n v="77.2"/>
    <n v="3141.7295318000001"/>
    <n v="7.7955662904532748E-5"/>
    <n v="16439"/>
    <n v="19484"/>
    <n v="1982"/>
    <n v="550"/>
    <n v="4297"/>
    <n v="5033"/>
    <n v="11"/>
    <n v="-3298"/>
    <n v="0.12056694446134193"/>
    <n v="2.8228289878874973E-2"/>
    <n v="9.2338654582466956E-2"/>
    <n v="2.5599255294391438E-3"/>
    <n v="-0.65527518378700578"/>
    <n v="0.65783510931644495"/>
    <n v="-0.15628207760213508"/>
    <n v="2.6036363636363635"/>
    <n v="-0.14623484999006553"/>
    <n v="-1.0033353547604609"/>
  </r>
  <r>
    <s v="Samhi Hotels Limited"/>
    <n v="543984"/>
    <x v="6"/>
    <s v="Hotels &amp; Resorts"/>
    <n v="147.94999999999999"/>
    <n v="3284.8006271999998"/>
    <n v="8.1505682717344124E-5"/>
    <n v="902"/>
    <n v="801"/>
    <n v="167"/>
    <n v="39"/>
    <n v="337"/>
    <n v="292"/>
    <n v="48"/>
    <n v="22"/>
    <n v="0.18514412416851442"/>
    <n v="4.8689138576779027E-2"/>
    <n v="0.13645498559173538"/>
    <n v="0.14243323442136499"/>
    <n v="7.5342465753424653E-2"/>
    <n v="6.7090768667940337E-2"/>
    <n v="0.1260923845193509"/>
    <n v="3.2820512820512819"/>
    <n v="0.15410958904109595"/>
    <n v="1.1818181818181817"/>
  </r>
  <r>
    <s v="SENORES PHARMACEUTICALS LIMITE"/>
    <n v="544319"/>
    <x v="7"/>
    <s v="Pharmaceuticals"/>
    <n v="781.65"/>
    <n v="3605.9960970000002"/>
    <n v="8.9475498551823732E-5"/>
    <n v="474"/>
    <n v="284"/>
    <n v="85"/>
    <n v="40"/>
    <n v="175"/>
    <n v="103"/>
    <n v="34"/>
    <n v="16"/>
    <n v="0.17932489451476794"/>
    <n v="0.14084507042253522"/>
    <n v="3.8479824092232717E-2"/>
    <n v="0.19428571428571428"/>
    <n v="0.1553398058252427"/>
    <n v="3.8945908460471579E-2"/>
    <n v="0.66901408450704225"/>
    <n v="1.125"/>
    <n v="0.69902912621359214"/>
    <n v="1.125"/>
  </r>
  <r>
    <s v="SMS PHARMACEUTICALS LTD."/>
    <n v="532815"/>
    <x v="7"/>
    <s v="Pharmaceuticals"/>
    <n v="386.95"/>
    <n v="3628.5476291999998"/>
    <n v="9.0035069203711352E-5"/>
    <n v="648"/>
    <n v="534"/>
    <n v="67"/>
    <n v="47"/>
    <n v="210"/>
    <n v="173"/>
    <n v="23"/>
    <n v="17"/>
    <n v="0.10339506172839506"/>
    <n v="8.8014981273408247E-2"/>
    <n v="1.5380080454986816E-2"/>
    <n v="0.10952380952380952"/>
    <n v="9.8265895953757232E-2"/>
    <n v="1.1257913570052291E-2"/>
    <n v="0.21348314606741581"/>
    <n v="0.42553191489361697"/>
    <n v="0.21387283236994215"/>
    <n v="0.35294117647058831"/>
  </r>
  <r>
    <s v="BALAJI AMINES LTD."/>
    <n v="530999"/>
    <x v="8"/>
    <s v="Specialty Chemicals"/>
    <n v="1035.8499999999999"/>
    <n v="3360.9548509000001"/>
    <n v="8.3395295725537195E-5"/>
    <n v="1030"/>
    <n v="1044"/>
    <n v="104"/>
    <n v="118"/>
    <n v="331"/>
    <n v="312"/>
    <n v="30"/>
    <n v="31"/>
    <n v="0.10097087378640776"/>
    <n v="0.11302681992337164"/>
    <n v="-1.2055946136963883E-2"/>
    <n v="9.0634441087613288E-2"/>
    <n v="9.9358974358974353E-2"/>
    <n v="-8.7245332713610652E-3"/>
    <n v="-1.3409961685823757E-2"/>
    <n v="-0.11864406779661019"/>
    <n v="6.0897435897435903E-2"/>
    <n v="-3.2258064516129004E-2"/>
  </r>
  <r>
    <s v="H.G. Infra Engineering Limited"/>
    <n v="541019"/>
    <x v="4"/>
    <s v="Civil Construction"/>
    <n v="486.35"/>
    <n v="3171.2257657"/>
    <n v="7.8687552280619241E-5"/>
    <n v="3807"/>
    <n v="3695"/>
    <n v="245"/>
    <n v="358"/>
    <n v="1421"/>
    <n v="1264"/>
    <n v="94"/>
    <n v="115"/>
    <n v="6.4355135277121098E-2"/>
    <n v="9.6887686062246278E-2"/>
    <n v="-3.2532550785125181E-2"/>
    <n v="6.615059817030261E-2"/>
    <n v="9.0981012658227847E-2"/>
    <n v="-2.4830414487925237E-2"/>
    <n v="3.0311231393775451E-2"/>
    <n v="-0.31564245810055869"/>
    <n v="0.12420886075949378"/>
    <n v="-0.18260869565217386"/>
  </r>
  <r>
    <s v="SHANTHI GEARS LTD."/>
    <n v="522034"/>
    <x v="4"/>
    <s v="Industrial Products"/>
    <n v="458.3"/>
    <n v="3501.6955232999999"/>
    <n v="8.6887490805832889E-5"/>
    <n v="383"/>
    <n v="451"/>
    <n v="60"/>
    <n v="73"/>
    <n v="116"/>
    <n v="157"/>
    <n v="16"/>
    <n v="26"/>
    <n v="0.1566579634464752"/>
    <n v="0.16186252771618626"/>
    <n v="-5.2045642697110539E-3"/>
    <n v="0.13793103448275862"/>
    <n v="0.16560509554140126"/>
    <n v="-2.7674061058642646E-2"/>
    <n v="-0.15077605321507759"/>
    <n v="-0.17808219178082196"/>
    <n v="-0.26114649681528668"/>
    <n v="-0.38461538461538458"/>
  </r>
  <r>
    <s v="GUJARAT ALKALIES &amp; CHEMICALS L"/>
    <n v="530001"/>
    <x v="8"/>
    <s v="Commodity Chemicals"/>
    <n v="588.54999999999995"/>
    <n v="4316.6226557"/>
    <n v="1.0710825907442873E-4"/>
    <n v="3232"/>
    <n v="2997"/>
    <n v="-17"/>
    <n v="-73"/>
    <n v="1044"/>
    <n v="1029"/>
    <n v="-19"/>
    <n v="-11"/>
    <n v="-5.2599009900990102E-3"/>
    <n v="-2.435769102435769E-2"/>
    <n v="1.9097790034258679E-2"/>
    <n v="-1.8199233716475097E-2"/>
    <n v="-1.0689990281827016E-2"/>
    <n v="-7.5092434346480802E-3"/>
    <n v="7.8411745078411643E-2"/>
    <n v="-0.76712328767123283"/>
    <n v="1.4577259475218707E-2"/>
    <n v="0.72727272727272729"/>
  </r>
  <r>
    <s v="Oswal Pumps Limited"/>
    <n v="544418"/>
    <x v="4"/>
    <s v="Compressors, Pumps &amp; Diesel Engines"/>
    <n v="322.39999999999998"/>
    <n v="3673.4914628000001"/>
    <n v="9.1150259517293715E-5"/>
    <n v="1554"/>
    <n v="1065"/>
    <n v="283"/>
    <n v="216"/>
    <n v="501"/>
    <n v="379"/>
    <n v="91"/>
    <n v="80"/>
    <n v="0.1821106821106821"/>
    <n v="0.20281690140845071"/>
    <n v="-2.0706219297768613E-2"/>
    <n v="0.18163672654690619"/>
    <n v="0.21108179419525067"/>
    <n v="-2.9445067648344481E-2"/>
    <n v="0.45915492957746484"/>
    <n v="0.31018518518518512"/>
    <n v="0.32189973614775735"/>
    <n v="0.13749999999999996"/>
  </r>
  <r>
    <s v="AGI GREENPAC LIMITED"/>
    <n v="500187"/>
    <x v="4"/>
    <s v="Packaging"/>
    <n v="497.7"/>
    <n v="3218.371247"/>
    <n v="7.9857372028148269E-5"/>
    <n v="1964"/>
    <n v="1861"/>
    <n v="236"/>
    <n v="225"/>
    <n v="637"/>
    <n v="673"/>
    <n v="71"/>
    <n v="90"/>
    <n v="0.12016293279022404"/>
    <n v="0.12090274046211714"/>
    <n v="-7.398076718931057E-4"/>
    <n v="0.11145996860282574"/>
    <n v="0.1337295690936107"/>
    <n v="-2.2269600490784955E-2"/>
    <n v="5.5346587855991336E-2"/>
    <n v="4.8888888888888982E-2"/>
    <n v="-5.3491827637444311E-2"/>
    <n v="-0.21111111111111114"/>
  </r>
  <r>
    <s v="SEAMEC LTD."/>
    <n v="526807"/>
    <x v="10"/>
    <s v="Shipping"/>
    <n v="1484"/>
    <n v="3777.1364523000002"/>
    <n v="9.3722000267547508E-5"/>
    <n v="625"/>
    <n v="452"/>
    <n v="149"/>
    <n v="46"/>
    <n v="317"/>
    <n v="149"/>
    <n v="99"/>
    <n v="-3"/>
    <n v="0.2384"/>
    <n v="0.10176991150442478"/>
    <n v="0.13663008849557523"/>
    <n v="0.31230283911671924"/>
    <n v="-2.0134228187919462E-2"/>
    <n v="0.33243706730463873"/>
    <n v="0.38274336283185839"/>
    <n v="2.2391304347826089"/>
    <n v="1.1275167785234901"/>
    <n v="-34"/>
  </r>
  <r>
    <s v="Sanathan Textiles Limited"/>
    <n v="544314"/>
    <x v="6"/>
    <s v="Other Textile Products"/>
    <n v="423"/>
    <n v="3579.9977291999999"/>
    <n v="8.8830401647150436E-5"/>
    <n v="2642"/>
    <n v="2266"/>
    <n v="56"/>
    <n v="117"/>
    <n v="1079"/>
    <n v="743"/>
    <n v="-5"/>
    <n v="34"/>
    <n v="2.1196063588190765E-2"/>
    <n v="5.1632833186231242E-2"/>
    <n v="-3.0436769598040477E-2"/>
    <n v="-4.6339202965708986E-3"/>
    <n v="4.5760430686406457E-2"/>
    <n v="-5.0394350982977357E-2"/>
    <n v="0.16593115622241839"/>
    <n v="-0.52136752136752129"/>
    <n v="0.45222072678331093"/>
    <n v="-1.1470588235294117"/>
  </r>
  <r>
    <s v="IndoStar Capital Finance Limit"/>
    <n v="541336"/>
    <x v="2"/>
    <s v="Non Banking Financial Company (NBFC)"/>
    <n v="201.8"/>
    <n v="3225.2517942999998"/>
    <n v="8.0028098890689542E-5"/>
    <n v="1046"/>
    <n v="1031"/>
    <n v="564"/>
    <n v="84"/>
    <n v="346"/>
    <n v="373"/>
    <n v="8"/>
    <n v="27"/>
    <n v="0.53919694072657742"/>
    <n v="8.147429679922405E-2"/>
    <n v="0.4577226439273534"/>
    <n v="2.3121387283236993E-2"/>
    <n v="7.2386058981233251E-2"/>
    <n v="-4.9264671697996254E-2"/>
    <n v="1.4548981571290032E-2"/>
    <n v="5.7142857142857144"/>
    <n v="-7.2386058981233292E-2"/>
    <n v="-0.70370370370370372"/>
  </r>
  <r>
    <s v="KITEX GARMENTS LTD."/>
    <n v="521248"/>
    <x v="6"/>
    <s v="Garments &amp; Apparels"/>
    <n v="159.75"/>
    <n v="3181.0258445999998"/>
    <n v="7.8930721413873211E-5"/>
    <n v="500"/>
    <n v="682"/>
    <n v="-3"/>
    <n v="103"/>
    <n v="181"/>
    <n v="276"/>
    <n v="-17"/>
    <n v="40"/>
    <n v="-6.0000000000000001E-3"/>
    <n v="0.15102639296187684"/>
    <n v="-0.15702639296187684"/>
    <n v="-9.3922651933701654E-2"/>
    <n v="0.14492753623188406"/>
    <n v="-0.23885018816558573"/>
    <n v="-0.26686217008797652"/>
    <n v="-1.029126213592233"/>
    <n v="-0.34420289855072461"/>
    <n v="-1.425"/>
  </r>
  <r>
    <s v="Styrenix Performance Materials"/>
    <n v="506222"/>
    <x v="8"/>
    <s v="Specialty Chemicals"/>
    <n v="1880.6"/>
    <n v="3217.114"/>
    <n v="7.9826175987137194E-5"/>
    <n v="2612"/>
    <n v="2043"/>
    <n v="109"/>
    <n v="179"/>
    <n v="869"/>
    <n v="691"/>
    <n v="16"/>
    <n v="49"/>
    <n v="4.1730474732006126E-2"/>
    <n v="8.7616250611845331E-2"/>
    <n v="-4.5885775879839205E-2"/>
    <n v="1.8411967779056387E-2"/>
    <n v="7.0911722141823438E-2"/>
    <n v="-5.2499754362767048E-2"/>
    <n v="0.27851199216837985"/>
    <n v="-0.39106145251396651"/>
    <n v="0.25759768451519527"/>
    <n v="-0.67346938775510212"/>
  </r>
  <r>
    <s v="PONDY OXIDES &amp; CHEMICALS LTD."/>
    <n v="532626"/>
    <x v="8"/>
    <s v="Diversified Metals"/>
    <n v="1090.75"/>
    <n v="3321.5857132000001"/>
    <n v="8.241843021362122E-5"/>
    <n v="2023"/>
    <n v="1533"/>
    <n v="94"/>
    <n v="41"/>
    <n v="779"/>
    <n v="509"/>
    <n v="35"/>
    <n v="13"/>
    <n v="4.6465645081562035E-2"/>
    <n v="2.674494455316373E-2"/>
    <n v="1.9720700528398305E-2"/>
    <n v="4.4929396662387676E-2"/>
    <n v="2.5540275049115914E-2"/>
    <n v="1.9389121613271762E-2"/>
    <n v="0.31963470319634713"/>
    <n v="1.2926829268292681"/>
    <n v="0.53045186640471509"/>
    <n v="1.6923076923076925"/>
  </r>
  <r>
    <s v="INDO THAI SECURITIES LTD."/>
    <n v="533676"/>
    <x v="2"/>
    <s v="Stockbroking &amp; Allied"/>
    <n v="297.7"/>
    <n v="3830.890187"/>
    <n v="9.5055790455314583E-5"/>
    <n v="66"/>
    <n v="26"/>
    <n v="39"/>
    <n v="10"/>
    <n v="27"/>
    <n v="5"/>
    <n v="17"/>
    <n v="0.55000000000000004"/>
    <n v="0.59090909090909094"/>
    <n v="0.38461538461538464"/>
    <n v="0.2062937062937063"/>
    <n v="0.62962962962962965"/>
    <n v="0.11000000000000001"/>
    <n v="0.51962962962962966"/>
    <n v="1.5384615384615383"/>
    <n v="2.9"/>
    <n v="4.4000000000000004"/>
    <n v="29.909090909090907"/>
  </r>
  <r>
    <s v="Laxmi Organic Industries Limit"/>
    <n v="543277"/>
    <x v="8"/>
    <s v="Specialty Chemicals"/>
    <n v="117.05"/>
    <n v="3246.7865191999999"/>
    <n v="8.0562439526334401E-5"/>
    <n v="2111"/>
    <n v="2275"/>
    <n v="57"/>
    <n v="91"/>
    <n v="718"/>
    <n v="786"/>
    <n v="25"/>
    <n v="29"/>
    <n v="2.700142112742776E-2"/>
    <n v="0.04"/>
    <n v="-1.299857887257224E-2"/>
    <n v="3.4818941504178275E-2"/>
    <n v="3.689567430025445E-2"/>
    <n v="-2.076732796076175E-3"/>
    <n v="-7.2087912087912098E-2"/>
    <n v="-0.37362637362637363"/>
    <n v="-8.6513994910941472E-2"/>
    <n v="-0.13793103448275867"/>
  </r>
  <r>
    <s v="ASM TECHNOLOGIES LTD."/>
    <n v="526433"/>
    <x v="3"/>
    <s v="Computers - Software &amp; Consulting"/>
    <n v="2504.9499999999998"/>
    <n v="3654.3712857"/>
    <n v="9.0675831000899883E-5"/>
    <n v="393"/>
    <n v="174"/>
    <n v="44"/>
    <n v="10"/>
    <n v="116"/>
    <n v="64"/>
    <n v="9"/>
    <n v="5"/>
    <n v="0.11195928753180662"/>
    <n v="5.7471264367816091E-2"/>
    <n v="5.4488023163990526E-2"/>
    <n v="7.7586206896551727E-2"/>
    <n v="7.8125E-2"/>
    <n v="-5.3879310344827347E-4"/>
    <n v="1.2586206896551726"/>
    <n v="3.4000000000000004"/>
    <n v="0.8125"/>
    <n v="0.8"/>
  </r>
  <r>
    <s v="MAN INDUSTRIES (INDIA) LTD."/>
    <n v="513269"/>
    <x v="4"/>
    <s v="Iron &amp; Steel Products"/>
    <n v="359"/>
    <n v="2696.2194445999999"/>
    <n v="6.6901231316198579E-5"/>
    <n v="2406"/>
    <n v="2286"/>
    <n v="119"/>
    <n v="85"/>
    <n v="830"/>
    <n v="731"/>
    <n v="55"/>
    <n v="34"/>
    <n v="4.9459684123025767E-2"/>
    <n v="3.7182852143482062E-2"/>
    <n v="1.2276831979543705E-2"/>
    <n v="6.6265060240963861E-2"/>
    <n v="4.6511627906976744E-2"/>
    <n v="1.9753432333987117E-2"/>
    <n v="5.2493438320210029E-2"/>
    <n v="0.39999999999999991"/>
    <n v="0.13543091655266748"/>
    <n v="0.61764705882352944"/>
  </r>
  <r>
    <s v="SHOPPERS STOP LTD."/>
    <n v="532638"/>
    <x v="6"/>
    <s v="Diversified Retail"/>
    <n v="300.10000000000002"/>
    <n v="3308.4744129000001"/>
    <n v="8.209309981961964E-5"/>
    <n v="3834"/>
    <n v="3564"/>
    <n v="-20"/>
    <n v="9"/>
    <n v="1416"/>
    <n v="1379"/>
    <n v="16"/>
    <n v="52"/>
    <n v="-5.2164840897235268E-3"/>
    <n v="2.5252525252525255E-3"/>
    <n v="-7.7417366149760518E-3"/>
    <n v="1.1299435028248588E-2"/>
    <n v="3.7708484408992021E-2"/>
    <n v="-2.6409049380743434E-2"/>
    <n v="7.575757575757569E-2"/>
    <n v="-3.2222222222222223"/>
    <n v="2.6831036983321344E-2"/>
    <n v="-0.69230769230769229"/>
  </r>
  <r>
    <s v="UFLEX LTD."/>
    <n v="500148"/>
    <x v="4"/>
    <s v="Packaging"/>
    <n v="351.9"/>
    <n v="2544.0103521999999"/>
    <n v="6.3124470593151525E-5"/>
    <n v="11344"/>
    <n v="11221"/>
    <n v="131"/>
    <n v="-13"/>
    <n v="3612"/>
    <n v="3734"/>
    <n v="38"/>
    <n v="140"/>
    <n v="1.1547954866008462E-2"/>
    <n v="-1.1585420194278584E-3"/>
    <n v="1.2706496885436321E-2"/>
    <n v="1.0520487264673311E-2"/>
    <n v="3.7493304767005894E-2"/>
    <n v="-2.6972817502332581E-2"/>
    <n v="1.0961589876125055E-2"/>
    <n v="-11.076923076923077"/>
    <n v="-3.2672737011247954E-2"/>
    <n v="-0.72857142857142865"/>
  </r>
  <r>
    <s v="VISHNU CHEMICALS LTD."/>
    <n v="516072"/>
    <x v="8"/>
    <s v="Specialty Chemicals"/>
    <n v="510.3"/>
    <n v="3455.6302477999998"/>
    <n v="8.5744474180074842E-5"/>
    <n v="1159"/>
    <n v="1053"/>
    <n v="98"/>
    <n v="87"/>
    <n v="411"/>
    <n v="371"/>
    <n v="33"/>
    <n v="34"/>
    <n v="8.4555651423641076E-2"/>
    <n v="8.2621082621082614E-2"/>
    <n v="1.9345688025584618E-3"/>
    <n v="8.0291970802919707E-2"/>
    <n v="9.1644204851752023E-2"/>
    <n v="-1.1352234048832316E-2"/>
    <n v="0.10066476733143404"/>
    <n v="0.12643678160919536"/>
    <n v="0.1078167115902966"/>
    <n v="-2.9411764705882359E-2"/>
  </r>
  <r>
    <s v="PITTI ENGINEERING LIMITED"/>
    <n v="513519"/>
    <x v="4"/>
    <s v="Industrial Products"/>
    <n v="761.1"/>
    <n v="2810.7845941"/>
    <n v="6.9743933746382812E-5"/>
    <n v="1411"/>
    <n v="1235"/>
    <n v="91"/>
    <n v="86"/>
    <n v="477"/>
    <n v="414"/>
    <n v="28"/>
    <n v="28"/>
    <n v="6.449326718639263E-2"/>
    <n v="6.9635627530364369E-2"/>
    <n v="-5.1423603439717386E-3"/>
    <n v="5.8700209643605873E-2"/>
    <n v="6.7632850241545889E-2"/>
    <n v="-8.9326405979400156E-3"/>
    <n v="0.14251012145748998"/>
    <n v="5.8139534883721034E-2"/>
    <n v="0.15217391304347827"/>
    <n v="0"/>
  </r>
  <r>
    <s v="Advanced Enzyme Technologies L"/>
    <n v="540025"/>
    <x v="7"/>
    <s v="Biotechnology"/>
    <n v="279.89999999999998"/>
    <n v="3138.9844380999998"/>
    <n v="7.7887548957436862E-5"/>
    <n v="542"/>
    <n v="469"/>
    <n v="128"/>
    <n v="107"/>
    <n v="171"/>
    <n v="169"/>
    <n v="43"/>
    <n v="38"/>
    <n v="0.23616236162361623"/>
    <n v="0.22814498933901919"/>
    <n v="8.0173722845970352E-3"/>
    <n v="0.25146198830409355"/>
    <n v="0.22485207100591717"/>
    <n v="2.6609917298176383E-2"/>
    <n v="0.15565031982942434"/>
    <n v="0.19626168224299056"/>
    <n v="1.1834319526627279E-2"/>
    <n v="0.13157894736842102"/>
  </r>
  <r>
    <s v="SUVEN LIFE SCIENCES LTD."/>
    <n v="530239"/>
    <x v="7"/>
    <s v="Healthcare Research, Analytics &amp; Technology"/>
    <n v="165.8"/>
    <n v="4379.0789828999996"/>
    <n v="1.0865798649054684E-4"/>
    <n v="5"/>
    <n v="5"/>
    <n v="-230"/>
    <n v="-116"/>
    <n v="2"/>
    <n v="1"/>
    <n v="-101"/>
    <n v="-39"/>
    <n v="-46"/>
    <n v="-23.2"/>
    <n v="-22.8"/>
    <n v="-50.5"/>
    <n v="-39"/>
    <n v="-11.5"/>
    <n v="0"/>
    <n v="0.98275862068965525"/>
    <n v="1"/>
    <n v="1.5897435897435899"/>
  </r>
  <r>
    <s v="Flair Writing Industries Limit"/>
    <n v="544030"/>
    <x v="5"/>
    <s v="Stationary"/>
    <n v="297.7"/>
    <n v="3113.9042671000002"/>
    <n v="7.7265235248928722E-5"/>
    <n v="9271"/>
    <n v="7818"/>
    <n v="104"/>
    <n v="88"/>
    <n v="317"/>
    <n v="264"/>
    <n v="33"/>
    <n v="29"/>
    <n v="1.1217775860209256E-2"/>
    <n v="1.1256075722691225E-2"/>
    <n v="-3.8299862481969843E-5"/>
    <n v="0.10410094637223975"/>
    <n v="0.10984848484848485"/>
    <n v="-5.7475384762450954E-3"/>
    <n v="0.18585315937579949"/>
    <n v="0.18181818181818188"/>
    <n v="0.20075757575757569"/>
    <n v="0.13793103448275867"/>
  </r>
  <r>
    <s v="R SYSTEMS INTERNATIONAL LTD."/>
    <n v="532735"/>
    <x v="3"/>
    <s v="IT Enabled Services"/>
    <n v="262.85000000000002"/>
    <n v="3110.2710977000002"/>
    <n v="7.7175085499832019E-5"/>
    <n v="1958"/>
    <n v="1741"/>
    <n v="186"/>
    <n v="131"/>
    <n v="555"/>
    <n v="448"/>
    <n v="36"/>
    <n v="38"/>
    <n v="9.4994892747701731E-2"/>
    <n v="7.5244112578977604E-2"/>
    <n v="1.9750780168724127E-2"/>
    <n v="6.4864864864864868E-2"/>
    <n v="8.4821428571428575E-2"/>
    <n v="-1.9956563706563707E-2"/>
    <n v="0.12464101091326829"/>
    <n v="0.41984732824427473"/>
    <n v="0.23883928571428581"/>
    <n v="-5.2631578947368474E-2"/>
  </r>
  <r>
    <s v="GRM OVERSEAS LTD."/>
    <n v="531449"/>
    <x v="5"/>
    <s v="Other Agricultural Products"/>
    <n v="157.69999999999999"/>
    <n v="3275.9886454000002"/>
    <n v="8.1287031214797982E-5"/>
    <n v="1171"/>
    <n v="1056"/>
    <n v="52"/>
    <n v="40"/>
    <n v="482"/>
    <n v="371"/>
    <n v="19"/>
    <n v="13"/>
    <n v="4.4406490179333902E-2"/>
    <n v="3.787878787878788E-2"/>
    <n v="6.5277023005460219E-3"/>
    <n v="3.9419087136929459E-2"/>
    <n v="3.5040431266846361E-2"/>
    <n v="4.378655870083098E-3"/>
    <n v="0.10890151515151514"/>
    <n v="0.30000000000000004"/>
    <n v="0.29919137466307277"/>
    <n v="0.46153846153846145"/>
  </r>
  <r>
    <s v="Harsha Engineers International"/>
    <n v="543600"/>
    <x v="4"/>
    <s v="Other Industrial Products"/>
    <n v="332.35"/>
    <n v="3034.9551289999999"/>
    <n v="7.5306272093751935E-5"/>
    <n v="1152"/>
    <n v="1034"/>
    <n v="102"/>
    <n v="90"/>
    <n v="409"/>
    <n v="338"/>
    <n v="33"/>
    <n v="26"/>
    <n v="8.8541666666666671E-2"/>
    <n v="8.7040618955512572E-2"/>
    <n v="1.5010477111540993E-3"/>
    <n v="8.0684596577017112E-2"/>
    <n v="7.6923076923076927E-2"/>
    <n v="3.7615196539401846E-3"/>
    <n v="0.11411992263056092"/>
    <n v="0.1333333333333333"/>
    <n v="0.21005917159763321"/>
    <n v="0.26923076923076916"/>
  </r>
  <r>
    <s v="AARTI DRUGS LTD."/>
    <n v="524348"/>
    <x v="7"/>
    <s v="Pharmaceuticals"/>
    <n v="352.5"/>
    <n v="3220.4620057000002"/>
    <n v="7.9909249975878088E-5"/>
    <n v="1628"/>
    <n v="1550"/>
    <n v="124"/>
    <n v="95"/>
    <n v="528"/>
    <n v="514"/>
    <n v="33"/>
    <n v="38"/>
    <n v="7.6167076167076173E-2"/>
    <n v="6.1290322580645158E-2"/>
    <n v="1.4876753586431014E-2"/>
    <n v="6.25E-2"/>
    <n v="7.3929961089494164E-2"/>
    <n v="-1.1429961089494164E-2"/>
    <n v="5.0322580645161263E-2"/>
    <n v="0.3052631578947369"/>
    <n v="2.7237354085603016E-2"/>
    <n v="-0.13157894736842102"/>
  </r>
  <r>
    <s v="STEEL STRIPS WHEELS LTD."/>
    <n v="513262"/>
    <x v="6"/>
    <s v="Auto Components &amp; Equipments"/>
    <n v="190.5"/>
    <n v="2981.5798971999998"/>
    <n v="7.3981873689772136E-5"/>
    <n v="3708"/>
    <n v="3195"/>
    <n v="129"/>
    <n v="134"/>
    <n v="1320"/>
    <n v="1074"/>
    <n v="46"/>
    <n v="47"/>
    <n v="3.4789644012944987E-2"/>
    <n v="4.1940532081377151E-2"/>
    <n v="-7.1508880684321638E-3"/>
    <n v="3.4848484848484851E-2"/>
    <n v="4.3761638733705775E-2"/>
    <n v="-8.9131538852209244E-3"/>
    <n v="0.16056338028169015"/>
    <n v="-3.7313432835820892E-2"/>
    <n v="0.22905027932960897"/>
    <n v="-2.1276595744680882E-2"/>
  </r>
  <r>
    <s v="TATA INVESTMENT CORPORATION LT"/>
    <n v="501301"/>
    <x v="2"/>
    <s v="Investment Company"/>
    <n v="588.45000000000005"/>
    <n v="29787.982875000002"/>
    <n v="7.3912853672004756E-4"/>
    <n v="360"/>
    <n v="290"/>
    <n v="370"/>
    <n v="274"/>
    <n v="61"/>
    <n v="4"/>
    <n v="75"/>
    <n v="20"/>
    <n v="1.0277777777777777"/>
    <n v="0.94482758620689655"/>
    <n v="8.2950191570881127E-2"/>
    <n v="1.2295081967213115"/>
    <n v="5"/>
    <n v="-3.7704918032786887"/>
    <n v="0.24137931034482762"/>
    <n v="0.35036496350364965"/>
    <n v="14.25"/>
    <n v="2.75"/>
  </r>
  <r>
    <s v="ASHIANA HOUSING LTD."/>
    <n v="523716"/>
    <x v="6"/>
    <s v="Residential, Commercial Projects"/>
    <n v="308.39999999999998"/>
    <n v="3089.1269812"/>
    <n v="7.6650437021468635E-5"/>
    <n v="762"/>
    <n v="257"/>
    <n v="101"/>
    <n v="-1"/>
    <n v="342"/>
    <n v="115"/>
    <n v="56"/>
    <n v="11"/>
    <n v="0.13254593175853019"/>
    <n v="-3.8910505836575876E-3"/>
    <n v="0.13643698234218776"/>
    <n v="0.16374269005847952"/>
    <n v="9.5652173913043481E-2"/>
    <n v="6.8090516145436042E-2"/>
    <n v="1.9649805447470818"/>
    <n v="-102"/>
    <n v="1.973913043478261"/>
    <n v="4.0909090909090908"/>
  </r>
  <r>
    <s v="GUJARAT THEMIS BIOSYN LTD."/>
    <n v="506879"/>
    <x v="7"/>
    <s v="Pharmaceuticals"/>
    <n v="258.05"/>
    <n v="2811.6290422000002"/>
    <n v="6.9764887017744227E-5"/>
    <n v="121"/>
    <n v="113"/>
    <n v="35"/>
    <n v="36"/>
    <n v="43"/>
    <n v="39"/>
    <n v="12"/>
    <n v="12"/>
    <n v="0.28925619834710742"/>
    <n v="0.31858407079646017"/>
    <n v="-2.9327872449352754E-2"/>
    <n v="0.27906976744186046"/>
    <n v="0.30769230769230771"/>
    <n v="-2.8622540250447248E-2"/>
    <n v="7.079646017699126E-2"/>
    <n v="-2.777777777777779E-2"/>
    <n v="0.10256410256410264"/>
    <n v="0"/>
  </r>
  <r>
    <s v="GE Power India Ltd"/>
    <n v="532309"/>
    <x v="4"/>
    <s v="Heavy Electrical Equipment"/>
    <n v="429"/>
    <n v="2763.049"/>
    <n v="6.8559471543465182E-5"/>
    <n v="952"/>
    <n v="780"/>
    <n v="139"/>
    <n v="38"/>
    <n v="385"/>
    <n v="316"/>
    <n v="72"/>
    <n v="-18"/>
    <n v="0.14600840336134455"/>
    <n v="4.8717948717948718E-2"/>
    <n v="9.7290454643395835E-2"/>
    <n v="0.18701298701298702"/>
    <n v="-5.6962025316455694E-2"/>
    <n v="0.24397501232944271"/>
    <n v="0.22051282051282062"/>
    <n v="2.6578947368421053"/>
    <n v="0.21835443037974689"/>
    <n v="-5"/>
  </r>
  <r>
    <s v="TOURISM FINANCE CORPORATION OF"/>
    <n v="526650"/>
    <x v="2"/>
    <s v="Financial Institution"/>
    <n v="64.819999999999993"/>
    <n v="2991.9165809000001"/>
    <n v="7.4238357585636452E-5"/>
    <n v="202"/>
    <n v="190"/>
    <n v="91"/>
    <n v="73"/>
    <n v="705"/>
    <n v="641"/>
    <n v="31"/>
    <n v="22"/>
    <n v="0.45049504950495051"/>
    <n v="0.38421052631578945"/>
    <n v="6.628452318916106E-2"/>
    <n v="4.397163120567376E-2"/>
    <n v="3.4321372854914198E-2"/>
    <n v="9.6502583507595621E-3"/>
    <n v="6.315789473684208E-2"/>
    <n v="0.24657534246575352"/>
    <n v="9.9843993759750393E-2"/>
    <n v="0.40909090909090917"/>
  </r>
  <r>
    <s v="KALYANI STEELS LTD."/>
    <n v="500235"/>
    <x v="4"/>
    <s v="Iron &amp; Steel Products"/>
    <n v="635.9"/>
    <n v="2776.0177566000002"/>
    <n v="6.8881265003903932E-5"/>
    <n v="1361"/>
    <n v="1437"/>
    <n v="186"/>
    <n v="176"/>
    <n v="462"/>
    <n v="484"/>
    <n v="21"/>
    <n v="19"/>
    <n v="0.1366642174871418"/>
    <n v="0.12247738343771747"/>
    <n v="1.4186834049424335E-2"/>
    <n v="4.5454545454545456E-2"/>
    <n v="3.9256198347107439E-2"/>
    <n v="6.1983471074380167E-3"/>
    <n v="-5.2887961029923436E-2"/>
    <n v="5.6818181818181879E-2"/>
    <n v="-4.5454545454545414E-2"/>
    <n v="0.10526315789473695"/>
  </r>
  <r>
    <s v="CIGNITI TECHNOLOGIES LTD."/>
    <n v="534758"/>
    <x v="3"/>
    <s v="IT Enabled Services"/>
    <n v="1201.0999999999999"/>
    <n v="3299.8492077000001"/>
    <n v="8.1879082800570768E-5"/>
    <n v="1680"/>
    <n v="1484"/>
    <n v="228"/>
    <n v="127"/>
    <n v="579"/>
    <n v="516"/>
    <n v="80"/>
    <n v="63"/>
    <n v="0.1357142857142857"/>
    <n v="8.557951482479785E-2"/>
    <n v="5.0134770889487854E-2"/>
    <n v="0.1381692573402418"/>
    <n v="0.12209302325581395"/>
    <n v="1.6076234084427848E-2"/>
    <n v="0.13207547169811318"/>
    <n v="0.79527559055118102"/>
    <n v="0.12209302325581395"/>
    <n v="0.26984126984126977"/>
  </r>
  <r>
    <s v="MSTC Limited"/>
    <n v="542597"/>
    <x v="10"/>
    <s v="Trading &amp; Distributors"/>
    <n v="402.05"/>
    <n v="2837.12"/>
    <n v="7.0397393569710822E-5"/>
    <n v="250"/>
    <n v="222"/>
    <n v="141"/>
    <n v="331"/>
    <n v="88"/>
    <n v="81"/>
    <n v="51"/>
    <n v="47"/>
    <n v="0.56399999999999995"/>
    <n v="1.4909909909909911"/>
    <n v="-0.92699099099099114"/>
    <n v="0.57954545454545459"/>
    <n v="0.58024691358024694"/>
    <n v="-7.0145903479235105E-4"/>
    <n v="0.12612612612612617"/>
    <n v="-0.57401812688821752"/>
    <n v="8.6419753086419693E-2"/>
    <n v="8.5106382978723305E-2"/>
  </r>
  <r>
    <s v="NAVNEET EDUCATION LIMITED"/>
    <n v="508989"/>
    <x v="6"/>
    <s v="Printing &amp; Publication"/>
    <n v="133.44999999999999"/>
    <n v="2950.5404358000001"/>
    <n v="7.3211692245079063E-5"/>
    <n v="1291"/>
    <n v="1352"/>
    <n v="330"/>
    <n v="757"/>
    <n v="250"/>
    <n v="247"/>
    <n v="188"/>
    <n v="-15"/>
    <n v="0.25561580170410536"/>
    <n v="0.5599112426035503"/>
    <n v="-0.30429544089944494"/>
    <n v="0.752"/>
    <n v="-6.0728744939271252E-2"/>
    <n v="0.81272874493927127"/>
    <n v="-4.5118343195266308E-2"/>
    <n v="-0.56406869220607669"/>
    <n v="1.2145748987854255E-2"/>
    <n v="-13.533333333333333"/>
  </r>
  <r>
    <s v="RAGHAV PRODUCTIVITY ENHANCERS"/>
    <n v="539837"/>
    <x v="4"/>
    <s v="Electrodes &amp; Refractories"/>
    <n v="635.65"/>
    <n v="2911.0471336999999"/>
    <n v="7.2231745844750131E-5"/>
    <n v="186"/>
    <n v="148"/>
    <n v="39"/>
    <n v="26"/>
    <n v="64"/>
    <n v="55"/>
    <n v="14"/>
    <n v="9"/>
    <n v="0.20967741935483872"/>
    <n v="0.17567567567567569"/>
    <n v="3.4001743679163032E-2"/>
    <n v="0.21875"/>
    <n v="0.16363636363636364"/>
    <n v="5.5113636363636365E-2"/>
    <n v="0.2567567567567568"/>
    <n v="0.5"/>
    <n v="0.16363636363636358"/>
    <n v="0.55555555555555558"/>
  </r>
  <r>
    <s v="EFC (I) LIMITED"/>
    <n v="512008"/>
    <x v="10"/>
    <s v="Diversified Commercial Services"/>
    <n v="193.4"/>
    <n v="2659.0402712"/>
    <n v="6.5978705338292707E-5"/>
    <n v="743"/>
    <n v="445"/>
    <n v="165"/>
    <n v="92"/>
    <n v="269"/>
    <n v="177"/>
    <n v="62"/>
    <n v="40"/>
    <n v="0.22207267833109018"/>
    <n v="0.20674157303370785"/>
    <n v="1.5331105297382325E-2"/>
    <n v="0.23048327137546468"/>
    <n v="0.22598870056497175"/>
    <n v="4.4945708104929261E-3"/>
    <n v="0.66966292134831451"/>
    <n v="0.79347826086956519"/>
    <n v="0.51977401129943512"/>
    <n v="0.55000000000000004"/>
  </r>
  <r>
    <s v="The Anup Engineering Ltd"/>
    <n v="542460"/>
    <x v="4"/>
    <s v="Industrial Products"/>
    <n v="1710.95"/>
    <n v="3431.9901396"/>
    <n v="8.5157892716835389E-5"/>
    <n v="614"/>
    <n v="511"/>
    <n v="83"/>
    <n v="86"/>
    <n v="206"/>
    <n v="171"/>
    <n v="25"/>
    <n v="30"/>
    <n v="0.13517915309446255"/>
    <n v="0.16829745596868884"/>
    <n v="-3.3118302874226291E-2"/>
    <n v="0.12135922330097088"/>
    <n v="0.17543859649122806"/>
    <n v="-5.4079373190257185E-2"/>
    <n v="0.20156555772994134"/>
    <n v="-3.4883720930232509E-2"/>
    <n v="0.20467836257309946"/>
    <n v="-0.16666666666666663"/>
  </r>
  <r>
    <s v="ORIENT CEMENT LTD"/>
    <n v="535754"/>
    <x v="8"/>
    <s v="Cement &amp; Cement Products"/>
    <n v="134.30000000000001"/>
    <n v="2762.4069482"/>
    <n v="6.8543540326859343E-5"/>
    <n v="2145"/>
    <n v="1883"/>
    <n v="282"/>
    <n v="49"/>
    <n v="636"/>
    <n v="643"/>
    <n v="27"/>
    <n v="10"/>
    <n v="0.13146853146853146"/>
    <n v="2.6022304832713755E-2"/>
    <n v="0.10544622663581771"/>
    <n v="4.2452830188679243E-2"/>
    <n v="1.5552099533437015E-2"/>
    <n v="2.6900730655242226E-2"/>
    <n v="0.13913967073818378"/>
    <n v="4.7551020408163263"/>
    <n v="-1.0886469673405896E-2"/>
    <n v="1.7000000000000002"/>
  </r>
  <r>
    <s v="Route Mobile Limited"/>
    <n v="543228"/>
    <x v="1"/>
    <s v="Other Telecom Services"/>
    <n v="462.4"/>
    <n v="2911.4331212000002"/>
    <n v="7.2241323343745782E-5"/>
    <n v="3277"/>
    <n v="3401"/>
    <n v="143"/>
    <n v="274"/>
    <n v="1107"/>
    <n v="1184"/>
    <n v="103"/>
    <n v="85"/>
    <n v="4.3637473298748855E-2"/>
    <n v="8.0564539841223165E-2"/>
    <n v="-3.692706654247431E-2"/>
    <n v="9.3044263775971095E-2"/>
    <n v="7.1790540540540543E-2"/>
    <n v="2.1253723235430552E-2"/>
    <n v="-3.6459864745663095E-2"/>
    <n v="-0.47810218978102192"/>
    <n v="-6.5033783783783772E-2"/>
    <n v="0.21176470588235285"/>
  </r>
  <r>
    <s v="RAM RATNA WIRES LTD."/>
    <n v="522281"/>
    <x v="4"/>
    <s v="Other Electrical Equipment"/>
    <n v="304"/>
    <n v="2826.1433969999998"/>
    <n v="7.012503137091434E-5"/>
    <n v="3423"/>
    <n v="2720"/>
    <n v="69"/>
    <n v="51"/>
    <n v="1277"/>
    <n v="888"/>
    <n v="31"/>
    <n v="18"/>
    <n v="2.0157756354075372E-2"/>
    <n v="1.8749999999999999E-2"/>
    <n v="1.4077563540753728E-3"/>
    <n v="2.4275646045418951E-2"/>
    <n v="2.0270270270270271E-2"/>
    <n v="4.0053757751486799E-3"/>
    <n v="0.25845588235294126"/>
    <n v="0.35294117647058831"/>
    <n v="0.43806306306306309"/>
    <n v="0.72222222222222232"/>
  </r>
  <r>
    <s v="SUNDARAM-CLAYTON LIMITED"/>
    <n v="544066"/>
    <x v="6"/>
    <s v="Auto Components &amp; Equipments"/>
    <n v="1251.3"/>
    <n v="2777.8161599999999"/>
    <n v="6.8925888746271857E-5"/>
    <n v="1507"/>
    <n v="1672"/>
    <n v="-174"/>
    <n v="-154"/>
    <n v="501"/>
    <n v="529"/>
    <n v="-52"/>
    <n v="-44"/>
    <n v="-0.11546118115461181"/>
    <n v="-9.2105263157894732E-2"/>
    <n v="-2.3355917996717074E-2"/>
    <n v="-0.10379241516966067"/>
    <n v="-8.3175803402646506E-2"/>
    <n v="-2.0616611767014167E-2"/>
    <n v="-9.8684210526315819E-2"/>
    <n v="0.12987012987012991"/>
    <n v="-5.2930056710774998E-2"/>
    <n v="0.18181818181818188"/>
  </r>
  <r>
    <s v="RAMKY INFRASTRUCTURE LTD."/>
    <n v="533262"/>
    <x v="4"/>
    <s v="Civil Construction"/>
    <n v="456.8"/>
    <n v="3155.7651283999999"/>
    <n v="7.8303927841453244E-5"/>
    <n v="1339"/>
    <n v="1555"/>
    <n v="230"/>
    <n v="213"/>
    <n v="488"/>
    <n v="459"/>
    <n v="77"/>
    <n v="59"/>
    <n v="0.17176997759522031"/>
    <n v="0.13697749196141479"/>
    <n v="3.479248563380552E-2"/>
    <n v="0.15778688524590165"/>
    <n v="0.12854030501089325"/>
    <n v="2.9246580235008396E-2"/>
    <n v="-0.13890675241157557"/>
    <n v="7.9812206572769995E-2"/>
    <n v="6.3180827886710311E-2"/>
    <n v="0.30508474576271194"/>
  </r>
  <r>
    <s v="Interarch Building Solutions L"/>
    <n v="544232"/>
    <x v="4"/>
    <s v="Civil Construction"/>
    <n v="1818.75"/>
    <n v="3055.6633923999998"/>
    <n v="7.5820105759129159E-5"/>
    <n v="1394"/>
    <n v="990"/>
    <n v="97"/>
    <n v="69"/>
    <n v="522"/>
    <n v="363"/>
    <n v="37"/>
    <n v="28"/>
    <n v="6.9583931133428978E-2"/>
    <n v="6.9696969696969702E-2"/>
    <n v="-1.1303856354072384E-4"/>
    <n v="7.0881226053639848E-2"/>
    <n v="7.7134986225895319E-2"/>
    <n v="-6.2537601722554709E-3"/>
    <n v="0.40808080808080804"/>
    <n v="0.40579710144927539"/>
    <n v="0.43801652892561993"/>
    <n v="0.3214285714285714"/>
  </r>
  <r>
    <s v="Orchid Pharma Limited"/>
    <n v="524372"/>
    <x v="7"/>
    <s v="Pharmaceuticals"/>
    <n v="524.29999999999995"/>
    <n v="2655.1454085"/>
    <n v="6.5882062199337752E-5"/>
    <n v="573"/>
    <n v="684"/>
    <n v="-3"/>
    <n v="77"/>
    <n v="207"/>
    <n v="217"/>
    <n v="-12"/>
    <n v="22"/>
    <n v="-5.235602094240838E-3"/>
    <n v="0.11257309941520467"/>
    <n v="-0.11780870150944552"/>
    <n v="-5.7971014492753624E-2"/>
    <n v="0.10138248847926268"/>
    <n v="-0.15935350297201631"/>
    <n v="-0.16228070175438591"/>
    <n v="-1.0389610389610389"/>
    <n v="-4.6082949308755783E-2"/>
    <n v="-1.5454545454545454"/>
  </r>
  <r>
    <s v="PAISALO DIGITAL LIMITED"/>
    <n v="532900"/>
    <x v="2"/>
    <s v="Non Banking Financial Company (NBFC)"/>
    <n v="35.799999999999997"/>
    <n v="3256.0879746000001"/>
    <n v="8.0793236326104923E-5"/>
    <n v="682"/>
    <n v="577"/>
    <n v="164"/>
    <n v="153"/>
    <n v="243"/>
    <n v="181"/>
    <n v="66"/>
    <n v="62"/>
    <n v="0.2404692082111437"/>
    <n v="0.26516464471403811"/>
    <n v="-2.4695436502894408E-2"/>
    <n v="0.27160493827160492"/>
    <n v="0.34254143646408841"/>
    <n v="-7.0936498192483488E-2"/>
    <n v="0.18197573656845756"/>
    <n v="7.1895424836601274E-2"/>
    <n v="0.34254143646408841"/>
    <n v="6.4516129032258007E-2"/>
  </r>
  <r>
    <s v="KEWAL KIRAN CLOTHING LTD."/>
    <n v="532732"/>
    <x v="6"/>
    <s v="Garments &amp; Apparels"/>
    <n v="446.85"/>
    <n v="2754.3379421999998"/>
    <n v="6.8343324265819145E-5"/>
    <n v="888"/>
    <n v="714"/>
    <n v="117"/>
    <n v="118"/>
    <n v="301"/>
    <n v="255"/>
    <n v="37"/>
    <n v="26"/>
    <n v="0.13175675675675674"/>
    <n v="0.16526610644257703"/>
    <n v="-3.3509349685820283E-2"/>
    <n v="0.12292358803986711"/>
    <n v="0.10196078431372549"/>
    <n v="2.0962803726141621E-2"/>
    <n v="0.24369747899159666"/>
    <n v="-8.4745762711864181E-3"/>
    <n v="0.18039215686274512"/>
    <n v="0.42307692307692313"/>
  </r>
  <r>
    <s v="KOLTE-PATIL DEVELOPERS LTD."/>
    <n v="532924"/>
    <x v="6"/>
    <s v="Residential, Commercial Projects"/>
    <n v="309.5"/>
    <n v="2736.6682486999998"/>
    <n v="6.7904886565765685E-5"/>
    <n v="486"/>
    <n v="998"/>
    <n v="-23"/>
    <n v="43"/>
    <n v="265"/>
    <n v="349"/>
    <n v="4"/>
    <n v="26"/>
    <n v="-4.7325102880658436E-2"/>
    <n v="4.308617234468938E-2"/>
    <n v="-9.0411275225347809E-2"/>
    <n v="1.509433962264151E-2"/>
    <n v="7.4498567335243557E-2"/>
    <n v="-5.9404227712602051E-2"/>
    <n v="-0.51302605210420849"/>
    <n v="-1.5348837209302326"/>
    <n v="-0.24068767908309452"/>
    <n v="-0.84615384615384615"/>
  </r>
  <r>
    <s v="BALMER LAWRIE &amp; CO.LTD."/>
    <n v="523319"/>
    <x v="11"/>
    <s v="Diversified"/>
    <n v="160.4"/>
    <n v="2738.6257525999999"/>
    <n v="6.7953458065195588E-5"/>
    <n v="1973"/>
    <n v="1907"/>
    <n v="187"/>
    <n v="185"/>
    <n v="656"/>
    <n v="630"/>
    <n v="64"/>
    <n v="61"/>
    <n v="9.4779523568170293E-2"/>
    <n v="9.701101206082853E-2"/>
    <n v="-2.2314884926582373E-3"/>
    <n v="9.7560975609756101E-2"/>
    <n v="9.6825396825396828E-2"/>
    <n v="7.355787843592726E-4"/>
    <n v="3.4609334032511763E-2"/>
    <n v="1.08108108108107E-2"/>
    <n v="4.1269841269841345E-2"/>
    <n v="4.9180327868852514E-2"/>
  </r>
  <r>
    <s v="AUTOMOTIVE AXLES LTD."/>
    <n v="505010"/>
    <x v="6"/>
    <s v="Auto Components &amp; Equipments"/>
    <n v="1682"/>
    <n v="2523.8500727999999"/>
    <n v="6.2624234042213549E-5"/>
    <n v="1513"/>
    <n v="1517"/>
    <n v="110"/>
    <n v="109"/>
    <n v="562"/>
    <n v="530"/>
    <n v="38"/>
    <n v="39"/>
    <n v="7.270323859881031E-2"/>
    <n v="7.1852340145023078E-2"/>
    <n v="8.5089845378723272E-4"/>
    <n v="6.7615658362989328E-2"/>
    <n v="7.3584905660377356E-2"/>
    <n v="-5.9692472973880278E-3"/>
    <n v="-2.636783124588038E-3"/>
    <n v="9.1743119266054496E-3"/>
    <n v="6.0377358490566024E-2"/>
    <n v="-2.5641025641025661E-2"/>
  </r>
  <r>
    <s v="Sandhar Technologies Limited"/>
    <n v="541163"/>
    <x v="6"/>
    <s v="Auto Components &amp; Equipments"/>
    <n v="466.7"/>
    <n v="2814.8180487"/>
    <n v="6.9844015762977719E-5"/>
    <n v="3545"/>
    <n v="2870"/>
    <n v="134"/>
    <n v="99"/>
    <n v="1184"/>
    <n v="973"/>
    <n v="33"/>
    <n v="29"/>
    <n v="3.7799717912552891E-2"/>
    <n v="3.449477351916376E-2"/>
    <n v="3.3049443933891309E-3"/>
    <n v="2.7871621621621621E-2"/>
    <n v="2.9804727646454265E-2"/>
    <n v="-1.9331060248326433E-3"/>
    <n v="0.23519163763066198"/>
    <n v="0.35353535353535359"/>
    <n v="0.21685508735868453"/>
    <n v="0.13793103448275867"/>
  </r>
  <r>
    <s v="WONDERLA HOLIDAYS LTD"/>
    <n v="538268"/>
    <x v="6"/>
    <s v="Amusement Parks/ Other Recreation"/>
    <n v="521.25"/>
    <n v="3295.0051804999998"/>
    <n v="8.1758888064619955E-5"/>
    <n v="3829"/>
    <n v="3617"/>
    <n v="65"/>
    <n v="98"/>
    <n v="1345"/>
    <n v="1215"/>
    <n v="14"/>
    <n v="20"/>
    <n v="1.6975711674066335E-2"/>
    <n v="2.7094277025158972E-2"/>
    <n v="-1.0118565351092637E-2"/>
    <n v="1.0408921933085501E-2"/>
    <n v="1.646090534979424E-2"/>
    <n v="-6.0519834167087391E-3"/>
    <n v="5.8612109482996999E-2"/>
    <n v="-0.33673469387755106"/>
    <n v="0.10699588477366251"/>
    <n v="-0.30000000000000004"/>
  </r>
  <r>
    <s v="NACL Industries Limited"/>
    <n v="524709"/>
    <x v="8"/>
    <s v="Pesticides &amp; Agrochemicals"/>
    <n v="143.94999999999999"/>
    <n v="3396.7563129"/>
    <n v="8.4283636582034284E-5"/>
    <n v="1223"/>
    <n v="1033"/>
    <n v="5"/>
    <n v="-42"/>
    <n v="318"/>
    <n v="267"/>
    <n v="-10"/>
    <n v="-36"/>
    <n v="4.0883074407195418E-3"/>
    <n v="-4.0658276863504358E-2"/>
    <n v="4.4746584304223902E-2"/>
    <n v="-3.1446540880503145E-2"/>
    <n v="-0.1348314606741573"/>
    <n v="0.10338491979365416"/>
    <n v="0.18393030009680533"/>
    <n v="-1.1190476190476191"/>
    <n v="0.1910112359550562"/>
    <n v="-0.72222222222222221"/>
  </r>
  <r>
    <s v="NALWA SONS INVESTMENTS LTD."/>
    <n v="532256"/>
    <x v="2"/>
    <s v="Investment Company"/>
    <n v="5270"/>
    <n v="2716.0436410000002"/>
    <n v="6.739312864735626E-5"/>
    <n v="59"/>
    <n v="80"/>
    <n v="42"/>
    <n v="59"/>
    <n v="8"/>
    <n v="8"/>
    <n v="5"/>
    <n v="5"/>
    <n v="0.71186440677966101"/>
    <n v="0.73750000000000004"/>
    <n v="-2.5635593220339037E-2"/>
    <n v="0.625"/>
    <n v="0.625"/>
    <n v="0"/>
    <n v="-0.26249999999999996"/>
    <n v="-0.28813559322033899"/>
    <n v="0"/>
    <n v="0"/>
  </r>
  <r>
    <s v="RPG LIFE SCIENCES LTD."/>
    <n v="532983"/>
    <x v="7"/>
    <s v="Pharmaceuticals"/>
    <n v="1915.6"/>
    <n v="3169.2050153999999"/>
    <n v="7.8637411449714942E-5"/>
    <n v="530"/>
    <n v="510"/>
    <n v="85"/>
    <n v="65"/>
    <n v="180"/>
    <n v="172"/>
    <n v="22"/>
    <n v="34"/>
    <n v="0.16037735849056603"/>
    <n v="0.12745098039215685"/>
    <n v="3.2926378098409176E-2"/>
    <n v="0.12222222222222222"/>
    <n v="0.19767441860465115"/>
    <n v="-7.5452196382428935E-2"/>
    <n v="3.9215686274509887E-2"/>
    <n v="0.30769230769230771"/>
    <n v="4.6511627906976827E-2"/>
    <n v="-0.3529411764705882"/>
  </r>
  <r>
    <s v="KDDL LTD."/>
    <n v="532054"/>
    <x v="6"/>
    <s v="Gems, Jewellery And Watches"/>
    <n v="2210.3000000000002"/>
    <n v="2715.4328906000001"/>
    <n v="6.7377974111671604E-5"/>
    <n v="1578"/>
    <n v="1228"/>
    <n v="100"/>
    <n v="110"/>
    <n v="596"/>
    <n v="472"/>
    <n v="38"/>
    <n v="47"/>
    <n v="6.3371356147021551E-2"/>
    <n v="8.9576547231270356E-2"/>
    <n v="-2.6205191084248805E-2"/>
    <n v="6.3758389261744972E-2"/>
    <n v="9.9576271186440676E-2"/>
    <n v="-3.5817881924695705E-2"/>
    <n v="0.28501628664495104"/>
    <n v="-9.0909090909090939E-2"/>
    <n v="0.26271186440677963"/>
    <n v="-0.19148936170212771"/>
  </r>
  <r>
    <s v="ZAGGLE PREPAID OCEAN SERVICES"/>
    <n v="543985"/>
    <x v="3"/>
    <s v="IT Enabled Services"/>
    <n v="225.35"/>
    <n v="3034.5916624000001"/>
    <n v="7.5297253405332112E-5"/>
    <n v="1289"/>
    <n v="891"/>
    <n v="98"/>
    <n v="56"/>
    <n v="525"/>
    <n v="336"/>
    <n v="37"/>
    <n v="19"/>
    <n v="7.6027928626842517E-2"/>
    <n v="6.2850729517396189E-2"/>
    <n v="1.3177199109446328E-2"/>
    <n v="7.047619047619047E-2"/>
    <n v="5.6547619047619048E-2"/>
    <n v="1.3928571428571422E-2"/>
    <n v="0.44668911335577999"/>
    <n v="0.75"/>
    <n v="0.5625"/>
    <n v="0.94736842105263164"/>
  </r>
  <r>
    <s v="Aeroflex Industries Limited"/>
    <n v="543972"/>
    <x v="4"/>
    <s v="Iron &amp; Steel Products"/>
    <n v="252.55"/>
    <n v="3341.350175"/>
    <n v="8.2908845351517438E-5"/>
    <n v="316"/>
    <n v="286"/>
    <n v="37"/>
    <n v="41"/>
    <n v="121"/>
    <n v="100"/>
    <n v="16"/>
    <n v="15"/>
    <n v="0.11708860759493671"/>
    <n v="0.14335664335664336"/>
    <n v="-2.6268035761706651E-2"/>
    <n v="0.13223140495867769"/>
    <n v="0.15"/>
    <n v="-1.7768595041322305E-2"/>
    <n v="0.10489510489510478"/>
    <n v="-9.7560975609756073E-2"/>
    <n v="0.20999999999999996"/>
    <n v="6.6666666666666652E-2"/>
  </r>
  <r>
    <s v="KIRLOSKAR INDUSTRIES LTD"/>
    <n v="500243"/>
    <x v="4"/>
    <s v="Other Industrial Products"/>
    <n v="2866"/>
    <n v="2995.2756463000001"/>
    <n v="7.4321705998460087E-5"/>
    <n v="5111"/>
    <n v="4860"/>
    <n v="110"/>
    <n v="94"/>
    <n v="1624"/>
    <n v="1614"/>
    <n v="26"/>
    <n v="26"/>
    <n v="2.1522207004500096E-2"/>
    <n v="1.934156378600823E-2"/>
    <n v="2.1806432184918664E-3"/>
    <n v="1.600985221674877E-2"/>
    <n v="1.6109045848822799E-2"/>
    <n v="-9.9193632074029425E-5"/>
    <n v="5.1646090534979372E-2"/>
    <n v="0.17021276595744683"/>
    <n v="6.1957868649318293E-3"/>
    <n v="0"/>
  </r>
  <r>
    <s v="TVS SRICHAKRA LTD."/>
    <n v="509243"/>
    <x v="6"/>
    <s v="Tyres &amp; Rubber Products"/>
    <n v="3460.3"/>
    <n v="2673.0758059"/>
    <n v="6.6326968739289932E-5"/>
    <n v="2665"/>
    <n v="2435"/>
    <n v="35"/>
    <n v="11"/>
    <n v="916"/>
    <n v="803"/>
    <n v="11"/>
    <n v="-6"/>
    <n v="1.3133208255159476E-2"/>
    <n v="4.517453798767967E-3"/>
    <n v="8.6157544563915077E-3"/>
    <n v="1.2008733624454149E-2"/>
    <n v="-7.4719800747198011E-3"/>
    <n v="1.9480713699173952E-2"/>
    <n v="9.4455852156057452E-2"/>
    <n v="2.1818181818181817"/>
    <n v="0.14072229140722281"/>
    <n v="-2.833333333333333"/>
  </r>
  <r>
    <s v="FUSION FINANCE LIMITED"/>
    <n v="543652"/>
    <x v="2"/>
    <s v="Microfinance Institutions"/>
    <n v="153.94999999999999"/>
    <n v="2479.7027773"/>
    <n v="6.1528808210260081E-5"/>
    <n v="1275"/>
    <n v="1870"/>
    <n v="-100"/>
    <n v="-1060"/>
    <n v="416"/>
    <n v="480"/>
    <n v="14"/>
    <n v="-719"/>
    <n v="-7.8431372549019607E-2"/>
    <n v="-0.5668449197860963"/>
    <n v="0.4884135472370767"/>
    <n v="3.3653846153846152E-2"/>
    <n v="-1.4979166666666666"/>
    <n v="1.5315705128205128"/>
    <n v="-0.31818181818181823"/>
    <n v="-0.90566037735849059"/>
    <n v="-0.1333333333333333"/>
    <n v="-1.0194714881780251"/>
  </r>
  <r>
    <s v="REFEX INDUSTRIES LTD."/>
    <n v="532884"/>
    <x v="8"/>
    <s v="Industrial Gases"/>
    <n v="210.9"/>
    <n v="2892.0260604"/>
    <n v="7.175977638867552E-5"/>
    <n v="1342"/>
    <n v="1664"/>
    <n v="136"/>
    <n v="125"/>
    <n v="576"/>
    <n v="686"/>
    <n v="61"/>
    <n v="58"/>
    <n v="0.10134128166915052"/>
    <n v="7.5120192307692304E-2"/>
    <n v="2.6221089361458214E-2"/>
    <n v="0.10590277777777778"/>
    <n v="8.4548104956268216E-2"/>
    <n v="2.135467282150956E-2"/>
    <n v="-0.19350961538461542"/>
    <n v="8.8000000000000078E-2"/>
    <n v="-0.16034985422740522"/>
    <n v="5.1724137931034475E-2"/>
  </r>
  <r>
    <s v="SRI ADHIKARI BROTHERS TELEVISI"/>
    <n v="530943"/>
    <x v="6"/>
    <s v="TV Broadcasting &amp; Software Production"/>
    <n v="43.32"/>
    <n v="1103.4744218999999"/>
    <n v="2.7380485553167801E-5"/>
    <n v="9"/>
    <n v="4"/>
    <n v="13"/>
    <n v="-22"/>
    <n v="4"/>
    <n v="2"/>
    <n v="1"/>
    <n v="-22"/>
    <n v="1.4444444444444444"/>
    <n v="-5.5"/>
    <n v="6.9444444444444446"/>
    <n v="0.25"/>
    <n v="-11"/>
    <n v="11.25"/>
    <n v="1.25"/>
    <n v="-1.5909090909090908"/>
    <n v="1"/>
    <n v="-1.0454545454545454"/>
  </r>
  <r>
    <s v="HERITAGE FOODS LIMITED"/>
    <n v="519552"/>
    <x v="5"/>
    <s v="Dairy Products"/>
    <n v="311.45"/>
    <n v="2885.955289"/>
    <n v="7.1609142476991304E-5"/>
    <n v="3368"/>
    <n v="3086"/>
    <n v="125"/>
    <n v="150"/>
    <n v="1119"/>
    <n v="1033"/>
    <n v="34"/>
    <n v="43"/>
    <n v="3.7114014251781471E-2"/>
    <n v="4.8606610499027869E-2"/>
    <n v="-1.1492596247246398E-2"/>
    <n v="3.038427167113494E-2"/>
    <n v="4.1626331074540175E-2"/>
    <n v="-1.1242059403405235E-2"/>
    <n v="9.1380427738172454E-2"/>
    <n v="-0.16666666666666663"/>
    <n v="8.3252662149080336E-2"/>
    <n v="-0.20930232558139539"/>
  </r>
  <r>
    <s v="CARRARO INDIA LIMITED"/>
    <n v="544320"/>
    <x v="6"/>
    <s v="Auto Components &amp; Equipments"/>
    <n v="460.75"/>
    <n v="2606.0741005"/>
    <n v="6.4664456958016798E-5"/>
    <n v="1648"/>
    <n v="1363"/>
    <n v="88"/>
    <n v="64"/>
    <n v="569"/>
    <n v="448"/>
    <n v="28"/>
    <n v="14"/>
    <n v="5.3398058252427182E-2"/>
    <n v="4.6955245781364639E-2"/>
    <n v="6.4428124710625423E-3"/>
    <n v="4.9209138840070298E-2"/>
    <n v="3.125E-2"/>
    <n v="1.7959138840070298E-2"/>
    <n v="0.20909757887013947"/>
    <n v="0.375"/>
    <n v="0.27008928571428581"/>
    <n v="1"/>
  </r>
  <r>
    <s v="HUBTOWN LTD."/>
    <n v="532799"/>
    <x v="6"/>
    <s v="Residential, Commercial Projects"/>
    <n v="190.8"/>
    <n v="2716.2528821999999"/>
    <n v="6.7398320544458741E-5"/>
    <n v="483"/>
    <n v="311"/>
    <n v="138"/>
    <n v="51"/>
    <n v="87"/>
    <n v="92"/>
    <n v="24"/>
    <n v="15"/>
    <n v="0.2857142857142857"/>
    <n v="0.16398713826366559"/>
    <n v="0.1217271474506201"/>
    <n v="0.27586206896551724"/>
    <n v="0.16304347826086957"/>
    <n v="0.11281859070464767"/>
    <n v="0.55305466237942125"/>
    <n v="1.7058823529411766"/>
    <n v="-5.4347826086956541E-2"/>
    <n v="0.60000000000000009"/>
  </r>
  <r>
    <s v="Quess Corp Limited"/>
    <n v="539978"/>
    <x v="10"/>
    <s v="Diversified Commercial Services"/>
    <n v="179.1"/>
    <n v="2656.4041265000001"/>
    <n v="6.5913294740238134E-5"/>
    <n v="11412"/>
    <n v="11310"/>
    <n v="157"/>
    <n v="141"/>
    <n v="3929"/>
    <n v="4019"/>
    <n v="55"/>
    <n v="41"/>
    <n v="1.3757448300035051E-2"/>
    <n v="1.246684350132626E-2"/>
    <n v="1.2906047987087908E-3"/>
    <n v="1.3998472893866123E-2"/>
    <n v="1.0201542672306545E-2"/>
    <n v="3.7969302215595784E-3"/>
    <n v="9.0185676392573466E-3"/>
    <n v="0.11347517730496448"/>
    <n v="-2.2393630256282604E-2"/>
    <n v="0.34146341463414642"/>
  </r>
  <r>
    <s v="Sambhv Steel Tubes Ltd"/>
    <n v="544430"/>
    <x v="12"/>
    <s v="Industrials"/>
    <n v="105"/>
    <n v="3099.9430379999999"/>
    <n v="7.6918815591082163E-5"/>
    <n v="1727"/>
    <n v="1016"/>
    <n v="88"/>
    <n v="40"/>
    <n v="589"/>
    <n v="369"/>
    <n v="24"/>
    <n v="10"/>
    <n v="5.0955414012738856E-2"/>
    <n v="3.937007874015748E-2"/>
    <n v="1.1585335272581376E-2"/>
    <n v="4.074702886247878E-2"/>
    <n v="2.7100271002710029E-2"/>
    <n v="1.3646757859768752E-2"/>
    <n v="0.6998031496062993"/>
    <n v="1.2000000000000002"/>
    <n v="0.59620596205962051"/>
    <n v="1.4"/>
  </r>
  <r>
    <s v="Gateway Distriparks Limited"/>
    <n v="543489"/>
    <x v="10"/>
    <s v="Logistics Solution Provider"/>
    <n v="54.32"/>
    <n v="2714.0651063"/>
    <n v="6.7344035311167711E-5"/>
    <n v="1678"/>
    <n v="1145"/>
    <n v="195"/>
    <n v="564"/>
    <n v="560"/>
    <n v="402"/>
    <n v="67"/>
    <n v="455"/>
    <n v="0.11620977353992849"/>
    <n v="0.49257641921397383"/>
    <n v="-0.37636664567404532"/>
    <n v="0.11964285714285715"/>
    <n v="1.1318407960199004"/>
    <n v="-1.0121979388770432"/>
    <n v="0.46550218340611349"/>
    <n v="-0.6542553191489362"/>
    <n v="0.39303482587064686"/>
    <n v="-0.85274725274725272"/>
  </r>
  <r>
    <s v="TIMEX GROUP INDIA LTD."/>
    <n v="500414"/>
    <x v="6"/>
    <s v="Gems, Jewellery And Watches"/>
    <n v="263.7"/>
    <n v="2662.0516232"/>
    <n v="6.6053425946487268E-5"/>
    <n v="563"/>
    <n v="402"/>
    <n v="48"/>
    <n v="22"/>
    <n v="150"/>
    <n v="119"/>
    <n v="3"/>
    <n v="1"/>
    <n v="8.5257548845470696E-2"/>
    <n v="5.4726368159203981E-2"/>
    <n v="3.0531180686266715E-2"/>
    <n v="0.02"/>
    <n v="8.4033613445378148E-3"/>
    <n v="1.1596638655462186E-2"/>
    <n v="0.40049751243781095"/>
    <n v="1.1818181818181817"/>
    <n v="0.26050420168067223"/>
    <n v="2"/>
  </r>
  <r>
    <s v="PREMIER EXPLOSIVES LTD."/>
    <n v="526247"/>
    <x v="8"/>
    <s v="Explosives"/>
    <n v="429.05"/>
    <n v="2292.3535001999999"/>
    <n v="5.6880114889212853E-5"/>
    <n v="299"/>
    <n v="343"/>
    <n v="39"/>
    <n v="24"/>
    <n v="81"/>
    <n v="165"/>
    <n v="6"/>
    <n v="9"/>
    <n v="0.13043478260869565"/>
    <n v="6.9970845481049565E-2"/>
    <n v="6.0463937127646084E-2"/>
    <n v="7.407407407407407E-2"/>
    <n v="5.4545454545454543E-2"/>
    <n v="1.9528619528619527E-2"/>
    <n v="-0.1282798833819242"/>
    <n v="0.625"/>
    <n v="-0.50909090909090904"/>
    <n v="-0.33333333333333337"/>
  </r>
  <r>
    <s v="MARATHON NEXTGEN REALTY LTD."/>
    <n v="503101"/>
    <x v="6"/>
    <s v="Residential, Commercial Projects"/>
    <n v="415.9"/>
    <n v="2804.6944640000002"/>
    <n v="6.9592819487718943E-5"/>
    <n v="382"/>
    <n v="431"/>
    <n v="144"/>
    <n v="114"/>
    <n v="124"/>
    <n v="123"/>
    <n v="27"/>
    <n v="42"/>
    <n v="0.37696335078534032"/>
    <n v="0.26450116009280744"/>
    <n v="0.11246219069253288"/>
    <n v="0.21774193548387097"/>
    <n v="0.34146341463414637"/>
    <n v="-0.1237214791502754"/>
    <n v="-0.11368909512761016"/>
    <n v="0.26315789473684204"/>
    <n v="8.1300813008129413E-3"/>
    <n v="-0.3571428571428571"/>
  </r>
  <r>
    <s v="PSP Projects Limited"/>
    <n v="540544"/>
    <x v="4"/>
    <s v="Civil Construction"/>
    <n v="635.4"/>
    <n v="2522.2088887"/>
    <n v="6.2583511378735087E-5"/>
    <n v="2033"/>
    <n v="1839"/>
    <n v="34"/>
    <n v="49"/>
    <n v="812"/>
    <n v="630"/>
    <n v="17"/>
    <n v="5"/>
    <n v="1.6724053123462864E-2"/>
    <n v="2.6644915715062535E-2"/>
    <n v="-9.9208625915996711E-3"/>
    <n v="2.0935960591133004E-2"/>
    <n v="7.9365079365079361E-3"/>
    <n v="1.2999452654625068E-2"/>
    <n v="0.10549211528004343"/>
    <n v="-0.30612244897959184"/>
    <n v="0.28888888888888897"/>
    <n v="2.4"/>
  </r>
  <r>
    <s v="GUFIC BIOSCIENCES LTD."/>
    <n v="509079"/>
    <x v="7"/>
    <s v="PHArmaceuticals"/>
    <n v="291.45"/>
    <n v="2920.2265223999998"/>
    <n v="7.2459513806289743E-5"/>
    <n v="692"/>
    <n v="614"/>
    <n v="42"/>
    <n v="61"/>
    <n v="231"/>
    <n v="207"/>
    <n v="12"/>
    <n v="19"/>
    <n v="6.0693641618497107E-2"/>
    <n v="9.93485342019544E-2"/>
    <n v="-3.8654892583457293E-2"/>
    <n v="5.1948051948051951E-2"/>
    <n v="9.1787439613526575E-2"/>
    <n v="-3.9839387665474624E-2"/>
    <n v="0.12703583061889256"/>
    <n v="-0.31147540983606559"/>
    <n v="0.11594202898550732"/>
    <n v="-0.36842105263157898"/>
  </r>
  <r>
    <s v="63 Moons Technologies Limited"/>
    <n v="526881"/>
    <x v="3"/>
    <s v="Computers - Software &amp; Consulting"/>
    <n v="505.3"/>
    <n v="2320.2848254"/>
    <n v="5.7573174221573839E-5"/>
    <n v="77"/>
    <n v="33"/>
    <n v="-44"/>
    <n v="-53"/>
    <n v="26"/>
    <n v="11"/>
    <n v="-19"/>
    <n v="-16"/>
    <n v="-0.5714285714285714"/>
    <n v="-1.606060606060606"/>
    <n v="1.0346320346320346"/>
    <n v="-0.73076923076923073"/>
    <n v="-1.4545454545454546"/>
    <n v="0.72377622377622386"/>
    <n v="1.3333333333333335"/>
    <n v="-0.16981132075471694"/>
    <n v="1.3636363636363638"/>
    <n v="0.1875"/>
  </r>
  <r>
    <s v="POKARNA LTD."/>
    <n v="532486"/>
    <x v="6"/>
    <s v="Granites &amp; Marbles"/>
    <n v="897"/>
    <n v="2771.9116881"/>
    <n v="6.8779381220271686E-5"/>
    <n v="424"/>
    <n v="667"/>
    <n v="54"/>
    <n v="128"/>
    <n v="134"/>
    <n v="223"/>
    <n v="20"/>
    <n v="50"/>
    <n v="0.12735849056603774"/>
    <n v="0.19190404797601199"/>
    <n v="-6.4545557409974252E-2"/>
    <n v="0.14925373134328357"/>
    <n v="0.22421524663677131"/>
    <n v="-7.496151529348774E-2"/>
    <n v="-0.3643178410794603"/>
    <n v="-0.578125"/>
    <n v="-0.39910313901345296"/>
    <n v="-0.6"/>
  </r>
  <r>
    <s v="DREDGING CORPORATION OF INDIA"/>
    <n v="523618"/>
    <x v="10"/>
    <s v="Dredging"/>
    <n v="852.05"/>
    <n v="2380.1399658"/>
    <n v="5.9058358449209296E-5"/>
    <n v="730"/>
    <n v="679"/>
    <n v="-82"/>
    <n v="-48"/>
    <n v="276"/>
    <n v="324"/>
    <n v="-24"/>
    <n v="16"/>
    <n v="-0.11232876712328767"/>
    <n v="-7.0692194403534608E-2"/>
    <n v="-4.1636572719753059E-2"/>
    <n v="-8.6956521739130432E-2"/>
    <n v="4.9382716049382713E-2"/>
    <n v="-0.13633923778851315"/>
    <n v="7.5110456553755478E-2"/>
    <n v="0.70833333333333326"/>
    <n v="-0.14814814814814814"/>
    <n v="-2.5"/>
  </r>
  <r>
    <s v="Share India Securities Limited"/>
    <n v="540725"/>
    <x v="2"/>
    <s v="Stockbroking &amp; Allied"/>
    <n v="130.5"/>
    <n v="2860.7056680000001"/>
    <n v="7.0982624209514758E-5"/>
    <n v="1067"/>
    <n v="1226"/>
    <n v="266"/>
    <n v="309"/>
    <n v="377"/>
    <n v="349"/>
    <n v="88"/>
    <n v="82"/>
    <n v="0.24929709465791941"/>
    <n v="0.25203915171288743"/>
    <n v="-2.7420570549680223E-3"/>
    <n v="0.23342175066312998"/>
    <n v="0.23495702005730659"/>
    <n v="-1.5352693941766138E-3"/>
    <n v="-0.12969004893964109"/>
    <n v="-0.13915857605177995"/>
    <n v="8.022922636103158E-2"/>
    <n v="7.3170731707317138E-2"/>
  </r>
  <r>
    <s v="DDEV PLASTIKS INDUSTRIES LIMIT"/>
    <n v="543547"/>
    <x v="8"/>
    <s v="Specialty Chemicals"/>
    <n v="218.5"/>
    <n v="2254.0307966999999"/>
    <n v="5.5929214525130678E-5"/>
    <n v="2182"/>
    <n v="1866"/>
    <n v="147"/>
    <n v="133"/>
    <n v="732"/>
    <n v="660"/>
    <n v="48"/>
    <n v="46"/>
    <n v="6.7369385884509622E-2"/>
    <n v="7.1275455519828515E-2"/>
    <n v="-3.9060696353188928E-3"/>
    <n v="6.5573770491803282E-2"/>
    <n v="6.9696969696969702E-2"/>
    <n v="-4.1231992051664196E-3"/>
    <n v="0.16934619506966775"/>
    <n v="0.10526315789473695"/>
    <n v="0.10909090909090913"/>
    <n v="4.3478260869565188E-2"/>
  </r>
  <r>
    <s v="Tatva Chintan Pharma Chem Limi"/>
    <n v="543321"/>
    <x v="8"/>
    <s v="Specialty Chemicals"/>
    <n v="1124.0999999999999"/>
    <n v="2626.6933515999999"/>
    <n v="6.5176081963233144E-5"/>
    <n v="371"/>
    <n v="274"/>
    <n v="31"/>
    <n v="4"/>
    <n v="131"/>
    <n v="85"/>
    <n v="15"/>
    <n v="0.38"/>
    <n v="8.3557951482479784E-2"/>
    <n v="1.4598540145985401E-2"/>
    <n v="6.8959411336494386E-2"/>
    <n v="0.11450381679389313"/>
    <n v="4.4705882352941177E-3"/>
    <n v="0.11003322855859901"/>
    <n v="0.35401459854014594"/>
    <n v="6.75"/>
    <n v="0.54117647058823537"/>
    <n v="38.473684210526315"/>
  </r>
  <r>
    <s v="GRAUER &amp; WEIL (INDIA) LTD."/>
    <n v="505710"/>
    <x v="8"/>
    <s v="Commodity Chemicals"/>
    <n v="64.91"/>
    <n v="2943.0935634000002"/>
    <n v="7.3026913170804369E-5"/>
    <n v="835"/>
    <n v="793"/>
    <n v="112"/>
    <n v="130"/>
    <n v="290"/>
    <n v="274"/>
    <n v="32"/>
    <n v="43"/>
    <n v="0.1341317365269461"/>
    <n v="0.16393442622950818"/>
    <n v="-2.9802689702562085E-2"/>
    <n v="0.1103448275862069"/>
    <n v="0.15693430656934307"/>
    <n v="-4.6589478983136173E-2"/>
    <n v="5.296343001261028E-2"/>
    <n v="-0.13846153846153841"/>
    <n v="5.8394160583941535E-2"/>
    <n v="-0.2558139534883721"/>
  </r>
  <r>
    <s v="Camlin Fine Sciences Ltd"/>
    <n v="532834"/>
    <x v="8"/>
    <s v="Specialty Chemicals"/>
    <n v="102.01"/>
    <n v="1962.4068342999999"/>
    <n v="4.8693155826368779E-5"/>
    <n v="1340"/>
    <n v="1229"/>
    <n v="-62"/>
    <n v="-158"/>
    <n v="457"/>
    <n v="431"/>
    <n v="-37"/>
    <n v="-7"/>
    <n v="-4.6268656716417909E-2"/>
    <n v="-0.12855980471928397"/>
    <n v="8.2291148002866049E-2"/>
    <n v="-8.0962800875273522E-2"/>
    <n v="-1.6241299303944315E-2"/>
    <n v="-6.4721501571329207E-2"/>
    <n v="9.0317331163547676E-2"/>
    <n v="-0.60759493670886078"/>
    <n v="6.0324825986078912E-2"/>
    <n v="4.2857142857142856"/>
  </r>
  <r>
    <s v="Muthoot Microfin Limited"/>
    <n v="544055"/>
    <x v="2"/>
    <s v="Microfinance Institutions"/>
    <n v="154.85"/>
    <n v="2595.7140401000001"/>
    <n v="6.4407393016630899E-5"/>
    <n v="1737"/>
    <n v="2006"/>
    <n v="99"/>
    <n v="178"/>
    <n v="605"/>
    <n v="681"/>
    <n v="62"/>
    <n v="3"/>
    <n v="5.6994818652849742E-2"/>
    <n v="8.8733798604187439E-2"/>
    <n v="-3.1738979951337697E-2"/>
    <n v="0.10247933884297521"/>
    <n v="4.4052863436123352E-3"/>
    <n v="9.8074052499362865E-2"/>
    <n v="-0.13409770687936196"/>
    <n v="-0.4438202247191011"/>
    <n v="-0.11160058737151246"/>
    <n v="19.666666666666668"/>
  </r>
  <r>
    <s v="Jubilant Agri and Consumer Pro"/>
    <n v="544355"/>
    <x v="8"/>
    <s v="Specialty Chemicals"/>
    <n v="1709.9"/>
    <n v="2613.4043577000002"/>
    <n v="6.4846342462005215E-5"/>
    <n v="1405"/>
    <n v="1162"/>
    <n v="107"/>
    <n v="72"/>
    <n v="449"/>
    <n v="396"/>
    <n v="21"/>
    <n v="21"/>
    <n v="7.6156583629893235E-2"/>
    <n v="6.1962134251290879E-2"/>
    <n v="1.4194449378602356E-2"/>
    <n v="4.6770601336302897E-2"/>
    <n v="5.3030303030303032E-2"/>
    <n v="-6.2597016940001346E-3"/>
    <n v="0.20912220309810681"/>
    <n v="0.48611111111111116"/>
    <n v="0.13383838383838387"/>
    <n v="0"/>
  </r>
  <r>
    <s v="BHARAT BIJLEE LTD."/>
    <n v="503960"/>
    <x v="4"/>
    <s v="Other Electrical Equipment"/>
    <n v="2260"/>
    <n v="2555.1834174999999"/>
    <n v="6.340170760649751E-5"/>
    <n v="1507"/>
    <n v="1283"/>
    <n v="81"/>
    <n v="83"/>
    <n v="568"/>
    <n v="514"/>
    <n v="25"/>
    <n v="41"/>
    <n v="5.3749170537491703E-2"/>
    <n v="6.4692127825409201E-2"/>
    <n v="-1.0942957287917499E-2"/>
    <n v="4.401408450704225E-2"/>
    <n v="7.9766536964980539E-2"/>
    <n v="-3.5752452457938289E-2"/>
    <n v="0.17459080280592354"/>
    <n v="-2.4096385542168641E-2"/>
    <n v="0.10505836575875493"/>
    <n v="-0.3902439024390244"/>
  </r>
  <r>
    <s v="Borosil Limited"/>
    <n v="543212"/>
    <x v="6"/>
    <s v="Houseware"/>
    <n v="242.05"/>
    <n v="2898.7897297999998"/>
    <n v="7.1927603162561432E-5"/>
    <n v="911"/>
    <n v="837"/>
    <n v="64"/>
    <n v="63"/>
    <n v="338"/>
    <n v="338"/>
    <n v="23"/>
    <n v="35"/>
    <n v="7.025246981339188E-2"/>
    <n v="7.5268817204301078E-2"/>
    <n v="-5.0163473909091982E-3"/>
    <n v="6.8047337278106509E-2"/>
    <n v="0.10355029585798817"/>
    <n v="-3.5502958579881658E-2"/>
    <n v="8.8410991636798109E-2"/>
    <n v="1.5873015873015817E-2"/>
    <n v="0"/>
    <n v="-0.34285714285714286"/>
  </r>
  <r>
    <s v="Rossell Techsys Limited"/>
    <n v="544294"/>
    <x v="4"/>
    <s v="Aerospace &amp; Defense"/>
    <n v="752.15"/>
    <n v="2832.7012841000001"/>
    <n v="7.0287752073304254E-5"/>
    <n v="343"/>
    <n v="171"/>
    <n v="14"/>
    <n v="1"/>
    <n v="129"/>
    <n v="75"/>
    <n v="5"/>
    <n v="5"/>
    <n v="4.0816326530612242E-2"/>
    <n v="5.8479532163742687E-3"/>
    <n v="3.4968373314237973E-2"/>
    <n v="3.875968992248062E-2"/>
    <n v="6.6666666666666666E-2"/>
    <n v="-2.7906976744186046E-2"/>
    <n v="1.0058479532163744"/>
    <n v="13"/>
    <n v="0.72"/>
    <n v="0"/>
  </r>
  <r>
    <s v="ROSSARI BIOTECH LIMITED"/>
    <n v="543213"/>
    <x v="8"/>
    <s v="Specialty Chemicals"/>
    <n v="442.4"/>
    <n v="2459.0211840000002"/>
    <n v="6.1015636309463227E-5"/>
    <n v="1711"/>
    <n v="1500"/>
    <n v="103"/>
    <n v="101"/>
    <n v="581"/>
    <n v="512"/>
    <n v="32"/>
    <n v="31"/>
    <n v="6.0198714202220921E-2"/>
    <n v="6.7333333333333328E-2"/>
    <n v="-7.1346191311124074E-3"/>
    <n v="5.5077452667814115E-2"/>
    <n v="6.0546875E-2"/>
    <n v="-5.4694223321858845E-3"/>
    <n v="0.14066666666666672"/>
    <n v="1.980198019801982E-2"/>
    <n v="0.134765625"/>
    <n v="3.2258064516129004E-2"/>
  </r>
  <r>
    <s v="Prince Pipes and Fittings Limi"/>
    <n v="542907"/>
    <x v="4"/>
    <s v="Plastic Products - Industrial"/>
    <n v="230.4"/>
    <n v="2575.0762914000002"/>
    <n v="6.3895309030889485E-5"/>
    <n v="1748"/>
    <n v="1804"/>
    <n v="17"/>
    <n v="18"/>
    <n v="573"/>
    <n v="577"/>
    <n v="-2"/>
    <n v="-20"/>
    <n v="9.7254004576659038E-3"/>
    <n v="9.9778270509977823E-3"/>
    <n v="-2.5242659333187846E-4"/>
    <n v="-3.4904013961605585E-3"/>
    <n v="-3.4662045060658578E-2"/>
    <n v="3.1171643664498018E-2"/>
    <n v="-3.104212860310418E-2"/>
    <n v="-5.555555555555558E-2"/>
    <n v="-6.9324090121317683E-3"/>
    <n v="-0.9"/>
  </r>
  <r>
    <s v="West Coast Paper Mills Limited"/>
    <n v="500444"/>
    <x v="8"/>
    <s v="Paper &amp; Paper Products"/>
    <n v="441.4"/>
    <n v="2915.7292124999999"/>
    <n v="7.2347922158761533E-5"/>
    <n v="3047"/>
    <n v="3021"/>
    <n v="101"/>
    <n v="289"/>
    <n v="1049"/>
    <n v="1015"/>
    <n v="29"/>
    <n v="67"/>
    <n v="3.314735805710535E-2"/>
    <n v="9.5663687520688517E-2"/>
    <n v="-6.2516329463583167E-2"/>
    <n v="2.7645376549094377E-2"/>
    <n v="6.6009852216748766E-2"/>
    <n v="-3.8364475667654385E-2"/>
    <n v="8.6064217146639699E-3"/>
    <n v="-0.65051903114186849"/>
    <n v="3.3497536945812811E-2"/>
    <n v="-0.56716417910447769"/>
  </r>
  <r>
    <s v="ENVIRO INFRA ENGINEERS LIMITED"/>
    <n v="544290"/>
    <x v="9"/>
    <s v="Water Supply &amp; Management"/>
    <n v="167.5"/>
    <n v="2939.6015499999999"/>
    <n v="7.294026592230218E-5"/>
    <n v="718"/>
    <n v="665"/>
    <n v="134"/>
    <n v="103"/>
    <n v="250"/>
    <n v="247"/>
    <n v="42"/>
    <n v="36"/>
    <n v="0.18662952646239556"/>
    <n v="0.1548872180451128"/>
    <n v="3.1742308417282761E-2"/>
    <n v="0.16800000000000001"/>
    <n v="0.145748987854251"/>
    <n v="2.2251012145749011E-2"/>
    <n v="7.9699248120300714E-2"/>
    <n v="0.30097087378640786"/>
    <n v="1.2145748987854255E-2"/>
    <n v="0.16666666666666674"/>
  </r>
  <r>
    <s v="Medi Assist Healthcare Service"/>
    <n v="544088"/>
    <x v="2"/>
    <s v="Insurance Distributors"/>
    <n v="328"/>
    <n v="2451.6655866999999"/>
    <n v="6.0833122042153983E-5"/>
    <n v="662"/>
    <n v="534"/>
    <n v="34"/>
    <n v="69"/>
    <n v="239"/>
    <n v="185"/>
    <n v="4"/>
    <n v="29"/>
    <n v="5.1359516616314202E-2"/>
    <n v="0.12921348314606743"/>
    <n v="-7.7853966529753224E-2"/>
    <n v="1.6736401673640166E-2"/>
    <n v="0.15675675675675677"/>
    <n v="-0.14002035508311661"/>
    <n v="0.23970037453183513"/>
    <n v="-0.50724637681159424"/>
    <n v="0.2918918918918918"/>
    <n v="-0.86206896551724133"/>
  </r>
  <r>
    <s v="FINEOTEX CHEMICAL LTD."/>
    <n v="533333"/>
    <x v="8"/>
    <s v="Specialty Chemicals"/>
    <n v="22.33"/>
    <n v="2594.5060798999998"/>
    <n v="6.4377419927859206E-5"/>
    <n v="458"/>
    <n v="413"/>
    <n v="81"/>
    <n v="89"/>
    <n v="183"/>
    <n v="125"/>
    <n v="30"/>
    <n v="27"/>
    <n v="0.17685589519650655"/>
    <n v="0.21549636803874092"/>
    <n v="-3.8640472842234375E-2"/>
    <n v="0.16393442622950818"/>
    <n v="0.216"/>
    <n v="-5.2065573770491813E-2"/>
    <n v="0.10895883777239712"/>
    <n v="-8.98876404494382E-2"/>
    <n v="0.46399999999999997"/>
    <n v="0.11111111111111116"/>
  </r>
  <r>
    <s v="Dishman Carbogen Amcis Limited"/>
    <n v="540701"/>
    <x v="7"/>
    <s v="Pharmaceuticals"/>
    <n v="146.85"/>
    <n v="2302.5166161000002"/>
    <n v="5.7132292051231704E-5"/>
    <n v="2080"/>
    <n v="1995"/>
    <n v="76"/>
    <n v="-40"/>
    <n v="720"/>
    <n v="682"/>
    <n v="-13"/>
    <n v="5"/>
    <n v="3.653846153846154E-2"/>
    <n v="-2.0050125313283207E-2"/>
    <n v="5.6588586851744747E-2"/>
    <n v="-1.8055555555555554E-2"/>
    <n v="7.331378299120235E-3"/>
    <n v="-2.5386933854675789E-2"/>
    <n v="4.2606516290726759E-2"/>
    <n v="-2.9"/>
    <n v="5.5718475073313734E-2"/>
    <n v="-3.6"/>
  </r>
  <r>
    <s v="D P ABHUSHAN LIMITED"/>
    <n v="544161"/>
    <x v="6"/>
    <s v="Gems, Jewellery And Watches"/>
    <n v="1013.5"/>
    <n v="2305.8248816999999"/>
    <n v="5.7214379969781609E-5"/>
    <n v="2731"/>
    <n v="2594"/>
    <n v="161"/>
    <n v="87"/>
    <n v="1222"/>
    <n v="1085"/>
    <n v="73"/>
    <n v="37"/>
    <n v="5.895276455510802E-2"/>
    <n v="3.3538936006168078E-2"/>
    <n v="2.5413828548939942E-2"/>
    <n v="5.9738134206219311E-2"/>
    <n v="3.4101382488479264E-2"/>
    <n v="2.5636751717740047E-2"/>
    <n v="5.2814186584425604E-2"/>
    <n v="0.85057471264367823"/>
    <n v="0.12626728110599084"/>
    <n v="0.97297297297297303"/>
  </r>
  <r>
    <s v="GREENPLY INDUSTRIES LTD."/>
    <n v="526797"/>
    <x v="6"/>
    <s v="Plywood Boards/ Laminates"/>
    <n v="191.4"/>
    <n v="2392.6226815"/>
    <n v="5.9368091787930146E-5"/>
    <n v="1962"/>
    <n v="1838"/>
    <n v="58"/>
    <n v="75"/>
    <n v="673"/>
    <n v="614"/>
    <n v="14"/>
    <n v="24"/>
    <n v="2.9561671763506627E-2"/>
    <n v="4.0805223068552776E-2"/>
    <n v="-1.1243551305046149E-2"/>
    <n v="2.0802377414561663E-2"/>
    <n v="3.9087947882736153E-2"/>
    <n v="-1.828557046817449E-2"/>
    <n v="6.7464635473340584E-2"/>
    <n v="-0.22666666666666668"/>
    <n v="9.6091205211726427E-2"/>
    <n v="-0.41666666666666663"/>
  </r>
  <r>
    <s v="KIRI INDUSTRIES LTD."/>
    <n v="532967"/>
    <x v="8"/>
    <s v="Dyes And Pigments"/>
    <n v="381.9"/>
    <n v="2280.8569000000002"/>
    <n v="5.6594850011804433E-5"/>
    <n v="589"/>
    <n v="535"/>
    <n v="4880"/>
    <n v="-44"/>
    <n v="173"/>
    <n v="178"/>
    <n v="5011"/>
    <n v="-13"/>
    <n v="8.2852292020373515"/>
    <n v="-8.2242990654205608E-2"/>
    <n v="8.3674721926915563"/>
    <n v="28.965317919075144"/>
    <n v="-7.3033707865168537E-2"/>
    <n v="29.038351626940312"/>
    <n v="0.10093457943925244"/>
    <n v="-111.90909090909091"/>
    <n v="-2.8089887640449396E-2"/>
    <n v="-386.46153846153845"/>
  </r>
  <r>
    <s v="BHAGIRADHA CHEMICALS &amp; INDUSTR"/>
    <n v="531719"/>
    <x v="8"/>
    <s v="Pesticides &amp; Agrochemicals"/>
    <n v="210"/>
    <n v="2724.9939558000001"/>
    <n v="6.7615212603462595E-5"/>
    <n v="377"/>
    <n v="317"/>
    <n v="14"/>
    <n v="14"/>
    <n v="113"/>
    <n v="102"/>
    <n v="4"/>
    <n v="3"/>
    <n v="3.7135278514588858E-2"/>
    <n v="4.4164037854889593E-2"/>
    <n v="-7.0287593403007345E-3"/>
    <n v="3.5398230088495575E-2"/>
    <n v="2.9411764705882353E-2"/>
    <n v="5.9864653826132222E-3"/>
    <n v="0.18927444794952675"/>
    <n v="0"/>
    <n v="0.10784313725490202"/>
    <n v="0.33333333333333326"/>
  </r>
  <r>
    <s v="POLYPLEX CORPORATION LTD."/>
    <n v="524051"/>
    <x v="4"/>
    <s v="Packaging"/>
    <n v="794.9"/>
    <n v="2499.1528678"/>
    <n v="6.2011422860290755E-5"/>
    <n v="5215"/>
    <n v="5145"/>
    <n v="3"/>
    <n v="366"/>
    <n v="1682"/>
    <n v="1721"/>
    <n v="29"/>
    <n v="105"/>
    <n v="5.7526366251198463E-4"/>
    <n v="7.113702623906705E-2"/>
    <n v="-7.0561762576555068E-2"/>
    <n v="1.7241379310344827E-2"/>
    <n v="6.1011040092969204E-2"/>
    <n v="-4.3769660782624377E-2"/>
    <n v="1.3605442176870763E-2"/>
    <n v="-0.99180327868852458"/>
    <n v="-2.2661243463102831E-2"/>
    <n v="-0.72380952380952379"/>
  </r>
  <r>
    <s v="NRB BEARINGS LTD."/>
    <n v="530367"/>
    <x v="6"/>
    <s v="Auto Components &amp; Equipments"/>
    <n v="241.55"/>
    <n v="2345.2361639999999"/>
    <n v="5.819229121469197E-5"/>
    <n v="963"/>
    <n v="869"/>
    <n v="103"/>
    <n v="83"/>
    <n v="327"/>
    <n v="276"/>
    <n v="29"/>
    <n v="22"/>
    <n v="0.10695742471443406"/>
    <n v="9.5512082853855013E-2"/>
    <n v="1.144534186057905E-2"/>
    <n v="8.8685015290519878E-2"/>
    <n v="7.9710144927536225E-2"/>
    <n v="8.9748703629836529E-3"/>
    <n v="0.10817031070195626"/>
    <n v="0.24096385542168686"/>
    <n v="0.18478260869565211"/>
    <n v="0.31818181818181812"/>
  </r>
  <r>
    <s v="JAIN IRRIGATION SYSTEMS LTD."/>
    <n v="500219"/>
    <x v="4"/>
    <s v="Plastic Products - Industrial"/>
    <n v="29.69"/>
    <n v="2158.3095414999998"/>
    <n v="5.3554085212552735E-5"/>
    <n v="4575"/>
    <n v="4030"/>
    <n v="-20"/>
    <n v="-2"/>
    <n v="1597"/>
    <n v="1360"/>
    <n v="-47"/>
    <n v="-1"/>
    <n v="-4.3715846994535519E-3"/>
    <n v="-4.9627791563275434E-4"/>
    <n v="-3.8753067838207976E-3"/>
    <n v="-2.9430181590482152E-2"/>
    <n v="-7.3529411764705881E-4"/>
    <n v="-2.8694887472835093E-2"/>
    <n v="0.13523573200992556"/>
    <n v="9"/>
    <n v="0.17426470588235299"/>
    <n v="46"/>
  </r>
  <r>
    <s v="RAYMOND LTD."/>
    <n v="500330"/>
    <x v="6"/>
    <s v="Residential, Commercial Projects"/>
    <n v="349.8"/>
    <n v="2326.3577614000001"/>
    <n v="5.7723861843428278E-5"/>
    <n v="1609"/>
    <n v="1389"/>
    <n v="41"/>
    <n v="27"/>
    <n v="557"/>
    <n v="466"/>
    <n v="7"/>
    <n v="3"/>
    <n v="2.54816656308266E-2"/>
    <n v="1.9438444924406047E-2"/>
    <n v="6.0432207064205525E-3"/>
    <n v="1.2567324955116697E-2"/>
    <n v="6.4377682403433476E-3"/>
    <n v="6.1295567147733494E-3"/>
    <n v="0.1583873290136788"/>
    <n v="0.5185185185185186"/>
    <n v="0.19527896995708161"/>
    <n v="1.3333333333333335"/>
  </r>
  <r>
    <s v="KILBURN ENGINEERING LTD."/>
    <n v="522101"/>
    <x v="4"/>
    <s v="Industrial Products"/>
    <n v="479.8"/>
    <n v="2541.1569985000001"/>
    <n v="6.3053670393155588E-5"/>
    <n v="439"/>
    <n v="297"/>
    <n v="71"/>
    <n v="41"/>
    <n v="156"/>
    <n v="108"/>
    <n v="23"/>
    <n v="15"/>
    <n v="0.16173120728929385"/>
    <n v="0.13804713804713806"/>
    <n v="2.3684069242155797E-2"/>
    <n v="0.14743589743589744"/>
    <n v="0.1388888888888889"/>
    <n v="8.5470085470085444E-3"/>
    <n v="0.47811447811447816"/>
    <n v="0.73170731707317072"/>
    <n v="0.44444444444444442"/>
    <n v="0.53333333333333344"/>
  </r>
  <r>
    <s v="Parag Milk Foods Limited"/>
    <n v="539889"/>
    <x v="5"/>
    <s v="Dairy Products"/>
    <n v="192.3"/>
    <n v="2399.9712"/>
    <n v="5.9550430409137141E-5"/>
    <n v="2872"/>
    <n v="2514"/>
    <n v="103"/>
    <n v="93"/>
    <n v="1013"/>
    <n v="885"/>
    <n v="30"/>
    <n v="36"/>
    <n v="3.5863509749303621E-2"/>
    <n v="3.6992840095465392E-2"/>
    <n v="-1.1293303461617707E-3"/>
    <n v="2.9615004935834157E-2"/>
    <n v="4.0677966101694912E-2"/>
    <n v="-1.1062961165860755E-2"/>
    <n v="0.14240254574383449"/>
    <n v="0.10752688172043001"/>
    <n v="0.14463276836158201"/>
    <n v="-0.16666666666666663"/>
  </r>
  <r>
    <s v="Apeejay Surrendra Park Hotels"/>
    <n v="544111"/>
    <x v="6"/>
    <s v="Hotels &amp; Resorts"/>
    <n v="109.42"/>
    <n v="2334.5227114999998"/>
    <n v="5.792645856322396E-5"/>
    <n v="524"/>
    <n v="454"/>
    <n v="54"/>
    <n v="57"/>
    <n v="201"/>
    <n v="179"/>
    <n v="24"/>
    <n v="32"/>
    <n v="0.10305343511450382"/>
    <n v="0.12555066079295155"/>
    <n v="-2.2497225678447724E-2"/>
    <n v="0.11940298507462686"/>
    <n v="0.1787709497206704"/>
    <n v="-5.9367964646043533E-2"/>
    <n v="0.15418502202643181"/>
    <n v="-5.2631578947368474E-2"/>
    <n v="0.12290502793296088"/>
    <n v="-0.25"/>
  </r>
  <r>
    <s v="Sirca Paints India Limited"/>
    <n v="543686"/>
    <x v="6"/>
    <s v="Paints"/>
    <n v="410"/>
    <n v="2330.2081042999998"/>
    <n v="5.7819400313605652E-5"/>
    <n v="358"/>
    <n v="272"/>
    <n v="47"/>
    <n v="34"/>
    <n v="112"/>
    <n v="88"/>
    <n v="15"/>
    <n v="11"/>
    <n v="0.13128491620111732"/>
    <n v="0.125"/>
    <n v="6.2849162011173187E-3"/>
    <n v="0.13392857142857142"/>
    <n v="0.125"/>
    <n v="8.9285714285714246E-3"/>
    <n v="0.31617647058823528"/>
    <n v="0.38235294117647056"/>
    <n v="0.27272727272727271"/>
    <n v="0.36363636363636354"/>
  </r>
  <r>
    <s v="AJMERA REALTY &amp; INFRA INDIA LT"/>
    <n v="513349"/>
    <x v="6"/>
    <s v="Residential, Commercial Projects"/>
    <n v="114.81"/>
    <n v="2260.0005983000001"/>
    <n v="5.6077343075480431E-5"/>
    <n v="664"/>
    <n v="599"/>
    <n v="94"/>
    <n v="100"/>
    <n v="183"/>
    <n v="199"/>
    <n v="25"/>
    <n v="33"/>
    <n v="0.14156626506024098"/>
    <n v="0.1669449081803005"/>
    <n v="-2.5378643120059524E-2"/>
    <n v="0.13661202185792351"/>
    <n v="0.16582914572864321"/>
    <n v="-2.9217123870719702E-2"/>
    <n v="0.10851419031719534"/>
    <n v="-6.0000000000000053E-2"/>
    <n v="-8.0402010050251271E-2"/>
    <n v="-0.24242424242424243"/>
  </r>
  <r>
    <s v="JOHN COCKERILL INDIA LIMITED"/>
    <n v="500147"/>
    <x v="4"/>
    <m/>
    <n v="4549.1499999999996"/>
    <n v="2207.326"/>
    <n v="5.4770329474486633E-5"/>
    <m/>
    <m/>
    <m/>
    <m/>
    <m/>
    <m/>
    <m/>
    <m/>
    <e v="#DIV/0!"/>
    <e v="#DIV/0!"/>
    <e v="#DIV/0!"/>
    <e v="#DIV/0!"/>
    <e v="#DIV/0!"/>
    <e v="#DIV/0!"/>
    <e v="#DIV/0!"/>
    <e v="#DIV/0!"/>
    <e v="#DIV/0!"/>
    <e v="#DIV/0!"/>
  </r>
  <r>
    <s v="JASH ENGINEERING LIMITED"/>
    <n v="544402"/>
    <x v="4"/>
    <s v="Industrial Products"/>
    <n v="374.2"/>
    <n v="2359.3375747"/>
    <n v="5.8542189195368163E-5"/>
    <n v="445"/>
    <n v="434"/>
    <n v="18"/>
    <n v="51"/>
    <n v="160"/>
    <n v="180"/>
    <n v="13"/>
    <n v="34"/>
    <n v="4.0449438202247189E-2"/>
    <n v="0.11751152073732719"/>
    <n v="-7.7062082535080012E-2"/>
    <n v="8.1250000000000003E-2"/>
    <n v="0.18888888888888888"/>
    <n v="-0.10763888888888888"/>
    <n v="2.5345622119815614E-2"/>
    <n v="-0.64705882352941169"/>
    <n v="-0.11111111111111116"/>
    <n v="-0.61764705882352944"/>
  </r>
  <r>
    <s v="PATEL ENGINEERING LTD."/>
    <n v="531120"/>
    <x v="4"/>
    <s v="Civil Construction"/>
    <n v="24.93"/>
    <n v="2376.3498485999999"/>
    <n v="5.8964314357946412E-5"/>
    <n v="3681"/>
    <n v="3481"/>
    <n v="238"/>
    <n v="201"/>
    <n v="1239"/>
    <n v="1205"/>
    <n v="93"/>
    <n v="80"/>
    <n v="6.4656343384949744E-2"/>
    <n v="5.7742028152829646E-2"/>
    <n v="6.9143152321200982E-3"/>
    <n v="7.5060532687651338E-2"/>
    <n v="6.6390041493775934E-2"/>
    <n v="8.6704911938754042E-3"/>
    <n v="5.7454754380924955E-2"/>
    <n v="0.18407960199004969"/>
    <n v="2.8215767634854672E-2"/>
    <n v="0.16250000000000009"/>
  </r>
  <r>
    <s v="SHIVALIK BIMETAL CONTROLS LTD."/>
    <n v="513097"/>
    <x v="4"/>
    <s v="Iron &amp; Steel Products"/>
    <n v="418.35"/>
    <n v="2404.8875201000001"/>
    <n v="5.9672418947159639E-5"/>
    <n v="408"/>
    <n v="375"/>
    <n v="69"/>
    <n v="56"/>
    <n v="134"/>
    <n v="123"/>
    <n v="22"/>
    <n v="18"/>
    <n v="0.16911764705882354"/>
    <n v="0.14933333333333335"/>
    <n v="1.9784313725490194E-2"/>
    <n v="0.16417910447761194"/>
    <n v="0.14634146341463414"/>
    <n v="1.7837641062977805E-2"/>
    <n v="8.8000000000000078E-2"/>
    <n v="0.23214285714285721"/>
    <n v="8.9430894308943021E-2"/>
    <n v="0.22222222222222232"/>
  </r>
  <r>
    <s v="GLOBUS SPIRITS LTD."/>
    <n v="533104"/>
    <x v="5"/>
    <s v="Breweries &amp; Distilleries"/>
    <n v="880"/>
    <n v="2566.5564466000001"/>
    <n v="6.3683906317032308E-5"/>
    <n v="2761"/>
    <n v="2643"/>
    <n v="69"/>
    <n v="17"/>
    <n v="938"/>
    <n v="882"/>
    <n v="30"/>
    <n v="0.72"/>
    <n v="2.4990945309670408E-2"/>
    <n v="6.4320847521755582E-3"/>
    <n v="1.8558860557494849E-2"/>
    <n v="3.1982942430703626E-2"/>
    <n v="8.1632653061224482E-4"/>
    <n v="3.1166615900091382E-2"/>
    <n v="4.4646235338630325E-2"/>
    <n v="3.0588235294117645"/>
    <n v="6.3492063492063489E-2"/>
    <n v="40.666666666666671"/>
  </r>
  <r>
    <s v="SAVITA OIL TECHNOLOGIES LTD."/>
    <n v="524667"/>
    <x v="0"/>
    <s v="Lubricants"/>
    <n v="323"/>
    <n v="2203.2960499999999"/>
    <n v="5.467033441745124E-5"/>
    <n v="3112"/>
    <n v="2787"/>
    <n v="134"/>
    <n v="83"/>
    <n v="1063"/>
    <n v="939"/>
    <n v="37"/>
    <n v="12"/>
    <n v="4.3059125964010285E-2"/>
    <n v="2.9781126659490492E-2"/>
    <n v="1.3277999304519793E-2"/>
    <n v="3.4807149576669805E-2"/>
    <n v="1.2779552715654952E-2"/>
    <n v="2.2027596861014853E-2"/>
    <n v="0.11661284535342653"/>
    <n v="0.6144578313253013"/>
    <n v="0.13205537806176793"/>
    <n v="2.0833333333333335"/>
  </r>
  <r>
    <s v="RAVINDRA ENERGY LIMITED"/>
    <n v="504341"/>
    <x v="4"/>
    <s v="Other Electrical Equipment"/>
    <n v="133.35"/>
    <n v="2385.4420058999999"/>
    <n v="5.9189917848756043E-5"/>
    <n v="423"/>
    <n v="97"/>
    <n v="68"/>
    <n v="8"/>
    <n v="131"/>
    <n v="122"/>
    <n v="14"/>
    <n v="30"/>
    <n v="0.16075650118203311"/>
    <n v="8.247422680412371E-2"/>
    <n v="7.8282274377909397E-2"/>
    <n v="0.10687022900763359"/>
    <n v="0.24590163934426229"/>
    <n v="-0.13903141033662869"/>
    <n v="3.3608247422680408"/>
    <n v="7.5"/>
    <n v="7.3770491803278659E-2"/>
    <n v="-0.53333333333333333"/>
  </r>
  <r>
    <s v="Greenpanel Industries Limited"/>
    <n v="542857"/>
    <x v="6"/>
    <s v="Plywood Boards/ Laminates"/>
    <n v="183.8"/>
    <n v="2240.4007335000001"/>
    <n v="5.5591012079174775E-5"/>
    <n v="1140"/>
    <n v="1061"/>
    <n v="-30"/>
    <n v="42"/>
    <n v="416"/>
    <n v="359"/>
    <n v="10"/>
    <n v="8"/>
    <n v="-2.6315789473684209E-2"/>
    <n v="3.9585296889726673E-2"/>
    <n v="-6.5901086363410882E-2"/>
    <n v="2.403846153846154E-2"/>
    <n v="2.2284122562674095E-2"/>
    <n v="1.754338975787445E-3"/>
    <n v="7.4458058435438179E-2"/>
    <n v="-1.7142857142857144"/>
    <n v="0.15877437325905297"/>
    <n v="0.25"/>
  </r>
  <r>
    <s v="CARYSIL LIMITED"/>
    <n v="524091"/>
    <x v="6"/>
    <s v="Household Appliances"/>
    <n v="811.95"/>
    <n v="2302.7128265000001"/>
    <n v="5.7137160615392282E-5"/>
    <n v="699"/>
    <n v="619"/>
    <n v="72"/>
    <n v="45"/>
    <n v="227"/>
    <n v="207"/>
    <n v="21"/>
    <n v="53"/>
    <n v="0.10300429184549356"/>
    <n v="7.2697899838449112E-2"/>
    <n v="3.030639200704445E-2"/>
    <n v="9.2511013215859028E-2"/>
    <n v="0.2560386473429952"/>
    <n v="-0.16352763412713617"/>
    <n v="0.12924071082390953"/>
    <n v="0.60000000000000009"/>
    <n v="9.661835748792269E-2"/>
    <n v="-0.60377358490566035"/>
  </r>
  <r>
    <s v="MPS LTD."/>
    <n v="532440"/>
    <x v="6"/>
    <s v="E-Learning"/>
    <n v="1657.25"/>
    <n v="2809.558008"/>
    <n v="6.9713498493581078E-5"/>
    <n v="563"/>
    <n v="544"/>
    <n v="126"/>
    <n v="101"/>
    <n v="182"/>
    <n v="186"/>
    <n v="35"/>
    <n v="40"/>
    <n v="0.22380106571936056"/>
    <n v="0.18566176470588236"/>
    <n v="3.8139301013478205E-2"/>
    <n v="0.19230769230769232"/>
    <n v="0.21505376344086022"/>
    <n v="-2.27460711331679E-2"/>
    <n v="3.4926470588235281E-2"/>
    <n v="0.24752475247524752"/>
    <n v="-2.1505376344086002E-2"/>
    <n v="-0.125"/>
  </r>
  <r>
    <s v="SAGAR CEMENTS LTD."/>
    <n v="502090"/>
    <x v="8"/>
    <s v="Cement &amp; Cement Products"/>
    <n v="168.15"/>
    <n v="2198.5001100999998"/>
    <n v="5.4551332870573777E-5"/>
    <n v="1863"/>
    <n v="1599"/>
    <n v="-100"/>
    <n v="-143"/>
    <n v="590"/>
    <n v="563"/>
    <n v="-64"/>
    <n v="-54"/>
    <n v="-5.3676865271068172E-2"/>
    <n v="-8.943089430894309E-2"/>
    <n v="3.5754029037874918E-2"/>
    <n v="-0.10847457627118644"/>
    <n v="-9.5914742451154528E-2"/>
    <n v="-1.255983382003191E-2"/>
    <n v="0.16510318949343339"/>
    <n v="-0.30069930069930073"/>
    <n v="4.7957371225577194E-2"/>
    <n v="0.18518518518518512"/>
  </r>
  <r>
    <s v="Prataap Snacks Limited"/>
    <n v="540724"/>
    <x v="5"/>
    <s v="Packaged Foods"/>
    <n v="945"/>
    <n v="2267.2507690000002"/>
    <n v="5.6257241394978903E-5"/>
    <n v="1297"/>
    <n v="1300"/>
    <n v="8"/>
    <n v="-22"/>
    <n v="459"/>
    <n v="442"/>
    <n v="3"/>
    <n v="-37"/>
    <n v="6.1680801850424053E-3"/>
    <n v="-1.6923076923076923E-2"/>
    <n v="2.3091157108119327E-2"/>
    <n v="6.5359477124183009E-3"/>
    <n v="-8.3710407239818999E-2"/>
    <n v="9.0246354952237304E-2"/>
    <n v="-2.3076923076923439E-3"/>
    <n v="-1.3636363636363638"/>
    <n v="3.8461538461538547E-2"/>
    <n v="-1.0810810810810811"/>
  </r>
  <r>
    <s v="STANDARD GLASS LINING TECHNOLO"/>
    <n v="544333"/>
    <x v="4"/>
    <s v="Industrial Products"/>
    <n v="125.05"/>
    <n v="2511.5992744"/>
    <n v="6.2320255262145039E-5"/>
    <n v="547"/>
    <n v="447"/>
    <n v="61"/>
    <n v="52"/>
    <n v="191"/>
    <n v="140"/>
    <n v="20"/>
    <n v="15"/>
    <n v="0.11151736745886655"/>
    <n v="0.116331096196868"/>
    <n v="-4.8137287380014548E-3"/>
    <n v="0.10471204188481675"/>
    <n v="0.10714285714285714"/>
    <n v="-2.4308152580403836E-3"/>
    <n v="0.22371364653243853"/>
    <n v="0.17307692307692313"/>
    <n v="0.36428571428571432"/>
    <n v="0.33333333333333326"/>
  </r>
  <r>
    <s v="WELSPUN SPECIALTY SOLUTIONS LI"/>
    <n v="500365"/>
    <x v="4"/>
    <s v="Iron &amp; Steel Products"/>
    <n v="34.71"/>
    <n v="2286.0100000000002"/>
    <n v="5.672271376406168E-5"/>
    <n v="666"/>
    <n v="523"/>
    <n v="18"/>
    <n v="-8"/>
    <n v="226"/>
    <n v="194"/>
    <n v="9"/>
    <n v="-3"/>
    <n v="2.7027027027027029E-2"/>
    <n v="-1.5296367112810707E-2"/>
    <n v="4.2323394139837739E-2"/>
    <n v="3.9823008849557522E-2"/>
    <n v="-1.5463917525773196E-2"/>
    <n v="5.5286926375330718E-2"/>
    <n v="0.27342256214149141"/>
    <n v="-3.25"/>
    <n v="0.1649484536082475"/>
    <n v="-4"/>
  </r>
  <r>
    <s v="SUNDROP BRANDS LIMITED"/>
    <n v="500215"/>
    <x v="5"/>
    <s v="Edible Oil"/>
    <n v="599.70000000000005"/>
    <n v="2205.4540000000002"/>
    <n v="5.4723879581368797E-5"/>
    <n v="1163"/>
    <n v="595"/>
    <n v="10"/>
    <n v="4"/>
    <n v="407"/>
    <n v="208"/>
    <n v="8"/>
    <n v="4"/>
    <n v="8.5984522785898538E-3"/>
    <n v="6.7226890756302525E-3"/>
    <n v="1.8757632029596013E-3"/>
    <n v="1.9656019656019656E-2"/>
    <n v="1.9230769230769232E-2"/>
    <n v="4.252504252504237E-4"/>
    <n v="0.95462184873949574"/>
    <n v="1.5"/>
    <n v="0.95673076923076916"/>
    <n v="1"/>
  </r>
  <r>
    <s v="IMAGICAAWORLD ENTERTAINMENT LI"/>
    <n v="539056"/>
    <x v="6"/>
    <s v="Amusement Parks/ Other Recreation"/>
    <n v="42.35"/>
    <n v="2357.9450000000002"/>
    <n v="5.8507635271236963E-5"/>
    <n v="281"/>
    <n v="315"/>
    <n v="0.95"/>
    <n v="62"/>
    <n v="92"/>
    <n v="91"/>
    <n v="-5"/>
    <n v="3"/>
    <n v="3.3807829181494659E-3"/>
    <n v="0.19682539682539682"/>
    <n v="-0.19344461390724735"/>
    <n v="-5.434782608695652E-2"/>
    <n v="3.2967032967032968E-2"/>
    <n v="-8.7314859053989488E-2"/>
    <n v="-0.10793650793650789"/>
    <n v="-0.98467741935483866"/>
    <n v="1.098901098901095E-2"/>
    <n v="-2.666666666666667"/>
  </r>
  <r>
    <s v="RAMCO INDUSTRIES LTD."/>
    <n v="532369"/>
    <x v="8"/>
    <s v="Other Construction Materials"/>
    <n v="257.7"/>
    <n v="2242.6832869999998"/>
    <n v="5.5647649026883504E-5"/>
    <n v="1037"/>
    <n v="1046"/>
    <n v="85"/>
    <n v="75"/>
    <n v="305"/>
    <n v="273"/>
    <n v="17"/>
    <n v="13"/>
    <n v="8.1967213114754092E-2"/>
    <n v="7.1701720841300193E-2"/>
    <n v="1.0265492273453899E-2"/>
    <n v="5.5737704918032788E-2"/>
    <n v="4.7619047619047616E-2"/>
    <n v="8.1186572989851713E-3"/>
    <n v="-8.6042065009560575E-3"/>
    <n v="0.1333333333333333"/>
    <n v="0.11721611721611724"/>
    <n v="0.30769230769230771"/>
  </r>
  <r>
    <s v="VARDHMAN SPECIAL STEELS LTD."/>
    <n v="534392"/>
    <x v="4"/>
    <s v="Iron &amp; Steel Products"/>
    <n v="229.55"/>
    <n v="2216.9668425"/>
    <n v="5.500954747859506E-5"/>
    <n v="1296"/>
    <n v="1336"/>
    <n v="88"/>
    <n v="73"/>
    <n v="430"/>
    <n v="426"/>
    <n v="33"/>
    <n v="21"/>
    <n v="6.7901234567901231E-2"/>
    <n v="5.4640718562874252E-2"/>
    <n v="1.3260516005026979E-2"/>
    <n v="7.6744186046511634E-2"/>
    <n v="4.9295774647887321E-2"/>
    <n v="2.7448411398624313E-2"/>
    <n v="-2.9940119760479056E-2"/>
    <n v="0.20547945205479445"/>
    <n v="9.3896713615022609E-3"/>
    <n v="0.5714285714285714"/>
  </r>
  <r>
    <s v="Cyient DLM Limited"/>
    <n v="543933"/>
    <x v="4"/>
    <s v="Industrial Products"/>
    <n v="288.45"/>
    <n v="2287.3738649000002"/>
    <n v="5.6756555312583138E-5"/>
    <n v="892"/>
    <n v="1091"/>
    <n v="50"/>
    <n v="37"/>
    <n v="303"/>
    <n v="444"/>
    <n v="11"/>
    <n v="10"/>
    <n v="5.6053811659192827E-2"/>
    <n v="3.3913840513290557E-2"/>
    <n v="2.2139971145902271E-2"/>
    <n v="3.6303630363036306E-2"/>
    <n v="2.2522522522522521E-2"/>
    <n v="1.3781107840513784E-2"/>
    <n v="-0.18240146654445466"/>
    <n v="0.35135135135135132"/>
    <n v="-0.31756756756756754"/>
    <n v="0.10000000000000009"/>
  </r>
  <r>
    <s v="TCPL PACKAGING LTD."/>
    <n v="523301"/>
    <x v="4"/>
    <s v="Packaging"/>
    <n v="2390.5"/>
    <n v="2162.4323245"/>
    <n v="5.3656383732690598E-5"/>
    <n v="1335"/>
    <n v="1326"/>
    <n v="76"/>
    <n v="104"/>
    <n v="464"/>
    <n v="472"/>
    <n v="25"/>
    <n v="37"/>
    <n v="5.6928838951310859E-2"/>
    <n v="7.8431372549019607E-2"/>
    <n v="-2.1502533597708748E-2"/>
    <n v="5.3879310344827583E-2"/>
    <n v="7.8389830508474576E-2"/>
    <n v="-2.4510520163646993E-2"/>
    <n v="6.7873303167420573E-3"/>
    <n v="-0.26923076923076927"/>
    <n v="-1.6949152542372836E-2"/>
    <n v="-0.32432432432432434"/>
  </r>
  <r>
    <s v="FISCHER MEDICAL VENTURES LIMIT"/>
    <n v="524743"/>
    <x v="7"/>
    <s v="Medical Equipment &amp; Supplies"/>
    <n v="40.47"/>
    <n v="2662.8047320000001"/>
    <n v="6.6072112817890108E-5"/>
    <n v="210"/>
    <n v="61"/>
    <n v="38"/>
    <n v="-0.42"/>
    <n v="101"/>
    <n v="11"/>
    <n v="19"/>
    <n v="-0.39"/>
    <n v="0.18095238095238095"/>
    <n v="-6.8852459016393438E-3"/>
    <n v="0.18783762685402028"/>
    <n v="0.18811881188118812"/>
    <n v="-3.5454545454545454E-2"/>
    <n v="0.22357335733573358"/>
    <n v="2.442622950819672"/>
    <n v="-91.476190476190482"/>
    <n v="8.1818181818181817"/>
    <n v="-49.717948717948715"/>
  </r>
  <r>
    <s v="JINDAL WORLDWIDE LTD."/>
    <n v="531543"/>
    <x v="6"/>
    <s v="Other Textile Products"/>
    <n v="20.82"/>
    <n v="2091.4257471000001"/>
    <n v="5.1894499154221606E-5"/>
    <n v="1645"/>
    <n v="1682"/>
    <n v="43"/>
    <n v="53"/>
    <n v="532"/>
    <n v="624"/>
    <n v="14"/>
    <n v="18"/>
    <n v="2.6139817629179333E-2"/>
    <n v="3.151010701545779E-2"/>
    <n v="-5.3702893862784574E-3"/>
    <n v="2.6315789473684209E-2"/>
    <n v="2.8846153846153848E-2"/>
    <n v="-2.5303643724696387E-3"/>
    <n v="-2.199762187871579E-2"/>
    <n v="-0.18867924528301883"/>
    <n v="-0.14743589743589747"/>
    <n v="-0.22222222222222221"/>
  </r>
  <r>
    <s v="Arvind SmartSpaces Limited"/>
    <n v="539301"/>
    <x v="6"/>
    <s v="Residential, Commercial Projects"/>
    <n v="530.5"/>
    <n v="2432.5551722999999"/>
    <n v="6.0358935767411611E-5"/>
    <n v="408"/>
    <n v="550"/>
    <n v="59"/>
    <n v="97"/>
    <n v="166"/>
    <n v="210"/>
    <n v="29"/>
    <n v="50"/>
    <n v="0.14460784313725492"/>
    <n v="0.17636363636363636"/>
    <n v="-3.1755793226381446E-2"/>
    <n v="0.1746987951807229"/>
    <n v="0.23809523809523808"/>
    <n v="-6.3396442914515183E-2"/>
    <n v="-0.25818181818181818"/>
    <n v="-0.39175257731958768"/>
    <n v="-0.20952380952380956"/>
    <n v="-0.42000000000000004"/>
  </r>
  <r>
    <s v="UNIVERSAL CABLES LTD."/>
    <n v="504212"/>
    <x v="4"/>
    <s v="Cables - Electricals"/>
    <n v="691"/>
    <n v="2397.2724800000001"/>
    <n v="5.9483467131597089E-5"/>
    <n v="2182"/>
    <n v="1734"/>
    <n v="107"/>
    <n v="39"/>
    <n v="767"/>
    <n v="607"/>
    <n v="27"/>
    <n v="15"/>
    <n v="4.9037580201649861E-2"/>
    <n v="2.2491349480968859E-2"/>
    <n v="2.6546230720681002E-2"/>
    <n v="3.5202086049543675E-2"/>
    <n v="2.4711696869851731E-2"/>
    <n v="1.0490389179691945E-2"/>
    <n v="0.25836216839677051"/>
    <n v="1.7435897435897436"/>
    <n v="0.26359143327841839"/>
    <n v="0.8"/>
  </r>
  <r>
    <s v="HIKAL LTD."/>
    <n v="524735"/>
    <x v="7"/>
    <s v="Pharmaceuticals"/>
    <n v="163.15"/>
    <n v="2011.7742662999999"/>
    <n v="4.9918108785718381E-5"/>
    <n v="1193"/>
    <n v="1307"/>
    <n v="-63"/>
    <n v="40"/>
    <n v="494"/>
    <n v="447"/>
    <n v="-5"/>
    <n v="17"/>
    <n v="-5.2808046940486172E-2"/>
    <n v="3.0604437643458302E-2"/>
    <n v="-8.3412484583944471E-2"/>
    <n v="-1.0121457489878543E-2"/>
    <n v="3.803131991051454E-2"/>
    <n v="-4.8152777400393081E-2"/>
    <n v="-8.7222647283856203E-2"/>
    <n v="-2.5750000000000002"/>
    <n v="0.10514541387024612"/>
    <n v="-1.2941176470588236"/>
  </r>
  <r>
    <s v="EVEREADY INDUSTRIES INDIA LTD."/>
    <n v="531508"/>
    <x v="5"/>
    <s v="Household Products"/>
    <n v="282"/>
    <n v="2049.7807320000002"/>
    <n v="5.0861162348513268E-5"/>
    <n v="1128"/>
    <n v="1045"/>
    <n v="30"/>
    <n v="72"/>
    <n v="367"/>
    <n v="333"/>
    <n v="7"/>
    <n v="13"/>
    <n v="2.6595744680851064E-2"/>
    <n v="6.8899521531100474E-2"/>
    <n v="-4.2303776850249414E-2"/>
    <n v="1.9073569482288829E-2"/>
    <n v="3.903903903903904E-2"/>
    <n v="-1.9965469556750211E-2"/>
    <n v="7.9425837320574066E-2"/>
    <n v="-0.58333333333333326"/>
    <n v="0.10210210210210202"/>
    <n v="-0.46153846153846156"/>
  </r>
  <r>
    <s v="BOMBAY DYEING &amp; MFG.CO.LTD."/>
    <n v="500020"/>
    <x v="6"/>
    <s v="Other Textile Products"/>
    <n v="102.81"/>
    <n v="2122.3526765000001"/>
    <n v="5.2661888344976481E-5"/>
    <n v="1064"/>
    <n v="1246"/>
    <n v="6"/>
    <n v="479"/>
    <n v="324"/>
    <n v="415"/>
    <n v="-10"/>
    <n v="70"/>
    <n v="5.6390977443609019E-3"/>
    <n v="0.38443017656500805"/>
    <n v="-0.37879107882064716"/>
    <n v="-3.0864197530864196E-2"/>
    <n v="0.16867469879518071"/>
    <n v="-0.19953889632604491"/>
    <n v="-0.1460674157303371"/>
    <n v="-0.98747390396659707"/>
    <n v="-0.21927710843373494"/>
    <n v="-1.1428571428571428"/>
  </r>
  <r>
    <s v="UTKARSH SMALL FINANCE BANK LIM"/>
    <n v="543942"/>
    <x v="2"/>
    <s v="Other Bank"/>
    <n v="11.97"/>
    <n v="2126.529951"/>
    <n v="5.2765538961455591E-5"/>
    <n v="2857"/>
    <n v="3198"/>
    <n v="-962"/>
    <n v="20"/>
    <n v="901"/>
    <n v="1037"/>
    <n v="-375"/>
    <n v="-168"/>
    <n v="-0.33671683584179207"/>
    <n v="6.2539086929330832E-3"/>
    <n v="-0.34297074453472515"/>
    <n v="-0.41620421753607101"/>
    <n v="-0.16200578592092574"/>
    <n v="-0.25419843161514527"/>
    <n v="-0.10662914321450911"/>
    <n v="-49.1"/>
    <n v="-0.13114754098360659"/>
    <n v="1.2321428571428572"/>
  </r>
  <r>
    <s v="Deep Industries Limited"/>
    <n v="543288"/>
    <x v="0"/>
    <s v="Oil Equipment &amp; Services"/>
    <n v="447"/>
    <n v="2860.1422235"/>
    <n v="7.0968643474043162E-5"/>
    <n v="642"/>
    <n v="408"/>
    <n v="204"/>
    <n v="127"/>
    <n v="221"/>
    <n v="154"/>
    <n v="71"/>
    <n v="47"/>
    <n v="0.31775700934579437"/>
    <n v="0.31127450980392157"/>
    <n v="6.4824995418727993E-3"/>
    <n v="0.32126696832579188"/>
    <n v="0.30519480519480519"/>
    <n v="1.6072163130986694E-2"/>
    <n v="0.57352941176470584"/>
    <n v="0.60629921259842523"/>
    <n v="0.43506493506493515"/>
    <n v="0.5106382978723405"/>
  </r>
  <r>
    <s v="SIYARAM SILK MILLS LTD."/>
    <n v="503811"/>
    <x v="6"/>
    <s v="Other Textile Products"/>
    <n v="500"/>
    <n v="2275.0832184000001"/>
    <n v="5.645158778252213E-5"/>
    <n v="1719"/>
    <n v="1485"/>
    <n v="133"/>
    <n v="125"/>
    <n v="624"/>
    <n v="570"/>
    <n v="41"/>
    <n v="45"/>
    <n v="7.7370564281559043E-2"/>
    <n v="8.4175084175084181E-2"/>
    <n v="-6.8045198935251378E-3"/>
    <n v="6.5705128205128208E-2"/>
    <n v="7.8947368421052627E-2"/>
    <n v="-1.324224021592442E-2"/>
    <n v="0.15757575757575748"/>
    <n v="6.4000000000000057E-2"/>
    <n v="9.473684210526323E-2"/>
    <n v="-8.8888888888888906E-2"/>
  </r>
  <r>
    <s v="HIND RECTIFIERS LTD."/>
    <n v="504036"/>
    <x v="4"/>
    <s v="Industrial Products"/>
    <n v="684.7"/>
    <n v="2342.2818265999999"/>
    <n v="5.8118985308461172E-5"/>
    <n v="719"/>
    <n v="470"/>
    <n v="40"/>
    <n v="27"/>
    <n v="277"/>
    <n v="168"/>
    <n v="12"/>
    <n v="10"/>
    <n v="5.5632823365785816E-2"/>
    <n v="5.7446808510638298E-2"/>
    <n v="-1.8139851448524813E-3"/>
    <n v="4.3321299638989168E-2"/>
    <n v="5.9523809523809521E-2"/>
    <n v="-1.6202509884820353E-2"/>
    <n v="0.52978723404255312"/>
    <n v="0.4814814814814814"/>
    <n v="0.64880952380952372"/>
    <n v="0.19999999999999996"/>
  </r>
  <r>
    <s v="Rashi Peripherals Limited"/>
    <n v="544119"/>
    <x v="3"/>
    <s v="Computers Hardware &amp; Equipments"/>
    <n v="365.05"/>
    <n v="2419.5063438000002"/>
    <n v="6.0035155484752383E-5"/>
    <n v="11337"/>
    <n v="10799"/>
    <n v="195"/>
    <n v="156"/>
    <n v="4030"/>
    <n v="2826"/>
    <n v="74"/>
    <n v="32"/>
    <n v="1.7200317544323895E-2"/>
    <n v="1.4445782016853412E-2"/>
    <n v="2.7545355274704829E-3"/>
    <n v="1.836228287841191E-2"/>
    <n v="1.132342533616419E-2"/>
    <n v="7.0388575422477197E-3"/>
    <n v="4.9819427724789422E-2"/>
    <n v="0.25"/>
    <n v="0.42604387827317769"/>
    <n v="1.3125"/>
  </r>
  <r>
    <s v="UNICHEM LABORATORIES LTD."/>
    <n v="506690"/>
    <x v="7"/>
    <s v="Pharmaceuticals"/>
    <n v="299"/>
    <n v="2105.132224"/>
    <n v="5.2234597651565195E-5"/>
    <n v="1627"/>
    <n v="1524"/>
    <n v="242"/>
    <n v="84"/>
    <n v="521"/>
    <n v="533"/>
    <n v="264"/>
    <n v="58"/>
    <n v="0.14874001229256301"/>
    <n v="5.5118110236220472E-2"/>
    <n v="9.3621902056342535E-2"/>
    <n v="0.50671785028790783"/>
    <n v="0.10881801125703565"/>
    <n v="0.39789983903087217"/>
    <n v="6.7585301837270295E-2"/>
    <n v="1.8809523809523809"/>
    <n v="-2.2514071294559068E-2"/>
    <n v="3.5517241379310347"/>
  </r>
  <r>
    <s v="PRAKASH INDUSTRIES LTD."/>
    <n v="506022"/>
    <x v="8"/>
    <s v="Iron &amp; Steel"/>
    <n v="126.05"/>
    <n v="2252.6699785000001"/>
    <n v="5.5895448574306524E-5"/>
    <n v="2558"/>
    <n v="3169"/>
    <n v="239"/>
    <n v="264"/>
    <n v="798"/>
    <n v="925"/>
    <n v="86"/>
    <n v="83"/>
    <n v="9.3432369038311175E-2"/>
    <n v="8.3307036920164085E-2"/>
    <n v="1.012533211814709E-2"/>
    <n v="0.10776942355889724"/>
    <n v="8.9729729729729729E-2"/>
    <n v="1.8039693829167508E-2"/>
    <n v="-0.19280530135689489"/>
    <n v="-9.4696969696969724E-2"/>
    <n v="-0.13729729729729734"/>
    <n v="3.6144578313253017E-2"/>
  </r>
  <r>
    <s v="REPCO HOME FINANCE LTD."/>
    <n v="535322"/>
    <x v="2"/>
    <s v="Housing Finance Company"/>
    <n v="364.55"/>
    <n v="2291.9354616999999"/>
    <n v="5.6869742109488424E-5"/>
    <n v="1340"/>
    <n v="1286"/>
    <n v="320"/>
    <n v="321"/>
    <n v="457"/>
    <n v="445"/>
    <n v="109"/>
    <n v="107"/>
    <n v="0.23880597014925373"/>
    <n v="0.24961119751166408"/>
    <n v="-1.0805227362410352E-2"/>
    <n v="0.23851203501094093"/>
    <n v="0.24044943820224718"/>
    <n v="-1.9374031913062528E-3"/>
    <n v="4.1990668740280013E-2"/>
    <n v="-3.1152647975077885E-3"/>
    <n v="2.6966292134831482E-2"/>
    <n v="1.8691588785046731E-2"/>
  </r>
  <r>
    <s v="Prabha Energy Limited"/>
    <n v="544379"/>
    <x v="0"/>
    <s v="Oil Exploration &amp; Production"/>
    <n v="158.05000000000001"/>
    <n v="2316.8763568999998"/>
    <n v="5.7488599970761578E-5"/>
    <n v="4"/>
    <n v="2"/>
    <n v="0.49"/>
    <n v="-0.93"/>
    <n v="1"/>
    <n v="1"/>
    <n v="0.22"/>
    <n v="-0.09"/>
    <n v="0.1225"/>
    <n v="-0.46500000000000002"/>
    <n v="0.58750000000000002"/>
    <n v="0.22"/>
    <n v="-0.09"/>
    <n v="0.31"/>
    <n v="1"/>
    <n v="-1.5268817204301075"/>
    <n v="0"/>
    <n v="-3.4444444444444446"/>
  </r>
  <r>
    <s v="EPACK Durable Limited"/>
    <n v="544095"/>
    <x v="6"/>
    <s v="Household Appliances"/>
    <n v="217.8"/>
    <n v="2096.2413909000002"/>
    <n v="5.2013989613518409E-5"/>
    <n v="1303"/>
    <n v="1527"/>
    <n v="3"/>
    <n v="17"/>
    <n v="427"/>
    <n v="376"/>
    <n v="25"/>
    <n v="25"/>
    <n v="2.3023791250959325E-3"/>
    <n v="1.1132940406024885E-2"/>
    <n v="-8.8305612809289526E-3"/>
    <n v="5.8548009367681501E-2"/>
    <n v="6.6489361702127658E-2"/>
    <n v="-7.941352334446157E-3"/>
    <n v="-0.14669286182056318"/>
    <n v="-0.82352941176470584"/>
    <n v="0.1356382978723405"/>
    <n v="0"/>
  </r>
  <r>
    <s v="NOCIL LTD."/>
    <n v="500730"/>
    <x v="8"/>
    <s v="Specialty Chemicals"/>
    <n v="161.6"/>
    <n v="2696.7841475"/>
    <n v="6.6915243276320562E-5"/>
    <n v="973"/>
    <n v="1053"/>
    <n v="39"/>
    <n v="82"/>
    <n v="316"/>
    <n v="318"/>
    <n v="9"/>
    <n v="13"/>
    <n v="4.0082219938335044E-2"/>
    <n v="7.7872744539411204E-2"/>
    <n v="-3.779052460107616E-2"/>
    <n v="2.8481012658227847E-2"/>
    <n v="4.0880503144654086E-2"/>
    <n v="-1.2399490486426239E-2"/>
    <n v="-7.5973409306742679E-2"/>
    <n v="-0.52439024390243905"/>
    <n v="-6.2893081761006275E-3"/>
    <n v="-0.30769230769230771"/>
  </r>
  <r>
    <s v="Protean eGov Technologies Limi"/>
    <n v="544021"/>
    <x v="3"/>
    <s v="IT Enabled Services"/>
    <n v="498"/>
    <n v="2024.5404579000001"/>
    <n v="5.0234876005452321E-5"/>
    <n v="690"/>
    <n v="618"/>
    <n v="70"/>
    <n v="72"/>
    <n v="229"/>
    <n v="228"/>
    <n v="22"/>
    <n v="23"/>
    <n v="0.10144927536231885"/>
    <n v="0.11650485436893204"/>
    <n v="-1.5055579006613196E-2"/>
    <n v="9.606986899563319E-2"/>
    <n v="0.10087719298245613"/>
    <n v="-4.807323986822945E-3"/>
    <n v="0.11650485436893199"/>
    <n v="-2.777777777777779E-2"/>
    <n v="4.3859649122806044E-3"/>
    <n v="-4.3478260869565188E-2"/>
  </r>
  <r>
    <s v="SPICEJET LTD."/>
    <n v="500285"/>
    <x v="10"/>
    <s v="Airline"/>
    <n v="10.59"/>
    <n v="1614.6127303000001"/>
    <n v="4.0063348690783074E-5"/>
    <n v="3320"/>
    <n v="3860"/>
    <n v="-111"/>
    <n v="-27"/>
    <n v="1345"/>
    <n v="1178"/>
    <n v="-261"/>
    <n v="20"/>
    <n v="-3.3433734939759034E-2"/>
    <n v="-6.9948186528497412E-3"/>
    <n v="-2.6438916286909295E-2"/>
    <n v="-0.19405204460966544"/>
    <n v="1.6977928692699491E-2"/>
    <n v="-0.21102997330236492"/>
    <n v="-0.13989637305699487"/>
    <n v="3.1111111111111107"/>
    <n v="0.14176570458404081"/>
    <n v="-14.05"/>
  </r>
  <r>
    <s v="WEBSOL ENERGY SYSTEM LTD."/>
    <n v="517498"/>
    <x v="4"/>
    <s v="Other Electrical Equipment"/>
    <n v="76.08"/>
    <n v="3304.4176637999999"/>
    <n v="8.1992439797129836E-5"/>
    <n v="648"/>
    <n v="402"/>
    <n v="178"/>
    <n v="106"/>
    <n v="261"/>
    <n v="147"/>
    <n v="65"/>
    <n v="42"/>
    <n v="0.27469135802469136"/>
    <n v="0.26368159203980102"/>
    <n v="1.1009765984890341E-2"/>
    <n v="0.24904214559386972"/>
    <n v="0.2857142857142857"/>
    <n v="-3.6672140120415975E-2"/>
    <n v="0.61194029850746268"/>
    <n v="0.679245283018868"/>
    <n v="0.77551020408163263"/>
    <n v="0.54761904761904767"/>
  </r>
  <r>
    <s v="MOREPEN LABORATORIES LTD."/>
    <n v="500288"/>
    <x v="7"/>
    <s v="Pharmaceuticals"/>
    <n v="38.090000000000003"/>
    <n v="2087.7035132999999"/>
    <n v="5.1802139452207916E-5"/>
    <n v="1320"/>
    <n v="1345"/>
    <n v="79"/>
    <n v="97"/>
    <n v="484"/>
    <n v="452"/>
    <n v="27"/>
    <n v="26"/>
    <n v="5.9848484848484845E-2"/>
    <n v="7.2118959107806691E-2"/>
    <n v="-1.2270474259321845E-2"/>
    <n v="5.578512396694215E-2"/>
    <n v="5.7522123893805309E-2"/>
    <n v="-1.7369999268631586E-3"/>
    <n v="-1.8587360594795488E-2"/>
    <n v="-0.18556701030927836"/>
    <n v="7.079646017699126E-2"/>
    <n v="3.8461538461538547E-2"/>
  </r>
  <r>
    <s v="ALEMBIC LTD."/>
    <n v="506235"/>
    <x v="6"/>
    <s v="Residential, Commercial Projects"/>
    <n v="79.53"/>
    <n v="2043.9830887999999"/>
    <n v="5.0717305560599056E-5"/>
    <n v="179"/>
    <n v="161"/>
    <n v="116"/>
    <n v="120"/>
    <n v="74"/>
    <n v="57"/>
    <n v="22"/>
    <n v="26"/>
    <n v="0.64804469273743015"/>
    <n v="0.74534161490683226"/>
    <n v="-9.7296922169402111E-2"/>
    <n v="0.29729729729729731"/>
    <n v="0.45614035087719296"/>
    <n v="-0.15884305357989564"/>
    <n v="0.11180124223602483"/>
    <n v="-3.3333333333333326E-2"/>
    <n v="0.29824561403508776"/>
    <n v="-0.15384615384615385"/>
  </r>
  <r>
    <s v="MARSONS LIMITED"/>
    <n v="517467"/>
    <x v="4"/>
    <s v="Other Electrical Equipment"/>
    <n v="140.44999999999999"/>
    <m/>
    <n v="0"/>
    <n v="155"/>
    <n v="117"/>
    <n v="23"/>
    <n v="19"/>
    <n v="45"/>
    <n v="44"/>
    <n v="6"/>
    <n v="6"/>
    <n v="0.14838709677419354"/>
    <n v="0.1623931623931624"/>
    <n v="-1.400606561896886E-2"/>
    <n v="0.13333333333333333"/>
    <n v="0.13636363636363635"/>
    <n v="-3.0303030303030221E-3"/>
    <n v="0.32478632478632474"/>
    <n v="0.21052631578947367"/>
    <n v="2.2727272727272707E-2"/>
    <n v="0"/>
  </r>
  <r>
    <s v="RANE (MADRAS) LTD."/>
    <n v="532661"/>
    <x v="6"/>
    <s v="Auto Components &amp; Equipments"/>
    <n v="679.8"/>
    <n v="1877.5283589999999"/>
    <n v="4.6587068163072524E-5"/>
    <n v="2815"/>
    <n v="2504"/>
    <n v="71"/>
    <n v="31"/>
    <n v="1015"/>
    <n v="837"/>
    <n v="31"/>
    <n v="0.39"/>
    <n v="2.522202486678508E-2"/>
    <n v="1.2380191693290734E-2"/>
    <n v="1.2841833173494346E-2"/>
    <n v="3.0541871921182268E-2"/>
    <n v="4.6594982078853047E-4"/>
    <n v="3.0075922100393736E-2"/>
    <n v="0.12420127795527147"/>
    <n v="1.2903225806451615"/>
    <n v="0.21266427718040615"/>
    <n v="78.487179487179489"/>
  </r>
  <r>
    <s v="G.M.BREWERIES LTD."/>
    <n v="507488"/>
    <x v="5"/>
    <s v="Breweries &amp; Distilleries"/>
    <n v="1055"/>
    <n v="2407.2657814999998"/>
    <n v="5.973143069279868E-5"/>
    <n v="2164"/>
    <n v="1840"/>
    <n v="102"/>
    <n v="68"/>
    <n v="808"/>
    <n v="644"/>
    <n v="42"/>
    <n v="21"/>
    <n v="4.7134935304990758E-2"/>
    <n v="3.6956521739130437E-2"/>
    <n v="1.0178413565860321E-2"/>
    <n v="5.1980198019801978E-2"/>
    <n v="3.2608695652173912E-2"/>
    <n v="1.9371502367628066E-2"/>
    <n v="0.17608695652173911"/>
    <n v="0.5"/>
    <n v="0.25465838509316763"/>
    <n v="1"/>
  </r>
  <r>
    <s v="Network People Services Techno"/>
    <n v="544396"/>
    <x v="3"/>
    <s v="IT Enabled Services"/>
    <n v="1125"/>
    <n v="2343.1961488000002"/>
    <n v="5.8141672364265282E-5"/>
    <n v="132"/>
    <n v="146"/>
    <n v="28"/>
    <n v="39"/>
    <n v="52"/>
    <n v="21"/>
    <n v="11"/>
    <n v="5"/>
    <n v="0.21212121212121213"/>
    <n v="0.26712328767123289"/>
    <n v="-5.5002075550020763E-2"/>
    <n v="0.21153846153846154"/>
    <n v="0.23809523809523808"/>
    <n v="-2.6556776556776546E-2"/>
    <n v="-9.589041095890416E-2"/>
    <n v="-0.28205128205128205"/>
    <n v="1.4761904761904763"/>
    <n v="1.2000000000000002"/>
  </r>
  <r>
    <s v="THIRUMALAI CHEMICALS LTD."/>
    <n v="500412"/>
    <x v="8"/>
    <s v="Commodity Chemicals"/>
    <n v="173.4"/>
    <n v="2092.0714748"/>
    <n v="5.1910521580849938E-5"/>
    <n v="1311"/>
    <n v="1526"/>
    <n v="-139"/>
    <n v="-32"/>
    <n v="415"/>
    <n v="446"/>
    <n v="-46"/>
    <n v="-42"/>
    <n v="-0.10602593440122045"/>
    <n v="-2.0969855832241154E-2"/>
    <n v="-8.5056078568979288E-2"/>
    <n v="-0.1108433734939759"/>
    <n v="-9.417040358744394E-2"/>
    <n v="-1.6672969906531956E-2"/>
    <n v="-0.14089121887287026"/>
    <n v="3.34375"/>
    <n v="-6.9506726457399082E-2"/>
    <n v="9.5238095238095344E-2"/>
  </r>
  <r>
    <s v="HLE GLASCOAT LIMITED"/>
    <n v="522215"/>
    <x v="4"/>
    <s v="Industrial Products"/>
    <n v="270.55"/>
    <n v="1879.0981764000001"/>
    <n v="4.6626020006258711E-5"/>
    <n v="961"/>
    <n v="693"/>
    <n v="36"/>
    <n v="30"/>
    <n v="326"/>
    <n v="231"/>
    <n v="4"/>
    <n v="10"/>
    <n v="3.7460978147762745E-2"/>
    <n v="4.3290043290043288E-2"/>
    <n v="-5.8290651422805428E-3"/>
    <n v="1.2269938650306749E-2"/>
    <n v="4.3290043290043288E-2"/>
    <n v="-3.1020104639736541E-2"/>
    <n v="0.3867243867243868"/>
    <n v="0.19999999999999996"/>
    <n v="0.41125541125541121"/>
    <n v="-0.6"/>
  </r>
  <r>
    <s v="LA OPALA RG LTD."/>
    <n v="526947"/>
    <x v="6"/>
    <s v="Glass - Consumer"/>
    <n v="180.7"/>
    <n v="1994.3369795999999"/>
    <n v="4.9485437790269549E-5"/>
    <n v="240"/>
    <n v="254"/>
    <n v="76"/>
    <n v="70"/>
    <n v="84"/>
    <n v="91"/>
    <n v="24"/>
    <n v="23"/>
    <n v="0.31666666666666665"/>
    <n v="0.27559055118110237"/>
    <n v="4.107611548556428E-2"/>
    <n v="0.2857142857142857"/>
    <n v="0.25274725274725274"/>
    <n v="3.2967032967032961E-2"/>
    <n v="-5.5118110236220486E-2"/>
    <n v="8.5714285714285632E-2"/>
    <n v="-7.6923076923076872E-2"/>
    <n v="4.3478260869565188E-2"/>
  </r>
  <r>
    <s v="FEDERAL-MOGUL GOETZE (INDIA) L"/>
    <n v="505744"/>
    <x v="6"/>
    <s v="Auto Components &amp; Equipments"/>
    <n v="421.35"/>
    <n v="2346.5627536000002"/>
    <n v="5.8225207852048411E-5"/>
    <n v="1469"/>
    <n v="1341"/>
    <n v="127"/>
    <n v="108"/>
    <n v="495"/>
    <n v="433"/>
    <n v="30"/>
    <n v="30"/>
    <n v="8.6453369639210353E-2"/>
    <n v="8.0536912751677847E-2"/>
    <n v="5.9164568875325063E-3"/>
    <n v="6.0606060606060608E-2"/>
    <n v="6.9284064665127015E-2"/>
    <n v="-8.6780040590664076E-3"/>
    <n v="9.5451155853840453E-2"/>
    <n v="0.17592592592592582"/>
    <n v="0.14318706697459582"/>
    <n v="0"/>
  </r>
  <r>
    <s v="SANGHVI MOVERS LTD."/>
    <n v="530073"/>
    <x v="10"/>
    <s v="Diversified Commercial Services"/>
    <n v="279.8"/>
    <n v="2411.9204737"/>
    <n v="5.9846927463731624E-5"/>
    <n v="739"/>
    <n v="548"/>
    <n v="115"/>
    <n v="102"/>
    <n v="235"/>
    <n v="207"/>
    <n v="28"/>
    <n v="33"/>
    <n v="0.15561569688768606"/>
    <n v="0.18613138686131386"/>
    <n v="-3.0515689973627802E-2"/>
    <n v="0.11914893617021277"/>
    <n v="0.15942028985507245"/>
    <n v="-4.0271353684859679E-2"/>
    <n v="0.3485401459854014"/>
    <n v="0.12745098039215685"/>
    <n v="0.13526570048309172"/>
    <n v="-0.15151515151515149"/>
  </r>
  <r>
    <s v="SANGAM (INDIA) LTD."/>
    <n v="514234"/>
    <x v="6"/>
    <s v="Other Textile Products"/>
    <n v="440.75"/>
    <n v="2173.1264589000002"/>
    <n v="5.3921737044585826E-5"/>
    <n v="2350"/>
    <n v="2122"/>
    <n v="49"/>
    <n v="22"/>
    <n v="774"/>
    <n v="753"/>
    <n v="24"/>
    <n v="2"/>
    <n v="2.0851063829787235E-2"/>
    <n v="1.0367577756833177E-2"/>
    <n v="1.0483486072954058E-2"/>
    <n v="3.1007751937984496E-2"/>
    <n v="2.6560424966799467E-3"/>
    <n v="2.8351709441304548E-2"/>
    <n v="0.10744580584354391"/>
    <n v="1.2272727272727271"/>
    <n v="2.7888446215139417E-2"/>
    <n v="11"/>
  </r>
  <r>
    <s v="DR.AGARWALS EYE HOSPITAL LTD."/>
    <n v="526783"/>
    <x v="7"/>
    <s v="Hospital"/>
    <n v="4787.5"/>
    <n v="2313.7159262"/>
    <n v="5.7410180276198897E-5"/>
    <n v="351"/>
    <n v="297"/>
    <n v="54"/>
    <n v="39"/>
    <n v="116"/>
    <n v="95"/>
    <n v="17"/>
    <n v="10"/>
    <n v="0.15384615384615385"/>
    <n v="0.13131313131313133"/>
    <n v="2.2533022533022529E-2"/>
    <n v="0.14655172413793102"/>
    <n v="0.10526315789473684"/>
    <n v="4.1288566243194186E-2"/>
    <n v="0.18181818181818188"/>
    <n v="0.38461538461538458"/>
    <n v="0.22105263157894739"/>
    <n v="0.7"/>
  </r>
  <r>
    <s v="Monarch Networth Capital Limit"/>
    <n v="511551"/>
    <x v="2"/>
    <s v="Stockbroking &amp; Allied"/>
    <n v="277.3"/>
    <n v="2195.7321870000001"/>
    <n v="5.4482652458098669E-5"/>
    <n v="273"/>
    <n v="266"/>
    <n v="135"/>
    <n v="124"/>
    <n v="91"/>
    <n v="76"/>
    <n v="45"/>
    <n v="40"/>
    <n v="0.49450549450549453"/>
    <n v="0.46616541353383456"/>
    <n v="2.8340080971659964E-2"/>
    <n v="0.49450549450549453"/>
    <n v="0.52631578947368418"/>
    <n v="-3.1810294968189656E-2"/>
    <n v="2.6315789473684292E-2"/>
    <n v="8.870967741935476E-2"/>
    <n v="0.19736842105263164"/>
    <n v="0.125"/>
  </r>
  <r>
    <s v="JTL INDUSTRIES LIMITED"/>
    <n v="534600"/>
    <x v="4"/>
    <s v="Iron &amp; Steel Products"/>
    <n v="49.58"/>
    <n v="1948.1119679000001"/>
    <n v="4.8338457633840013E-5"/>
    <n v="1443"/>
    <n v="1446"/>
    <n v="65"/>
    <n v="81"/>
    <n v="470"/>
    <n v="451"/>
    <n v="26"/>
    <n v="24"/>
    <n v="4.5045045045045043E-2"/>
    <n v="5.6016597510373446E-2"/>
    <n v="-1.0971552465328403E-2"/>
    <n v="5.5319148936170209E-2"/>
    <n v="5.3215077605321508E-2"/>
    <n v="2.1040713308487016E-3"/>
    <n v="-2.0746887966804906E-3"/>
    <n v="-0.19753086419753085"/>
    <n v="4.2128603104212958E-2"/>
    <n v="8.3333333333333259E-2"/>
  </r>
  <r>
    <s v="RPSG VENTURES LIMITED"/>
    <n v="542333"/>
    <x v="10"/>
    <s v="Business Process Outsourcing (BPO)/ Knowledge Process Outsourcing (KPO)"/>
    <n v="1113"/>
    <n v="3679.5384632"/>
    <n v="9.1300303599699468E-5"/>
    <n v="8396"/>
    <n v="7067"/>
    <n v="74"/>
    <n v="152"/>
    <n v="2756"/>
    <n v="2385"/>
    <n v="-136"/>
    <n v="-46"/>
    <n v="8.8137208194378272E-3"/>
    <n v="2.1508419414178578E-2"/>
    <n v="-1.269469859474075E-2"/>
    <n v="-4.9346879535558781E-2"/>
    <n v="-1.9287211740041929E-2"/>
    <n v="-3.0059667795516852E-2"/>
    <n v="0.18805716711475884"/>
    <n v="-0.51315789473684204"/>
    <n v="0.15555555555555545"/>
    <n v="1.9565217391304346"/>
  </r>
  <r>
    <s v="SG FINSERVE LIMITED"/>
    <n v="539199"/>
    <x v="2"/>
    <s v="Non Banking Financial Company (NBFC)"/>
    <n v="450"/>
    <n v="2937.0244499999999"/>
    <n v="7.2876320399036158E-5"/>
    <n v="228"/>
    <n v="116"/>
    <n v="85"/>
    <n v="57"/>
    <n v="86"/>
    <n v="42"/>
    <n v="32"/>
    <n v="23"/>
    <n v="0.37280701754385964"/>
    <n v="0.49137931034482757"/>
    <n v="-0.11857229280096793"/>
    <n v="0.37209302325581395"/>
    <n v="0.54761904761904767"/>
    <n v="-0.17552602436323372"/>
    <n v="0.96551724137931028"/>
    <n v="0.49122807017543857"/>
    <n v="1.0476190476190474"/>
    <n v="0.39130434782608692"/>
  </r>
  <r>
    <s v="Venus Pipes &amp; Tubes Limited"/>
    <n v="543528"/>
    <x v="4"/>
    <s v="Iron &amp; Steel Products"/>
    <n v="1010.15"/>
    <n v="2050.8661662999998"/>
    <n v="5.0888095204934971E-5"/>
    <n v="864"/>
    <n v="700"/>
    <n v="76"/>
    <n v="69"/>
    <n v="296"/>
    <n v="231"/>
    <n v="25"/>
    <n v="17"/>
    <n v="8.7962962962962965E-2"/>
    <n v="9.8571428571428574E-2"/>
    <n v="-1.0608465608465609E-2"/>
    <n v="8.4459459459459457E-2"/>
    <n v="7.3593073593073599E-2"/>
    <n v="1.0866385866385858E-2"/>
    <n v="0.23428571428571421"/>
    <n v="0.10144927536231885"/>
    <n v="0.28138528138528129"/>
    <n v="0.47058823529411775"/>
  </r>
  <r>
    <s v="CANTABIL RETAIL INDIA LTD."/>
    <n v="533267"/>
    <x v="6"/>
    <s v="Garments &amp; Apparels"/>
    <n v="230.6"/>
    <n v="1927.9399530000001"/>
    <n v="4.7837929890209365E-5"/>
    <n v="599"/>
    <n v="501"/>
    <n v="66"/>
    <n v="52"/>
    <n v="264"/>
    <n v="222"/>
    <n v="45"/>
    <n v="34"/>
    <n v="0.11018363939899833"/>
    <n v="0.10379241516966067"/>
    <n v="6.3912242293376609E-3"/>
    <n v="0.17045454545454544"/>
    <n v="0.15315315315315314"/>
    <n v="1.7301392301392299E-2"/>
    <n v="0.1956087824351298"/>
    <n v="0.26923076923076916"/>
    <n v="0.18918918918918926"/>
    <n v="0.32352941176470584"/>
  </r>
  <r>
    <s v="TAJGVK HOTELS &amp; RESORTS LTD."/>
    <n v="532390"/>
    <x v="6"/>
    <s v="Hotels &amp; Resorts"/>
    <n v="323.35000000000002"/>
    <n v="2027.4523939999999"/>
    <n v="5.0307129809197501E-5"/>
    <n v="349"/>
    <n v="324"/>
    <n v="73"/>
    <n v="66"/>
    <n v="136"/>
    <n v="126"/>
    <n v="29"/>
    <n v="33"/>
    <n v="0.20916905444126074"/>
    <n v="0.20370370370370369"/>
    <n v="5.4653507375570509E-3"/>
    <n v="0.21323529411764705"/>
    <n v="0.26190476190476192"/>
    <n v="-4.8669467787114867E-2"/>
    <n v="7.7160493827160392E-2"/>
    <n v="0.10606060606060597"/>
    <n v="7.9365079365079305E-2"/>
    <n v="-0.12121212121212122"/>
  </r>
  <r>
    <s v="ADF FOODS LTD."/>
    <n v="519183"/>
    <x v="5"/>
    <s v="Packaged Foods"/>
    <n v="178"/>
    <n v="1953.4846447"/>
    <n v="4.8471769740205776E-5"/>
    <n v="486"/>
    <n v="430"/>
    <n v="64"/>
    <n v="52"/>
    <n v="191"/>
    <n v="147"/>
    <n v="22"/>
    <n v="18"/>
    <n v="0.13168724279835392"/>
    <n v="0.12093023255813953"/>
    <n v="1.0757010240214387E-2"/>
    <n v="0.11518324607329843"/>
    <n v="0.12244897959183673"/>
    <n v="-7.265733518538306E-3"/>
    <n v="0.13023255813953494"/>
    <n v="0.23076923076923084"/>
    <n v="0.29931972789115657"/>
    <n v="0.22222222222222232"/>
  </r>
  <r>
    <s v="GUJARAT INDUSTRIES POWER CO.LT"/>
    <n v="517300"/>
    <x v="9"/>
    <s v="Power Generation"/>
    <n v="131.65"/>
    <n v="2044.8143517999999"/>
    <n v="5.0737931670376202E-5"/>
    <n v="1062"/>
    <n v="918"/>
    <n v="75"/>
    <n v="141"/>
    <n v="369"/>
    <n v="321"/>
    <n v="-3"/>
    <n v="39"/>
    <n v="7.0621468926553674E-2"/>
    <n v="0.15359477124183007"/>
    <n v="-8.2973302315276401E-2"/>
    <n v="-8.130081300813009E-3"/>
    <n v="0.12149532710280374"/>
    <n v="-0.12962540840361675"/>
    <n v="0.15686274509803932"/>
    <n v="-0.46808510638297873"/>
    <n v="0.14953271028037385"/>
    <n v="-1.0769230769230769"/>
  </r>
  <r>
    <s v="RAJRATAN GLOBAL WIRE LTD."/>
    <n v="517522"/>
    <x v="6"/>
    <s v="Auto Components &amp; Equipments"/>
    <n v="368.45"/>
    <n v="1877.0035622"/>
    <n v="4.6574046392095716E-5"/>
    <n v="845"/>
    <n v="684"/>
    <n v="54"/>
    <n v="43"/>
    <n v="302"/>
    <n v="218"/>
    <n v="20"/>
    <n v="9"/>
    <n v="6.3905325443786978E-2"/>
    <n v="6.2865497076023388E-2"/>
    <n v="1.03982836776359E-3"/>
    <n v="6.6225165562913912E-2"/>
    <n v="4.1284403669724773E-2"/>
    <n v="2.4940761893189139E-2"/>
    <n v="0.23538011695906436"/>
    <n v="0.2558139534883721"/>
    <n v="0.3853211009174311"/>
    <n v="1.2222222222222223"/>
  </r>
  <r>
    <s v="HONDA INDIA POWER PRODUCTS LIM"/>
    <n v="522064"/>
    <x v="4"/>
    <s v="Industrial Products"/>
    <n v="2012.3"/>
    <n v="2054.7811443000001"/>
    <n v="5.0985237464368048E-5"/>
    <n v="600"/>
    <n v="525"/>
    <n v="37"/>
    <n v="43"/>
    <n v="270"/>
    <n v="204"/>
    <n v="16"/>
    <n v="19"/>
    <n v="6.1666666666666668E-2"/>
    <n v="8.1904761904761911E-2"/>
    <n v="-2.0238095238095243E-2"/>
    <n v="5.9259259259259262E-2"/>
    <n v="9.3137254901960786E-2"/>
    <n v="-3.3877995642701525E-2"/>
    <n v="0.14285714285714279"/>
    <n v="-0.13953488372093026"/>
    <n v="0.32352941176470584"/>
    <n v="-0.15789473684210531"/>
  </r>
  <r>
    <s v="WINDSOR MACHINES LTD."/>
    <n v="522029"/>
    <x v="4"/>
    <s v="Industrial Products"/>
    <n v="232.6"/>
    <n v="2062.4790194000002"/>
    <n v="5.1176244662888093E-5"/>
    <n v="385"/>
    <n v="247"/>
    <n v="-10"/>
    <n v="0.79"/>
    <n v="135"/>
    <n v="107"/>
    <n v="-3"/>
    <n v="41"/>
    <n v="-2.5974025974025976E-2"/>
    <n v="3.1983805668016198E-3"/>
    <n v="-2.9172406540827596E-2"/>
    <n v="-2.2222222222222223E-2"/>
    <n v="0.38317757009345793"/>
    <n v="-0.40539979231568013"/>
    <n v="0.55870445344129549"/>
    <n v="-13.658227848101266"/>
    <n v="0.26168224299065423"/>
    <n v="-1.0731707317073171"/>
  </r>
  <r>
    <s v="IOL CHEMICALS &amp; PHARMACEUTICAL"/>
    <n v="524164"/>
    <x v="7"/>
    <s v="Pharmaceuticals"/>
    <n v="78.42"/>
    <n v="2300.9612705999998"/>
    <n v="5.7093699298968704E-5"/>
    <n v="1700"/>
    <n v="1551"/>
    <n v="84"/>
    <n v="70"/>
    <n v="580"/>
    <n v="523"/>
    <n v="21"/>
    <n v="20"/>
    <n v="4.9411764705882349E-2"/>
    <n v="4.5132172791747263E-2"/>
    <n v="4.2795919141350863E-3"/>
    <n v="3.6206896551724141E-2"/>
    <n v="3.8240917782026769E-2"/>
    <n v="-2.0340212303026281E-3"/>
    <n v="9.6067053513862133E-2"/>
    <n v="0.19999999999999996"/>
    <n v="0.10898661567877621"/>
    <n v="5.0000000000000044E-2"/>
  </r>
  <r>
    <s v="HPL Electric &amp; Power Limited"/>
    <n v="540136"/>
    <x v="4"/>
    <s v="Industrial Products"/>
    <n v="297"/>
    <n v="1911.0100468000001"/>
    <n v="4.7417848515484401E-5"/>
    <n v="1291"/>
    <n v="1207"/>
    <n v="60"/>
    <n v="56"/>
    <n v="473"/>
    <n v="392"/>
    <n v="19"/>
    <n v="18"/>
    <n v="4.6475600309837335E-2"/>
    <n v="4.6396023198011602E-2"/>
    <n v="7.9577111825733515E-5"/>
    <n v="4.0169133192389003E-2"/>
    <n v="4.5918367346938778E-2"/>
    <n v="-5.7492341545497747E-3"/>
    <n v="6.9594034797017423E-2"/>
    <n v="7.1428571428571397E-2"/>
    <n v="0.20663265306122458"/>
    <n v="5.555555555555558E-2"/>
  </r>
  <r>
    <s v="ARKADE DEVELOPERS LIMITED"/>
    <n v="544261"/>
    <x v="6"/>
    <s v="Residential, Commercial Projects"/>
    <n v="104.11"/>
    <n v="1939.0696393000001"/>
    <n v="4.8114090541422044E-5"/>
    <n v="629"/>
    <n v="560"/>
    <n v="114"/>
    <n v="123"/>
    <n v="199"/>
    <n v="264"/>
    <n v="40"/>
    <n v="45"/>
    <n v="0.18124006359300476"/>
    <n v="0.21964285714285714"/>
    <n v="-3.8402793549852376E-2"/>
    <n v="0.20100502512562815"/>
    <n v="0.17045454545454544"/>
    <n v="3.0550479671082709E-2"/>
    <n v="0.12321428571428572"/>
    <n v="-7.3170731707317027E-2"/>
    <n v="-0.24621212121212122"/>
    <n v="-0.11111111111111116"/>
  </r>
  <r>
    <s v="VINTAGE COFFEE AND BEVERAGES L"/>
    <n v="538920"/>
    <x v="10"/>
    <s v="Trading &amp; Distributors"/>
    <n v="133.30000000000001"/>
    <n v="1941.589369"/>
    <n v="4.8176612536748361E-5"/>
    <n v="387"/>
    <n v="203"/>
    <n v="51"/>
    <n v="24"/>
    <n v="150"/>
    <n v="88"/>
    <n v="19"/>
    <n v="12"/>
    <n v="0.13178294573643412"/>
    <n v="0.11822660098522167"/>
    <n v="1.3556344751212451E-2"/>
    <n v="0.12666666666666668"/>
    <n v="0.13636363636363635"/>
    <n v="-9.6969696969696761E-3"/>
    <n v="0.90640394088669951"/>
    <n v="1.125"/>
    <n v="0.70454545454545459"/>
    <n v="0.58333333333333326"/>
  </r>
  <r>
    <s v="Krsnaa Diagnostics Limited"/>
    <n v="543328"/>
    <x v="7"/>
    <s v="Healthcare Service Provider"/>
    <n v="563.45000000000005"/>
    <n v="1835.7612716000001"/>
    <n v="4.5550702380180611E-5"/>
    <n v="580"/>
    <n v="531"/>
    <n v="59"/>
    <n v="56"/>
    <n v="181"/>
    <n v="174"/>
    <n v="15"/>
    <n v="19"/>
    <n v="0.10172413793103448"/>
    <n v="0.10546139359698682"/>
    <n v="-3.7372556659523437E-3"/>
    <n v="8.2872928176795577E-2"/>
    <n v="0.10919540229885058"/>
    <n v="-2.6322474122055003E-2"/>
    <n v="9.227871939736354E-2"/>
    <n v="5.3571428571428603E-2"/>
    <n v="4.022988505747116E-2"/>
    <n v="-0.21052631578947367"/>
  </r>
  <r>
    <s v="SOLARA ACTIVE PHARMA SCIENCES"/>
    <n v="541540"/>
    <x v="7"/>
    <s v="Pharmaceuticals"/>
    <n v="471.35"/>
    <n v="2063.7522678"/>
    <n v="5.1207837746270818E-5"/>
    <n v="982"/>
    <n v="1011"/>
    <n v="-17"/>
    <n v="3"/>
    <n v="349"/>
    <n v="300"/>
    <n v="-17"/>
    <n v="8"/>
    <n v="-1.7311608961303463E-2"/>
    <n v="2.967359050445104E-3"/>
    <n v="-2.0278968011748569E-2"/>
    <n v="-4.8710601719197708E-2"/>
    <n v="2.6666666666666668E-2"/>
    <n v="-7.5377268385864379E-2"/>
    <n v="-2.8684470820969366E-2"/>
    <n v="-6.666666666666667"/>
    <n v="0.16333333333333333"/>
    <n v="-3.125"/>
  </r>
  <r>
    <s v="NUCLEUS SOFTWARE EXPORTS LTD."/>
    <n v="531209"/>
    <x v="3"/>
    <s v="Software Products"/>
    <n v="829"/>
    <n v="2184.8469089999999"/>
    <n v="5.4212556304435191E-5"/>
    <n v="651"/>
    <n v="603"/>
    <n v="82"/>
    <n v="98"/>
    <n v="220"/>
    <n v="205"/>
    <n v="20"/>
    <n v="34"/>
    <n v="0.1259600614439324"/>
    <n v="0.1625207296849088"/>
    <n v="-3.6560668240976396E-2"/>
    <n v="9.0909090909090912E-2"/>
    <n v="0.16585365853658537"/>
    <n v="-7.4944567627494463E-2"/>
    <n v="7.9601990049751326E-2"/>
    <n v="-0.16326530612244894"/>
    <n v="7.3170731707317138E-2"/>
    <n v="-0.41176470588235292"/>
  </r>
  <r>
    <s v="Uniparts India Limited"/>
    <n v="543689"/>
    <x v="6"/>
    <s v="Auto Components &amp; Equipments"/>
    <n v="469.35"/>
    <n v="2118.6775739999998"/>
    <n v="5.2570698110830042E-5"/>
    <n v="831"/>
    <n v="710"/>
    <n v="107"/>
    <n v="65"/>
    <n v="281"/>
    <n v="208"/>
    <n v="33"/>
    <n v="19"/>
    <n v="0.12876052948255115"/>
    <n v="9.154929577464789E-2"/>
    <n v="3.721123370790326E-2"/>
    <n v="0.11743772241992882"/>
    <n v="9.1346153846153841E-2"/>
    <n v="2.6091568573774981E-2"/>
    <n v="0.1704225352112676"/>
    <n v="0.64615384615384608"/>
    <n v="0.35096153846153855"/>
    <n v="0.73684210526315796"/>
  </r>
  <r>
    <s v="TCI Express Limited"/>
    <n v="540212"/>
    <x v="10"/>
    <s v="Logistics Solution Provider"/>
    <n v="495"/>
    <n v="1900.9715782999999"/>
    <n v="4.7168764226546446E-5"/>
    <n v="909"/>
    <n v="900"/>
    <n v="65"/>
    <n v="66"/>
    <n v="314"/>
    <n v="296"/>
    <n v="91"/>
    <n v="24"/>
    <n v="7.1507150715071507E-2"/>
    <n v="7.3333333333333334E-2"/>
    <n v="-1.8261826182618263E-3"/>
    <n v="0.28980891719745222"/>
    <n v="8.1081081081081086E-2"/>
    <n v="0.20872783611637113"/>
    <n v="1.0000000000000009E-2"/>
    <n v="-1.5151515151515138E-2"/>
    <n v="6.0810810810810745E-2"/>
    <n v="2.7916666666666665"/>
  </r>
  <r>
    <s v="GANESHA ECOSPHERE LTD."/>
    <n v="514167"/>
    <x v="6"/>
    <s v="Other Textile Products"/>
    <n v="1082.75"/>
    <n v="2893.055437"/>
    <n v="7.1785318286671248E-5"/>
    <n v="1057"/>
    <n v="1121"/>
    <n v="15"/>
    <n v="79"/>
    <n v="357"/>
    <n v="397"/>
    <n v="4"/>
    <n v="29"/>
    <n v="1.4191106906338695E-2"/>
    <n v="7.0472792149866195E-2"/>
    <n v="-5.6281685243527502E-2"/>
    <n v="1.1204481792717087E-2"/>
    <n v="7.3047858942065488E-2"/>
    <n v="-6.18433771493484E-2"/>
    <n v="-5.7091882247992887E-2"/>
    <n v="-0.810126582278481"/>
    <n v="-0.10075566750629728"/>
    <n v="-0.86206896551724133"/>
  </r>
  <r>
    <s v="Awfis Space Solutions Limited"/>
    <n v="544181"/>
    <x v="10"/>
    <s v="Diversified Commercial Services"/>
    <n v="268.35000000000002"/>
    <n v="1913.843574"/>
    <n v="4.7488156760990016E-5"/>
    <n v="1083"/>
    <n v="867"/>
    <n v="47"/>
    <n v="56"/>
    <n v="381"/>
    <n v="317"/>
    <n v="21"/>
    <n v="15"/>
    <n v="4.339796860572484E-2"/>
    <n v="6.4590542099192613E-2"/>
    <n v="-2.1192573493467773E-2"/>
    <n v="5.5118110236220472E-2"/>
    <n v="4.7318611987381701E-2"/>
    <n v="7.799498248838771E-3"/>
    <n v="0.24913494809688586"/>
    <n v="-0.1607142857142857"/>
    <n v="0.20189274447949535"/>
    <n v="0.39999999999999991"/>
  </r>
  <r>
    <s v="TeamLease Services Limited"/>
    <n v="539658"/>
    <x v="10"/>
    <s v="Diversified Commercial Services"/>
    <n v="1178.9000000000001"/>
    <n v="1975.1414672999999"/>
    <n v="4.9009139983283833E-5"/>
    <n v="8936"/>
    <n v="8298"/>
    <n v="95"/>
    <n v="76"/>
    <n v="3013"/>
    <n v="2921"/>
    <n v="42"/>
    <n v="28"/>
    <n v="1.0631154879140556E-2"/>
    <n v="9.1588334538443006E-3"/>
    <n v="1.4723214252962552E-3"/>
    <n v="1.3939595087952207E-2"/>
    <n v="9.5857583019513873E-3"/>
    <n v="4.3538367860008198E-3"/>
    <n v="7.6885996625692954E-2"/>
    <n v="0.25"/>
    <n v="3.1496062992125928E-2"/>
    <n v="0.5"/>
  </r>
  <r>
    <s v="BAJAJ HINDUSTHAN SUGAR LIMITED"/>
    <n v="500032"/>
    <x v="5"/>
    <s v="Sugar"/>
    <n v="17.28"/>
    <n v="4130.3823837"/>
    <n v="1.0248708347152368E-4"/>
    <n v="3786"/>
    <n v="4021"/>
    <n v="-264"/>
    <n v="-233"/>
    <n v="1380"/>
    <n v="1476"/>
    <n v="15"/>
    <n v="-101"/>
    <n v="-6.9730586370839939E-2"/>
    <n v="-5.7945784630688883E-2"/>
    <n v="-1.1784801740151056E-2"/>
    <n v="1.0869565217391304E-2"/>
    <n v="-6.8428184281842816E-2"/>
    <n v="7.9297749499234127E-2"/>
    <n v="-5.8443173339965182E-2"/>
    <n v="0.13304721030042921"/>
    <n v="-6.5040650406504086E-2"/>
    <n v="-1.1485148514851484"/>
  </r>
  <r>
    <s v="BHANSALI ENGINEERING POLYMERS"/>
    <n v="500052"/>
    <x v="8"/>
    <s v="Specialty Chemicals"/>
    <n v="88.28"/>
    <n v="2196.4242915"/>
    <n v="5.4499825631203035E-5"/>
    <n v="934"/>
    <n v="1052"/>
    <n v="128"/>
    <n v="140"/>
    <n v="301"/>
    <n v="345"/>
    <n v="42"/>
    <n v="40"/>
    <n v="0.13704496788008566"/>
    <n v="0.13307984790874525"/>
    <n v="3.9651199713404139E-3"/>
    <n v="0.13953488372093023"/>
    <n v="0.11594202898550725"/>
    <n v="2.3592854735422983E-2"/>
    <n v="-0.11216730038022815"/>
    <n v="-8.5714285714285743E-2"/>
    <n v="-0.12753623188405794"/>
    <n v="5.0000000000000044E-2"/>
  </r>
  <r>
    <s v="S H Kelkar and Company Limited"/>
    <n v="539450"/>
    <x v="8"/>
    <s v="Specialty Chemicals"/>
    <n v="120.65"/>
    <n v="1667.0004942999999"/>
    <n v="4.1363245078861519E-5"/>
    <n v="1718"/>
    <n v="1556"/>
    <n v="67"/>
    <n v="-29"/>
    <n v="584"/>
    <n v="544"/>
    <n v="33"/>
    <n v="17"/>
    <n v="3.8998835855646098E-2"/>
    <n v="-1.8637532133676093E-2"/>
    <n v="5.7636367989322188E-2"/>
    <n v="5.650684931506849E-2"/>
    <n v="3.125E-2"/>
    <n v="2.525684931506849E-2"/>
    <n v="0.10411311053984584"/>
    <n v="-3.3103448275862069"/>
    <n v="7.3529411764705843E-2"/>
    <n v="0.94117647058823528"/>
  </r>
  <r>
    <s v="PENNAR INDUSTRIES LTD."/>
    <n v="513228"/>
    <x v="4"/>
    <s v="Industrial Products"/>
    <n v="147.1"/>
    <n v="1983.0343677999999"/>
    <n v="4.9204986342586598E-5"/>
    <n v="2733"/>
    <n v="2341"/>
    <n v="98"/>
    <n v="84"/>
    <n v="943"/>
    <n v="840"/>
    <n v="33"/>
    <n v="30"/>
    <n v="3.5858031467252104E-2"/>
    <n v="3.5882101665954722E-2"/>
    <n v="-2.4070198702617895E-5"/>
    <n v="3.4994697773064687E-2"/>
    <n v="3.5714285714285712E-2"/>
    <n v="-7.1958794122102543E-4"/>
    <n v="0.16744980777445528"/>
    <n v="0.16666666666666674"/>
    <n v="0.12261904761904763"/>
    <n v="0.10000000000000009"/>
  </r>
  <r>
    <s v="PANACEA BIOTEC LTD."/>
    <n v="531349"/>
    <x v="7"/>
    <s v="Pharmaceuticals"/>
    <n v="324.8"/>
    <n v="1978.3989019999999"/>
    <n v="4.9089966635876435E-5"/>
    <n v="473"/>
    <n v="426"/>
    <n v="-6"/>
    <n v="-6"/>
    <n v="165"/>
    <n v="163"/>
    <n v="3"/>
    <n v="4"/>
    <n v="-1.2684989429175475E-2"/>
    <n v="-1.4084507042253521E-2"/>
    <n v="1.3995176130780461E-3"/>
    <n v="1.8181818181818181E-2"/>
    <n v="2.4539877300613498E-2"/>
    <n v="-6.3580591187953166E-3"/>
    <n v="0.11032863849765251"/>
    <n v="0"/>
    <n v="1.2269938650306678E-2"/>
    <n v="-0.25"/>
  </r>
  <r>
    <s v="VIMTA LABS LTD."/>
    <n v="524394"/>
    <x v="7"/>
    <s v="Healthcare Research, Analytics &amp; Technology"/>
    <n v="412.5"/>
    <n v="1846.4071961"/>
    <n v="4.5814859460931486E-5"/>
    <n v="298"/>
    <n v="249"/>
    <n v="56"/>
    <n v="48"/>
    <n v="98"/>
    <n v="89"/>
    <n v="17"/>
    <n v="17"/>
    <n v="0.18791946308724833"/>
    <n v="0.19277108433734941"/>
    <n v="-4.8516212501010791E-3"/>
    <n v="0.17346938775510204"/>
    <n v="0.19101123595505617"/>
    <n v="-1.7541848199954135E-2"/>
    <n v="0.19678714859437751"/>
    <n v="0.16666666666666674"/>
    <n v="0.101123595505618"/>
    <n v="0"/>
  </r>
  <r>
    <s v="Jaykay Enterprises Limited"/>
    <n v="500306"/>
    <x v="4"/>
    <s v="Aerospace &amp; Defense"/>
    <n v="142.5"/>
    <n v="1858.4137599999999"/>
    <n v="4.6112778055946211E-5"/>
    <n v="178"/>
    <n v="69"/>
    <n v="35"/>
    <n v="11"/>
    <n v="59"/>
    <n v="21"/>
    <n v="6"/>
    <n v="5"/>
    <n v="0.19662921348314608"/>
    <n v="0.15942028985507245"/>
    <n v="3.7208923628073626E-2"/>
    <n v="0.10169491525423729"/>
    <n v="0.23809523809523808"/>
    <n v="-0.13640032284100079"/>
    <n v="1.5797101449275361"/>
    <n v="2.1818181818181817"/>
    <n v="1.8095238095238093"/>
    <n v="0.19999999999999996"/>
  </r>
  <r>
    <s v="BF UTILITIES LTD."/>
    <n v="532430"/>
    <x v="10"/>
    <s v="Road Assets–Toll, Annuity, Hybrid-Annuity"/>
    <n v="411.5"/>
    <n v="1543.6194313999999"/>
    <n v="3.8301793591430409E-5"/>
    <n v="17"/>
    <n v="16"/>
    <n v="5"/>
    <n v="15"/>
    <n v="3"/>
    <n v="1"/>
    <n v="-2"/>
    <n v="-0.83"/>
    <n v="0.29411764705882354"/>
    <n v="0.9375"/>
    <n v="-0.64338235294117641"/>
    <n v="-0.66666666666666663"/>
    <n v="-0.83"/>
    <n v="0.16333333333333333"/>
    <n v="6.25E-2"/>
    <n v="-0.66666666666666674"/>
    <n v="2"/>
    <n v="1.4096385542168677"/>
  </r>
  <r>
    <s v="JAI CORP LTD."/>
    <n v="512237"/>
    <x v="4"/>
    <s v="Plastic Products - Industrial"/>
    <n v="97.32"/>
    <n v="1711.172775"/>
    <n v="4.2459290868010248E-5"/>
    <n v="393"/>
    <n v="382"/>
    <n v="148"/>
    <n v="43"/>
    <n v="116"/>
    <n v="126"/>
    <n v="17"/>
    <n v="12"/>
    <n v="0.37659033078880405"/>
    <n v="0.112565445026178"/>
    <n v="0.26402488576262606"/>
    <n v="0.14655172413793102"/>
    <n v="9.5238095238095233E-2"/>
    <n v="5.1313628899835789E-2"/>
    <n v="2.8795811518324665E-2"/>
    <n v="2.441860465116279"/>
    <n v="-7.9365079365079416E-2"/>
    <n v="0.41666666666666674"/>
  </r>
  <r>
    <s v="Hindware Home Innovation Limit"/>
    <n v="542905"/>
    <x v="6"/>
    <s v="Sanitary Ware"/>
    <n v="199.5"/>
    <n v="1669.4138685999999"/>
    <n v="4.1423128080083926E-5"/>
    <n v="1849"/>
    <n v="1824"/>
    <n v="-12"/>
    <n v="-22"/>
    <n v="640"/>
    <n v="594"/>
    <n v="5"/>
    <n v="-12"/>
    <n v="-6.4899945916711737E-3"/>
    <n v="-1.2061403508771929E-2"/>
    <n v="5.5714089171007555E-3"/>
    <n v="7.8125E-3"/>
    <n v="-2.0202020202020204E-2"/>
    <n v="2.8014520202020204E-2"/>
    <n v="1.3706140350877138E-2"/>
    <n v="-0.45454545454545459"/>
    <n v="7.7441077441077422E-2"/>
    <n v="-1.4166666666666667"/>
  </r>
  <r>
    <s v="VENKYS (INDIA) LTD."/>
    <n v="523261"/>
    <x v="5"/>
    <s v="Meat Products including Poultry"/>
    <n v="1325.15"/>
    <n v="1866.020608"/>
    <n v="4.6301526601119125E-5"/>
    <n v="2626"/>
    <n v="2463"/>
    <n v="37"/>
    <n v="103"/>
    <n v="960"/>
    <n v="881"/>
    <n v="48"/>
    <n v="20"/>
    <n v="1.408987052551409E-2"/>
    <n v="4.1818920016240359E-2"/>
    <n v="-2.7729049490726271E-2"/>
    <n v="0.05"/>
    <n v="2.2701475595913734E-2"/>
    <n v="2.7298524404086269E-2"/>
    <n v="6.6179455948030874E-2"/>
    <n v="-0.64077669902912615"/>
    <n v="8.9670828603859221E-2"/>
    <n v="1.4"/>
  </r>
  <r>
    <s v="K.P. Energy Limited"/>
    <n v="539686"/>
    <x v="9"/>
    <s v="Power Generation"/>
    <n v="287.5"/>
    <n v="1937.9493258"/>
    <n v="4.8086292228209716E-5"/>
    <n v="865"/>
    <n v="537"/>
    <n v="102"/>
    <n v="69"/>
    <n v="344"/>
    <n v="211"/>
    <n v="41"/>
    <n v="26"/>
    <n v="0.11791907514450867"/>
    <n v="0.12849162011173185"/>
    <n v="-1.057254496722318E-2"/>
    <n v="0.11918604651162791"/>
    <n v="0.12322274881516587"/>
    <n v="-4.0367023035379618E-3"/>
    <n v="0.61080074487895719"/>
    <n v="0.47826086956521729"/>
    <n v="0.63033175355450233"/>
    <n v="0.57692307692307687"/>
  </r>
  <r>
    <s v="MAHANAGAR TELEPHONE NIGAM LTD."/>
    <n v="500108"/>
    <x v="1"/>
    <s v="Telecom - Cellular &amp; Fixed line services"/>
    <n v="25.5"/>
    <n v="1609.0200576"/>
    <n v="3.9924577831190074E-5"/>
    <n v="660"/>
    <n v="817"/>
    <n v="-2800"/>
    <n v="-2500"/>
    <n v="197"/>
    <n v="261"/>
    <n v="-897"/>
    <n v="-836"/>
    <n v="-4.2424242424242422"/>
    <n v="-3.0599755201958385"/>
    <n v="-1.1824487222284037"/>
    <n v="-4.5532994923857872"/>
    <n v="-3.2030651340996168"/>
    <n v="-1.3502343582861704"/>
    <n v="-0.19216646266829862"/>
    <n v="0.12000000000000011"/>
    <n v="-0.24521072796934862"/>
    <n v="7.2966507177033568E-2"/>
  </r>
  <r>
    <s v="YATRA ONLINE LIMITED"/>
    <n v="543992"/>
    <x v="6"/>
    <s v="Tour, Travel Related Services"/>
    <n v="97.2"/>
    <n v="1534.5070438"/>
    <n v="3.8075688126650297E-5"/>
    <n v="817"/>
    <n v="572"/>
    <n v="38"/>
    <n v="21"/>
    <n v="256"/>
    <n v="235"/>
    <n v="8"/>
    <n v="10"/>
    <n v="4.6511627906976744E-2"/>
    <n v="3.6713286713286712E-2"/>
    <n v="9.7983411936900314E-3"/>
    <n v="3.125E-2"/>
    <n v="4.2553191489361701E-2"/>
    <n v="-1.1303191489361701E-2"/>
    <n v="0.42832167832167833"/>
    <n v="0.80952380952380953"/>
    <n v="8.9361702127659592E-2"/>
    <n v="-0.19999999999999996"/>
  </r>
  <r>
    <s v="Sasken Technologies Limited"/>
    <n v="532663"/>
    <x v="3"/>
    <s v="IT Enabled Services"/>
    <n v="1197"/>
    <n v="1816.300616"/>
    <n v="4.5067825578565662E-5"/>
    <n v="779"/>
    <n v="402"/>
    <n v="29"/>
    <n v="39"/>
    <n v="250"/>
    <n v="144"/>
    <n v="9"/>
    <n v="9"/>
    <n v="3.7227214377406934E-2"/>
    <n v="9.7014925373134331E-2"/>
    <n v="-5.9787710995727397E-2"/>
    <n v="3.5999999999999997E-2"/>
    <n v="6.25E-2"/>
    <n v="-2.6500000000000003E-2"/>
    <n v="0.93781094527363185"/>
    <n v="-0.25641025641025639"/>
    <n v="0.73611111111111116"/>
    <n v="0"/>
  </r>
  <r>
    <s v="INDIAN HUME PIPE CO.LTD."/>
    <n v="504741"/>
    <x v="4"/>
    <s v="Industrial Products"/>
    <n v="320.05"/>
    <n v="1688.3150889999999"/>
    <n v="4.189212362889633E-5"/>
    <n v="954"/>
    <n v="1099"/>
    <n v="118"/>
    <n v="58"/>
    <n v="282"/>
    <n v="380"/>
    <n v="61"/>
    <n v="14"/>
    <n v="0.12368972746331237"/>
    <n v="5.2775250227479524E-2"/>
    <n v="7.0914477235832857E-2"/>
    <n v="0.21631205673758866"/>
    <n v="3.6842105263157891E-2"/>
    <n v="0.17946995147443076"/>
    <n v="-0.13193812556869877"/>
    <n v="1.0344827586206895"/>
    <n v="-0.25789473684210529"/>
    <n v="3.3571428571428568"/>
  </r>
  <r>
    <s v="NITCO LTD."/>
    <n v="532722"/>
    <x v="6"/>
    <s v="Ceramics"/>
    <n v="87.76"/>
    <n v="2006.5988457000001"/>
    <n v="4.978969119292464E-5"/>
    <n v="389"/>
    <n v="220"/>
    <n v="36"/>
    <n v="-738"/>
    <n v="130"/>
    <n v="84"/>
    <n v="-11"/>
    <n v="-660"/>
    <n v="9.2544987146529561E-2"/>
    <n v="-3.3545454545454545"/>
    <n v="3.4470904416919841"/>
    <n v="-8.461538461538462E-2"/>
    <n v="-7.8571428571428568"/>
    <n v="7.7725274725274724"/>
    <n v="0.76818181818181808"/>
    <n v="-1.0487804878048781"/>
    <n v="0.54761904761904767"/>
    <n v="-0.98333333333333328"/>
  </r>
  <r>
    <s v="UGRO CAPITAL LIMITED"/>
    <n v="511742"/>
    <x v="2"/>
    <s v="Non Banking Financial Company (NBFC)"/>
    <n v="88.7"/>
    <n v="1358.2241220000001"/>
    <n v="3.3701584026163485E-5"/>
    <n v="1278"/>
    <n v="992"/>
    <n v="83"/>
    <n v="103"/>
    <n v="408"/>
    <n v="371"/>
    <n v="6"/>
    <n v="37"/>
    <n v="6.4945226917057897E-2"/>
    <n v="0.10383064516129033"/>
    <n v="-3.8885418244232431E-2"/>
    <n v="1.4705882352941176E-2"/>
    <n v="9.9730458221024262E-2"/>
    <n v="-8.5024575868083083E-2"/>
    <n v="0.28830645161290325"/>
    <n v="-0.19417475728155342"/>
    <n v="9.9730458221024332E-2"/>
    <n v="-0.8378378378378378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0">
  <r>
    <x v="0"/>
    <n v="500325"/>
    <x v="0"/>
    <x v="0"/>
    <n v="1303.5999999999999"/>
    <n v="1763144.2464381999"/>
    <n v="4.3762833950231977E-2"/>
    <n v="777054"/>
    <n v="715563"/>
    <n v="70809"/>
    <n v="55569"/>
    <n v="269496"/>
    <n v="243865"/>
    <n v="21723"/>
    <n v="20010"/>
    <n v="9.1124941123782902E-2"/>
    <n v="7.7657732442845698E-2"/>
    <n v="1.3467208680937204E-2"/>
    <n v="8.0606020126458275E-2"/>
    <n v="8.2053595226867324E-2"/>
    <n v="-1.4475751004090487E-3"/>
    <n v="8.5933733298116266E-2"/>
    <n v="0.27425363062138963"/>
    <n v="0.10510323334631866"/>
    <n v="8.5607196401799035E-2"/>
  </r>
  <r>
    <x v="1"/>
    <n v="532454"/>
    <x v="1"/>
    <x v="1"/>
    <n v="1790"/>
    <n v="1090476.4905969"/>
    <n v="2.7066612207724751E-2"/>
    <n v="155589"/>
    <n v="125109"/>
    <n v="24575"/>
    <n v="25005"/>
    <n v="53981"/>
    <n v="45129"/>
    <n v="8502"/>
    <n v="16134"/>
    <n v="0.15794818399758337"/>
    <n v="0.19986571709469342"/>
    <n v="-4.1917533097110049E-2"/>
    <n v="0.1574998610622256"/>
    <n v="0.35750847570298477"/>
    <n v="-0.20000861464075917"/>
    <n v="0.24362755677049619"/>
    <n v="-1.7196560687862461E-2"/>
    <n v="0.19614881783332216"/>
    <n v="-0.47303830420230564"/>
  </r>
  <r>
    <x v="2"/>
    <n v="532174"/>
    <x v="2"/>
    <x v="2"/>
    <n v="1229.8"/>
    <n v="876826.47490529995"/>
    <n v="2.1763625694247973E-2"/>
    <n v="227504"/>
    <n v="214839"/>
    <n v="39452"/>
    <n v="37526"/>
    <n v="76782"/>
    <n v="74626"/>
    <n v="12539"/>
    <n v="12883"/>
    <n v="0.17341233560728603"/>
    <n v="0.17467033452957798"/>
    <n v="-1.2579989222919474E-3"/>
    <n v="0.16330650412857181"/>
    <n v="0.17263420255674966"/>
    <n v="-9.3276984281778497E-3"/>
    <n v="5.8951121537523354E-2"/>
    <n v="5.1324415072216523E-2"/>
    <n v="2.8890735132527601E-2"/>
    <n v="-2.6701855157960086E-2"/>
  </r>
  <r>
    <x v="3"/>
    <n v="532540"/>
    <x v="3"/>
    <x v="3"/>
    <n v="2472.6"/>
    <n v="894572.01075000002"/>
    <n v="2.2204085934581872E-2"/>
    <n v="196323"/>
    <n v="190845"/>
    <n v="35670"/>
    <n v="36504"/>
    <n v="67087"/>
    <n v="63973"/>
    <n v="10720"/>
    <n v="12444"/>
    <n v="0.18169037759202947"/>
    <n v="0.19127564253713747"/>
    <n v="-9.5852649451080019E-3"/>
    <n v="0.1597925082355747"/>
    <n v="0.19451956294061556"/>
    <n v="-3.4727054705040866E-2"/>
    <n v="2.8703922030967499E-2"/>
    <n v="-2.2846811308349757E-2"/>
    <n v="4.8676785518890764E-2"/>
    <n v="-0.13854066216650596"/>
  </r>
  <r>
    <x v="4"/>
    <n v="500180"/>
    <x v="2"/>
    <x v="2"/>
    <n v="768.6"/>
    <n v="1183202.9674811999"/>
    <n v="2.9368167181956336E-2"/>
    <n v="378542"/>
    <n v="350647"/>
    <n v="55675"/>
    <n v="51957"/>
    <n v="126927"/>
    <n v="112193"/>
    <n v="19807"/>
    <n v="17657"/>
    <n v="0.14707747092792875"/>
    <n v="0.1481746599856836"/>
    <n v="-1.0971890577548549E-3"/>
    <n v="0.1560503281413726"/>
    <n v="0.15738058524150347"/>
    <n v="-1.3302571001308772E-3"/>
    <n v="7.9552940706750563E-2"/>
    <n v="7.1559173932290054E-2"/>
    <n v="0.1313272664069951"/>
    <n v="0.12176473919691899"/>
  </r>
  <r>
    <x v="5"/>
    <n v="500034"/>
    <x v="2"/>
    <x v="4"/>
    <n v="850.25"/>
    <n v="528700.22730000003"/>
    <n v="1.3122817547980352E-2"/>
    <n v="60917"/>
    <n v="51227"/>
    <n v="13779"/>
    <n v="12234"/>
    <n v="21215"/>
    <n v="18058"/>
    <n v="4066"/>
    <n v="4308"/>
    <n v="0.22619301672767864"/>
    <n v="0.23881937259648231"/>
    <n v="-1.2626355868803674E-2"/>
    <n v="0.19165684657082252"/>
    <n v="0.23856462509690995"/>
    <n v="-4.6907778526087435E-2"/>
    <n v="0.1891580611786754"/>
    <n v="0.12628739578224613"/>
    <n v="0.17482556207774946"/>
    <n v="-5.6174558960074283E-2"/>
  </r>
  <r>
    <x v="6"/>
    <n v="500510"/>
    <x v="4"/>
    <x v="5"/>
    <n v="3723.95"/>
    <n v="512093.19839999999"/>
    <n v="1.2710616079141042E-2"/>
    <n v="203112"/>
    <n v="181342"/>
    <n v="14186"/>
    <n v="11554"/>
    <n v="71450"/>
    <n v="64668"/>
    <n v="5173"/>
    <n v="4001"/>
    <n v="6.9843239198077903E-2"/>
    <n v="6.3713866616669057E-2"/>
    <n v="6.1293725814088457E-3"/>
    <n v="7.2400279916025198E-2"/>
    <n v="6.1869858353436009E-2"/>
    <n v="1.0530421562589189E-2"/>
    <n v="0.12004940940322695"/>
    <n v="0.22779989613986507"/>
    <n v="0.10487412630667414"/>
    <n v="0.29292676830792308"/>
  </r>
  <r>
    <x v="7"/>
    <n v="500696"/>
    <x v="5"/>
    <x v="6"/>
    <n v="2064.3000000000002"/>
    <n v="485049.54309470003"/>
    <n v="1.2710616079141042E-2"/>
    <n v="47464"/>
    <n v="45505"/>
    <n v="12065"/>
    <n v="8196"/>
    <n v="16197"/>
    <n v="15715"/>
    <n v="6603"/>
    <n v="2694"/>
    <n v="0.25419265127254342"/>
    <n v="0.18011207559608836"/>
    <n v="7.4080575676455068E-2"/>
    <n v="0.40766808668271903"/>
    <n v="0.17142857142857143"/>
    <n v="0.2362395152541476"/>
    <n v="4.3050214262168929E-2"/>
    <n v="0.47205954123962912"/>
    <n v="3.0671333121221833E-2"/>
    <n v="1.4510022271714922"/>
  </r>
  <r>
    <x v="8"/>
    <n v="500209"/>
    <x v="3"/>
    <x v="3"/>
    <n v="1306.6500000000001"/>
    <n v="528527.33039050002"/>
    <n v="1.3118526090400384E-2"/>
    <n v="132248"/>
    <n v="122064"/>
    <n v="20965"/>
    <n v="19712"/>
    <n v="45479"/>
    <n v="41764"/>
    <n v="6666"/>
    <n v="6822"/>
    <n v="0.15852791724638557"/>
    <n v="0.16148905492200813"/>
    <n v="-2.9611376756225605E-3"/>
    <n v="0.14657314364871699"/>
    <n v="0.16334642275644096"/>
    <n v="-1.6773279107723971E-2"/>
    <n v="8.3431642417092666E-2"/>
    <n v="6.3565340909090828E-2"/>
    <n v="8.8952207642946091E-2"/>
    <n v="-2.2867194371152144E-2"/>
  </r>
  <r>
    <x v="9"/>
    <n v="543526"/>
    <x v="2"/>
    <x v="7"/>
    <n v="744"/>
    <n v="470959.33563809999"/>
    <n v="1.1689636423382764E-2"/>
    <n v="697403"/>
    <n v="645069"/>
    <n v="33986"/>
    <n v="29282"/>
    <n v="234466"/>
    <n v="202930"/>
    <n v="12930"/>
    <n v="11009"/>
    <n v="4.8732225126648439E-2"/>
    <n v="4.5393593553557834E-2"/>
    <n v="3.3386315730906044E-3"/>
    <n v="5.5146588417936931E-2"/>
    <n v="5.4250234070861873E-2"/>
    <n v="8.9635434707505818E-4"/>
    <n v="8.112930554715847E-2"/>
    <n v="0.16064476470186473"/>
    <n v="0.15540334105356535"/>
    <n v="0.1744935961486056"/>
  </r>
  <r>
    <x v="10"/>
    <n v="532500"/>
    <x v="6"/>
    <x v="8"/>
    <n v="12680.35"/>
    <n v="398442.28824999998"/>
    <n v="9.8896977570952244E-3"/>
    <n v="130853"/>
    <n v="111992"/>
    <n v="11020"/>
    <n v="10589"/>
    <n v="49904"/>
    <n v="38764"/>
    <n v="3879"/>
    <n v="3726"/>
    <n v="8.4216640046464356E-2"/>
    <n v="9.455139652832345E-2"/>
    <n v="-1.0334756481859095E-2"/>
    <n v="7.7729240141070854E-2"/>
    <n v="9.6120111443607464E-2"/>
    <n v="-1.839087130253661E-2"/>
    <n v="0.16841381527251942"/>
    <n v="4.0702615922183494E-2"/>
    <n v="0.28738004333918066"/>
    <n v="4.106280193236711E-2"/>
  </r>
  <r>
    <x v="11"/>
    <n v="532215"/>
    <x v="2"/>
    <x v="2"/>
    <n v="1244.4000000000001"/>
    <n v="385677.54645969998"/>
    <n v="9.5728653274656135E-3"/>
    <n v="121069"/>
    <n v="115958"/>
    <n v="18862"/>
    <n v="20622"/>
    <n v="40898"/>
    <n v="38959"/>
    <n v="7044"/>
    <n v="6763"/>
    <n v="0.15579545548406282"/>
    <n v="0.1778402525052174"/>
    <n v="-2.2044797021154583E-2"/>
    <n v="0.17223336104454987"/>
    <n v="0.17359275135398752"/>
    <n v="-1.359390309437658E-3"/>
    <n v="4.4076303489194446E-2"/>
    <n v="-8.5345747260207494E-2"/>
    <n v="4.97702713108652E-2"/>
    <n v="4.1549608162058327E-2"/>
  </r>
  <r>
    <x v="12"/>
    <n v="524715"/>
    <x v="7"/>
    <x v="9"/>
    <n v="1687.15"/>
    <n v="404647.84775000002"/>
    <n v="1.0043725353257819E-2"/>
    <n v="43850"/>
    <n v="39619"/>
    <n v="8765"/>
    <n v="8779"/>
    <n v="15520"/>
    <n v="13675"/>
    <n v="3368"/>
    <n v="2903"/>
    <n v="0.19988597491448118"/>
    <n v="0.22158560286731113"/>
    <n v="-2.1699627952829953E-2"/>
    <n v="0.21701030927835052"/>
    <n v="0.2122851919561243"/>
    <n v="4.7251173222262188E-3"/>
    <n v="0.1067921956636968"/>
    <n v="-1.5947146599840645E-3"/>
    <n v="0.13491773308957944"/>
    <n v="0.16017912504305887"/>
  </r>
  <r>
    <x v="13"/>
    <n v="500520"/>
    <x v="6"/>
    <x v="8"/>
    <n v="3014.5"/>
    <n v="361894.30084330001"/>
    <n v="8.9825436729494262E-3"/>
    <n v="143664"/>
    <n v="116611"/>
    <n v="13362"/>
    <n v="10531"/>
    <n v="52100"/>
    <n v="41470"/>
    <n v="5021"/>
    <n v="3624"/>
    <n v="9.3008686936184429E-2"/>
    <n v="9.0308804486712232E-2"/>
    <n v="2.6998824494721962E-3"/>
    <n v="9.6372360844529756E-2"/>
    <n v="8.738847359537015E-2"/>
    <n v="8.9838872491596056E-3"/>
    <n v="0.23199355120871967"/>
    <n v="0.26882537270914453"/>
    <n v="0.25632987701953214"/>
    <n v="0.38548565121412803"/>
  </r>
  <r>
    <x v="14"/>
    <n v="500875"/>
    <x v="5"/>
    <x v="6"/>
    <n v="293.95"/>
    <n v="368296.4371944"/>
    <n v="9.1414504842474379E-3"/>
    <n v="66092"/>
    <n v="61236"/>
    <n v="15548"/>
    <n v="15245"/>
    <n v="21707"/>
    <n v="20350"/>
    <n v="5018"/>
    <n v="5013"/>
    <n v="0.23524783634933125"/>
    <n v="0.24895486315239401"/>
    <n v="-1.3707026803062766E-2"/>
    <n v="0.2311696687704427"/>
    <n v="0.24633906633906633"/>
    <n v="-1.5169397568623622E-2"/>
    <n v="7.9299758312104007E-2"/>
    <n v="1.9875368973433893E-2"/>
    <n v="6.6683046683046587E-2"/>
    <n v="9.974067424696198E-4"/>
  </r>
  <r>
    <x v="15"/>
    <n v="500114"/>
    <x v="6"/>
    <x v="10"/>
    <n v="4252.95"/>
    <n v="377233.7295291"/>
    <n v="9.3632821586542708E-3"/>
    <n v="56190"/>
    <n v="43246"/>
    <n v="3895"/>
    <n v="2466"/>
    <n v="24915"/>
    <n v="17550"/>
    <n v="1684"/>
    <n v="1047"/>
    <n v="6.931838405410215E-2"/>
    <n v="5.702261480830597E-2"/>
    <n v="1.229576924579618E-2"/>
    <n v="6.7589805338149705E-2"/>
    <n v="5.9658119658119659E-2"/>
    <n v="7.931685680030047E-3"/>
    <n v="0.29931091892891826"/>
    <n v="0.57948094079480938"/>
    <n v="0.41965811965811972"/>
    <n v="0.60840496657115573"/>
  </r>
  <r>
    <x v="16"/>
    <n v="532281"/>
    <x v="3"/>
    <x v="3"/>
    <n v="1404"/>
    <n v="380205.33351040003"/>
    <n v="9.4370400555831187E-3"/>
    <n v="96163"/>
    <n v="86809"/>
    <n v="12162"/>
    <n v="13090"/>
    <n v="33872"/>
    <n v="29890"/>
    <n v="4082"/>
    <n v="4594"/>
    <n v="0.12647275979326769"/>
    <n v="0.15079081662039651"/>
    <n v="-2.4318056827128814E-2"/>
    <n v="0.12051251771374587"/>
    <n v="0.15369688859150218"/>
    <n v="-3.3184370877756317E-2"/>
    <n v="0.10775380432904424"/>
    <n v="-7.0893812070282669E-2"/>
    <n v="0.1332218133154901"/>
    <n v="-0.11144971702220285"/>
  </r>
  <r>
    <x v="17"/>
    <n v="532538"/>
    <x v="8"/>
    <x v="11"/>
    <n v="10902.5"/>
    <n v="320580.57023999997"/>
    <n v="7.9570995347802067E-3"/>
    <n v="62712"/>
    <n v="52892"/>
    <n v="5188"/>
    <n v="3565"/>
    <n v="21830"/>
    <n v="17779"/>
    <n v="1729"/>
    <n v="1363"/>
    <n v="8.2727388697537957E-2"/>
    <n v="6.7401497390909781E-2"/>
    <n v="1.5325891306628175E-2"/>
    <n v="7.9202931745304628E-2"/>
    <n v="7.6663479385792224E-2"/>
    <n v="2.5394523595124036E-3"/>
    <n v="0.18566134765181874"/>
    <n v="0.4552594670406731"/>
    <n v="0.22785308510039926"/>
    <n v="0.26852531181217909"/>
  </r>
  <r>
    <x v="18"/>
    <n v="532555"/>
    <x v="9"/>
    <x v="12"/>
    <n v="365.45"/>
    <n v="353993.62940929999"/>
    <n v="8.7864418663275573E-3"/>
    <n v="137697"/>
    <n v="138303"/>
    <n v="16931"/>
    <n v="16056"/>
    <n v="45846"/>
    <n v="45059"/>
    <n v="5597"/>
    <n v="5170"/>
    <n v="0.12295837963063828"/>
    <n v="0.11609292640072884"/>
    <n v="6.8654532299094462E-3"/>
    <n v="0.12208262443833705"/>
    <n v="0.11473845402694245"/>
    <n v="7.344170411394596E-3"/>
    <n v="-4.381683694496874E-3"/>
    <n v="5.4496761335326438E-2"/>
    <n v="1.7465989036596463E-2"/>
    <n v="8.2591876208897519E-2"/>
  </r>
  <r>
    <x v="19"/>
    <n v="500112"/>
    <x v="2"/>
    <x v="13"/>
    <n v="1025.3"/>
    <n v="354763.614"/>
    <n v="8.8055535798785695E-3"/>
    <n v="528538"/>
    <n v="483781"/>
    <n v="65007"/>
    <n v="59076"/>
    <n v="185648"/>
    <n v="167853"/>
    <n v="21876"/>
    <n v="19175"/>
    <n v="0.12299399475534399"/>
    <n v="0.12211310489663711"/>
    <n v="8.8088985870687919E-4"/>
    <n v="0.11783590450745497"/>
    <n v="0.11423686201616891"/>
    <n v="3.5990424912860641E-3"/>
    <n v="9.251500162263504E-2"/>
    <n v="0.10039609993906162"/>
    <n v="0.10601538250731291"/>
    <n v="0.14086049543676671"/>
  </r>
  <r>
    <x v="20"/>
    <n v="500312"/>
    <x v="0"/>
    <x v="14"/>
    <n v="282.05"/>
    <n v="354763.614"/>
    <n v="8.8055535798785695E-3"/>
    <n v="488442"/>
    <n v="495511"/>
    <n v="36115"/>
    <n v="29364"/>
    <n v="167422"/>
    <n v="167212"/>
    <n v="11946"/>
    <n v="9746"/>
    <n v="7.3939178039562528E-2"/>
    <n v="5.9260036608672663E-2"/>
    <n v="1.4679141430889865E-2"/>
    <n v="7.1352629881377597E-2"/>
    <n v="5.8285290529387843E-2"/>
    <n v="1.3067339351989754E-2"/>
    <n v="-1.4266080874087539E-2"/>
    <n v="0.22990736956817881"/>
    <n v="1.2558907255459939E-3"/>
    <n v="0.22573363431151239"/>
  </r>
  <r>
    <x v="21"/>
    <n v="500049"/>
    <x v="4"/>
    <x v="15"/>
    <n v="427.5"/>
    <n v="312383.4100265"/>
    <n v="7.7536386086469455E-3"/>
    <n v="17385"/>
    <n v="14619"/>
    <n v="3835"/>
    <n v="3195"/>
    <n v="7153"/>
    <n v="5770"/>
    <n v="1579"/>
    <n v="1311"/>
    <n v="0.22059246476847857"/>
    <n v="0.21855120049250976"/>
    <n v="2.0412642759688182E-3"/>
    <n v="0.22074653991332308"/>
    <n v="0.22720970537261698"/>
    <n v="-6.4631654592939014E-3"/>
    <n v="0.18920582803201302"/>
    <n v="0.20031298904538342"/>
    <n v="0.239688041594454"/>
    <n v="0.20442410373760489"/>
  </r>
  <r>
    <x v="22"/>
    <n v="532921"/>
    <x v="10"/>
    <x v="16"/>
    <n v="1385.5"/>
    <n v="319006.15751510003"/>
    <n v="7.9180211877940658E-3"/>
    <n v="27998"/>
    <n v="21987"/>
    <n v="9474"/>
    <n v="8038"/>
    <n v="9705"/>
    <n v="7964"/>
    <n v="3043"/>
    <n v="2518"/>
    <n v="0.33838131295092505"/>
    <n v="0.36557966070860054"/>
    <n v="-2.719834775767549E-2"/>
    <n v="0.31354971664090675"/>
    <n v="0.31617277749874434"/>
    <n v="-2.6230608578375891E-3"/>
    <n v="0.27338882066675763"/>
    <n v="0.17865140582234385"/>
    <n v="0.21860873932697134"/>
    <n v="0.20849880857823666"/>
  </r>
  <r>
    <x v="23"/>
    <n v="532978"/>
    <x v="2"/>
    <x v="17"/>
    <n v="1668"/>
    <n v="266903.03276680002"/>
    <n v="6.6247745341215941E-3"/>
    <n v="112562"/>
    <n v="97226"/>
    <n v="14443"/>
    <n v="12801"/>
    <n v="39708"/>
    <n v="32042"/>
    <n v="4368"/>
    <n v="4412"/>
    <n v="0.12831150832430127"/>
    <n v="0.13166231255014091"/>
    <n v="-3.3508042258396376E-3"/>
    <n v="0.11000302206104563"/>
    <n v="0.1376942762624056"/>
    <n v="-2.7691254201359969E-2"/>
    <n v="0.15773558513154917"/>
    <n v="0.12827122881024922"/>
    <n v="0.23924848636165041"/>
    <n v="-9.9728014505893192E-3"/>
  </r>
  <r>
    <x v="24"/>
    <n v="500228"/>
    <x v="8"/>
    <x v="18"/>
    <n v="1130.5"/>
    <n v="275539.42259999999"/>
    <n v="6.8391375364473079E-3"/>
    <n v="134290"/>
    <n v="124005"/>
    <n v="6265"/>
    <n v="1990"/>
    <n v="45991"/>
    <n v="41378"/>
    <n v="2410"/>
    <n v="719"/>
    <n v="4.6652766401072306E-2"/>
    <n v="1.6047740010483449E-2"/>
    <n v="3.0605026390588857E-2"/>
    <n v="5.2401556826335585E-2"/>
    <n v="1.7376383585480208E-2"/>
    <n v="3.5025173240855377E-2"/>
    <n v="8.2940204024031239E-2"/>
    <n v="2.1482412060301508"/>
    <n v="0.11148436367151637"/>
    <n v="2.3518776077885954"/>
  </r>
  <r>
    <x v="25"/>
    <n v="532898"/>
    <x v="9"/>
    <x v="19"/>
    <n v="294.2"/>
    <n v="273809.74664329999"/>
    <n v="6.7962054157012682E-3"/>
    <n v="35067"/>
    <n v="33517"/>
    <n v="11382"/>
    <n v="11379"/>
    <n v="12395"/>
    <n v="11233"/>
    <n v="4185"/>
    <n v="3861"/>
    <n v="0.32457866370091537"/>
    <n v="0.33949935853447505"/>
    <n v="-1.4920694833559678E-2"/>
    <n v="0.33763614360629285"/>
    <n v="0.34371939820172703"/>
    <n v="-6.0832545954341843E-3"/>
    <n v="4.6245189008562892E-2"/>
    <n v="2.6364355391517158E-4"/>
    <n v="0.10344520608920149"/>
    <n v="8.3916083916083961E-2"/>
  </r>
  <r>
    <x v="26"/>
    <n v="532977"/>
    <x v="6"/>
    <x v="20"/>
    <n v="8920.15"/>
    <n v="249297.312875"/>
    <n v="6.1877846521220855E-3"/>
    <n v="45073"/>
    <n v="38348"/>
    <n v="7082"/>
    <n v="5523"/>
    <n v="16204"/>
    <n v="13169"/>
    <n v="2750"/>
    <n v="2196"/>
    <n v="0.15712288953475473"/>
    <n v="0.14402315635756754"/>
    <n v="1.3099733177187184E-2"/>
    <n v="0.1697111824240928"/>
    <n v="0.16675525856177387"/>
    <n v="2.9559238623189377E-3"/>
    <n v="0.1753676854073225"/>
    <n v="0.28227412638059035"/>
    <n v="0.23046548712886317"/>
    <n v="0.25227686703096541"/>
  </r>
  <r>
    <x v="27"/>
    <n v="500295"/>
    <x v="8"/>
    <x v="21"/>
    <n v="690.95"/>
    <n v="269396.58715769998"/>
    <n v="6.686666808094795E-3"/>
    <n v="59900"/>
    <n v="50666"/>
    <n v="15744"/>
    <n v="15574"/>
    <n v="23369"/>
    <n v="17063"/>
    <n v="7807"/>
    <n v="4876"/>
    <n v="0.26283806343906513"/>
    <n v="0.307385623495046"/>
    <n v="-4.4547560055980873E-2"/>
    <n v="0.33407505669904575"/>
    <n v="0.28576451972103384"/>
    <n v="4.8310536978011909E-2"/>
    <n v="0.18225239805786919"/>
    <n v="1.0915628611788852E-2"/>
    <n v="0.36957158764578324"/>
    <n v="0.60110746513535696"/>
  </r>
  <r>
    <x v="28"/>
    <n v="512599"/>
    <x v="8"/>
    <x v="22"/>
    <n v="1894.05"/>
    <n v="243419.193"/>
    <n v="6.0418844034334993E-3"/>
    <n v="68029"/>
    <n v="70929"/>
    <n v="10117"/>
    <n v="3990"/>
    <n v="24820"/>
    <n v="22848"/>
    <n v="5727"/>
    <n v="229"/>
    <n v="0.14871598876949535"/>
    <n v="5.6253436535126676E-2"/>
    <n v="9.2462552234368667E-2"/>
    <n v="0.23074133763094279"/>
    <n v="1.0022759103641457E-2"/>
    <n v="0.22071857852730134"/>
    <n v="-4.0885956378914123E-2"/>
    <n v="1.5355889724310776"/>
    <n v="8.6309523809523725E-2"/>
    <n v="24.008733624454148"/>
  </r>
  <r>
    <x v="29"/>
    <n v="541154"/>
    <x v="4"/>
    <x v="15"/>
    <n v="3748.8"/>
    <n v="250677.76070499999"/>
    <n v="6.222048615086709E-3"/>
    <n v="19146"/>
    <n v="17281"/>
    <n v="4919"/>
    <n v="4387"/>
    <n v="7698"/>
    <n v="6957"/>
    <n v="1866"/>
    <n v="1439"/>
    <n v="0.25692050558863472"/>
    <n v="0.25386262369075863"/>
    <n v="3.0578818978760913E-3"/>
    <n v="0.24240062353858144"/>
    <n v="0.20684202961046427"/>
    <n v="3.5558593928117166E-2"/>
    <n v="0.1079219952549042"/>
    <n v="0.12126738089810796"/>
    <n v="0.10651142733937036"/>
    <n v="0.29673384294649052"/>
  </r>
  <r>
    <x v="30"/>
    <n v="500470"/>
    <x v="8"/>
    <x v="18"/>
    <n v="196"/>
    <n v="244482.01698280001"/>
    <n v="6.0682646554018581E-3"/>
    <n v="168869"/>
    <n v="162324"/>
    <n v="7921"/>
    <n v="1973"/>
    <n v="57002"/>
    <n v="53648"/>
    <n v="2730"/>
    <n v="295"/>
    <n v="4.6906181714820361E-2"/>
    <n v="1.2154702939799414E-2"/>
    <n v="3.4751478775020946E-2"/>
    <n v="4.7893056383986526E-2"/>
    <n v="5.4988070384730092E-3"/>
    <n v="4.2394249345513516E-2"/>
    <n v="4.0320593381139025E-2"/>
    <n v="3.0146984287886465"/>
    <n v="6.2518640023859318E-2"/>
    <n v="8.2542372881355934"/>
  </r>
  <r>
    <x v="31"/>
    <n v="533278"/>
    <x v="0"/>
    <x v="23"/>
    <n v="458.75"/>
    <n v="282684.3408828"/>
    <n v="7.0164808667107365E-3"/>
    <n v="100953"/>
    <n v="105544"/>
    <n v="20163"/>
    <n v="25710"/>
    <n v="34924"/>
    <n v="36857"/>
    <n v="7166"/>
    <n v="8491"/>
    <n v="0.19972660545006091"/>
    <n v="0.24359508830440385"/>
    <n v="-4.3868482854342944E-2"/>
    <n v="0.20518840911693964"/>
    <n v="0.23037686192582141"/>
    <n v="-2.5188452808881767E-2"/>
    <n v="-4.3498446145683323E-2"/>
    <n v="-0.2157526254375729"/>
    <n v="-5.2445939712944645E-2"/>
    <n v="-0.15604757979036632"/>
  </r>
  <r>
    <x v="32"/>
    <n v="500188"/>
    <x v="8"/>
    <x v="24"/>
    <n v="524.65"/>
    <n v="221702.44061779999"/>
    <n v="5.502854978949122E-3"/>
    <n v="27300"/>
    <n v="24996"/>
    <n v="8799"/>
    <n v="7350"/>
    <n v="10980"/>
    <n v="8614"/>
    <n v="3916"/>
    <n v="2678"/>
    <n v="0.3223076923076923"/>
    <n v="0.29404704752760441"/>
    <n v="2.8260644780087885E-2"/>
    <n v="0.35664845173041893"/>
    <n v="0.31088925005804502"/>
    <n v="4.5759201672373906E-2"/>
    <n v="9.2174747959673509E-2"/>
    <n v="0.19714285714285706"/>
    <n v="0.274669143255166"/>
    <n v="0.46228528752800591"/>
  </r>
  <r>
    <x v="33"/>
    <n v="530965"/>
    <x v="0"/>
    <x v="0"/>
    <n v="133.4"/>
    <n v="188405.58149429999"/>
    <n v="4.6763968375748838E-3"/>
    <n v="664553"/>
    <n v="638002"/>
    <n v="28501"/>
    <n v="5421"/>
    <n v="236257"/>
    <n v="219522"/>
    <n v="13502"/>
    <n v="2147"/>
    <n v="4.2887474738658921E-2"/>
    <n v="8.4968385679041764E-3"/>
    <n v="3.4390636170754746E-2"/>
    <n v="5.7149629428969298E-2"/>
    <n v="9.7803409225499047E-3"/>
    <n v="4.7369288506419395E-2"/>
    <n v="4.1615857003583168E-2"/>
    <n v="4.2575170632724593"/>
    <n v="7.62338171117245E-2"/>
    <n v="5.2887750349324643"/>
  </r>
  <r>
    <x v="34"/>
    <n v="500790"/>
    <x v="5"/>
    <x v="25"/>
    <n v="1212"/>
    <n v="233673.09993550001"/>
    <n v="5.7999775638162389E-3"/>
    <n v="16406"/>
    <n v="16697"/>
    <n v="2388"/>
    <n v="2334"/>
    <n v="5667"/>
    <n v="4779"/>
    <n v="998"/>
    <n v="688"/>
    <n v="0.1455565037181519"/>
    <n v="0.13978559022578907"/>
    <n v="5.7709134923628336E-3"/>
    <n v="0.17610728780659962"/>
    <n v="0.14396317221175978"/>
    <n v="3.2144115594839845E-2"/>
    <n v="-1.7428280529436457E-2"/>
    <n v="2.3136246786632286E-2"/>
    <n v="0.18581293157564338"/>
    <n v="0.45058139534883712"/>
  </r>
  <r>
    <x v="35"/>
    <n v="540376"/>
    <x v="6"/>
    <x v="26"/>
    <n v="4545.1000000000004"/>
    <n v="296315.45640000002"/>
    <n v="7.3548174753805843E-3"/>
    <n v="51136"/>
    <n v="44486"/>
    <n v="2313"/>
    <n v="2157"/>
    <n v="18100"/>
    <n v="15972"/>
    <n v="856"/>
    <n v="723"/>
    <n v="4.5232321652065081E-2"/>
    <n v="4.8487164501191386E-2"/>
    <n v="-3.2548428491263048E-3"/>
    <n v="4.7292817679558008E-2"/>
    <n v="4.5266716754320063E-2"/>
    <n v="2.0261009252379447E-3"/>
    <n v="0.14948523130872626"/>
    <n v="7.2322670375521536E-2"/>
    <n v="0.13323315802654645"/>
    <n v="0.1839557399723375"/>
  </r>
  <r>
    <x v="36"/>
    <n v="500820"/>
    <x v="6"/>
    <x v="27"/>
    <n v="2184.6"/>
    <n v="209356.97328000001"/>
    <n v="5.1964293202240459E-3"/>
    <n v="26288"/>
    <n v="25468"/>
    <n v="3209"/>
    <n v="3009"/>
    <n v="8850"/>
    <n v="8521"/>
    <n v="1074"/>
    <n v="1128"/>
    <n v="0.12207090687766281"/>
    <n v="0.11814826448877022"/>
    <n v="3.9226423888925888E-3"/>
    <n v="0.12135593220338983"/>
    <n v="0.13237882877596527"/>
    <n v="-1.1022896572575436E-2"/>
    <n v="3.2197267158787568E-2"/>
    <n v="6.6467264872050569E-2"/>
    <n v="3.8610491726323248E-2"/>
    <n v="-4.7872340425531901E-2"/>
  </r>
  <r>
    <x v="37"/>
    <n v="543320"/>
    <x v="6"/>
    <x v="28"/>
    <n v="232.7"/>
    <n v="212021.45298999999"/>
    <n v="5.2625641151213161E-3"/>
    <n v="37072"/>
    <n v="14410"/>
    <n v="192"/>
    <n v="488"/>
    <n v="16315"/>
    <n v="5405"/>
    <n v="102"/>
    <n v="59"/>
    <n v="5.1791109192921882E-3"/>
    <n v="3.3865371269951421E-2"/>
    <n v="-2.8686260350659232E-2"/>
    <n v="6.251915415262029E-3"/>
    <n v="1.091581868640148E-2"/>
    <n v="-4.6639032711394508E-3"/>
    <n v="1.5726578764746701"/>
    <n v="-0.60655737704918034"/>
    <n v="2.0185013876040703"/>
    <n v="0.72881355932203395"/>
  </r>
  <r>
    <x v="38"/>
    <n v="505200"/>
    <x v="6"/>
    <x v="20"/>
    <n v="6608.7"/>
    <n v="180967.64872669999"/>
    <n v="4.4917806229350238E-3"/>
    <n v="17327"/>
    <n v="13629"/>
    <n v="3995"/>
    <n v="3372"/>
    <n v="6114"/>
    <n v="4973"/>
    <n v="1421"/>
    <n v="1170"/>
    <n v="0.23056501413978184"/>
    <n v="0.24741360334580673"/>
    <n v="-1.6848589206024889E-2"/>
    <n v="0.23241740268236832"/>
    <n v="0.23527046048662778"/>
    <n v="-2.8530578042594568E-3"/>
    <n v="0.27133318658742378"/>
    <n v="0.18475682087781742"/>
    <n v="0.22943897044037809"/>
    <n v="0.21452991452991443"/>
  </r>
  <r>
    <x v="39"/>
    <n v="500440"/>
    <x v="8"/>
    <x v="29"/>
    <n v="930.25"/>
    <n v="207914.02170859999"/>
    <n v="5.1606139578990566E-3"/>
    <n v="196811"/>
    <n v="173606"/>
    <n v="10794"/>
    <n v="10718"/>
    <n v="66521"/>
    <n v="58390"/>
    <n v="2049"/>
    <n v="3735"/>
    <n v="5.4844495480435546E-2"/>
    <n v="6.1737497551927929E-2"/>
    <n v="-6.8930020714923837E-3"/>
    <n v="3.0802303032125194E-2"/>
    <n v="6.396643260832334E-2"/>
    <n v="-3.3164129576198145E-2"/>
    <n v="0.13366473508980103"/>
    <n v="7.0908751632767775E-3"/>
    <n v="0.13925329679739673"/>
    <n v="-0.45140562248995986"/>
  </r>
  <r>
    <x v="40"/>
    <n v="507685"/>
    <x v="3"/>
    <x v="3"/>
    <n v="197.05"/>
    <n v="206408.007476"/>
    <n v="5.123233323319043E-3"/>
    <n v="68387"/>
    <n v="66584"/>
    <n v="9743"/>
    <n v="9629"/>
    <n v="23555"/>
    <n v="22318"/>
    <n v="3145"/>
    <n v="3366"/>
    <n v="0.14246859783292146"/>
    <n v="0.14461432175898115"/>
    <n v="-2.1457239260596894E-3"/>
    <n v="0.13351729993631925"/>
    <n v="0.15081996594676941"/>
    <n v="-1.7302666010450163E-2"/>
    <n v="2.7078577436020712E-2"/>
    <n v="1.183923564233047E-2"/>
    <n v="5.5426113451026104E-2"/>
    <n v="-6.5656565656565635E-2"/>
  </r>
  <r>
    <x v="41"/>
    <n v="540719"/>
    <x v="2"/>
    <x v="7"/>
    <n v="1840"/>
    <n v="184335.984"/>
    <n v="4.5753857491474268E-3"/>
    <n v="107308"/>
    <n v="92949"/>
    <n v="1665"/>
    <n v="1599"/>
    <n v="45803"/>
    <n v="18542"/>
    <n v="576"/>
    <n v="550"/>
    <n v="1.551608454169307E-2"/>
    <n v="1.7202982280605492E-2"/>
    <n v="-1.6868977389124223E-3"/>
    <n v="1.2575595485011899E-2"/>
    <n v="2.9662388091899472E-2"/>
    <n v="-1.7086792606887571E-2"/>
    <n v="0.15448256570807639"/>
    <n v="4.1275797373358403E-2"/>
    <n v="1.4702297486786753"/>
    <n v="4.7272727272727355E-2"/>
  </r>
  <r>
    <x v="42"/>
    <n v="511218"/>
    <x v="2"/>
    <x v="4"/>
    <n v="925.7"/>
    <n v="174204.69093129999"/>
    <n v="4.3239178972332495E-3"/>
    <n v="35660"/>
    <n v="30399"/>
    <n v="7003"/>
    <n v="7432"/>
    <n v="12196"/>
    <n v="10705"/>
    <n v="2529"/>
    <n v="3248"/>
    <n v="0.19638250140213123"/>
    <n v="0.24448172637257803"/>
    <n v="-4.8099224970446802E-2"/>
    <n v="0.20736306985897016"/>
    <n v="0.30340962167211583"/>
    <n v="-9.604655181314567E-2"/>
    <n v="0.17306490345077141"/>
    <n v="-5.7723358449946138E-2"/>
    <n v="0.13928070994862218"/>
    <n v="-0.22136699507389157"/>
  </r>
  <r>
    <x v="43"/>
    <n v="500300"/>
    <x v="8"/>
    <x v="11"/>
    <n v="2587.5"/>
    <n v="175072.26564"/>
    <n v="4.3454518857273614E-3"/>
    <n v="124330"/>
    <n v="104211"/>
    <n v="6498"/>
    <n v="4783"/>
    <n v="44312"/>
    <n v="35378"/>
    <n v="2233"/>
    <n v="1734"/>
    <n v="5.226413576771495E-2"/>
    <n v="4.5897266123537825E-2"/>
    <n v="6.3668696441771255E-3"/>
    <n v="5.039267015706806E-2"/>
    <n v="4.9013511221663184E-2"/>
    <n v="1.3791589354048769E-3"/>
    <n v="0.19306023356459501"/>
    <n v="0.35856157223499885"/>
    <n v="0.25252982079258302"/>
    <n v="0.28777393310265276"/>
  </r>
  <r>
    <x v="44"/>
    <n v="532343"/>
    <x v="6"/>
    <x v="20"/>
    <n v="3493.8"/>
    <n v="168029.55483109999"/>
    <n v="4.1706454373542229E-3"/>
    <n v="41032"/>
    <n v="32685"/>
    <n v="2367"/>
    <n v="1682"/>
    <n v="14745"/>
    <n v="11100"/>
    <n v="891"/>
    <n v="609"/>
    <n v="5.7686683564047575E-2"/>
    <n v="5.1460914792718374E-2"/>
    <n v="6.2257687713292015E-3"/>
    <n v="6.0427263479145475E-2"/>
    <n v="5.4864864864864867E-2"/>
    <n v="5.5623986142806087E-3"/>
    <n v="0.2553770842894294"/>
    <n v="0.40725326991676569"/>
    <n v="0.32837837837837847"/>
    <n v="0.46305418719211833"/>
  </r>
  <r>
    <x v="45"/>
    <n v="539448"/>
    <x v="10"/>
    <x v="30"/>
    <n v="4314.3500000000004"/>
    <n v="166730.42427349999"/>
    <n v="4.1383998425954431E-3"/>
    <n v="62523"/>
    <n v="58651"/>
    <n v="143"/>
    <n v="4190"/>
    <n v="23471"/>
    <n v="22110"/>
    <n v="549"/>
    <n v="2448"/>
    <n v="2.2871583257361291E-3"/>
    <n v="7.1439532147789461E-2"/>
    <n v="-6.9152373822053331E-2"/>
    <n v="2.3390567082783007E-2"/>
    <n v="0.11071913161465401"/>
    <n v="-8.7328564531871003E-2"/>
    <n v="6.6017629707933345E-2"/>
    <n v="-0.96587112171837708"/>
    <n v="6.1555857078245069E-2"/>
    <n v="-0.77573529411764708"/>
  </r>
  <r>
    <x v="46"/>
    <n v="544274"/>
    <x v="6"/>
    <x v="8"/>
    <n v="1693.95"/>
    <n v="137563.19130000001"/>
    <n v="3.4144427551446566E-3"/>
    <n v="51847"/>
    <n v="51252"/>
    <n v="4175"/>
    <n v="4025"/>
    <n v="17973"/>
    <n v="16647"/>
    <n v="1234"/>
    <n v="1160"/>
    <n v="8.0525392018824624E-2"/>
    <n v="7.8533520643096849E-2"/>
    <n v="1.9918713757277745E-3"/>
    <n v="6.8658543370611474E-2"/>
    <n v="6.968222502553012E-2"/>
    <n v="-1.0236816549186456E-3"/>
    <n v="1.1609303051588249E-2"/>
    <n v="3.7267080745341685E-2"/>
    <n v="7.9653991710218142E-2"/>
    <n v="6.3793103448275934E-2"/>
  </r>
  <r>
    <x v="47"/>
    <n v="532488"/>
    <x v="7"/>
    <x v="9"/>
    <n v="5813.9"/>
    <n v="154436.35805000001"/>
    <n v="3.8332500059901466E-3"/>
    <n v="7729"/>
    <n v="6775"/>
    <n v="1817"/>
    <n v="1529"/>
    <n v="2604"/>
    <n v="2319"/>
    <n v="583"/>
    <n v="589"/>
    <n v="0.2350886272480269"/>
    <n v="0.22568265682656827"/>
    <n v="9.4059704214586315E-3"/>
    <n v="0.22388632872503841"/>
    <n v="0.2539887882708064"/>
    <n v="-3.0102459545767984E-2"/>
    <n v="0.14081180811808114"/>
    <n v="0.18835840418574223"/>
    <n v="0.12289780077619672"/>
    <n v="-1.018675721561968E-2"/>
  </r>
  <r>
    <x v="48"/>
    <n v="532134"/>
    <x v="2"/>
    <x v="13"/>
    <n v="258.5"/>
    <n v="133555.57423609999"/>
    <n v="3.3149700770255097E-3"/>
    <n v="116837"/>
    <n v="112988"/>
    <n v="14045"/>
    <n v="15296"/>
    <n v="39999"/>
    <n v="37732"/>
    <n v="5442"/>
    <n v="5213"/>
    <n v="0.1202102073829352"/>
    <n v="0.13537720819910079"/>
    <n v="-1.5167000816165593E-2"/>
    <n v="0.13605340133503338"/>
    <n v="0.138158592176402"/>
    <n v="-2.1051908413686204E-3"/>
    <n v="3.4065564484724087E-2"/>
    <n v="-8.1786087866108748E-2"/>
    <n v="6.0081628326089209E-2"/>
    <n v="4.3928639938614955E-2"/>
  </r>
  <r>
    <x v="49"/>
    <n v="543940"/>
    <x v="2"/>
    <x v="31"/>
    <n v="233.7"/>
    <n v="148853.15649620001"/>
    <n v="3.6946698966183688E-3"/>
    <n v="2522"/>
    <n v="1560"/>
    <n v="1288"/>
    <n v="1296"/>
    <n v="901"/>
    <n v="448"/>
    <n v="268"/>
    <n v="294"/>
    <n v="0.51070578905630448"/>
    <n v="0.83076923076923082"/>
    <n v="-0.32006344171292633"/>
    <n v="0.29744728079911209"/>
    <n v="0.65625"/>
    <n v="-0.35880271920088791"/>
    <n v="0.6166666666666667"/>
    <n v="-6.1728395061728669E-3"/>
    <n v="1.0111607142857144"/>
    <n v="-8.8435374149659851E-2"/>
  </r>
  <r>
    <x v="50"/>
    <n v="540777"/>
    <x v="2"/>
    <x v="7"/>
    <n v="580.70000000000005"/>
    <n v="125273.1941633"/>
    <n v="3.1093939169518927E-3"/>
    <n v="78864"/>
    <n v="72218"/>
    <n v="1414"/>
    <n v="1335"/>
    <n v="29157"/>
    <n v="16979"/>
    <n v="418"/>
    <n v="421"/>
    <n v="1.7929600324609454E-2"/>
    <n v="1.8485696086848153E-2"/>
    <n v="-5.5609576223869875E-4"/>
    <n v="1.4336179991082759E-2"/>
    <n v="2.4795335414335356E-2"/>
    <n v="-1.0459155423252597E-2"/>
    <n v="9.2026918496773691E-2"/>
    <n v="5.9176029962546783E-2"/>
    <n v="0.71723894222274565"/>
    <n v="-7.1258907363420665E-3"/>
  </r>
  <r>
    <x v="51"/>
    <n v="544658"/>
    <x v="2"/>
    <x v="32"/>
    <n v="2928"/>
    <n v="144744.36240000001"/>
    <n v="3.5926859131008883E-3"/>
    <n v="4248"/>
    <n v="3414"/>
    <n v="2535"/>
    <n v="1959"/>
    <n v="1515"/>
    <n v="1227"/>
    <n v="917"/>
    <n v="632"/>
    <n v="0.59675141242937857"/>
    <n v="0.57381370826010547"/>
    <n v="2.2937704169273099E-2"/>
    <n v="0.6052805280528053"/>
    <n v="0.51507742461287698"/>
    <n v="9.0203103439928323E-2"/>
    <n v="0.24428822495606317"/>
    <n v="0.29402756508422656"/>
    <n v="0.23471882640586794"/>
    <n v="0.45094936708860756"/>
  </r>
  <r>
    <x v="52"/>
    <n v="532477"/>
    <x v="2"/>
    <x v="13"/>
    <n v="173.7"/>
    <n v="132638.9851896"/>
    <n v="3.2922195083618208E-3"/>
    <n v="95724"/>
    <n v="94571"/>
    <n v="13446"/>
    <n v="12919"/>
    <n v="32001"/>
    <n v="31334"/>
    <n v="5028"/>
    <n v="4597"/>
    <n v="0.1404663407295976"/>
    <n v="0.13660635924331985"/>
    <n v="3.8599814862777526E-3"/>
    <n v="0.1571200899971876"/>
    <n v="0.14670964447564946"/>
    <n v="1.0410445521538136E-2"/>
    <n v="1.2191898150595959E-2"/>
    <n v="4.0792631008591984E-2"/>
    <n v="2.1286781132316301E-2"/>
    <n v="9.3756797911681566E-2"/>
  </r>
  <r>
    <x v="53"/>
    <n v="540180"/>
    <x v="5"/>
    <x v="33"/>
    <n v="401.05"/>
    <n v="135554.36347139999"/>
    <n v="3.3645818326051525E-3"/>
    <n v="22225"/>
    <n v="20481"/>
    <n v="195"/>
    <n v="3062"/>
    <n v="4334"/>
    <n v="3817"/>
    <n v="260"/>
    <n v="195"/>
    <n v="8.7739032620922381E-3"/>
    <n v="0.14950441872955422"/>
    <n v="-0.14073051546746199"/>
    <n v="5.9990770650669129E-2"/>
    <n v="5.1087241288970395E-2"/>
    <n v="8.9035293616987338E-3"/>
    <n v="8.5152092182998906E-2"/>
    <n v="-0.9363161332462443"/>
    <n v="0.13544668587896247"/>
    <n v="0.33333333333333326"/>
  </r>
  <r>
    <x v="54"/>
    <n v="500331"/>
    <x v="8"/>
    <x v="34"/>
    <n v="1282.55"/>
    <n v="65258.775711900002"/>
    <n v="1.6197818023367346E-3"/>
    <n v="11017"/>
    <n v="9999"/>
    <n v="1887"/>
    <n v="1669"/>
    <n v="3710"/>
    <n v="3369"/>
    <n v="624"/>
    <n v="557"/>
    <n v="0.17128074793500953"/>
    <n v="0.16691669166916692"/>
    <n v="4.364056265842603E-3"/>
    <n v="0.16819407008086254"/>
    <n v="0.16533095874146631"/>
    <n v="2.8631113393962349E-3"/>
    <n v="0.1018101810181018"/>
    <n v="0.13061713600958669"/>
    <n v="0.10121697833184928"/>
    <n v="0.12028725314183131"/>
  </r>
  <r>
    <x v="55"/>
    <n v="500420"/>
    <x v="7"/>
    <x v="9"/>
    <n v="4007.6"/>
    <n v="135581.26730000001"/>
    <n v="3.3652496099501011E-3"/>
    <n v="9783"/>
    <n v="8557"/>
    <n v="1774"/>
    <n v="1413"/>
    <n v="3303"/>
    <n v="2809"/>
    <n v="635"/>
    <n v="503"/>
    <n v="0.18133496882346928"/>
    <n v="0.16512796540843755"/>
    <n v="1.6207003415031729E-2"/>
    <n v="0.19224947017862548"/>
    <n v="0.17906728373086508"/>
    <n v="1.3182186447760397E-2"/>
    <n v="0.14327451209536046"/>
    <n v="0.25548478414720455"/>
    <n v="0.17586329654681387"/>
    <n v="0.2624254473161034"/>
  </r>
  <r>
    <x v="56"/>
    <n v="541450"/>
    <x v="9"/>
    <x v="12"/>
    <n v="925.05"/>
    <n v="150157.25015450001"/>
    <n v="3.7270386800228035E-3"/>
    <n v="10092"/>
    <n v="9144"/>
    <n v="1473"/>
    <n v="1618"/>
    <n v="2837"/>
    <n v="2636"/>
    <n v="5"/>
    <n v="475"/>
    <n v="0.14595719381688466"/>
    <n v="0.17694663167104113"/>
    <n v="-3.0989437854156476E-2"/>
    <n v="1.7624250969333803E-3"/>
    <n v="0.18019726858877086"/>
    <n v="-0.17843484349183747"/>
    <n v="0.10367454068241466"/>
    <n v="-8.961681087762674E-2"/>
    <n v="7.6251896813353648E-2"/>
    <n v="-0.98947368421052628"/>
  </r>
  <r>
    <x v="57"/>
    <n v="532868"/>
    <x v="6"/>
    <x v="35"/>
    <n v="526.5"/>
    <n v="130349.92387670001"/>
    <n v="3.2354029374313869E-3"/>
    <n v="6380"/>
    <n v="4866"/>
    <n v="3146"/>
    <n v="3084"/>
    <n v="2020"/>
    <n v="1529"/>
    <n v="1203"/>
    <n v="1058"/>
    <n v="0.49310344827586206"/>
    <n v="0.63378545006165232"/>
    <n v="-0.14068200178579027"/>
    <n v="0.59554455445544552"/>
    <n v="0.6919555264879006"/>
    <n v="-9.6410972032455078E-2"/>
    <n v="0.31113851212494859"/>
    <n v="2.0103761348897464E-2"/>
    <n v="0.32112491824722045"/>
    <n v="0.13705103969754262"/>
  </r>
  <r>
    <x v="58"/>
    <n v="511243"/>
    <x v="2"/>
    <x v="4"/>
    <n v="1394.35"/>
    <n v="118859.17545"/>
    <n v="2.9501921746832873E-3"/>
    <n v="22975"/>
    <n v="19015"/>
    <n v="3587"/>
    <n v="3003"/>
    <n v="8009"/>
    <n v="6837"/>
    <n v="1290"/>
    <n v="1088"/>
    <n v="0.15612622415669206"/>
    <n v="0.15792795161714435"/>
    <n v="-1.8017274604522904E-3"/>
    <n v="0.16106879760269696"/>
    <n v="0.15913412315342987"/>
    <n v="1.9346744492670931E-3"/>
    <n v="0.20825663949513551"/>
    <n v="0.19447219447219455"/>
    <n v="0.17142021354395198"/>
    <n v="0.18566176470588225"/>
  </r>
  <r>
    <x v="59"/>
    <n v="532461"/>
    <x v="2"/>
    <x v="13"/>
    <n v="106"/>
    <n v="121894.11883409999"/>
    <n v="3.025522212843826E-3"/>
    <n v="112585"/>
    <n v="103157"/>
    <n v="11870"/>
    <n v="12796"/>
    <n v="37902"/>
    <n v="35286"/>
    <n v="5189"/>
    <n v="4648"/>
    <n v="0.10543145179197939"/>
    <n v="0.12404393303411305"/>
    <n v="-1.8612481242133661E-2"/>
    <n v="0.13690570418447576"/>
    <n v="0.13172362976818003"/>
    <n v="5.1820744162957288E-3"/>
    <n v="9.1394670259895117E-2"/>
    <n v="-7.2366364488902768E-2"/>
    <n v="7.4137051521850017E-2"/>
    <n v="0.11639414802065406"/>
  </r>
  <r>
    <x v="60"/>
    <n v="500825"/>
    <x v="5"/>
    <x v="25"/>
    <n v="5504.8"/>
    <n v="132706.33478999999"/>
    <n v="3.2938911863228688E-3"/>
    <n v="14433"/>
    <n v="13510"/>
    <n v="1857"/>
    <n v="1619"/>
    <n v="4970"/>
    <n v="4593"/>
    <n v="682"/>
    <n v="582"/>
    <n v="0.12866347952608606"/>
    <n v="0.11983715766099186"/>
    <n v="8.8263218650942027E-3"/>
    <n v="0.13722334004024145"/>
    <n v="0.12671456564337036"/>
    <n v="1.050877439687109E-2"/>
    <n v="6.8319763138416034E-2"/>
    <n v="0.14700432365657812"/>
    <n v="8.2081428260396327E-2"/>
    <n v="0.17182130584192445"/>
  </r>
  <r>
    <x v="61"/>
    <n v="500570"/>
    <x v="6"/>
    <x v="8"/>
    <n v="306.95"/>
    <n v="111686.5"/>
    <n v="2.7721598864395031E-3"/>
    <n v="230135"/>
    <n v="267717"/>
    <m/>
    <m/>
    <n v="70108"/>
    <n v="94472"/>
    <n v="-3486"/>
    <n v="5485"/>
    <n v="0"/>
    <n v="0"/>
    <n v="0"/>
    <n v="-4.9723284075997035E-2"/>
    <n v="5.8059530866288421E-2"/>
    <n v="-0.10778281494228545"/>
    <n v="-0.14037957992955252"/>
    <e v="#DIV/0!"/>
    <n v="-0.25789651960369209"/>
    <n v="-1.6355515041020965"/>
  </r>
  <r>
    <x v="62"/>
    <n v="533398"/>
    <x v="2"/>
    <x v="4"/>
    <n v="3302.5"/>
    <n v="132604.37503940001"/>
    <n v="3.291360453148809E-3"/>
    <n v="22056"/>
    <n v="14671"/>
    <n v="7209"/>
    <n v="3908"/>
    <n v="8239"/>
    <n v="5221"/>
    <n v="2823"/>
    <n v="1391"/>
    <n v="0.32684983677910773"/>
    <n v="0.26637584350078386"/>
    <n v="6.0473993278323868E-2"/>
    <n v="0.3426386697414735"/>
    <n v="0.26642405669411989"/>
    <n v="7.6214613047353608E-2"/>
    <n v="0.50337400313543723"/>
    <n v="0.84467758444216989"/>
    <n v="0.57805018195747948"/>
    <n v="1.0294751976994969"/>
  </r>
  <r>
    <x v="63"/>
    <n v="532483"/>
    <x v="2"/>
    <x v="13"/>
    <n v="130.05000000000001"/>
    <n v="117882.22547390001"/>
    <n v="2.9259433931850543E-3"/>
    <n v="116545"/>
    <n v="112402"/>
    <n v="12737"/>
    <n v="12239"/>
    <n v="33089"/>
    <n v="37430"/>
    <n v="4868"/>
    <n v="4161"/>
    <n v="0.10928825775451542"/>
    <n v="0.10888596288322272"/>
    <n v="4.0229487129270214E-4"/>
    <n v="0.14711837770860406"/>
    <n v="0.11116751269035532"/>
    <n v="3.5950865018248734E-2"/>
    <n v="3.6858774754897627E-2"/>
    <n v="4.068959882343326E-2"/>
    <n v="-0.1159764894469677"/>
    <n v="0.16991107906753178"/>
  </r>
  <r>
    <x v="64"/>
    <n v="544574"/>
    <x v="2"/>
    <x v="4"/>
    <n v="307.5"/>
    <n v="129662.7255"/>
    <n v="3.2183460525445464E-3"/>
    <n v="23420"/>
    <n v="20861"/>
    <n v="3424"/>
    <n v="2655"/>
    <n v="7978"/>
    <n v="7111"/>
    <n v="1265"/>
    <n v="1050"/>
    <n v="0.14619982920580701"/>
    <n v="0.12727098413307128"/>
    <n v="1.8928845072735734E-2"/>
    <n v="0.15856104286788669"/>
    <n v="0.14765855716495571"/>
    <n v="1.0902485702930981E-2"/>
    <n v="0.12266909544125393"/>
    <n v="0.28964218455743884"/>
    <n v="0.12192378005906335"/>
    <n v="0.2047619047619047"/>
  </r>
  <r>
    <x v="65"/>
    <n v="500251"/>
    <x v="6"/>
    <x v="36"/>
    <n v="3827.8"/>
    <n v="135970.92161610001"/>
    <n v="3.3749211822947482E-3"/>
    <n v="15046"/>
    <n v="12918"/>
    <n v="1308"/>
    <n v="1223"/>
    <n v="5345"/>
    <n v="4657"/>
    <n v="510"/>
    <n v="497"/>
    <n v="8.6933404227037089E-2"/>
    <n v="9.4674098157609535E-2"/>
    <n v="-7.7406939305724454E-3"/>
    <n v="9.5416276894293731E-2"/>
    <n v="0.1067210650633455"/>
    <n v="-1.1304788169051769E-2"/>
    <n v="0.16473138256696074"/>
    <n v="6.9501226492232115E-2"/>
    <n v="0.14773459308567749"/>
    <n v="2.6156941649899457E-2"/>
  </r>
  <r>
    <x v="66"/>
    <n v="500480"/>
    <x v="4"/>
    <x v="37"/>
    <n v="4686.8999999999996"/>
    <n v="129851.56529290001"/>
    <n v="3.2230332269017063E-3"/>
    <n v="9505"/>
    <n v="8241"/>
    <n v="1712"/>
    <n v="1470"/>
    <n v="3171"/>
    <n v="3207"/>
    <n v="486"/>
    <n v="558"/>
    <n v="0.18011572856391372"/>
    <n v="0.17837641062977794"/>
    <n v="1.7393179341357867E-3"/>
    <n v="0.1532639545884579"/>
    <n v="0.17399438727782976"/>
    <n v="-2.0730432689371858E-2"/>
    <n v="0.15337944424220362"/>
    <n v="0.1646258503401361"/>
    <n v="-1.1225444340505097E-2"/>
    <n v="-0.12903225806451613"/>
  </r>
  <r>
    <x v="67"/>
    <n v="532810"/>
    <x v="2"/>
    <x v="38"/>
    <n v="405.25"/>
    <n v="133867.95491550001"/>
    <n v="3.3227236478575394E-3"/>
    <n v="86671"/>
    <n v="77313"/>
    <n v="25028"/>
    <n v="22156"/>
    <n v="29141"/>
    <n v="26822"/>
    <n v="8212"/>
    <n v="7760"/>
    <n v="0.28877017687577161"/>
    <n v="0.28657534955311526"/>
    <n v="2.1948273226563564E-3"/>
    <n v="0.2818022717133935"/>
    <n v="0.2893147416300052"/>
    <n v="-7.5124699166116971E-3"/>
    <n v="0.12104044597933084"/>
    <n v="0.12962628633327311"/>
    <n v="8.6458877041234894E-2"/>
    <n v="5.8247422680412386E-2"/>
  </r>
  <r>
    <x v="68"/>
    <n v="540005"/>
    <x v="3"/>
    <x v="3"/>
    <n v="4306"/>
    <n v="127569.60000000001"/>
    <n v="3.166392785601956E-3"/>
    <n v="31015"/>
    <n v="28236"/>
    <n v="3595"/>
    <n v="3473"/>
    <n v="10781"/>
    <n v="9660"/>
    <n v="959"/>
    <n v="1086"/>
    <n v="0.1159116556504917"/>
    <n v="0.12299900835812438"/>
    <n v="-7.0873527076326798E-3"/>
    <n v="8.8952787311010112E-2"/>
    <n v="0.11242236024844721"/>
    <n v="-2.3469572937437094E-2"/>
    <n v="9.8420456155262848E-2"/>
    <n v="3.512813129858916E-2"/>
    <n v="0.11604554865424421"/>
    <n v="-0.1169429097605893"/>
  </r>
  <r>
    <x v="69"/>
    <n v="532755"/>
    <x v="3"/>
    <x v="3"/>
    <n v="1452.4"/>
    <n v="142292.51975760001"/>
    <n v="3.5318289624298302E-3"/>
    <n v="41739"/>
    <n v="39604"/>
    <n v="3449"/>
    <n v="3111"/>
    <n v="14393"/>
    <n v="13285"/>
    <n v="1118"/>
    <n v="988"/>
    <n v="8.2632549893385088E-2"/>
    <n v="7.8552671447328554E-2"/>
    <n v="4.079878446056534E-3"/>
    <n v="7.7676648370735776E-2"/>
    <n v="7.4369589762890473E-2"/>
    <n v="3.3070586078453035E-3"/>
    <n v="5.3908696091303998E-2"/>
    <n v="0.10864673738347808"/>
    <n v="8.3402333458788114E-2"/>
    <n v="0.13157894736842102"/>
  </r>
  <r>
    <x v="70"/>
    <n v="532814"/>
    <x v="2"/>
    <x v="13"/>
    <n v="899.15"/>
    <n v="121213.29364839999"/>
    <n v="3.0086235163185051E-3"/>
    <n v="58071"/>
    <n v="53256"/>
    <n v="8345"/>
    <n v="8033"/>
    <n v="19894"/>
    <n v="18167"/>
    <n v="3086"/>
    <n v="2876"/>
    <n v="0.14370339756504968"/>
    <n v="0.15083746432326875"/>
    <n v="-7.1340667582190653E-3"/>
    <n v="0.15512214738111993"/>
    <n v="0.15830902185281004"/>
    <n v="-3.1868744716901098E-3"/>
    <n v="9.0412347904461399E-2"/>
    <n v="3.883978588323167E-2"/>
    <n v="9.506247591787309E-2"/>
    <n v="7.3018080667593965E-2"/>
  </r>
  <r>
    <x v="71"/>
    <n v="542652"/>
    <x v="4"/>
    <x v="39"/>
    <n v="7032.05"/>
    <n v="105996.55803"/>
    <n v="2.6309303834521004E-3"/>
    <n v="20019"/>
    <n v="15422"/>
    <n v="1922"/>
    <n v="1311"/>
    <n v="7636"/>
    <n v="5226"/>
    <n v="630"/>
    <n v="464"/>
    <n v="9.6008791647934466E-2"/>
    <n v="8.5008429516275449E-2"/>
    <n v="1.1000362131659017E-2"/>
    <n v="8.2503928758512313E-2"/>
    <n v="8.8786835055491772E-2"/>
    <n v="-6.2829062969794597E-3"/>
    <n v="0.29808066398651278"/>
    <n v="0.46605644546147973"/>
    <n v="0.46115575966322231"/>
    <n v="0.35775862068965525"/>
  </r>
  <r>
    <x v="72"/>
    <n v="543257"/>
    <x v="2"/>
    <x v="38"/>
    <n v="92.64"/>
    <n v="121188.28191029999"/>
    <n v="3.0080027023700784E-3"/>
    <n v="20009"/>
    <n v="20433"/>
    <n v="5325"/>
    <n v="4820"/>
    <n v="6719"/>
    <n v="6766"/>
    <n v="1802"/>
    <n v="1631"/>
    <n v="0.26613024139137387"/>
    <n v="0.2358929183184065"/>
    <n v="3.0237323072967365E-2"/>
    <n v="0.26819467182616463"/>
    <n v="0.2410582323381614"/>
    <n v="2.7136439488003233E-2"/>
    <n v="-2.0750746341702153E-2"/>
    <n v="0.10477178423236522"/>
    <n v="-6.9464971918415941E-3"/>
    <n v="0.1048436541998774"/>
  </r>
  <r>
    <x v="73"/>
    <n v="532286"/>
    <x v="8"/>
    <x v="18"/>
    <n v="1139.7"/>
    <n v="115942.7576"/>
    <n v="2.8778040474175381E-3"/>
    <n v="37008"/>
    <n v="36582"/>
    <n v="2320"/>
    <n v="3150"/>
    <n v="13027"/>
    <n v="11751"/>
    <n v="189"/>
    <n v="951"/>
    <n v="6.2689148292261132E-2"/>
    <n v="8.6107921928817457E-2"/>
    <n v="-2.3418773636556325E-2"/>
    <n v="1.4508328855454057E-2"/>
    <n v="8.092928261424559E-2"/>
    <n v="-6.6420953758791534E-2"/>
    <n v="1.1645071346563896E-2"/>
    <n v="-0.26349206349206344"/>
    <n v="0.10858650327631691"/>
    <n v="-0.80126182965299686"/>
  </r>
  <r>
    <x v="74"/>
    <n v="500002"/>
    <x v="4"/>
    <x v="40"/>
    <n v="6177.5"/>
    <n v="130959.3294"/>
    <n v="3.2505289333777808E-3"/>
    <n v="13202"/>
    <n v="12188"/>
    <n v="1668"/>
    <n v="1871"/>
    <n v="3557"/>
    <n v="3365"/>
    <n v="433"/>
    <n v="528"/>
    <n v="0.12634449325859717"/>
    <n v="0.15351165080406959"/>
    <n v="-2.7167157545472415E-2"/>
    <n v="0.12173179645768907"/>
    <n v="0.15690936106983655"/>
    <n v="-3.517756461214748E-2"/>
    <n v="8.3196586806695061E-2"/>
    <n v="-0.1084981293425975"/>
    <n v="5.7057949479940584E-2"/>
    <n v="-0.17992424242424243"/>
  </r>
  <r>
    <x v="75"/>
    <n v="532725"/>
    <x v="8"/>
    <x v="41"/>
    <n v="13281"/>
    <n v="120487.48826"/>
    <n v="2.9906083705033516E-3"/>
    <n v="6385"/>
    <n v="5374"/>
    <n v="1181"/>
    <n v="942"/>
    <n v="2548"/>
    <n v="1973"/>
    <n v="467"/>
    <n v="337"/>
    <n v="0.18496476115896632"/>
    <n v="0.17528842575362857"/>
    <n v="9.6763354053377437E-3"/>
    <n v="0.18328100470957615"/>
    <n v="0.17080587937151545"/>
    <n v="1.2475125338060694E-2"/>
    <n v="0.18812802381838489"/>
    <n v="0.25371549893842893"/>
    <n v="0.29143436391282318"/>
    <n v="0.3857566765578635"/>
  </r>
  <r>
    <x v="76"/>
    <n v="500477"/>
    <x v="4"/>
    <x v="42"/>
    <n v="150.1"/>
    <n v="88124.921977299993"/>
    <n v="2.1873402219702654E-3"/>
    <n v="39116"/>
    <n v="33840"/>
    <n v="2340"/>
    <n v="2137"/>
    <n v="14830"/>
    <n v="11995"/>
    <n v="862"/>
    <n v="820"/>
    <n v="5.9822067696083447E-2"/>
    <n v="6.3150118203309694E-2"/>
    <n v="-3.3280505072262462E-3"/>
    <n v="5.8125421443020901E-2"/>
    <n v="6.8361817423926635E-2"/>
    <n v="-1.0236395980905734E-2"/>
    <n v="0.15591016548463354"/>
    <n v="9.499298081422558E-2"/>
    <n v="0.2363484785327219"/>
    <n v="5.1219512195121997E-2"/>
  </r>
  <r>
    <x v="77"/>
    <n v="500116"/>
    <x v="2"/>
    <x v="2"/>
    <n v="69.81"/>
    <n v="74987.235302999994"/>
    <n v="1.8612509632048347E-3"/>
    <n v="26113"/>
    <n v="24968"/>
    <n v="7224"/>
    <n v="5516"/>
    <n v="8351"/>
    <n v="8628"/>
    <n v="1959"/>
    <n v="1929"/>
    <n v="0.27664381725577297"/>
    <n v="0.22092278115988465"/>
    <n v="5.5721036095888327E-2"/>
    <n v="0.23458268470841814"/>
    <n v="0.22357440890125174"/>
    <n v="1.1008275807166401E-2"/>
    <n v="4.58586991348926E-2"/>
    <n v="0.30964467005076135"/>
    <n v="-3.2104775150672227E-2"/>
    <n v="1.5552099533437058E-2"/>
  </r>
  <r>
    <x v="78"/>
    <n v="532424"/>
    <x v="5"/>
    <x v="43"/>
    <n v="1002.25"/>
    <n v="102534.16377090001"/>
    <n v="2.5449906281896882E-3"/>
    <n v="11586"/>
    <n v="10766"/>
    <n v="1409"/>
    <n v="1440"/>
    <n v="4099"/>
    <n v="3768"/>
    <n v="497"/>
    <n v="498"/>
    <n v="0.12161229069566719"/>
    <n v="0.13375441203789709"/>
    <n v="-1.2142121342229903E-2"/>
    <n v="0.12124908514271773"/>
    <n v="0.1321656050955414"/>
    <n v="-1.0916519952823667E-2"/>
    <n v="7.6165706854913529E-2"/>
    <n v="-2.1527777777777812E-2"/>
    <n v="8.784501061571115E-2"/>
    <n v="-2.0080321285140812E-3"/>
  </r>
  <r>
    <x v="79"/>
    <n v="500550"/>
    <x v="4"/>
    <x v="40"/>
    <n v="3038.25"/>
    <n v="108160.21125750001"/>
    <n v="2.6846342123431561E-3"/>
    <n v="20228"/>
    <n v="15145"/>
    <n v="2383"/>
    <n v="2718"/>
    <n v="3830"/>
    <n v="3360"/>
    <n v="277"/>
    <n v="614"/>
    <n v="0.1178070001977457"/>
    <n v="0.17946517002310994"/>
    <n v="-6.1658169825364234E-2"/>
    <n v="7.232375979112271E-2"/>
    <n v="0.18273809523809523"/>
    <n v="-0.11041433544697252"/>
    <n v="0.33562231759656647"/>
    <n v="-0.12325239146431199"/>
    <n v="0.13988095238095233"/>
    <n v="-0.54885993485342022"/>
  </r>
  <r>
    <x v="80"/>
    <n v="534816"/>
    <x v="1"/>
    <x v="44"/>
    <n v="428.75"/>
    <n v="113213.0180008"/>
    <n v="2.8100494430801501E-3"/>
    <n v="24392"/>
    <n v="22395"/>
    <n v="5352"/>
    <n v="8152"/>
    <n v="8146"/>
    <n v="7547"/>
    <n v="1775"/>
    <n v="4003"/>
    <n v="0.21941620203345358"/>
    <n v="0.36400982362134404"/>
    <n v="-0.14459362158789046"/>
    <n v="0.21789835502086913"/>
    <n v="0.53040943421226983"/>
    <n v="-0.3125110791914007"/>
    <n v="8.9171690109399515E-2"/>
    <n v="-0.3434739941118744"/>
    <n v="7.9369285808930767E-2"/>
    <n v="-0.55658256307769172"/>
  </r>
  <r>
    <x v="81"/>
    <n v="500490"/>
    <x v="2"/>
    <x v="17"/>
    <n v="9178"/>
    <n v="102095.092225"/>
    <n v="2.5340924755318378E-3"/>
    <n v="1048"/>
    <n v="599"/>
    <n v="7062"/>
    <n v="4795"/>
    <n v="300"/>
    <n v="158"/>
    <n v="2016"/>
    <n v="1748"/>
    <n v="6.7385496183206106"/>
    <n v="8.0050083472454094"/>
    <n v="-1.2664587289247988"/>
    <n v="6.72"/>
    <n v="11.063291139240507"/>
    <n v="-4.3432911392405069"/>
    <n v="0.74958263772954914"/>
    <n v="0.47278415015641295"/>
    <n v="0.89873417721518978"/>
    <n v="0.15331807780320372"/>
  </r>
  <r>
    <x v="82"/>
    <n v="500400"/>
    <x v="9"/>
    <x v="45"/>
    <n v="385.05"/>
    <n v="123052.5453502"/>
    <n v="3.0542754061063985E-3"/>
    <n v="47528"/>
    <n v="48382"/>
    <n v="3702"/>
    <n v="3469"/>
    <n v="13948"/>
    <n v="15391"/>
    <n v="1194"/>
    <n v="1188"/>
    <n v="7.7890927453290695E-2"/>
    <n v="7.1700219089744124E-2"/>
    <n v="6.1907083635465709E-3"/>
    <n v="8.5603670777172361E-2"/>
    <n v="7.7187966993697621E-2"/>
    <n v="8.41570378347474E-3"/>
    <n v="-1.7651192592286424E-2"/>
    <n v="6.7166330354569093E-2"/>
    <n v="-9.375609122214279E-2"/>
    <n v="5.050505050504972E-3"/>
  </r>
  <r>
    <x v="83"/>
    <n v="539254"/>
    <x v="9"/>
    <x v="46"/>
    <n v="997.9"/>
    <n v="119735.4687523"/>
    <n v="2.9719425665515231E-3"/>
    <n v="20144"/>
    <n v="17392"/>
    <n v="1670"/>
    <n v="208"/>
    <n v="6729"/>
    <n v="5830"/>
    <n v="574"/>
    <n v="625"/>
    <n v="8.2903097696584591E-2"/>
    <n v="1.1959521619135235E-2"/>
    <n v="7.0943576077449361E-2"/>
    <n v="8.5302422351017981E-2"/>
    <n v="0.1072041166380789"/>
    <n v="-2.1901694287060916E-2"/>
    <n v="0.15823367065317395"/>
    <n v="7.0288461538461533"/>
    <n v="0.15420240137221275"/>
    <n v="-8.1600000000000006E-2"/>
  </r>
  <r>
    <x v="84"/>
    <n v="541729"/>
    <x v="2"/>
    <x v="32"/>
    <n v="2394.9"/>
    <n v="102653.2777942"/>
    <n v="2.5479471459183721E-3"/>
    <n v="3559"/>
    <n v="3034"/>
    <n v="2235"/>
    <n v="1821"/>
    <n v="1234"/>
    <n v="1027"/>
    <n v="769"/>
    <n v="641"/>
    <n v="0.62798538915425683"/>
    <n v="0.60019775873434411"/>
    <n v="2.7787630419912723E-2"/>
    <n v="0.62317666126418148"/>
    <n v="0.62414800389483938"/>
    <n v="-9.7134263065790094E-4"/>
    <n v="0.17303889255108773"/>
    <n v="0.22734761120263602"/>
    <n v="0.20155793573515091"/>
    <n v="0.19968798751950079"/>
  </r>
  <r>
    <x v="85"/>
    <n v="543187"/>
    <x v="4"/>
    <x v="40"/>
    <n v="25104.95"/>
    <n v="112683.6649881"/>
    <n v="2.7969104228084715E-3"/>
    <n v="5393"/>
    <n v="4501"/>
    <n v="657"/>
    <n v="200"/>
    <n v="2082"/>
    <n v="1620"/>
    <n v="261"/>
    <n v="137"/>
    <n v="0.1218245874281476"/>
    <n v="4.4434570095534323E-2"/>
    <n v="7.7390017332613276E-2"/>
    <n v="0.12536023054755044"/>
    <n v="8.4567901234567908E-2"/>
    <n v="4.0792329312982531E-2"/>
    <n v="0.19817818262608311"/>
    <n v="2.2850000000000001"/>
    <n v="0.28518518518518521"/>
    <n v="0.9051094890510949"/>
  </r>
  <r>
    <x v="86"/>
    <n v="500182"/>
    <x v="6"/>
    <x v="20"/>
    <n v="5095.8999999999996"/>
    <n v="101968.49841489999"/>
    <n v="2.5309503027335966E-3"/>
    <n v="34433"/>
    <n v="30954"/>
    <n v="4302"/>
    <n v="3207"/>
    <n v="12487"/>
    <n v="10260"/>
    <n v="1275"/>
    <n v="1108"/>
    <n v="0.12493828594662097"/>
    <n v="0.10360534987400659"/>
    <n v="2.1332936072614384E-2"/>
    <n v="0.10210619043805558"/>
    <n v="0.10799220272904483"/>
    <n v="-5.8860122909892565E-3"/>
    <n v="0.11239258254183637"/>
    <n v="0.3414405986903648"/>
    <n v="0.21705653021442495"/>
    <n v="0.15072202166064974"/>
  </r>
  <r>
    <x v="87"/>
    <n v="500093"/>
    <x v="4"/>
    <x v="40"/>
    <n v="684.75"/>
    <n v="107913.5203225"/>
    <n v="2.6785111203458667E-3"/>
    <n v="8976"/>
    <n v="7155"/>
    <n v="835"/>
    <n v="699"/>
    <n v="3175"/>
    <n v="2515"/>
    <n v="284"/>
    <n v="238"/>
    <n v="9.3025846702317297E-2"/>
    <n v="9.7693920335429771E-2"/>
    <n v="-4.6680736331124739E-3"/>
    <n v="8.9448818897637797E-2"/>
    <n v="9.4632206759443338E-2"/>
    <n v="-5.1833878618055412E-3"/>
    <n v="0.25450733752620547"/>
    <n v="0.19456366237482126"/>
    <n v="0.2624254473161034"/>
    <n v="0.19327731092436973"/>
  </r>
  <r>
    <x v="88"/>
    <n v="508869"/>
    <x v="7"/>
    <x v="47"/>
    <n v="7364.5"/>
    <n v="105890.16867"/>
    <n v="2.6282897033686886E-3"/>
    <n v="18623"/>
    <n v="16201"/>
    <n v="1451"/>
    <n v="1090"/>
    <n v="6477"/>
    <n v="5526"/>
    <n v="516"/>
    <n v="379"/>
    <n v="7.7914406916178916E-2"/>
    <n v="6.7279797543361525E-2"/>
    <n v="1.0634609372817391E-2"/>
    <n v="7.9666512274201018E-2"/>
    <n v="6.858487151646761E-2"/>
    <n v="1.1081640757733408E-2"/>
    <n v="0.14949694463304741"/>
    <n v="0.33119266055045871"/>
    <n v="0.17209554831704676"/>
    <n v="0.36147757255936686"/>
  </r>
  <r>
    <x v="89"/>
    <n v="532822"/>
    <x v="1"/>
    <x v="1"/>
    <n v="8.77"/>
    <n v="94908.470479700001"/>
    <n v="2.355714027632275E-3"/>
    <n v="33541"/>
    <n v="32557"/>
    <n v="-17418"/>
    <n v="-20217"/>
    <n v="11323"/>
    <n v="11117"/>
    <n v="-5286"/>
    <n v="-6609"/>
    <n v="-0.51930473152261414"/>
    <n v="-0.62097244832140552"/>
    <n v="0.10166771679879139"/>
    <n v="-0.46683741058023492"/>
    <n v="-0.59449491769362239"/>
    <n v="0.12765750711338747"/>
    <n v="3.0223914979881528E-2"/>
    <n v="-0.13844784092595341"/>
    <n v="1.8530179005127323E-2"/>
    <n v="-0.20018157058556518"/>
  </r>
  <r>
    <x v="90"/>
    <n v="500800"/>
    <x v="5"/>
    <x v="48"/>
    <n v="1061"/>
    <n v="104825.07057"/>
    <n v="2.6018530057557907E-3"/>
    <n v="14856"/>
    <n v="13010"/>
    <n v="1146"/>
    <n v="973"/>
    <n v="5112"/>
    <n v="4443"/>
    <n v="403"/>
    <n v="300"/>
    <n v="7.7140549273020997E-2"/>
    <n v="7.4788624135280549E-2"/>
    <n v="2.3519251377404488E-3"/>
    <n v="7.8834115805946792E-2"/>
    <n v="6.7521944632005407E-2"/>
    <n v="1.1312171173941385E-2"/>
    <n v="0.14189085318985395"/>
    <n v="0.17780061664953761"/>
    <n v="0.15057393652937212"/>
    <n v="0.34333333333333327"/>
  </r>
  <r>
    <x v="91"/>
    <n v="500087"/>
    <x v="7"/>
    <x v="9"/>
    <n v="1198.45"/>
    <n v="96956.302064699994"/>
    <n v="2.4065430586621742E-3"/>
    <n v="21621"/>
    <n v="20817"/>
    <n v="3319"/>
    <n v="4055"/>
    <n v="7074"/>
    <n v="7072"/>
    <n v="674"/>
    <n v="1574"/>
    <n v="0.15350816335969658"/>
    <n v="0.19479271749051255"/>
    <n v="-4.128455413081597E-2"/>
    <n v="9.5278484591461696E-2"/>
    <n v="0.22256787330316741"/>
    <n v="-0.1272893887117057"/>
    <n v="3.8622279867416065E-2"/>
    <n v="-0.18150431565967939"/>
    <n v="2.8280542986425239E-4"/>
    <n v="-0.5717916137229988"/>
  </r>
  <r>
    <x v="92"/>
    <n v="532155"/>
    <x v="0"/>
    <x v="49"/>
    <n v="142.85"/>
    <n v="94565.987403299994"/>
    <n v="2.3472132880963375E-3"/>
    <n v="106389"/>
    <n v="105740"/>
    <n v="6100"/>
    <n v="9957"/>
    <n v="35303"/>
    <n v="36937"/>
    <n v="1729"/>
    <n v="4084"/>
    <n v="5.7336754739681736E-2"/>
    <n v="9.4164932854170602E-2"/>
    <n v="-3.6828178114488866E-2"/>
    <n v="4.8976007704727646E-2"/>
    <n v="0.11056664049597964"/>
    <n v="-6.1590632791251994E-2"/>
    <n v="6.1376962360506493E-3"/>
    <n v="-0.3873656723912825"/>
    <n v="-4.4237485448195613E-2"/>
    <n v="-0.57664054848188051"/>
  </r>
  <r>
    <x v="93"/>
    <n v="500425"/>
    <x v="8"/>
    <x v="11"/>
    <n v="428.7"/>
    <n v="106004.17374860001"/>
    <n v="2.6311194124718062E-3"/>
    <n v="29554"/>
    <n v="24095"/>
    <n v="3686"/>
    <n v="3943"/>
    <n v="10181"/>
    <n v="8498"/>
    <n v="367"/>
    <n v="2663"/>
    <n v="0.12472084996954727"/>
    <n v="0.16364390952479768"/>
    <n v="-3.8923059555250411E-2"/>
    <n v="3.6047539534426874E-2"/>
    <n v="0.31336785125911981"/>
    <n v="-0.27732031172469296"/>
    <n v="0.22656152728781898"/>
    <n v="-6.5178797869642424E-2"/>
    <n v="0.19804659919981171"/>
    <n v="-0.86218550506947056"/>
  </r>
  <r>
    <x v="94"/>
    <s v="BSE"/>
    <x v="2"/>
    <x v="50"/>
    <n v="2948.2"/>
    <n v="120031.07424"/>
    <n v="2.9792797619620096E-3"/>
    <n v="3270"/>
    <n v="2110"/>
    <n v="1679"/>
    <n v="824"/>
    <n v="1244"/>
    <n v="768"/>
    <n v="596"/>
    <n v="217"/>
    <n v="0.51345565749235478"/>
    <n v="0.39052132701421799"/>
    <n v="0.12293433047813679"/>
    <n v="0.47909967845659163"/>
    <n v="0.28255208333333331"/>
    <n v="0.19654759512325831"/>
    <n v="0.54976303317535535"/>
    <n v="1.037621359223301"/>
    <n v="0.61979166666666674"/>
    <n v="1.7465437788018434"/>
  </r>
  <r>
    <x v="95"/>
    <n v="544576"/>
    <x v="6"/>
    <x v="51"/>
    <n v="1396.4"/>
    <n v="94997.309175000002"/>
    <n v="2.3579190843533138E-3"/>
    <n v="16551"/>
    <n v="16918"/>
    <n v="992"/>
    <n v="1448"/>
    <n v="4114"/>
    <n v="4395"/>
    <n v="89"/>
    <n v="233"/>
    <n v="5.9935955531387829E-2"/>
    <n v="8.5589313157583641E-2"/>
    <n v="-2.5653357626195812E-2"/>
    <n v="2.1633446767136608E-2"/>
    <n v="5.3014789533560862E-2"/>
    <n v="-3.138134276642425E-2"/>
    <n v="-2.169287149781296E-2"/>
    <n v="-0.31491712707182318"/>
    <n v="-6.3936291240045517E-2"/>
    <n v="-0.61802575107296143"/>
  </r>
  <r>
    <x v="96"/>
    <n v="544576"/>
    <x v="6"/>
    <x v="51"/>
    <n v="1396.4"/>
    <n v="94997.309175000002"/>
    <n v="2.3579190843533138E-3"/>
    <n v="16551"/>
    <n v="16918"/>
    <n v="992"/>
    <n v="1448"/>
    <n v="4114"/>
    <n v="4395"/>
    <n v="89"/>
    <n v="233"/>
    <n v="5.9935955531387829E-2"/>
    <n v="8.5589313157583641E-2"/>
    <n v="-2.5653357626195812E-2"/>
    <n v="2.1633446767136608E-2"/>
    <n v="5.3014789533560862E-2"/>
    <n v="-3.138134276642425E-2"/>
    <n v="-2.169287149781296E-2"/>
    <n v="-0.31491712707182318"/>
    <n v="-6.3936291240045517E-2"/>
    <n v="-0.61802575107296143"/>
  </r>
  <r>
    <x v="97"/>
    <n v="500124"/>
    <x v="7"/>
    <x v="9"/>
    <n v="1211.95"/>
    <n v="100711.27703"/>
    <n v="2.4997449315240618E-3"/>
    <n v="26077"/>
    <n v="24047"/>
    <n v="4026"/>
    <n v="4137"/>
    <n v="8726"/>
    <n v="8358"/>
    <n v="1189"/>
    <n v="1403"/>
    <n v="0.15438892510641561"/>
    <n v="0.17203809206969684"/>
    <n v="-1.7649166963281226E-2"/>
    <n v="0.1362594545037818"/>
    <n v="0.16786312514955731"/>
    <n v="-3.1603670645775517E-2"/>
    <n v="8.4418014721171053E-2"/>
    <n v="-2.6831036983321233E-2"/>
    <n v="4.4029672170375678E-2"/>
    <n v="-0.15253029223093373"/>
  </r>
  <r>
    <x v="98"/>
    <n v="544390"/>
    <x v="4"/>
    <x v="40"/>
    <n v="2630.45"/>
    <n v="93655.986808899994"/>
    <n v="2.3246262507692498E-3"/>
    <n v="5181"/>
    <n v="2609"/>
    <n v="740"/>
    <n v="328"/>
    <n v="1785"/>
    <n v="1484"/>
    <n v="263"/>
    <n v="146"/>
    <n v="0.14282956958116194"/>
    <n v="0.12571866615561517"/>
    <n v="1.7110903425546775E-2"/>
    <n v="0.1473389355742297"/>
    <n v="9.8382749326145547E-2"/>
    <n v="4.8956186248084149E-2"/>
    <n v="0.98581832119586044"/>
    <n v="1.2560975609756095"/>
    <n v="0.20283018867924518"/>
    <n v="0.80136986301369872"/>
  </r>
  <r>
    <x v="99"/>
    <n v="543220"/>
    <x v="7"/>
    <x v="47"/>
    <n v="934.3"/>
    <n v="90832.910277999996"/>
    <n v="2.2545549394172981E-3"/>
    <n v="6230"/>
    <n v="5118"/>
    <n v="1100"/>
    <n v="756"/>
    <n v="2067"/>
    <n v="1868"/>
    <n v="300"/>
    <n v="238"/>
    <n v="0.17656500802568217"/>
    <n v="0.1477139507620164"/>
    <n v="2.8851057263665769E-2"/>
    <n v="0.14513788098693758"/>
    <n v="0.12740899357601712"/>
    <n v="1.7728887410920463E-2"/>
    <n v="0.21727237202032046"/>
    <n v="0.45502645502645511"/>
    <n v="0.10653104925053536"/>
    <n v="0.26050420168067223"/>
  </r>
  <r>
    <x v="100"/>
    <n v="500257"/>
    <x v="7"/>
    <x v="9"/>
    <n v="2273.6999999999998"/>
    <n v="103962.52734"/>
    <n v="2.5804439031111024E-3"/>
    <n v="20095"/>
    <n v="16629"/>
    <n v="3886"/>
    <n v="2523"/>
    <n v="7100"/>
    <n v="5618"/>
    <n v="1180"/>
    <n v="858"/>
    <n v="0.19338143816869868"/>
    <n v="0.15172289373985207"/>
    <n v="4.1658544428846617E-2"/>
    <n v="0.16619718309859155"/>
    <n v="0.15272338910644356"/>
    <n v="1.3473793992147987E-2"/>
    <n v="0.20843105418245234"/>
    <n v="0.54022988505747116"/>
    <n v="0.26379494482022081"/>
    <n v="0.37529137529137535"/>
  </r>
  <r>
    <x v="101"/>
    <n v="500530"/>
    <x v="6"/>
    <x v="52"/>
    <n v="33225.25"/>
    <n v="97977.838860000003"/>
    <n v="2.4318985253161804E-3"/>
    <n v="1446"/>
    <n v="1317"/>
    <n v="220"/>
    <n v="145"/>
    <n v="488"/>
    <n v="446"/>
    <n v="53"/>
    <n v="45"/>
    <n v="0.15214384508990317"/>
    <n v="0.11009870918754745"/>
    <n v="4.2045135902355715E-2"/>
    <n v="0.10860655737704918"/>
    <n v="0.10089686098654709"/>
    <n v="7.709696390502091E-3"/>
    <n v="9.7949886104783612E-2"/>
    <n v="0.51724137931034475"/>
    <n v="9.4170403587443996E-2"/>
    <n v="0.17777777777777781"/>
  </r>
  <r>
    <x v="102"/>
    <n v="532754"/>
    <x v="10"/>
    <x v="53"/>
    <n v="90.93"/>
    <n v="96023.275757800002"/>
    <n v="2.3833845023372739E-3"/>
    <n v="10869"/>
    <n v="7551"/>
    <n v="72"/>
    <n v="-564"/>
    <n v="3994"/>
    <n v="2653"/>
    <n v="174"/>
    <n v="202"/>
    <n v="6.6243444659122271E-3"/>
    <n v="-7.4692093762415576E-2"/>
    <n v="8.1316438228327806E-2"/>
    <n v="4.3565348022033053E-2"/>
    <n v="7.6140218620429703E-2"/>
    <n v="-3.2574870598396651E-2"/>
    <n v="0.43941199841080647"/>
    <n v="-1.1276595744680851"/>
    <n v="0.50546551074255563"/>
    <n v="-0.13861386138613863"/>
  </r>
  <r>
    <x v="103"/>
    <n v="531642"/>
    <x v="5"/>
    <x v="54"/>
    <n v="747.6"/>
    <n v="96916.741821200005"/>
    <n v="2.4055611376589334E-3"/>
    <n v="10278"/>
    <n v="8101"/>
    <n v="1405"/>
    <n v="1313"/>
    <n v="3537"/>
    <n v="2794"/>
    <n v="460"/>
    <n v="406"/>
    <n v="0.1366997470324966"/>
    <n v="0.16207875570917171"/>
    <n v="-2.5379008676675113E-2"/>
    <n v="0.13005371783997738"/>
    <n v="0.14531138153185397"/>
    <n v="-1.5257663691876588E-2"/>
    <n v="0.2687322552771263"/>
    <n v="7.0068545316070097E-2"/>
    <n v="0.26592698639942736"/>
    <n v="0.13300492610837433"/>
  </r>
  <r>
    <x v="104"/>
    <n v="532432"/>
    <x v="5"/>
    <x v="55"/>
    <n v="1233.3499999999999"/>
    <n v="89728.999942499999"/>
    <n v="2.2271548870358639E-3"/>
    <n v="21436"/>
    <n v="20642"/>
    <n v="1299"/>
    <n v="1161"/>
    <n v="7942"/>
    <n v="7732"/>
    <n v="418"/>
    <n v="335"/>
    <n v="6.0598992349318904E-2"/>
    <n v="5.624454994671059E-2"/>
    <n v="4.3544424026083148E-3"/>
    <n v="5.2631578947368418E-2"/>
    <n v="4.3326435592343504E-2"/>
    <n v="9.3051433550249141E-3"/>
    <n v="3.8465264993702064E-2"/>
    <n v="0.1188630490956073"/>
    <n v="2.7159855147439238E-2"/>
    <n v="0.24776119402985075"/>
  </r>
  <r>
    <x v="105"/>
    <n v="522275"/>
    <x v="4"/>
    <x v="40"/>
    <n v="3735"/>
    <n v="97866.11"/>
    <n v="2.4291253140162504E-3"/>
    <n v="4569"/>
    <n v="3139"/>
    <n v="881"/>
    <n v="421"/>
    <n v="1700"/>
    <n v="1073"/>
    <n v="290"/>
    <n v="142"/>
    <n v="0.19282118625519806"/>
    <n v="0.13411914622491239"/>
    <n v="5.8702040030285674E-2"/>
    <n v="0.17058823529411765"/>
    <n v="0.13233923578751164"/>
    <n v="3.8248999506606013E-2"/>
    <n v="0.45555909525326532"/>
    <n v="1.0926365795724466"/>
    <n v="0.5843429636533084"/>
    <n v="1.0422535211267605"/>
  </r>
  <r>
    <x v="106"/>
    <n v="543287"/>
    <x v="6"/>
    <x v="35"/>
    <n v="703.05"/>
    <n v="70203.7520086"/>
    <n v="1.7425205839182679E-3"/>
    <n v="11962"/>
    <n v="9555"/>
    <n v="2422"/>
    <n v="1843"/>
    <n v="4672"/>
    <n v="4083"/>
    <n v="957"/>
    <n v="944"/>
    <n v="0.20247450259153987"/>
    <n v="0.19288330716902147"/>
    <n v="9.591195422518406E-3"/>
    <n v="0.20483732876712329"/>
    <n v="0.23120254714670585"/>
    <n v="-2.6365218379582556E-2"/>
    <n v="0.25190999476713771"/>
    <n v="0.31416169289202389"/>
    <n v="0.14425667401420528"/>
    <n v="1.3771186440677985E-2"/>
  </r>
  <r>
    <x v="107"/>
    <n v="540133"/>
    <x v="2"/>
    <x v="7"/>
    <n v="512"/>
    <n v="74173.7711194"/>
    <n v="1.8410600468556685E-3"/>
    <n v="59637"/>
    <n v="54982"/>
    <n v="983"/>
    <n v="800"/>
    <n v="22302"/>
    <n v="4516"/>
    <n v="387"/>
    <n v="324"/>
    <n v="1.6483055821050689E-2"/>
    <n v="1.4550216434469463E-2"/>
    <n v="1.9328393865812258E-3"/>
    <n v="1.735270379338176E-2"/>
    <n v="7.1744906997342775E-2"/>
    <n v="-5.4392203203961015E-2"/>
    <n v="8.4664071878069125E-2"/>
    <n v="0.22875000000000001"/>
    <n v="3.938441098317095"/>
    <n v="0.19444444444444442"/>
  </r>
  <r>
    <x v="108"/>
    <n v="540716"/>
    <x v="2"/>
    <x v="56"/>
    <n v="1709.1"/>
    <n v="85225.311233"/>
    <n v="2.1153692622603859E-3"/>
    <n v="19276"/>
    <n v="17085"/>
    <n v="2225"/>
    <n v="1998"/>
    <n v="6610"/>
    <n v="5882"/>
    <n v="658"/>
    <n v="724"/>
    <n v="0.11542851213944802"/>
    <n v="0.11694468832309043"/>
    <n v="-1.5161761836424148E-3"/>
    <n v="9.9546142208774585E-2"/>
    <n v="0.12308738524311459"/>
    <n v="-2.3541243034340006E-2"/>
    <n v="0.12824114720515079"/>
    <n v="0.11361361361361366"/>
    <n v="0.12376742604556279"/>
    <n v="-9.1160220994475183E-2"/>
  </r>
  <r>
    <x v="109"/>
    <n v="500387"/>
    <x v="8"/>
    <x v="11"/>
    <n v="23460"/>
    <n v="84645.416039999996"/>
    <n v="2.1009757393872213E-3"/>
    <n v="14842"/>
    <n v="13751"/>
    <n v="1221"/>
    <n v="549"/>
    <n v="4800"/>
    <n v="4573"/>
    <n v="266"/>
    <n v="194"/>
    <n v="8.226654089745318E-2"/>
    <n v="3.9924369136790053E-2"/>
    <n v="4.2342171760663128E-2"/>
    <n v="5.541666666666667E-2"/>
    <n v="4.242291712223923E-2"/>
    <n v="1.299374954442744E-2"/>
    <n v="7.9339684386590115E-2"/>
    <n v="1.2240437158469946"/>
    <n v="4.9639186529630397E-2"/>
    <n v="0.37113402061855671"/>
  </r>
  <r>
    <x v="110"/>
    <n v="500850"/>
    <x v="6"/>
    <x v="57"/>
    <n v="597.29999999999995"/>
    <n v="84986.765141600001"/>
    <n v="2.1094483326435927E-3"/>
    <n v="6923"/>
    <n v="5909"/>
    <n v="1601"/>
    <n v="1475"/>
    <n v="2841"/>
    <n v="2533"/>
    <n v="954"/>
    <n v="632"/>
    <n v="0.23125812509027879"/>
    <n v="0.24961922491115249"/>
    <n v="-1.8361099820873694E-2"/>
    <n v="0.33579725448785641"/>
    <n v="0.24950651401500198"/>
    <n v="8.6290740472854427E-2"/>
    <n v="0.17160264004061609"/>
    <n v="8.5423728813559308E-2"/>
    <n v="0.12159494670351356"/>
    <n v="0.509493670886076"/>
  </r>
  <r>
    <x v="111"/>
    <n v="543904"/>
    <x v="7"/>
    <x v="9"/>
    <n v="2013.7"/>
    <n v="83139.492344800005"/>
    <n v="2.0635973520273152E-3"/>
    <n v="10835"/>
    <n v="9128"/>
    <n v="1379"/>
    <n v="1586"/>
    <n v="3567"/>
    <n v="3199"/>
    <n v="414"/>
    <n v="386"/>
    <n v="0.12727272727272726"/>
    <n v="0.17375109553023663"/>
    <n v="-4.6478368257509367E-2"/>
    <n v="0.11606391925988226"/>
    <n v="0.12066270709596749"/>
    <n v="-4.5987878360852358E-3"/>
    <n v="0.1870070113935145"/>
    <n v="-0.13051702395964693"/>
    <n v="0.11503594873397938"/>
    <n v="7.2538860103626979E-2"/>
  </r>
  <r>
    <x v="112"/>
    <n v="500103"/>
    <x v="4"/>
    <x v="40"/>
    <n v="246.1"/>
    <n v="85710.978619700007"/>
    <n v="2.1274239658061293E-3"/>
    <n v="21472"/>
    <n v="19346"/>
    <n v="310"/>
    <n v="29"/>
    <n v="8473"/>
    <n v="7277"/>
    <n v="390"/>
    <n v="135"/>
    <n v="1.4437406855439643E-2"/>
    <n v="1.4990178848340741E-3"/>
    <n v="1.2938388970605568E-2"/>
    <n v="4.6028561312404105E-2"/>
    <n v="1.8551600934451011E-2"/>
    <n v="2.7476960377953094E-2"/>
    <n v="0.10989351803990499"/>
    <n v="9.6896551724137936"/>
    <n v="0.16435344235261784"/>
    <n v="1.8888888888888888"/>
  </r>
  <r>
    <x v="113"/>
    <n v="532321"/>
    <x v="7"/>
    <x v="25"/>
    <n v="862.8"/>
    <n v="86777.622616599998"/>
    <n v="2.1538990339774631E-3"/>
    <n v="2463"/>
    <n v="1780"/>
    <n v="35"/>
    <n v="175"/>
    <n v="963"/>
    <n v="450"/>
    <n v="-39"/>
    <n v="6"/>
    <n v="1.4210312626877792E-2"/>
    <n v="9.8314606741573038E-2"/>
    <n v="-8.4104294114695249E-2"/>
    <n v="-4.0498442367601244E-2"/>
    <n v="1.3333333333333334E-2"/>
    <n v="-5.383177570093458E-2"/>
    <n v="0.38370786516853927"/>
    <n v="-0.8"/>
    <n v="1.1400000000000001"/>
    <n v="-7.5"/>
  </r>
  <r>
    <x v="114"/>
    <n v="500096"/>
    <x v="5"/>
    <x v="43"/>
    <n v="411.55"/>
    <n v="72779.909769799997"/>
    <n v="1.8064631482097304E-3"/>
    <n v="10155"/>
    <n v="9733"/>
    <n v="1507"/>
    <n v="1428"/>
    <n v="3559"/>
    <n v="3355"/>
    <n v="554"/>
    <n v="516"/>
    <n v="0.14839980305268341"/>
    <n v="0.14671735333401828"/>
    <n v="1.6824497186651299E-3"/>
    <n v="0.15566170272548469"/>
    <n v="0.15380029806259315"/>
    <n v="1.8614046628915304E-3"/>
    <n v="4.3357649234562867E-2"/>
    <n v="5.5322128851540642E-2"/>
    <n v="6.0804769001490344E-2"/>
    <n v="7.3643410852713087E-2"/>
  </r>
  <r>
    <x v="115"/>
    <n v="500104"/>
    <x v="0"/>
    <x v="0"/>
    <n v="327.75"/>
    <n v="69813.841118700002"/>
    <n v="1.7328426431799807E-3"/>
    <n v="356808"/>
    <n v="349756"/>
    <n v="11981"/>
    <n v="3320"/>
    <n v="125189"/>
    <n v="119493"/>
    <n v="4011"/>
    <n v="2543"/>
    <n v="3.3578282998139058E-2"/>
    <n v="9.4923317970242119E-3"/>
    <n v="2.4085951201114848E-2"/>
    <n v="3.2039556191039147E-2"/>
    <n v="2.1281581347861379E-2"/>
    <n v="1.0757974843177767E-2"/>
    <n v="2.0162627660426091E-2"/>
    <n v="2.608734939759036"/>
    <n v="4.7668064238072461E-2"/>
    <n v="0.57727093983484079"/>
  </r>
  <r>
    <x v="116"/>
    <n v="500493"/>
    <x v="6"/>
    <x v="52"/>
    <n v="1663.1"/>
    <n v="79525.258891200006"/>
    <n v="1.9738888107058697E-3"/>
    <n v="12283"/>
    <n v="11270"/>
    <n v="855"/>
    <n v="630"/>
    <n v="4342"/>
    <n v="3475"/>
    <n v="272"/>
    <n v="212"/>
    <n v="6.960840185622405E-2"/>
    <n v="5.5900621118012424E-2"/>
    <n v="1.3707780738211627E-2"/>
    <n v="6.2643942883463838E-2"/>
    <n v="6.1007194244604317E-2"/>
    <n v="1.6367486388595212E-3"/>
    <n v="8.988464951197872E-2"/>
    <n v="0.35714285714285721"/>
    <n v="0.24949640287769781"/>
    <n v="0.28301886792452824"/>
  </r>
  <r>
    <x v="117"/>
    <n v="543237"/>
    <x v="4"/>
    <x v="58"/>
    <n v="2316.3000000000002"/>
    <n v="93480.236650000006"/>
    <n v="2.3202639729600436E-3"/>
    <n v="9155"/>
    <n v="8257"/>
    <n v="2081"/>
    <n v="2088"/>
    <n v="3601"/>
    <n v="3143"/>
    <n v="879"/>
    <n v="807"/>
    <n v="0.22730748225013653"/>
    <n v="0.25287634734164949"/>
    <n v="-2.556886509151296E-2"/>
    <n v="0.24409886142738127"/>
    <n v="0.25676105631562202"/>
    <n v="-1.2662194888240746E-2"/>
    <n v="0.10875620685478982"/>
    <n v="-3.3524904214559115E-3"/>
    <n v="0.14572064906140625"/>
    <n v="8.9219330855018653E-2"/>
  </r>
  <r>
    <x v="118"/>
    <n v="532955"/>
    <x v="2"/>
    <x v="38"/>
    <n v="327.9"/>
    <n v="86332.854972999994"/>
    <n v="2.1428594990258428E-3"/>
    <n v="45045"/>
    <n v="41086"/>
    <n v="12933"/>
    <n v="11574"/>
    <n v="15058"/>
    <n v="14287"/>
    <n v="4052"/>
    <n v="4076"/>
    <n v="0.28711288711288713"/>
    <n v="0.28170179623229324"/>
    <n v="5.4110908805938829E-3"/>
    <n v="0.26909284101474301"/>
    <n v="0.28529432351088402"/>
    <n v="-1.6201482496141006E-2"/>
    <n v="9.6358857031592304E-2"/>
    <n v="0.11741835147744939"/>
    <n v="5.3965143137117755E-2"/>
    <n v="-5.8881256133463955E-3"/>
  </r>
  <r>
    <x v="119"/>
    <n v="540691"/>
    <x v="2"/>
    <x v="31"/>
    <n v="310.39999999999998"/>
    <n v="80974.736099999995"/>
    <n v="2.0098661452498264E-3"/>
    <n v="32142"/>
    <n v="28485"/>
    <n v="2635"/>
    <n v="2468"/>
    <n v="12001"/>
    <n v="9404"/>
    <n v="945"/>
    <n v="708"/>
    <n v="8.1979963910148709E-2"/>
    <n v="8.6642092329296122E-2"/>
    <n v="-4.6621284191474127E-3"/>
    <n v="7.8743438046829428E-2"/>
    <n v="7.5287111867290521E-2"/>
    <n v="3.4563261795389072E-3"/>
    <n v="0.12838335966298042"/>
    <n v="6.7666126418152395E-2"/>
    <n v="0.27615908124202471"/>
    <n v="0.3347457627118644"/>
  </r>
  <r>
    <x v="120"/>
    <n v="517334"/>
    <x v="6"/>
    <x v="52"/>
    <n v="108.4"/>
    <n v="114226.4478252"/>
    <n v="2.8352036873883083E-3"/>
    <n v="91794"/>
    <n v="84346"/>
    <n v="2524"/>
    <n v="3030"/>
    <n v="31409"/>
    <n v="27666"/>
    <n v="1072"/>
    <n v="984"/>
    <n v="2.7496350523999388E-2"/>
    <n v="3.5923458136722548E-2"/>
    <n v="-8.4271076127231601E-3"/>
    <n v="3.4130344805628959E-2"/>
    <n v="3.5567122099327692E-2"/>
    <n v="-1.4367772936987322E-3"/>
    <n v="8.8302942641026227E-2"/>
    <n v="-0.166996699669967"/>
    <n v="0.13529241668473935"/>
    <n v="8.9430894308943021E-2"/>
  </r>
  <r>
    <x v="121"/>
    <n v="533148"/>
    <x v="9"/>
    <x v="12"/>
    <n v="497.15"/>
    <n v="89727.297226800001"/>
    <n v="2.2271126240930592E-3"/>
    <n v="15026"/>
    <n v="9142"/>
    <n v="2188"/>
    <n v="1568"/>
    <n v="4254"/>
    <n v="2640"/>
    <n v="528"/>
    <n v="157"/>
    <n v="0.14561426860109145"/>
    <n v="0.17151607963246554"/>
    <n v="-2.5901811031374095E-2"/>
    <n v="0.12411847672778561"/>
    <n v="5.9469696969696971E-2"/>
    <n v="6.4648779758088637E-2"/>
    <n v="0.64362283964121647"/>
    <n v="0.39540816326530615"/>
    <n v="0.61136363636363633"/>
    <n v="2.3630573248407645"/>
  </r>
  <r>
    <x v="122"/>
    <n v="517354"/>
    <x v="6"/>
    <x v="59"/>
    <n v="1201.4000000000001"/>
    <n v="75364.904519999996"/>
    <n v="1.8706250545561657E-3"/>
    <n v="15823"/>
    <n v="15234"/>
    <n v="966"/>
    <n v="953"/>
    <n v="5588"/>
    <n v="4889"/>
    <n v="300"/>
    <n v="278"/>
    <n v="6.1050369714971874E-2"/>
    <n v="6.25574373112774E-2"/>
    <n v="-1.5070675963055266E-3"/>
    <n v="5.3686471009305653E-2"/>
    <n v="5.6862344037635508E-2"/>
    <n v="-3.175873028329855E-3"/>
    <n v="3.8663515819876482E-2"/>
    <n v="1.3641133263378791E-2"/>
    <n v="0.14297402331765197"/>
    <n v="7.9136690647481966E-2"/>
  </r>
  <r>
    <x v="123"/>
    <n v="500247"/>
    <x v="2"/>
    <x v="2"/>
    <n v="359.9"/>
    <n v="357873.8345383"/>
    <n v="8.8827520650514007E-3"/>
    <n v="79456"/>
    <n v="75901"/>
    <n v="13864"/>
    <n v="17193"/>
    <n v="27850"/>
    <n v="23945"/>
    <n v="4924"/>
    <n v="4701"/>
    <n v="0.17448650825614176"/>
    <n v="0.22651875469361404"/>
    <n v="-5.2032246437472285E-2"/>
    <n v="0.17680430879712747"/>
    <n v="0.19632491125495929"/>
    <n v="-1.9520602457831826E-2"/>
    <n v="4.6837327571441767E-2"/>
    <n v="-0.19362531262723204"/>
    <n v="0.16308206306118178"/>
    <n v="4.7436715592427126E-2"/>
  </r>
  <r>
    <x v="124"/>
    <n v="500547"/>
    <x v="0"/>
    <x v="0"/>
    <n v="278.10000000000002"/>
    <n v="120653.798888"/>
    <n v="2.9947363506229738E-3"/>
    <n v="390220"/>
    <n v="375481"/>
    <n v="20218"/>
    <n v="8944"/>
    <n v="137298"/>
    <n v="128158"/>
    <n v="7188"/>
    <n v="3805"/>
    <n v="5.1811798472656448E-2"/>
    <n v="2.3820113401210714E-2"/>
    <n v="2.7991685071445734E-2"/>
    <n v="5.2353275357252108E-2"/>
    <n v="2.9689914012390954E-2"/>
    <n v="2.2663361344861153E-2"/>
    <n v="3.9253650650765248E-2"/>
    <n v="1.2605098389982112"/>
    <n v="7.1318216576413462E-2"/>
    <n v="0.88909329829172146"/>
  </r>
  <r>
    <x v="125"/>
    <n v="533106"/>
    <x v="0"/>
    <x v="14"/>
    <n v="474.65"/>
    <n v="77263.832500000004"/>
    <n v="1.9177581635119805E-3"/>
    <n v="27037"/>
    <n v="26576"/>
    <n v="5126"/>
    <n v="5543"/>
    <n v="9111"/>
    <n v="9089"/>
    <n v="1436"/>
    <n v="1457"/>
    <n v="0.18959204053704184"/>
    <n v="0.20857164358819988"/>
    <n v="-1.8979603051158034E-2"/>
    <n v="0.15761167819119745"/>
    <n v="0.16030366376939156"/>
    <n v="-2.6919855781941116E-3"/>
    <n v="1.7346478025285883E-2"/>
    <n v="-7.5230019844849338E-2"/>
    <n v="2.42050830674434E-3"/>
    <n v="-1.4413177762525708E-2"/>
  </r>
  <r>
    <x v="126"/>
    <n v="544162"/>
    <x v="1"/>
    <x v="1"/>
    <n v="1519.95"/>
    <n v="76009.997558500007"/>
    <n v="1.8866368468887314E-3"/>
    <n v="6940"/>
    <n v="6258"/>
    <n v="1286"/>
    <n v="1025"/>
    <n v="2359"/>
    <n v="2250"/>
    <n v="473"/>
    <n v="260"/>
    <n v="0.18530259365994237"/>
    <n v="0.16379034835410675"/>
    <n v="2.151224530583562E-2"/>
    <n v="0.20050869012293346"/>
    <n v="0.11555555555555555"/>
    <n v="8.4953134567377908E-2"/>
    <n v="0.10898050495365941"/>
    <n v="0.25463414634146342"/>
    <n v="4.8444444444444512E-2"/>
    <n v="0.81923076923076921"/>
  </r>
  <r>
    <x v="127"/>
    <n v="532149"/>
    <x v="2"/>
    <x v="13"/>
    <n v="142.94999999999999"/>
    <n v="65116.809848199999"/>
    <n v="1.6162580812729276E-3"/>
    <n v="62796"/>
    <n v="58478"/>
    <n v="7218"/>
    <n v="6946"/>
    <n v="21379"/>
    <n v="20739"/>
    <n v="2812"/>
    <n v="2636"/>
    <n v="0.11494362698261036"/>
    <n v="0.11877971202845515"/>
    <n v="-3.8360850458447893E-3"/>
    <n v="0.13153094157818421"/>
    <n v="0.1271035247601138"/>
    <n v="4.4274168180704065E-3"/>
    <n v="7.3839734601046647E-2"/>
    <n v="3.9159228332853457E-2"/>
    <n v="3.0859732870437417E-2"/>
    <n v="6.6767830045523446E-2"/>
  </r>
  <r>
    <x v="128"/>
    <n v="532779"/>
    <x v="9"/>
    <x v="45"/>
    <n v="1383.6"/>
    <n v="69810.7921202"/>
    <n v="1.7327669642811388E-3"/>
    <n v="22560"/>
    <n v="22709"/>
    <n v="2138"/>
    <n v="1981"/>
    <n v="6778"/>
    <n v="6499"/>
    <n v="655"/>
    <n v="489"/>
    <n v="9.4769503546099296E-2"/>
    <n v="8.723413624554141E-2"/>
    <n v="7.5353673005578853E-3"/>
    <n v="9.6636175863086454E-2"/>
    <n v="7.5242344976150177E-2"/>
    <n v="2.1393830886936277E-2"/>
    <n v="-6.5612752653133599E-3"/>
    <n v="7.9252902574457273E-2"/>
    <n v="4.292968148945997E-2"/>
    <n v="0.3394683026584866"/>
  </r>
  <r>
    <x v="129"/>
    <n v="544277"/>
    <x v="4"/>
    <x v="60"/>
    <n v="3081"/>
    <n v="88573.327439999994"/>
    <n v="2.1984700508802706E-3"/>
    <n v="18056"/>
    <n v="10440"/>
    <n v="2757"/>
    <n v="1283"/>
    <n v="7565"/>
    <n v="3457"/>
    <n v="1106"/>
    <n v="506"/>
    <n v="0.15269162605228179"/>
    <n v="0.12289272030651341"/>
    <n v="2.9798905745768378E-2"/>
    <n v="0.14619960343688038"/>
    <n v="0.14636968469771477"/>
    <n v="-1.7008126083439823E-4"/>
    <n v="0.72950191570881229"/>
    <n v="1.1488698363211225"/>
    <n v="1.1883135666763089"/>
    <n v="1.1857707509881421"/>
  </r>
  <r>
    <x v="130"/>
    <n v="503806"/>
    <x v="8"/>
    <x v="61"/>
    <n v="2422.8000000000002"/>
    <n v="71880.046857199995"/>
    <n v="1.7841277373086427E-3"/>
    <n v="11171"/>
    <n v="10380"/>
    <n v="1253"/>
    <n v="725"/>
    <n v="3713"/>
    <n v="3419"/>
    <n v="433"/>
    <n v="271"/>
    <n v="0.11216542834124071"/>
    <n v="6.9845857418111751E-2"/>
    <n v="4.2319570923128963E-2"/>
    <n v="0.11661729060059252"/>
    <n v="7.9262942380813106E-2"/>
    <n v="3.7354348219779412E-2"/>
    <n v="7.6204238921002032E-2"/>
    <n v="0.72827586206896555"/>
    <n v="8.5990055571804724E-2"/>
    <n v="0.59778597785977849"/>
  </r>
  <r>
    <x v="131"/>
    <n v="544289"/>
    <x v="9"/>
    <x v="12"/>
    <n v="98.58"/>
    <n v="83134.164999800007"/>
    <n v="2.0634651225088846E-3"/>
    <n v="1946"/>
    <n v="1587"/>
    <n v="324"/>
    <n v="241"/>
    <n v="653"/>
    <n v="505"/>
    <n v="17"/>
    <n v="66"/>
    <n v="0.16649537512846865"/>
    <n v="0.1518588531821046"/>
    <n v="1.4636521946364056E-2"/>
    <n v="2.6033690658499236E-2"/>
    <n v="0.1306930693069307"/>
    <n v="-0.10465937864843146"/>
    <n v="0.22621298046628868"/>
    <n v="0.34439834024896276"/>
    <n v="0.29306930693069311"/>
    <n v="-0.74242424242424243"/>
  </r>
  <r>
    <x v="132"/>
    <n v="543384"/>
    <x v="6"/>
    <x v="28"/>
    <n v="252.8"/>
    <n v="72436.781445800007"/>
    <n v="1.7979463930451044E-3"/>
    <n v="7374"/>
    <n v="5888"/>
    <n v="125"/>
    <n v="53"/>
    <n v="2873"/>
    <n v="2267"/>
    <n v="68"/>
    <n v="26"/>
    <n v="1.6951451044209385E-2"/>
    <n v="9.001358695652174E-3"/>
    <n v="7.9500923485572115E-3"/>
    <n v="2.3668639053254437E-2"/>
    <n v="1.1468901632112925E-2"/>
    <n v="1.2199737421141513E-2"/>
    <n v="0.25237771739130443"/>
    <n v="1.358490566037736"/>
    <n v="0.26731363034847822"/>
    <n v="1.6153846153846154"/>
  </r>
  <r>
    <x v="133"/>
    <n v="532187"/>
    <x v="2"/>
    <x v="2"/>
    <n v="784.4"/>
    <n v="61083.481129100001"/>
    <n v="1.5161472166302589E-3"/>
    <n v="40760"/>
    <n v="45015"/>
    <n v="295"/>
    <n v="4904"/>
    <n v="13080"/>
    <n v="15155"/>
    <n v="127"/>
    <n v="1402"/>
    <n v="7.2374877330716389E-3"/>
    <n v="0.10894146395645896"/>
    <n v="-0.10170397622338731"/>
    <n v="9.709480122324159E-3"/>
    <n v="9.2510722533817216E-2"/>
    <n v="-8.2801242411493059E-2"/>
    <n v="-9.4524047539709E-2"/>
    <n v="-0.93984502446982054"/>
    <n v="-0.13691850874298916"/>
    <n v="-0.90941512125534951"/>
  </r>
  <r>
    <x v="134"/>
    <n v="533179"/>
    <x v="3"/>
    <x v="3"/>
    <n v="5309.7"/>
    <n v="82992.766610999999"/>
    <n v="2.0599554866850512E-3"/>
    <n v="10692"/>
    <n v="8696"/>
    <n v="1335"/>
    <n v="1004"/>
    <n v="3778"/>
    <n v="3062"/>
    <n v="439"/>
    <n v="372"/>
    <n v="0.12485970819304153"/>
    <n v="0.11545538178472861"/>
    <n v="9.4043264083129158E-3"/>
    <n v="0.11619904711487559"/>
    <n v="0.12148922273024167"/>
    <n v="-5.2901756153660717E-3"/>
    <n v="0.22953081876724934"/>
    <n v="0.32968127490039834"/>
    <n v="0.23383409536250821"/>
    <n v="0.18010752688172049"/>
  </r>
  <r>
    <x v="135"/>
    <n v="533098"/>
    <x v="9"/>
    <x v="12"/>
    <n v="76.02"/>
    <n v="76382.409039599996"/>
    <n v="1.8958804364824148E-3"/>
    <n v="8800"/>
    <n v="8033"/>
    <n v="2671"/>
    <n v="2492"/>
    <n v="2221"/>
    <n v="2287"/>
    <n v="321"/>
    <n v="330"/>
    <n v="0.30352272727272728"/>
    <n v="0.3102203410929914"/>
    <n v="-6.6976138202641256E-3"/>
    <n v="0.14452949122017109"/>
    <n v="0.14429383471797114"/>
    <n v="2.3565650219994905E-4"/>
    <n v="9.5481140296277855E-2"/>
    <n v="7.182985553772081E-2"/>
    <n v="-2.8858766943594238E-2"/>
    <n v="-2.7272727272727226E-2"/>
  </r>
  <r>
    <x v="136"/>
    <n v="500469"/>
    <x v="2"/>
    <x v="2"/>
    <n v="271.05"/>
    <n v="66755.068135900001"/>
    <n v="1.6569211328394914E-3"/>
    <n v="25139"/>
    <n v="23874"/>
    <n v="3090"/>
    <n v="3093"/>
    <n v="8503"/>
    <n v="8196"/>
    <n v="1123"/>
    <n v="948"/>
    <n v="0.12291658379410478"/>
    <n v="0.12955516461422467"/>
    <n v="-6.6385808201198937E-3"/>
    <n v="0.13207103375279314"/>
    <n v="0.11566617862371889"/>
    <n v="1.6404855129074247E-2"/>
    <n v="5.2986512524084706E-2"/>
    <n v="-9.6993210475271319E-4"/>
    <n v="3.7457296242069393E-2"/>
    <n v="0.18459915611814348"/>
  </r>
  <r>
    <x v="137"/>
    <n v="543066"/>
    <x v="2"/>
    <x v="4"/>
    <n v="637.54999999999995"/>
    <n v="60654.9990712"/>
    <n v="1.5055119046366926E-3"/>
    <n v="15520"/>
    <n v="13804"/>
    <n v="1557"/>
    <n v="1382"/>
    <n v="5353"/>
    <n v="4767"/>
    <n v="557"/>
    <n v="383"/>
    <n v="0.10032216494845361"/>
    <n v="0.10011590843233845"/>
    <n v="2.0625651611516638E-4"/>
    <n v="0.10405380160657575"/>
    <n v="8.03440318858821E-2"/>
    <n v="2.3709769720693649E-2"/>
    <n v="0.1243117936829905"/>
    <n v="0.12662807525325626"/>
    <n v="0.12292846654080125"/>
    <n v="0.45430809399477812"/>
  </r>
  <r>
    <x v="138"/>
    <n v="540611"/>
    <x v="2"/>
    <x v="62"/>
    <n v="882.2"/>
    <n v="66030.822328399998"/>
    <n v="1.6389446972320232E-3"/>
    <n v="15864"/>
    <n v="13558"/>
    <n v="1809"/>
    <n v="1602"/>
    <n v="5451"/>
    <n v="4731"/>
    <n v="667"/>
    <n v="528"/>
    <n v="0.11403177004538578"/>
    <n v="0.11815902050449918"/>
    <n v="-4.1272504591133991E-3"/>
    <n v="0.12236286919831224"/>
    <n v="0.11160431198478123"/>
    <n v="1.0758557213531014E-2"/>
    <n v="0.17008408319811186"/>
    <n v="0.1292134831460674"/>
    <n v="0.15218769816106525"/>
    <n v="0.26325757575757569"/>
  </r>
  <r>
    <x v="139"/>
    <n v="526371"/>
    <x v="8"/>
    <x v="63"/>
    <n v="81.7"/>
    <n v="71811.561524300007"/>
    <n v="1.7824278694403256E-3"/>
    <n v="20728"/>
    <n v="16901"/>
    <n v="5397"/>
    <n v="5056"/>
    <n v="7611"/>
    <n v="6568"/>
    <n v="1747"/>
    <n v="1897"/>
    <n v="0.26037244307217289"/>
    <n v="0.29915389621915861"/>
    <n v="-3.8781453146985723E-2"/>
    <n v="0.22953619760872421"/>
    <n v="0.28882460414129113"/>
    <n v="-5.9288406532566923E-2"/>
    <n v="0.22643630554405059"/>
    <n v="6.7444620253164667E-2"/>
    <n v="0.15880024360535927"/>
    <n v="-7.9072219293621515E-2"/>
  </r>
  <r>
    <x v="140"/>
    <n v="533519"/>
    <x v="2"/>
    <x v="4"/>
    <n v="257.14999999999998"/>
    <n v="60192.92"/>
    <n v="1.494042684403774E-3"/>
    <n v="13165"/>
    <n v="11913"/>
    <n v="2174"/>
    <n v="2007"/>
    <n v="4581"/>
    <n v="4105"/>
    <n v="738"/>
    <n v="626"/>
    <n v="0.1651348271933156"/>
    <n v="0.16847141777889701"/>
    <n v="-3.3365905855814171E-3"/>
    <n v="0.16110019646365423"/>
    <n v="0.15249695493300852"/>
    <n v="8.6032415306457055E-3"/>
    <n v="0.10509527407034325"/>
    <n v="8.3208769307423935E-2"/>
    <n v="0.11595615103532286"/>
    <n v="0.17891373801916943"/>
  </r>
  <r>
    <x v="141"/>
    <n v="532843"/>
    <x v="7"/>
    <x v="47"/>
    <n v="807"/>
    <n v="60932.6744788"/>
    <n v="1.5124040592516144E-3"/>
    <n v="6763"/>
    <n v="5775"/>
    <n v="793"/>
    <n v="621"/>
    <n v="2265"/>
    <n v="1928"/>
    <n v="197"/>
    <n v="254"/>
    <n v="0.11725565577406477"/>
    <n v="0.10753246753246753"/>
    <n v="9.7231882415972359E-3"/>
    <n v="8.6975717439293596E-2"/>
    <n v="0.13174273858921162"/>
    <n v="-4.4767021149918027E-2"/>
    <n v="0.17108225108225117"/>
    <n v="0.27697262479871165"/>
    <n v="0.174792531120332"/>
    <n v="-0.22440944881889768"/>
  </r>
  <r>
    <x v="142"/>
    <n v="544252"/>
    <x v="2"/>
    <x v="64"/>
    <n v="79.55"/>
    <n v="66246.170356500006"/>
    <n v="1.6442898299483559E-3"/>
    <n v="8259"/>
    <n v="7068"/>
    <n v="1891"/>
    <n v="1576"/>
    <n v="2886"/>
    <n v="2449"/>
    <n v="654"/>
    <n v="548"/>
    <n v="0.22896234410945634"/>
    <n v="0.22297679683078664"/>
    <n v="5.9855472786697062E-3"/>
    <n v="0.22661122661122662"/>
    <n v="0.22376480195998366"/>
    <n v="2.8464246512429625E-3"/>
    <n v="0.16850594227504234"/>
    <n v="0.19987309644670059"/>
    <n v="0.17844017966516956"/>
    <n v="0.1934306569343065"/>
  </r>
  <r>
    <x v="143"/>
    <n v="524804"/>
    <x v="7"/>
    <x v="9"/>
    <n v="1336.65"/>
    <n v="77670.600803900001"/>
    <n v="1.9278545205036188E-3"/>
    <n v="24633"/>
    <n v="22997"/>
    <n v="2582"/>
    <n v="2580"/>
    <n v="8604"/>
    <n v="7893"/>
    <n v="909"/>
    <n v="845"/>
    <n v="0.10481873908983884"/>
    <n v="0.11218854633213028"/>
    <n v="-7.3698072422914429E-3"/>
    <n v="0.10564853556485355"/>
    <n v="0.10705688584821994"/>
    <n v="-1.4083502833663886E-3"/>
    <n v="7.1139713875722821E-2"/>
    <n v="7.751937984497026E-4"/>
    <n v="9.0079817559863162E-2"/>
    <n v="7.5739644970414188E-2"/>
  </r>
  <r>
    <x v="144"/>
    <n v="532539"/>
    <x v="6"/>
    <x v="52"/>
    <n v="1043.2"/>
    <n v="59208.83"/>
    <n v="1.4696166810582824E-3"/>
    <n v="14321"/>
    <n v="12246"/>
    <n v="932"/>
    <n v="731"/>
    <n v="5018"/>
    <n v="4184"/>
    <n v="300"/>
    <n v="254"/>
    <n v="6.5079254242022211E-2"/>
    <n v="5.9692960966846315E-2"/>
    <n v="5.3862932751758963E-3"/>
    <n v="5.9784774810681549E-2"/>
    <n v="6.0707456978967497E-2"/>
    <n v="-9.2268216828594873E-4"/>
    <n v="0.16944308345582226"/>
    <n v="0.27496580027359774"/>
    <n v="0.19933078393881454"/>
    <n v="0.18110236220472431"/>
  </r>
  <r>
    <x v="145"/>
    <n v="500113"/>
    <x v="8"/>
    <x v="18"/>
    <n v="160.85"/>
    <n v="66418.843260499998"/>
    <n v="1.6485757275093306E-3"/>
    <n v="79997"/>
    <n v="73163"/>
    <n v="1537"/>
    <n v="1121"/>
    <n v="27371"/>
    <n v="24490"/>
    <n v="374"/>
    <n v="142"/>
    <n v="1.9213220495768592E-2"/>
    <n v="1.5321952352965297E-2"/>
    <n v="3.891268142803295E-3"/>
    <n v="1.3664097037009973E-2"/>
    <n v="5.7982850142915474E-3"/>
    <n v="7.8658120227184259E-3"/>
    <n v="9.3407870098273671E-2"/>
    <n v="0.37109723461195365"/>
    <n v="0.11763985300122504"/>
    <n v="1.6338028169014085"/>
  </r>
  <r>
    <x v="146"/>
    <n v="543390"/>
    <x v="2"/>
    <x v="65"/>
    <n v="1472.75"/>
    <n v="68051.280423899996"/>
    <n v="1.6890942935088968E-3"/>
    <n v="5000"/>
    <n v="3776"/>
    <n v="408"/>
    <n v="182"/>
    <n v="1856"/>
    <n v="1392"/>
    <n v="189"/>
    <n v="71"/>
    <n v="8.1600000000000006E-2"/>
    <n v="4.8199152542372885E-2"/>
    <n v="3.3400847457627121E-2"/>
    <n v="0.10183189655172414"/>
    <n v="5.1005747126436782E-2"/>
    <n v="5.0826149425287362E-2"/>
    <n v="0.32415254237288127"/>
    <n v="1.2417582417582418"/>
    <n v="0.33333333333333326"/>
    <n v="1.6619718309859155"/>
  </r>
  <r>
    <x v="147"/>
    <n v="532388"/>
    <x v="2"/>
    <x v="13"/>
    <n v="32.96"/>
    <n v="63508.232938499998"/>
    <n v="1.5763317483381222E-3"/>
    <n v="27752"/>
    <n v="24473"/>
    <n v="3862"/>
    <n v="2303"/>
    <n v="9671"/>
    <n v="8413"/>
    <n v="1427"/>
    <n v="875"/>
    <n v="0.13916114153934853"/>
    <n v="9.4103706125117481E-2"/>
    <n v="4.5057435414231045E-2"/>
    <n v="0.14755454451452796"/>
    <n v="0.10400570545584215"/>
    <n v="4.3548839058685812E-2"/>
    <n v="0.13398439096146775"/>
    <n v="0.67694311767260085"/>
    <n v="0.14953048852965645"/>
    <n v="0.63085714285714278"/>
  </r>
  <r>
    <x v="148"/>
    <n v="505790"/>
    <x v="6"/>
    <x v="52"/>
    <n v="3789.8"/>
    <n v="59184.358139999997"/>
    <n v="1.469009267372308E-3"/>
    <n v="9685"/>
    <n v="8232"/>
    <n v="1150"/>
    <n v="939"/>
    <n v="2724"/>
    <n v="2136"/>
    <n v="322"/>
    <n v="237"/>
    <n v="0.11874032008260196"/>
    <n v="0.11406705539358601"/>
    <n v="4.6732646890159518E-3"/>
    <n v="0.11820851688693099"/>
    <n v="0.11095505617977527"/>
    <n v="7.2534607071557122E-3"/>
    <n v="0.17650631681243922"/>
    <n v="0.22470713525026631"/>
    <n v="0.27528089887640439"/>
    <n v="0.35864978902953593"/>
  </r>
  <r>
    <x v="149"/>
    <n v="543396"/>
    <x v="2"/>
    <x v="65"/>
    <n v="1026.8"/>
    <n v="65736.052246399995"/>
    <n v="1.6316282373461562E-3"/>
    <n v="6849"/>
    <n v="5490"/>
    <n v="369"/>
    <n v="-119"/>
    <n v="2406"/>
    <n v="2017"/>
    <n v="225"/>
    <n v="-208"/>
    <n v="5.387647831800263E-2"/>
    <n v="-2.1675774134790528E-2"/>
    <n v="7.555225245279315E-2"/>
    <n v="9.3516209476309231E-2"/>
    <n v="-0.10312345066931086"/>
    <n v="0.19663966014562009"/>
    <n v="0.24754098360655741"/>
    <n v="-4.1008403361344534"/>
    <n v="0.19286068418443225"/>
    <n v="-2.0817307692307692"/>
  </r>
  <r>
    <x v="150"/>
    <n v="539523"/>
    <x v="7"/>
    <x v="9"/>
    <n v="5218.5"/>
    <n v="62383.03875"/>
    <n v="1.548403411486179E-3"/>
    <n v="11108"/>
    <n v="9820"/>
    <n v="2100"/>
    <n v="1892"/>
    <n v="3736"/>
    <n v="3374"/>
    <n v="653"/>
    <n v="640"/>
    <n v="0.18905293482175009"/>
    <n v="0.19266802443991854"/>
    <n v="-3.6150896181684489E-3"/>
    <n v="0.17478586723768735"/>
    <n v="0.1896858328393598"/>
    <n v="-1.4899965601672449E-2"/>
    <n v="0.13116089613034632"/>
    <n v="0.10993657505285404"/>
    <n v="0.10729104919976296"/>
    <n v="2.0312499999999956E-2"/>
  </r>
  <r>
    <x v="151"/>
    <n v="532234"/>
    <x v="8"/>
    <x v="29"/>
    <n v="409.35"/>
    <n v="75154.942761900005"/>
    <n v="1.8654136139300281E-3"/>
    <n v="12830"/>
    <n v="11520"/>
    <n v="4075"/>
    <n v="3201"/>
    <n v="4731"/>
    <n v="4662"/>
    <n v="1595"/>
    <n v="1566"/>
    <n v="0.31761496492595481"/>
    <n v="0.27786458333333336"/>
    <n v="3.9750381592621453E-2"/>
    <n v="0.33713802578735996"/>
    <n v="0.3359073359073359"/>
    <n v="1.2306898800240607E-3"/>
    <n v="0.11371527777777768"/>
    <n v="0.27303967510153071"/>
    <n v="1.4800514800514808E-2"/>
    <n v="1.8518518518518601E-2"/>
  </r>
  <r>
    <x v="152"/>
    <n v="544285"/>
    <x v="6"/>
    <x v="28"/>
    <n v="272.7"/>
    <n v="62350.9063924"/>
    <n v="1.5476058573252423E-3"/>
    <n v="166"/>
    <n v="108"/>
    <n v="-33"/>
    <n v="-20"/>
    <n v="61"/>
    <n v="39"/>
    <n v="-10"/>
    <n v="-7"/>
    <n v="-0.19879518072289157"/>
    <n v="-0.18518518518518517"/>
    <n v="-1.3609995537706393E-2"/>
    <n v="-0.16393442622950818"/>
    <n v="-0.17948717948717949"/>
    <n v="1.5552753257671303E-2"/>
    <n v="0.53703703703703698"/>
    <n v="0.64999999999999991"/>
    <n v="0.5641025641025641"/>
    <n v="0.4285714285714286"/>
  </r>
  <r>
    <x v="153"/>
    <n v="512455"/>
    <x v="8"/>
    <x v="63"/>
    <n v="1434.9"/>
    <n v="80729.230115300001"/>
    <n v="2.0037724647900918E-3"/>
    <n v="10827"/>
    <n v="5444"/>
    <n v="2299"/>
    <n v="1248"/>
    <n v="4909"/>
    <n v="1671"/>
    <n v="1090"/>
    <n v="389"/>
    <n v="0.21233952156645425"/>
    <n v="0.22924320352681851"/>
    <n v="-1.6903681960364264E-2"/>
    <n v="0.22204114891016499"/>
    <n v="0.23279473369239975"/>
    <n v="-1.075358478223476E-2"/>
    <n v="0.98879500367376938"/>
    <n v="0.8421474358974359"/>
    <n v="1.9377618192698982"/>
    <n v="1.8020565552699228"/>
  </r>
  <r>
    <x v="154"/>
    <n v="532777"/>
    <x v="6"/>
    <x v="66"/>
    <n v="988.65"/>
    <n v="64015.128626799997"/>
    <n v="1.5889133575184115E-3"/>
    <n v="2415"/>
    <n v="2099"/>
    <n v="1007"/>
    <n v="632"/>
    <n v="819"/>
    <n v="722"/>
    <n v="316"/>
    <n v="288"/>
    <n v="0.41697722567287787"/>
    <n v="0.30109575988565984"/>
    <n v="0.11588146578721803"/>
    <n v="0.38583638583638585"/>
    <n v="0.39889196675900279"/>
    <n v="-1.3055580922616938E-2"/>
    <n v="0.15054787994282992"/>
    <n v="0.59335443037974689"/>
    <n v="0.13434903047091407"/>
    <n v="9.7222222222222321E-2"/>
  </r>
  <r>
    <x v="155"/>
    <n v="540755"/>
    <x v="2"/>
    <x v="56"/>
    <n v="385.9"/>
    <n v="67803.902397500002"/>
    <n v="1.6829541472819791E-3"/>
    <n v="37014"/>
    <n v="33646"/>
    <n v="6622"/>
    <n v="4610"/>
    <n v="11616"/>
    <n v="10420"/>
    <n v="1751"/>
    <n v="1623"/>
    <n v="0.17890527908359"/>
    <n v="0.13701480116507161"/>
    <n v="4.1890477918518382E-2"/>
    <n v="0.15074035812672176"/>
    <n v="0.1557581573896353"/>
    <n v="-5.0177992629135415E-3"/>
    <n v="0.10010105213101106"/>
    <n v="0.43644251626898045"/>
    <n v="0.11477927063339721"/>
    <n v="7.8866296980899531E-2"/>
  </r>
  <r>
    <x v="156"/>
    <n v="506395"/>
    <x v="8"/>
    <x v="67"/>
    <n v="1892.65"/>
    <n v="55760.702360000003"/>
    <n v="1.3840310361779137E-3"/>
    <n v="25476"/>
    <n v="19097"/>
    <n v="1783"/>
    <n v="1476"/>
    <n v="8779"/>
    <n v="6935"/>
    <n v="488"/>
    <n v="508"/>
    <n v="6.998743915842362E-2"/>
    <n v="7.7289626642928211E-2"/>
    <n v="-7.3021874845045909E-3"/>
    <n v="5.5587196719444128E-2"/>
    <n v="7.3251622206200434E-2"/>
    <n v="-1.7664425486756306E-2"/>
    <n v="0.33403152327590724"/>
    <n v="0.2079945799457994"/>
    <n v="0.2658976207642394"/>
    <n v="-3.9370078740157521E-2"/>
  </r>
  <r>
    <x v="157"/>
    <n v="532508"/>
    <x v="8"/>
    <x v="18"/>
    <n v="723.05"/>
    <n v="59570.462317500002"/>
    <n v="1.4785927220678373E-3"/>
    <n v="31617"/>
    <n v="29113"/>
    <n v="2350"/>
    <n v="1909"/>
    <n v="10517"/>
    <n v="9907"/>
    <n v="827"/>
    <n v="654"/>
    <n v="7.4327102508144352E-2"/>
    <n v="6.5572081200838114E-2"/>
    <n v="8.7550213073062377E-3"/>
    <n v="7.8634591613578012E-2"/>
    <n v="6.6013929544766328E-2"/>
    <n v="1.2620662068811683E-2"/>
    <n v="8.6009686394394214E-2"/>
    <n v="0.23101100052383439"/>
    <n v="6.1572625416372206E-2"/>
    <n v="0.26452599388379205"/>
  </r>
  <r>
    <x v="158"/>
    <n v="534091"/>
    <x v="2"/>
    <x v="50"/>
    <n v="2562.9"/>
    <n v="65231.938199999997"/>
    <n v="1.6191156710322258E-3"/>
    <n v="1503"/>
    <n v="888"/>
    <n v="801"/>
    <n v="424"/>
    <n v="697"/>
    <n v="324"/>
    <n v="401"/>
    <n v="160"/>
    <n v="0.53293413173652693"/>
    <n v="0.47747747747747749"/>
    <n v="5.5456654259049443E-2"/>
    <n v="0.57532281205164992"/>
    <n v="0.49382716049382713"/>
    <n v="8.149565155782279E-2"/>
    <n v="0.69256756756756754"/>
    <n v="0.88915094339622636"/>
    <n v="1.1512345679012346"/>
    <n v="1.5062500000000001"/>
  </r>
  <r>
    <x v="159"/>
    <n v="532648"/>
    <x v="2"/>
    <x v="2"/>
    <n v="18.079999999999998"/>
    <n v="56725.692400599997"/>
    <n v="1.4079829612661287E-3"/>
    <n v="27814"/>
    <n v="27637"/>
    <n v="2429"/>
    <n v="1701"/>
    <n v="9272"/>
    <n v="9416"/>
    <n v="956"/>
    <n v="619"/>
    <n v="8.7330121521535922E-2"/>
    <n v="6.1547924883308611E-2"/>
    <n v="2.5782196638227312E-2"/>
    <n v="0.10310612597066436"/>
    <n v="6.5739167374681398E-2"/>
    <n v="3.7366958595982963E-2"/>
    <n v="6.4044577920903123E-3"/>
    <n v="0.42798353909465026"/>
    <n v="-1.5293118096856406E-2"/>
    <n v="0.54442649434571888"/>
  </r>
  <r>
    <x v="160"/>
    <n v="532523"/>
    <x v="7"/>
    <x v="9"/>
    <n v="354.8"/>
    <n v="57453.861903199999"/>
    <n v="1.4260567865327126E-3"/>
    <n v="12410"/>
    <n v="10844"/>
    <n v="170"/>
    <n v="970"/>
    <n v="4173"/>
    <n v="3821"/>
    <n v="-51"/>
    <n v="81"/>
    <n v="1.3698630136986301E-2"/>
    <n v="8.9450387310955365E-2"/>
    <n v="-7.5751757173969064E-2"/>
    <n v="-1.2221423436376708E-2"/>
    <n v="2.1198639099712119E-2"/>
    <n v="-3.3420062536088826E-2"/>
    <n v="0.14441165621541874"/>
    <n v="-0.82474226804123707"/>
    <n v="9.2122481025909364E-2"/>
    <n v="-1.6296296296296298"/>
  </r>
  <r>
    <x v="161"/>
    <n v="542649"/>
    <x v="4"/>
    <x v="5"/>
    <n v="260.7"/>
    <n v="54379.380029899999"/>
    <n v="1.3497453673303236E-3"/>
    <n v="13716"/>
    <n v="13496"/>
    <n v="689"/>
    <n v="822"/>
    <n v="4684"/>
    <n v="4567"/>
    <n v="324"/>
    <n v="312"/>
    <n v="5.0233304170312042E-2"/>
    <n v="6.0906935388263188E-2"/>
    <n v="-1.0673631217951146E-2"/>
    <n v="6.9171648163962429E-2"/>
    <n v="6.8316181300634993E-2"/>
    <n v="8.5546686332743649E-4"/>
    <n v="1.6301126259632426E-2"/>
    <n v="-0.16180048661800484"/>
    <n v="2.5618567987738095E-2"/>
    <n v="3.8461538461538547E-2"/>
  </r>
  <r>
    <x v="162"/>
    <n v="500271"/>
    <x v="2"/>
    <x v="7"/>
    <n v="1501.5"/>
    <n v="51839.693265399997"/>
    <n v="1.2867080461440724E-3"/>
    <n v="36891"/>
    <n v="34101"/>
    <n v="137"/>
    <n v="365"/>
    <n v="14267"/>
    <n v="8923"/>
    <n v="45"/>
    <n v="70"/>
    <n v="3.7136428939307689E-3"/>
    <n v="1.0703498431131052E-2"/>
    <n v="-6.9898555372002822E-3"/>
    <n v="3.1541319128057755E-3"/>
    <n v="7.8448952146139197E-3"/>
    <n v="-4.6907633018081442E-3"/>
    <n v="8.1815782528371628E-2"/>
    <n v="-0.62465753424657533"/>
    <n v="0.59890171466995401"/>
    <n v="-0.3571428571428571"/>
  </r>
  <r>
    <x v="163"/>
    <n v="533758"/>
    <x v="4"/>
    <x v="68"/>
    <n v="1919.7"/>
    <n v="53257.637845099998"/>
    <n v="1.3219027123305737E-3"/>
    <n v="16191"/>
    <n v="15180"/>
    <n v="848"/>
    <n v="463"/>
    <n v="5815"/>
    <n v="5432"/>
    <n v="310"/>
    <n v="216"/>
    <n v="5.2374776110184672E-2"/>
    <n v="3.0500658761528326E-2"/>
    <n v="2.1874117348656345E-2"/>
    <n v="5.3310404127257092E-2"/>
    <n v="3.9764359351988215E-2"/>
    <n v="1.3546044775268877E-2"/>
    <n v="6.6600790513833941E-2"/>
    <n v="0.83153347732181415"/>
    <n v="7.0508100147275377E-2"/>
    <n v="0.43518518518518512"/>
  </r>
  <r>
    <x v="164"/>
    <n v="540699"/>
    <x v="6"/>
    <x v="59"/>
    <n v="10045.950000000001"/>
    <n v="61057.257938000002"/>
    <n v="1.5154963333233072E-3"/>
    <n v="38362"/>
    <n v="28567"/>
    <n v="1346"/>
    <n v="767"/>
    <n v="10671"/>
    <n v="10453"/>
    <n v="320"/>
    <n v="216"/>
    <n v="3.508680465043533E-2"/>
    <n v="2.6849161620051108E-2"/>
    <n v="8.2376430303842223E-3"/>
    <n v="2.9987817449161278E-2"/>
    <n v="2.0663924232277815E-2"/>
    <n v="9.3238932168834623E-3"/>
    <n v="0.34287814611264755"/>
    <n v="0.7548891786179921"/>
    <n v="2.0855256864058092E-2"/>
    <n v="0.4814814814814814"/>
  </r>
  <r>
    <x v="165"/>
    <n v="500830"/>
    <x v="5"/>
    <x v="43"/>
    <n v="1825"/>
    <n v="49661.851368000003"/>
    <n v="1.2326520416405778E-3"/>
    <n v="4511"/>
    <n v="4697"/>
    <n v="971"/>
    <n v="1081"/>
    <n v="1525"/>
    <n v="1482"/>
    <n v="323"/>
    <n v="322"/>
    <n v="0.21525160718244291"/>
    <n v="0.23014690227804982"/>
    <n v="-1.4895295095606914E-2"/>
    <n v="0.21180327868852458"/>
    <n v="0.21727395411605938"/>
    <n v="-5.4706754275347935E-3"/>
    <n v="-3.9599744517777258E-2"/>
    <n v="-0.10175763182238673"/>
    <n v="2.9014844804318596E-2"/>
    <n v="3.1055900621117516E-3"/>
  </r>
  <r>
    <x v="166"/>
    <n v="532296"/>
    <x v="7"/>
    <x v="9"/>
    <n v="2105.3000000000002"/>
    <n v="59406.0721128"/>
    <n v="1.4745124085904437E-3"/>
    <n v="13211"/>
    <n v="10065"/>
    <n v="1060"/>
    <n v="1042"/>
    <n v="3900"/>
    <n v="3387"/>
    <n v="403"/>
    <n v="348"/>
    <n v="8.0236166830671404E-2"/>
    <n v="0.1035270740188773"/>
    <n v="-2.3290907188205895E-2"/>
    <n v="0.10333333333333333"/>
    <n v="0.10274579273693533"/>
    <n v="5.8754059639799794E-4"/>
    <n v="0.312568306010929"/>
    <n v="1.7274472168905985E-2"/>
    <n v="0.15146147032772372"/>
    <n v="0.15804597701149414"/>
  </r>
  <r>
    <x v="167"/>
    <n v="532466"/>
    <x v="3"/>
    <x v="69"/>
    <n v="7033.25"/>
    <n v="61216.158685499999"/>
    <n v="1.5194403935109282E-3"/>
    <n v="5606"/>
    <n v="5130"/>
    <n v="1797"/>
    <n v="1735"/>
    <n v="1965"/>
    <n v="1715"/>
    <n v="609"/>
    <n v="541"/>
    <n v="0.32054941134498749"/>
    <n v="0.3382066276803119"/>
    <n v="-1.765721633532441E-2"/>
    <n v="0.3099236641221374"/>
    <n v="0.31545189504373178"/>
    <n v="-5.5282309215943792E-3"/>
    <n v="9.2787524366471752E-2"/>
    <n v="3.5734870317002843E-2"/>
    <n v="0.14577259475218662"/>
    <n v="0.12569316081330872"/>
  </r>
  <r>
    <x v="168"/>
    <n v="533274"/>
    <x v="6"/>
    <x v="35"/>
    <n v="1193.3"/>
    <n v="51386.112860000001"/>
    <n v="1.2754497704784832E-3"/>
    <n v="8611"/>
    <n v="5821"/>
    <n v="1013"/>
    <n v="573"/>
    <n v="3872"/>
    <n v="1654"/>
    <n v="244"/>
    <n v="32"/>
    <n v="0.1176402276158402"/>
    <n v="9.8436694725992091E-2"/>
    <n v="1.9203532889848107E-2"/>
    <n v="6.3016528925619833E-2"/>
    <n v="1.9347037484885126E-2"/>
    <n v="4.3669491440734703E-2"/>
    <n v="0.47929908950352162"/>
    <n v="0.76788830715532286"/>
    <n v="1.3409915356711002"/>
    <n v="6.625"/>
  </r>
  <r>
    <x v="169"/>
    <n v="500290"/>
    <x v="6"/>
    <x v="70"/>
    <n v="126670"/>
    <n v="53658.941235999999"/>
    <n v="1.3318634252416698E-3"/>
    <n v="23105"/>
    <n v="21078"/>
    <n v="1718"/>
    <n v="1357"/>
    <n v="8050"/>
    <n v="7001"/>
    <n v="692"/>
    <n v="315"/>
    <n v="7.4356199956719327E-2"/>
    <n v="6.4379922193756517E-2"/>
    <n v="9.9762777629628097E-3"/>
    <n v="8.5962732919254659E-2"/>
    <n v="4.4993572346807599E-2"/>
    <n v="4.0969160572447059E-2"/>
    <n v="9.6166619223835292E-2"/>
    <n v="0.2660280029476787"/>
    <n v="0.14983573775174985"/>
    <n v="1.196825396825397"/>
  </r>
  <r>
    <x v="170"/>
    <n v="503100"/>
    <x v="6"/>
    <x v="35"/>
    <n v="1551.7"/>
    <n v="55533.502434200003"/>
    <n v="1.3783917286474172E-3"/>
    <n v="3189"/>
    <n v="2797"/>
    <n v="1070"/>
    <n v="1015"/>
    <n v="1121"/>
    <n v="975"/>
    <n v="368"/>
    <n v="350"/>
    <n v="0.33552837880213232"/>
    <n v="0.36288880943868429"/>
    <n v="-2.7360430636551969E-2"/>
    <n v="0.32827832292595899"/>
    <n v="0.35897435897435898"/>
    <n v="-3.0696036048399988E-2"/>
    <n v="0.14015016088666421"/>
    <n v="5.4187192118226646E-2"/>
    <n v="0.1497435897435897"/>
    <n v="5.1428571428571379E-2"/>
  </r>
  <r>
    <x v="171"/>
    <n v="544429"/>
    <x v="2"/>
    <x v="4"/>
    <n v="587.54999999999995"/>
    <n v="48677.081653499998"/>
    <n v="1.2082091671667837E-3"/>
    <n v="13684"/>
    <n v="12034"/>
    <n v="1793"/>
    <n v="1645"/>
    <n v="4673"/>
    <n v="4143"/>
    <n v="643"/>
    <n v="472"/>
    <n v="0.13102893890675241"/>
    <n v="0.13669602792089081"/>
    <n v="-5.6670890141383989E-3"/>
    <n v="0.13759897282259789"/>
    <n v="0.11392710596186338"/>
    <n v="2.3671866860734511E-2"/>
    <n v="0.13711151736745886"/>
    <n v="8.9969604863221919E-2"/>
    <n v="0.12792662321988901"/>
    <n v="0.36228813559322037"/>
  </r>
  <r>
    <x v="172"/>
    <n v="540767"/>
    <x v="2"/>
    <x v="32"/>
    <n v="838.95"/>
    <n v="53598.545799400003"/>
    <n v="1.3303643559121937E-3"/>
    <n v="2228"/>
    <n v="1931"/>
    <n v="1144"/>
    <n v="987"/>
    <n v="781"/>
    <n v="603"/>
    <n v="404"/>
    <n v="295"/>
    <n v="0.51346499102333931"/>
    <n v="0.51113412739513209"/>
    <n v="2.3308636282072248E-3"/>
    <n v="0.51728553137003841"/>
    <n v="0.48922056384742951"/>
    <n v="2.8064967522608897E-2"/>
    <n v="0.1538063179699638"/>
    <n v="0.15906788247213788"/>
    <n v="0.29519071310116085"/>
    <n v="0.36949152542372876"/>
  </r>
  <r>
    <x v="173"/>
    <n v="540222"/>
    <x v="7"/>
    <x v="9"/>
    <n v="1058.4000000000001"/>
    <n v="57168.101431399999"/>
    <n v="1.4189639533160393E-3"/>
    <n v="5001"/>
    <n v="3833"/>
    <n v="607"/>
    <n v="120"/>
    <n v="1778"/>
    <n v="1415"/>
    <n v="253"/>
    <n v="90"/>
    <n v="0.121375724855029"/>
    <n v="3.1307070180015655E-2"/>
    <n v="9.0068654675013349E-2"/>
    <n v="0.1422947131608549"/>
    <n v="6.3604240282685506E-2"/>
    <n v="7.8690472878169396E-2"/>
    <n v="0.30472214975215239"/>
    <n v="4.0583333333333336"/>
    <n v="0.25653710247349815"/>
    <n v="1.8111111111111109"/>
  </r>
  <r>
    <x v="174"/>
    <n v="590071"/>
    <x v="2"/>
    <x v="4"/>
    <n v="4598.1000000000004"/>
    <n v="50755.300269899999"/>
    <n v="1.259792431783688E-3"/>
    <n v="7284"/>
    <n v="6263"/>
    <n v="1425"/>
    <n v="1259"/>
    <n v="2530"/>
    <n v="2207"/>
    <n v="522"/>
    <n v="451"/>
    <n v="0.19563426688632621"/>
    <n v="0.20102187450103784"/>
    <n v="-5.3876076147116314E-3"/>
    <n v="0.20632411067193676"/>
    <n v="0.20434979610330767"/>
    <n v="1.974314568629093E-3"/>
    <n v="0.1630209164936931"/>
    <n v="0.13185067513899917"/>
    <n v="0.14635251472587218"/>
    <n v="0.15742793791574283"/>
  </r>
  <r>
    <x v="175"/>
    <n v="523457"/>
    <x v="8"/>
    <x v="71"/>
    <n v="7190"/>
    <n v="61302.290148"/>
    <n v="1.5215782542667303E-3"/>
    <n v="1916"/>
    <n v="1893"/>
    <n v="471"/>
    <n v="336"/>
    <n v="701"/>
    <n v="605"/>
    <n v="192"/>
    <n v="114"/>
    <n v="0.24582463465553236"/>
    <n v="0.1774960380348653"/>
    <n v="6.8328596620667065E-2"/>
    <n v="0.27389443651925821"/>
    <n v="0.1884297520661157"/>
    <n v="8.5464684453142509E-2"/>
    <n v="1.2150026413100923E-2"/>
    <n v="0.40178571428571419"/>
    <n v="0.15867768595041332"/>
    <n v="0.68421052631578938"/>
  </r>
  <r>
    <x v="176"/>
    <n v="500488"/>
    <x v="7"/>
    <x v="9"/>
    <n v="25905.55"/>
    <n v="55035.686999999998"/>
    <n v="1.3660354995817762E-3"/>
    <n v="5220"/>
    <n v="4805"/>
    <n v="1157"/>
    <n v="1047"/>
    <n v="1724"/>
    <n v="1614"/>
    <n v="376"/>
    <n v="361"/>
    <n v="0.22164750957854407"/>
    <n v="0.21789802289281998"/>
    <n v="3.7494866857240849E-3"/>
    <n v="0.21809744779582366"/>
    <n v="0.22366790582403964"/>
    <n v="-5.5704580282159855E-3"/>
    <n v="8.6368366285119569E-2"/>
    <n v="0.10506208213944612"/>
    <n v="6.8153655514250344E-2"/>
    <n v="4.1551246537396169E-2"/>
  </r>
  <r>
    <x v="177"/>
    <n v="532667"/>
    <x v="4"/>
    <x v="40"/>
    <n v="41.38"/>
    <n v="56765.059682899999"/>
    <n v="1.408960092797963E-3"/>
    <n v="11211"/>
    <n v="7078"/>
    <n v="2049"/>
    <n v="891"/>
    <n v="4228"/>
    <n v="2969"/>
    <n v="445"/>
    <n v="388"/>
    <n v="0.18276692534118277"/>
    <n v="0.12588301780163888"/>
    <n v="5.6883907539543893E-2"/>
    <n v="0.10525070955534532"/>
    <n v="0.13068373189626137"/>
    <n v="-2.5433022340916045E-2"/>
    <n v="0.58392201186775927"/>
    <n v="1.2996632996632997"/>
    <n v="0.42404850117884818"/>
    <n v="0.14690721649484528"/>
  </r>
  <r>
    <x v="178"/>
    <n v="513599"/>
    <x v="8"/>
    <x v="72"/>
    <n v="507.5"/>
    <n v="49090.9676932"/>
    <n v="1.2184821927948915E-3"/>
    <n v="1922"/>
    <n v="1340"/>
    <n v="477"/>
    <n v="278"/>
    <n v="687"/>
    <n v="328"/>
    <n v="156"/>
    <n v="63"/>
    <n v="0.2481789802289282"/>
    <n v="0.20746268656716418"/>
    <n v="4.0716293661764019E-2"/>
    <n v="0.22707423580786026"/>
    <n v="0.19207317073170732"/>
    <n v="3.5001065076152943E-2"/>
    <n v="0.43432835820895521"/>
    <n v="0.71582733812949639"/>
    <n v="1.0945121951219514"/>
    <n v="1.4761904761904763"/>
  </r>
  <r>
    <x v="179"/>
    <n v="532525"/>
    <x v="2"/>
    <x v="13"/>
    <n v="66.06"/>
    <n v="50818.097043200003"/>
    <n v="1.2613511044606911E-3"/>
    <n v="24129"/>
    <n v="20690"/>
    <n v="5005"/>
    <n v="4026"/>
    <n v="8277"/>
    <n v="7112"/>
    <n v="1779"/>
    <n v="1406"/>
    <n v="0.20742674789672177"/>
    <n v="0.19458675688738522"/>
    <n v="1.2839991009336554E-2"/>
    <n v="0.21493294671982602"/>
    <n v="0.19769403824521936"/>
    <n v="1.7238908474606657E-2"/>
    <n v="0.1662155630739488"/>
    <n v="0.24316939890710376"/>
    <n v="0.16380764904386957"/>
    <n v="0.26529160739687052"/>
  </r>
  <r>
    <x v="180"/>
    <n v="500368"/>
    <x v="5"/>
    <x v="73"/>
    <n v="471.9"/>
    <n v="51325.867008200003"/>
    <n v="1.2739544139789569E-3"/>
    <n v="29013"/>
    <n v="24246"/>
    <n v="1290"/>
    <n v="942"/>
    <n v="10483"/>
    <n v="8996"/>
    <n v="590"/>
    <n v="370"/>
    <n v="4.446282700858236E-2"/>
    <n v="3.8851769364018809E-2"/>
    <n v="5.611057644563551E-3"/>
    <n v="5.6281598778975483E-2"/>
    <n v="4.1129390840373502E-2"/>
    <n v="1.5152207938601982E-2"/>
    <n v="0.19660975006186598"/>
    <n v="0.36942675159235661"/>
    <n v="0.16529568697198749"/>
    <n v="0.59459459459459452"/>
  </r>
  <r>
    <x v="181"/>
    <n v="544307"/>
    <x v="6"/>
    <x v="26"/>
    <n v="113"/>
    <n v="52829.589111100002"/>
    <n v="1.3112781558278987E-3"/>
    <n v="9792"/>
    <n v="8168"/>
    <n v="671"/>
    <n v="516"/>
    <n v="3670"/>
    <n v="3135"/>
    <n v="312"/>
    <n v="262"/>
    <n v="6.8525326797385627E-2"/>
    <n v="6.3173359451518113E-2"/>
    <n v="5.3519673458675143E-3"/>
    <n v="8.5013623978201641E-2"/>
    <n v="8.3572567783094104E-2"/>
    <n v="1.4410561951075374E-3"/>
    <n v="0.19882468168462286"/>
    <n v="0.3003875968992249"/>
    <n v="0.17065390749601272"/>
    <n v="0.19083969465648853"/>
  </r>
  <r>
    <x v="182"/>
    <n v="540762"/>
    <x v="6"/>
    <x v="52"/>
    <n v="2576.6"/>
    <n v="49849.379025299997"/>
    <n v="1.2373066476060706E-3"/>
    <n v="16633"/>
    <n v="14315"/>
    <n v="884"/>
    <n v="896"/>
    <n v="5801"/>
    <n v="4812"/>
    <n v="279"/>
    <n v="280"/>
    <n v="5.3147357662478203E-2"/>
    <n v="6.2591687041564786E-2"/>
    <n v="-9.4443293790865829E-3"/>
    <n v="4.8095156007584898E-2"/>
    <n v="5.8187863674147966E-2"/>
    <n v="-1.0092707666563068E-2"/>
    <n v="0.16192804750261969"/>
    <n v="-1.3392857142857095E-2"/>
    <n v="0.20552784704904403"/>
    <n v="-3.5714285714285587E-3"/>
  </r>
  <r>
    <x v="183"/>
    <n v="542066"/>
    <x v="0"/>
    <x v="74"/>
    <n v="525.04999999999995"/>
    <n v="57762.022542500003"/>
    <n v="1.4337056121548517E-3"/>
    <n v="4739"/>
    <n v="3980"/>
    <n v="487"/>
    <n v="499"/>
    <n v="1648"/>
    <n v="1407"/>
    <n v="158"/>
    <n v="142"/>
    <n v="0.10276429626503482"/>
    <n v="0.12537688442211056"/>
    <n v="-2.2612588157075744E-2"/>
    <n v="9.5873786407766989E-2"/>
    <n v="0.10092395167022032"/>
    <n v="-5.0501652624533322E-3"/>
    <n v="0.19070351758793969"/>
    <n v="-2.4048096192384794E-2"/>
    <n v="0.17128642501776836"/>
    <n v="0.11267605633802824"/>
  </r>
  <r>
    <x v="184"/>
    <n v="533273"/>
    <x v="6"/>
    <x v="35"/>
    <n v="1519.95"/>
    <n v="55311.164888500003"/>
    <n v="1.3728731097862393E-3"/>
    <n v="4259"/>
    <n v="4136"/>
    <n v="1804"/>
    <n v="1792"/>
    <n v="1492"/>
    <n v="1411"/>
    <n v="622"/>
    <n v="618"/>
    <n v="0.42357360882836348"/>
    <n v="0.4332688588007737"/>
    <n v="-9.6952499724102248E-3"/>
    <n v="0.41689008042895442"/>
    <n v="0.43798724309000708"/>
    <n v="-2.109716266105266E-2"/>
    <n v="2.9738878143133363E-2"/>
    <n v="6.6964285714286031E-3"/>
    <n v="5.7406094968107668E-2"/>
    <n v="6.4724919093850364E-3"/>
  </r>
  <r>
    <x v="185"/>
    <n v="533096"/>
    <x v="9"/>
    <x v="45"/>
    <n v="164.15"/>
    <n v="316751.03324999998"/>
    <n v="7.8620469650666405E-3"/>
    <n v="40017"/>
    <n v="41965"/>
    <n v="8700"/>
    <n v="10150"/>
    <n v="12451"/>
    <n v="13671"/>
    <n v="2488"/>
    <n v="2940"/>
    <n v="0.21740760176924806"/>
    <n v="0.24186822351959966"/>
    <n v="-2.4460621750351602E-2"/>
    <n v="0.19982330736487028"/>
    <n v="0.21505376344086022"/>
    <n v="-1.523045607598994E-2"/>
    <n v="-4.6419635410461124E-2"/>
    <n v="-0.1428571428571429"/>
    <n v="-8.9239997074098465E-2"/>
    <n v="-0.15374149659863945"/>
  </r>
  <r>
    <x v="186"/>
    <n v="512070"/>
    <x v="8"/>
    <x v="75"/>
    <n v="605.95000000000005"/>
    <n v="51257.674285000001"/>
    <n v="1.2722618089478911E-3"/>
    <n v="33504"/>
    <n v="31064"/>
    <n v="926"/>
    <n v="-259"/>
    <n v="12269"/>
    <n v="10907"/>
    <n v="490"/>
    <n v="853"/>
    <n v="2.7638490926456542E-2"/>
    <n v="-8.3376255472572755E-3"/>
    <n v="3.5976116473713821E-2"/>
    <n v="3.9938055261227484E-2"/>
    <n v="7.8206656275786199E-2"/>
    <n v="-3.8268601014558715E-2"/>
    <n v="7.8547514808138041E-2"/>
    <n v="-4.5752895752895757"/>
    <n v="0.12487393417071613"/>
    <n v="-0.42555685814771393"/>
  </r>
  <r>
    <x v="187"/>
    <n v="539437"/>
    <x v="2"/>
    <x v="2"/>
    <n v="60.59"/>
    <n v="44367.640462800002"/>
    <n v="1.101244941393493E-3"/>
    <n v="36239"/>
    <n v="32169"/>
    <n v="1279"/>
    <n v="1194"/>
    <n v="12541"/>
    <n v="11122"/>
    <n v="478"/>
    <n v="340"/>
    <n v="3.5293468362813545E-2"/>
    <n v="3.7116478597407444E-2"/>
    <n v="-1.8230102345938998E-3"/>
    <n v="3.8114982856231563E-2"/>
    <n v="3.0570041359467722E-2"/>
    <n v="7.5449414967638413E-3"/>
    <n v="0.12651931984208398"/>
    <n v="7.1189279731993294E-2"/>
    <n v="0.12758496673260211"/>
    <n v="0.40588235294117636"/>
  </r>
  <r>
    <x v="188"/>
    <n v="543994"/>
    <x v="10"/>
    <x v="16"/>
    <n v="238.05"/>
    <n v="49258.574399999998"/>
    <n v="1.22264234276189E-3"/>
    <n v="3839"/>
    <n v="3192"/>
    <n v="1123"/>
    <n v="1005"/>
    <n v="1349"/>
    <n v="1181"/>
    <n v="365"/>
    <n v="336"/>
    <n v="0.29252409481635844"/>
    <n v="0.31484962406015038"/>
    <n v="-2.2325529243791942E-2"/>
    <n v="0.27057079318013344"/>
    <n v="0.28450465707027944"/>
    <n v="-1.3933863890146003E-2"/>
    <n v="0.20269423558897248"/>
    <n v="0.11741293532338304"/>
    <n v="0.1422523285351398"/>
    <n v="8.6309523809523725E-2"/>
  </r>
  <r>
    <x v="189"/>
    <n v="509480"/>
    <x v="6"/>
    <x v="27"/>
    <n v="430.75"/>
    <n v="50183.175928299999"/>
    <n v="1.2455917884665537E-3"/>
    <n v="9012"/>
    <n v="8841"/>
    <n v="793"/>
    <n v="920"/>
    <n v="2984"/>
    <n v="2975"/>
    <n v="271"/>
    <n v="296"/>
    <n v="0.06"/>
    <n v="0.1040606266259473"/>
    <n v="-4.40606266259473E-2"/>
    <n v="9.0817694369973195E-2"/>
    <n v="9.9495798319327727E-2"/>
    <n v="-8.678103949354532E-3"/>
    <n v="1.9341703427214085E-2"/>
    <n v="-0.1380434782608696"/>
    <n v="3.0252100840335583E-3"/>
    <n v="-8.4459459459459429E-2"/>
  </r>
  <r>
    <x v="190"/>
    <n v="533150"/>
    <x v="6"/>
    <x v="35"/>
    <n v="1576"/>
    <n v="47548.646786600002"/>
    <n v="1.1802003937476161E-3"/>
    <n v="1673"/>
    <n v="2801"/>
    <n v="1195"/>
    <n v="1010"/>
    <n v="498"/>
    <n v="969"/>
    <n v="194"/>
    <n v="158"/>
    <n v="0.7142857142857143"/>
    <n v="0.36058550517672261"/>
    <n v="0.35370020910899169"/>
    <n v="0.38955823293172692"/>
    <n v="0.16305469556243551"/>
    <n v="0.22650353736929141"/>
    <n v="-0.40271331667261689"/>
    <n v="0.18316831683168311"/>
    <n v="-0.48606811145510831"/>
    <n v="0.22784810126582289"/>
  </r>
  <r>
    <x v="191"/>
    <n v="509930"/>
    <x v="4"/>
    <x v="76"/>
    <n v="3712.05"/>
    <n v="47111.700204200002"/>
    <n v="1.1693549846046479E-3"/>
    <n v="7690"/>
    <n v="7419"/>
    <n v="520"/>
    <n v="666"/>
    <n v="2686"/>
    <n v="2509"/>
    <n v="153"/>
    <n v="186"/>
    <n v="6.7620286085825751E-2"/>
    <n v="8.9769510715729889E-2"/>
    <n v="-2.2149224629904138E-2"/>
    <n v="5.6962025316455694E-2"/>
    <n v="7.4133120765245114E-2"/>
    <n v="-1.717109544878942E-2"/>
    <n v="3.6527833939884014E-2"/>
    <n v="-0.21921921921921927"/>
    <n v="7.0546034276604219E-2"/>
    <n v="-0.17741935483870963"/>
  </r>
  <r>
    <x v="192"/>
    <n v="500575"/>
    <x v="6"/>
    <x v="51"/>
    <n v="1242.75"/>
    <n v="41138.896366599998"/>
    <n v="1.0211045943769421E-3"/>
    <n v="9357"/>
    <n v="10645"/>
    <n v="257"/>
    <n v="599"/>
    <n v="3071"/>
    <n v="3105"/>
    <n v="84"/>
    <n v="131"/>
    <n v="2.7466068184247086E-2"/>
    <n v="5.6270549553781121E-2"/>
    <n v="-2.8804481369534035E-2"/>
    <n v="2.7352653858677956E-2"/>
    <n v="4.2190016103059579E-2"/>
    <n v="-1.4837362244381622E-2"/>
    <n v="-0.12099577266322215"/>
    <n v="-0.57095158597662765"/>
    <n v="-1.0950080515297889E-2"/>
    <n v="-0.35877862595419852"/>
  </r>
  <r>
    <x v="193"/>
    <n v="517569"/>
    <x v="4"/>
    <x v="39"/>
    <n v="4149"/>
    <n v="39655.128879999997"/>
    <n v="9.8427614414208224E-4"/>
    <n v="8271"/>
    <n v="6821"/>
    <n v="634"/>
    <n v="469"/>
    <n v="2954"/>
    <n v="2472"/>
    <n v="234"/>
    <n v="164"/>
    <n v="7.6653367186555438E-2"/>
    <n v="6.8758246591408889E-2"/>
    <n v="7.8951205951465486E-3"/>
    <n v="7.9214624238320916E-2"/>
    <n v="6.6343042071197414E-2"/>
    <n v="1.2871582167123502E-2"/>
    <n v="0.21257880076235147"/>
    <n v="0.35181236673773997"/>
    <n v="0.19498381877022664"/>
    <n v="0.42682926829268286"/>
  </r>
  <r>
    <x v="194"/>
    <n v="523642"/>
    <x v="8"/>
    <x v="75"/>
    <n v="2833.6"/>
    <n v="42994.866009700003"/>
    <n v="1.0671714385796997E-3"/>
    <n v="5148"/>
    <n v="6190"/>
    <n v="1120"/>
    <n v="1329"/>
    <n v="1375"/>
    <n v="1900"/>
    <n v="311"/>
    <n v="372"/>
    <n v="0.21756021756021757"/>
    <n v="0.2147011308562197"/>
    <n v="2.8590867039978707E-3"/>
    <n v="0.22618181818181818"/>
    <n v="0.19578947368421051"/>
    <n v="3.0392344497607665E-2"/>
    <n v="-0.16833602584814211"/>
    <n v="-0.15726109857035364"/>
    <n v="-0.27631578947368418"/>
    <n v="-0.16397849462365588"/>
  </r>
  <r>
    <x v="195"/>
    <n v="541143"/>
    <x v="4"/>
    <x v="15"/>
    <n v="1224.3499999999999"/>
    <n v="44892.895338100003"/>
    <n v="1.1142822421904869E-3"/>
    <n v="1961"/>
    <n v="1568"/>
    <n v="307"/>
    <n v="276"/>
    <n v="566"/>
    <n v="832"/>
    <n v="72"/>
    <n v="147"/>
    <n v="0.15655277919428862"/>
    <n v="0.17602040816326531"/>
    <n v="-1.9467628968976691E-2"/>
    <n v="0.12720848056537101"/>
    <n v="0.17668269230769232"/>
    <n v="-4.9474211742321306E-2"/>
    <n v="0.25063775510204089"/>
    <n v="0.1123188405797102"/>
    <n v="-0.31971153846153844"/>
    <n v="-0.51020408163265307"/>
  </r>
  <r>
    <x v="196"/>
    <n v="532522"/>
    <x v="0"/>
    <x v="74"/>
    <n v="254.4"/>
    <n v="38150.9994506"/>
    <n v="9.4694229208121706E-4"/>
    <n v="34053"/>
    <n v="38666"/>
    <n v="2472"/>
    <n v="2816"/>
    <n v="11164"/>
    <n v="12227"/>
    <n v="845"/>
    <n v="867"/>
    <n v="7.2592723108096197E-2"/>
    <n v="7.2828841876584074E-2"/>
    <n v="-2.3611876848787794E-4"/>
    <n v="7.5689716947330704E-2"/>
    <n v="7.0908644802486306E-2"/>
    <n v="4.7810721448443977E-3"/>
    <n v="-0.1193037810996741"/>
    <n v="-0.12215909090909094"/>
    <n v="-8.6938742128077173E-2"/>
    <n v="-2.5374855824682796E-2"/>
  </r>
  <r>
    <x v="197"/>
    <n v="542830"/>
    <x v="6"/>
    <x v="77"/>
    <n v="513.1"/>
    <n v="41047.998046799999"/>
    <n v="1.0188484159140633E-3"/>
    <n v="3755"/>
    <n v="3406"/>
    <n v="1073"/>
    <n v="956"/>
    <n v="1449"/>
    <n v="1224"/>
    <n v="395"/>
    <n v="342"/>
    <n v="0.28575233022636487"/>
    <n v="0.28068115091015855"/>
    <n v="5.0711793162063201E-3"/>
    <n v="0.2726017943409248"/>
    <n v="0.27941176470588236"/>
    <n v="-6.8099703649575627E-3"/>
    <n v="0.10246623605402227"/>
    <n v="0.12238493723849375"/>
    <n v="0.18382352941176472"/>
    <n v="0.15497076023391809"/>
  </r>
  <r>
    <x v="198"/>
    <n v="532720"/>
    <x v="2"/>
    <x v="4"/>
    <n v="284.7"/>
    <n v="35161.675717600003"/>
    <n v="8.7274457489781366E-4"/>
    <n v="16527"/>
    <n v="13633"/>
    <n v="1921"/>
    <n v="1805"/>
    <n v="5464"/>
    <n v="4799"/>
    <n v="827"/>
    <n v="918"/>
    <n v="0.11623404126580747"/>
    <n v="0.1323993251668745"/>
    <n v="-1.6165283901067029E-2"/>
    <n v="0.15135431918008785"/>
    <n v="0.19128985205251095"/>
    <n v="-3.9935532872423102E-2"/>
    <n v="0.21227902882711058"/>
    <n v="6.4265927977839254E-2"/>
    <n v="0.13857053552823495"/>
    <n v="-9.9128540305010948E-2"/>
  </r>
  <r>
    <x v="199"/>
    <n v="502355"/>
    <x v="6"/>
    <x v="70"/>
    <n v="2130.0500000000002"/>
    <n v="41298.333016899996"/>
    <n v="1.0250619561564763E-3"/>
    <n v="7890"/>
    <n v="7694"/>
    <n v="944"/>
    <n v="1286"/>
    <n v="2737"/>
    <n v="2560"/>
    <n v="382"/>
    <n v="449"/>
    <n v="0.11964512040557668"/>
    <n v="0.16714322848973226"/>
    <n v="-4.7498108084155582E-2"/>
    <n v="0.13956887102667154"/>
    <n v="0.17539062499999999"/>
    <n v="-3.5821753973328457E-2"/>
    <n v="2.5474395632960833E-2"/>
    <n v="-0.2659409020217729"/>
    <n v="6.9140624999999956E-2"/>
    <n v="-0.1492204899777283"/>
  </r>
  <r>
    <x v="200"/>
    <n v="532830"/>
    <x v="4"/>
    <x v="76"/>
    <n v="1519.7"/>
    <n v="40837.501045099998"/>
    <n v="1.0136236900579524E-3"/>
    <n v="4480"/>
    <n v="4151"/>
    <n v="321"/>
    <n v="340"/>
    <n v="1541"/>
    <n v="1397"/>
    <n v="107"/>
    <n v="112"/>
    <n v="7.165178571428571E-2"/>
    <n v="8.1907973982172977E-2"/>
    <n v="-1.0256188267887267E-2"/>
    <n v="6.9435431537962361E-2"/>
    <n v="8.0171796707229778E-2"/>
    <n v="-1.0736365169267417E-2"/>
    <n v="7.9258010118043787E-2"/>
    <n v="-5.5882352941176494E-2"/>
    <n v="0.10307802433786684"/>
    <n v="-4.4642857142857095E-2"/>
  </r>
  <r>
    <x v="201"/>
    <n v="500483"/>
    <x v="1"/>
    <x v="1"/>
    <n v="1396.15"/>
    <n v="39773.452087999998"/>
    <n v="9.872130331201811E-4"/>
    <n v="18248"/>
    <n v="17118"/>
    <n v="737"/>
    <n v="796"/>
    <n v="6188"/>
    <n v="5798"/>
    <n v="364"/>
    <n v="236"/>
    <n v="4.0387987724682155E-2"/>
    <n v="4.6500759434513379E-2"/>
    <n v="-6.1127717098312245E-3"/>
    <n v="5.8823529411764705E-2"/>
    <n v="4.0703690927906176E-2"/>
    <n v="1.8119838483858529E-2"/>
    <n v="6.6012384624372089E-2"/>
    <n v="-7.4120603015075393E-2"/>
    <n v="6.7264573991031362E-2"/>
    <n v="0.54237288135593231"/>
  </r>
  <r>
    <x v="202"/>
    <n v="532644"/>
    <x v="8"/>
    <x v="11"/>
    <n v="5295.5"/>
    <n v="40944.445675000003"/>
    <n v="1.0162781524422058E-3"/>
    <n v="9834"/>
    <n v="8297"/>
    <n v="657"/>
    <n v="511"/>
    <n v="3463"/>
    <n v="2930"/>
    <n v="173"/>
    <n v="189"/>
    <n v="6.6809029896278224E-2"/>
    <n v="6.1588525973243338E-2"/>
    <n v="5.220503923034886E-3"/>
    <n v="4.9956684955241124E-2"/>
    <n v="6.4505119453924911E-2"/>
    <n v="-1.4548434498683788E-2"/>
    <n v="0.18524767988429547"/>
    <n v="0.28571428571428581"/>
    <n v="0.18191126279863479"/>
    <n v="-8.4656084656084651E-2"/>
  </r>
  <r>
    <x v="203"/>
    <n v="526299"/>
    <x v="3"/>
    <x v="3"/>
    <n v="2231"/>
    <n v="42550.280966500002"/>
    <n v="1.0561364359350648E-3"/>
    <n v="11636"/>
    <n v="10519"/>
    <n v="135"/>
    <n v="125"/>
    <n v="400"/>
    <n v="356"/>
    <n v="442"/>
    <n v="427"/>
    <n v="1.1601925060158129E-2"/>
    <n v="1.1883258864911114E-2"/>
    <n v="-2.8133380475298467E-4"/>
    <n v="1.105"/>
    <n v="1.199438202247191"/>
    <n v="-9.4438202247191017E-2"/>
    <n v="0.10618880121684571"/>
    <n v="8.0000000000000071E-2"/>
    <n v="0.12359550561797761"/>
    <n v="3.5128805620608938E-2"/>
  </r>
  <r>
    <x v="204"/>
    <n v="500660"/>
    <x v="7"/>
    <x v="9"/>
    <n v="2330.6999999999998"/>
    <n v="39534.277392800002"/>
    <n v="9.8127650098885967E-4"/>
    <n v="2926"/>
    <n v="2774"/>
    <n v="758"/>
    <n v="664"/>
    <n v="1041"/>
    <n v="909"/>
    <n v="295"/>
    <n v="929"/>
    <n v="0.25905673274094326"/>
    <n v="0.23936553713049746"/>
    <n v="1.96911956104458E-2"/>
    <n v="0.28338136407300674"/>
    <n v="1.022002200220022"/>
    <n v="-0.73862083614701524"/>
    <n v="5.4794520547945202E-2"/>
    <n v="0.14156626506024095"/>
    <n v="0.1452145214521452"/>
    <n v="-0.68245425188374598"/>
  </r>
  <r>
    <x v="205"/>
    <n v="532259"/>
    <x v="4"/>
    <x v="60"/>
    <n v="9973.15"/>
    <n v="40065.880809499999"/>
    <n v="9.9447137832201914E-4"/>
    <n v="16299"/>
    <n v="13371"/>
    <n v="724"/>
    <n v="571"/>
    <n v="5480"/>
    <n v="4716"/>
    <n v="209"/>
    <n v="175"/>
    <n v="4.4419903061537515E-2"/>
    <n v="4.2704360182484483E-2"/>
    <n v="1.7155428790530322E-3"/>
    <n v="3.8138686131386865E-2"/>
    <n v="3.7107718405428328E-2"/>
    <n v="1.030967725958537E-3"/>
    <n v="0.21898137760825676"/>
    <n v="0.26795096322241685"/>
    <n v="0.16200169635284145"/>
    <n v="0.19428571428571439"/>
  </r>
  <r>
    <x v="206"/>
    <n v="532892"/>
    <x v="2"/>
    <x v="78"/>
    <n v="702"/>
    <n v="42238.541083299999"/>
    <n v="1.0483987702439527E-3"/>
    <n v="6724"/>
    <n v="7208"/>
    <n v="2084"/>
    <n v="2571"/>
    <n v="2120"/>
    <n v="2019"/>
    <n v="566"/>
    <n v="566"/>
    <n v="0.30993456276026177"/>
    <n v="0.35668701442841289"/>
    <n v="-4.6752451668151118E-2"/>
    <n v="0.26698113207547169"/>
    <n v="0.28033680039623576"/>
    <n v="-1.3355668320764069E-2"/>
    <n v="-6.7147613762486125E-2"/>
    <n v="-0.18942045896538307"/>
    <n v="5.002476473501738E-2"/>
    <n v="0"/>
  </r>
  <r>
    <x v="207"/>
    <n v="532478"/>
    <x v="5"/>
    <x v="55"/>
    <n v="1472.8"/>
    <n v="38960.091484999997"/>
    <n v="9.6702468773513591E-4"/>
    <n v="13055"/>
    <n v="14981"/>
    <n v="311"/>
    <n v="344"/>
    <n v="3936"/>
    <n v="4426"/>
    <n v="81"/>
    <n v="38"/>
    <n v="2.3822290310225966E-2"/>
    <n v="2.2962419064147921E-2"/>
    <n v="8.5987124607804499E-4"/>
    <n v="2.0579268292682928E-2"/>
    <n v="8.5856303660189794E-3"/>
    <n v="1.1993637926663948E-2"/>
    <n v="-0.12856284627194448"/>
    <n v="-9.5930232558139483E-2"/>
    <n v="-0.11070944419340267"/>
    <n v="1.1315789473684212"/>
  </r>
  <r>
    <x v="208"/>
    <n v="542772"/>
    <x v="2"/>
    <x v="78"/>
    <n v="931.15"/>
    <n v="37835.852352399997"/>
    <n v="9.3912005623393146E-4"/>
    <n v="3308"/>
    <n v="2763"/>
    <n v="927"/>
    <n v="766"/>
    <n v="1220"/>
    <n v="934"/>
    <n v="327"/>
    <n v="276"/>
    <n v="0.28022974607013301"/>
    <n v="0.27723488961273979"/>
    <n v="2.9948564573932246E-3"/>
    <n v="0.2680327868852459"/>
    <n v="0.2955032119914347"/>
    <n v="-2.7470425106188801E-2"/>
    <n v="0.19724936663047421"/>
    <n v="0.21018276762402088"/>
    <n v="0.30620985010706647"/>
    <n v="0.18478260869565211"/>
  </r>
  <r>
    <x v="209"/>
    <n v="543278"/>
    <x v="6"/>
    <x v="10"/>
    <n v="419.6"/>
    <n v="43380.242439299996"/>
    <n v="1.0767368299145197E-3"/>
    <n v="25467"/>
    <n v="18863"/>
    <n v="940"/>
    <n v="526"/>
    <n v="10343"/>
    <n v="7278"/>
    <n v="416"/>
    <n v="218"/>
    <n v="3.6910511642517768E-2"/>
    <n v="2.7885278057573026E-2"/>
    <n v="9.0252335849447425E-3"/>
    <n v="4.0220438944213475E-2"/>
    <n v="2.9953283869194835E-2"/>
    <n v="1.0267155075018641E-2"/>
    <n v="0.35010337698139216"/>
    <n v="0.78707224334600756"/>
    <n v="0.42113217917010171"/>
    <n v="0.90825688073394506"/>
  </r>
  <r>
    <x v="210"/>
    <n v="523395"/>
    <x v="11"/>
    <x v="79"/>
    <n v="29305"/>
    <n v="33006.625800000002"/>
    <n v="8.1925428793524005E-4"/>
    <n v="3690"/>
    <n v="3247"/>
    <n v="306"/>
    <n v="404"/>
    <n v="1228"/>
    <n v="1089"/>
    <n v="-62"/>
    <n v="113"/>
    <n v="8.2926829268292687E-2"/>
    <n v="0.12442254388666461"/>
    <n v="-4.1495714618371926E-2"/>
    <n v="-5.0488599348534204E-2"/>
    <n v="0.10376492194674013"/>
    <n v="-0.15425352129527434"/>
    <n v="0.1364336310440406"/>
    <n v="-0.24257425742574257"/>
    <n v="0.12764003673094582"/>
    <n v="-1.5486725663716814"/>
  </r>
  <r>
    <x v="211"/>
    <n v="532541"/>
    <x v="3"/>
    <x v="3"/>
    <n v="1217.6500000000001"/>
    <n v="40881.619785800001"/>
    <n v="1.0147187570822462E-3"/>
    <n v="11862"/>
    <n v="8640"/>
    <n v="1078"/>
    <n v="628"/>
    <n v="4188"/>
    <n v="3258"/>
    <n v="296"/>
    <n v="255"/>
    <n v="9.087843533974034E-2"/>
    <n v="7.2685185185185186E-2"/>
    <n v="1.8193250154555154E-2"/>
    <n v="7.0678127984718245E-2"/>
    <n v="7.8268876611418042E-2"/>
    <n v="-7.5907486266997976E-3"/>
    <n v="0.37291666666666656"/>
    <n v="0.71656050955414008"/>
    <n v="0.28545119705340705"/>
    <n v="0.16078431372549029"/>
  </r>
  <r>
    <x v="212"/>
    <n v="544597"/>
    <x v="2"/>
    <x v="4"/>
    <n v="1729"/>
    <n v="38994.990439300003"/>
    <n v="9.67890911326968E-4"/>
    <n v="8567"/>
    <n v="7579"/>
    <n v="1004"/>
    <n v="383"/>
    <n v="2975"/>
    <n v="2878"/>
    <n v="401"/>
    <n v="39"/>
    <n v="0.11719388350647834"/>
    <n v="5.0534371289088269E-2"/>
    <n v="6.6659512217390082E-2"/>
    <n v="0.13478991596638656"/>
    <n v="1.3551077136900626E-2"/>
    <n v="0.12123883882948594"/>
    <n v="0.130360205831904"/>
    <n v="1.6214099216710185"/>
    <n v="3.3703961084086131E-2"/>
    <n v="9.2820512820512828"/>
  </r>
  <r>
    <x v="213"/>
    <n v="500067"/>
    <x v="6"/>
    <x v="51"/>
    <n v="1563.45"/>
    <n v="32144.9843965"/>
    <n v="7.9786756943946711E-4"/>
    <n v="8330"/>
    <n v="7949"/>
    <n v="300"/>
    <n v="397"/>
    <n v="2925"/>
    <n v="2807"/>
    <n v="81"/>
    <n v="132"/>
    <n v="3.601440576230492E-2"/>
    <n v="4.9943389105547867E-2"/>
    <n v="-1.3928983343242947E-2"/>
    <n v="2.7692307692307693E-2"/>
    <n v="4.7025293908086928E-2"/>
    <n v="-1.9332986215779235E-2"/>
    <n v="4.7930557302805488E-2"/>
    <n v="-0.24433249370277077"/>
    <n v="4.2037762736017115E-2"/>
    <n v="-0.38636363636363635"/>
  </r>
  <r>
    <x v="214"/>
    <n v="544449"/>
    <x v="7"/>
    <x v="80"/>
    <n v="662.85"/>
    <n v="37250.052018299997"/>
    <n v="9.2457996242084866E-4"/>
    <n v="1513"/>
    <n v="1361"/>
    <n v="402"/>
    <n v="368"/>
    <n v="423"/>
    <n v="497"/>
    <n v="92"/>
    <n v="124"/>
    <n v="0.26569729015201587"/>
    <n v="0.27038941954445261"/>
    <n v="-4.6921293924367391E-3"/>
    <n v="0.21749408983451538"/>
    <n v="0.24949698189134809"/>
    <n v="-3.200289205683271E-2"/>
    <n v="0.11168258633357819"/>
    <n v="9.2391304347826164E-2"/>
    <n v="-0.14889336016096577"/>
    <n v="-0.25806451612903225"/>
  </r>
  <r>
    <x v="215"/>
    <n v="524494"/>
    <x v="7"/>
    <x v="9"/>
    <n v="1444.3"/>
    <n v="36650.108112599999"/>
    <n v="9.0968881237589796E-4"/>
    <n v="7258"/>
    <n v="6693"/>
    <n v="893"/>
    <n v="704"/>
    <n v="2352"/>
    <n v="2245"/>
    <n v="363"/>
    <n v="264"/>
    <n v="0.12303664921465969"/>
    <n v="0.10518452114149111"/>
    <n v="1.7852128073168577E-2"/>
    <n v="0.15433673469387754"/>
    <n v="0.11759465478841871"/>
    <n v="3.674207990545883E-2"/>
    <n v="8.4416554609293204E-2"/>
    <n v="0.26846590909090917"/>
    <n v="4.7661469933184764E-2"/>
    <n v="0.375"/>
  </r>
  <r>
    <x v="216"/>
    <n v="540678"/>
    <x v="4"/>
    <x v="58"/>
    <n v="1333.2"/>
    <n v="35063.396980500002"/>
    <n v="8.7030520780619059E-4"/>
    <n v="3537"/>
    <n v="3062"/>
    <n v="440"/>
    <n v="540"/>
    <n v="1350"/>
    <n v="1147"/>
    <n v="144"/>
    <n v="176"/>
    <n v="0.12439920836867402"/>
    <n v="0.17635532331809275"/>
    <n v="-5.1956114949418736E-2"/>
    <n v="0.10666666666666667"/>
    <n v="0.15344376634699217"/>
    <n v="-4.6777099680325493E-2"/>
    <n v="0.15512736773350744"/>
    <n v="-0.18518518518518523"/>
    <n v="0.17698343504795111"/>
    <n v="-0.18181818181818177"/>
  </r>
  <r>
    <x v="217"/>
    <n v="500495"/>
    <x v="4"/>
    <x v="81"/>
    <n v="2904.55"/>
    <n v="31960.062537199999"/>
    <n v="7.9327764173578517E-4"/>
    <n v="8572"/>
    <n v="7799"/>
    <n v="2073"/>
    <n v="946"/>
    <n v="3280"/>
    <n v="2948"/>
    <n v="358"/>
    <n v="321"/>
    <n v="0.2418338777414839"/>
    <n v="0.12129760225669958"/>
    <n v="0.12053627548478432"/>
    <n v="0.10914634146341463"/>
    <n v="0.10888738127544098"/>
    <n v="2.5896018797365306E-4"/>
    <n v="9.9115271188613852E-2"/>
    <n v="1.1913319238900635"/>
    <n v="0.11261872455902311"/>
    <n v="0.11526479750778806"/>
  </r>
  <r>
    <x v="218"/>
    <n v="540153"/>
    <x v="6"/>
    <x v="52"/>
    <n v="2190.1"/>
    <n v="30908.422757200002"/>
    <n v="7.6717499179062567E-4"/>
    <n v="10510"/>
    <n v="8597"/>
    <n v="675"/>
    <n v="591"/>
    <n v="3608"/>
    <n v="2859"/>
    <n v="222"/>
    <n v="184"/>
    <n v="6.4224548049476693E-2"/>
    <n v="6.874491101547052E-2"/>
    <n v="-4.5203629659938266E-3"/>
    <n v="6.1529933481152994E-2"/>
    <n v="6.4358167191325644E-2"/>
    <n v="-2.8282337101726493E-3"/>
    <n v="0.22251948354077"/>
    <n v="0.14213197969543145"/>
    <n v="0.26197971318642876"/>
    <n v="0.20652173913043481"/>
  </r>
  <r>
    <x v="219"/>
    <n v="532331"/>
    <x v="7"/>
    <x v="9"/>
    <n v="2739.9"/>
    <n v="34226.107620000002"/>
    <n v="8.4952292903014623E-4"/>
    <n v="4031"/>
    <n v="3478"/>
    <n v="789"/>
    <n v="695"/>
    <n v="1375"/>
    <n v="1146"/>
    <n v="274"/>
    <n v="233"/>
    <n v="0.19573306871743984"/>
    <n v="0.19982748706152961"/>
    <n v="-4.094418344089773E-3"/>
    <n v="0.19927272727272727"/>
    <n v="0.20331588132635253"/>
    <n v="-4.0431540536252641E-3"/>
    <n v="0.1589994249568718"/>
    <n v="0.13525179856115099"/>
    <n v="0.19982547993019195"/>
    <n v="0.17596566523605151"/>
  </r>
  <r>
    <x v="220"/>
    <n v="542812"/>
    <x v="8"/>
    <x v="34"/>
    <n v="3191.7"/>
    <n v="35111.3560363"/>
    <n v="8.7149559492263049E-4"/>
    <n v="3627"/>
    <n v="3512"/>
    <n v="465"/>
    <n v="355"/>
    <n v="1136"/>
    <n v="1148"/>
    <n v="102"/>
    <n v="126"/>
    <n v="0.12820512820512819"/>
    <n v="0.10108200455580865"/>
    <n v="2.7123123649319542E-2"/>
    <n v="8.9788732394366202E-2"/>
    <n v="0.10975609756097561"/>
    <n v="-1.9967365166609408E-2"/>
    <n v="3.2744874715261885E-2"/>
    <n v="0.3098591549295775"/>
    <n v="-1.0452961672473893E-2"/>
    <n v="-0.19047619047619047"/>
  </r>
  <r>
    <x v="221"/>
    <n v="540115"/>
    <x v="3"/>
    <x v="82"/>
    <n v="3349.1"/>
    <n v="35519.963309999999"/>
    <n v="8.8163759680699922E-4"/>
    <n v="8769"/>
    <n v="7687"/>
    <n v="948"/>
    <n v="953"/>
    <n v="2923"/>
    <n v="2653"/>
    <n v="303"/>
    <n v="319"/>
    <n v="0.10810810810810811"/>
    <n v="0.12397554312475609"/>
    <n v="-1.5867435016647974E-2"/>
    <n v="0.10366062264796443"/>
    <n v="0.12024123633622315"/>
    <n v="-1.6580613688258722E-2"/>
    <n v="0.14075712241446592"/>
    <n v="-5.2465897166841247E-3"/>
    <n v="0.10177157934413872"/>
    <n v="-5.0156739811912265E-2"/>
  </r>
  <r>
    <x v="222"/>
    <n v="542216"/>
    <x v="8"/>
    <x v="11"/>
    <n v="1871"/>
    <n v="35101.0829839"/>
    <n v="8.712406084759734E-4"/>
    <n v="10559"/>
    <n v="9889"/>
    <n v="762"/>
    <n v="260"/>
    <n v="3506"/>
    <n v="3181"/>
    <n v="128"/>
    <n v="66"/>
    <n v="7.2165924803485174E-2"/>
    <n v="2.6291839417534633E-2"/>
    <n v="4.5874085385950544E-2"/>
    <n v="3.650884198516828E-2"/>
    <n v="2.0748192392329456E-2"/>
    <n v="1.5760649592838825E-2"/>
    <n v="6.7752047729800813E-2"/>
    <n v="1.9307692307692306"/>
    <n v="0.10216912920465271"/>
    <n v="0.93939393939393945"/>
  </r>
  <r>
    <x v="223"/>
    <n v="500459"/>
    <x v="5"/>
    <x v="43"/>
    <n v="9632.9500000000007"/>
    <n v="31196.384566500001"/>
    <n v="7.7432246419389733E-4"/>
    <n v="3349"/>
    <n v="3314"/>
    <n v="703"/>
    <n v="561"/>
    <n v="1251"/>
    <n v="1247"/>
    <n v="301"/>
    <n v="268"/>
    <n v="0.20991340698716035"/>
    <n v="0.16928183464091731"/>
    <n v="4.0631572346243039E-2"/>
    <n v="0.24060751398880895"/>
    <n v="0.21491579791499599"/>
    <n v="2.5691716073812959E-2"/>
    <n v="1.0561255280627568E-2"/>
    <n v="0.25311942959001787"/>
    <n v="3.2076984763431682E-3"/>
    <n v="0.12313432835820892"/>
  </r>
  <r>
    <x v="224"/>
    <n v="539551"/>
    <x v="7"/>
    <x v="47"/>
    <n v="1670"/>
    <n v="33937.976580000002"/>
    <n v="8.423712561679283E-4"/>
    <n v="5302"/>
    <n v="4007"/>
    <n v="582"/>
    <n v="593"/>
    <n v="2151"/>
    <n v="1334"/>
    <n v="128"/>
    <n v="193"/>
    <n v="0.10976989815164089"/>
    <n v="0.14799101572248566"/>
    <n v="-3.8221117570844773E-2"/>
    <n v="5.9507205950720593E-2"/>
    <n v="0.1446776611694153"/>
    <n v="-8.5170455218694707E-2"/>
    <n v="0.32318442725230856"/>
    <n v="-1.8549747048903886E-2"/>
    <n v="0.61244377811094464"/>
    <n v="-0.33678756476683935"/>
  </r>
  <r>
    <x v="225"/>
    <n v="540530"/>
    <x v="2"/>
    <x v="38"/>
    <n v="169.25"/>
    <n v="33900.047225000002"/>
    <n v="8.4142981529146139E-4"/>
    <n v="9702"/>
    <n v="7493"/>
    <n v="2053"/>
    <n v="1981"/>
    <n v="3506"/>
    <n v="2770"/>
    <n v="713"/>
    <n v="735"/>
    <n v="0.21160585446299732"/>
    <n v="0.26438008808221009"/>
    <n v="-5.2774233619212768E-2"/>
    <n v="0.2033656588705077"/>
    <n v="0.26534296028880866"/>
    <n v="-6.1977301418300962E-2"/>
    <n v="0.29480848792206049"/>
    <n v="3.6345280161534488E-2"/>
    <n v="0.26570397111913358"/>
    <n v="-2.9931972789115635E-2"/>
  </r>
  <r>
    <x v="226"/>
    <n v="544325"/>
    <x v="6"/>
    <x v="57"/>
    <n v="150.65"/>
    <n v="31390.447684300001"/>
    <n v="7.7913928619657933E-4"/>
    <n v="2886"/>
    <n v="2499"/>
    <n v="504"/>
    <n v="380"/>
    <n v="1231"/>
    <n v="1015"/>
    <n v="237"/>
    <n v="216"/>
    <n v="0.17463617463617465"/>
    <n v="0.15206082432973189"/>
    <n v="2.2575350306442754E-2"/>
    <n v="0.19252640129975629"/>
    <n v="0.21280788177339902"/>
    <n v="-2.0281480473642727E-2"/>
    <n v="0.15486194477791115"/>
    <n v="0.32631578947368411"/>
    <n v="0.21280788177339893"/>
    <n v="9.7222222222222321E-2"/>
  </r>
  <r>
    <x v="227"/>
    <n v="532505"/>
    <x v="2"/>
    <x v="13"/>
    <n v="24.22"/>
    <n v="30383.3533059"/>
    <n v="7.5414229338492168E-4"/>
    <n v="22375"/>
    <n v="21336"/>
    <n v="1966"/>
    <n v="1792"/>
    <n v="7521"/>
    <n v="7405"/>
    <n v="739"/>
    <n v="638"/>
    <n v="8.7865921787709494E-2"/>
    <n v="8.3989501312335957E-2"/>
    <n v="3.8764204753735376E-3"/>
    <n v="9.8258210344369101E-2"/>
    <n v="8.6158001350438898E-2"/>
    <n v="1.2100208993930203E-2"/>
    <n v="4.8697037870266247E-2"/>
    <n v="9.7098214285714191E-2"/>
    <n v="1.5665091154625221E-2"/>
    <n v="0.15830721003134807"/>
  </r>
  <r>
    <x v="228"/>
    <n v="532683"/>
    <x v="4"/>
    <x v="83"/>
    <n v="3655.05"/>
    <n v="34136.591346000001"/>
    <n v="8.4730105419329185E-4"/>
    <n v="3153"/>
    <n v="3130"/>
    <n v="875"/>
    <n v="774"/>
    <n v="1066"/>
    <n v="1066"/>
    <n v="292"/>
    <n v="258"/>
    <n v="0.27751347922613384"/>
    <n v="0.24728434504792332"/>
    <n v="3.0229134178210521E-2"/>
    <n v="0.27392120075046905"/>
    <n v="0.24202626641651032"/>
    <n v="3.1894934333958735E-2"/>
    <n v="7.348242811501704E-3"/>
    <n v="0.1304909560723515"/>
    <n v="0"/>
    <n v="0.13178294573643412"/>
  </r>
  <r>
    <x v="229"/>
    <n v="532885"/>
    <x v="2"/>
    <x v="13"/>
    <n v="33.76"/>
    <n v="30557.5316327"/>
    <n v="7.5846555690058473E-4"/>
    <n v="31700"/>
    <n v="29191"/>
    <n v="3778"/>
    <n v="2829"/>
    <n v="11006"/>
    <n v="9774"/>
    <n v="1264"/>
    <n v="963"/>
    <n v="0.11917981072555205"/>
    <n v="9.6913432222260287E-2"/>
    <n v="2.2266378503291759E-2"/>
    <n v="0.11484644739233145"/>
    <n v="9.8526703499079188E-2"/>
    <n v="1.6319743893252261E-2"/>
    <n v="8.595114932684722E-2"/>
    <n v="0.33545422410745851"/>
    <n v="0.12604870063433604"/>
    <n v="0.31256490134994808"/>
  </r>
  <r>
    <x v="230"/>
    <n v="532497"/>
    <x v="5"/>
    <x v="55"/>
    <n v="2686.4"/>
    <n v="35938.196360000002"/>
    <n v="8.9201851916013281E-4"/>
    <n v="15794"/>
    <n v="12613"/>
    <n v="425"/>
    <n v="253"/>
    <n v="5423"/>
    <n v="4440"/>
    <n v="154"/>
    <n v="95"/>
    <n v="2.6908952766873495E-2"/>
    <n v="2.0058669626575754E-2"/>
    <n v="6.8502831402977409E-3"/>
    <n v="2.8397565922920892E-2"/>
    <n v="2.1396396396396396E-2"/>
    <n v="7.0011695265244957E-3"/>
    <n v="0.25220011099659079"/>
    <n v="0.67984189723320165"/>
    <n v="0.2213963963963963"/>
    <n v="0.6210526315789473"/>
  </r>
  <r>
    <x v="231"/>
    <n v="513683"/>
    <x v="9"/>
    <x v="12"/>
    <n v="276.14999999999998"/>
    <n v="38257.286393599999"/>
    <n v="9.4958043008211131E-4"/>
    <n v="12447"/>
    <n v="11447"/>
    <n v="2288"/>
    <n v="2245"/>
    <n v="4443"/>
    <n v="4411"/>
    <n v="724"/>
    <n v="696"/>
    <n v="0.18381939423154173"/>
    <n v="0.19612125447715559"/>
    <n v="-1.230186024561386E-2"/>
    <n v="0.16295295971190638"/>
    <n v="0.15778734980729994"/>
    <n v="5.165609904606433E-3"/>
    <n v="8.7359133397396649E-2"/>
    <n v="1.9153674832962153E-2"/>
    <n v="7.2545907957379807E-3"/>
    <n v="4.022988505747116E-2"/>
  </r>
  <r>
    <x v="232"/>
    <n v="532827"/>
    <x v="6"/>
    <x v="84"/>
    <n v="34623.5"/>
    <n v="38737.390509999997"/>
    <n v="9.6149704823021839E-4"/>
    <n v="3994"/>
    <n v="3836"/>
    <n v="585"/>
    <n v="565"/>
    <n v="1386"/>
    <n v="1313"/>
    <n v="189"/>
    <n v="204"/>
    <n v="0.14646970455683525"/>
    <n v="0.14728884254431698"/>
    <n v="-8.1913798748173283E-4"/>
    <n v="0.13636363636363635"/>
    <n v="0.15536938309215537"/>
    <n v="-1.9005746728519013E-2"/>
    <n v="4.1188738269030134E-2"/>
    <n v="3.539823008849563E-2"/>
    <n v="5.5597867479055596E-2"/>
    <n v="-7.3529411764705843E-2"/>
  </r>
  <r>
    <x v="233"/>
    <n v="500411"/>
    <x v="4"/>
    <x v="40"/>
    <n v="3293.6"/>
    <n v="37110.887795900002"/>
    <n v="9.2112578062658688E-4"/>
    <n v="7266"/>
    <n v="7323"/>
    <n v="476"/>
    <n v="421"/>
    <n v="2635"/>
    <n v="2523"/>
    <n v="205"/>
    <n v="114"/>
    <n v="6.5510597302504817E-2"/>
    <n v="5.7490099685921073E-2"/>
    <n v="8.0204976165837438E-3"/>
    <n v="7.7798861480075907E-2"/>
    <n v="4.5184304399524373E-2"/>
    <n v="3.2614557080551533E-2"/>
    <n v="-7.7836952068823795E-3"/>
    <n v="0.13064133016627077"/>
    <n v="4.4391597304795916E-2"/>
    <n v="0.79824561403508776"/>
  </r>
  <r>
    <x v="234"/>
    <n v="524000"/>
    <x v="2"/>
    <x v="4"/>
    <n v="390.1"/>
    <n v="31519.5928681"/>
    <n v="7.8234478639630997E-4"/>
    <n v="4675"/>
    <n v="3049"/>
    <n v="287"/>
    <n v="-160"/>
    <n v="1818"/>
    <n v="1057"/>
    <n v="150"/>
    <n v="19"/>
    <n v="6.1390374331550805E-2"/>
    <n v="-5.2476221712036732E-2"/>
    <n v="0.11386659604358754"/>
    <n v="8.2508250825082508E-2"/>
    <n v="1.7975402081362345E-2"/>
    <n v="6.4532848743720159E-2"/>
    <n v="0.53328960314857321"/>
    <n v="-2.7937500000000002"/>
    <n v="0.71996215704824973"/>
    <n v="6.8947368421052628"/>
  </r>
  <r>
    <x v="235"/>
    <n v="506943"/>
    <x v="7"/>
    <x v="9"/>
    <n v="1952.45"/>
    <n v="31373.169979999999"/>
    <n v="7.7871043795807037E-4"/>
    <n v="3243"/>
    <n v="2968"/>
    <n v="608"/>
    <n v="513"/>
    <n v="1064"/>
    <n v="963"/>
    <n v="197"/>
    <n v="162"/>
    <n v="0.18748072772124577"/>
    <n v="0.17284366576819407"/>
    <n v="1.46370619530517E-2"/>
    <n v="0.18515037593984962"/>
    <n v="0.16822429906542055"/>
    <n v="1.6926076874429069E-2"/>
    <n v="9.2654986522911154E-2"/>
    <n v="0.18518518518518512"/>
    <n v="0.10488058151609558"/>
    <n v="0.21604938271604945"/>
  </r>
  <r>
    <x v="236"/>
    <n v="540975"/>
    <x v="7"/>
    <x v="47"/>
    <n v="671.95"/>
    <n v="34668.340927999998"/>
    <n v="8.6049955948132013E-4"/>
    <n v="3461"/>
    <n v="3138"/>
    <n v="274"/>
    <n v="251"/>
    <n v="1186"/>
    <n v="1050"/>
    <n v="59"/>
    <n v="64"/>
    <n v="7.9167870557642295E-2"/>
    <n v="7.9987253027405988E-2"/>
    <n v="-8.1938246976369367E-4"/>
    <n v="4.9747048903878585E-2"/>
    <n v="6.0952380952380952E-2"/>
    <n v="-1.1205332048502367E-2"/>
    <n v="0.10293180369662203"/>
    <n v="9.1633466135458086E-2"/>
    <n v="0.1295238095238096"/>
    <n v="-7.8125E-2"/>
  </r>
  <r>
    <x v="237"/>
    <n v="533155"/>
    <x v="6"/>
    <x v="85"/>
    <n v="461.15"/>
    <n v="30350.061921299999"/>
    <n v="7.5331597112616923E-4"/>
    <n v="7038"/>
    <n v="6038"/>
    <n v="361"/>
    <n v="167"/>
    <n v="2437"/>
    <n v="2150"/>
    <n v="72"/>
    <n v="43"/>
    <n v="5.129298096050014E-2"/>
    <n v="2.7658164955283206E-2"/>
    <n v="2.3634816005216934E-2"/>
    <n v="2.9544521953221173E-2"/>
    <n v="0.02"/>
    <n v="9.5445219532211724E-3"/>
    <n v="0.16561775422325264"/>
    <n v="1.1616766467065869"/>
    <n v="0.13348837209302333"/>
    <n v="0.67441860465116288"/>
  </r>
  <r>
    <x v="238"/>
    <n v="500109"/>
    <x v="0"/>
    <x v="0"/>
    <n v="179.8"/>
    <n v="31498.785844999999"/>
    <n v="7.8182833727493859E-4"/>
    <n v="76661"/>
    <n v="81676"/>
    <n v="1807"/>
    <n v="-314"/>
    <n v="29720"/>
    <n v="25600"/>
    <n v="1450"/>
    <n v="309"/>
    <n v="2.3571307444463285E-2"/>
    <n v="-3.8444585924873893E-3"/>
    <n v="2.7415766036950673E-2"/>
    <n v="4.8788694481830416E-2"/>
    <n v="1.2070312499999999E-2"/>
    <n v="3.6718381981830417E-2"/>
    <n v="-6.1401145991478501E-2"/>
    <n v="-6.7547770700636942"/>
    <n v="0.16093749999999996"/>
    <n v="3.6925566343042071"/>
  </r>
  <r>
    <x v="239"/>
    <n v="500164"/>
    <x v="11"/>
    <x v="79"/>
    <n v="839.6"/>
    <n v="28198.981879999999"/>
    <n v="6.9992422008183989E-4"/>
    <n v="14543"/>
    <n v="13873"/>
    <n v="1571"/>
    <n v="1442"/>
    <n v="5051"/>
    <n v="4825"/>
    <n v="353"/>
    <n v="312"/>
    <n v="0.10802447913085333"/>
    <n v="0.10394291068982917"/>
    <n v="4.0815684410241693E-3"/>
    <n v="6.9887151059196198E-2"/>
    <n v="6.4663212435233167E-2"/>
    <n v="5.2239386239630314E-3"/>
    <n v="4.8295249765732073E-2"/>
    <n v="8.9459084604715633E-2"/>
    <n v="4.6839378238342055E-2"/>
    <n v="0.13141025641025639"/>
  </r>
  <r>
    <x v="240"/>
    <n v="543529"/>
    <x v="10"/>
    <x v="86"/>
    <n v="433.05"/>
    <n v="32452.156800000001"/>
    <n v="8.0549186615575701E-4"/>
    <n v="7658"/>
    <n v="6740"/>
    <n v="80"/>
    <n v="89"/>
    <n v="2804"/>
    <n v="2378"/>
    <n v="39"/>
    <n v="24"/>
    <n v="1.0446591799425437E-2"/>
    <n v="1.3204747774480712E-2"/>
    <n v="-2.7581559750552744E-3"/>
    <n v="1.3908701854493581E-2"/>
    <n v="1.0092514718250631E-2"/>
    <n v="3.8161871362429496E-3"/>
    <n v="0.1362017804154303"/>
    <n v="-0.101123595505618"/>
    <n v="0.1791421362489487"/>
    <n v="0.625"/>
  </r>
  <r>
    <x v="241"/>
    <n v="543300"/>
    <x v="6"/>
    <x v="52"/>
    <n v="509.9"/>
    <n v="31692.426878900002"/>
    <n v="7.8663468277368961E-4"/>
    <n v="3191"/>
    <n v="2381"/>
    <n v="442"/>
    <n v="436"/>
    <n v="1199"/>
    <n v="867"/>
    <n v="150"/>
    <n v="150"/>
    <n v="0.13851457223440927"/>
    <n v="0.18311633767324653"/>
    <n v="-4.460176543883726E-2"/>
    <n v="0.12510425354462051"/>
    <n v="0.17301038062283736"/>
    <n v="-4.7906127078216842E-2"/>
    <n v="0.34019319613607735"/>
    <n v="1.3761467889908285E-2"/>
    <n v="0.38292964244521333"/>
    <n v="0"/>
  </r>
  <r>
    <x v="242"/>
    <n v="544238"/>
    <x v="4"/>
    <x v="60"/>
    <n v="928.95"/>
    <n v="41744.115224499998"/>
    <n v="1.0361266735036683E-3"/>
    <n v="5594"/>
    <n v="4897"/>
    <n v="1052"/>
    <n v="659"/>
    <n v="1936"/>
    <n v="1713"/>
    <n v="391"/>
    <n v="255"/>
    <n v="0.18805863425098321"/>
    <n v="0.13457218705329793"/>
    <n v="5.3486447197685277E-2"/>
    <n v="0.20196280991735538"/>
    <n v="0.14886164623467601"/>
    <n v="5.3101163682679364E-2"/>
    <n v="0.14233204002450472"/>
    <n v="0.59635811836115327"/>
    <n v="0.13018096906012833"/>
    <n v="0.53333333333333344"/>
  </r>
  <r>
    <x v="243"/>
    <n v="500163"/>
    <x v="5"/>
    <x v="87"/>
    <n v="1921"/>
    <n v="29962.525133800002"/>
    <n v="7.4369695775546528E-4"/>
    <n v="5635"/>
    <n v="4879"/>
    <n v="1004"/>
    <n v="792"/>
    <n v="2189"/>
    <n v="1893"/>
    <n v="343"/>
    <n v="315"/>
    <n v="0.17817213842058563"/>
    <n v="0.16232834597253534"/>
    <n v="1.5843792448050287E-2"/>
    <n v="0.15669255367747831"/>
    <n v="0.1664025356576862"/>
    <n v="-9.7099819802078935E-3"/>
    <n v="0.15494978479196564"/>
    <n v="0.26767676767676774"/>
    <n v="0.15636555731642887"/>
    <n v="8.8888888888888795E-2"/>
  </r>
  <r>
    <x v="244"/>
    <n v="500092"/>
    <x v="2"/>
    <x v="88"/>
    <n v="3784.3"/>
    <n v="27600.018100099998"/>
    <n v="6.8505739764520733E-4"/>
    <n v="3756"/>
    <n v="3349"/>
    <n v="766"/>
    <n v="684"/>
    <n v="1109"/>
    <n v="943"/>
    <n v="241"/>
    <n v="225"/>
    <n v="0.20394036208732694"/>
    <n v="0.20424007166318303"/>
    <n v="-2.9970957585609415E-4"/>
    <n v="0.21731289449954913"/>
    <n v="0.23860021208907742"/>
    <n v="-2.1287317589528287E-2"/>
    <n v="0.12152881457151388"/>
    <n v="0.11988304093567259"/>
    <n v="0.176033934252386"/>
    <n v="7.1111111111111125E-2"/>
  </r>
  <r>
    <x v="245"/>
    <n v="544026"/>
    <x v="2"/>
    <x v="38"/>
    <n v="115.25"/>
    <n v="30938.0048298"/>
    <n v="7.679092455725909E-4"/>
    <n v="6157"/>
    <n v="4840"/>
    <n v="1381"/>
    <n v="1197"/>
    <n v="2139"/>
    <n v="1698"/>
    <n v="585"/>
    <n v="425"/>
    <n v="0.2242975475069027"/>
    <n v="0.24731404958677686"/>
    <n v="-2.3016502079874157E-2"/>
    <n v="0.27349228611500703"/>
    <n v="0.25029446407538281"/>
    <n v="2.3197822039624227E-2"/>
    <n v="0.27210743801652892"/>
    <n v="0.15371762740183792"/>
    <n v="0.25971731448763258"/>
    <n v="0.37647058823529411"/>
  </r>
  <r>
    <x v="246"/>
    <n v="500033"/>
    <x v="6"/>
    <x v="8"/>
    <n v="21260"/>
    <n v="28015.364011999998"/>
    <n v="6.9536665862093686E-4"/>
    <n v="6507"/>
    <n v="5715"/>
    <n v="933"/>
    <n v="366"/>
    <n v="2128"/>
    <n v="1889"/>
    <n v="406"/>
    <n v="115"/>
    <n v="0.14338404794836329"/>
    <n v="6.4041994750656167E-2"/>
    <n v="7.9342053197707124E-2"/>
    <n v="0.19078947368421054"/>
    <n v="6.0878771836950771E-2"/>
    <n v="0.12991070184725978"/>
    <n v="0.13858267716535444"/>
    <n v="1.5491803278688523"/>
    <n v="0.12652196929592385"/>
    <n v="2.5304347826086957"/>
  </r>
  <r>
    <x v="247"/>
    <n v="532504"/>
    <x v="8"/>
    <x v="34"/>
    <n v="5848.5"/>
    <n v="29980.407599999999"/>
    <n v="7.4414081673099275E-4"/>
    <n v="2376"/>
    <n v="1648"/>
    <n v="451"/>
    <n v="193"/>
    <n v="892"/>
    <n v="606"/>
    <n v="185"/>
    <n v="84"/>
    <n v="0.18981481481481483"/>
    <n v="0.1171116504854369"/>
    <n v="7.2703164329377928E-2"/>
    <n v="0.20739910313901344"/>
    <n v="0.13861386138613863"/>
    <n v="6.8785241752874815E-2"/>
    <n v="0.44174757281553401"/>
    <n v="1.3367875647668392"/>
    <n v="0.471947194719472"/>
    <n v="1.2023809523809526"/>
  </r>
  <r>
    <x v="248"/>
    <n v="544179"/>
    <x v="2"/>
    <x v="56"/>
    <n v="319.5"/>
    <n v="29533.121683500001"/>
    <n v="7.3303877596965971E-4"/>
    <n v="7085"/>
    <n v="6624"/>
    <n v="394"/>
    <n v="309"/>
    <n v="2497"/>
    <n v="2371"/>
    <n v="140"/>
    <n v="118"/>
    <n v="5.5610444601270292E-2"/>
    <n v="4.664855072463768E-2"/>
    <n v="8.9618938766326123E-3"/>
    <n v="5.6067280736884259E-2"/>
    <n v="4.976803036693378E-2"/>
    <n v="6.2992503699504793E-3"/>
    <n v="6.9595410628019216E-2"/>
    <n v="0.27508090614886727"/>
    <n v="5.3142134120624185E-2"/>
    <n v="0.18644067796610164"/>
  </r>
  <r>
    <x v="249"/>
    <n v="590003"/>
    <x v="2"/>
    <x v="2"/>
    <n v="269.10000000000002"/>
    <n v="26002.782780000001"/>
    <n v="6.4541257321624253E-4"/>
    <n v="9639"/>
    <n v="8482"/>
    <n v="1785"/>
    <n v="1428"/>
    <n v="3303"/>
    <n v="2953"/>
    <n v="689"/>
    <n v="496"/>
    <n v="0.18518518518518517"/>
    <n v="0.16835651968875265"/>
    <n v="1.6828665496432527E-2"/>
    <n v="0.20859824402058735"/>
    <n v="0.16796478157805622"/>
    <n v="4.0633462442531132E-2"/>
    <n v="0.13640650789908038"/>
    <n v="0.25"/>
    <n v="0.11852353538774119"/>
    <n v="0.38911290322580649"/>
  </r>
  <r>
    <x v="250"/>
    <n v="520056"/>
    <x v="2"/>
    <x v="31"/>
    <n v="13965"/>
    <n v="28290.55"/>
    <n v="7.0219702359113306E-4"/>
    <n v="42607"/>
    <n v="33225"/>
    <n v="2525"/>
    <n v="1746"/>
    <n v="15291"/>
    <n v="11377"/>
    <n v="969"/>
    <n v="681"/>
    <n v="5.9262562489731732E-2"/>
    <n v="5.2550790067720093E-2"/>
    <n v="6.7117724220116387E-3"/>
    <n v="6.3370610162840887E-2"/>
    <n v="5.9857607453634526E-2"/>
    <n v="3.5130027092063615E-3"/>
    <n v="0.28237772761474789"/>
    <n v="0.44616265750286366"/>
    <n v="0.34402742374967032"/>
    <n v="0.4229074889867841"/>
  </r>
  <r>
    <x v="251"/>
    <n v="543654"/>
    <x v="7"/>
    <x v="47"/>
    <n v="1032.5999999999999"/>
    <n v="27696.515940000001"/>
    <n v="6.874525612585254E-4"/>
    <n v="3251"/>
    <n v="2761"/>
    <n v="412"/>
    <n v="379"/>
    <n v="1121"/>
    <n v="943"/>
    <n v="95"/>
    <n v="142"/>
    <n v="0.12673023685019993"/>
    <n v="0.13726910539659543"/>
    <n v="-1.0538868546395491E-2"/>
    <n v="8.4745762711864403E-2"/>
    <n v="0.15058324496288442"/>
    <n v="-6.5837482251020013E-2"/>
    <n v="0.17747193045997833"/>
    <n v="8.7071240105540904E-2"/>
    <n v="0.18875927889713684"/>
    <n v="-0.33098591549295775"/>
  </r>
  <r>
    <x v="252"/>
    <n v="504973"/>
    <x v="2"/>
    <x v="31"/>
    <n v="1416.9"/>
    <n v="26660.6361688"/>
    <n v="6.6174108897767883E-4"/>
    <n v="21695"/>
    <n v="18146"/>
    <n v="3860"/>
    <n v="3378"/>
    <n v="7539"/>
    <n v="6451"/>
    <n v="1386"/>
    <n v="1093"/>
    <n v="0.17792117999539064"/>
    <n v="0.18615672875564862"/>
    <n v="-8.2355487602579769E-3"/>
    <n v="0.18384401114206128"/>
    <n v="0.16943109595411565"/>
    <n v="1.441291518794563E-2"/>
    <n v="0.19558029317755987"/>
    <n v="0.14268798105387814"/>
    <n v="0.16865602232212051"/>
    <n v="0.26806953339432749"/>
  </r>
  <r>
    <x v="253"/>
    <n v="532889"/>
    <x v="6"/>
    <x v="89"/>
    <n v="836.15"/>
    <n v="28572.2247355"/>
    <n v="7.0918844513963319E-4"/>
    <n v="4661"/>
    <n v="4434"/>
    <n v="639"/>
    <n v="610"/>
    <n v="1406"/>
    <n v="1467"/>
    <n v="208"/>
    <n v="202"/>
    <n v="0.13709504398197811"/>
    <n v="0.13757329724853407"/>
    <n v="-4.7825326655595579E-4"/>
    <n v="0.14793741109530584"/>
    <n v="0.13769597818677573"/>
    <n v="1.0241432908530107E-2"/>
    <n v="5.1195308976093923E-2"/>
    <n v="4.7540983606557452E-2"/>
    <n v="-4.1581458759372913E-2"/>
    <n v="2.9702970297029729E-2"/>
  </r>
  <r>
    <x v="254"/>
    <n v="543245"/>
    <x v="7"/>
    <x v="9"/>
    <n v="1698.45"/>
    <n v="27960.808241700001"/>
    <n v="6.9401253508765879E-4"/>
    <n v="4687"/>
    <n v="4191"/>
    <n v="660"/>
    <n v="511"/>
    <n v="1695"/>
    <n v="1384"/>
    <n v="261"/>
    <n v="204"/>
    <n v="0.14081502026882867"/>
    <n v="0.12192794082557862"/>
    <n v="1.8887079443250049E-2"/>
    <n v="0.15398230088495576"/>
    <n v="0.14739884393063585"/>
    <n v="6.5834569543199162E-3"/>
    <n v="0.11834884275829149"/>
    <n v="0.29158512720156549"/>
    <n v="0.2247109826589595"/>
    <n v="0.27941176470588225"/>
  </r>
  <r>
    <x v="255"/>
    <n v="531344"/>
    <x v="10"/>
    <x v="86"/>
    <n v="451.2"/>
    <n v="34364.200577700001"/>
    <n v="8.5295052106620895E-4"/>
    <n v="6816"/>
    <n v="6599"/>
    <n v="982"/>
    <n v="993"/>
    <n v="2308"/>
    <n v="2208"/>
    <n v="335"/>
    <n v="367"/>
    <n v="0.14407276995305165"/>
    <n v="0.15047734505228064"/>
    <n v="-6.4045750992289818E-3"/>
    <n v="0.1451473136915078"/>
    <n v="0.16621376811594202"/>
    <n v="-2.1066454424434222E-2"/>
    <n v="3.2883770268222534E-2"/>
    <n v="-1.1077542799597162E-2"/>
    <n v="4.5289855072463858E-2"/>
    <n v="-8.719346049046317E-2"/>
  </r>
  <r>
    <x v="256"/>
    <n v="500410"/>
    <x v="8"/>
    <x v="11"/>
    <n v="1356"/>
    <n v="25445.1656"/>
    <n v="6.315720107634348E-4"/>
    <n v="18637"/>
    <n v="14906"/>
    <n v="1898"/>
    <n v="1651"/>
    <n v="6391"/>
    <n v="5251"/>
    <n v="404"/>
    <n v="1091"/>
    <n v="0.10184042496109889"/>
    <n v="0.11076076747618409"/>
    <n v="-8.9203425150851945E-3"/>
    <n v="6.321389453919575E-2"/>
    <n v="0.20776994858122264"/>
    <n v="-0.14455605404202687"/>
    <n v="0.25030189185562857"/>
    <n v="0.14960629921259838"/>
    <n v="0.21710150447533794"/>
    <n v="-0.62969752520623279"/>
  </r>
  <r>
    <x v="257"/>
    <n v="500253"/>
    <x v="2"/>
    <x v="64"/>
    <n v="516.4"/>
    <n v="28471.259537000002"/>
    <n v="7.0668239764769736E-4"/>
    <n v="21644"/>
    <n v="20805"/>
    <n v="4112"/>
    <n v="4069"/>
    <n v="7214"/>
    <n v="7070"/>
    <n v="1398"/>
    <n v="1435"/>
    <n v="0.18998336721493256"/>
    <n v="0.19557798606104301"/>
    <n v="-5.5946188461104551E-3"/>
    <n v="0.19378985306348767"/>
    <n v="0.20297029702970298"/>
    <n v="-9.1804439662153126E-3"/>
    <n v="4.0326844508531634E-2"/>
    <n v="1.05677070533301E-2"/>
    <n v="2.0367751060820449E-2"/>
    <n v="-2.5783972125435595E-2"/>
  </r>
  <r>
    <x v="258"/>
    <n v="544362"/>
    <x v="3"/>
    <x v="3"/>
    <n v="449.95"/>
    <n v="27420.57"/>
    <n v="6.8060333359274805E-4"/>
    <n v="13430"/>
    <n v="11974"/>
    <n v="1368"/>
    <n v="1174"/>
    <n v="3478"/>
    <n v="3154"/>
    <n v="29"/>
    <n v="32"/>
    <n v="0.10186150409530902"/>
    <n v="9.8045765825956241E-2"/>
    <n v="3.8157382693527753E-3"/>
    <n v="8.3381253594019544E-3"/>
    <n v="1.0145846544071021E-2"/>
    <n v="-1.8077211846690665E-3"/>
    <n v="0.12159679305161175"/>
    <n v="0.16524701873935266"/>
    <n v="0.102726696258719"/>
    <n v="-9.375E-2"/>
  </r>
  <r>
    <x v="259"/>
    <n v="541153"/>
    <x v="2"/>
    <x v="2"/>
    <n v="151.19999999999999"/>
    <n v="24348.6880685"/>
    <n v="6.0435644729599236E-4"/>
    <n v="18224"/>
    <n v="18781"/>
    <n v="689"/>
    <n v="2427"/>
    <n v="6122"/>
    <n v="6590"/>
    <n v="205"/>
    <n v="426"/>
    <n v="3.7807287093942057E-2"/>
    <n v="0.12922634577498535"/>
    <n v="-9.1419058681043289E-2"/>
    <n v="3.3485788957856907E-2"/>
    <n v="6.4643399089529596E-2"/>
    <n v="-3.1157610131672689E-2"/>
    <n v="-2.9657632713912974E-2"/>
    <n v="-0.71611042439225381"/>
    <n v="-7.1016691957511369E-2"/>
    <n v="-0.51877934272300474"/>
  </r>
  <r>
    <x v="260"/>
    <n v="543308"/>
    <x v="7"/>
    <x v="47"/>
    <n v="621.75"/>
    <n v="24878.636107499999"/>
    <n v="6.1751023665829728E-4"/>
    <n v="2830"/>
    <n v="2238"/>
    <n v="208"/>
    <n v="308"/>
    <n v="997"/>
    <n v="772"/>
    <n v="51"/>
    <n v="92"/>
    <n v="7.3498233215547701E-2"/>
    <n v="0.13762287756925826"/>
    <n v="-6.4124644353710555E-2"/>
    <n v="5.1153460381143427E-2"/>
    <n v="0.11917098445595854"/>
    <n v="-6.8017524074815122E-2"/>
    <n v="0.26452189454870423"/>
    <n v="-0.32467532467532467"/>
    <n v="0.29145077720207246"/>
    <n v="-0.44565217391304346"/>
  </r>
  <r>
    <x v="261"/>
    <n v="500877"/>
    <x v="6"/>
    <x v="70"/>
    <n v="409.45"/>
    <n v="25979.926739999999"/>
    <n v="6.4484526564325155E-4"/>
    <n v="21134"/>
    <n v="19699"/>
    <n v="741"/>
    <n v="936"/>
    <n v="7743"/>
    <n v="6927"/>
    <n v="470"/>
    <n v="337"/>
    <n v="3.5061985426327248E-2"/>
    <n v="4.7515102289456317E-2"/>
    <n v="-1.2453116863129068E-2"/>
    <n v="6.0699987085109132E-2"/>
    <n v="4.8650209325826477E-2"/>
    <n v="1.2049777759282655E-2"/>
    <n v="7.2846337377531878E-2"/>
    <n v="-0.20833333333333337"/>
    <n v="0.11779991338241658"/>
    <n v="0.39465875370919878"/>
  </r>
  <r>
    <x v="262"/>
    <n v="533023"/>
    <x v="6"/>
    <x v="52"/>
    <n v="13778.85"/>
    <n v="26135.428481999999"/>
    <n v="6.4870495944190998E-4"/>
    <n v="2963"/>
    <n v="2819"/>
    <n v="370"/>
    <n v="334"/>
    <n v="1074"/>
    <n v="962"/>
    <n v="140"/>
    <n v="125"/>
    <n v="0.12487343908201147"/>
    <n v="0.11848173111032281"/>
    <n v="6.3917079716886566E-3"/>
    <n v="0.13035381750465549"/>
    <n v="0.12993762993762994"/>
    <n v="4.1618756702554993E-4"/>
    <n v="5.1081943951756026E-2"/>
    <n v="0.10778443113772451"/>
    <n v="0.11642411642411643"/>
    <n v="0.12000000000000011"/>
  </r>
  <r>
    <x v="263"/>
    <n v="500408"/>
    <x v="3"/>
    <x v="3"/>
    <n v="4257.8999999999996"/>
    <n v="26538.381420000002"/>
    <n v="6.5870661560309823E-4"/>
    <n v="2763"/>
    <n v="2820"/>
    <n v="408"/>
    <n v="612"/>
    <n v="953"/>
    <n v="939"/>
    <n v="108"/>
    <n v="199"/>
    <n v="0.1476655808903366"/>
    <n v="0.21702127659574469"/>
    <n v="-6.9355695705408088E-2"/>
    <n v="0.11332633788037776"/>
    <n v="0.21192758253461128"/>
    <n v="-9.8601244654233519E-2"/>
    <n v="-2.021276595744681E-2"/>
    <n v="-0.33333333333333337"/>
    <n v="1.4909478168264156E-2"/>
    <n v="-0.457286432160804"/>
  </r>
  <r>
    <x v="264"/>
    <n v="533206"/>
    <x v="9"/>
    <x v="12"/>
    <n v="67.540000000000006"/>
    <n v="26545.766424199999"/>
    <n v="6.5888991808284658E-4"/>
    <n v="3032"/>
    <n v="2568"/>
    <n v="760"/>
    <n v="946"/>
    <n v="1082"/>
    <n v="671"/>
    <n v="224"/>
    <n v="149"/>
    <n v="0.25065963060686014"/>
    <n v="0.36838006230529596"/>
    <n v="-0.11772043169843582"/>
    <n v="0.20702402957486138"/>
    <n v="0.22205663189269748"/>
    <n v="-1.5032602317836097E-2"/>
    <n v="0.18068535825545173"/>
    <n v="-0.19661733615221988"/>
    <n v="0.61251862891207143"/>
    <n v="0.50335570469798663"/>
  </r>
  <r>
    <x v="265"/>
    <n v="500086"/>
    <x v="6"/>
    <x v="52"/>
    <n v="298.60000000000002"/>
    <n v="25388.050464899999"/>
    <n v="6.3015436148234174E-4"/>
    <n v="13260"/>
    <n v="12902"/>
    <n v="643"/>
    <n v="613"/>
    <n v="4201"/>
    <n v="4017"/>
    <n v="195"/>
    <n v="158"/>
    <n v="4.8491704374057316E-2"/>
    <n v="4.7512013641295925E-2"/>
    <n v="9.7969073276139157E-4"/>
    <n v="4.6417519638181387E-2"/>
    <n v="3.9332835449340305E-2"/>
    <n v="7.0846841888410825E-3"/>
    <n v="2.7747636025422517E-2"/>
    <n v="4.8939641109298604E-2"/>
    <n v="4.5805327358725334E-2"/>
    <n v="0.23417721518987333"/>
  </r>
  <r>
    <x v="266"/>
    <n v="543426"/>
    <x v="6"/>
    <x v="90"/>
    <n v="960"/>
    <n v="26164.473600000001"/>
    <n v="6.4942588552533548E-4"/>
    <n v="2090"/>
    <n v="1864"/>
    <n v="298"/>
    <n v="259"/>
    <n v="811"/>
    <n v="703"/>
    <n v="130"/>
    <n v="99"/>
    <n v="0.14258373205741626"/>
    <n v="0.13894849785407726"/>
    <n v="3.6352342033389995E-3"/>
    <n v="0.16029593094944514"/>
    <n v="0.14082503556187767"/>
    <n v="1.9470895387567466E-2"/>
    <n v="0.12124463519313311"/>
    <n v="0.1505791505791505"/>
    <n v="0.15362731152204834"/>
    <n v="0.31313131313131315"/>
  </r>
  <r>
    <x v="267"/>
    <n v="539336"/>
    <x v="0"/>
    <x v="74"/>
    <n v="316.25"/>
    <n v="21787.546665000002"/>
    <n v="5.4078660257633456E-4"/>
    <n v="11909"/>
    <n v="12895"/>
    <n v="874"/>
    <n v="860"/>
    <n v="3865"/>
    <n v="4332"/>
    <n v="267"/>
    <n v="221"/>
    <n v="7.338987320513897E-2"/>
    <n v="6.6692516479255531E-2"/>
    <n v="6.6973567258834382E-3"/>
    <n v="6.9081500646830524E-2"/>
    <n v="5.1015697137580793E-2"/>
    <n v="1.8065803509249731E-2"/>
    <n v="-7.6463745637844083E-2"/>
    <n v="1.6279069767441756E-2"/>
    <n v="-0.10780240073868885"/>
    <n v="0.20814479638009042"/>
  </r>
  <r>
    <x v="268"/>
    <n v="544210"/>
    <x v="7"/>
    <x v="9"/>
    <n v="1553.5"/>
    <n v="29435.6653071"/>
    <n v="7.3061982061396464E-4"/>
    <n v="6733"/>
    <n v="5779"/>
    <n v="697"/>
    <n v="510"/>
    <n v="2363"/>
    <n v="1962"/>
    <n v="231"/>
    <n v="156"/>
    <n v="0.10351997623644735"/>
    <n v="8.8250562381034778E-2"/>
    <n v="1.526941385541257E-2"/>
    <n v="9.7757088446889545E-2"/>
    <n v="7.9510703363914373E-2"/>
    <n v="1.8246385082975172E-2"/>
    <n v="0.16508046374805319"/>
    <n v="0.3666666666666667"/>
    <n v="0.20438328236493364"/>
    <n v="0.48076923076923084"/>
  </r>
  <r>
    <x v="269"/>
    <n v="543412"/>
    <x v="2"/>
    <x v="56"/>
    <n v="453.7"/>
    <n v="26687.035488699999"/>
    <n v="6.62396343960654E-4"/>
    <n v="12825"/>
    <n v="11607"/>
    <n v="445"/>
    <n v="645"/>
    <n v="4444"/>
    <n v="4001"/>
    <n v="128"/>
    <n v="215"/>
    <n v="3.4697855750487332E-2"/>
    <n v="5.5569914706642541E-2"/>
    <n v="-2.0872058956155209E-2"/>
    <n v="2.8802880288028802E-2"/>
    <n v="5.3736565858535368E-2"/>
    <n v="-2.4933685570506566E-2"/>
    <n v="0.10493667614370628"/>
    <n v="-0.31007751937984496"/>
    <n v="0.11072231942014499"/>
    <n v="-0.40465116279069768"/>
  </r>
  <r>
    <x v="270"/>
    <n v="542011"/>
    <x v="4"/>
    <x v="15"/>
    <n v="2265.9"/>
    <n v="25940.277754999999"/>
    <n v="6.4386114199576467E-4"/>
    <n v="4882"/>
    <n v="3433"/>
    <n v="444"/>
    <n v="283"/>
    <n v="1895"/>
    <n v="1271"/>
    <n v="170"/>
    <n v="98"/>
    <n v="9.0946333469889395E-2"/>
    <n v="8.243518788231867E-2"/>
    <n v="8.5111455875707259E-3"/>
    <n v="8.9709762532981532E-2"/>
    <n v="7.7104642014162075E-2"/>
    <n v="1.2605120518819457E-2"/>
    <n v="0.42207981357413349"/>
    <n v="0.56890459363957602"/>
    <n v="0.4909520062942565"/>
    <n v="0.73469387755102034"/>
  </r>
  <r>
    <x v="271"/>
    <n v="539006"/>
    <x v="4"/>
    <x v="91"/>
    <n v="15423"/>
    <n v="23045.048605"/>
    <n v="5.7199893741705251E-4"/>
    <n v="377"/>
    <n v="186"/>
    <n v="41"/>
    <n v="36"/>
    <n v="155"/>
    <n v="66"/>
    <n v="18"/>
    <n v="14"/>
    <n v="0.10875331564986737"/>
    <n v="0.19354838709677419"/>
    <n v="-8.4795071446906817E-2"/>
    <n v="0.11612903225806452"/>
    <n v="0.21212121212121213"/>
    <n v="-9.5992179863147606E-2"/>
    <n v="1.0268817204301075"/>
    <n v="0.13888888888888884"/>
    <n v="1.3484848484848486"/>
    <n v="0.28571428571428581"/>
  </r>
  <r>
    <x v="272"/>
    <n v="517174"/>
    <x v="4"/>
    <x v="92"/>
    <n v="27346.7"/>
    <n v="24216.926018999999"/>
    <n v="6.010859941241322E-4"/>
    <n v="3501"/>
    <n v="3075"/>
    <n v="365"/>
    <n v="383"/>
    <n v="1168"/>
    <n v="1090"/>
    <n v="121"/>
    <n v="132"/>
    <n v="0.10425592687803485"/>
    <n v="0.12455284552845529"/>
    <n v="-2.0296918650420437E-2"/>
    <n v="0.1035958904109589"/>
    <n v="0.12110091743119267"/>
    <n v="-1.7505027020233765E-2"/>
    <n v="0.13853658536585356"/>
    <n v="-4.6997389033942572E-2"/>
    <n v="7.1559633027522995E-2"/>
    <n v="-8.333333333333337E-2"/>
  </r>
  <r>
    <x v="273"/>
    <n v="540902"/>
    <x v="6"/>
    <x v="51"/>
    <n v="6390"/>
    <n v="22464.602544500001"/>
    <n v="5.5759174151459394E-4"/>
    <n v="8038"/>
    <n v="6219"/>
    <n v="64"/>
    <n v="132"/>
    <n v="2942"/>
    <n v="2133"/>
    <n v="-9"/>
    <n v="37"/>
    <n v="7.9621796466782784E-3"/>
    <n v="2.1225277375783887E-2"/>
    <n v="-1.3263097729105609E-2"/>
    <n v="-3.0591434398368456E-3"/>
    <n v="1.7346460384435068E-2"/>
    <n v="-2.0405603824271912E-2"/>
    <n v="0.29249075414053705"/>
    <n v="-0.51515151515151514"/>
    <n v="0.3792780121894046"/>
    <n v="-1.2432432432432432"/>
  </r>
  <r>
    <x v="274"/>
    <n v="507815"/>
    <x v="5"/>
    <x v="43"/>
    <n v="7502.3"/>
    <n v="24434.0197185"/>
    <n v="6.0647445598257209E-4"/>
    <n v="2307"/>
    <n v="2112"/>
    <n v="461"/>
    <n v="374"/>
    <n v="790"/>
    <n v="685"/>
    <n v="172"/>
    <n v="125"/>
    <n v="0.199826614651062"/>
    <n v="0.17708333333333334"/>
    <n v="2.2743281317728653E-2"/>
    <n v="0.21772151898734177"/>
    <n v="0.18248175182481752"/>
    <n v="3.5239767162524249E-2"/>
    <n v="9.2329545454545414E-2"/>
    <n v="0.23262032085561501"/>
    <n v="0.15328467153284664"/>
    <n v="0.37599999999999989"/>
  </r>
  <r>
    <x v="275"/>
    <n v="543415"/>
    <x v="2"/>
    <x v="93"/>
    <n v="3252.3"/>
    <n v="26981.704750000001"/>
    <n v="6.6971030138561244E-4"/>
    <n v="896"/>
    <n v="738"/>
    <n v="293"/>
    <n v="227"/>
    <n v="305"/>
    <n v="244"/>
    <n v="100"/>
    <n v="77"/>
    <n v="0.32700892857142855"/>
    <n v="0.30758807588075882"/>
    <n v="1.9420852690669732E-2"/>
    <n v="0.32786885245901637"/>
    <n v="0.3155737704918033"/>
    <n v="1.2295081967213073E-2"/>
    <n v="0.21409214092140916"/>
    <n v="0.29074889867841414"/>
    <n v="0.25"/>
    <n v="0.29870129870129869"/>
  </r>
  <r>
    <x v="276"/>
    <n v="500260"/>
    <x v="8"/>
    <x v="11"/>
    <n v="935"/>
    <n v="22090.967703800001"/>
    <n v="5.4831778702981067E-4"/>
    <n v="6418"/>
    <n v="6121"/>
    <n v="548"/>
    <n v="243"/>
    <n v="2106"/>
    <n v="1983"/>
    <n v="386"/>
    <n v="182"/>
    <n v="8.538485509504519E-2"/>
    <n v="3.9699395523607253E-2"/>
    <n v="4.5685459571437936E-2"/>
    <n v="0.18328584995251662"/>
    <n v="9.1780131114473015E-2"/>
    <n v="9.1505718838043607E-2"/>
    <n v="4.8521483417742095E-2"/>
    <n v="1.2551440329218106"/>
    <n v="6.2027231467473465E-2"/>
    <n v="1.1208791208791209"/>
  </r>
  <r>
    <x v="277"/>
    <n v="544397"/>
    <x v="6"/>
    <x v="20"/>
    <n v="790.25"/>
    <n v="30240.733824999999"/>
    <n v="7.5060234895138846E-4"/>
    <n v="2497"/>
    <n v="1578"/>
    <n v="-416"/>
    <n v="-577"/>
    <n v="953"/>
    <n v="634"/>
    <n v="-84"/>
    <n v="-197"/>
    <n v="-0.16659991990388467"/>
    <n v="-0.3656527249683143"/>
    <n v="0.19905280506442963"/>
    <n v="-8.8142707240293813E-2"/>
    <n v="-0.3107255520504732"/>
    <n v="0.22258284481017937"/>
    <n v="0.58238276299112801"/>
    <n v="-0.27902946273830154"/>
    <n v="0.50315457413249209"/>
    <n v="-0.57360406091370564"/>
  </r>
  <r>
    <x v="278"/>
    <s v="CDSL"/>
    <x v="2"/>
    <x v="94"/>
    <n v="1202"/>
    <n v="25119.710510199999"/>
    <n v="6.2349392124696557E-4"/>
    <n v="970"/>
    <n v="943"/>
    <n v="375"/>
    <n v="426"/>
    <n v="334"/>
    <n v="298"/>
    <n v="133"/>
    <n v="130"/>
    <n v="0.38659793814432991"/>
    <n v="0.45174973488865322"/>
    <n v="-6.5151796744323309E-2"/>
    <n v="0.39820359281437123"/>
    <n v="0.43624161073825501"/>
    <n v="-3.8038017923883782E-2"/>
    <n v="2.8632025450689325E-2"/>
    <n v="-0.11971830985915488"/>
    <n v="0.12080536912751683"/>
    <n v="2.3076923076922995E-2"/>
  </r>
  <r>
    <x v="279"/>
    <n v="543374"/>
    <x v="2"/>
    <x v="32"/>
    <n v="952.45"/>
    <n v="27522.052699700002"/>
    <n v="6.831222259322513E-4"/>
    <n v="1634"/>
    <n v="1485"/>
    <n v="787"/>
    <n v="702"/>
    <n v="562"/>
    <n v="483"/>
    <n v="269"/>
    <n v="224"/>
    <n v="0.48164014687882495"/>
    <n v="0.47272727272727272"/>
    <n v="8.9128741515522303E-3"/>
    <n v="0.47864768683274023"/>
    <n v="0.46376811594202899"/>
    <n v="1.4879570890711236E-2"/>
    <n v="0.10033670033670039"/>
    <n v="0.12108262108262102"/>
    <n v="0.16356107660455477"/>
    <n v="0.20089285714285721"/>
  </r>
  <r>
    <x v="280"/>
    <n v="522113"/>
    <x v="4"/>
    <x v="95"/>
    <n v="3335.45"/>
    <n v="25044.987861199999"/>
    <n v="6.21639237554968E-4"/>
    <n v="2388"/>
    <n v="2243"/>
    <n v="256"/>
    <n v="271"/>
    <n v="779"/>
    <n v="683"/>
    <n v="74"/>
    <n v="78"/>
    <n v="0.10720268006700168"/>
    <n v="0.12082032991529201"/>
    <n v="-1.3617649848290336E-2"/>
    <n v="9.4993581514762518E-2"/>
    <n v="0.11420204978038068"/>
    <n v="-1.9208468265618159E-2"/>
    <n v="6.4645563976816867E-2"/>
    <n v="-5.5350553505535083E-2"/>
    <n v="0.14055636896046853"/>
    <n v="-5.1282051282051322E-2"/>
  </r>
  <r>
    <x v="281"/>
    <n v="523610"/>
    <x v="1"/>
    <x v="96"/>
    <n v="256.89999999999998"/>
    <n v="24741.4441692"/>
    <n v="6.1410500873819831E-4"/>
    <n v="1556"/>
    <n v="2570"/>
    <n v="-143"/>
    <n v="-210"/>
    <n v="514"/>
    <n v="1034"/>
    <n v="-25"/>
    <n v="-48"/>
    <n v="-9.1902313624678669E-2"/>
    <n v="-8.171206225680934E-2"/>
    <n v="-1.019025136786933E-2"/>
    <n v="-4.8638132295719845E-2"/>
    <n v="-4.6421663442940041E-2"/>
    <n v="-2.2164688527798043E-3"/>
    <n v="-0.39455252918287942"/>
    <n v="-0.31904761904761902"/>
    <n v="-0.50290135396518376"/>
    <n v="-0.47916666666666663"/>
  </r>
  <r>
    <x v="282"/>
    <n v="532733"/>
    <x v="6"/>
    <x v="97"/>
    <n v="589.79999999999995"/>
    <n v="23215.522823800002"/>
    <n v="5.7623026162391259E-4"/>
    <n v="3452"/>
    <n v="3078"/>
    <n v="1208"/>
    <n v="1333"/>
    <n v="862"/>
    <n v="829"/>
    <n v="324"/>
    <n v="363"/>
    <n v="0.34994206257242177"/>
    <n v="0.43307342430149448"/>
    <n v="-8.3131361729072706E-2"/>
    <n v="0.37587006960556846"/>
    <n v="0.43787696019300359"/>
    <n v="-6.2006890587435137E-2"/>
    <n v="0.12150747238466542"/>
    <n v="-9.3773443360840258E-2"/>
    <n v="3.9806996381182236E-2"/>
    <n v="-0.1074380165289256"/>
  </r>
  <r>
    <x v="283"/>
    <n v="532947"/>
    <x v="4"/>
    <x v="5"/>
    <n v="20.64"/>
    <n v="12450.8422718"/>
    <n v="3.0904115983820118E-4"/>
    <n v="5721"/>
    <n v="5464"/>
    <n v="554"/>
    <n v="6265"/>
    <n v="1871"/>
    <n v="2025"/>
    <n v="210"/>
    <n v="6026"/>
    <n v="9.6836217444502715E-2"/>
    <n v="1.1465959004392388"/>
    <n v="-1.049759682994736"/>
    <n v="0.1122394441475147"/>
    <n v="2.9758024691358025"/>
    <n v="-2.863563024988288"/>
    <n v="4.7035139092240108E-2"/>
    <n v="-0.91157222665602555"/>
    <n v="-7.604938271604933E-2"/>
    <n v="-0.96515101228011946"/>
  </r>
  <r>
    <x v="284"/>
    <n v="534309"/>
    <x v="4"/>
    <x v="5"/>
    <n v="84.1"/>
    <n v="22733.999176000001"/>
    <n v="5.642784094233047E-4"/>
    <n v="8328"/>
    <n v="7399"/>
    <n v="488"/>
    <n v="374"/>
    <n v="3022"/>
    <n v="2809"/>
    <n v="197"/>
    <n v="142"/>
    <n v="5.8597502401536987E-2"/>
    <n v="5.054737126638735E-2"/>
    <n v="8.0501311351496366E-3"/>
    <n v="6.5188616810059566E-2"/>
    <n v="5.0551797792808828E-2"/>
    <n v="1.4636819017250738E-2"/>
    <n v="0.12555750777132046"/>
    <n v="0.30481283422459904"/>
    <n v="7.5827696689213298E-2"/>
    <n v="0.38732394366197176"/>
  </r>
  <r>
    <x v="285"/>
    <n v="531213"/>
    <x v="2"/>
    <x v="4"/>
    <n v="261.10000000000002"/>
    <n v="22123.632078899998"/>
    <n v="5.4912854634600215E-4"/>
    <n v="6899"/>
    <n v="7712"/>
    <n v="588"/>
    <n v="1407"/>
    <n v="2359"/>
    <n v="2563"/>
    <n v="239"/>
    <n v="278"/>
    <n v="8.522974344107842E-2"/>
    <n v="0.18244294605809128"/>
    <n v="-9.7213202617012856E-2"/>
    <n v="0.1013141161509114"/>
    <n v="0.10846664065548185"/>
    <n v="-7.1525245045704483E-3"/>
    <n v="-0.10542012448132776"/>
    <n v="-0.58208955223880599"/>
    <n v="-7.9594225516972261E-2"/>
    <n v="-0.14028776978417268"/>
  </r>
  <r>
    <x v="286"/>
    <n v="539524"/>
    <x v="7"/>
    <x v="98"/>
    <n v="1349"/>
    <n v="22523.055822599999"/>
    <n v="5.5904260471453045E-4"/>
    <n v="2060"/>
    <n v="1858"/>
    <n v="377"/>
    <n v="336"/>
    <n v="659"/>
    <n v="596"/>
    <n v="91"/>
    <n v="98"/>
    <n v="0.18300970873786407"/>
    <n v="0.18083961248654468"/>
    <n v="2.1700962513193922E-3"/>
    <n v="0.13808801213960548"/>
    <n v="0.16442953020134229"/>
    <n v="-2.6341518061736818E-2"/>
    <n v="0.10871905274488691"/>
    <n v="0.12202380952380953"/>
    <n v="0.10570469798657722"/>
    <n v="-7.1428571428571397E-2"/>
  </r>
  <r>
    <x v="287"/>
    <n v="543664"/>
    <x v="4"/>
    <x v="92"/>
    <n v="3675"/>
    <n v="23543.262750000002"/>
    <n v="5.8436506284515485E-4"/>
    <n v="2383"/>
    <n v="1737"/>
    <n v="272"/>
    <n v="177"/>
    <n v="804"/>
    <n v="661"/>
    <n v="76"/>
    <n v="66"/>
    <n v="0.1141418380193034"/>
    <n v="0.10189982728842832"/>
    <n v="1.224201073087508E-2"/>
    <n v="9.4527363184079602E-2"/>
    <n v="9.9848714069591532E-2"/>
    <n v="-5.3213508855119301E-3"/>
    <n v="0.37190558434081744"/>
    <n v="0.53672316384180796"/>
    <n v="0.21633888048411487"/>
    <n v="0.1515151515151516"/>
  </r>
  <r>
    <x v="288"/>
    <n v="500003"/>
    <x v="0"/>
    <x v="99"/>
    <n v="600"/>
    <n v="21059.993999999999"/>
    <n v="5.2272808777655867E-4"/>
    <n v="5738"/>
    <n v="5058"/>
    <n v="652"/>
    <n v="429"/>
    <n v="1725"/>
    <n v="1706"/>
    <n v="232"/>
    <n v="159"/>
    <n v="0.11362844196584175"/>
    <n v="8.481613285883749E-2"/>
    <n v="2.8812309107004261E-2"/>
    <n v="0.13449275362318841"/>
    <n v="9.3200468933177016E-2"/>
    <n v="4.1292284690011394E-2"/>
    <n v="0.13444049031237637"/>
    <n v="0.51981351981351986"/>
    <n v="1.1137162954278912E-2"/>
    <n v="0.45911949685534581"/>
  </r>
  <r>
    <x v="289"/>
    <n v="544407"/>
    <x v="0"/>
    <x v="100"/>
    <n v="174.3"/>
    <n v="19220.005850000001"/>
    <n v="4.7705791867864598E-4"/>
    <n v="562"/>
    <n v="476"/>
    <n v="467"/>
    <n v="85"/>
    <n v="200"/>
    <n v="169"/>
    <n v="61"/>
    <n v="37"/>
    <n v="0.83096085409252674"/>
    <n v="0.17857142857142858"/>
    <n v="0.65238942552109813"/>
    <n v="0.30499999999999999"/>
    <n v="0.21893491124260356"/>
    <n v="8.6065088757396435E-2"/>
    <n v="0.18067226890756305"/>
    <n v="4.4941176470588236"/>
    <n v="0.18343195266272194"/>
    <n v="0.64864864864864868"/>
  </r>
  <r>
    <x v="290"/>
    <n v="544028"/>
    <x v="3"/>
    <x v="82"/>
    <n v="543.45000000000005"/>
    <n v="22052.796071500001"/>
    <n v="5.4737033261175675E-4"/>
    <n v="3933"/>
    <n v="3882"/>
    <n v="342"/>
    <n v="448"/>
    <n v="1365"/>
    <n v="1317"/>
    <n v="7"/>
    <n v="169"/>
    <n v="8.6956521739130432E-2"/>
    <n v="0.11540443070582174"/>
    <n v="-2.8447908966691304E-2"/>
    <n v="5.1282051282051282E-3"/>
    <n v="0.12832194381169323"/>
    <n v="-0.12319373868348811"/>
    <n v="1.3137557959814528E-2"/>
    <n v="-0.2366071428571429"/>
    <n v="3.6446469248291535E-2"/>
    <n v="-0.95857988165680474"/>
  </r>
  <r>
    <x v="291"/>
    <n v="540769"/>
    <x v="2"/>
    <x v="56"/>
    <n v="123.5"/>
    <n v="20410.4673635"/>
    <n v="5.0660624953398434E-4"/>
    <n v="34848"/>
    <n v="30229"/>
    <n v="789"/>
    <n v="650"/>
    <n v="11428"/>
    <n v="10229"/>
    <n v="376"/>
    <n v="344"/>
    <n v="2.2641184573002755E-2"/>
    <n v="2.1502530682457242E-2"/>
    <n v="1.1386538905455122E-3"/>
    <n v="3.2901645082254113E-2"/>
    <n v="3.362987584319093E-2"/>
    <n v="-7.2823076093681688E-4"/>
    <n v="0.15280029111118454"/>
    <n v="0.2138461538461538"/>
    <n v="0.11721575911623816"/>
    <n v="9.3023255813953432E-2"/>
  </r>
  <r>
    <x v="292"/>
    <n v="532514"/>
    <x v="0"/>
    <x v="74"/>
    <n v="148.05000000000001"/>
    <n v="20716.414852000002"/>
    <n v="5.1420014275274065E-4"/>
    <n v="13262"/>
    <n v="12114"/>
    <n v="1205"/>
    <n v="1260"/>
    <n v="4489"/>
    <n v="4142"/>
    <n v="392"/>
    <n v="325"/>
    <n v="9.0861106922032878E-2"/>
    <n v="0.10401188707280833"/>
    <n v="-1.3150780150775448E-2"/>
    <n v="8.7324571173980847E-2"/>
    <n v="7.846450989859971E-2"/>
    <n v="8.860061275381137E-3"/>
    <n v="9.4766385999669911E-2"/>
    <n v="-4.3650793650793607E-2"/>
    <n v="8.3775953645581769E-2"/>
    <n v="0.20615384615384613"/>
  </r>
  <r>
    <x v="293"/>
    <n v="543458"/>
    <x v="5"/>
    <x v="54"/>
    <n v="180"/>
    <n v="23320.2562583"/>
    <n v="5.7882984013957856E-4"/>
    <n v="53266"/>
    <n v="45443"/>
    <n v="752"/>
    <n v="1035"/>
    <n v="18603"/>
    <n v="16839"/>
    <n v="269"/>
    <n v="411"/>
    <n v="1.4117823752487515E-2"/>
    <n v="2.2775785049402548E-2"/>
    <n v="-8.657961296915033E-3"/>
    <n v="1.4460033327957856E-2"/>
    <n v="2.4407625155888117E-2"/>
    <n v="-9.9475918279302612E-3"/>
    <n v="0.17214972603041168"/>
    <n v="-0.27342995169082129"/>
    <n v="0.10475681453768049"/>
    <n v="-0.34549878345498786"/>
  </r>
  <r>
    <x v="294"/>
    <n v="543299"/>
    <x v="4"/>
    <x v="68"/>
    <n v="791.85"/>
    <n v="22031.515174700002"/>
    <n v="5.4684212151680418E-4"/>
    <n v="13311"/>
    <n v="11010"/>
    <n v="748"/>
    <n v="689"/>
    <n v="4421"/>
    <n v="3756"/>
    <n v="197"/>
    <n v="197"/>
    <n v="5.6194125159642401E-2"/>
    <n v="6.2579473206176198E-2"/>
    <n v="-6.3853480465337967E-3"/>
    <n v="4.4560054286360555E-2"/>
    <n v="5.2449414270500531E-2"/>
    <n v="-7.8893599841399764E-3"/>
    <n v="0.20899182561307894"/>
    <n v="8.5631349782293142E-2"/>
    <n v="0.17705005324813627"/>
    <n v="0"/>
  </r>
  <r>
    <x v="295"/>
    <n v="500184"/>
    <x v="8"/>
    <x v="101"/>
    <n v="451.9"/>
    <n v="22752.299558300001"/>
    <n v="5.6473264145419984E-4"/>
    <n v="3372"/>
    <n v="3477"/>
    <n v="547"/>
    <n v="399"/>
    <n v="1183"/>
    <n v="1140"/>
    <n v="192"/>
    <n v="141"/>
    <n v="0.16221826809015422"/>
    <n v="0.11475409836065574"/>
    <n v="4.7464169729498476E-2"/>
    <n v="0.16229923922231615"/>
    <n v="0.12368421052631579"/>
    <n v="3.8615028696000364E-2"/>
    <n v="-3.0198446937014678E-2"/>
    <n v="0.37092731829573933"/>
    <n v="3.7719298245614041E-2"/>
    <n v="0.36170212765957444"/>
  </r>
  <r>
    <x v="296"/>
    <n v="544309"/>
    <x v="3"/>
    <x v="82"/>
    <n v="1358.9"/>
    <n v="22743.089844999999"/>
    <n v="5.6450404804518552E-4"/>
    <n v="2336"/>
    <n v="1940"/>
    <n v="515"/>
    <n v="338"/>
    <n v="814"/>
    <n v="657"/>
    <n v="183"/>
    <n v="129"/>
    <n v="0.22046232876712329"/>
    <n v="0.17422680412371133"/>
    <n v="4.6235524643411963E-2"/>
    <n v="0.22481572481572482"/>
    <n v="0.19634703196347031"/>
    <n v="2.8468692852254507E-2"/>
    <n v="0.20412371134020613"/>
    <n v="0.52366863905325434"/>
    <n v="0.23896499238964997"/>
    <n v="0.41860465116279078"/>
  </r>
  <r>
    <x v="297"/>
    <n v="500680"/>
    <x v="7"/>
    <x v="9"/>
    <n v="4835.3"/>
    <n v="22110.7889239"/>
    <n v="5.4880976762962798E-4"/>
    <n v="1890"/>
    <n v="1689"/>
    <n v="523"/>
    <n v="437"/>
    <n v="645"/>
    <n v="538"/>
    <n v="142"/>
    <n v="128"/>
    <n v="0.2767195767195767"/>
    <n v="0.25873297809354645"/>
    <n v="1.7986598626030248E-2"/>
    <n v="0.22015503875968992"/>
    <n v="0.23791821561338289"/>
    <n v="-1.7763176853692969E-2"/>
    <n v="0.11900532859680291"/>
    <n v="0.19679633867276891"/>
    <n v="0.1988847583643123"/>
    <n v="0.109375"/>
  </r>
  <r>
    <x v="298"/>
    <n v="543988"/>
    <x v="2"/>
    <x v="78"/>
    <n v="1175.5"/>
    <n v="4213.8642209999998"/>
    <n v="1.0459191899073608E-4"/>
    <n v="3368"/>
    <n v="3044"/>
    <n v="771"/>
    <n v="729"/>
    <n v="1105"/>
    <n v="1034"/>
    <n v="253"/>
    <n v="251"/>
    <n v="0.22891923990498814"/>
    <n v="0.23948751642575558"/>
    <n v="-1.0568276520767445E-2"/>
    <n v="0.22895927601809954"/>
    <n v="0.24274661508704062"/>
    <n v="-1.3787339068941085E-2"/>
    <n v="0.10643889618922464"/>
    <n v="5.7613168724279795E-2"/>
    <n v="6.8665377176015507E-2"/>
    <n v="7.9681274900398336E-3"/>
  </r>
  <r>
    <x v="299"/>
    <n v="506820"/>
    <x v="7"/>
    <x v="9"/>
    <n v="7758.05"/>
    <n v="19420"/>
    <n v="4.8202195426175188E-4"/>
    <n v="1696"/>
    <n v="1235"/>
    <n v="142"/>
    <n v="57"/>
    <n v="611"/>
    <n v="440"/>
    <n v="32"/>
    <n v="30"/>
    <n v="8.3726415094339618E-2"/>
    <n v="4.6153846153846156E-2"/>
    <n v="3.7572568940493462E-2"/>
    <n v="5.2373158756137482E-2"/>
    <n v="6.8181818181818177E-2"/>
    <n v="-1.5808659425680695E-2"/>
    <n v="0.3732793522267206"/>
    <n v="1.4912280701754388"/>
    <n v="0.38863636363636367"/>
    <n v="6.6666666666666652E-2"/>
  </r>
  <r>
    <x v="300"/>
    <n v="515030"/>
    <x v="6"/>
    <x v="52"/>
    <n v="809.4"/>
    <n v="20661.849559999999"/>
    <n v="5.1284578288226146E-4"/>
    <n v="3635"/>
    <n v="3414"/>
    <n v="212"/>
    <n v="275"/>
    <n v="1255"/>
    <n v="1124"/>
    <n v="99"/>
    <n v="104"/>
    <n v="5.8321870701513068E-2"/>
    <n v="8.0550673696543645E-2"/>
    <n v="-2.2228802995030578E-2"/>
    <n v="7.8884462151394427E-2"/>
    <n v="9.2526690391459068E-2"/>
    <n v="-1.3642228240064641E-2"/>
    <n v="6.4733450497949541E-2"/>
    <n v="-0.22909090909090912"/>
    <n v="0.11654804270462638"/>
    <n v="-4.8076923076923128E-2"/>
  </r>
  <r>
    <x v="301"/>
    <n v="532144"/>
    <x v="4"/>
    <x v="68"/>
    <n v="853.6"/>
    <n v="22501.853465"/>
    <n v="5.5851634303351566E-4"/>
    <n v="12458"/>
    <n v="10053"/>
    <n v="1249"/>
    <n v="1203"/>
    <n v="4532"/>
    <n v="3614"/>
    <n v="456"/>
    <n v="672"/>
    <n v="0.1002568630598812"/>
    <n v="0.11966577141151895"/>
    <n v="-1.9408908351637749E-2"/>
    <n v="0.10061782877316858"/>
    <n v="0.18594355285002767"/>
    <n v="-8.5325724076859094E-2"/>
    <n v="0.23923207002884705"/>
    <n v="3.8237738985868575E-2"/>
    <n v="0.25401217487548422"/>
    <n v="-0.3214285714285714"/>
  </r>
  <r>
    <x v="302"/>
    <n v="532300"/>
    <x v="7"/>
    <x v="9"/>
    <n v="1272.25"/>
    <n v="20670.6196442"/>
    <n v="5.1306346429962112E-4"/>
    <n v="2408"/>
    <n v="2269"/>
    <n v="35"/>
    <n v="-12"/>
    <n v="888"/>
    <n v="721"/>
    <n v="61"/>
    <n v="20"/>
    <n v="1.4534883720930232E-2"/>
    <n v="-5.2886734244160421E-3"/>
    <n v="1.9823557145346275E-2"/>
    <n v="6.86936936936937E-2"/>
    <n v="2.7739251040221916E-2"/>
    <n v="4.0954442653471784E-2"/>
    <n v="6.1260467166152521E-2"/>
    <n v="-3.9166666666666665"/>
    <n v="0.23162274618585288"/>
    <n v="2.0499999999999998"/>
  </r>
  <r>
    <x v="303"/>
    <n v="522287"/>
    <x v="4"/>
    <x v="5"/>
    <n v="1084"/>
    <n v="18889.150000000001"/>
    <n v="4.6884577741212005E-4"/>
    <n v="19365"/>
    <n v="15249"/>
    <n v="600"/>
    <n v="349"/>
    <n v="6665"/>
    <n v="5732"/>
    <n v="149"/>
    <n v="140"/>
    <n v="3.0983733539891558E-2"/>
    <n v="2.2886746671912914E-2"/>
    <n v="8.0969868679786443E-3"/>
    <n v="2.2355588897224304E-2"/>
    <n v="2.4424284717376135E-2"/>
    <n v="-2.0686958201518307E-3"/>
    <n v="0.26991933897304743"/>
    <n v="0.71919770773638958"/>
    <n v="0.16277041172365658"/>
    <n v="6.4285714285714279E-2"/>
  </r>
  <r>
    <x v="304"/>
    <n v="540173"/>
    <x v="2"/>
    <x v="64"/>
    <n v="813.8"/>
    <n v="21246.5092955"/>
    <n v="5.2735756600707454E-4"/>
    <n v="6333"/>
    <n v="5654"/>
    <n v="1635"/>
    <n v="1385"/>
    <n v="2120"/>
    <n v="1943"/>
    <n v="520"/>
    <n v="483"/>
    <n v="0.25817148270961632"/>
    <n v="0.2449593208348072"/>
    <n v="1.3212161874809114E-2"/>
    <n v="0.24528301886792453"/>
    <n v="0.24858466289243439"/>
    <n v="-3.3016440245098588E-3"/>
    <n v="0.12009197028652285"/>
    <n v="0.18050541516245477"/>
    <n v="9.1096242923314419E-2"/>
    <n v="7.660455486542439E-2"/>
  </r>
  <r>
    <x v="305"/>
    <n v="544306"/>
    <x v="7"/>
    <x v="9"/>
    <n v="937.1"/>
    <n v="19843.711039999998"/>
    <n v="4.9253884527838824E-4"/>
    <n v="1590"/>
    <n v="1115"/>
    <n v="244"/>
    <n v="81"/>
    <n v="556"/>
    <n v="439"/>
    <n v="100"/>
    <n v="53"/>
    <n v="0.15345911949685534"/>
    <n v="7.2645739910313895E-2"/>
    <n v="8.0813379586541445E-2"/>
    <n v="0.17985611510791366"/>
    <n v="0.12072892938496584"/>
    <n v="5.9127185722947825E-2"/>
    <n v="0.42600896860986537"/>
    <n v="2.0123456790123457"/>
    <n v="0.26651480637813219"/>
    <n v="0.8867924528301887"/>
  </r>
  <r>
    <x v="306"/>
    <n v="532636"/>
    <x v="2"/>
    <x v="4"/>
    <n v="439.2"/>
    <n v="18680.836895"/>
    <n v="4.6367525784618628E-4"/>
    <n v="9688"/>
    <n v="7642"/>
    <n v="1193"/>
    <n v="326"/>
    <n v="3432"/>
    <n v="2448"/>
    <n v="501"/>
    <n v="81"/>
    <n v="0.1231420313790256"/>
    <n v="4.2658989793247844E-2"/>
    <n v="8.0483041585777765E-2"/>
    <n v="0.14597902097902099"/>
    <n v="3.3088235294117647E-2"/>
    <n v="0.11289078568490335"/>
    <n v="0.26773096048154943"/>
    <n v="2.6595092024539877"/>
    <n v="0.40196078431372539"/>
    <n v="5.1851851851851851"/>
  </r>
  <r>
    <x v="307"/>
    <n v="506401"/>
    <x v="8"/>
    <x v="34"/>
    <n v="1386"/>
    <n v="18899.977343999999"/>
    <n v="4.6911452187732827E-4"/>
    <n v="5767"/>
    <n v="6102"/>
    <n v="331"/>
    <n v="495"/>
    <n v="1975"/>
    <n v="1903"/>
    <n v="100"/>
    <n v="98"/>
    <n v="5.7395526270157794E-2"/>
    <n v="8.1120943952802366E-2"/>
    <n v="-2.3725417682644571E-2"/>
    <n v="5.0632911392405063E-2"/>
    <n v="5.1497635312664214E-2"/>
    <n v="-8.647239202591514E-4"/>
    <n v="-5.4900032776138974E-2"/>
    <n v="-0.33131313131313134"/>
    <n v="3.7834997372569568E-2"/>
    <n v="2.0408163265306145E-2"/>
  </r>
  <r>
    <x v="308"/>
    <n v="532748"/>
    <x v="6"/>
    <x v="102"/>
    <n v="351.85"/>
    <n v="27291.5903492"/>
    <n v="6.774019420717071E-4"/>
    <n v="3211"/>
    <n v="2570"/>
    <n v="183"/>
    <n v="-206"/>
    <n v="1192"/>
    <n v="889"/>
    <n v="69"/>
    <n v="-98"/>
    <n v="5.6991591404546869E-2"/>
    <n v="-8.015564202334631E-2"/>
    <n v="0.13714723342789317"/>
    <n v="5.7885906040268456E-2"/>
    <n v="-0.11023622047244094"/>
    <n v="0.16812212651270941"/>
    <n v="0.24941634241245136"/>
    <n v="-1.8883495145631068"/>
    <n v="0.34083239595050618"/>
    <n v="-1.7040816326530612"/>
  </r>
  <r>
    <x v="309"/>
    <n v="534139"/>
    <x v="4"/>
    <x v="40"/>
    <n v="928.95"/>
    <n v="22210.371143699998"/>
    <n v="5.5128148834011816E-4"/>
    <n v="2300"/>
    <n v="2049"/>
    <n v="190"/>
    <n v="213"/>
    <n v="1029"/>
    <n v="857"/>
    <n v="97"/>
    <n v="110"/>
    <n v="8.2608695652173908E-2"/>
    <n v="0.10395314787701318"/>
    <n v="-2.1344452224839272E-2"/>
    <n v="9.4266277939747331E-2"/>
    <n v="0.12835472578763127"/>
    <n v="-3.4088447847883938E-2"/>
    <n v="0.12249877989263047"/>
    <n v="-0.107981220657277"/>
    <n v="0.20070011668611443"/>
    <n v="-0.11818181818181817"/>
  </r>
  <r>
    <x v="310"/>
    <n v="543945"/>
    <x v="3"/>
    <x v="82"/>
    <n v="3214.6"/>
    <n v="18300.737765999998"/>
    <n v="4.5424085388255235E-4"/>
    <n v="1409"/>
    <n v="734"/>
    <n v="135"/>
    <n v="71"/>
    <n v="804"/>
    <n v="333"/>
    <n v="73"/>
    <n v="29"/>
    <n v="9.5812633073101491E-2"/>
    <n v="9.6730245231607628E-2"/>
    <n v="-9.1761215850613698E-4"/>
    <n v="9.0796019900497515E-2"/>
    <n v="8.7087087087087081E-2"/>
    <n v="3.7089328134104343E-3"/>
    <n v="0.9196185286103542"/>
    <n v="0.90140845070422526"/>
    <n v="1.4144144144144146"/>
    <n v="1.5172413793103448"/>
  </r>
  <r>
    <x v="311"/>
    <n v="532210"/>
    <x v="2"/>
    <x v="2"/>
    <n v="249.35"/>
    <n v="18575.434861000002"/>
    <n v="4.6105908408656512E-4"/>
    <n v="5762"/>
    <n v="4948"/>
    <n v="966"/>
    <n v="835"/>
    <n v="2001"/>
    <n v="1707"/>
    <n v="332"/>
    <n v="285"/>
    <n v="0.16765012148559527"/>
    <n v="0.16875505254648343"/>
    <n v="-1.1049310608881591E-3"/>
    <n v="0.16591704147926037"/>
    <n v="0.16695957820738136"/>
    <n v="-1.0425367281209907E-3"/>
    <n v="0.16451091350040414"/>
    <n v="0.15688622754491011"/>
    <n v="0.17223198594024614"/>
    <n v="0.16491228070175445"/>
  </r>
  <r>
    <x v="312"/>
    <n v="532805"/>
    <x v="10"/>
    <x v="103"/>
    <n v="207.85"/>
    <n v="16257.002568399999"/>
    <n v="4.0351349889075633E-4"/>
    <n v="85949"/>
    <n v="72894"/>
    <n v="997"/>
    <n v="903"/>
    <n v="30922"/>
    <n v="26716"/>
    <n v="413"/>
    <n v="403"/>
    <n v="1.1599902267623823E-2"/>
    <n v="1.2387850851921969E-2"/>
    <n v="-7.8794858429814645E-4"/>
    <n v="1.3356186533859388E-2"/>
    <n v="1.508459350202126E-2"/>
    <n v="-1.7284069681618719E-3"/>
    <n v="0.17909567316925945"/>
    <n v="0.10409745293466233"/>
    <n v="0.15743374756700113"/>
    <n v="2.4813895781637729E-2"/>
  </r>
  <r>
    <x v="313"/>
    <n v="542651"/>
    <x v="3"/>
    <x v="3"/>
    <n v="698.85"/>
    <n v="18990.171857500001"/>
    <n v="4.713532312316516E-4"/>
    <n v="4743"/>
    <n v="4314"/>
    <n v="474"/>
    <n v="594"/>
    <n v="1617"/>
    <n v="1477"/>
    <n v="133"/>
    <n v="186"/>
    <n v="9.9936748893105623E-2"/>
    <n v="0.13769123783031989"/>
    <n v="-3.7754488937214267E-2"/>
    <n v="8.2251082251082255E-2"/>
    <n v="0.12593094109681788"/>
    <n v="-4.3679858845735622E-2"/>
    <n v="9.9443671766342057E-2"/>
    <n v="-0.20202020202020199"/>
    <n v="9.4786729857819996E-2"/>
    <n v="-0.28494623655913975"/>
  </r>
  <r>
    <x v="314"/>
    <n v="506285"/>
    <x v="8"/>
    <x v="75"/>
    <n v="4665.05"/>
    <n v="20965.484984999999"/>
    <n v="5.2038228859501107E-4"/>
    <n v="4574"/>
    <n v="4427"/>
    <n v="527"/>
    <n v="424"/>
    <n v="1106"/>
    <n v="1057"/>
    <n v="95"/>
    <n v="34"/>
    <n v="0.11521644075207696"/>
    <n v="9.577592048791507E-2"/>
    <n v="1.944052026416189E-2"/>
    <n v="8.5895117540687155E-2"/>
    <n v="3.2166508987701042E-2"/>
    <n v="5.3728608552986112E-2"/>
    <n v="3.3205330923876231E-2"/>
    <n v="0.24292452830188682"/>
    <n v="4.635761589403975E-2"/>
    <n v="1.7941176470588234"/>
  </r>
  <r>
    <x v="315"/>
    <n v="500084"/>
    <x v="9"/>
    <x v="45"/>
    <n v="153.35"/>
    <n v="20298.454057200001"/>
    <n v="5.0382597801976983E-4"/>
    <n v="14474"/>
    <n v="13124"/>
    <n v="1159"/>
    <n v="1043"/>
    <n v="4005"/>
    <n v="3561"/>
    <n v="304"/>
    <n v="282"/>
    <n v="8.0074616553820643E-2"/>
    <n v="7.9472721731179516E-2"/>
    <n v="6.0189482264112748E-4"/>
    <n v="7.5905118601747812E-2"/>
    <n v="7.919123841617523E-2"/>
    <n v="-3.2861198144274184E-3"/>
    <n v="0.10286498018896673"/>
    <n v="0.1112176414189836"/>
    <n v="0.12468407750631849"/>
    <n v="7.8014184397163122E-2"/>
  </r>
  <r>
    <x v="316"/>
    <n v="543635"/>
    <x v="7"/>
    <x v="9"/>
    <n v="140.35"/>
    <n v="18535.491976000001"/>
    <n v="4.600676655754141E-4"/>
    <n v="6117"/>
    <n v="6397"/>
    <n v="-317"/>
    <n v="-62"/>
    <n v="2140"/>
    <n v="2204"/>
    <n v="-136"/>
    <n v="4"/>
    <n v="-5.1822788948831126E-2"/>
    <n v="-9.6920431452243248E-3"/>
    <n v="-4.2130745803606803E-2"/>
    <n v="-6.3551401869158877E-2"/>
    <n v="1.8148820326678765E-3"/>
    <n v="-6.5366283901826749E-2"/>
    <n v="-4.3770517430045341E-2"/>
    <n v="4.112903225806452"/>
    <n v="-2.9038112522686066E-2"/>
    <n v="-35"/>
  </r>
  <r>
    <x v="317"/>
    <n v="531531"/>
    <x v="5"/>
    <x v="104"/>
    <n v="894.85"/>
    <n v="19958.238720000001"/>
    <n v="4.9538152582064704E-4"/>
    <n v="7382"/>
    <n v="6457"/>
    <n v="305"/>
    <n v="236"/>
    <n v="2364"/>
    <n v="2010"/>
    <n v="61"/>
    <n v="41"/>
    <n v="4.1316716337036034E-2"/>
    <n v="3.6549481183212017E-2"/>
    <n v="4.7672351538240176E-3"/>
    <n v="2.5803722504230117E-2"/>
    <n v="2.0398009950248756E-2"/>
    <n v="5.4057125539813608E-3"/>
    <n v="0.14325538175623365"/>
    <n v="0.29237288135593231"/>
    <n v="0.17611940298507456"/>
    <n v="0.48780487804878048"/>
  </r>
  <r>
    <x v="318"/>
    <n v="542920"/>
    <x v="8"/>
    <x v="75"/>
    <n v="396"/>
    <n v="19852.891191499999"/>
    <n v="4.9276670493680484E-4"/>
    <n v="2554"/>
    <n v="2469"/>
    <n v="431"/>
    <n v="406"/>
    <n v="567"/>
    <n v="641"/>
    <n v="75"/>
    <n v="87"/>
    <n v="0.1687548942834769"/>
    <n v="0.1644390441474281"/>
    <n v="4.3158501360487933E-3"/>
    <n v="0.13227513227513227"/>
    <n v="0.1357254290171607"/>
    <n v="-3.4502967420284303E-3"/>
    <n v="3.4426893479141407E-2"/>
    <n v="6.1576354679802936E-2"/>
    <n v="-0.11544461778471138"/>
    <n v="-0.13793103448275867"/>
  </r>
  <r>
    <x v="319"/>
    <n v="531162"/>
    <x v="5"/>
    <x v="43"/>
    <n v="398.7"/>
    <n v="17401.076219999999"/>
    <n v="4.3191044108249733E-4"/>
    <n v="2854"/>
    <n v="2846"/>
    <n v="632"/>
    <n v="640"/>
    <n v="1151"/>
    <n v="1049"/>
    <n v="319"/>
    <n v="278"/>
    <n v="0.2214435879467414"/>
    <n v="0.22487702037947996"/>
    <n v="-3.4334324327385535E-3"/>
    <n v="0.27715030408340574"/>
    <n v="0.26501429933269782"/>
    <n v="1.2136004750707918E-2"/>
    <n v="2.8109627547434624E-3"/>
    <n v="-1.2499999999999956E-2"/>
    <n v="9.7235462345090617E-2"/>
    <n v="0.14748201438848918"/>
  </r>
  <r>
    <x v="320"/>
    <n v="533293"/>
    <x v="4"/>
    <x v="37"/>
    <n v="1415"/>
    <n v="20548.347000000002"/>
    <n v="5.1002854674503644E-4"/>
    <n v="5585"/>
    <n v="4580"/>
    <n v="407"/>
    <n v="349"/>
    <n v="1872"/>
    <n v="1449"/>
    <n v="109"/>
    <n v="68"/>
    <n v="7.2873769024171892E-2"/>
    <n v="7.6200873362445409E-2"/>
    <n v="-3.3271043382735177E-3"/>
    <n v="5.8226495726495728E-2"/>
    <n v="4.6928916494133888E-2"/>
    <n v="1.129757923236184E-2"/>
    <n v="0.21943231441048039"/>
    <n v="0.16618911174785089"/>
    <n v="0.29192546583850931"/>
    <n v="0.60294117647058831"/>
  </r>
  <r>
    <x v="321"/>
    <n v="540680"/>
    <x v="8"/>
    <x v="105"/>
    <n v="345.85"/>
    <n v="20970.4475131"/>
    <n v="5.2050546302821613E-4"/>
    <n v="393"/>
    <n v="344"/>
    <n v="-36"/>
    <n v="-167"/>
    <n v="159"/>
    <n v="180"/>
    <n v="18"/>
    <n v="-47"/>
    <n v="-9.1603053435114504E-2"/>
    <n v="-0.48546511627906974"/>
    <n v="0.39386206284395525"/>
    <n v="0.11320754716981132"/>
    <n v="-0.26111111111111113"/>
    <n v="0.37431865828092248"/>
    <n v="0.14244186046511631"/>
    <n v="-0.78443113772455086"/>
    <n v="-0.1166666666666667"/>
    <n v="-1.3829787234042552"/>
  </r>
  <r>
    <x v="322"/>
    <n v="544176"/>
    <x v="2"/>
    <x v="64"/>
    <n v="452.25"/>
    <n v="19711.235121999998"/>
    <n v="4.8925067324507318E-4"/>
    <n v="2694"/>
    <n v="2275"/>
    <n v="784"/>
    <n v="666"/>
    <n v="943"/>
    <n v="797"/>
    <n v="281"/>
    <n v="239"/>
    <n v="0.29101707498144025"/>
    <n v="0.29274725274725277"/>
    <n v="-1.7301777658125239E-3"/>
    <n v="0.29798515376458112"/>
    <n v="0.29987452948557092"/>
    <n v="-1.8893757209897943E-3"/>
    <n v="0.18417582417582423"/>
    <n v="0.17717717717717707"/>
    <n v="0.1831869510664994"/>
    <n v="0.17573221757322166"/>
  </r>
  <r>
    <x v="323"/>
    <n v="500840"/>
    <x v="6"/>
    <x v="57"/>
    <n v="306.5"/>
    <n v="19109.63135"/>
    <n v="4.7431832381815859E-4"/>
    <n v="2044"/>
    <n v="1916"/>
    <n v="408"/>
    <n v="508"/>
    <n v="873"/>
    <n v="800"/>
    <n v="255"/>
    <n v="279"/>
    <n v="0.19960861056751467"/>
    <n v="0.26513569937369519"/>
    <n v="-6.5527088806180522E-2"/>
    <n v="0.29209621993127149"/>
    <n v="0.34875"/>
    <n v="-5.665378006872851E-2"/>
    <n v="6.6805845511482165E-2"/>
    <n v="-0.19685039370078738"/>
    <n v="9.1250000000000053E-2"/>
    <n v="-8.6021505376344121E-2"/>
  </r>
  <r>
    <x v="324"/>
    <n v="500027"/>
    <x v="8"/>
    <x v="34"/>
    <n v="6162"/>
    <n v="18142.00635"/>
    <n v="4.5030099665582454E-4"/>
    <n v="4716"/>
    <n v="4192"/>
    <n v="478"/>
    <n v="368"/>
    <n v="1612"/>
    <n v="1432"/>
    <n v="163"/>
    <n v="117"/>
    <n v="0.10135708227311281"/>
    <n v="8.7786259541984726E-2"/>
    <n v="1.3570822731128085E-2"/>
    <n v="0.10111662531017369"/>
    <n v="8.1703910614525144E-2"/>
    <n v="1.941271469564855E-2"/>
    <n v="0.125"/>
    <n v="0.29891304347826098"/>
    <n v="0.12569832402234637"/>
    <n v="0.3931623931623931"/>
  </r>
  <r>
    <x v="325"/>
    <n v="541770"/>
    <x v="2"/>
    <x v="106"/>
    <n v="1186.45"/>
    <n v="19048.905968800002"/>
    <n v="4.7281106496546482E-4"/>
    <n v="4464"/>
    <n v="4348"/>
    <n v="438"/>
    <n v="484"/>
    <n v="1491"/>
    <n v="1382"/>
    <n v="252"/>
    <n v="-99"/>
    <n v="9.8118279569892469E-2"/>
    <n v="0.11131554737810488"/>
    <n v="-1.3197267808212412E-2"/>
    <n v="0.16901408450704225"/>
    <n v="-7.1635311143270625E-2"/>
    <n v="0.24064939565031288"/>
    <n v="2.6678932842686187E-2"/>
    <n v="-9.5041322314049603E-2"/>
    <n v="7.8871201157742377E-2"/>
    <n v="-3.5454545454545454"/>
  </r>
  <r>
    <x v="326"/>
    <n v="540065"/>
    <x v="2"/>
    <x v="2"/>
    <n v="317.7"/>
    <n v="19632.456924999999"/>
    <n v="4.8729532718579625E-4"/>
    <n v="13672"/>
    <n v="13341"/>
    <n v="634"/>
    <n v="630"/>
    <n v="4718"/>
    <n v="4610"/>
    <n v="227"/>
    <n v="47"/>
    <n v="4.6372147454651846E-2"/>
    <n v="4.7222846863053745E-2"/>
    <n v="-8.50699408401899E-4"/>
    <n v="4.8113607460788473E-2"/>
    <n v="1.0195227765726681E-2"/>
    <n v="3.7918379695061788E-2"/>
    <n v="2.481073382804877E-2"/>
    <n v="6.3492063492063266E-3"/>
    <n v="2.3427331887201808E-2"/>
    <n v="3.8297872340425529"/>
  </r>
  <r>
    <x v="327"/>
    <n v="542752"/>
    <x v="3"/>
    <x v="82"/>
    <n v="1418.8"/>
    <n v="19947.3327364"/>
    <n v="4.9511082944948229E-4"/>
    <n v="1984"/>
    <n v="1664"/>
    <n v="335"/>
    <n v="278"/>
    <n v="717"/>
    <n v="601"/>
    <n v="119"/>
    <n v="100"/>
    <n v="0.16885080645161291"/>
    <n v="0.16706730769230768"/>
    <n v="1.7834987593052243E-3"/>
    <n v="0.16596931659693165"/>
    <n v="0.16638935108153077"/>
    <n v="-4.200344845991244E-4"/>
    <n v="0.19230769230769229"/>
    <n v="0.20503597122302164"/>
    <n v="0.19301164725457576"/>
    <n v="0.18999999999999995"/>
  </r>
  <r>
    <x v="328"/>
    <n v="504614"/>
    <x v="8"/>
    <x v="18"/>
    <n v="522.6"/>
    <n v="18411.922924999999"/>
    <n v="4.5700057003219625E-4"/>
    <n v="4437"/>
    <n v="3404"/>
    <n v="922"/>
    <n v="587"/>
    <n v="1276"/>
    <n v="1319"/>
    <n v="184"/>
    <n v="188"/>
    <n v="0.20779806175343701"/>
    <n v="0.17244418331374853"/>
    <n v="3.5353878439688485E-2"/>
    <n v="0.14420062695924765"/>
    <n v="0.14253222137983321"/>
    <n v="1.6684055794144448E-3"/>
    <n v="0.3034665099882492"/>
    <n v="0.57069846678023861"/>
    <n v="-3.2600454890068242E-2"/>
    <n v="-2.1276595744680882E-2"/>
  </r>
  <r>
    <x v="329"/>
    <n v="540596"/>
    <x v="7"/>
    <x v="9"/>
    <n v="1335.05"/>
    <n v="18528.7277842"/>
    <n v="4.5989977222060267E-4"/>
    <n v="2373"/>
    <n v="2188"/>
    <n v="479"/>
    <n v="361"/>
    <n v="807"/>
    <n v="727"/>
    <n v="109"/>
    <n v="87"/>
    <n v="0.20185419300463547"/>
    <n v="0.16499085923217549"/>
    <n v="3.6863333772459983E-2"/>
    <n v="0.13506815365551425"/>
    <n v="0.11966987620357634"/>
    <n v="1.5398277451937906E-2"/>
    <n v="8.4552102376599603E-2"/>
    <n v="0.32686980609418281"/>
    <n v="0.11004126547455306"/>
    <n v="0.25287356321839072"/>
  </r>
  <r>
    <x v="330"/>
    <n v="500620"/>
    <x v="10"/>
    <x v="107"/>
    <n v="1465"/>
    <n v="20923.945827399999"/>
    <n v="5.1935124915501426E-4"/>
    <n v="3898"/>
    <n v="4099"/>
    <n v="1898"/>
    <n v="1981"/>
    <n v="1454"/>
    <n v="1237"/>
    <n v="819"/>
    <n v="594"/>
    <n v="0.48691636736788096"/>
    <n v="0.48328860697731152"/>
    <n v="3.6277603905694455E-3"/>
    <n v="0.56327372764786798"/>
    <n v="0.48019401778496362"/>
    <n v="8.3079709862904361E-2"/>
    <n v="-4.903635032934861E-2"/>
    <n v="-4.1898031297324612E-2"/>
    <n v="0.17542441390460795"/>
    <n v="0.3787878787878789"/>
  </r>
  <r>
    <x v="331"/>
    <n v="543498"/>
    <x v="6"/>
    <x v="52"/>
    <n v="36.78"/>
    <n v="24377.9847228"/>
    <n v="6.0508361673775426E-4"/>
    <n v="8143"/>
    <n v="6811"/>
    <n v="458"/>
    <n v="441"/>
    <n v="2887"/>
    <n v="2300"/>
    <n v="149"/>
    <n v="140"/>
    <n v="5.6244627287240577E-2"/>
    <n v="6.4748201438848921E-2"/>
    <n v="-8.5035741516083438E-3"/>
    <n v="5.1610668514028402E-2"/>
    <n v="6.0869565217391307E-2"/>
    <n v="-9.2588967033629052E-3"/>
    <n v="0.1955659961826457"/>
    <n v="3.8548752834467015E-2"/>
    <n v="0.25521739130434784"/>
    <n v="6.4285714285714279E-2"/>
  </r>
  <r>
    <x v="332"/>
    <n v="517271"/>
    <x v="4"/>
    <x v="91"/>
    <n v="677.55"/>
    <n v="18771.638966300001"/>
    <n v="4.6592904733429346E-4"/>
    <n v="2699"/>
    <n v="1492"/>
    <n v="746"/>
    <n v="210"/>
    <n v="874"/>
    <n v="450"/>
    <n v="217"/>
    <n v="58"/>
    <n v="0.27639866617265652"/>
    <n v="0.14075067024128687"/>
    <n v="0.13564799593136964"/>
    <n v="0.2482837528604119"/>
    <n v="0.12888888888888889"/>
    <n v="0.11939486397152302"/>
    <n v="0.80898123324396787"/>
    <n v="2.5523809523809522"/>
    <n v="0.94222222222222229"/>
    <n v="2.7413793103448274"/>
  </r>
  <r>
    <x v="333"/>
    <n v="500870"/>
    <x v="0"/>
    <x v="108"/>
    <n v="178.65"/>
    <n v="17672.653312999999"/>
    <n v="4.3865123001661608E-4"/>
    <n v="5721"/>
    <n v="5365"/>
    <n v="950"/>
    <n v="927"/>
    <n v="1440"/>
    <n v="1354"/>
    <n v="245"/>
    <n v="271"/>
    <n v="0.1660548855095263"/>
    <n v="0.17278657968313141"/>
    <n v="-6.7316941736051128E-3"/>
    <n v="0.1701388888888889"/>
    <n v="0.20014771048744462"/>
    <n v="-3.0008821598555724E-2"/>
    <n v="6.6356011183597463E-2"/>
    <n v="2.4811218985976158E-2"/>
    <n v="6.3515509601181686E-2"/>
    <n v="-9.5940959409594129E-2"/>
  </r>
  <r>
    <x v="334"/>
    <n v="515055"/>
    <x v="6"/>
    <x v="35"/>
    <n v="453.85"/>
    <n v="15627.0010262"/>
    <n v="3.8787629113796736E-4"/>
    <n v="1864"/>
    <n v="1519"/>
    <n v="408"/>
    <n v="307"/>
    <n v="641"/>
    <n v="534"/>
    <n v="144"/>
    <n v="108"/>
    <n v="0.21888412017167383"/>
    <n v="0.20210664911125742"/>
    <n v="1.677747106041641E-2"/>
    <n v="0.22464898595943839"/>
    <n v="0.20224719101123595"/>
    <n v="2.2401794948202436E-2"/>
    <n v="0.22712310730743912"/>
    <n v="0.32899022801302924"/>
    <n v="0.20037453183520593"/>
    <n v="0.33333333333333326"/>
  </r>
  <r>
    <x v="335"/>
    <n v="543276"/>
    <x v="6"/>
    <x v="52"/>
    <n v="6758"/>
    <n v="16120.401427500001"/>
    <n v="4.0012293509616298E-4"/>
    <n v="5842"/>
    <n v="3941"/>
    <n v="267"/>
    <n v="134"/>
    <n v="2057"/>
    <n v="1576"/>
    <n v="107"/>
    <n v="12"/>
    <n v="4.5703526189661073E-2"/>
    <n v="3.400152245622938E-2"/>
    <n v="1.1702003733431693E-2"/>
    <n v="5.201750121536218E-2"/>
    <n v="7.6142131979695434E-3"/>
    <n v="4.4403288017392635E-2"/>
    <n v="0.48236488200964223"/>
    <n v="0.99253731343283591"/>
    <n v="0.30520304568527923"/>
    <n v="7.9166666666666661"/>
  </r>
  <r>
    <x v="336"/>
    <n v="533295"/>
    <x v="2"/>
    <x v="13"/>
    <n v="22.9"/>
    <n v="15486.449922"/>
    <n v="3.8438768568378967E-4"/>
    <n v="10301"/>
    <n v="9213"/>
    <n v="900"/>
    <n v="703"/>
    <n v="3549"/>
    <n v="3269"/>
    <n v="336"/>
    <n v="281"/>
    <n v="8.7370158237064358E-2"/>
    <n v="7.6305220883534142E-2"/>
    <n v="1.1064937353530216E-2"/>
    <n v="9.4674556213017749E-2"/>
    <n v="8.5959008871214437E-2"/>
    <n v="8.7155473418033119E-3"/>
    <n v="0.11809399761206985"/>
    <n v="0.2802275960170697"/>
    <n v="8.5653104925053514E-2"/>
    <n v="0.19572953736654797"/>
  </r>
  <r>
    <x v="337"/>
    <n v="544081"/>
    <x v="4"/>
    <x v="92"/>
    <n v="768.7"/>
    <n v="17471.771975"/>
    <n v="4.3366517362539695E-4"/>
    <n v="1494"/>
    <n v="1242"/>
    <n v="245"/>
    <n v="207"/>
    <n v="576"/>
    <n v="450"/>
    <n v="88.5"/>
    <n v="80"/>
    <n v="0.1639892904953146"/>
    <n v="0.16666666666666666"/>
    <n v="-2.6773761713520527E-3"/>
    <n v="0.15364583333333334"/>
    <n v="0.17777777777777778"/>
    <n v="-2.4131944444444442E-2"/>
    <n v="0.20289855072463769"/>
    <n v="0.18357487922705307"/>
    <n v="0.28000000000000003"/>
    <n v="0.10624999999999996"/>
  </r>
  <r>
    <x v="338"/>
    <n v="532642"/>
    <x v="2"/>
    <x v="31"/>
    <n v="11938"/>
    <n v="13256.155896"/>
    <n v="3.2902977193554917E-4"/>
    <n v="146"/>
    <n v="218"/>
    <n v="133"/>
    <n v="186"/>
    <n v="32"/>
    <n v="29"/>
    <n v="32"/>
    <n v="13"/>
    <n v="0.91095890410958902"/>
    <n v="0.85321100917431192"/>
    <n v="5.77478949352771E-2"/>
    <n v="1"/>
    <n v="0.44827586206896552"/>
    <n v="0.55172413793103448"/>
    <n v="-0.33027522935779818"/>
    <n v="-0.28494623655913975"/>
    <n v="0.10344827586206895"/>
    <n v="1.4615384615384617"/>
  </r>
  <r>
    <x v="339"/>
    <n v="544282"/>
    <x v="3"/>
    <x v="82"/>
    <n v="42.44"/>
    <n v="19951.603562299999"/>
    <n v="4.9521683520883507E-4"/>
    <n v="5168"/>
    <n v="4001"/>
    <n v="667"/>
    <n v="356"/>
    <n v="1971"/>
    <n v="1453"/>
    <n v="267"/>
    <n v="216"/>
    <n v="0.12906346749226005"/>
    <n v="8.897775556110972E-2"/>
    <n v="4.0085711931150333E-2"/>
    <n v="0.13546423135464231"/>
    <n v="0.14865794907088781"/>
    <n v="-1.3193717716245501E-2"/>
    <n v="0.29167708072981746"/>
    <n v="0.87359550561797761"/>
    <n v="0.35650378527185134"/>
    <n v="0.23611111111111116"/>
  </r>
  <r>
    <x v="340"/>
    <n v="543428"/>
    <x v="4"/>
    <x v="15"/>
    <n v="3138.7"/>
    <n v="17562.168251999999"/>
    <n v="4.3590889093216966E-4"/>
    <n v="580"/>
    <n v="312"/>
    <n v="133"/>
    <n v="108"/>
    <n v="173"/>
    <n v="117"/>
    <n v="58"/>
    <n v="45"/>
    <n v="0.22931034482758619"/>
    <n v="0.34615384615384615"/>
    <n v="-0.11684350132625995"/>
    <n v="0.33526011560693642"/>
    <n v="0.38461538461538464"/>
    <n v="-4.9355269008448222E-2"/>
    <n v="0.85897435897435903"/>
    <n v="0.2314814814814814"/>
    <n v="0.47863247863247871"/>
    <n v="0.28888888888888897"/>
  </r>
  <r>
    <x v="341"/>
    <n v="500770"/>
    <x v="8"/>
    <x v="61"/>
    <n v="632.4"/>
    <n v="16099.393185499999"/>
    <n v="3.9960149153980644E-4"/>
    <n v="11146"/>
    <n v="11378"/>
    <n v="401"/>
    <n v="436"/>
    <n v="3550"/>
    <n v="3590"/>
    <n v="-69"/>
    <n v="-21"/>
    <n v="3.597703211914588E-2"/>
    <n v="3.8319564071014237E-2"/>
    <n v="-2.3425319518683568E-3"/>
    <n v="-1.9436619718309858E-2"/>
    <n v="-5.8495821727019498E-3"/>
    <n v="-1.3587037545607909E-2"/>
    <n v="-2.0390226753383756E-2"/>
    <n v="-8.0275229357798183E-2"/>
    <n v="-1.1142061281337101E-2"/>
    <n v="2.2857142857142856"/>
  </r>
  <r>
    <x v="342"/>
    <n v="506076"/>
    <x v="4"/>
    <x v="95"/>
    <n v="1441.7"/>
    <n v="15942.573070300001"/>
    <n v="3.9570907452661096E-4"/>
    <n v="2221"/>
    <n v="2093"/>
    <n v="297"/>
    <n v="278"/>
    <n v="749"/>
    <n v="699"/>
    <n v="95"/>
    <n v="87"/>
    <n v="0.13372354795137326"/>
    <n v="0.13282369804108934"/>
    <n v="8.9984991028391192E-4"/>
    <n v="0.12683578104138851"/>
    <n v="0.12446351931330472"/>
    <n v="2.3722617280837882E-3"/>
    <n v="6.1156235069278475E-2"/>
    <n v="6.8345323741007213E-2"/>
    <n v="7.1530758226037161E-2"/>
    <n v="9.1954022988505857E-2"/>
  </r>
  <r>
    <x v="343"/>
    <n v="500085"/>
    <x v="8"/>
    <x v="67"/>
    <n v="446.6"/>
    <n v="17909.153340000001"/>
    <n v="4.4452137446550886E-4"/>
    <n v="18009"/>
    <n v="14197"/>
    <n v="1784"/>
    <n v="1519"/>
    <n v="5898"/>
    <n v="4918"/>
    <n v="586"/>
    <n v="534"/>
    <n v="9.9061580320950637E-2"/>
    <n v="0.10699443544410792"/>
    <n v="-7.9328551231572786E-3"/>
    <n v="9.9355713801288575E-2"/>
    <n v="0.10858072387149248"/>
    <n v="-9.225010070203904E-3"/>
    <n v="0.26850743114742559"/>
    <n v="0.17445687952600397"/>
    <n v="0.1992679951199674"/>
    <n v="9.7378277153558068E-2"/>
  </r>
  <r>
    <x v="344"/>
    <n v="532756"/>
    <x v="6"/>
    <x v="52"/>
    <n v="466.7"/>
    <n v="17666.898862499998"/>
    <n v="4.3850839935360303E-4"/>
    <n v="9406"/>
    <n v="8964"/>
    <n v="828"/>
    <n v="827"/>
    <n v="2392"/>
    <n v="2109"/>
    <n v="204"/>
    <n v="184"/>
    <n v="8.8028917712098656E-2"/>
    <n v="9.2257920571173588E-2"/>
    <n v="-4.2290028590749318E-3"/>
    <n v="8.5284280936454848E-2"/>
    <n v="8.7245139876718822E-2"/>
    <n v="-1.9608589402639737E-3"/>
    <n v="4.9308344489067402E-2"/>
    <n v="1.2091898428052694E-3"/>
    <n v="0.1341868183973447"/>
    <n v="0.10869565217391308"/>
  </r>
  <r>
    <x v="345"/>
    <n v="500403"/>
    <x v="6"/>
    <x v="52"/>
    <n v="761.75"/>
    <n v="16018.0876754"/>
    <n v="3.975834152848811E-4"/>
    <n v="4596"/>
    <n v="4425"/>
    <n v="431"/>
    <n v="417"/>
    <n v="1541"/>
    <n v="1441"/>
    <n v="131"/>
    <n v="131"/>
    <n v="9.3777197563098352E-2"/>
    <n v="9.423728813559322E-2"/>
    <n v="-4.6009057249486729E-4"/>
    <n v="8.5009733939000645E-2"/>
    <n v="9.0909090909090912E-2"/>
    <n v="-5.8993569700902665E-3"/>
    <n v="3.8644067796610226E-2"/>
    <n v="3.3573141486810565E-2"/>
    <n v="6.9396252602359487E-2"/>
    <n v="0"/>
  </r>
  <r>
    <x v="346"/>
    <n v="543349"/>
    <x v="7"/>
    <x v="9"/>
    <n v="2227.6999999999998"/>
    <n v="18239.244057700002"/>
    <n v="4.5271452445672507E-4"/>
    <n v="906"/>
    <n v="698"/>
    <n v="222"/>
    <n v="97"/>
    <n v="393"/>
    <n v="274"/>
    <n v="106"/>
    <n v="45"/>
    <n v="0.24503311258278146"/>
    <n v="0.13896848137535817"/>
    <n v="0.10606463120742329"/>
    <n v="0.26972010178117051"/>
    <n v="0.16423357664233576"/>
    <n v="0.10548652513883475"/>
    <n v="0.29799426934097428"/>
    <n v="1.2886597938144329"/>
    <n v="0.43430656934306566"/>
    <n v="1.3555555555555556"/>
  </r>
  <r>
    <x v="347"/>
    <n v="512573"/>
    <x v="5"/>
    <x v="109"/>
    <n v="1240.9000000000001"/>
    <n v="16880.829839999999"/>
    <n v="4.1899745566616355E-4"/>
    <n v="4598"/>
    <n v="4225"/>
    <n v="517"/>
    <n v="399"/>
    <n v="1383"/>
    <n v="1365"/>
    <n v="163"/>
    <n v="141"/>
    <n v="0.11244019138755981"/>
    <n v="9.4437869822485213E-2"/>
    <n v="1.80023215650746E-2"/>
    <n v="0.11785972523499638"/>
    <n v="0.10329670329670329"/>
    <n v="1.4563021938293091E-2"/>
    <n v="8.8284023668639078E-2"/>
    <n v="0.29573934837092741"/>
    <n v="1.318681318681314E-2"/>
    <n v="0.15602836879432624"/>
  </r>
  <r>
    <x v="348"/>
    <n v="532181"/>
    <x v="8"/>
    <x v="63"/>
    <n v="597.95000000000005"/>
    <n v="18984.100393299999"/>
    <n v="4.7120253200204728E-4"/>
    <n v="1839"/>
    <n v="2064"/>
    <n v="763"/>
    <n v="459"/>
    <n v="579"/>
    <n v="653"/>
    <n v="133"/>
    <n v="148"/>
    <n v="0.4148994018488309"/>
    <n v="0.22238372093023256"/>
    <n v="0.19251568091859833"/>
    <n v="0.22970639032815199"/>
    <n v="0.22664624808575803"/>
    <n v="3.0601422423939539E-3"/>
    <n v="-0.10901162790697672"/>
    <n v="0.66230936819172115"/>
    <n v="-0.11332312404287903"/>
    <n v="-0.10135135135135132"/>
  </r>
  <r>
    <x v="349"/>
    <n v="532734"/>
    <x v="4"/>
    <x v="68"/>
    <n v="275.55"/>
    <n v="18496.097484999998"/>
    <n v="4.5908985869905119E-4"/>
    <n v="3770"/>
    <n v="3908"/>
    <n v="521"/>
    <n v="591"/>
    <n v="1139"/>
    <n v="1298"/>
    <n v="143"/>
    <n v="145"/>
    <n v="0.13819628647214854"/>
    <n v="0.15122824974411464"/>
    <n v="-1.3031963271966096E-2"/>
    <n v="0.12554872695346794"/>
    <n v="0.11171032357473036"/>
    <n v="1.3838403378737582E-2"/>
    <n v="-3.5312180143295846E-2"/>
    <n v="-0.11844331641285955"/>
    <n v="-0.12249614791987673"/>
    <n v="-1.379310344827589E-2"/>
  </r>
  <r>
    <x v="350"/>
    <n v="543981"/>
    <x v="4"/>
    <x v="39"/>
    <n v="1330.75"/>
    <n v="15061.370379800001"/>
    <n v="3.7383682720552321E-4"/>
    <n v="6758"/>
    <n v="5400"/>
    <n v="324"/>
    <n v="182"/>
    <n v="2535"/>
    <n v="1782"/>
    <n v="118"/>
    <n v="68"/>
    <n v="4.794317845516425E-2"/>
    <n v="3.3703703703703701E-2"/>
    <n v="1.4239474751460549E-2"/>
    <n v="4.6548323471400394E-2"/>
    <n v="3.8159371492704826E-2"/>
    <n v="8.3889519786955677E-3"/>
    <n v="0.25148148148148142"/>
    <n v="0.78021978021978011"/>
    <n v="0.42255892255892258"/>
    <n v="0.73529411764705888"/>
  </r>
  <r>
    <x v="351"/>
    <n v="533581"/>
    <x v="6"/>
    <x v="59"/>
    <n v="452.55"/>
    <n v="12882.638165300001"/>
    <n v="3.1975872422682473E-4"/>
    <n v="3571"/>
    <n v="2959"/>
    <n v="129"/>
    <n v="144"/>
    <n v="1412"/>
    <n v="967"/>
    <n v="60"/>
    <n v="40"/>
    <n v="3.6124334920190425E-2"/>
    <n v="4.8665089557282867E-2"/>
    <n v="-1.2540754637092442E-2"/>
    <n v="4.2492917847025496E-2"/>
    <n v="4.1365046535677352E-2"/>
    <n v="1.1278713113481442E-3"/>
    <n v="0.20682663061845208"/>
    <n v="-0.10416666666666663"/>
    <n v="0.4601861427094105"/>
    <n v="0.5"/>
  </r>
  <r>
    <x v="352"/>
    <n v="542399"/>
    <x v="6"/>
    <x v="57"/>
    <n v="731.65"/>
    <n v="16010.6508053"/>
    <n v="3.9739882544661165E-4"/>
    <n v="2211"/>
    <n v="1195"/>
    <n v="482"/>
    <n v="18"/>
    <n v="581"/>
    <n v="457"/>
    <n v="124"/>
    <n v="96"/>
    <n v="0.21800090456806875"/>
    <n v="1.506276150627615E-2"/>
    <n v="0.20293814306179261"/>
    <n v="0.21342512908777969"/>
    <n v="0.21006564551422319"/>
    <n v="3.3594835735565043E-3"/>
    <n v="0.85020920502092046"/>
    <n v="25.777777777777779"/>
    <n v="0.27133479212253819"/>
    <n v="0.29166666666666674"/>
  </r>
  <r>
    <x v="353"/>
    <n v="524816"/>
    <x v="7"/>
    <x v="9"/>
    <n v="1026.5"/>
    <n v="18397.263544199999"/>
    <n v="4.5663671094973057E-4"/>
    <n v="3339"/>
    <n v="3208"/>
    <n v="1149"/>
    <n v="1477"/>
    <n v="647"/>
    <n v="474"/>
    <n v="151"/>
    <n v="132"/>
    <n v="0.34411500449236299"/>
    <n v="0.46041147132169574"/>
    <n v="-0.11629646682933276"/>
    <n v="0.23338485316846985"/>
    <n v="0.27848101265822783"/>
    <n v="-4.5096159489757981E-2"/>
    <n v="4.0835411471321637E-2"/>
    <n v="-0.22207176709546372"/>
    <n v="0.36497890295358659"/>
    <n v="0.14393939393939403"/>
  </r>
  <r>
    <x v="354"/>
    <n v="532702"/>
    <x v="0"/>
    <x v="49"/>
    <n v="237.2"/>
    <n v="13385.3491911"/>
    <n v="3.322364663012349E-4"/>
    <n v="12599"/>
    <n v="13590"/>
    <n v="1232"/>
    <n v="1285"/>
    <n v="4091"/>
    <n v="4540"/>
    <n v="379"/>
    <n v="335"/>
    <n v="9.7785538534804345E-2"/>
    <n v="9.4554819720382641E-2"/>
    <n v="3.2307188144217042E-3"/>
    <n v="9.2642385724761675E-2"/>
    <n v="7.3788546255506612E-2"/>
    <n v="1.8853839469255063E-2"/>
    <n v="-7.2921265636497479E-2"/>
    <n v="-4.1245136186770393E-2"/>
    <n v="-9.8898678414096941E-2"/>
    <n v="0.13134328358208958"/>
  </r>
  <r>
    <x v="355"/>
    <n v="513023"/>
    <x v="9"/>
    <x v="12"/>
    <n v="561.25"/>
    <n v="15900.421731"/>
    <n v="3.9466284018345254E-4"/>
    <n v="3148"/>
    <n v="2965"/>
    <n v="902"/>
    <n v="1131"/>
    <n v="991"/>
    <n v="842"/>
    <n v="325"/>
    <n v="352"/>
    <n v="0.28653113087674714"/>
    <n v="0.38145025295109614"/>
    <n v="-9.4919122074348994E-2"/>
    <n v="0.32795156407669024"/>
    <n v="0.41805225653206651"/>
    <n v="-9.0100692455376274E-2"/>
    <n v="6.1720067453625571E-2"/>
    <n v="-0.20247568523430592"/>
    <n v="0.1769596199524941"/>
    <n v="-7.6704545454545414E-2"/>
  </r>
  <r>
    <x v="356"/>
    <n v="532929"/>
    <x v="6"/>
    <x v="35"/>
    <n v="690.1"/>
    <n v="16842.7009268"/>
    <n v="4.1805106157478662E-4"/>
    <n v="4239"/>
    <n v="3613"/>
    <n v="534"/>
    <n v="431"/>
    <n v="1575"/>
    <n v="1463"/>
    <n v="205"/>
    <n v="235"/>
    <n v="0.1259731068648266"/>
    <n v="0.11929144755051203"/>
    <n v="6.6816593143145669E-3"/>
    <n v="0.13015873015873017"/>
    <n v="0.16062884483937115"/>
    <n v="-3.0470114680640981E-2"/>
    <n v="0.17326321616385276"/>
    <n v="0.23897911832946628"/>
    <n v="7.6555023923444931E-2"/>
    <n v="-0.12765957446808507"/>
  </r>
  <r>
    <x v="357"/>
    <n v="524558"/>
    <x v="7"/>
    <x v="9"/>
    <n v="13147"/>
    <n v="16858.910833000002"/>
    <n v="4.1845340609924207E-4"/>
    <n v="1246"/>
    <n v="1148"/>
    <n v="151"/>
    <n v="232"/>
    <n v="439"/>
    <n v="398"/>
    <n v="40"/>
    <n v="101"/>
    <n v="0.12118780096308186"/>
    <n v="0.20209059233449478"/>
    <n v="-8.0902791371412916E-2"/>
    <n v="9.1116173120728935E-2"/>
    <n v="0.25376884422110552"/>
    <n v="-0.16265267110037657"/>
    <n v="8.5365853658536661E-2"/>
    <n v="-0.34913793103448276"/>
    <n v="0.10301507537688437"/>
    <n v="-0.60396039603960394"/>
  </r>
  <r>
    <x v="358"/>
    <n v="520111"/>
    <x v="4"/>
    <x v="68"/>
    <n v="2223"/>
    <n v="15594.768395499999"/>
    <n v="3.8707624810804917E-4"/>
    <n v="3409"/>
    <n v="3471"/>
    <n v="418"/>
    <n v="338"/>
    <n v="1065"/>
    <n v="1316"/>
    <n v="135"/>
    <n v="133"/>
    <n v="0.12261660310941624"/>
    <n v="9.7378277153558054E-2"/>
    <n v="2.523832595585819E-2"/>
    <n v="0.12676056338028169"/>
    <n v="0.10106382978723404"/>
    <n v="2.5696733593047652E-2"/>
    <n v="-1.7862287525208909E-2"/>
    <n v="0.23668639053254448"/>
    <n v="-0.19072948328267481"/>
    <n v="1.5037593984962516E-2"/>
  </r>
  <r>
    <x v="359"/>
    <n v="544405"/>
    <x v="6"/>
    <x v="52"/>
    <n v="192.05"/>
    <n v="17086.5738705"/>
    <n v="4.2410420848075161E-4"/>
    <n v="6956"/>
    <n v="6016"/>
    <n v="366"/>
    <n v="245"/>
    <n v="2340"/>
    <n v="2166"/>
    <n v="121"/>
    <n v="100"/>
    <n v="5.2616446233467513E-2"/>
    <n v="4.0724734042553189E-2"/>
    <n v="1.1891712190914325E-2"/>
    <n v="5.1709401709401706E-2"/>
    <n v="4.6168051708217916E-2"/>
    <n v="5.5413500011837896E-3"/>
    <n v="0.15625"/>
    <n v="0.49387755102040809"/>
    <n v="8.0332409972299068E-2"/>
    <n v="0.20999999999999996"/>
  </r>
  <r>
    <x v="360"/>
    <n v="539268"/>
    <x v="7"/>
    <x v="110"/>
    <n v="398.75"/>
    <n v="16007.796976899999"/>
    <n v="3.9732799084607115E-4"/>
    <n v="2702"/>
    <n v="2624"/>
    <n v="168"/>
    <n v="312"/>
    <n v="917"/>
    <n v="943"/>
    <n v="15"/>
    <n v="131"/>
    <n v="6.2176165803108807E-2"/>
    <n v="0.11890243902439024"/>
    <n v="-5.6726273221281431E-2"/>
    <n v="1.6357688113413305E-2"/>
    <n v="0.13891834570519618"/>
    <n v="-0.12256065759178288"/>
    <n v="2.9725609756097615E-2"/>
    <n v="-0.46153846153846156"/>
    <n v="-2.7571580063626699E-2"/>
    <n v="-0.8854961832061069"/>
  </r>
  <r>
    <x v="361"/>
    <n v="544321"/>
    <x v="6"/>
    <x v="57"/>
    <n v="567.29999999999995"/>
    <n v="13273.336265800001"/>
    <n v="3.2945620424378481E-4"/>
    <n v="1682"/>
    <n v="906"/>
    <n v="242"/>
    <n v="13"/>
    <n v="685"/>
    <n v="533"/>
    <n v="140"/>
    <n v="34"/>
    <n v="0.14387633769322236"/>
    <n v="1.434878587196468E-2"/>
    <n v="0.12952755182125769"/>
    <n v="0.20437956204379562"/>
    <n v="6.3789868667917443E-2"/>
    <n v="0.14058969337587818"/>
    <n v="0.85651214128035313"/>
    <n v="17.615384615384617"/>
    <n v="0.28517823639774864"/>
    <n v="3.117647058823529"/>
  </r>
  <r>
    <x v="362"/>
    <n v="544480"/>
    <x v="8"/>
    <x v="11"/>
    <n v="118.25"/>
    <n v="15813.924968200001"/>
    <n v="3.9251591234399985E-4"/>
    <n v="4618"/>
    <n v="4104"/>
    <n v="-1160"/>
    <n v="-180"/>
    <n v="1621"/>
    <n v="1433"/>
    <n v="131"/>
    <n v="-80"/>
    <n v="-0.25119099177132959"/>
    <n v="-4.3859649122807015E-2"/>
    <n v="-0.20733134264852257"/>
    <n v="8.0814312152991979E-2"/>
    <n v="-5.5826936496859735E-2"/>
    <n v="0.13664124864985172"/>
    <n v="0.12524366471734893"/>
    <n v="5.4444444444444446"/>
    <n v="0.13119330076762048"/>
    <n v="-2.6375000000000002"/>
  </r>
  <r>
    <x v="363"/>
    <n v="522074"/>
    <x v="4"/>
    <x v="37"/>
    <n v="478"/>
    <n v="15101.149915399999"/>
    <n v="3.7482419123691026E-4"/>
    <n v="2838"/>
    <n v="2517"/>
    <n v="302"/>
    <n v="248"/>
    <n v="1003"/>
    <n v="847"/>
    <n v="95"/>
    <n v="80"/>
    <n v="0.10641296687808316"/>
    <n v="9.8529996027016287E-2"/>
    <n v="7.8829708510668728E-3"/>
    <n v="9.4715852442671986E-2"/>
    <n v="9.4451003541912631E-2"/>
    <n v="2.6484890075935408E-4"/>
    <n v="0.12753277711561384"/>
    <n v="0.217741935483871"/>
    <n v="0.18417945690672965"/>
    <n v="0.1875"/>
  </r>
  <r>
    <x v="364"/>
    <n v="539876"/>
    <x v="6"/>
    <x v="51"/>
    <n v="233.2"/>
    <n v="15020.600814699999"/>
    <n v="3.7282488974703176E-4"/>
    <n v="5812"/>
    <n v="5803"/>
    <n v="300"/>
    <n v="392"/>
    <n v="1898"/>
    <n v="1769"/>
    <n v="101"/>
    <n v="112"/>
    <n v="5.1617343427391604E-2"/>
    <n v="6.7551266586248493E-2"/>
    <n v="-1.5933923158856889E-2"/>
    <n v="5.3213909378292942E-2"/>
    <n v="6.3312605992085921E-2"/>
    <n v="-1.0098696613792979E-2"/>
    <n v="1.5509219369291838E-3"/>
    <n v="-0.23469387755102045"/>
    <n v="7.2922555115884746E-2"/>
    <n v="-9.8214285714285698E-2"/>
  </r>
  <r>
    <x v="365"/>
    <n v="532548"/>
    <x v="6"/>
    <x v="111"/>
    <n v="718.25"/>
    <n v="15962.012271699999"/>
    <n v="3.9619157307697731E-4"/>
    <n v="3904"/>
    <n v="3329"/>
    <n v="188"/>
    <n v="132"/>
    <n v="1350"/>
    <n v="1140"/>
    <n v="65"/>
    <n v="58"/>
    <n v="4.8155737704918031E-2"/>
    <n v="3.9651547011114452E-2"/>
    <n v="8.5041906938035788E-3"/>
    <n v="4.8148148148148148E-2"/>
    <n v="5.0877192982456139E-2"/>
    <n v="-2.7290448343079907E-3"/>
    <n v="0.17272454190447584"/>
    <n v="0.42424242424242431"/>
    <n v="0.18421052631578938"/>
    <n v="0.1206896551724137"/>
  </r>
  <r>
    <x v="366"/>
    <n v="543232"/>
    <x v="2"/>
    <x v="112"/>
    <n v="667.3"/>
    <n v="16539.3265302"/>
    <n v="4.105210348228756E-4"/>
    <n v="1159"/>
    <n v="1105"/>
    <n v="346"/>
    <n v="351"/>
    <n v="403"/>
    <n v="384"/>
    <n v="124"/>
    <n v="124"/>
    <n v="0.29853321829163071"/>
    <n v="0.31764705882352939"/>
    <n v="-1.9113840531898685E-2"/>
    <n v="0.30769230769230771"/>
    <n v="0.32291666666666669"/>
    <n v="-1.5224358974358976E-2"/>
    <n v="4.8868778280543035E-2"/>
    <n v="-1.4245014245014231E-2"/>
    <n v="4.9479166666666741E-2"/>
    <n v="0"/>
  </r>
  <r>
    <x v="367"/>
    <n v="543720"/>
    <x v="2"/>
    <x v="112"/>
    <n v="917.1"/>
    <n v="15822.175618699999"/>
    <n v="3.9272070094739534E-4"/>
    <n v="981"/>
    <n v="835"/>
    <n v="262"/>
    <n v="247"/>
    <n v="377"/>
    <n v="299"/>
    <n v="91"/>
    <n v="90"/>
    <n v="0.26707441386340469"/>
    <n v="0.29580838323353292"/>
    <n v="-2.8733969370128232E-2"/>
    <n v="0.2413793103448276"/>
    <n v="0.30100334448160537"/>
    <n v="-5.9624034136777776E-2"/>
    <n v="0.17485029940119756"/>
    <n v="6.0728744939271273E-2"/>
    <n v="0.26086956521739135"/>
    <n v="1.1111111111111072E-2"/>
  </r>
  <r>
    <x v="368"/>
    <n v="543653"/>
    <x v="5"/>
    <x v="25"/>
    <n v="631.20000000000005"/>
    <n v="15791.371867899999"/>
    <n v="3.9195612400819819E-4"/>
    <n v="2272"/>
    <n v="2005"/>
    <n v="198"/>
    <n v="154"/>
    <n v="790"/>
    <n v="713"/>
    <n v="62"/>
    <n v="27"/>
    <n v="8.7147887323943657E-2"/>
    <n v="7.680798004987531E-2"/>
    <n v="1.0339907274068347E-2"/>
    <n v="7.848101265822785E-2"/>
    <n v="3.7868162692847124E-2"/>
    <n v="4.0612849965380726E-2"/>
    <n v="0.13316708229426433"/>
    <n v="0.28571428571428581"/>
    <n v="0.1079943899018232"/>
    <n v="1.2962962962962963"/>
  </r>
  <r>
    <x v="369"/>
    <n v="531358"/>
    <x v="2"/>
    <x v="17"/>
    <n v="639.85"/>
    <n v="14268.834825"/>
    <n v="3.5416537834112474E-4"/>
    <n v="812"/>
    <n v="657"/>
    <n v="170"/>
    <n v="109"/>
    <n v="303"/>
    <n v="209"/>
    <n v="65"/>
    <n v="30"/>
    <n v="0.20935960591133004"/>
    <n v="0.16590563165905631"/>
    <n v="4.3453974252273736E-2"/>
    <n v="0.21452145214521451"/>
    <n v="0.14354066985645933"/>
    <n v="7.0980782288755179E-2"/>
    <n v="0.23592085235920845"/>
    <n v="0.55963302752293576"/>
    <n v="0.44976076555023914"/>
    <n v="1.1666666666666665"/>
  </r>
  <r>
    <x v="370"/>
    <n v="500165"/>
    <x v="6"/>
    <x v="27"/>
    <n v="180.9"/>
    <n v="14575.2594458"/>
    <n v="3.6177111441485968E-4"/>
    <n v="6098"/>
    <n v="6006"/>
    <n v="466"/>
    <n v="1007"/>
    <n v="1982"/>
    <n v="1922"/>
    <n v="117"/>
    <n v="662"/>
    <n v="7.6418497868153495E-2"/>
    <n v="0.16766566766566768"/>
    <n v="-9.1247169797514183E-2"/>
    <n v="5.9031281533804235E-2"/>
    <n v="0.34443288241415193"/>
    <n v="-0.28540160088034772"/>
    <n v="1.5318015318015243E-2"/>
    <n v="-0.5372393247269116"/>
    <n v="3.1217481789802326E-2"/>
    <n v="-0.82326283987915405"/>
  </r>
  <r>
    <x v="371"/>
    <n v="524208"/>
    <x v="8"/>
    <x v="34"/>
    <n v="401.7"/>
    <n v="14578.1033888"/>
    <n v="3.6184170365083644E-4"/>
    <n v="5991"/>
    <n v="5330"/>
    <n v="276"/>
    <n v="240"/>
    <n v="2278"/>
    <n v="1756"/>
    <n v="131"/>
    <n v="47"/>
    <n v="4.6069103655483223E-2"/>
    <n v="4.5028142589118199E-2"/>
    <n v="1.0409610663650246E-3"/>
    <n v="5.7506584723441619E-2"/>
    <n v="2.6765375854214124E-2"/>
    <n v="3.0741208869227495E-2"/>
    <n v="0.12401500938086296"/>
    <n v="0.14999999999999991"/>
    <n v="0.29726651480637822"/>
    <n v="1.7872340425531914"/>
  </r>
  <r>
    <x v="372"/>
    <n v="502986"/>
    <x v="6"/>
    <x v="89"/>
    <n v="539.70000000000005"/>
    <n v="15605.3016596"/>
    <n v="3.8733769324431267E-4"/>
    <n v="7371"/>
    <n v="7276"/>
    <n v="563"/>
    <n v="648"/>
    <n v="2505"/>
    <n v="2465"/>
    <n v="168"/>
    <n v="211"/>
    <n v="7.6380409713743047E-2"/>
    <n v="8.905992303463442E-2"/>
    <n v="-1.2679513320891372E-2"/>
    <n v="6.706586826347305E-2"/>
    <n v="8.559837728194726E-2"/>
    <n v="-1.8532509018474211E-2"/>
    <n v="1.3056624518966498E-2"/>
    <n v="-0.13117283950617287"/>
    <n v="1.6227180527383478E-2"/>
    <n v="-0.20379146919431279"/>
  </r>
  <r>
    <x v="373"/>
    <n v="523367"/>
    <x v="11"/>
    <x v="79"/>
    <n v="1121.9000000000001"/>
    <n v="17358.292649999999"/>
    <n v="4.3084851420187455E-4"/>
    <n v="10891"/>
    <n v="9722"/>
    <n v="253"/>
    <n v="214"/>
    <n v="4003"/>
    <n v="3518"/>
    <n v="213"/>
    <n v="262"/>
    <n v="2.3230190065191444E-2"/>
    <n v="2.201193170129603E-2"/>
    <n v="1.2182583638954136E-3"/>
    <n v="5.3210092430676995E-2"/>
    <n v="7.4474133030130757E-2"/>
    <n v="-2.1264040599453762E-2"/>
    <n v="0.12024274840567784"/>
    <n v="0.18224299065420557"/>
    <n v="0.1378624218305855"/>
    <n v="-0.18702290076335881"/>
  </r>
  <r>
    <x v="374"/>
    <n v="500008"/>
    <x v="6"/>
    <x v="52"/>
    <n v="718.35"/>
    <n v="13324.25"/>
    <n v="3.3071992914892624E-4"/>
    <n v="10278"/>
    <n v="9786"/>
    <n v="581"/>
    <n v="783"/>
    <n v="3410"/>
    <n v="3272"/>
    <n v="140"/>
    <n v="298"/>
    <n v="5.6528507491729905E-2"/>
    <n v="8.0012262415695895E-2"/>
    <n v="-2.348375492396599E-2"/>
    <n v="4.1055718475073312E-2"/>
    <n v="9.1075794621026898E-2"/>
    <n v="-5.0020076145953586E-2"/>
    <n v="5.0275904353157541E-2"/>
    <n v="-0.25798212005108556"/>
    <n v="4.2176039119804498E-2"/>
    <n v="-0.53020134228187921"/>
  </r>
  <r>
    <x v="375"/>
    <n v="500042"/>
    <x v="8"/>
    <x v="34"/>
    <n v="3240"/>
    <n v="14033.20773"/>
    <n v="3.4831690085353878E-4"/>
    <n v="11500"/>
    <n v="11622"/>
    <n v="353"/>
    <n v="454"/>
    <n v="3863"/>
    <n v="3635"/>
    <n v="105"/>
    <n v="105"/>
    <n v="3.0695652173913044E-2"/>
    <n v="3.906384443297195E-2"/>
    <n v="-8.3681922590589063E-3"/>
    <n v="2.7180947450168264E-2"/>
    <n v="2.8885832187070151E-2"/>
    <n v="-1.704884736901887E-3"/>
    <n v="-1.0497332644983648E-2"/>
    <n v="-0.22246696035242286"/>
    <n v="6.2723521320495079E-2"/>
    <n v="0"/>
  </r>
  <r>
    <x v="376"/>
    <n v="539083"/>
    <x v="4"/>
    <x v="40"/>
    <n v="80.83"/>
    <n v="10519.9681573"/>
    <n v="2.6111511894712393E-4"/>
    <n v="3263"/>
    <n v="2390"/>
    <n v="344"/>
    <n v="247"/>
    <n v="1238"/>
    <n v="994"/>
    <n v="126"/>
    <n v="110"/>
    <n v="0.10542445602206559"/>
    <n v="0.10334728033472804"/>
    <n v="2.0771756873375485E-3"/>
    <n v="0.10177705977382875"/>
    <n v="0.11066398390342053"/>
    <n v="-8.8869241295917722E-3"/>
    <n v="0.36527196652719662"/>
    <n v="0.39271255060728749"/>
    <n v="0.24547283702213285"/>
    <n v="0.1454545454545455"/>
  </r>
  <r>
    <x v="377"/>
    <n v="500125"/>
    <x v="5"/>
    <x v="113"/>
    <n v="814.9"/>
    <n v="14461.042380000001"/>
    <n v="3.5893614359781752E-4"/>
    <n v="30663"/>
    <n v="24797"/>
    <n v="1667"/>
    <n v="1233"/>
    <n v="10315"/>
    <n v="8720"/>
    <n v="437"/>
    <n v="415"/>
    <n v="5.4365195838632883E-2"/>
    <n v="4.9723756906077346E-2"/>
    <n v="4.6414389325555375E-3"/>
    <n v="4.2365487154629178E-2"/>
    <n v="4.7591743119266054E-2"/>
    <n v="-5.2262559646368764E-3"/>
    <n v="0.23656087429931039"/>
    <n v="0.35198702351987032"/>
    <n v="0.18291284403669716"/>
    <n v="5.3012048192771166E-2"/>
  </r>
  <r>
    <x v="378"/>
    <n v="531595"/>
    <x v="2"/>
    <x v="4"/>
    <n v="165.45"/>
    <n v="15847.640826999999"/>
    <n v="3.933527704360899E-4"/>
    <n v="3354"/>
    <n v="2292"/>
    <n v="666"/>
    <n v="300"/>
    <n v="1225"/>
    <n v="821"/>
    <n v="255"/>
    <n v="128"/>
    <n v="0.19856887298747763"/>
    <n v="0.13089005235602094"/>
    <n v="6.7678820631456693E-2"/>
    <n v="0.20816326530612245"/>
    <n v="0.15590742996345919"/>
    <n v="5.2255835342663259E-2"/>
    <n v="0.46335078534031404"/>
    <n v="1.2200000000000002"/>
    <n v="0.49208282582216811"/>
    <n v="0.9921875"/>
  </r>
  <r>
    <x v="379"/>
    <n v="513375"/>
    <x v="4"/>
    <x v="95"/>
    <n v="831.75"/>
    <n v="15840.403604900001"/>
    <n v="3.931731360416477E-4"/>
    <n v="3807"/>
    <n v="3677"/>
    <n v="207"/>
    <n v="268"/>
    <n v="1290"/>
    <n v="1255"/>
    <n v="73"/>
    <n v="37"/>
    <n v="5.4373522458628844E-2"/>
    <n v="7.2885504487353828E-2"/>
    <n v="-1.8511982028724984E-2"/>
    <n v="5.6589147286821705E-2"/>
    <n v="2.9482071713147411E-2"/>
    <n v="2.7107075573674293E-2"/>
    <n v="3.5354908893119319E-2"/>
    <n v="-0.22761194029850751"/>
    <n v="2.7888446215139417E-2"/>
    <n v="0.97297297297297303"/>
  </r>
  <r>
    <x v="380"/>
    <n v="500106"/>
    <x v="2"/>
    <x v="38"/>
    <n v="52.87"/>
    <n v="14244.8325432"/>
    <n v="3.5356962001053892E-4"/>
    <n v="1664"/>
    <n v="1648"/>
    <n v="401"/>
    <n v="88"/>
    <n v="467"/>
    <n v="457"/>
    <n v="21"/>
    <n v="-9"/>
    <n v="0.24098557692307693"/>
    <n v="5.3398058252427182E-2"/>
    <n v="0.18758751867064974"/>
    <n v="4.4967880085653104E-2"/>
    <n v="-1.9693654266958426E-2"/>
    <n v="6.466153435261153E-2"/>
    <n v="9.7087378640776656E-3"/>
    <n v="3.5568181818181817"/>
    <n v="2.1881838074398141E-2"/>
    <n v="-3.3333333333333335"/>
  </r>
  <r>
    <x v="381"/>
    <n v="543330"/>
    <x v="6"/>
    <x v="85"/>
    <n v="99.74"/>
    <n v="12301.0319891"/>
    <n v="3.0532273320403228E-4"/>
    <n v="4174"/>
    <n v="3738"/>
    <n v="-32"/>
    <n v="9"/>
    <n v="1440"/>
    <n v="1294"/>
    <n v="-10"/>
    <n v="-7"/>
    <n v="-7.6665069477719217E-3"/>
    <n v="2.407704654895666E-3"/>
    <n v="-1.0074211602667587E-2"/>
    <n v="-6.9444444444444441E-3"/>
    <n v="-5.4095826893353939E-3"/>
    <n v="-1.5348617551090502E-3"/>
    <n v="0.11663991439272348"/>
    <n v="-4.5555555555555554"/>
    <n v="0.1128284389489953"/>
    <n v="0.4285714285714286"/>
  </r>
  <r>
    <x v="382"/>
    <n v="543573"/>
    <x v="4"/>
    <x v="92"/>
    <n v="811.6"/>
    <n v="15631.397373600001"/>
    <n v="3.879854124544124E-4"/>
    <n v="3354"/>
    <n v="2862"/>
    <n v="226"/>
    <n v="113"/>
    <n v="1264"/>
    <n v="869"/>
    <n v="110"/>
    <n v="53"/>
    <n v="6.7382230172927854E-2"/>
    <n v="3.9482879105520612E-2"/>
    <n v="2.7899351067407242E-2"/>
    <n v="8.7025316455696208E-2"/>
    <n v="6.0989643268124283E-2"/>
    <n v="2.6035673187571926E-2"/>
    <n v="0.1719077568134173"/>
    <n v="1"/>
    <n v="0.45454545454545459"/>
    <n v="1.0754716981132075"/>
  </r>
  <r>
    <x v="383"/>
    <n v="532714"/>
    <x v="4"/>
    <x v="5"/>
    <n v="533.65"/>
    <n v="14217.74135"/>
    <n v="3.5289719210685475E-4"/>
    <n v="17116"/>
    <n v="14975"/>
    <n v="413"/>
    <n v="303"/>
    <n v="6001"/>
    <n v="5349"/>
    <n v="127"/>
    <n v="130"/>
    <n v="2.4129469502220145E-2"/>
    <n v="2.023372287145242E-2"/>
    <n v="3.8957466307677248E-3"/>
    <n v="2.1163139476753873E-2"/>
    <n v="2.4303608151056273E-2"/>
    <n v="-3.1404686743023991E-3"/>
    <n v="0.14297161936560943"/>
    <n v="0.36303630363036299"/>
    <n v="0.12189194241914381"/>
    <n v="-2.3076923076923106E-2"/>
  </r>
  <r>
    <x v="384"/>
    <n v="500233"/>
    <x v="6"/>
    <x v="114"/>
    <n v="989.25"/>
    <n v="15785.3534325"/>
    <n v="3.9180674100134413E-4"/>
    <n v="3139"/>
    <n v="3114"/>
    <n v="313"/>
    <n v="259"/>
    <n v="1053"/>
    <n v="1050"/>
    <n v="93"/>
    <n v="80"/>
    <n v="9.9713284485504941E-2"/>
    <n v="8.3172768143866413E-2"/>
    <n v="1.6540516341638528E-2"/>
    <n v="8.8319088319088315E-2"/>
    <n v="7.6190476190476197E-2"/>
    <n v="1.2128612128612118E-2"/>
    <n v="8.0282594733462886E-3"/>
    <n v="0.20849420849420852"/>
    <n v="2.8571428571428914E-3"/>
    <n v="0.16250000000000009"/>
  </r>
  <r>
    <x v="385"/>
    <n v="500266"/>
    <x v="2"/>
    <x v="31"/>
    <n v="11743.35"/>
    <n v="13428.558000000001"/>
    <n v="3.3330894799574065E-4"/>
    <n v="306"/>
    <n v="176"/>
    <n v="306"/>
    <n v="162"/>
    <n v="6"/>
    <n v="6"/>
    <n v="4"/>
    <n v="3"/>
    <n v="1"/>
    <n v="0.92045454545454541"/>
    <n v="7.9545454545454586E-2"/>
    <n v="0.66666666666666663"/>
    <n v="0.5"/>
    <n v="0.16666666666666663"/>
    <n v="0.73863636363636354"/>
    <n v="0.88888888888888884"/>
    <n v="0"/>
    <n v="0.33333333333333326"/>
  </r>
  <r>
    <x v="386"/>
    <n v="533655"/>
    <x v="4"/>
    <x v="40"/>
    <n v="457.5"/>
    <n v="14545.280761399999"/>
    <n v="3.6102701636951033E-4"/>
    <n v="1501"/>
    <n v="1467"/>
    <n v="247"/>
    <n v="264"/>
    <n v="624"/>
    <n v="503"/>
    <n v="91"/>
    <n v="92"/>
    <n v="0.16455696202531644"/>
    <n v="0.17995910020449898"/>
    <n v="-1.540213817918254E-2"/>
    <n v="0.14583333333333334"/>
    <n v="0.18290258449304175"/>
    <n v="-3.7069251159708411E-2"/>
    <n v="2.3176550783912786E-2"/>
    <n v="-6.4393939393939448E-2"/>
    <n v="0.24055666003976151"/>
    <n v="-1.0869565217391353E-2"/>
  </r>
  <r>
    <x v="387"/>
    <n v="532927"/>
    <x v="10"/>
    <x v="115"/>
    <n v="1492.55"/>
    <n v="13749.8536528"/>
    <n v="3.4128379652604245E-4"/>
    <n v="3009"/>
    <n v="2467"/>
    <n v="516"/>
    <n v="388"/>
    <n v="1070"/>
    <n v="857"/>
    <n v="191"/>
    <n v="137"/>
    <n v="0.17148554336989033"/>
    <n v="0.15727604377786786"/>
    <n v="1.4209499592022473E-2"/>
    <n v="0.17850467289719626"/>
    <n v="0.15985997666277713"/>
    <n v="1.8644696234419139E-2"/>
    <n v="0.21970004053506287"/>
    <n v="0.32989690721649478"/>
    <n v="0.24854142357059517"/>
    <n v="0.3941605839416058"/>
  </r>
  <r>
    <x v="388"/>
    <n v="544408"/>
    <x v="6"/>
    <x v="57"/>
    <n v="412"/>
    <n v="13768.99468"/>
    <n v="3.4175889412323715E-4"/>
    <n v="1042"/>
    <n v="875"/>
    <n v="231"/>
    <n v="-69"/>
    <n v="457"/>
    <n v="370"/>
    <n v="147"/>
    <n v="56"/>
    <n v="0.22168905950095968"/>
    <n v="-7.8857142857142862E-2"/>
    <n v="0.30054620235810253"/>
    <n v="0.32166301969365424"/>
    <n v="0.15135135135135136"/>
    <n v="0.17031166834230288"/>
    <n v="0.19085714285714284"/>
    <n v="-4.3478260869565215"/>
    <n v="0.23513513513513518"/>
    <n v="1.625"/>
  </r>
  <r>
    <x v="389"/>
    <n v="544292"/>
    <x v="7"/>
    <x v="9"/>
    <n v="1402.45"/>
    <n v="16045.8220678"/>
    <n v="3.9827180797411438E-4"/>
    <n v="993"/>
    <n v="1018"/>
    <n v="-78"/>
    <n v="-116"/>
    <n v="290"/>
    <n v="392"/>
    <n v="-88"/>
    <n v="-68"/>
    <n v="-7.8549848942598186E-2"/>
    <n v="-0.11394891944990176"/>
    <n v="3.5399070507303579E-2"/>
    <n v="-0.30344827586206896"/>
    <n v="-0.17346938775510204"/>
    <n v="-0.12997888810696692"/>
    <n v="-2.4557956777996104E-2"/>
    <n v="-0.32758620689655171"/>
    <n v="-0.26020408163265307"/>
    <n v="0.29411764705882359"/>
  </r>
  <r>
    <x v="390"/>
    <n v="532784"/>
    <x v="6"/>
    <x v="35"/>
    <n v="1203.0999999999999"/>
    <n v="12811.446127200001"/>
    <n v="3.1799167348877945E-4"/>
    <n v="3202"/>
    <n v="2798"/>
    <n v="101"/>
    <n v="53"/>
    <n v="943"/>
    <n v="1224"/>
    <n v="15"/>
    <n v="21"/>
    <n v="3.1542785758900689E-2"/>
    <n v="1.8942101501072194E-2"/>
    <n v="1.2600684257828496E-2"/>
    <n v="1.5906680805938492E-2"/>
    <n v="1.7156862745098041E-2"/>
    <n v="-1.2501819391595483E-3"/>
    <n v="0.14438884917798434"/>
    <n v="0.90566037735849059"/>
    <n v="-0.22957516339869277"/>
    <n v="-0.2857142857142857"/>
  </r>
  <r>
    <x v="391"/>
    <n v="524200"/>
    <x v="8"/>
    <x v="34"/>
    <n v="1312.95"/>
    <n v="13617.5129629"/>
    <n v="3.3799898097640563E-4"/>
    <n v="1623"/>
    <n v="1600"/>
    <n v="320"/>
    <n v="282"/>
    <n v="531"/>
    <n v="550"/>
    <n v="101"/>
    <n v="115"/>
    <n v="0.19716574245224891"/>
    <n v="0.17624999999999999"/>
    <n v="2.091574245224892E-2"/>
    <n v="0.19020715630885121"/>
    <n v="0.20909090909090908"/>
    <n v="-1.8883752782057867E-2"/>
    <n v="1.4375000000000027E-2"/>
    <n v="0.13475177304964547"/>
    <n v="-3.4545454545454546E-2"/>
    <n v="-0.12173913043478257"/>
  </r>
  <r>
    <x v="392"/>
    <n v="532809"/>
    <x v="10"/>
    <x v="115"/>
    <n v="222.7"/>
    <n v="15417.4193894"/>
    <n v="3.8267428546609754E-4"/>
    <n v="7003"/>
    <n v="5804"/>
    <n v="469"/>
    <n v="433"/>
    <n v="2467"/>
    <n v="2087"/>
    <n v="120"/>
    <n v="160"/>
    <n v="6.6971298015136377E-2"/>
    <n v="7.460372157133012E-2"/>
    <n v="-7.6324235561937431E-3"/>
    <n v="4.8642075395216859E-2"/>
    <n v="7.6665069477719214E-2"/>
    <n v="-2.8022994082502355E-2"/>
    <n v="0.20658166781529985"/>
    <n v="8.3140877598152363E-2"/>
    <n v="0.18207954000958315"/>
    <n v="-0.25"/>
  </r>
  <r>
    <x v="393"/>
    <n v="500144"/>
    <x v="4"/>
    <x v="39"/>
    <n v="803.7"/>
    <n v="12291.1209156"/>
    <n v="3.0507673140087567E-4"/>
    <n v="4370"/>
    <n v="3724"/>
    <n v="489"/>
    <n v="509"/>
    <n v="1598"/>
    <n v="1182"/>
    <n v="164"/>
    <n v="147"/>
    <n v="0.11189931350114417"/>
    <n v="0.13668098818474758"/>
    <n v="-2.4781674683603414E-2"/>
    <n v="0.10262828535669587"/>
    <n v="0.12436548223350254"/>
    <n v="-2.1737196876806669E-2"/>
    <n v="0.17346938775510212"/>
    <n v="-3.9292730844793677E-2"/>
    <n v="0.35194585448392557"/>
    <n v="0.11564625850340127"/>
  </r>
  <r>
    <x v="394"/>
    <n v="544311"/>
    <x v="10"/>
    <x v="116"/>
    <n v="321.5"/>
    <n v="13902.581293499999"/>
    <n v="3.4507463462284989E-4"/>
    <n v="1229"/>
    <n v="1053"/>
    <n v="531"/>
    <n v="427"/>
    <n v="319"/>
    <n v="265"/>
    <n v="134"/>
    <n v="113"/>
    <n v="0.43205858421480881"/>
    <n v="0.40550807217473883"/>
    <n v="2.6550512040069973E-2"/>
    <n v="0.42006269592476492"/>
    <n v="0.42641509433962266"/>
    <n v="-6.3523984148577406E-3"/>
    <n v="0.16714150047483378"/>
    <n v="0.24355971896955508"/>
    <n v="0.20377358490566033"/>
    <n v="0.18584070796460184"/>
  </r>
  <r>
    <x v="395"/>
    <n v="544350"/>
    <x v="7"/>
    <x v="47"/>
    <n v="427"/>
    <n v="13527.67598"/>
    <n v="3.3576914585475593E-4"/>
    <n v="1516"/>
    <n v="1251"/>
    <n v="118"/>
    <n v="80"/>
    <n v="530"/>
    <n v="431"/>
    <n v="44"/>
    <n v="28"/>
    <n v="7.7836411609498682E-2"/>
    <n v="6.3948840927258194E-2"/>
    <n v="1.3887570682240488E-2"/>
    <n v="8.3018867924528297E-2"/>
    <n v="6.4965197215777259E-2"/>
    <n v="1.8053670708751038E-2"/>
    <n v="0.21183053557154286"/>
    <n v="0.47500000000000009"/>
    <n v="0.22969837587006969"/>
    <n v="0.5714285714285714"/>
  </r>
  <r>
    <x v="396"/>
    <n v="532482"/>
    <x v="7"/>
    <x v="9"/>
    <n v="633.5"/>
    <n v="15714.041018399999"/>
    <n v="3.9003670242216776E-4"/>
    <n v="3895"/>
    <n v="3284"/>
    <n v="393"/>
    <n v="349"/>
    <n v="1387"/>
    <n v="1137"/>
    <n v="150"/>
    <n v="117"/>
    <n v="0.10089858793324775"/>
    <n v="0.10627283800243606"/>
    <n v="-5.3742500691883049E-3"/>
    <n v="0.10814708002883922"/>
    <n v="0.10290237467018469"/>
    <n v="5.244705358654525E-3"/>
    <n v="0.1860535931790499"/>
    <n v="0.12607449856733521"/>
    <n v="0.2198768689533861"/>
    <n v="0.28205128205128216"/>
  </r>
  <r>
    <x v="397"/>
    <n v="533553"/>
    <x v="4"/>
    <x v="40"/>
    <n v="878.25"/>
    <n v="13684.887146700001"/>
    <n v="3.3967126911966345E-4"/>
    <n v="1267"/>
    <n v="930"/>
    <n v="166"/>
    <n v="121"/>
    <n v="442"/>
    <n v="350"/>
    <n v="56"/>
    <n v="44"/>
    <n v="0.13101815311760062"/>
    <n v="0.13010752688172042"/>
    <n v="9.1062623588020197E-4"/>
    <n v="0.12669683257918551"/>
    <n v="0.12571428571428572"/>
    <n v="9.8254686489979148E-4"/>
    <n v="0.36236559139784941"/>
    <n v="0.37190082644628109"/>
    <n v="0.2628571428571429"/>
    <n v="0.27272727272727271"/>
  </r>
  <r>
    <x v="398"/>
    <n v="544283"/>
    <x v="9"/>
    <x v="12"/>
    <n v="280.5"/>
    <n v="16990.6847218"/>
    <n v="4.2172415313323E-4"/>
    <n v="1475"/>
    <n v="918"/>
    <n v="359"/>
    <n v="128"/>
    <n v="496"/>
    <n v="349"/>
    <n v="113"/>
    <n v="112"/>
    <n v="0.24338983050847457"/>
    <n v="0.13943355119825709"/>
    <n v="0.10395627931021748"/>
    <n v="0.22782258064516128"/>
    <n v="0.3209169054441261"/>
    <n v="-9.3094324798964817E-2"/>
    <n v="0.60675381263616557"/>
    <n v="1.8046875"/>
    <n v="0.42120343839541552"/>
    <n v="8.9285714285713969E-3"/>
  </r>
  <r>
    <x v="399"/>
    <n v="500110"/>
    <x v="0"/>
    <x v="0"/>
    <n v="990.35"/>
    <n v="14748.9297947"/>
    <n v="3.6608176945986988E-4"/>
    <n v="58200"/>
    <n v="50482"/>
    <n v="1680"/>
    <n v="-255"/>
    <n v="19467"/>
    <n v="15687"/>
    <n v="1001"/>
    <n v="20"/>
    <n v="2.88659793814433E-2"/>
    <n v="-5.0513054157917672E-3"/>
    <n v="3.3917284797235069E-2"/>
    <n v="5.1420352391226179E-2"/>
    <n v="1.2749410339771786E-3"/>
    <n v="5.0145411357249002E-2"/>
    <n v="0.15288617725129749"/>
    <n v="-7.5882352941176467"/>
    <n v="0.24096385542168686"/>
    <n v="49.05"/>
  </r>
  <r>
    <x v="400"/>
    <n v="532783"/>
    <x v="5"/>
    <x v="117"/>
    <n v="382.85"/>
    <n v="13405.7"/>
    <n v="3.3274159177377793E-4"/>
    <n v="8038"/>
    <n v="6453"/>
    <n v="489"/>
    <n v="451"/>
    <n v="2809"/>
    <n v="2274"/>
    <n v="157"/>
    <n v="145"/>
    <n v="6.0836028862901216E-2"/>
    <n v="6.9889973655664031E-2"/>
    <n v="-9.053944792762815E-3"/>
    <n v="5.5891776432894266E-2"/>
    <n v="6.3764291996481967E-2"/>
    <n v="-7.8725155635877009E-3"/>
    <n v="0.24562219122888584"/>
    <n v="8.4257206208425695E-2"/>
    <n v="0.23526824978012306"/>
    <n v="8.2758620689655116E-2"/>
  </r>
  <r>
    <x v="401"/>
    <n v="500878"/>
    <x v="6"/>
    <x v="70"/>
    <n v="3332.4"/>
    <n v="13437.349840999999"/>
    <n v="3.3352716943654278E-4"/>
    <n v="11459"/>
    <n v="9797"/>
    <n v="453"/>
    <n v="372"/>
    <n v="4157"/>
    <n v="3299"/>
    <n v="155"/>
    <n v="97"/>
    <n v="3.9532245396631471E-2"/>
    <n v="3.7970807390017354E-2"/>
    <n v="1.5614380066141173E-3"/>
    <n v="3.7286504690882849E-2"/>
    <n v="2.9402849348287359E-2"/>
    <n v="7.88365534259549E-3"/>
    <n v="0.1696437685005614"/>
    <n v="0.217741935483871"/>
    <n v="0.26007881176113967"/>
    <n v="0.597938144329897"/>
  </r>
  <r>
    <x v="402"/>
    <n v="543358"/>
    <x v="6"/>
    <x v="52"/>
    <n v="2134.75"/>
    <n v="13319.737292600001"/>
    <n v="3.3060791967210037E-4"/>
    <n v="2499"/>
    <n v="2235"/>
    <n v="203"/>
    <n v="157"/>
    <n v="907"/>
    <n v="727"/>
    <n v="69"/>
    <n v="55"/>
    <n v="8.1232492997198882E-2"/>
    <n v="7.0246085011185677E-2"/>
    <n v="1.0986407986013205E-2"/>
    <n v="7.6074972436604188E-2"/>
    <n v="7.5653370013755161E-2"/>
    <n v="4.2160242284902671E-4"/>
    <n v="0.11812080536912761"/>
    <n v="0.29299363057324834"/>
    <n v="0.24759284731774422"/>
    <n v="0.25454545454545463"/>
  </r>
  <r>
    <x v="403"/>
    <n v="505714"/>
    <x v="6"/>
    <x v="52"/>
    <n v="885.7"/>
    <n v="12741.20506"/>
    <n v="3.1624822670808041E-4"/>
    <n v="3457"/>
    <n v="2990"/>
    <n v="185"/>
    <n v="180"/>
    <n v="1178"/>
    <n v="1016"/>
    <n v="54"/>
    <n v="60"/>
    <n v="5.3514608041654615E-2"/>
    <n v="6.0200668896321072E-2"/>
    <n v="-6.6860608546664563E-3"/>
    <n v="4.5840407470288627E-2"/>
    <n v="5.905511811023622E-2"/>
    <n v="-1.3214710639947592E-2"/>
    <n v="0.15618729096989958"/>
    <n v="2.7777777777777679E-2"/>
    <n v="0.15944881889763773"/>
    <n v="-9.9999999999999978E-2"/>
  </r>
  <r>
    <x v="404"/>
    <n v="509488"/>
    <x v="4"/>
    <x v="118"/>
    <n v="630.85"/>
    <n v="12338.9457795"/>
    <n v="3.0626378775305797E-4"/>
    <n v="2036"/>
    <n v="1894"/>
    <n v="2766"/>
    <n v="409"/>
    <n v="642"/>
    <n v="523"/>
    <n v="67"/>
    <n v="-21"/>
    <n v="1.3585461689587426"/>
    <n v="0.21594508975712778"/>
    <n v="1.1426010792016148"/>
    <n v="0.1043613707165109"/>
    <n v="-4.0152963671128104E-2"/>
    <n v="0.144514334387639"/>
    <n v="7.4973600844773003E-2"/>
    <n v="5.7628361858190713"/>
    <n v="0.22753346080305925"/>
    <n v="-4.1904761904761907"/>
  </r>
  <r>
    <x v="405"/>
    <n v="532726"/>
    <x v="4"/>
    <x v="68"/>
    <n v="566.95000000000005"/>
    <n v="13656.085257500001"/>
    <n v="3.38956380194915E-4"/>
    <n v="3214"/>
    <n v="3220"/>
    <n v="361"/>
    <n v="284"/>
    <n v="1073"/>
    <n v="1118"/>
    <n v="100"/>
    <n v="113"/>
    <n v="0.11232109520846298"/>
    <n v="8.819875776397515E-2"/>
    <n v="2.4122337444487829E-2"/>
    <n v="9.3196644920782848E-2"/>
    <n v="0.10107334525939177"/>
    <n v="-7.876700338608919E-3"/>
    <n v="-1.8633540372671176E-3"/>
    <n v="0.27112676056338025"/>
    <n v="-4.0250447227191399E-2"/>
    <n v="-0.11504424778761058"/>
  </r>
  <r>
    <x v="406"/>
    <n v="500040"/>
    <x v="8"/>
    <x v="119"/>
    <n v="1172.0999999999999"/>
    <n v="12950.288175"/>
    <n v="3.2143785861824697E-4"/>
    <n v="360"/>
    <n v="849"/>
    <n v="-227"/>
    <n v="-21"/>
    <n v="90"/>
    <n v="208"/>
    <n v="-107"/>
    <n v="-30"/>
    <n v="-0.63055555555555554"/>
    <n v="-2.4734982332155476E-2"/>
    <n v="-0.60582057322340011"/>
    <n v="-1.1888888888888889"/>
    <n v="-0.14423076923076922"/>
    <n v="-1.0446581196581197"/>
    <n v="-0.57597173144876324"/>
    <n v="9.8095238095238102"/>
    <n v="-0.56730769230769229"/>
    <n v="2.5666666666666669"/>
  </r>
  <r>
    <x v="407"/>
    <n v="544045"/>
    <x v="5"/>
    <x v="120"/>
    <n v="2318"/>
    <n v="14062.0935369"/>
    <n v="3.490338726914567E-4"/>
    <n v="1722"/>
    <n v="1403"/>
    <n v="181"/>
    <n v="162"/>
    <n v="592"/>
    <n v="501"/>
    <n v="61"/>
    <n v="54"/>
    <n v="0.10511033681765389"/>
    <n v="0.11546685673556664"/>
    <n v="-1.0356519917912754E-2"/>
    <n v="0.10304054054054054"/>
    <n v="0.10778443113772455"/>
    <n v="-4.7438905971840112E-3"/>
    <n v="0.22736992159657876"/>
    <n v="0.11728395061728403"/>
    <n v="0.1816367265469061"/>
    <n v="0.12962962962962954"/>
  </r>
  <r>
    <x v="408"/>
    <n v="533573"/>
    <x v="7"/>
    <x v="9"/>
    <n v="651.29999999999995"/>
    <n v="12797.233875"/>
    <n v="3.176389125423374E-4"/>
    <n v="5497"/>
    <n v="4902"/>
    <n v="469"/>
    <n v="425"/>
    <n v="1876"/>
    <n v="1693"/>
    <n v="132"/>
    <n v="138"/>
    <n v="8.5319265053665633E-2"/>
    <n v="8.6699306405548751E-2"/>
    <n v="-1.3800413518831184E-3"/>
    <n v="7.0362473347547971E-2"/>
    <n v="8.1512108682811571E-2"/>
    <n v="-1.11496353352636E-2"/>
    <n v="0.12137902896776831"/>
    <n v="0.10352941176470587"/>
    <n v="0.10809214412285884"/>
    <n v="-4.3478260869565188E-2"/>
  </r>
  <r>
    <x v="409"/>
    <n v="541557"/>
    <x v="8"/>
    <x v="34"/>
    <n v="4310"/>
    <n v="13185.324398999999"/>
    <n v="3.2727167015350871E-4"/>
    <n v="1740"/>
    <n v="1662"/>
    <n v="299"/>
    <n v="313"/>
    <n v="554"/>
    <n v="516"/>
    <n v="73"/>
    <n v="82"/>
    <n v="0.17183908045977012"/>
    <n v="0.18832731648616124"/>
    <n v="-1.6488236026391129E-2"/>
    <n v="0.13176895306859207"/>
    <n v="0.15891472868217055"/>
    <n v="-2.7145775613578477E-2"/>
    <n v="4.6931407942238268E-2"/>
    <n v="-4.4728434504792358E-2"/>
    <n v="7.3643410852713087E-2"/>
    <n v="-0.1097560975609756"/>
  </r>
  <r>
    <x v="410"/>
    <n v="500048"/>
    <x v="4"/>
    <x v="121"/>
    <n v="1506.1"/>
    <n v="12542.4861956"/>
    <n v="3.1131584486633151E-4"/>
    <n v="2556"/>
    <n v="2369"/>
    <n v="-38"/>
    <n v="4"/>
    <n v="1083"/>
    <n v="875"/>
    <n v="-22"/>
    <n v="24"/>
    <n v="-1.486697965571205E-2"/>
    <n v="1.6884761502743773E-3"/>
    <n v="-1.6555455805986427E-2"/>
    <n v="-2.0313942751615882E-2"/>
    <n v="2.7428571428571427E-2"/>
    <n v="-4.7742514180187309E-2"/>
    <n v="7.8936260025327165E-2"/>
    <n v="-10.5"/>
    <n v="0.23771428571428577"/>
    <n v="-1.9166666666666665"/>
  </r>
  <r>
    <x v="411"/>
    <n v="544286"/>
    <x v="2"/>
    <x v="56"/>
    <n v="73.41"/>
    <n v="13430.778607"/>
    <n v="3.3336406546874718E-4"/>
    <n v="4396"/>
    <n v="3759"/>
    <n v="-214"/>
    <n v="7"/>
    <n v="1549"/>
    <n v="1240"/>
    <n v="-87"/>
    <n v="13"/>
    <n v="-4.8680618744313009E-2"/>
    <n v="1.8621973929236499E-3"/>
    <n v="-5.0542816137236657E-2"/>
    <n v="-5.6165267914783733E-2"/>
    <n v="1.0483870967741936E-2"/>
    <n v="-6.6649138882525674E-2"/>
    <n v="0.16945996275605224"/>
    <n v="-31.571428571428573"/>
    <n v="0.24919354838709684"/>
    <n v="-7.6923076923076925"/>
  </r>
  <r>
    <x v="412"/>
    <n v="544344"/>
    <x v="6"/>
    <x v="52"/>
    <n v="2964.15"/>
    <n v="13060.3307016"/>
    <n v="3.2416921359886659E-4"/>
    <n v="3002"/>
    <n v="2561"/>
    <n v="402"/>
    <n v="364"/>
    <n v="1023"/>
    <n v="847"/>
    <n v="125"/>
    <n v="120"/>
    <n v="0.13391072618254496"/>
    <n v="0.14213197969543148"/>
    <n v="-8.2212535128865227E-3"/>
    <n v="0.12218963831867058"/>
    <n v="0.14167650531286896"/>
    <n v="-1.9486866994198382E-2"/>
    <n v="0.17219836001561895"/>
    <n v="0.10439560439560447"/>
    <n v="0.20779220779220786"/>
    <n v="4.1666666666666741E-2"/>
  </r>
  <r>
    <x v="413"/>
    <n v="543990"/>
    <x v="6"/>
    <x v="35"/>
    <n v="764.1"/>
    <n v="10727.991945"/>
    <n v="2.6627845739614998E-4"/>
    <n v="1488"/>
    <n v="1977"/>
    <n v="-57"/>
    <n v="40"/>
    <n v="284"/>
    <n v="827"/>
    <n v="-45"/>
    <n v="29"/>
    <n v="-3.8306451612903226E-2"/>
    <n v="2.0232675771370764E-2"/>
    <n v="-5.8539127384273991E-2"/>
    <n v="-0.15845070422535212"/>
    <n v="3.5066505441354291E-2"/>
    <n v="-0.19351720966670641"/>
    <n v="-0.24734446130500753"/>
    <n v="-2.4249999999999998"/>
    <n v="-0.65659008464328905"/>
    <n v="-2.5517241379310347"/>
  </r>
  <r>
    <x v="414"/>
    <n v="532953"/>
    <x v="6"/>
    <x v="51"/>
    <n v="323.5"/>
    <n v="14126.8248356"/>
    <n v="3.5064056203755738E-4"/>
    <n v="4211"/>
    <n v="4040"/>
    <n v="196"/>
    <n v="223"/>
    <n v="1404"/>
    <n v="1269"/>
    <n v="57"/>
    <n v="60"/>
    <n v="4.6544763714082164E-2"/>
    <n v="5.5198019801980198E-2"/>
    <n v="-8.6532560878980341E-3"/>
    <n v="4.05982905982906E-2"/>
    <n v="4.7281323877068557E-2"/>
    <n v="-6.683033278777957E-3"/>
    <n v="4.2326732673267253E-2"/>
    <n v="-0.12107623318385652"/>
    <n v="0.1063829787234043"/>
    <n v="-5.0000000000000044E-2"/>
  </r>
  <r>
    <x v="415"/>
    <n v="519600"/>
    <x v="5"/>
    <x v="48"/>
    <n v="1107"/>
    <n v="14754.3418096"/>
    <n v="3.6621610056175412E-4"/>
    <n v="3232"/>
    <n v="2274"/>
    <n v="273"/>
    <n v="208"/>
    <n v="1050"/>
    <n v="758"/>
    <n v="100"/>
    <n v="63"/>
    <n v="8.4467821782178223E-2"/>
    <n v="9.1468777484608618E-2"/>
    <n v="-7.0009557024303948E-3"/>
    <n v="9.5238095238095233E-2"/>
    <n v="8.3113456464379953E-2"/>
    <n v="1.2124638773715279E-2"/>
    <n v="0.42128408091468783"/>
    <n v="0.3125"/>
    <n v="0.38522427440633256"/>
    <n v="0.58730158730158721"/>
  </r>
  <r>
    <x v="416"/>
    <n v="530019"/>
    <x v="7"/>
    <x v="9"/>
    <n v="850"/>
    <n v="13474.885537800001"/>
    <n v="3.3445883936064749E-4"/>
    <n v="5989"/>
    <n v="5305"/>
    <n v="278"/>
    <n v="985"/>
    <n v="2116"/>
    <n v="1813"/>
    <n v="55"/>
    <n v="110"/>
    <n v="4.6418433795291369E-2"/>
    <n v="0.18567389255419417"/>
    <n v="-0.1392554587589028"/>
    <n v="2.5992438563327031E-2"/>
    <n v="6.0672917815774961E-2"/>
    <n v="-3.4680479252447931E-2"/>
    <n v="0.1289349670122526"/>
    <n v="-0.71776649746192889"/>
    <n v="0.16712630998345279"/>
    <n v="-0.5"/>
  </r>
  <r>
    <x v="417"/>
    <n v="543413"/>
    <x v="4"/>
    <x v="92"/>
    <n v="1720.95"/>
    <n v="12907.686517300001"/>
    <n v="3.2038044696534564E-4"/>
    <n v="1165"/>
    <n v="1102"/>
    <n v="99"/>
    <n v="98"/>
    <n v="403"/>
    <n v="409"/>
    <n v="19"/>
    <n v="54"/>
    <n v="8.4978540772532182E-2"/>
    <n v="8.8929219600725959E-2"/>
    <n v="-3.9506788281937766E-3"/>
    <n v="4.7146401985111663E-2"/>
    <n v="0.13202933985330073"/>
    <n v="-8.4882937868189068E-2"/>
    <n v="5.7168784029038022E-2"/>
    <n v="1.0204081632652962E-2"/>
    <n v="-1.4669926650366705E-2"/>
    <n v="-0.64814814814814814"/>
  </r>
  <r>
    <x v="418"/>
    <n v="500710"/>
    <x v="6"/>
    <x v="27"/>
    <n v="2958.45"/>
    <n v="13518.1851756"/>
    <n v="3.3553357551055382E-4"/>
    <n v="2737"/>
    <n v="3069"/>
    <n v="1848"/>
    <n v="321"/>
    <n v="907"/>
    <n v="1050"/>
    <n v="74"/>
    <n v="108"/>
    <n v="0.67519181585677746"/>
    <n v="0.10459433040078202"/>
    <n v="0.57059748545599542"/>
    <n v="8.1587651598676952E-2"/>
    <n v="0.10285714285714286"/>
    <n v="-2.1269491258465903E-2"/>
    <n v="-0.10817855979146307"/>
    <n v="4.7570093457943923"/>
    <n v="-0.1361904761904762"/>
    <n v="-0.31481481481481477"/>
  </r>
  <r>
    <x v="419"/>
    <n v="531768"/>
    <x v="7"/>
    <x v="122"/>
    <n v="1356.8"/>
    <n v="13767.647796900001"/>
    <n v="3.4172546326721119E-4"/>
    <n v="1340"/>
    <n v="1229"/>
    <n v="255"/>
    <n v="246"/>
    <n v="493"/>
    <n v="424"/>
    <n v="70"/>
    <n v="85"/>
    <n v="0.19029850746268656"/>
    <n v="0.2001627339300244"/>
    <n v="-9.8642264673378388E-3"/>
    <n v="0.14198782961460446"/>
    <n v="0.20047169811320756"/>
    <n v="-5.8483868498603098E-2"/>
    <n v="9.0317331163547676E-2"/>
    <n v="3.6585365853658569E-2"/>
    <n v="0.16273584905660377"/>
    <n v="-0.17647058823529416"/>
  </r>
  <r>
    <x v="420"/>
    <n v="542141"/>
    <x v="4"/>
    <x v="5"/>
    <n v="1055.45"/>
    <n v="12279.8883117"/>
    <n v="3.0479792801862407E-4"/>
    <n v="2241"/>
    <n v="1452"/>
    <n v="359"/>
    <n v="288"/>
    <n v="872"/>
    <n v="636"/>
    <n v="119"/>
    <n v="95"/>
    <n v="0.16019634091923249"/>
    <n v="0.19834710743801653"/>
    <n v="-3.8150766518784046E-2"/>
    <n v="0.13646788990825687"/>
    <n v="0.14937106918238993"/>
    <n v="-1.2903179274133064E-2"/>
    <n v="0.54338842975206614"/>
    <n v="0.24652777777777768"/>
    <n v="0.37106918238993702"/>
    <n v="0.25263157894736832"/>
  </r>
  <r>
    <x v="421"/>
    <n v="532209"/>
    <x v="2"/>
    <x v="2"/>
    <n v="115.15"/>
    <n v="12690.0211327"/>
    <n v="3.1497779536596214E-4"/>
    <n v="11526"/>
    <n v="11096"/>
    <n v="1561"/>
    <n v="1500"/>
    <n v="3858"/>
    <n v="3831"/>
    <n v="581"/>
    <n v="529"/>
    <n v="0.13543293423564115"/>
    <n v="0.13518385003604902"/>
    <n v="2.4908419959213113E-4"/>
    <n v="0.15059616381544841"/>
    <n v="0.1380840511615766"/>
    <n v="1.251211265387181E-2"/>
    <n v="3.8752703677000788E-2"/>
    <n v="4.0666666666666629E-2"/>
    <n v="7.0477682067344727E-3"/>
    <n v="9.8298676748582281E-2"/>
  </r>
  <r>
    <x v="422"/>
    <n v="526612"/>
    <x v="10"/>
    <x v="86"/>
    <n v="4799"/>
    <n v="11368.288774000001"/>
    <n v="2.8217120347350238E-4"/>
    <n v="4607"/>
    <n v="4302"/>
    <n v="198"/>
    <n v="197"/>
    <n v="1616"/>
    <n v="1511"/>
    <n v="68"/>
    <n v="81"/>
    <n v="4.2978076839591928E-2"/>
    <n v="4.5792654579265457E-2"/>
    <n v="-2.8145777396735294E-3"/>
    <n v="4.2079207920792082E-2"/>
    <n v="5.3606882859033755E-2"/>
    <n v="-1.1527674938241673E-2"/>
    <n v="7.0897257089725718E-2"/>
    <n v="5.0761421319795996E-3"/>
    <n v="6.949040370615478E-2"/>
    <n v="-0.16049382716049387"/>
  </r>
  <r>
    <x v="423"/>
    <n v="544203"/>
    <x v="5"/>
    <x v="55"/>
    <n v="422.4"/>
    <n v="11826.1384585"/>
    <n v="2.9353544650547023E-4"/>
    <n v="5662"/>
    <n v="6138"/>
    <n v="182"/>
    <n v="116"/>
    <n v="1933"/>
    <n v="2342"/>
    <n v="63"/>
    <n v="57"/>
    <n v="3.2144118685976684E-2"/>
    <n v="1.8898664059954384E-2"/>
    <n v="1.32454546260223E-2"/>
    <n v="3.2591826176927054E-2"/>
    <n v="2.4338172502134929E-2"/>
    <n v="8.2536536747921246E-3"/>
    <n v="-7.7549690452916265E-2"/>
    <n v="0.56896551724137923"/>
    <n v="-0.17463706233988041"/>
    <n v="0.10526315789473695"/>
  </r>
  <r>
    <x v="424"/>
    <n v="530007"/>
    <x v="6"/>
    <x v="70"/>
    <n v="392.85"/>
    <n v="11329.77342"/>
    <n v="2.8121521757215509E-4"/>
    <n v="12103"/>
    <n v="12934"/>
    <n v="598"/>
    <n v="411"/>
    <n v="4223"/>
    <n v="3674"/>
    <n v="208"/>
    <n v="53"/>
    <n v="4.9409237379162189E-2"/>
    <n v="3.1776712540590689E-2"/>
    <n v="1.7632524838571501E-2"/>
    <n v="4.9254084773857447E-2"/>
    <n v="1.442569406641263E-2"/>
    <n v="3.4828390707444819E-2"/>
    <n v="-6.424926550177823E-2"/>
    <n v="0.45498783454987834"/>
    <n v="0.14942841589548173"/>
    <n v="2.9245283018867925"/>
  </r>
  <r>
    <x v="425"/>
    <n v="500405"/>
    <x v="8"/>
    <x v="123"/>
    <n v="758.65"/>
    <n v="14276.095725499999"/>
    <n v="3.5434560045485852E-4"/>
    <n v="3800"/>
    <n v="4484"/>
    <n v="161"/>
    <n v="283"/>
    <n v="1280"/>
    <n v="1405"/>
    <n v="30"/>
    <n v="71"/>
    <n v="4.2368421052631576E-2"/>
    <n v="6.3113291703835867E-2"/>
    <n v="-2.074487065120429E-2"/>
    <n v="2.34375E-2"/>
    <n v="5.0533807829181494E-2"/>
    <n v="-2.7096307829181494E-2"/>
    <n v="-0.15254237288135597"/>
    <n v="-0.43109540636042398"/>
    <n v="-8.8967971530249157E-2"/>
    <n v="-0.57746478873239437"/>
  </r>
  <r>
    <x v="426"/>
    <n v="500249"/>
    <x v="4"/>
    <x v="37"/>
    <n v="831.75"/>
    <n v="14447.864612900001"/>
    <n v="3.5860905950665646E-4"/>
    <n v="2696"/>
    <n v="2533"/>
    <n v="270"/>
    <n v="247"/>
    <n v="784"/>
    <n v="726"/>
    <n v="81"/>
    <n v="73"/>
    <n v="0.10014836795252226"/>
    <n v="9.7512830635609948E-2"/>
    <n v="2.6355373169123092E-3"/>
    <n v="0.10331632653061225"/>
    <n v="0.10055096418732783"/>
    <n v="2.7653623432844221E-3"/>
    <n v="6.4350572443742537E-2"/>
    <n v="9.3117408906882693E-2"/>
    <n v="7.9889807162534465E-2"/>
    <n v="0.1095890410958904"/>
  </r>
  <r>
    <x v="427"/>
    <n v="504067"/>
    <x v="3"/>
    <x v="3"/>
    <n v="551.29999999999995"/>
    <n v="12497.56515"/>
    <n v="3.1020086390919489E-4"/>
    <n v="4237"/>
    <n v="3921"/>
    <n v="564"/>
    <n v="473"/>
    <n v="1430"/>
    <n v="1325"/>
    <n v="199"/>
    <n v="159"/>
    <n v="0.13311305168751475"/>
    <n v="0.12063249171129814"/>
    <n v="1.248055997621661E-2"/>
    <n v="0.13916083916083916"/>
    <n v="0.12"/>
    <n v="1.916083916083916E-2"/>
    <n v="8.0591685794440204E-2"/>
    <n v="0.19238900634249467"/>
    <n v="7.9245283018867907E-2"/>
    <n v="0.2515723270440251"/>
  </r>
  <r>
    <x v="428"/>
    <n v="517146"/>
    <x v="4"/>
    <x v="68"/>
    <n v="407.55"/>
    <n v="12422.580509699999"/>
    <n v="3.0833967735631018E-4"/>
    <n v="2711"/>
    <n v="2578"/>
    <n v="318"/>
    <n v="305"/>
    <n v="917"/>
    <n v="860"/>
    <n v="107"/>
    <n v="92"/>
    <n v="0.11729988933972704"/>
    <n v="0.1183087664856478"/>
    <n v="-1.0088771459207529E-3"/>
    <n v="0.11668484187568157"/>
    <n v="0.10697674418604651"/>
    <n v="9.7080976896350563E-3"/>
    <n v="5.1590380139643122E-2"/>
    <n v="4.2622950819672045E-2"/>
    <n v="6.6279069767441801E-2"/>
    <n v="0.16304347826086962"/>
  </r>
  <r>
    <x v="429"/>
    <n v="541956"/>
    <x v="4"/>
    <x v="5"/>
    <n v="125.45"/>
    <n v="11804.590049300001"/>
    <n v="2.9300059551093805E-4"/>
    <n v="5882"/>
    <n v="7347"/>
    <n v="400"/>
    <n v="516"/>
    <n v="2119"/>
    <n v="2613"/>
    <n v="100"/>
    <n v="86"/>
    <n v="6.8004080244814691E-2"/>
    <n v="7.0232748060432823E-2"/>
    <n v="-2.2286678156181322E-3"/>
    <n v="4.7192071731949031E-2"/>
    <n v="3.2912361270570227E-2"/>
    <n v="1.4279710461378804E-2"/>
    <n v="-0.19940111610181022"/>
    <n v="-0.22480620155038755"/>
    <n v="-0.18905472636815923"/>
    <n v="0.16279069767441867"/>
  </r>
  <r>
    <x v="430"/>
    <n v="524742"/>
    <x v="7"/>
    <x v="9"/>
    <n v="1562.1"/>
    <n v="11880.625583999999"/>
    <n v="2.9488786621276246E-4"/>
    <n v="1587"/>
    <n v="1435"/>
    <n v="477"/>
    <n v="396"/>
    <n v="543"/>
    <n v="493"/>
    <n v="166"/>
    <n v="140"/>
    <n v="0.30056710775047257"/>
    <n v="0.27595818815331008"/>
    <n v="2.4608919597162493E-2"/>
    <n v="0.30570902394106814"/>
    <n v="0.28397565922920892"/>
    <n v="2.1733364711859215E-2"/>
    <n v="0.10592334494773525"/>
    <n v="0.20454545454545459"/>
    <n v="0.10141987829614596"/>
    <n v="0.18571428571428572"/>
  </r>
  <r>
    <x v="431"/>
    <n v="538962"/>
    <x v="6"/>
    <x v="52"/>
    <n v="506.35"/>
    <n v="11913.9690453"/>
    <n v="2.9571548106228245E-4"/>
    <n v="4481"/>
    <n v="3734"/>
    <n v="234"/>
    <n v="203"/>
    <n v="1560"/>
    <n v="1252"/>
    <n v="84"/>
    <n v="64"/>
    <n v="5.2220486498549434E-2"/>
    <n v="5.4365291912158546E-2"/>
    <n v="-2.1448054136091119E-3"/>
    <n v="5.3846153846153849E-2"/>
    <n v="5.1118210862619806E-2"/>
    <n v="2.727942983534043E-3"/>
    <n v="0.20005356186395296"/>
    <n v="0.15270935960591125"/>
    <n v="0.2460063897763578"/>
    <n v="0.3125"/>
  </r>
  <r>
    <x v="432"/>
    <n v="542726"/>
    <x v="6"/>
    <x v="66"/>
    <n v="2060.1"/>
    <n v="12371.58956"/>
    <n v="3.0707403589266157E-4"/>
    <n v="1164"/>
    <n v="1033"/>
    <n v="424"/>
    <n v="370"/>
    <n v="401"/>
    <n v="354"/>
    <n v="188"/>
    <n v="121"/>
    <n v="0.36426116838487971"/>
    <n v="0.35818005808325265"/>
    <n v="6.0811103016270573E-3"/>
    <n v="0.46882793017456359"/>
    <n v="0.34180790960451979"/>
    <n v="0.1270200205700438"/>
    <n v="0.12681510164569221"/>
    <n v="0.14594594594594601"/>
    <n v="0.13276836158192085"/>
    <n v="0.55371900826446274"/>
  </r>
  <r>
    <x v="433"/>
    <n v="543960"/>
    <x v="7"/>
    <x v="9"/>
    <n v="1042.4000000000001"/>
    <n v="10901.008040000001"/>
    <n v="2.7057287326796446E-4"/>
    <n v="728"/>
    <n v="770"/>
    <n v="170"/>
    <n v="231"/>
    <n v="277"/>
    <n v="244"/>
    <n v="63"/>
    <n v="75"/>
    <n v="0.23351648351648352"/>
    <n v="0.3"/>
    <n v="-6.6483516483516469E-2"/>
    <n v="0.22743682310469315"/>
    <n v="0.30737704918032788"/>
    <n v="-7.9940226075634724E-2"/>
    <n v="-5.4545454545454564E-2"/>
    <n v="-0.26406926406926412"/>
    <n v="0.13524590163934436"/>
    <n v="-0.16000000000000003"/>
  </r>
  <r>
    <x v="434"/>
    <n v="543238"/>
    <x v="2"/>
    <x v="32"/>
    <n v="938.95"/>
    <n v="12055.175999999999"/>
    <n v="2.992203653187111E-4"/>
    <n v="1486"/>
    <n v="1494"/>
    <n v="523"/>
    <n v="710"/>
    <n v="517"/>
    <n v="420"/>
    <n v="137"/>
    <n v="173"/>
    <n v="0.35195154777927323"/>
    <n v="0.47523427041499333"/>
    <n v="-0.1232827226357201"/>
    <n v="0.26499032882011603"/>
    <n v="0.41190476190476188"/>
    <n v="-0.14691443308464586"/>
    <n v="-5.3547523427041055E-3"/>
    <n v="-0.26338028169014083"/>
    <n v="0.23095238095238102"/>
    <n v="-0.20809248554913296"/>
  </r>
  <r>
    <x v="435"/>
    <n v="521064"/>
    <x v="6"/>
    <x v="89"/>
    <n v="24.19"/>
    <n v="12330.8224087"/>
    <n v="3.0606215834686802E-4"/>
    <n v="5068"/>
    <n v="5122"/>
    <n v="275"/>
    <n v="237"/>
    <n v="1574"/>
    <n v="1667"/>
    <n v="44"/>
    <n v="80"/>
    <n v="5.4262036306235203E-2"/>
    <n v="4.6270987895353374E-2"/>
    <n v="7.9910484108818292E-3"/>
    <n v="2.795425667090216E-2"/>
    <n v="4.799040191961608E-2"/>
    <n v="-2.0036145248713919E-2"/>
    <n v="-1.0542756735650083E-2"/>
    <n v="0.16033755274261607"/>
    <n v="-5.578884223155367E-2"/>
    <n v="-0.44999999999999996"/>
  </r>
  <r>
    <x v="436"/>
    <n v="532605"/>
    <x v="6"/>
    <x v="52"/>
    <n v="561.15"/>
    <n v="13270.872610300001"/>
    <n v="3.2939505408731016E-4"/>
    <n v="4236"/>
    <n v="3827"/>
    <n v="154"/>
    <n v="143"/>
    <n v="1614"/>
    <n v="1396"/>
    <n v="60"/>
    <n v="56"/>
    <n v="3.6355051935788481E-2"/>
    <n v="3.7366083093807158E-2"/>
    <n v="-1.011031158018677E-3"/>
    <n v="3.717472118959108E-2"/>
    <n v="4.0114613180515762E-2"/>
    <n v="-2.9398919909246826E-3"/>
    <n v="0.10687222367389593"/>
    <n v="7.6923076923076872E-2"/>
    <n v="0.15616045845272208"/>
    <n v="7.1428571428571397E-2"/>
  </r>
  <r>
    <x v="437"/>
    <n v="544174"/>
    <x v="6"/>
    <x v="77"/>
    <n v="1098.9000000000001"/>
    <n v="11719.07"/>
    <n v="2.9087791058343297E-4"/>
    <n v="1863"/>
    <n v="1291"/>
    <n v="184"/>
    <n v="170"/>
    <n v="784"/>
    <n v="422"/>
    <n v="53"/>
    <n v="49"/>
    <n v="9.8765432098765427E-2"/>
    <n v="0.13168086754453912"/>
    <n v="-3.2915435445773689E-2"/>
    <n v="6.7602040816326536E-2"/>
    <n v="0.11611374407582939"/>
    <n v="-4.8511703259502853E-2"/>
    <n v="0.44306738962044934"/>
    <n v="8.2352941176470518E-2"/>
    <n v="0.85781990521327023"/>
    <n v="8.163265306122458E-2"/>
  </r>
  <r>
    <x v="438"/>
    <n v="543534"/>
    <x v="8"/>
    <x v="34"/>
    <n v="1098.5"/>
    <n v="14593.4515259"/>
    <n v="3.6222265828725353E-4"/>
    <n v="853"/>
    <n v="598"/>
    <n v="165"/>
    <n v="108"/>
    <n v="317"/>
    <n v="219"/>
    <n v="64"/>
    <n v="43"/>
    <n v="0.19343493552168817"/>
    <n v="0.1806020066889632"/>
    <n v="1.2832928832724966E-2"/>
    <n v="0.20189274447949526"/>
    <n v="0.19634703196347031"/>
    <n v="5.5457125160249532E-3"/>
    <n v="0.4264214046822743"/>
    <n v="0.52777777777777768"/>
    <n v="0.44748858447488593"/>
    <n v="0.48837209302325579"/>
  </r>
  <r>
    <x v="439"/>
    <n v="500645"/>
    <x v="8"/>
    <x v="61"/>
    <n v="981.4"/>
    <n v="12380.1412"/>
    <n v="3.0728629532751959E-4"/>
    <n v="8494"/>
    <n v="7607"/>
    <n v="599"/>
    <n v="666"/>
    <n v="2830"/>
    <n v="2579"/>
    <n v="141"/>
    <n v="253"/>
    <n v="7.0520367318106902E-2"/>
    <n v="8.7550939923754442E-2"/>
    <n v="-1.703057260564754E-2"/>
    <n v="4.9823321554770317E-2"/>
    <n v="9.8100038774718887E-2"/>
    <n v="-4.827671721994857E-2"/>
    <n v="0.11660312869725242"/>
    <n v="-0.10060060060060061"/>
    <n v="9.7324544397053181E-2"/>
    <n v="-0.44268774703557312"/>
  </r>
  <r>
    <x v="440"/>
    <n v="500210"/>
    <x v="4"/>
    <x v="37"/>
    <n v="3676.2"/>
    <n v="11603.101677000001"/>
    <n v="2.8799947197967821E-4"/>
    <n v="1092"/>
    <n v="1013"/>
    <n v="191"/>
    <n v="199"/>
    <n v="455"/>
    <n v="381"/>
    <n v="71"/>
    <n v="77"/>
    <n v="0.1749084249084249"/>
    <n v="0.19644619940769989"/>
    <n v="-2.1537774499274992E-2"/>
    <n v="0.15604395604395604"/>
    <n v="0.20209973753280841"/>
    <n v="-4.6055781488852365E-2"/>
    <n v="7.7986179664363275E-2"/>
    <n v="-4.020100502512558E-2"/>
    <n v="0.19422572178477693"/>
    <n v="-7.7922077922077948E-2"/>
  </r>
  <r>
    <x v="441"/>
    <n v="530005"/>
    <x v="8"/>
    <x v="11"/>
    <n v="356.05"/>
    <n v="11042.6795908"/>
    <n v="2.7408928921955606E-4"/>
    <n v="3317"/>
    <n v="3117"/>
    <n v="-125"/>
    <n v="-151"/>
    <n v="1137"/>
    <n v="952"/>
    <n v="-2"/>
    <n v="116"/>
    <n v="-3.7684654808561951E-2"/>
    <n v="-4.844401668270773E-2"/>
    <n v="1.0759361874145779E-2"/>
    <n v="-1.7590149516270889E-3"/>
    <n v="0.12184873949579832"/>
    <n v="-0.1236077544474254"/>
    <n v="6.4164260506897719E-2"/>
    <n v="-0.17218543046357615"/>
    <n v="0.19432773109243695"/>
    <n v="-1.0172413793103448"/>
  </r>
  <r>
    <x v="442"/>
    <n v="531335"/>
    <x v="5"/>
    <x v="25"/>
    <n v="502.6"/>
    <n v="16033.708864800001"/>
    <n v="3.9797114732620348E-4"/>
    <n v="2476"/>
    <n v="1795"/>
    <n v="35"/>
    <n v="175"/>
    <n v="964"/>
    <n v="461"/>
    <n v="-39"/>
    <n v="6"/>
    <n v="1.4135702746365105E-2"/>
    <n v="9.7493036211699163E-2"/>
    <n v="-8.3357333465334055E-2"/>
    <n v="-4.0456431535269712E-2"/>
    <n v="1.3015184381778741E-2"/>
    <n v="-5.3471615917048451E-2"/>
    <n v="0.37938718662952642"/>
    <n v="-0.8"/>
    <n v="1.0911062906724514"/>
    <n v="-7.5"/>
  </r>
  <r>
    <x v="443"/>
    <n v="535789"/>
    <x v="2"/>
    <x v="64"/>
    <n v="148.15"/>
    <n v="16793.46"/>
    <n v="4.1682885726140883E-4"/>
    <n v="6828"/>
    <n v="6551"/>
    <n v="957"/>
    <n v="-2131"/>
    <n v="2158"/>
    <n v="2019"/>
    <n v="314"/>
    <n v="302"/>
    <n v="0.14015817223198593"/>
    <n v="-0.32529384826744007"/>
    <n v="0.46545202049942602"/>
    <n v="0.14550509731232622"/>
    <n v="0.1495789995047053"/>
    <n v="-4.0739021923790752E-3"/>
    <n v="4.2283620821248702E-2"/>
    <n v="-1.4490849366494603"/>
    <n v="6.8845963348192152E-2"/>
    <n v="3.9735099337748325E-2"/>
  </r>
  <r>
    <x v="444"/>
    <n v="544057"/>
    <x v="4"/>
    <x v="83"/>
    <n v="1195.2"/>
    <n v="11267.2945588"/>
    <n v="2.7966443576084348E-4"/>
    <n v="1122"/>
    <n v="1056"/>
    <n v="218"/>
    <n v="199"/>
    <n v="391"/>
    <n v="354"/>
    <n v="78"/>
    <n v="65"/>
    <n v="0.19429590017825313"/>
    <n v="0.1884469696969697"/>
    <n v="5.848930481283432E-3"/>
    <n v="0.19948849104859334"/>
    <n v="0.18361581920903955"/>
    <n v="1.5872671839553792E-2"/>
    <n v="6.25E-2"/>
    <n v="9.5477386934673447E-2"/>
    <n v="0.10451977401129953"/>
    <n v="0.19999999999999996"/>
  </r>
  <r>
    <x v="445"/>
    <n v="543524"/>
    <x v="7"/>
    <x v="47"/>
    <n v="1169.2"/>
    <n v="11864.6535912"/>
    <n v="2.9449142691395143E-4"/>
    <n v="1243"/>
    <n v="1145"/>
    <n v="203"/>
    <n v="187"/>
    <n v="445"/>
    <n v="398"/>
    <n v="73"/>
    <n v="68"/>
    <n v="0.16331456154465004"/>
    <n v="0.16331877729257641"/>
    <n v="-4.2157479263615905E-6"/>
    <n v="0.16404494382022472"/>
    <n v="0.17085427135678391"/>
    <n v="-6.8093275365591899E-3"/>
    <n v="8.5589519650655088E-2"/>
    <n v="8.5561497326203106E-2"/>
    <n v="0.11809045226130643"/>
    <n v="7.3529411764705843E-2"/>
  </r>
  <r>
    <x v="446"/>
    <n v="533339"/>
    <x v="4"/>
    <x v="15"/>
    <n v="1378.15"/>
    <n v="12406.846707500001"/>
    <n v="3.0794915016349808E-4"/>
    <n v="509"/>
    <n v="648"/>
    <n v="170"/>
    <n v="185"/>
    <n v="177"/>
    <n v="152"/>
    <n v="55"/>
    <n v="42"/>
    <n v="0.33398821218074654"/>
    <n v="0.28549382716049382"/>
    <n v="4.8494385020252717E-2"/>
    <n v="0.31073446327683618"/>
    <n v="0.27631578947368424"/>
    <n v="3.4418673803151945E-2"/>
    <n v="-0.21450617283950613"/>
    <n v="-8.108108108108103E-2"/>
    <n v="0.16447368421052633"/>
    <n v="0.30952380952380953"/>
  </r>
  <r>
    <x v="447"/>
    <n v="500241"/>
    <x v="4"/>
    <x v="37"/>
    <n v="1434.45"/>
    <n v="11377.711878100001"/>
    <n v="2.8240509343506232E-4"/>
    <n v="3122"/>
    <n v="3210"/>
    <n v="256"/>
    <n v="279"/>
    <n v="1116"/>
    <n v="1144"/>
    <n v="119"/>
    <n v="113"/>
    <n v="8.1998718770019213E-2"/>
    <n v="8.6915887850467291E-2"/>
    <n v="-4.9171690804480778E-3"/>
    <n v="0.10663082437275985"/>
    <n v="9.8776223776223776E-2"/>
    <n v="7.8546005965360738E-3"/>
    <n v="-2.7414330218068494E-2"/>
    <n v="-8.2437275985663083E-2"/>
    <n v="-2.4475524475524479E-2"/>
    <n v="5.3097345132743445E-2"/>
  </r>
  <r>
    <x v="448"/>
    <n v="544403"/>
    <x v="6"/>
    <x v="36"/>
    <n v="96.32"/>
    <n v="11676.1707486"/>
    <n v="2.8981311238589468E-4"/>
    <n v="6284"/>
    <n v="5944"/>
    <n v="116"/>
    <n v="21"/>
    <n v="2362"/>
    <n v="2059"/>
    <n v="69"/>
    <n v="60"/>
    <n v="1.8459579885423297E-2"/>
    <n v="3.5329744279946162E-3"/>
    <n v="1.4926605457428681E-2"/>
    <n v="2.9212531752751906E-2"/>
    <n v="2.9140359397765905E-2"/>
    <n v="7.2172354986001219E-5"/>
    <n v="5.7200538358008091E-2"/>
    <n v="4.5238095238095237"/>
    <n v="0.14715881495871774"/>
    <n v="0.14999999999999991"/>
  </r>
  <r>
    <x v="449"/>
    <n v="532178"/>
    <x v="4"/>
    <x v="5"/>
    <n v="202.6"/>
    <n v="11392.5972494"/>
    <n v="2.8277456180601687E-4"/>
    <n v="30001"/>
    <n v="2077"/>
    <n v="496"/>
    <n v="299"/>
    <n v="1210"/>
    <n v="764"/>
    <n v="347"/>
    <n v="108"/>
    <n v="1.653278224059198E-2"/>
    <n v="0.1439576311988445"/>
    <n v="-0.12742484895825251"/>
    <n v="0.28677685950413223"/>
    <n v="0.14136125654450263"/>
    <n v="0.1454156029596296"/>
    <n v="13.44439094848339"/>
    <n v="0.65886287625418061"/>
    <n v="0.58376963350785349"/>
    <n v="2.2129629629629628"/>
  </r>
  <r>
    <x v="450"/>
    <n v="514162"/>
    <x v="6"/>
    <x v="89"/>
    <n v="117.65"/>
    <n v="11082.7"/>
    <n v="2.7508263195142728E-4"/>
    <n v="6964"/>
    <n v="7899"/>
    <n v="107"/>
    <n v="511"/>
    <n v="2262"/>
    <n v="2489"/>
    <n v="3"/>
    <n v="123"/>
    <n v="1.5364732912119471E-2"/>
    <n v="6.4691733130776044E-2"/>
    <n v="-4.9327000218656575E-2"/>
    <n v="1.3262599469496021E-3"/>
    <n v="4.9417436721574927E-2"/>
    <n v="-4.8091176774625322E-2"/>
    <n v="-0.11836941384985444"/>
    <n v="-0.79060665362035221"/>
    <n v="-9.1201285656890341E-2"/>
    <n v="-0.97560975609756095"/>
  </r>
  <r>
    <x v="451"/>
    <n v="533158"/>
    <x v="6"/>
    <x v="10"/>
    <n v="3751.75"/>
    <n v="11682.802464300001"/>
    <n v="2.8997771756415536E-4"/>
    <n v="5661"/>
    <n v="3530"/>
    <n v="208"/>
    <n v="87"/>
    <n v="2401"/>
    <n v="1131"/>
    <n v="104"/>
    <n v="48"/>
    <n v="3.6742624977919094E-2"/>
    <n v="2.4645892351274786E-2"/>
    <n v="1.2096732626644308E-2"/>
    <n v="4.3315285297792584E-2"/>
    <n v="4.2440318302387266E-2"/>
    <n v="8.7496699540531853E-4"/>
    <n v="0.60368271954674224"/>
    <n v="1.3908045977011496"/>
    <n v="1.1229000884173299"/>
    <n v="1.1666666666666665"/>
  </r>
  <r>
    <x v="452"/>
    <n v="543663"/>
    <x v="2"/>
    <x v="4"/>
    <n v="357.2"/>
    <n v="10542.1820878"/>
    <n v="2.6166648878190484E-4"/>
    <n v="2419"/>
    <n v="2106"/>
    <n v="829"/>
    <n v="793"/>
    <n v="822"/>
    <n v="731"/>
    <n v="277"/>
    <n v="273"/>
    <n v="0.34270359652749072"/>
    <n v="0.37654320987654322"/>
    <n v="-3.38396133490525E-2"/>
    <n v="0.33698296836982966"/>
    <n v="0.37346101231190149"/>
    <n v="-3.6478043942071825E-2"/>
    <n v="0.14862298195631518"/>
    <n v="4.5397225725094525E-2"/>
    <n v="0.12448700410396718"/>
    <n v="1.46520146520146E-2"/>
  </r>
  <r>
    <x v="453"/>
    <n v="543335"/>
    <x v="2"/>
    <x v="64"/>
    <n v="198.3"/>
    <n v="9915.2059276"/>
    <n v="2.4610437374508027E-4"/>
    <n v="1652"/>
    <n v="1304"/>
    <n v="681"/>
    <n v="544"/>
    <n v="568"/>
    <n v="464"/>
    <n v="236"/>
    <n v="190"/>
    <n v="0.41222760290556903"/>
    <n v="0.41717791411042943"/>
    <n v="-4.9503112048603914E-3"/>
    <n v="0.41549295774647887"/>
    <n v="0.40948275862068967"/>
    <n v="6.0101991257892062E-3"/>
    <n v="0.26687116564417179"/>
    <n v="0.25183823529411775"/>
    <n v="0.22413793103448265"/>
    <n v="0.24210526315789482"/>
  </r>
  <r>
    <x v="454"/>
    <n v="523405"/>
    <x v="2"/>
    <x v="17"/>
    <n v="121.7"/>
    <n v="11639.026259099999"/>
    <n v="2.8889115258059881E-4"/>
    <n v="3291"/>
    <n v="3426"/>
    <n v="1018"/>
    <n v="537"/>
    <n v="1126"/>
    <n v="1121"/>
    <n v="307"/>
    <n v="207"/>
    <n v="0.30932847158918264"/>
    <n v="0.15674255691768826"/>
    <n v="0.15258591467149438"/>
    <n v="0.27264653641207814"/>
    <n v="0.18465655664585193"/>
    <n v="8.7989979766226217E-2"/>
    <n v="-3.9404553415061327E-2"/>
    <n v="0.89571694599627572"/>
    <n v="4.4603033006245241E-3"/>
    <n v="0.48309178743961345"/>
  </r>
  <r>
    <x v="455"/>
    <n v="539957"/>
    <x v="0"/>
    <x v="74"/>
    <n v="960.8"/>
    <n v="9493.5312334999999"/>
    <n v="2.3563802667438981E-4"/>
    <n v="6806"/>
    <n v="5826"/>
    <n v="711"/>
    <n v="799"/>
    <n v="2268"/>
    <n v="2031"/>
    <n v="201"/>
    <n v="223"/>
    <n v="0.10446664707610931"/>
    <n v="0.13714383796773086"/>
    <n v="-3.2677190891621549E-2"/>
    <n v="8.8624338624338619E-2"/>
    <n v="0.10979812900049236"/>
    <n v="-2.1173790376153745E-2"/>
    <n v="0.1682114658427738"/>
    <n v="-0.1101376720901126"/>
    <n v="0.11669128508124071"/>
    <n v="-9.8654708520179324E-2"/>
  </r>
  <r>
    <x v="456"/>
    <n v="523598"/>
    <x v="10"/>
    <x v="107"/>
    <n v="232.25"/>
    <n v="10799.385825900001"/>
    <n v="2.6805051805494241E-4"/>
    <n v="4266"/>
    <n v="4280"/>
    <n v="948"/>
    <n v="658"/>
    <n v="1611"/>
    <n v="1315"/>
    <n v="404"/>
    <n v="15"/>
    <n v="0.22222222222222221"/>
    <n v="0.15373831775700936"/>
    <n v="6.8483904465212853E-2"/>
    <n v="0.25077591558038487"/>
    <n v="1.1406844106463879E-2"/>
    <n v="0.239369071473921"/>
    <n v="-3.2710280373832168E-3"/>
    <n v="0.44072948328267469"/>
    <n v="0.2250950570342205"/>
    <n v="25.933333333333334"/>
  </r>
  <r>
    <x v="457"/>
    <n v="543530"/>
    <x v="8"/>
    <x v="67"/>
    <n v="115.7"/>
    <n v="12022.008916799999"/>
    <n v="2.9839712833306607E-4"/>
    <n v="17124"/>
    <n v="12765"/>
    <n v="841"/>
    <n v="490"/>
    <n v="5749"/>
    <n v="4990"/>
    <n v="182"/>
    <n v="209"/>
    <n v="4.9112356925951881E-2"/>
    <n v="3.8386212299255776E-2"/>
    <n v="1.0726144626696105E-2"/>
    <n v="3.1657679596451556E-2"/>
    <n v="4.1883767535070143E-2"/>
    <n v="-1.0226087938618587E-2"/>
    <n v="0.34148061104582839"/>
    <n v="0.71632653061224483"/>
    <n v="0.15210420841683359"/>
    <n v="-0.12918660287081341"/>
  </r>
  <r>
    <x v="458"/>
    <n v="543768"/>
    <x v="8"/>
    <x v="18"/>
    <n v="37.08"/>
    <n v="10886.9881152"/>
    <n v="2.7022488606144032E-4"/>
    <n v="9763"/>
    <n v="5665"/>
    <n v="-333"/>
    <n v="-1900"/>
    <n v="3008"/>
    <n v="2120"/>
    <n v="-244"/>
    <n v="-758"/>
    <n v="-3.4108368329406946E-2"/>
    <n v="-0.33539276257722861"/>
    <n v="0.30128439424782166"/>
    <n v="-8.1117021276595744E-2"/>
    <n v="-0.35754716981132073"/>
    <n v="0.27643014853472497"/>
    <n v="0.72338923212709627"/>
    <n v="-0.82473684210526321"/>
    <n v="0.41886792452830179"/>
    <n v="-0.67810026385224276"/>
  </r>
  <r>
    <x v="459"/>
    <n v="543270"/>
    <x v="4"/>
    <x v="15"/>
    <n v="3623.9"/>
    <n v="11136.198042800001"/>
    <n v="2.7641050173204701E-4"/>
    <n v="570"/>
    <n v="492"/>
    <n v="49"/>
    <n v="39"/>
    <n v="277"/>
    <n v="174"/>
    <n v="34"/>
    <n v="15"/>
    <n v="8.5964912280701758E-2"/>
    <n v="7.926829268292683E-2"/>
    <n v="6.6966195977749277E-3"/>
    <n v="0.12274368231046931"/>
    <n v="8.6206896551724144E-2"/>
    <n v="3.6536785758745166E-2"/>
    <n v="0.15853658536585358"/>
    <n v="0.25641025641025639"/>
    <n v="0.59195402298850586"/>
    <n v="1.2666666666666666"/>
  </r>
  <r>
    <x v="460"/>
    <n v="530117"/>
    <x v="8"/>
    <x v="34"/>
    <n v="2960"/>
    <n v="11564.1183661"/>
    <n v="2.8703187096507408E-4"/>
    <n v="1842"/>
    <n v="1487"/>
    <n v="222"/>
    <n v="120"/>
    <n v="604"/>
    <n v="490"/>
    <n v="74"/>
    <n v="44"/>
    <n v="0.12052117263843648"/>
    <n v="8.0699394754539341E-2"/>
    <n v="3.9821777883897139E-2"/>
    <n v="0.12251655629139073"/>
    <n v="8.9795918367346933E-2"/>
    <n v="3.2720637924043797E-2"/>
    <n v="0.23873570948217893"/>
    <n v="0.85000000000000009"/>
    <n v="0.2326530612244897"/>
    <n v="0.68181818181818188"/>
  </r>
  <r>
    <x v="461"/>
    <n v="500238"/>
    <x v="6"/>
    <x v="51"/>
    <n v="824"/>
    <n v="10454.23632"/>
    <n v="2.5948359532855742E-4"/>
    <n v="5443"/>
    <n v="5530"/>
    <n v="175"/>
    <n v="202"/>
    <n v="1624"/>
    <n v="1564"/>
    <n v="13"/>
    <n v="26"/>
    <n v="3.2151387102700719E-2"/>
    <n v="3.6528028933092226E-2"/>
    <n v="-4.3766418303915061E-3"/>
    <n v="8.0049261083743849E-3"/>
    <n v="1.6624040920716114E-2"/>
    <n v="-8.6191148123417292E-3"/>
    <n v="-1.5732368896925863E-2"/>
    <n v="-0.13366336633663367"/>
    <n v="3.8363171355498826E-2"/>
    <n v="-0.5"/>
  </r>
  <r>
    <x v="462"/>
    <n v="540743"/>
    <x v="5"/>
    <x v="109"/>
    <n v="574.20000000000005"/>
    <n v="11035.8320472"/>
    <n v="2.7391932699772471E-4"/>
    <n v="7900"/>
    <n v="7249"/>
    <n v="343"/>
    <n v="337"/>
    <n v="2718"/>
    <n v="2450"/>
    <n v="110"/>
    <n v="110"/>
    <n v="4.3417721518987339E-2"/>
    <n v="4.6489170920126915E-2"/>
    <n v="-3.0714494011395768E-3"/>
    <n v="4.0470934510669611E-2"/>
    <n v="4.4897959183673466E-2"/>
    <n v="-4.4270246730038557E-3"/>
    <n v="8.9805490412470768E-2"/>
    <n v="1.7804154302670572E-2"/>
    <n v="0.1093877551020408"/>
    <n v="0"/>
  </r>
  <r>
    <x v="463"/>
    <n v="543064"/>
    <x v="7"/>
    <x v="9"/>
    <n v="299.75"/>
    <n v="11461.713545500001"/>
    <n v="2.8449009075130294E-4"/>
    <n v="1649"/>
    <n v="1768"/>
    <n v="142"/>
    <n v="367"/>
    <n v="544"/>
    <n v="676"/>
    <n v="29"/>
    <n v="153"/>
    <n v="8.6112795633717404E-2"/>
    <n v="0.207579185520362"/>
    <n v="-0.1214663898866446"/>
    <n v="5.3308823529411763E-2"/>
    <n v="0.22633136094674555"/>
    <n v="-0.17302253741733378"/>
    <n v="-6.7307692307692291E-2"/>
    <n v="-0.61307901907356954"/>
    <n v="-0.19526627218934911"/>
    <n v="-0.81045751633986929"/>
  </r>
  <r>
    <x v="464"/>
    <n v="544172"/>
    <x v="7"/>
    <x v="110"/>
    <n v="469.45"/>
    <n v="11283.326585500001"/>
    <n v="2.8006236515531877E-4"/>
    <n v="256"/>
    <n v="216"/>
    <n v="321"/>
    <n v="289"/>
    <n v="942"/>
    <n v="720"/>
    <n v="102"/>
    <n v="109"/>
    <n v="1.25390625"/>
    <n v="1.337962962962963"/>
    <n v="-8.4056712962963021E-2"/>
    <n v="0.10828025477707007"/>
    <n v="0.15138888888888888"/>
    <n v="-4.3108634111818811E-2"/>
    <n v="0.18518518518518512"/>
    <n v="0.11072664359861584"/>
    <n v="0.30833333333333335"/>
    <n v="-6.422018348623848E-2"/>
  </r>
  <r>
    <x v="465"/>
    <n v="501425"/>
    <x v="5"/>
    <x v="25"/>
    <n v="1430.7"/>
    <n v="9983.6613412999995"/>
    <n v="2.4780349899180892E-4"/>
    <n v="9655"/>
    <n v="9095"/>
    <n v="1064"/>
    <n v="987"/>
    <n v="4943"/>
    <n v="4761"/>
    <n v="566"/>
    <n v="516"/>
    <n v="0.11020196789228379"/>
    <n v="0.108521165475536"/>
    <n v="1.6808024167477842E-3"/>
    <n v="0.11450536111673074"/>
    <n v="0.10838059231253938"/>
    <n v="6.1247688041913551E-3"/>
    <n v="6.1572292468389245E-2"/>
    <n v="7.8014184397163122E-2"/>
    <n v="3.8227263180004245E-2"/>
    <n v="9.68992248062015E-2"/>
  </r>
  <r>
    <x v="466"/>
    <n v="533272"/>
    <x v="4"/>
    <x v="124"/>
    <n v="257.55"/>
    <n v="10966.75"/>
    <n v="2.7220464814109517E-4"/>
    <n v="2135"/>
    <n v="2918"/>
    <n v="138"/>
    <n v="277"/>
    <n v="890"/>
    <n v="1029"/>
    <n v="62"/>
    <n v="96"/>
    <n v="6.463700234192038E-2"/>
    <n v="9.4928032899246062E-2"/>
    <n v="-3.0291030557325682E-2"/>
    <n v="6.9662921348314602E-2"/>
    <n v="9.3294460641399415E-2"/>
    <n v="-2.3631539293084813E-2"/>
    <n v="-0.26833447566826596"/>
    <n v="-0.50180505415162457"/>
    <n v="-0.13508260447035958"/>
    <n v="-0.35416666666666663"/>
  </r>
  <r>
    <x v="467"/>
    <n v="532796"/>
    <x v="6"/>
    <x v="52"/>
    <n v="1671.4"/>
    <n v="11386.5848205"/>
    <n v="2.8262532788592224E-4"/>
    <n v="3453"/>
    <n v="2503"/>
    <n v="239"/>
    <n v="149"/>
    <n v="1270"/>
    <n v="905"/>
    <n v="108"/>
    <n v="56"/>
    <n v="6.9215175209962357E-2"/>
    <n v="5.9528565721134637E-2"/>
    <n v="9.6866094888277202E-3"/>
    <n v="8.5039370078740156E-2"/>
    <n v="6.1878453038674036E-2"/>
    <n v="2.316091704006612E-2"/>
    <n v="0.37954454654414693"/>
    <n v="0.60402684563758391"/>
    <n v="0.40331491712707179"/>
    <n v="0.9285714285714286"/>
  </r>
  <r>
    <x v="468"/>
    <n v="543259"/>
    <x v="2"/>
    <x v="64"/>
    <n v="977.8"/>
    <n v="10197.0092007"/>
    <n v="2.5309898571300096E-4"/>
    <n v="1417"/>
    <n v="1123"/>
    <n v="390"/>
    <n v="277"/>
    <n v="483"/>
    <n v="407"/>
    <n v="140"/>
    <n v="97"/>
    <n v="0.27522935779816515"/>
    <n v="0.24666073018699911"/>
    <n v="2.8568627611166048E-2"/>
    <n v="0.28985507246376813"/>
    <n v="0.23832923832923833"/>
    <n v="5.1525834134529797E-2"/>
    <n v="0.26179875333926983"/>
    <n v="0.40794223826714804"/>
    <n v="0.18673218673218672"/>
    <n v="0.44329896907216493"/>
  </r>
  <r>
    <x v="469"/>
    <n v="533282"/>
    <x v="8"/>
    <x v="63"/>
    <n v="1370.55"/>
    <n v="9975.9014117999996"/>
    <n v="2.4761089052720937E-4"/>
    <n v="3092"/>
    <n v="2831"/>
    <n v="286"/>
    <n v="217"/>
    <n v="1017"/>
    <n v="996"/>
    <n v="97"/>
    <n v="78"/>
    <n v="9.2496765847347992E-2"/>
    <n v="7.6651359943482864E-2"/>
    <n v="1.5845405903865128E-2"/>
    <n v="9.5378564405113081E-2"/>
    <n v="7.8313253012048195E-2"/>
    <n v="1.7065311393064886E-2"/>
    <n v="9.2193571176262701E-2"/>
    <n v="0.31797235023041481"/>
    <n v="2.108433734939763E-2"/>
    <n v="0.24358974358974361"/>
  </r>
  <r>
    <x v="470"/>
    <n v="503310"/>
    <x v="8"/>
    <x v="123"/>
    <n v="313.5"/>
    <n v="9839.4087605999994"/>
    <n v="2.4422301954503677E-4"/>
    <n v="3501"/>
    <n v="4082"/>
    <n v="19"/>
    <n v="896"/>
    <n v="1150"/>
    <n v="1908"/>
    <n v="-1"/>
    <n v="561"/>
    <n v="5.4270208511853759E-3"/>
    <n v="0.21950024497795198"/>
    <n v="-0.2140732241267666"/>
    <n v="-8.6956521739130438E-4"/>
    <n v="0.29402515723270439"/>
    <n v="-0.29489472245009568"/>
    <n v="-0.14233219010289078"/>
    <n v="-0.9787946428571429"/>
    <n v="-0.39727463312368971"/>
    <n v="-1.0017825311942958"/>
  </r>
  <r>
    <x v="471"/>
    <n v="543334"/>
    <x v="8"/>
    <x v="11"/>
    <n v="295.7"/>
    <n v="10545.0309"/>
    <n v="2.61737198875827E-4"/>
    <n v="8031"/>
    <n v="7314"/>
    <n v="218"/>
    <n v="-143"/>
    <n v="2701"/>
    <n v="2409"/>
    <n v="49"/>
    <n v="-61"/>
    <n v="2.7144813846345411E-2"/>
    <n v="-1.9551544982225867E-2"/>
    <n v="4.6696358828571274E-2"/>
    <n v="1.8141429100333211E-2"/>
    <n v="-2.5321710253217101E-2"/>
    <n v="4.3463139353550312E-2"/>
    <n v="9.8031173092699042E-2"/>
    <n v="-2.5244755244755241"/>
    <n v="0.1212121212121211"/>
    <n v="-1.8032786885245902"/>
  </r>
  <r>
    <x v="472"/>
    <n v="500378"/>
    <x v="4"/>
    <x v="68"/>
    <n v="195.1"/>
    <n v="12435.117291299999"/>
    <n v="3.0865085160795716E-4"/>
    <n v="13261"/>
    <n v="15782"/>
    <n v="801"/>
    <n v="1371"/>
    <n v="4943"/>
    <n v="5271"/>
    <n v="247"/>
    <n v="479"/>
    <n v="6.0402684563758392E-2"/>
    <n v="8.6871118996324923E-2"/>
    <n v="-2.646843443256653E-2"/>
    <n v="4.9969654056241146E-2"/>
    <n v="9.0874596850692463E-2"/>
    <n v="-4.0904942794451317E-2"/>
    <n v="-0.15973894309973391"/>
    <n v="-0.41575492341356679"/>
    <n v="-6.2227281350787367E-2"/>
    <n v="-0.48434237995824636"/>
  </r>
  <r>
    <x v="473"/>
    <n v="543322"/>
    <x v="7"/>
    <x v="9"/>
    <n v="999.2"/>
    <n v="12279.1532833"/>
    <n v="3.0477968394932407E-4"/>
    <n v="1862"/>
    <n v="1737"/>
    <n v="401"/>
    <n v="343"/>
    <n v="672"/>
    <n v="641"/>
    <n v="150"/>
    <n v="136"/>
    <n v="0.21535982814178303"/>
    <n v="0.19746689694876224"/>
    <n v="1.7892931193020795E-2"/>
    <n v="0.22321428571428573"/>
    <n v="0.21216848673946959"/>
    <n v="1.104579897481614E-2"/>
    <n v="7.1963154864709278E-2"/>
    <n v="0.16909620991253638"/>
    <n v="4.8361934477379132E-2"/>
    <n v="0.10294117647058831"/>
  </r>
  <r>
    <x v="474"/>
    <n v="542904"/>
    <x v="2"/>
    <x v="62"/>
    <n v="55.64"/>
    <n v="10811.1981414"/>
    <n v="2.6834371040312298E-4"/>
    <n v="5853"/>
    <n v="5357"/>
    <n v="410"/>
    <n v="642"/>
    <n v="2047"/>
    <n v="1763"/>
    <n v="185"/>
    <n v="108"/>
    <n v="7.0049547240731244E-2"/>
    <n v="0.11984319581855517"/>
    <n v="-4.9793648577823924E-2"/>
    <n v="9.0376160234489494E-2"/>
    <n v="6.1259217243335225E-2"/>
    <n v="2.911694299115427E-2"/>
    <n v="9.2589135710285708E-2"/>
    <n v="-0.36137071651090347"/>
    <n v="0.16108905275099272"/>
    <n v="0.71296296296296302"/>
  </r>
  <r>
    <x v="475"/>
    <n v="506590"/>
    <x v="8"/>
    <x v="101"/>
    <n v="259.95"/>
    <n v="10222.554312599999"/>
    <n v="2.5373303848127455E-4"/>
    <n v="6123"/>
    <n v="6317"/>
    <n v="158"/>
    <n v="334"/>
    <n v="1846"/>
    <n v="2010"/>
    <n v="2"/>
    <n v="93"/>
    <n v="2.5804344275681856E-2"/>
    <n v="5.2873199303466838E-2"/>
    <n v="-2.7068855027784982E-2"/>
    <n v="1.0834236186348862E-3"/>
    <n v="4.6268656716417909E-2"/>
    <n v="-4.5185233097783023E-2"/>
    <n v="-3.0710780433750196E-2"/>
    <n v="-0.52694610778443107"/>
    <n v="-8.1592039800995053E-2"/>
    <n v="-0.978494623655914"/>
  </r>
  <r>
    <x v="476"/>
    <n v="500940"/>
    <x v="4"/>
    <x v="76"/>
    <n v="159.44999999999999"/>
    <n v="9862.1067050000001"/>
    <n v="2.4478640304232888E-4"/>
    <n v="2800"/>
    <n v="2970"/>
    <n v="338"/>
    <n v="635"/>
    <n v="898"/>
    <n v="1001"/>
    <n v="116"/>
    <n v="94"/>
    <n v="0.12071428571428572"/>
    <n v="0.2138047138047138"/>
    <n v="-9.3090428090428085E-2"/>
    <n v="0.1291759465478842"/>
    <n v="9.3906093906093904E-2"/>
    <n v="3.5269852641790292E-2"/>
    <n v="-5.7239057239057201E-2"/>
    <n v="-0.4677165354330709"/>
    <n v="-0.10289710289710285"/>
    <n v="0.23404255319148937"/>
  </r>
  <r>
    <x v="477"/>
    <n v="511196"/>
    <x v="2"/>
    <x v="64"/>
    <n v="809.5"/>
    <n v="10781.293369999999"/>
    <n v="2.6760144694524559E-4"/>
    <n v="3143"/>
    <n v="2879"/>
    <n v="740"/>
    <n v="623"/>
    <n v="1073"/>
    <n v="986"/>
    <n v="264"/>
    <n v="212"/>
    <n v="0.23544384346166083"/>
    <n v="0.21639458145189303"/>
    <n v="1.9049262009767809E-2"/>
    <n v="0.24603914259086673"/>
    <n v="0.21501014198782961"/>
    <n v="3.1029000603037121E-2"/>
    <n v="9.1698506425842208E-2"/>
    <n v="0.187800963081862"/>
    <n v="8.8235294117646967E-2"/>
    <n v="0.24528301886792447"/>
  </r>
  <r>
    <x v="478"/>
    <n v="509631"/>
    <x v="4"/>
    <x v="118"/>
    <n v="550.35"/>
    <n v="10623.405870000001"/>
    <n v="2.6368253647647614E-4"/>
    <n v="1972"/>
    <n v="1617"/>
    <n v="455"/>
    <n v="189"/>
    <n v="656"/>
    <n v="478"/>
    <n v="207"/>
    <n v="83"/>
    <n v="0.23073022312373226"/>
    <n v="0.11688311688311688"/>
    <n v="0.11384710624061538"/>
    <n v="0.31554878048780488"/>
    <n v="0.17364016736401675"/>
    <n v="0.14190861312378814"/>
    <n v="0.2195423623995052"/>
    <n v="1.4074074074074074"/>
    <n v="0.37238493723849375"/>
    <n v="1.4939759036144578"/>
  </r>
  <r>
    <x v="479"/>
    <n v="540073"/>
    <x v="6"/>
    <x v="77"/>
    <n v="267.7"/>
    <n v="11012.191332300001"/>
    <n v="2.7333254308442698E-4"/>
    <n v="2183"/>
    <n v="1500"/>
    <n v="536"/>
    <n v="394"/>
    <n v="736"/>
    <n v="512"/>
    <n v="170"/>
    <n v="127"/>
    <n v="0.24553366926248282"/>
    <n v="0.26266666666666666"/>
    <n v="-1.7132997404183836E-2"/>
    <n v="0.23097826086956522"/>
    <n v="0.248046875"/>
    <n v="-1.7068614130434784E-2"/>
    <n v="0.45533333333333337"/>
    <n v="0.36040609137055846"/>
    <n v="0.4375"/>
    <n v="0.3385826771653544"/>
  </r>
  <r>
    <x v="480"/>
    <n v="540750"/>
    <x v="2"/>
    <x v="50"/>
    <n v="125.45"/>
    <n v="11157.156463900001"/>
    <n v="2.769307086886311E-4"/>
    <n v="441"/>
    <n v="395"/>
    <n v="363"/>
    <n v="312"/>
    <n v="145"/>
    <n v="132"/>
    <n v="119"/>
    <n v="107"/>
    <n v="0.8231292517006803"/>
    <n v="0.78987341772151898"/>
    <n v="3.325583397916132E-2"/>
    <n v="0.82068965517241377"/>
    <n v="0.81060606060606055"/>
    <n v="1.0083594566353216E-2"/>
    <n v="0.1164556962025316"/>
    <n v="0.16346153846153855"/>
    <n v="9.8484848484848397E-2"/>
    <n v="0.11214953271028039"/>
  </r>
  <r>
    <x v="481"/>
    <n v="507205"/>
    <x v="5"/>
    <x v="55"/>
    <n v="421"/>
    <n v="10410.8343977"/>
    <n v="2.5840632038490337E-4"/>
    <n v="3232"/>
    <n v="2293"/>
    <n v="35"/>
    <n v="152"/>
    <n v="1453"/>
    <n v="805"/>
    <n v="-105"/>
    <n v="53"/>
    <n v="1.0829207920792078E-2"/>
    <n v="6.628870475359791E-2"/>
    <n v="-5.5459496832805835E-2"/>
    <n v="-7.2264280798348249E-2"/>
    <n v="6.5838509316770183E-2"/>
    <n v="-0.13810279011511845"/>
    <n v="0.40950719581334494"/>
    <n v="-0.76973684210526316"/>
    <n v="0.8049689440993788"/>
    <n v="-2.9811320754716979"/>
  </r>
  <r>
    <x v="482"/>
    <n v="532922"/>
    <x v="2"/>
    <x v="17"/>
    <n v="107.39"/>
    <n v="10167.643348"/>
    <n v="2.5237009870440069E-4"/>
    <n v="8511"/>
    <n v="6986"/>
    <n v="548"/>
    <n v="377"/>
    <n v="4404"/>
    <n v="1898"/>
    <n v="270"/>
    <n v="155"/>
    <n v="6.4387263541299491E-2"/>
    <n v="5.3965073003149157E-2"/>
    <n v="1.0422190538150335E-2"/>
    <n v="6.1307901907356951E-2"/>
    <n v="8.1664910432033722E-2"/>
    <n v="-2.035700852467677E-2"/>
    <n v="0.21829373031777832"/>
    <n v="0.45358090185676403"/>
    <n v="1.3203371970495259"/>
    <n v="0.74193548387096775"/>
  </r>
  <r>
    <x v="483"/>
    <n v="544061"/>
    <x v="4"/>
    <x v="40"/>
    <n v="1554.55"/>
    <n v="9188.4898553999992"/>
    <n v="2.2806662393481925E-4"/>
    <n v="441"/>
    <n v="330"/>
    <n v="96"/>
    <n v="61"/>
    <n v="158"/>
    <n v="120"/>
    <n v="34"/>
    <n v="23"/>
    <n v="0.21768707482993196"/>
    <n v="0.18484848484848485"/>
    <n v="3.2838589981447119E-2"/>
    <n v="0.21518987341772153"/>
    <n v="0.19166666666666668"/>
    <n v="2.3523206751054848E-2"/>
    <n v="0.33636363636363642"/>
    <n v="0.57377049180327866"/>
    <n v="0.31666666666666665"/>
    <n v="0.47826086956521729"/>
  </r>
  <r>
    <x v="484"/>
    <n v="532218"/>
    <x v="2"/>
    <x v="2"/>
    <n v="37.28"/>
    <n v="9761.6632962999993"/>
    <n v="2.422933068448888E-4"/>
    <n v="8909"/>
    <n v="8280"/>
    <n v="1048"/>
    <n v="960"/>
    <n v="3003"/>
    <n v="2779"/>
    <n v="374"/>
    <n v="342"/>
    <n v="0.11763385340666742"/>
    <n v="0.11594202898550725"/>
    <n v="1.6918244211601707E-3"/>
    <n v="0.12454212454212454"/>
    <n v="0.12306585102554876"/>
    <n v="1.4762735165757823E-3"/>
    <n v="7.5966183574879276E-2"/>
    <n v="9.1666666666666563E-2"/>
    <n v="8.0604534005037864E-2"/>
    <n v="9.3567251461988299E-2"/>
  </r>
  <r>
    <x v="485"/>
    <n v="543596"/>
    <x v="2"/>
    <x v="2"/>
    <n v="628.29999999999995"/>
    <n v="9951.5939263"/>
    <n v="2.4700755676490766E-4"/>
    <n v="4904"/>
    <n v="4599"/>
    <n v="963"/>
    <n v="890"/>
    <n v="1469"/>
    <n v="1331"/>
    <n v="341"/>
    <n v="300"/>
    <n v="0.19637030995106036"/>
    <n v="0.19352033050663187"/>
    <n v="2.8499794444284965E-3"/>
    <n v="0.23213070115724982"/>
    <n v="0.22539444027047334"/>
    <n v="6.7362608867764795E-3"/>
    <n v="6.6318764948901876E-2"/>
    <n v="8.202247191011236E-2"/>
    <n v="0.10368144252441769"/>
    <n v="0.13666666666666671"/>
  </r>
  <r>
    <x v="486"/>
    <n v="532400"/>
    <x v="3"/>
    <x v="3"/>
    <n v="366.75"/>
    <n v="10104.982071599999"/>
    <n v="2.5081478918293501E-4"/>
    <n v="3961"/>
    <n v="4058"/>
    <n v="342"/>
    <n v="394"/>
    <n v="1347"/>
    <n v="1362"/>
    <n v="119"/>
    <n v="116"/>
    <n v="8.6341832870487245E-2"/>
    <n v="9.7092163627402667E-2"/>
    <n v="-1.0750330756915422E-2"/>
    <n v="8.8344469190794361E-2"/>
    <n v="8.5168869309838469E-2"/>
    <n v="3.1755998809558927E-3"/>
    <n v="-2.390340068999508E-2"/>
    <n v="-0.13197969543147203"/>
    <n v="-1.1013215859030812E-2"/>
    <n v="2.5862068965517349E-2"/>
  </r>
  <r>
    <x v="487"/>
    <n v="544288"/>
    <x v="10"/>
    <x v="125"/>
    <n v="569"/>
    <n v="10359.678807099999"/>
    <n v="2.5713659238529331E-4"/>
    <n v="466"/>
    <n v="304"/>
    <n v="94"/>
    <n v="-288"/>
    <n v="171"/>
    <n v="113"/>
    <n v="31"/>
    <n v="-48"/>
    <n v="0.20171673819742489"/>
    <n v="-0.94736842105263153"/>
    <n v="1.1490851592500564"/>
    <n v="0.18128654970760233"/>
    <n v="-0.4247787610619469"/>
    <n v="0.60606531076954928"/>
    <n v="0.53289473684210531"/>
    <n v="-1.3263888888888888"/>
    <n v="0.51327433628318575"/>
    <n v="-1.6458333333333335"/>
  </r>
  <r>
    <x v="488"/>
    <n v="544280"/>
    <x v="4"/>
    <x v="5"/>
    <n v="286.95"/>
    <n v="10540.7068604"/>
    <n v="2.6162987230433899E-4"/>
    <n v="9334"/>
    <n v="9325"/>
    <n v="339"/>
    <n v="376"/>
    <n v="2976"/>
    <n v="3211"/>
    <n v="81"/>
    <n v="149"/>
    <n v="3.6318834368973645E-2"/>
    <n v="4.0321715817694372E-2"/>
    <n v="-4.002881448720727E-3"/>
    <n v="2.7217741935483871E-2"/>
    <n v="4.6402989722827782E-2"/>
    <n v="-1.9185247787343911E-2"/>
    <n v="9.6514745308318162E-4"/>
    <n v="-9.8404255319148981E-2"/>
    <n v="-7.3185923388352503E-2"/>
    <n v="-0.4563758389261745"/>
  </r>
  <r>
    <x v="489"/>
    <n v="544226"/>
    <x v="6"/>
    <x v="28"/>
    <n v="225.5"/>
    <n v="10943.021575999999"/>
    <n v="2.7161568720865273E-4"/>
    <n v="6385"/>
    <n v="5729"/>
    <n v="-155"/>
    <n v="-153"/>
    <n v="2423"/>
    <n v="2172"/>
    <n v="-38"/>
    <n v="-14"/>
    <n v="-2.4275646045418951E-2"/>
    <n v="-2.6706231454005934E-2"/>
    <n v="2.4305854085869827E-3"/>
    <n v="-1.5683037556747832E-2"/>
    <n v="-6.4456721915285451E-3"/>
    <n v="-9.2373653652192862E-3"/>
    <n v="0.11450514924070521"/>
    <n v="1.3071895424836555E-2"/>
    <n v="0.11556169429097607"/>
    <n v="1.7142857142857144"/>
  </r>
  <r>
    <x v="490"/>
    <n v="543959"/>
    <x v="2"/>
    <x v="4"/>
    <n v="83.4"/>
    <n v="9207.1968367999998"/>
    <n v="2.2853094812291228E-4"/>
    <n v="1225"/>
    <n v="944"/>
    <n v="328"/>
    <n v="250"/>
    <n v="425"/>
    <n v="333"/>
    <n v="118"/>
    <n v="88"/>
    <n v="0.26775510204081632"/>
    <n v="0.26483050847457629"/>
    <n v="2.9245935662400302E-3"/>
    <n v="0.27764705882352941"/>
    <n v="0.26426426426426425"/>
    <n v="1.3382794559265165E-2"/>
    <n v="0.29766949152542366"/>
    <n v="0.31200000000000006"/>
    <n v="0.27627627627627627"/>
    <n v="0.34090909090909083"/>
  </r>
  <r>
    <x v="491"/>
    <n v="530843"/>
    <x v="5"/>
    <x v="43"/>
    <n v="88.24"/>
    <n v="11862.5906841"/>
    <n v="2.9444022369501204E-4"/>
    <n v="237"/>
    <n v="127"/>
    <n v="72"/>
    <n v="29"/>
    <n v="93"/>
    <n v="46"/>
    <n v="32"/>
    <n v="11"/>
    <n v="0.30379746835443039"/>
    <n v="0.2283464566929134"/>
    <n v="7.5451011661516992E-2"/>
    <n v="0.34408602150537637"/>
    <n v="0.2391304347826087"/>
    <n v="0.10495558672276767"/>
    <n v="0.86614173228346458"/>
    <n v="1.4827586206896552"/>
    <n v="1.0217391304347827"/>
    <n v="1.9090909090909092"/>
  </r>
  <r>
    <x v="492"/>
    <n v="532762"/>
    <x v="4"/>
    <x v="121"/>
    <n v="824.6"/>
    <n v="9820.0428733999997"/>
    <n v="2.4374234071938505E-4"/>
    <n v="2250"/>
    <n v="2366"/>
    <n v="304"/>
    <n v="290"/>
    <n v="854"/>
    <n v="875"/>
    <n v="116"/>
    <n v="111"/>
    <n v="0.1351111111111111"/>
    <n v="0.12256973795435334"/>
    <n v="1.2541373156757754E-2"/>
    <n v="0.13583138173302109"/>
    <n v="0.12685714285714286"/>
    <n v="8.9742388758782266E-3"/>
    <n v="-4.9027895181741332E-2"/>
    <n v="4.8275862068965614E-2"/>
    <n v="-2.4000000000000021E-2"/>
    <n v="4.5045045045045029E-2"/>
  </r>
  <r>
    <x v="493"/>
    <n v="544046"/>
    <x v="4"/>
    <x v="91"/>
    <n v="1218"/>
    <n v="11068.608824999999"/>
    <n v="2.7473287625053413E-4"/>
    <n v="1126"/>
    <n v="936"/>
    <n v="182"/>
    <n v="160"/>
    <n v="428"/>
    <n v="333"/>
    <n v="60"/>
    <n v="58"/>
    <n v="0.16163410301953818"/>
    <n v="0.17094017094017094"/>
    <n v="-9.3060679206327657E-3"/>
    <n v="0.14018691588785046"/>
    <n v="0.17417417417417416"/>
    <n v="-3.3987258286323707E-2"/>
    <n v="0.20299145299145294"/>
    <n v="0.13749999999999996"/>
    <n v="0.28528528528528518"/>
    <n v="3.4482758620689724E-2"/>
  </r>
  <r>
    <x v="494"/>
    <n v="538666"/>
    <x v="8"/>
    <x v="75"/>
    <n v="916.9"/>
    <n v="8255.1757500000003"/>
    <n v="2.049009241910002E-4"/>
    <n v="3202"/>
    <n v="2491"/>
    <n v="362"/>
    <n v="100"/>
    <n v="1288"/>
    <n v="929"/>
    <n v="145"/>
    <n v="31"/>
    <n v="0.11305434103685197"/>
    <n v="4.0144520272982737E-2"/>
    <n v="7.2909820763869232E-2"/>
    <n v="0.1125776397515528"/>
    <n v="3.3369214208826693E-2"/>
    <n v="7.9208425542726113E-2"/>
    <n v="0.28542753914090735"/>
    <n v="2.62"/>
    <n v="0.38643702906350907"/>
    <n v="3.67741935483871"/>
  </r>
  <r>
    <x v="495"/>
    <n v="520113"/>
    <x v="4"/>
    <x v="118"/>
    <n v="452.1"/>
    <n v="9156.5718565999996"/>
    <n v="2.2727439035306332E-4"/>
    <n v="2104"/>
    <n v="1869"/>
    <n v="264"/>
    <n v="264"/>
    <n v="551"/>
    <n v="509"/>
    <n v="80"/>
    <n v="60"/>
    <n v="0.12547528517110265"/>
    <n v="0.14125200642054575"/>
    <n v="-1.5776721249443099E-2"/>
    <n v="0.14519056261343014"/>
    <n v="0.11787819253438114"/>
    <n v="2.7312370079048992E-2"/>
    <n v="0.12573568753344033"/>
    <n v="0"/>
    <n v="8.25147347740669E-2"/>
    <n v="0.33333333333333326"/>
  </r>
  <r>
    <x v="496"/>
    <n v="543427"/>
    <x v="6"/>
    <x v="126"/>
    <n v="832.05"/>
    <n v="10032.875749999999"/>
    <n v="2.4902504510197423E-4"/>
    <n v="5028"/>
    <n v="4626"/>
    <n v="155"/>
    <n v="98"/>
    <n v="1806"/>
    <n v="1561"/>
    <n v="57"/>
    <n v="45"/>
    <n v="3.0827366746221163E-2"/>
    <n v="2.1184608733246867E-2"/>
    <n v="9.6427580129742965E-3"/>
    <n v="3.1561461794019932E-2"/>
    <n v="2.8827674567584883E-2"/>
    <n v="2.7337872264350492E-3"/>
    <n v="8.6900129701686035E-2"/>
    <n v="0.58163265306122458"/>
    <n v="0.15695067264573992"/>
    <n v="0.26666666666666661"/>
  </r>
  <r>
    <x v="497"/>
    <n v="544225"/>
    <x v="6"/>
    <x v="20"/>
    <n v="28.97"/>
    <n v="12153.1958452"/>
    <n v="3.0165330647935674E-4"/>
    <n v="1988"/>
    <n v="3903"/>
    <n v="-1333"/>
    <n v="-1406"/>
    <n v="470"/>
    <n v="1045"/>
    <n v="-487"/>
    <n v="-564"/>
    <n v="-0.67052313883299797"/>
    <n v="-0.36023571611580835"/>
    <n v="-0.31028742271718962"/>
    <n v="-1.0361702127659576"/>
    <n v="-0.53971291866028703"/>
    <n v="-0.49645729410567052"/>
    <n v="-0.49064821931847302"/>
    <n v="-5.1920341394025571E-2"/>
    <n v="-0.55023923444976075"/>
    <n v="-0.13652482269503541"/>
  </r>
  <r>
    <x v="498"/>
    <n v="532689"/>
    <x v="6"/>
    <x v="127"/>
    <n v="939.55"/>
    <n v="9254.3639999999996"/>
    <n v="2.2970167974920716E-4"/>
    <n v="1571"/>
    <n v="1530"/>
    <n v="146"/>
    <n v="-135"/>
    <n v="1879"/>
    <n v="1717"/>
    <n v="95"/>
    <n v="35"/>
    <n v="9.2934436664544873E-2"/>
    <n v="-8.8235294117647065E-2"/>
    <n v="0.18116973078219195"/>
    <n v="5.0558807876530068E-2"/>
    <n v="2.03843913803145E-2"/>
    <n v="3.0174416496215568E-2"/>
    <n v="2.6797385620914937E-2"/>
    <n v="-2.0814814814814815"/>
    <n v="9.4350611531741402E-2"/>
    <n v="1.7142857142857144"/>
  </r>
  <r>
    <x v="499"/>
    <n v="504918"/>
    <x v="0"/>
    <x v="23"/>
    <n v="186.3"/>
    <n v="9058.0766650999994"/>
    <n v="2.2482965066757333E-4"/>
    <n v="3577"/>
    <n v="1813"/>
    <n v="420"/>
    <n v="313"/>
    <n v="1209"/>
    <n v="951"/>
    <n v="113"/>
    <n v="137"/>
    <n v="0.11741682974559686"/>
    <n v="0.17264202978488694"/>
    <n v="-5.5225200039290073E-2"/>
    <n v="9.3465674110835395E-2"/>
    <n v="0.14405888538380651"/>
    <n v="-5.0593211272971117E-2"/>
    <n v="0.97297297297297303"/>
    <n v="0.34185303514377008"/>
    <n v="0.27129337539432186"/>
    <n v="-0.17518248175182483"/>
  </r>
  <r>
    <x v="500"/>
    <n v="543350"/>
    <x v="7"/>
    <x v="98"/>
    <n v="896.6"/>
    <n v="9213.3707692000007"/>
    <n v="2.2868419070586429E-4"/>
    <n v="594"/>
    <n v="508"/>
    <n v="125"/>
    <n v="108"/>
    <n v="205"/>
    <n v="168"/>
    <n v="43"/>
    <n v="35"/>
    <n v="0.21043771043771045"/>
    <n v="0.2125984251968504"/>
    <n v="-2.1607147591399534E-3"/>
    <n v="0.2097560975609756"/>
    <n v="0.20833333333333334"/>
    <n v="1.4227642276422592E-3"/>
    <n v="0.16929133858267709"/>
    <n v="0.15740740740740744"/>
    <n v="0.22023809523809534"/>
    <n v="0.22857142857142865"/>
  </r>
  <r>
    <x v="501"/>
    <n v="532527"/>
    <x v="6"/>
    <x v="52"/>
    <n v="502.75"/>
    <n v="9102.3889741999992"/>
    <n v="2.259295222345266E-4"/>
    <n v="3021"/>
    <n v="3086"/>
    <n v="15"/>
    <n v="215"/>
    <n v="1098"/>
    <n v="1073"/>
    <n v="13"/>
    <n v="20"/>
    <n v="4.9652432969215492E-3"/>
    <n v="6.9669475048606613E-2"/>
    <n v="-6.4704231751685062E-2"/>
    <n v="1.1839708561020037E-2"/>
    <n v="1.8639328984156569E-2"/>
    <n v="-6.799620423136532E-3"/>
    <n v="-2.106286454957873E-2"/>
    <n v="-0.93023255813953487"/>
    <n v="2.329916123019582E-2"/>
    <n v="-0.35"/>
  </r>
  <r>
    <x v="502"/>
    <n v="532175"/>
    <x v="3"/>
    <x v="82"/>
    <n v="812.1"/>
    <n v="8969.4417200999997"/>
    <n v="2.2262965121315609E-4"/>
    <n v="5341"/>
    <n v="5451"/>
    <n v="397"/>
    <n v="461"/>
    <n v="1848"/>
    <n v="1926"/>
    <n v="97"/>
    <n v="127"/>
    <n v="7.4330649691069089E-2"/>
    <n v="8.4571638231517157E-2"/>
    <n v="-1.0240988540448068E-2"/>
    <n v="5.2489177489177488E-2"/>
    <n v="6.5939771547248185E-2"/>
    <n v="-1.3450594058070697E-2"/>
    <n v="-2.0179783525958506E-2"/>
    <n v="-0.13882863340563989"/>
    <n v="-4.0498442367601251E-2"/>
    <n v="-0.23622047244094491"/>
  </r>
  <r>
    <x v="503"/>
    <n v="532627"/>
    <x v="9"/>
    <x v="12"/>
    <n v="15.21"/>
    <n v="10437.8146972"/>
    <n v="2.5907599580671372E-4"/>
    <n v="4177"/>
    <n v="4121"/>
    <n v="464"/>
    <n v="657"/>
    <n v="1155"/>
    <n v="1140"/>
    <n v="3"/>
    <n v="126"/>
    <n v="0.11108451041417285"/>
    <n v="0.15942732346517835"/>
    <n v="-4.8342813051005504E-2"/>
    <n v="2.5974025974025974E-3"/>
    <n v="0.11052631578947368"/>
    <n v="-0.10792891319207108"/>
    <n v="1.3588934724581447E-2"/>
    <n v="-0.29375951293759517"/>
    <n v="1.3157894736842035E-2"/>
    <n v="-0.97619047619047616"/>
  </r>
  <r>
    <x v="504"/>
    <n v="541556"/>
    <x v="4"/>
    <x v="5"/>
    <n v="190.75"/>
    <n v="9151.4534449999992"/>
    <n v="2.2714734675048103E-4"/>
    <n v="1647"/>
    <n v="1602"/>
    <n v="315"/>
    <n v="282"/>
    <n v="609"/>
    <n v="576"/>
    <n v="115"/>
    <n v="109"/>
    <n v="0.19125683060109289"/>
    <n v="0.17602996254681649"/>
    <n v="1.5226868054276393E-2"/>
    <n v="0.18883415435139572"/>
    <n v="0.1892361111111111"/>
    <n v="-4.0195675971538281E-4"/>
    <n v="2.8089887640449396E-2"/>
    <n v="0.11702127659574457"/>
    <n v="5.7291666666666741E-2"/>
    <n v="5.504587155963292E-2"/>
  </r>
  <r>
    <x v="505"/>
    <n v="500043"/>
    <x v="6"/>
    <x v="90"/>
    <n v="665.75"/>
    <n v="8549.7786500000002"/>
    <n v="2.1221323446850686E-4"/>
    <n v="2687"/>
    <n v="2700"/>
    <n v="131"/>
    <n v="284"/>
    <n v="944"/>
    <n v="918"/>
    <n v="66"/>
    <n v="58"/>
    <n v="4.8753256419799031E-2"/>
    <n v="0.10518518518518519"/>
    <n v="-5.6431928765386156E-2"/>
    <n v="6.991525423728813E-2"/>
    <n v="6.3180827886710242E-2"/>
    <n v="6.7344263505778879E-3"/>
    <n v="-4.8148148148148273E-3"/>
    <n v="-0.53873239436619724"/>
    <n v="2.8322440087146017E-2"/>
    <n v="0.13793103448275867"/>
  </r>
  <r>
    <x v="506"/>
    <n v="542773"/>
    <x v="2"/>
    <x v="78"/>
    <n v="263.64999999999998"/>
    <n v="8203.1898079000002"/>
    <n v="2.0361058611658307E-4"/>
    <n v="1775"/>
    <n v="1867"/>
    <n v="448"/>
    <n v="584"/>
    <n v="586"/>
    <n v="582"/>
    <n v="187"/>
    <n v="197"/>
    <n v="0.25239436619718308"/>
    <n v="0.31280128548473485"/>
    <n v="-6.0406919287551764E-2"/>
    <n v="0.3191126279863481"/>
    <n v="0.33848797250859108"/>
    <n v="-1.9375344522242988E-2"/>
    <n v="-4.9276914836636321E-2"/>
    <n v="-0.23287671232876717"/>
    <n v="6.8728522336769515E-3"/>
    <n v="-5.0761421319796995E-2"/>
  </r>
  <r>
    <x v="507"/>
    <n v="541988"/>
    <x v="2"/>
    <x v="64"/>
    <n v="1152.7"/>
    <n v="9130.9927786000007"/>
    <n v="2.266394945154849E-4"/>
    <n v="1970"/>
    <n v="1720"/>
    <n v="473"/>
    <n v="420"/>
    <n v="674"/>
    <n v="597"/>
    <n v="170"/>
    <n v="146"/>
    <n v="0.24010152284263958"/>
    <n v="0.2441860465116279"/>
    <n v="-4.0845236689883158E-3"/>
    <n v="0.25222551928783382"/>
    <n v="0.24455611390284757"/>
    <n v="7.6694053849862553E-3"/>
    <n v="0.14534883720930236"/>
    <n v="0.12619047619047619"/>
    <n v="0.12897822445561147"/>
    <n v="0.16438356164383561"/>
  </r>
  <r>
    <x v="508"/>
    <n v="509496"/>
    <x v="4"/>
    <x v="5"/>
    <n v="554.25"/>
    <n v="9516.1687722000006"/>
    <n v="2.361999108476056E-4"/>
    <n v="7087"/>
    <n v="6714"/>
    <n v="356"/>
    <n v="259"/>
    <n v="2315"/>
    <n v="2270"/>
    <n v="111"/>
    <n v="87"/>
    <n v="5.0232820657541977E-2"/>
    <n v="3.8576109621686026E-2"/>
    <n v="1.165671103585595E-2"/>
    <n v="4.7948164146868248E-2"/>
    <n v="3.8325991189427311E-2"/>
    <n v="9.6221729574409373E-3"/>
    <n v="5.555555555555558E-2"/>
    <n v="0.37451737451737444"/>
    <n v="1.982378854625555E-2"/>
    <n v="0.27586206896551735"/>
  </r>
  <r>
    <x v="509"/>
    <n v="542650"/>
    <x v="7"/>
    <x v="98"/>
    <n v="428.3"/>
    <n v="8879.8451378999998"/>
    <n v="2.2040578305418507E-4"/>
    <n v="1221"/>
    <n v="985"/>
    <n v="140"/>
    <n v="116"/>
    <n v="405"/>
    <n v="322"/>
    <n v="42"/>
    <n v="31"/>
    <n v="0.11466011466011466"/>
    <n v="0.11776649746192894"/>
    <n v="-3.1063828018142725E-3"/>
    <n v="0.1037037037037037"/>
    <n v="9.627329192546584E-2"/>
    <n v="7.4304117782378609E-3"/>
    <n v="0.23959390862944163"/>
    <n v="0.2068965517241379"/>
    <n v="0.2577639751552796"/>
    <n v="0.35483870967741926"/>
  </r>
  <r>
    <x v="510"/>
    <n v="543280"/>
    <x v="6"/>
    <x v="128"/>
    <n v="232.15"/>
    <n v="8591.9316331000009"/>
    <n v="2.1325950961226714E-4"/>
    <n v="1431"/>
    <n v="1103"/>
    <n v="26"/>
    <n v="53"/>
    <n v="405"/>
    <n v="534"/>
    <n v="8"/>
    <n v="13"/>
    <n v="1.8169112508735149E-2"/>
    <n v="4.805077062556664E-2"/>
    <n v="-2.9881658116831491E-2"/>
    <n v="1.9753086419753086E-2"/>
    <n v="2.4344569288389514E-2"/>
    <n v="-4.5914828686364276E-3"/>
    <n v="0.29737080689029916"/>
    <n v="-0.50943396226415094"/>
    <n v="-0.2415730337078652"/>
    <n v="-0.38461538461538458"/>
  </r>
  <r>
    <x v="511"/>
    <n v="544014"/>
    <x v="5"/>
    <x v="43"/>
    <n v="307.25"/>
    <n v="9965.8411725000005"/>
    <n v="2.4736118629406175E-4"/>
    <n v="1734"/>
    <n v="1533"/>
    <n v="130"/>
    <n v="47"/>
    <n v="601"/>
    <n v="517"/>
    <n v="50"/>
    <n v="26"/>
    <n v="7.4971164936562862E-2"/>
    <n v="3.0658838878016959E-2"/>
    <n v="4.4312326058545903E-2"/>
    <n v="8.3194675540765387E-2"/>
    <n v="5.0290135396518373E-2"/>
    <n v="3.2904540144247013E-2"/>
    <n v="0.13111545988258322"/>
    <n v="1.7659574468085109"/>
    <n v="0.16247582205029021"/>
    <n v="0.92307692307692313"/>
  </r>
  <r>
    <x v="512"/>
    <n v="543527"/>
    <x v="2"/>
    <x v="93"/>
    <n v="2247.0500000000002"/>
    <n v="9303.6665248000008"/>
    <n v="2.3092541298062503E-4"/>
    <n v="935"/>
    <n v="746"/>
    <n v="155"/>
    <n v="120"/>
    <n v="339"/>
    <n v="260"/>
    <n v="55"/>
    <n v="40"/>
    <n v="0.16577540106951871"/>
    <n v="0.16085790884718498"/>
    <n v="4.9174922223337303E-3"/>
    <n v="0.16224188790560473"/>
    <n v="0.15384615384615385"/>
    <n v="8.3957340594508767E-3"/>
    <n v="0.25335120643431641"/>
    <n v="0.29166666666666674"/>
    <n v="0.30384615384615388"/>
    <n v="0.375"/>
  </r>
  <r>
    <x v="513"/>
    <n v="532939"/>
    <x v="9"/>
    <x v="12"/>
    <n v="23.36"/>
    <n v="9661.1589724000005"/>
    <n v="2.3979869867712188E-4"/>
    <n v="5732"/>
    <n v="5604"/>
    <n v="157"/>
    <n v="2822"/>
    <n v="1872"/>
    <n v="1852"/>
    <n v="25"/>
    <n v="41"/>
    <n v="2.7390090718771808E-2"/>
    <n v="0.50356887937187722"/>
    <n v="-0.47617878865310542"/>
    <n v="1.3354700854700854E-2"/>
    <n v="2.2138228941684664E-2"/>
    <n v="-8.7835280869838096E-3"/>
    <n v="2.28408279800143E-2"/>
    <n v="-0.94436569808646353"/>
    <n v="1.0799136069114423E-2"/>
    <n v="-0.3902439024390244"/>
  </r>
  <r>
    <x v="514"/>
    <n v="543265"/>
    <x v="1"/>
    <x v="129"/>
    <n v="264.35000000000002"/>
    <n v="8491.7090079999998"/>
    <n v="2.1077189346335132E-4"/>
    <n v="2647"/>
    <n v="2222"/>
    <n v="204"/>
    <n v="186"/>
    <n v="913"/>
    <n v="767"/>
    <n v="62"/>
    <n v="65"/>
    <n v="7.7068379297317718E-2"/>
    <n v="8.3708370837083712E-2"/>
    <n v="-6.6399915397659937E-3"/>
    <n v="6.7907995618838993E-2"/>
    <n v="8.4745762711864403E-2"/>
    <n v="-1.683776709302541E-2"/>
    <n v="0.19126912691269138"/>
    <n v="9.6774193548387011E-2"/>
    <n v="0.19035202086049541"/>
    <n v="-4.6153846153846101E-2"/>
  </r>
  <r>
    <x v="515"/>
    <n v="538835"/>
    <x v="3"/>
    <x v="3"/>
    <n v="652.79999999999995"/>
    <n v="9106.9469200000003"/>
    <n v="2.2604265456933277E-4"/>
    <n v="2191"/>
    <n v="1774"/>
    <n v="223"/>
    <n v="198"/>
    <n v="731"/>
    <n v="609"/>
    <n v="27"/>
    <n v="70"/>
    <n v="0.10178000912825194"/>
    <n v="0.11161217587373168"/>
    <n v="-9.8321667454797368E-3"/>
    <n v="3.6935704514363885E-2"/>
    <n v="0.11494252873563218"/>
    <n v="-7.8006824221268298E-2"/>
    <n v="0.23506200676437428"/>
    <n v="0.1262626262626263"/>
    <n v="0.20032840722495893"/>
    <n v="-0.61428571428571432"/>
  </r>
  <r>
    <x v="516"/>
    <n v="500183"/>
    <x v="1"/>
    <x v="44"/>
    <n v="72.819999999999993"/>
    <n v="10501.408565899999"/>
    <n v="2.606544531120607E-4"/>
    <n v="3125"/>
    <n v="3264"/>
    <n v="145"/>
    <n v="257"/>
    <n v="1211"/>
    <n v="1012"/>
    <n v="102"/>
    <n v="73"/>
    <n v="4.6399999999999997E-2"/>
    <n v="7.8737745098039214E-2"/>
    <n v="-3.2337745098039217E-2"/>
    <n v="8.4227910817506191E-2"/>
    <n v="7.2134387351778656E-2"/>
    <n v="1.2093523465727535E-2"/>
    <n v="-4.2585784313725505E-2"/>
    <n v="-0.43579766536964981"/>
    <n v="0.19664031620553368"/>
    <n v="0.39726027397260277"/>
  </r>
  <r>
    <x v="517"/>
    <n v="500655"/>
    <x v="4"/>
    <x v="76"/>
    <n v="3697.5"/>
    <n v="8590.8732875999995"/>
    <n v="2.1323324052029008E-4"/>
    <n v="1523"/>
    <n v="1561"/>
    <n v="230"/>
    <n v="253"/>
    <n v="459"/>
    <n v="466"/>
    <n v="56"/>
    <n v="61"/>
    <n v="0.15101772816808931"/>
    <n v="0.16207559256886611"/>
    <n v="-1.1057864400776801E-2"/>
    <n v="0.12200435729847495"/>
    <n v="0.13090128755364808"/>
    <n v="-8.89693025517313E-3"/>
    <n v="-2.434336963484951E-2"/>
    <n v="-9.0909090909090939E-2"/>
    <n v="-1.5021459227467782E-2"/>
    <n v="-8.1967213114754078E-2"/>
  </r>
  <r>
    <x v="518"/>
    <n v="500294"/>
    <x v="4"/>
    <x v="5"/>
    <n v="140.85"/>
    <n v="8850.7521871000008"/>
    <n v="2.1968366971742621E-4"/>
    <n v="14590"/>
    <n v="16068"/>
    <n v="507"/>
    <n v="603"/>
    <n v="4868"/>
    <n v="5344"/>
    <n v="135"/>
    <n v="206"/>
    <n v="3.474982864976011E-2"/>
    <n v="3.7528005974607918E-2"/>
    <n v="-2.7781773248478081E-3"/>
    <n v="2.7732128184059162E-2"/>
    <n v="3.8547904191616765E-2"/>
    <n v="-1.0815776007557603E-2"/>
    <n v="-9.1984067712223005E-2"/>
    <n v="-0.15920398009950254"/>
    <n v="-8.90718562874252E-2"/>
    <n v="-0.34466019417475724"/>
  </r>
  <r>
    <x v="519"/>
    <n v="512529"/>
    <x v="7"/>
    <x v="9"/>
    <n v="195.55"/>
    <n v="8369.4660000000003"/>
    <n v="2.0773771150603954E-4"/>
    <n v="2500"/>
    <n v="2234"/>
    <n v="158"/>
    <n v="47"/>
    <n v="858"/>
    <n v="774"/>
    <n v="48"/>
    <n v="41"/>
    <n v="6.3200000000000006E-2"/>
    <n v="2.1038495971351837E-2"/>
    <n v="4.216150402864817E-2"/>
    <n v="5.5944055944055944E-2"/>
    <n v="5.2971576227390182E-2"/>
    <n v="2.9724797166657616E-3"/>
    <n v="0.11906893464637425"/>
    <n v="2.3617021276595747"/>
    <n v="0.10852713178294571"/>
    <n v="0.1707317073170731"/>
  </r>
  <r>
    <x v="520"/>
    <n v="500038"/>
    <x v="5"/>
    <x v="130"/>
    <n v="485"/>
    <n v="9793.5848944999998"/>
    <n v="2.4308562976700635E-4"/>
    <n v="4667"/>
    <n v="3911"/>
    <n v="218"/>
    <n v="207"/>
    <n v="1454"/>
    <n v="1192"/>
    <n v="113"/>
    <n v="70"/>
    <n v="4.6710949217913009E-2"/>
    <n v="5.2927639989772436E-2"/>
    <n v="-6.2166907718594275E-3"/>
    <n v="7.7716643741403024E-2"/>
    <n v="5.8724832214765099E-2"/>
    <n v="1.8991811526637925E-2"/>
    <n v="0.19330094604960357"/>
    <n v="5.3140096618357502E-2"/>
    <n v="0.21979865771812079"/>
    <n v="0.61428571428571432"/>
  </r>
  <r>
    <x v="521"/>
    <n v="532493"/>
    <x v="4"/>
    <x v="15"/>
    <n v="947.05"/>
    <n v="8977.9989681999996"/>
    <n v="2.2284204984612544E-4"/>
    <n v="674"/>
    <n v="643"/>
    <n v="86"/>
    <n v="80"/>
    <n v="260"/>
    <n v="258"/>
    <n v="46"/>
    <n v="47"/>
    <n v="0.12759643916913946"/>
    <n v="0.12441679626749612"/>
    <n v="3.1796429016433397E-3"/>
    <n v="0.17692307692307693"/>
    <n v="0.18217054263565891"/>
    <n v="-5.2474657125819724E-3"/>
    <n v="4.8211508553654747E-2"/>
    <n v="7.4999999999999956E-2"/>
    <n v="7.7519379844961378E-3"/>
    <n v="-2.1276595744680882E-2"/>
  </r>
  <r>
    <x v="522"/>
    <n v="544012"/>
    <x v="6"/>
    <x v="131"/>
    <n v="402.4"/>
    <n v="8875.9257933000008"/>
    <n v="2.203085013784118E-4"/>
    <n v="1670"/>
    <n v="1547"/>
    <n v="241"/>
    <n v="268"/>
    <n v="553"/>
    <n v="556"/>
    <n v="69"/>
    <n v="92"/>
    <n v="0.14431137724550899"/>
    <n v="0.17323852617970265"/>
    <n v="-2.8927148934193653E-2"/>
    <n v="0.12477396021699819"/>
    <n v="0.16546762589928057"/>
    <n v="-4.0693665682282387E-2"/>
    <n v="7.9508726567550037E-2"/>
    <n v="-0.10074626865671643"/>
    <n v="-5.3956834532373765E-3"/>
    <n v="-0.25"/>
  </r>
  <r>
    <x v="523"/>
    <n v="543463"/>
    <x v="6"/>
    <x v="36"/>
    <n v="378.25"/>
    <n v="9183.1686109999991"/>
    <n v="2.2793454583879493E-4"/>
    <n v="1036"/>
    <n v="1019"/>
    <n v="261"/>
    <n v="287"/>
    <n v="491"/>
    <n v="511"/>
    <n v="134"/>
    <n v="157"/>
    <n v="0.25193050193050193"/>
    <n v="0.28164867517173697"/>
    <n v="-2.9718173241235046E-2"/>
    <n v="0.27291242362525459"/>
    <n v="0.30724070450097846"/>
    <n v="-3.4328280875723871E-2"/>
    <n v="1.6683022571148287E-2"/>
    <n v="-9.0592334494773552E-2"/>
    <n v="-3.9138943248532287E-2"/>
    <n v="-0.14649681528662417"/>
  </r>
  <r>
    <x v="524"/>
    <n v="505700"/>
    <x v="4"/>
    <x v="40"/>
    <n v="394.6"/>
    <n v="8837.9901984000007"/>
    <n v="2.1936690562198645E-4"/>
    <n v="1684"/>
    <n v="1470"/>
    <n v="335"/>
    <n v="268"/>
    <n v="570"/>
    <n v="544"/>
    <n v="71"/>
    <n v="107"/>
    <n v="0.19893111638954869"/>
    <n v="0.18231292517006803"/>
    <n v="1.661819121948066E-2"/>
    <n v="0.12456140350877193"/>
    <n v="0.19669117647058823"/>
    <n v="-7.2129772961816302E-2"/>
    <n v="0.1455782312925169"/>
    <n v="0.25"/>
    <n v="4.7794117647058876E-2"/>
    <n v="-0.33644859813084116"/>
  </r>
  <r>
    <x v="525"/>
    <n v="532926"/>
    <x v="5"/>
    <x v="132"/>
    <n v="207.1"/>
    <n v="7596.1991693999998"/>
    <n v="1.8854452979380455E-4"/>
    <n v="2226"/>
    <n v="2177"/>
    <n v="265"/>
    <n v="294"/>
    <n v="739"/>
    <n v="703"/>
    <n v="81"/>
    <n v="87"/>
    <n v="0.11904761904761904"/>
    <n v="0.13504823151125403"/>
    <n v="-1.6000612463634989E-2"/>
    <n v="0.10960757780784844"/>
    <n v="0.12375533428165007"/>
    <n v="-1.4147756473801634E-2"/>
    <n v="2.2508038585209E-2"/>
    <n v="-9.8639455782312924E-2"/>
    <n v="5.1209103840682779E-2"/>
    <n v="-6.8965517241379337E-2"/>
  </r>
  <r>
    <x v="526"/>
    <n v="532966"/>
    <x v="4"/>
    <x v="124"/>
    <n v="640.45000000000005"/>
    <n v="8620.2394112999991"/>
    <n v="2.1396213425535528E-4"/>
    <n v="2310"/>
    <n v="2862"/>
    <n v="116"/>
    <n v="210"/>
    <n v="832"/>
    <n v="902"/>
    <n v="48"/>
    <n v="63"/>
    <n v="5.0216450216450215E-2"/>
    <n v="7.337526205450734E-2"/>
    <n v="-2.3158811838057125E-2"/>
    <n v="5.7692307692307696E-2"/>
    <n v="6.9844789356984474E-2"/>
    <n v="-1.2152481664676779E-2"/>
    <n v="-0.19287211740041932"/>
    <n v="-0.44761904761904758"/>
    <n v="-7.7605321507760561E-2"/>
    <n v="-0.23809523809523814"/>
  </r>
  <r>
    <x v="527"/>
    <n v="501423"/>
    <x v="4"/>
    <x v="76"/>
    <n v="2083.4499999999998"/>
    <n v="9551.1304428000003"/>
    <n v="2.3706769111469454E-4"/>
    <n v="753"/>
    <n v="568"/>
    <n v="126"/>
    <n v="64"/>
    <n v="250"/>
    <n v="197"/>
    <n v="37"/>
    <n v="25"/>
    <n v="0.16733067729083664"/>
    <n v="0.11267605633802817"/>
    <n v="5.4654620952808472E-2"/>
    <n v="0.14799999999999999"/>
    <n v="0.12690355329949238"/>
    <n v="2.1096446700507615E-2"/>
    <n v="0.32570422535211274"/>
    <n v="0.96875"/>
    <n v="0.26903553299492389"/>
    <n v="0.48"/>
  </r>
  <r>
    <x v="528"/>
    <n v="500101"/>
    <x v="6"/>
    <x v="84"/>
    <n v="373.65"/>
    <n v="9782.1171919000008"/>
    <n v="2.4280099102250871E-4"/>
    <n v="6750"/>
    <n v="6108"/>
    <n v="262"/>
    <n v="213"/>
    <n v="2373"/>
    <n v="2089"/>
    <n v="101"/>
    <n v="106"/>
    <n v="3.8814814814814816E-2"/>
    <n v="3.4872298624754418E-2"/>
    <n v="3.9425161900603981E-3"/>
    <n v="4.2562157606405394E-2"/>
    <n v="5.0741981809478219E-2"/>
    <n v="-8.1798242030728247E-3"/>
    <n v="0.10510805500982312"/>
    <n v="0.2300469483568075"/>
    <n v="0.13595021541407371"/>
    <n v="-4.7169811320754707E-2"/>
  </r>
  <r>
    <x v="529"/>
    <n v="534076"/>
    <x v="4"/>
    <x v="118"/>
    <n v="368"/>
    <n v="7516.652"/>
    <n v="1.8657009714446478E-4"/>
    <n v="3087"/>
    <n v="2756"/>
    <n v="135"/>
    <n v="166"/>
    <n v="1092"/>
    <n v="1010"/>
    <n v="61"/>
    <n v="47"/>
    <n v="4.3731778425655975E-2"/>
    <n v="6.0232220609579099E-2"/>
    <n v="-1.6500442183923124E-2"/>
    <n v="5.5860805860805864E-2"/>
    <n v="4.6534653465346534E-2"/>
    <n v="9.3261523954593292E-3"/>
    <n v="0.12010159651669094"/>
    <n v="-0.18674698795180722"/>
    <n v="8.118811881188126E-2"/>
    <n v="0.2978723404255319"/>
  </r>
  <r>
    <x v="530"/>
    <n v="532757"/>
    <x v="4"/>
    <x v="40"/>
    <n v="9056"/>
    <n v="9163.0755840000002"/>
    <n v="2.2743581874602593E-4"/>
    <n v="1536"/>
    <n v="1309"/>
    <n v="257"/>
    <n v="228"/>
    <n v="630"/>
    <n v="483"/>
    <n v="99"/>
    <n v="73"/>
    <n v="0.16731770833333334"/>
    <n v="0.17417876241405653"/>
    <n v="-6.8610540807231835E-3"/>
    <n v="0.15714285714285714"/>
    <n v="0.15113871635610765"/>
    <n v="6.00414078674949E-3"/>
    <n v="0.17341482047364409"/>
    <n v="0.12719298245614041"/>
    <n v="0.30434782608695654"/>
    <n v="0.35616438356164393"/>
  </r>
  <r>
    <x v="531"/>
    <n v="543271"/>
    <x v="8"/>
    <x v="34"/>
    <n v="593.65"/>
    <n v="9380.3115276999997"/>
    <n v="2.3282781123408822E-4"/>
    <n v="3209"/>
    <n v="3126"/>
    <n v="191"/>
    <n v="177"/>
    <n v="1039"/>
    <n v="1046"/>
    <n v="46"/>
    <n v="69"/>
    <n v="5.9520099719538797E-2"/>
    <n v="5.6621880998080618E-2"/>
    <n v="2.8982187214581789E-3"/>
    <n v="4.4273339749759381E-2"/>
    <n v="6.5965583173996173E-2"/>
    <n v="-2.1692243424236791E-2"/>
    <n v="2.655150351887392E-2"/>
    <n v="7.909604519774005E-2"/>
    <n v="-6.6921606118547361E-3"/>
    <n v="-0.33333333333333337"/>
  </r>
  <r>
    <x v="532"/>
    <n v="541233"/>
    <x v="6"/>
    <x v="57"/>
    <n v="109.9"/>
    <n v="8696.8623356999997"/>
    <n v="2.1586398450049114E-4"/>
    <n v="1028"/>
    <n v="907"/>
    <n v="171"/>
    <n v="135"/>
    <n v="406"/>
    <n v="355"/>
    <n v="81"/>
    <n v="79"/>
    <n v="0.16634241245136186"/>
    <n v="0.14884233737596472"/>
    <n v="1.7500075075397137E-2"/>
    <n v="0.19950738916256158"/>
    <n v="0.22253521126760564"/>
    <n v="-2.302782210504406E-2"/>
    <n v="0.13340683572216094"/>
    <n v="0.26666666666666661"/>
    <n v="0.14366197183098595"/>
    <n v="2.5316455696202445E-2"/>
  </r>
  <r>
    <x v="533"/>
    <n v="543317"/>
    <x v="4"/>
    <x v="5"/>
    <n v="835.2"/>
    <n v="8082.6556349000002"/>
    <n v="2.0061881898863332E-4"/>
    <n v="5898"/>
    <n v="5119"/>
    <n v="692"/>
    <n v="612"/>
    <n v="2308"/>
    <n v="1694"/>
    <n v="258"/>
    <n v="262"/>
    <n v="0.11732790776534419"/>
    <n v="0.1195546005079117"/>
    <n v="-2.2266927425675098E-3"/>
    <n v="0.11178509532062392"/>
    <n v="0.15466351829988192"/>
    <n v="-4.2878422979258007E-2"/>
    <n v="0.15217815979683524"/>
    <n v="0.13071895424836599"/>
    <n v="0.36245572609208976"/>
    <n v="-1.5267175572519109E-2"/>
  </r>
  <r>
    <x v="534"/>
    <n v="543482"/>
    <x v="6"/>
    <x v="51"/>
    <n v="456.6"/>
    <n v="8833.8678928000008"/>
    <n v="2.1926458627073123E-4"/>
    <n v="2025"/>
    <n v="1824"/>
    <n v="111"/>
    <n v="114"/>
    <n v="645"/>
    <n v="597"/>
    <n v="9"/>
    <n v="35"/>
    <n v="5.4814814814814816E-2"/>
    <n v="6.25E-2"/>
    <n v="-7.6851851851851838E-3"/>
    <n v="1.3953488372093023E-2"/>
    <n v="5.8626465661641543E-2"/>
    <n v="-4.467297728954852E-2"/>
    <n v="0.11019736842105265"/>
    <n v="-2.6315789473684181E-2"/>
    <n v="8.040201005025116E-2"/>
    <n v="-0.74285714285714288"/>
  </r>
  <r>
    <x v="535"/>
    <n v="500674"/>
    <x v="7"/>
    <x v="9"/>
    <n v="3340.4"/>
    <n v="7680.4812388"/>
    <n v="1.9063648694114815E-4"/>
    <m/>
    <m/>
    <m/>
    <m/>
    <m/>
    <m/>
    <m/>
    <m/>
    <e v="#DIV/0!"/>
    <e v="#DIV/0!"/>
    <e v="#DIV/0!"/>
    <e v="#DIV/0!"/>
    <e v="#DIV/0!"/>
    <e v="#DIV/0!"/>
    <e v="#DIV/0!"/>
    <e v="#DIV/0!"/>
    <e v="#DIV/0!"/>
    <e v="#DIV/0!"/>
  </r>
  <r>
    <x v="536"/>
    <n v="513377"/>
    <x v="10"/>
    <x v="103"/>
    <n v="56.42"/>
    <n v="8461.7866952999993"/>
    <n v="2.1002919461455185E-4"/>
    <n v="3"/>
    <n v="2"/>
    <n v="261"/>
    <n v="84"/>
    <n v="0.34"/>
    <n v="0.25"/>
    <n v="46"/>
    <n v="4"/>
    <n v="87"/>
    <n v="42"/>
    <n v="45"/>
    <n v="135.29411764705881"/>
    <n v="16"/>
    <n v="119.29411764705881"/>
    <n v="0.5"/>
    <n v="2.1071428571428572"/>
    <n v="0.3600000000000001"/>
    <n v="10.5"/>
  </r>
  <r>
    <x v="537"/>
    <n v="500463"/>
    <x v="3"/>
    <x v="82"/>
    <n v="475.95"/>
    <n v="8437.2344403000006"/>
    <n v="2.0941978545200644E-4"/>
    <n v="4631"/>
    <n v="4422"/>
    <n v="153"/>
    <n v="144"/>
    <n v="1659"/>
    <n v="1502"/>
    <n v="50"/>
    <n v="56"/>
    <n v="3.3038220686676743E-2"/>
    <n v="3.2564450474898234E-2"/>
    <n v="4.7377021177850975E-4"/>
    <n v="3.0138637733574444E-2"/>
    <n v="3.7283621837549935E-2"/>
    <n v="-7.1449841039754915E-3"/>
    <n v="4.7263681592039752E-2"/>
    <n v="6.25E-2"/>
    <n v="0.10452729693741669"/>
    <n v="-0.1071428571428571"/>
  </r>
  <r>
    <x v="538"/>
    <n v="543490"/>
    <x v="9"/>
    <x v="12"/>
    <n v="98.78"/>
    <n v="7719.5766838999998"/>
    <n v="1.9160687122795738E-4"/>
    <n v="5328"/>
    <n v="4607"/>
    <n v="700"/>
    <n v="1560"/>
    <n v="1869"/>
    <n v="1611"/>
    <n v="-160"/>
    <n v="-90"/>
    <n v="0.13138138138138139"/>
    <n v="0.33861515085739091"/>
    <n v="-0.20723376947600952"/>
    <n v="-8.5607276618512571E-2"/>
    <n v="-5.5865921787709494E-2"/>
    <n v="-2.9741354830803077E-2"/>
    <n v="0.15650097677447361"/>
    <n v="-0.55128205128205132"/>
    <n v="0.16014897579143383"/>
    <n v="0.77777777777777768"/>
  </r>
  <r>
    <x v="539"/>
    <n v="532356"/>
    <x v="5"/>
    <x v="130"/>
    <n v="389.85"/>
    <n v="8537.0180999999993"/>
    <n v="2.1189650608290154E-4"/>
    <n v="5787"/>
    <n v="4883"/>
    <n v="101"/>
    <n v="51"/>
    <n v="1818"/>
    <n v="1600"/>
    <n v="78"/>
    <n v="43"/>
    <n v="1.745291169863487E-2"/>
    <n v="1.0444398935080893E-2"/>
    <n v="7.0085127635539767E-3"/>
    <n v="4.2904290429042903E-2"/>
    <n v="2.6875E-2"/>
    <n v="1.6029290429042903E-2"/>
    <n v="0.18513209092770833"/>
    <n v="0.98039215686274517"/>
    <n v="0.13624999999999998"/>
    <n v="0.81395348837209291"/>
  </r>
  <r>
    <x v="540"/>
    <n v="534618"/>
    <x v="4"/>
    <x v="60"/>
    <n v="863.25"/>
    <n v="9003.4684696999993"/>
    <n v="2.2347422589592475E-4"/>
    <n v="2229"/>
    <n v="1121"/>
    <n v="322"/>
    <n v="135"/>
    <n v="851"/>
    <n v="360"/>
    <n v="120"/>
    <n v="53"/>
    <n v="0.14445939883355766"/>
    <n v="0.12042818911685994"/>
    <n v="2.4031209716697713E-2"/>
    <n v="0.14101057579318449"/>
    <n v="0.14722222222222223"/>
    <n v="-6.2116464290377371E-3"/>
    <n v="0.9884032114183765"/>
    <n v="1.3851851851851853"/>
    <n v="1.3638888888888889"/>
    <n v="1.2641509433962264"/>
  </r>
  <r>
    <x v="541"/>
    <n v="543333"/>
    <x v="6"/>
    <x v="28"/>
    <n v="1741.4"/>
    <n v="8333.1711214999996"/>
    <n v="2.0683683981374999E-4"/>
    <n v="576"/>
    <n v="471"/>
    <n v="172"/>
    <n v="99"/>
    <n v="209"/>
    <n v="176"/>
    <n v="61"/>
    <n v="45"/>
    <n v="0.2986111111111111"/>
    <n v="0.21019108280254778"/>
    <n v="8.8420028308563325E-2"/>
    <n v="0.291866028708134"/>
    <n v="0.25568181818181818"/>
    <n v="3.6184210526315819E-2"/>
    <n v="0.22292993630573243"/>
    <n v="0.73737373737373746"/>
    <n v="0.1875"/>
    <n v="0.35555555555555562"/>
  </r>
  <r>
    <x v="542"/>
    <n v="500380"/>
    <x v="8"/>
    <x v="11"/>
    <n v="590.15"/>
    <n v="7333.83043"/>
    <n v="1.8203230051971702E-4"/>
    <n v="4861"/>
    <n v="4295"/>
    <n v="288"/>
    <n v="101"/>
    <n v="1588"/>
    <n v="1497"/>
    <n v="57"/>
    <n v="75"/>
    <n v="5.9247068504422962E-2"/>
    <n v="2.351571594877765E-2"/>
    <n v="3.5731352555645315E-2"/>
    <n v="3.5894206549118388E-2"/>
    <n v="5.0100200400801605E-2"/>
    <n v="-1.4205993851683217E-2"/>
    <n v="0.13178114086146686"/>
    <n v="1.8514851485148514"/>
    <n v="6.078824315297271E-2"/>
    <n v="-0.24"/>
  </r>
  <r>
    <x v="543"/>
    <n v="500039"/>
    <x v="6"/>
    <x v="52"/>
    <n v="531.65"/>
    <n v="7615.3062012"/>
    <n v="1.8901878359444191E-4"/>
    <n v="2776"/>
    <n v="2318"/>
    <n v="334"/>
    <n v="238"/>
    <n v="781"/>
    <n v="632"/>
    <n v="85"/>
    <n v="30"/>
    <n v="0.12031700288184438"/>
    <n v="0.10267471958584987"/>
    <n v="1.7642283295994515E-2"/>
    <n v="0.1088348271446863"/>
    <n v="4.746835443037975E-2"/>
    <n v="6.136647271430655E-2"/>
    <n v="0.19758412424503891"/>
    <n v="0.40336134453781503"/>
    <n v="0.235759493670886"/>
    <n v="1.8333333333333335"/>
  </r>
  <r>
    <x v="544"/>
    <n v="500472"/>
    <x v="6"/>
    <x v="52"/>
    <n v="1517.95"/>
    <n v="7495.2889949"/>
    <n v="1.8603984804728632E-4"/>
    <n v="3168"/>
    <n v="3706"/>
    <n v="285"/>
    <n v="362"/>
    <n v="576"/>
    <n v="1256"/>
    <n v="62"/>
    <n v="109"/>
    <n v="8.9962121212121215E-2"/>
    <n v="9.7679438747976258E-2"/>
    <n v="-7.7173175358550422E-3"/>
    <n v="0.1076388888888889"/>
    <n v="8.6783439490445854E-2"/>
    <n v="2.0855449398443041E-2"/>
    <n v="-0.1451699946033459"/>
    <n v="-0.21270718232044195"/>
    <n v="-0.54140127388535031"/>
    <n v="-0.43119266055045868"/>
  </r>
  <r>
    <x v="545"/>
    <n v="540575"/>
    <x v="8"/>
    <x v="11"/>
    <n v="209.6"/>
    <n v="8452.4178780999991"/>
    <n v="2.097966521029213E-4"/>
    <n v="2602"/>
    <n v="2111"/>
    <n v="243"/>
    <n v="45"/>
    <n v="880"/>
    <n v="718"/>
    <n v="74"/>
    <n v="9"/>
    <n v="9.3389700230591857E-2"/>
    <n v="2.1316911416390336E-2"/>
    <n v="7.2072788814201524E-2"/>
    <n v="8.4090909090909091E-2"/>
    <n v="1.2534818941504178E-2"/>
    <n v="7.1556090149404908E-2"/>
    <n v="0.23259118900994791"/>
    <n v="4.4000000000000004"/>
    <n v="0.22562674094707513"/>
    <n v="7.2222222222222214"/>
  </r>
  <r>
    <x v="546"/>
    <n v="540595"/>
    <x v="1"/>
    <x v="96"/>
    <n v="425"/>
    <n v="7540.5769442000001"/>
    <n v="1.871639358859111E-4"/>
    <n v="770"/>
    <n v="7016"/>
    <n v="-697"/>
    <n v="518"/>
    <n v="306"/>
    <n v="2642"/>
    <n v="-196"/>
    <n v="165"/>
    <n v="-0.90519480519480522"/>
    <n v="7.3831242873432151E-2"/>
    <n v="-0.97902604806823734"/>
    <n v="-0.64052287581699341"/>
    <n v="6.2452687358062073E-2"/>
    <n v="-0.7029755631750555"/>
    <n v="-0.8902508551881414"/>
    <n v="-2.3455598455598459"/>
    <n v="-0.88417865253595762"/>
    <n v="-2.187878787878788"/>
  </r>
  <r>
    <x v="547"/>
    <n v="523025"/>
    <x v="6"/>
    <x v="133"/>
    <n v="1511.4"/>
    <n v="7386.8130791000003"/>
    <n v="1.8334737776282446E-4"/>
    <n v="1574"/>
    <n v="1350"/>
    <n v="130"/>
    <n v="105"/>
    <n v="512"/>
    <n v="443"/>
    <n v="33"/>
    <n v="31"/>
    <n v="8.2592121982210928E-2"/>
    <n v="7.7777777777777779E-2"/>
    <n v="4.8143442044331491E-3"/>
    <n v="6.4453125E-2"/>
    <n v="6.9977426636568849E-2"/>
    <n v="-5.5243016365688485E-3"/>
    <n v="0.16592592592592603"/>
    <n v="0.23809523809523814"/>
    <n v="0.15575620767494347"/>
    <n v="6.4516129032258007E-2"/>
  </r>
  <r>
    <x v="548"/>
    <n v="532374"/>
    <x v="1"/>
    <x v="96"/>
    <n v="188.65"/>
    <n v="9206.1792478999996"/>
    <n v="2.2850569064658823E-4"/>
    <n v="3340"/>
    <n v="2959"/>
    <n v="-3"/>
    <n v="-84"/>
    <n v="1266"/>
    <n v="1003"/>
    <n v="-17"/>
    <n v="-24"/>
    <n v="-8.9820359281437125E-4"/>
    <n v="-2.8387968908415006E-2"/>
    <n v="2.7489765315600635E-2"/>
    <n v="-1.3428120063191154E-2"/>
    <n v="-2.3928215353938187E-2"/>
    <n v="1.0500095290747033E-2"/>
    <n v="0.1287597161203109"/>
    <n v="-0.9642857142857143"/>
    <n v="0.2622133599202392"/>
    <n v="-0.29166666666666663"/>
  </r>
  <r>
    <x v="549"/>
    <n v="500133"/>
    <x v="4"/>
    <x v="91"/>
    <n v="5159"/>
    <n v="7986.8173188999999"/>
    <n v="1.9824002535467477E-4"/>
    <n v="1112"/>
    <n v="1005"/>
    <n v="163"/>
    <n v="127"/>
    <n v="378"/>
    <n v="337"/>
    <n v="43"/>
    <n v="40"/>
    <n v="0.14658273381294964"/>
    <n v="0.12636815920398009"/>
    <n v="2.0214574608969554E-2"/>
    <n v="0.11375661375661375"/>
    <n v="0.11869436201780416"/>
    <n v="-4.9377482611904083E-3"/>
    <n v="0.10646766169154231"/>
    <n v="0.2834645669291338"/>
    <n v="0.12166172106824935"/>
    <n v="7.4999999999999956E-2"/>
  </r>
  <r>
    <x v="550"/>
    <n v="533248"/>
    <x v="10"/>
    <x v="16"/>
    <n v="146.80000000000001"/>
    <n v="7097.8634976000003"/>
    <n v="1.7617538796067486E-4"/>
    <n v="842"/>
    <n v="735"/>
    <n v="372"/>
    <n v="284"/>
    <n v="292"/>
    <n v="262"/>
    <n v="107"/>
    <n v="99"/>
    <n v="0.44180522565320662"/>
    <n v="0.38639455782312926"/>
    <n v="5.5410667830077365E-2"/>
    <n v="0.36643835616438358"/>
    <n v="0.37786259541984735"/>
    <n v="-1.1424239255463764E-2"/>
    <n v="0.1455782312925169"/>
    <n v="0.3098591549295775"/>
    <n v="0.11450381679389321"/>
    <n v="8.0808080808080884E-2"/>
  </r>
  <r>
    <x v="551"/>
    <n v="532468"/>
    <x v="2"/>
    <x v="17"/>
    <n v="2438.9"/>
    <n v="7826.5688038999997"/>
    <n v="1.9426251235942019E-4"/>
    <n v="11272"/>
    <n v="10478"/>
    <n v="1260"/>
    <n v="727"/>
    <n v="3743"/>
    <n v="3525"/>
    <n v="433"/>
    <n v="272"/>
    <n v="0.11178140525195174"/>
    <n v="6.9383470127886995E-2"/>
    <n v="4.2397935124064742E-2"/>
    <n v="0.11568260753406359"/>
    <n v="7.7163120567375884E-2"/>
    <n v="3.8519486966687708E-2"/>
    <n v="7.5777820194693701E-2"/>
    <n v="0.73314993122420913"/>
    <n v="6.1843971631205585E-2"/>
    <n v="0.59191176470588225"/>
  </r>
  <r>
    <x v="552"/>
    <n v="500126"/>
    <x v="7"/>
    <x v="9"/>
    <n v="4800.6000000000004"/>
    <n v="7992.2691580999999"/>
    <n v="1.9837534493168324E-4"/>
    <n v="1037"/>
    <n v="907"/>
    <n v="232"/>
    <n v="190"/>
    <n v="373"/>
    <n v="309"/>
    <n v="77"/>
    <n v="90"/>
    <n v="0.22372227579556414"/>
    <n v="0.20948180815876516"/>
    <n v="1.4240467636798981E-2"/>
    <n v="0.2064343163538874"/>
    <n v="0.29126213592233008"/>
    <n v="-8.4827819568442681E-2"/>
    <n v="0.14332965821389188"/>
    <n v="0.22105263157894739"/>
    <n v="0.20711974110032361"/>
    <n v="-0.14444444444444449"/>
  </r>
  <r>
    <x v="553"/>
    <n v="541974"/>
    <x v="5"/>
    <x v="113"/>
    <n v="1230.3"/>
    <n v="7332.1133951000002"/>
    <n v="1.8198968216142486E-4"/>
    <n v="992"/>
    <n v="549"/>
    <n v="172"/>
    <n v="69"/>
    <n v="374"/>
    <n v="213"/>
    <n v="72"/>
    <n v="30"/>
    <n v="0.17338709677419356"/>
    <n v="0.12568306010928962"/>
    <n v="4.7704036664903943E-2"/>
    <n v="0.19251336898395721"/>
    <n v="0.14084507042253522"/>
    <n v="5.1668298561421994E-2"/>
    <n v="0.80692167577413487"/>
    <n v="1.4927536231884058"/>
    <n v="0.755868544600939"/>
    <n v="1.4"/>
  </r>
  <r>
    <x v="554"/>
    <n v="532832"/>
    <x v="6"/>
    <x v="35"/>
    <n v="45.54"/>
    <n v="6348.2804563999998"/>
    <n v="1.5757005930976386E-4"/>
    <n v="1386"/>
    <n v="1290"/>
    <n v="-557"/>
    <n v="-70"/>
    <n v="212"/>
    <n v="325"/>
    <n v="-240"/>
    <n v="-98"/>
    <n v="-0.40187590187590189"/>
    <n v="-5.4263565891472867E-2"/>
    <n v="-0.34761233598442903"/>
    <n v="-1.1320754716981132"/>
    <n v="-0.30153846153846153"/>
    <n v="-0.83053701015965165"/>
    <n v="7.441860465116279E-2"/>
    <n v="6.9571428571428573"/>
    <n v="-0.34769230769230774"/>
    <n v="1.4489795918367347"/>
  </r>
  <r>
    <x v="555"/>
    <n v="543980"/>
    <x v="7"/>
    <x v="47"/>
    <n v="1207.8499999999999"/>
    <n v="7897.4271090000002"/>
    <n v="1.960212795427352E-4"/>
    <n v="1111"/>
    <n v="965"/>
    <n v="143"/>
    <n v="148"/>
    <n v="365"/>
    <n v="332"/>
    <n v="42"/>
    <n v="52"/>
    <n v="0.12871287128712872"/>
    <n v="0.15336787564766841"/>
    <n v="-2.465500436053969E-2"/>
    <n v="0.11506849315068493"/>
    <n v="0.15662650602409639"/>
    <n v="-4.155801287341146E-2"/>
    <n v="0.15129533678756468"/>
    <n v="-3.3783783783783772E-2"/>
    <n v="9.9397590361445687E-2"/>
    <n v="-0.19230769230769229"/>
  </r>
  <r>
    <x v="556"/>
    <n v="530517"/>
    <x v="6"/>
    <x v="90"/>
    <n v="273"/>
    <n v="6786.5639916"/>
    <n v="1.6844865282973572E-4"/>
    <n v="1951"/>
    <n v="2094"/>
    <n v="112"/>
    <n v="114"/>
    <n v="668"/>
    <n v="667"/>
    <n v="27"/>
    <n v="33"/>
    <n v="5.7406458226550487E-2"/>
    <n v="5.4441260744985676E-2"/>
    <n v="2.9651974815648116E-3"/>
    <n v="4.0419161676646706E-2"/>
    <n v="4.9475262368815595E-2"/>
    <n v="-9.0561006921688891E-3"/>
    <n v="-6.8290353390639935E-2"/>
    <n v="-1.7543859649122862E-2"/>
    <n v="1.4992503748125774E-3"/>
    <n v="-0.18181818181818177"/>
  </r>
  <r>
    <x v="557"/>
    <n v="505537"/>
    <x v="6"/>
    <x v="97"/>
    <n v="73.66"/>
    <n v="7080.9483968000004"/>
    <n v="1.7575553986880305E-4"/>
    <n v="6143"/>
    <n v="6197"/>
    <n v="375"/>
    <n v="498"/>
    <n v="2298"/>
    <n v="2013"/>
    <n v="154"/>
    <n v="163"/>
    <n v="6.104509197460524E-2"/>
    <n v="8.0361465225108925E-2"/>
    <n v="-1.9316373250503685E-2"/>
    <n v="6.7014795474325498E-2"/>
    <n v="8.0973671137605563E-2"/>
    <n v="-1.3958875663280065E-2"/>
    <n v="-8.7138938195900906E-3"/>
    <n v="-0.24698795180722888"/>
    <n v="0.14157973174366623"/>
    <n v="-5.5214723926380382E-2"/>
  </r>
  <r>
    <x v="558"/>
    <n v="541578"/>
    <x v="6"/>
    <x v="52"/>
    <n v="478.8"/>
    <n v="7319.9965172000002"/>
    <n v="1.8168893029917415E-4"/>
    <n v="6522"/>
    <n v="6054"/>
    <n v="159"/>
    <n v="46"/>
    <n v="2287"/>
    <n v="2075"/>
    <n v="-11"/>
    <n v="-45"/>
    <n v="2.437902483900644E-2"/>
    <n v="7.5982821275189958E-3"/>
    <n v="1.6780742711487443E-2"/>
    <n v="-4.809794490599038E-3"/>
    <n v="-2.1686746987951807E-2"/>
    <n v="1.6876952497352771E-2"/>
    <n v="7.7304261645193328E-2"/>
    <n v="2.4565217391304346"/>
    <n v="0.10216867469879509"/>
    <n v="-0.75555555555555554"/>
  </r>
  <r>
    <x v="559"/>
    <n v="535755"/>
    <x v="6"/>
    <x v="36"/>
    <n v="58.81"/>
    <n v="7148.2086418999997"/>
    <n v="1.7742499995053457E-4"/>
    <n v="6187"/>
    <n v="5635"/>
    <n v="-666"/>
    <n v="-454"/>
    <n v="2374"/>
    <n v="2200"/>
    <n v="-137"/>
    <n v="-103"/>
    <n v="-0.10764506222725069"/>
    <n v="-8.0567879325643299E-2"/>
    <n v="-2.7077182901607391E-2"/>
    <n v="-5.7708508845829821E-2"/>
    <n v="-4.6818181818181821E-2"/>
    <n v="-1.0890327027648E-2"/>
    <n v="9.7959183673469452E-2"/>
    <n v="0.46696035242290757"/>
    <n v="7.9090909090909101E-2"/>
    <n v="0.33009708737864085"/>
  </r>
  <r>
    <x v="560"/>
    <n v="539787"/>
    <x v="7"/>
    <x v="47"/>
    <n v="537.85"/>
    <n v="8024.2415467000001"/>
    <n v="1.9916892851743959E-4"/>
    <n v="1888"/>
    <n v="1634"/>
    <n v="7"/>
    <n v="18"/>
    <n v="631"/>
    <n v="557"/>
    <n v="-7"/>
    <n v="7"/>
    <n v="3.7076271186440679E-3"/>
    <n v="1.1015911872705019E-2"/>
    <n v="-7.3082847540609508E-3"/>
    <n v="-1.1093502377179081E-2"/>
    <n v="1.2567324955116697E-2"/>
    <n v="-2.3660827332295777E-2"/>
    <n v="0.15544675642594852"/>
    <n v="-0.61111111111111116"/>
    <n v="0.1328545780969479"/>
    <n v="-2"/>
  </r>
  <r>
    <x v="561"/>
    <n v="544044"/>
    <x v="2"/>
    <x v="64"/>
    <n v="778.7"/>
    <n v="8488.0494607000001"/>
    <n v="2.1068106019140183E-4"/>
    <n v="1120"/>
    <n v="848"/>
    <n v="365"/>
    <n v="269"/>
    <n v="310"/>
    <n v="240"/>
    <n v="124"/>
    <n v="96"/>
    <n v="0.32589285714285715"/>
    <n v="0.31721698113207547"/>
    <n v="8.6758760107816801E-3"/>
    <n v="0.4"/>
    <n v="0.4"/>
    <n v="0"/>
    <n v="0.320754716981132"/>
    <n v="0.35687732342007439"/>
    <n v="0.29166666666666674"/>
    <n v="0.29166666666666674"/>
  </r>
  <r>
    <x v="562"/>
    <n v="544022"/>
    <x v="6"/>
    <x v="52"/>
    <n v="434.8"/>
    <n v="8562.8846078000006"/>
    <n v="2.1253853618793158E-4"/>
    <n v="3042"/>
    <n v="2760"/>
    <n v="225"/>
    <n v="190"/>
    <n v="1088"/>
    <n v="919"/>
    <n v="80"/>
    <n v="66"/>
    <n v="7.3964497041420121E-2"/>
    <n v="6.8840579710144928E-2"/>
    <n v="5.1239173312751934E-3"/>
    <n v="7.3529411764705885E-2"/>
    <n v="7.181719260065289E-2"/>
    <n v="1.7122191640529943E-3"/>
    <n v="0.10217391304347823"/>
    <n v="0.18421052631578938"/>
    <n v="0.18389553862894448"/>
    <n v="0.21212121212121215"/>
  </r>
  <r>
    <x v="563"/>
    <n v="530343"/>
    <x v="4"/>
    <x v="60"/>
    <n v="236.35"/>
    <n v="7184.1007997999995"/>
    <n v="1.783158757535021E-4"/>
    <n v="3213"/>
    <n v="1505"/>
    <n v="421"/>
    <n v="188"/>
    <n v="1122"/>
    <n v="604"/>
    <n v="140"/>
    <n v="57"/>
    <n v="0.13103018985371925"/>
    <n v="0.12491694352159469"/>
    <n v="6.1132463321245667E-3"/>
    <n v="0.12477718360071301"/>
    <n v="9.4370860927152314E-2"/>
    <n v="3.0406322673560693E-2"/>
    <n v="1.1348837209302327"/>
    <n v="1.2393617021276597"/>
    <n v="0.85761589403973515"/>
    <n v="1.4561403508771931"/>
  </r>
  <r>
    <x v="564"/>
    <n v="539177"/>
    <x v="2"/>
    <x v="4"/>
    <n v="425"/>
    <n v="36045.3688951"/>
    <n v="8.9467863835745965E-4"/>
    <n v="2298"/>
    <n v="3126"/>
    <n v="1247"/>
    <n v="3096"/>
    <n v="478"/>
    <n v="617"/>
    <n v="-337"/>
    <n v="567"/>
    <n v="0.54264577893820709"/>
    <n v="0.99040307101727443"/>
    <n v="-0.44775729207906734"/>
    <n v="-0.70502092050209209"/>
    <n v="0.91896272285251213"/>
    <n v="-1.6239836433546042"/>
    <n v="-0.26487523992322459"/>
    <n v="-0.59722222222222221"/>
    <n v="-0.22528363047001621"/>
    <n v="-1.5943562610229276"/>
  </r>
  <r>
    <x v="565"/>
    <n v="532439"/>
    <x v="6"/>
    <x v="8"/>
    <n v="1027.25"/>
    <n v="8431.1736151999994"/>
    <n v="2.0926935029448113E-4"/>
    <n v="1667"/>
    <n v="1352"/>
    <n v="122"/>
    <n v="118"/>
    <n v="663"/>
    <n v="513"/>
    <n v="46"/>
    <n v="46"/>
    <n v="7.3185362927414524E-2"/>
    <n v="8.7278106508875741E-2"/>
    <n v="-1.4092743581461217E-2"/>
    <n v="6.9381598793363503E-2"/>
    <n v="8.9668615984405453E-2"/>
    <n v="-2.0287017191041951E-2"/>
    <n v="0.23298816568047331"/>
    <n v="3.3898305084745672E-2"/>
    <n v="0.29239766081871355"/>
    <n v="0"/>
  </r>
  <r>
    <x v="566"/>
    <n v="505355"/>
    <x v="10"/>
    <x v="116"/>
    <n v="1080.25"/>
    <n v="7644.9045749999996"/>
    <n v="1.8975344198692625E-4"/>
    <n v="680"/>
    <n v="540"/>
    <n v="319"/>
    <n v="286"/>
    <n v="247"/>
    <n v="206"/>
    <n v="104"/>
    <n v="109"/>
    <n v="0.46911764705882353"/>
    <n v="0.52962962962962967"/>
    <n v="-6.0511982570806144E-2"/>
    <n v="0.42105263157894735"/>
    <n v="0.529126213592233"/>
    <n v="-0.10807358201328565"/>
    <n v="0.2592592592592593"/>
    <n v="0.11538461538461542"/>
    <n v="0.19902912621359214"/>
    <n v="-4.587155963302747E-2"/>
  </r>
  <r>
    <x v="567"/>
    <n v="532531"/>
    <x v="7"/>
    <x v="9"/>
    <n v="977.95"/>
    <n v="9017.2561067000006"/>
    <n v="2.2381644750928172E-4"/>
    <n v="3535"/>
    <n v="3374"/>
    <n v="445"/>
    <n v="3511"/>
    <n v="1194"/>
    <n v="1153"/>
    <n v="208"/>
    <n v="90"/>
    <n v="0.12588401697312587"/>
    <n v="1.0406046235921755"/>
    <n v="-0.91472060661904964"/>
    <n v="0.17420435510887772"/>
    <n v="7.8057241977450134E-2"/>
    <n v="9.6147113131427583E-2"/>
    <n v="4.7717842323651505E-2"/>
    <n v="-0.873255482768442"/>
    <n v="3.555941023417164E-2"/>
    <n v="1.3111111111111109"/>
  </r>
  <r>
    <x v="568"/>
    <n v="532371"/>
    <x v="1"/>
    <x v="1"/>
    <n v="37.49"/>
    <n v="7323.1563630000001"/>
    <n v="1.8176736052819998E-4"/>
    <n v="865"/>
    <n v="1000"/>
    <n v="-796"/>
    <n v="-969"/>
    <n v="294"/>
    <n v="333"/>
    <n v="-151"/>
    <n v="-315"/>
    <n v="-0.92023121387283235"/>
    <n v="-0.96899999999999997"/>
    <n v="4.8768786127167618E-2"/>
    <n v="-0.51360544217687076"/>
    <n v="-0.94594594594594594"/>
    <n v="0.43234050376907518"/>
    <n v="-0.13500000000000001"/>
    <n v="-0.17853457172342624"/>
    <n v="-0.11711711711711714"/>
    <n v="-0.52063492063492056"/>
  </r>
  <r>
    <x v="569"/>
    <n v="543318"/>
    <x v="8"/>
    <x v="34"/>
    <n v="694.25"/>
    <n v="7376.7071335000001"/>
    <n v="1.8309653905799567E-4"/>
    <n v="707"/>
    <n v="702"/>
    <n v="171"/>
    <n v="190"/>
    <n v="219"/>
    <n v="240"/>
    <n v="45"/>
    <n v="65"/>
    <n v="0.24186704384724186"/>
    <n v="0.27065527065527067"/>
    <n v="-2.8788226808028811E-2"/>
    <n v="0.20547945205479451"/>
    <n v="0.27083333333333331"/>
    <n v="-6.5353881278538806E-2"/>
    <n v="7.1225071225071712E-3"/>
    <n v="-9.9999999999999978E-2"/>
    <n v="-8.7500000000000022E-2"/>
    <n v="-0.30769230769230771"/>
  </r>
  <r>
    <x v="570"/>
    <n v="532652"/>
    <x v="2"/>
    <x v="2"/>
    <n v="229.6"/>
    <n v="8673.3147265000007"/>
    <n v="2.1527951155482814E-4"/>
    <n v="7665"/>
    <n v="7603"/>
    <n v="902"/>
    <n v="1020"/>
    <n v="2522"/>
    <n v="2542"/>
    <n v="291"/>
    <n v="283"/>
    <n v="0.11767775603392042"/>
    <n v="0.13415756938050769"/>
    <n v="-1.6479813346587269E-2"/>
    <n v="0.11538461538461539"/>
    <n v="0.11132966168371361"/>
    <n v="4.0549537009017811E-3"/>
    <n v="8.1546757858739216E-3"/>
    <n v="-0.11568627450980395"/>
    <n v="-7.8678206136899576E-3"/>
    <n v="2.8268551236749095E-2"/>
  </r>
  <r>
    <x v="571"/>
    <n v="524404"/>
    <x v="7"/>
    <x v="9"/>
    <n v="165.9"/>
    <n v="7514.3608052999998"/>
    <n v="1.865132276209381E-4"/>
    <n v="2142"/>
    <n v="1966"/>
    <n v="271"/>
    <n v="291"/>
    <n v="774"/>
    <n v="717"/>
    <n v="113"/>
    <n v="106"/>
    <n v="0.1265172735760971"/>
    <n v="0.14801627670396744"/>
    <n v="-2.1499003127870342E-2"/>
    <n v="0.14599483204134367"/>
    <n v="0.14783821478382148"/>
    <n v="-1.843382742477806E-3"/>
    <n v="8.9521871820956278E-2"/>
    <n v="-6.8728522336769737E-2"/>
    <n v="7.9497907949790836E-2"/>
    <n v="6.60377358490567E-2"/>
  </r>
  <r>
    <x v="572"/>
    <n v="540879"/>
    <x v="4"/>
    <x v="15"/>
    <n v="200"/>
    <n v="7147.2769297000004"/>
    <n v="1.7740187401153081E-4"/>
    <n v="611"/>
    <n v="400"/>
    <n v="70"/>
    <n v="42"/>
    <n v="252"/>
    <n v="148"/>
    <n v="22"/>
    <n v="18"/>
    <n v="0.11456628477905073"/>
    <n v="0.105"/>
    <n v="9.5662847790507349E-3"/>
    <n v="8.7301587301587297E-2"/>
    <n v="0.12162162162162163"/>
    <n v="-3.4320034320034332E-2"/>
    <n v="0.52750000000000008"/>
    <n v="0.66666666666666674"/>
    <n v="0.70270270270270263"/>
    <n v="0.22222222222222232"/>
  </r>
  <r>
    <x v="573"/>
    <n v="543523"/>
    <x v="6"/>
    <x v="90"/>
    <n v="232.05"/>
    <n v="7090.3712366999998"/>
    <n v="1.7598942327268016E-4"/>
    <n v="1319"/>
    <n v="1187"/>
    <n v="106"/>
    <n v="86"/>
    <n v="589"/>
    <n v="515"/>
    <n v="64"/>
    <n v="46"/>
    <n v="8.0363912054586803E-2"/>
    <n v="7.2451558550968825E-2"/>
    <n v="7.9123535036179776E-3"/>
    <n v="0.10865874363327674"/>
    <n v="8.9320388349514557E-2"/>
    <n v="1.9338355283762182E-2"/>
    <n v="0.11120471777590568"/>
    <n v="0.23255813953488369"/>
    <n v="0.14368932038834958"/>
    <n v="0.39130434782608692"/>
  </r>
  <r>
    <x v="574"/>
    <n v="505533"/>
    <x v="6"/>
    <x v="85"/>
    <n v="461.85"/>
    <n v="7160.8764142"/>
    <n v="1.7773942550976159E-4"/>
    <n v="1995"/>
    <n v="1902"/>
    <n v="29"/>
    <n v="10"/>
    <n v="678"/>
    <n v="656"/>
    <n v="10"/>
    <n v="70"/>
    <n v="1.4536340852130326E-2"/>
    <n v="5.2576235541535229E-3"/>
    <n v="9.2787172979768035E-3"/>
    <n v="1.4749262536873156E-2"/>
    <n v="0.10670731707317073"/>
    <n v="-9.1958054536297573E-2"/>
    <n v="4.8895899053627678E-2"/>
    <n v="1.9"/>
    <n v="3.3536585365853577E-2"/>
    <n v="-0.85714285714285721"/>
  </r>
  <r>
    <x v="575"/>
    <n v="533269"/>
    <x v="9"/>
    <x v="134"/>
    <n v="1251.8"/>
    <n v="7778.5678342000001"/>
    <n v="1.930710849020951E-4"/>
    <n v="2592"/>
    <n v="2171"/>
    <n v="241"/>
    <n v="195"/>
    <n v="984"/>
    <n v="825"/>
    <n v="91"/>
    <n v="70"/>
    <n v="9.2978395061728392E-2"/>
    <n v="8.9820359281437126E-2"/>
    <n v="3.1580357802912656E-3"/>
    <n v="9.2479674796747971E-2"/>
    <n v="8.4848484848484854E-2"/>
    <n v="7.6311899482631174E-3"/>
    <n v="0.19391985260248723"/>
    <n v="0.23589743589743595"/>
    <n v="0.19272727272727264"/>
    <n v="0.30000000000000004"/>
  </r>
  <r>
    <x v="576"/>
    <n v="530813"/>
    <x v="5"/>
    <x v="117"/>
    <n v="312.10000000000002"/>
    <n v="7150.5172122000004"/>
    <n v="1.7748230075215955E-4"/>
    <n v="4572"/>
    <n v="4151"/>
    <n v="492"/>
    <n v="321"/>
    <n v="1476"/>
    <n v="1681"/>
    <n v="169"/>
    <n v="132"/>
    <n v="0.10761154855643044"/>
    <n v="7.7330763671404484E-2"/>
    <n v="3.028078488502596E-2"/>
    <n v="0.11449864498644986"/>
    <n v="7.8524687685901248E-2"/>
    <n v="3.5973957300548615E-2"/>
    <n v="0.10142134425439653"/>
    <n v="0.53271028037383172"/>
    <n v="-0.12195121951219512"/>
    <n v="0.28030303030303028"/>
  </r>
  <r>
    <x v="577"/>
    <n v="539992"/>
    <x v="4"/>
    <x v="92"/>
    <n v="43.51"/>
    <n v="6279.6451659000004"/>
    <n v="1.5586646935826371E-4"/>
    <n v="806"/>
    <n v="614"/>
    <n v="117"/>
    <n v="85"/>
    <n v="272"/>
    <n v="266"/>
    <n v="56"/>
    <n v="36"/>
    <n v="0.14516129032258066"/>
    <n v="0.13843648208469056"/>
    <n v="6.7248082378900953E-3"/>
    <n v="0.20588235294117646"/>
    <n v="0.13533834586466165"/>
    <n v="7.0544007076514814E-2"/>
    <n v="0.31270358306188917"/>
    <n v="0.37647058823529411"/>
    <n v="2.2556390977443552E-2"/>
    <n v="0.55555555555555558"/>
  </r>
  <r>
    <x v="578"/>
    <n v="534809"/>
    <x v="6"/>
    <x v="10"/>
    <n v="8.5399999999999991"/>
    <n v="7377.2572749999999"/>
    <n v="1.8311019406731341E-4"/>
    <n v="2425"/>
    <n v="1545"/>
    <n v="561"/>
    <n v="482"/>
    <n v="875"/>
    <n v="639"/>
    <n v="190"/>
    <n v="147"/>
    <n v="0.231340206185567"/>
    <n v="0.31197411003236247"/>
    <n v="-8.0633903846795474E-2"/>
    <n v="0.21714285714285714"/>
    <n v="0.2300469483568075"/>
    <n v="-1.2904091213950364E-2"/>
    <n v="0.56957928802588986"/>
    <n v="0.16390041493775942"/>
    <n v="0.36932707355242567"/>
    <n v="0.29251700680272119"/>
  </r>
  <r>
    <x v="579"/>
    <n v="532349"/>
    <x v="10"/>
    <x v="86"/>
    <n v="992.9"/>
    <n v="7606.0778306000002"/>
    <n v="1.8878972709437684E-4"/>
    <n v="3628"/>
    <n v="3341"/>
    <n v="33"/>
    <n v="30"/>
    <n v="1260"/>
    <n v="1153"/>
    <n v="115"/>
    <n v="102"/>
    <n v="9.0959206174200669E-3"/>
    <n v="8.9793475007482783E-3"/>
    <n v="1.1657311667178857E-4"/>
    <n v="9.1269841269841265E-2"/>
    <n v="8.8464874241110145E-2"/>
    <n v="2.8049670287311201E-3"/>
    <n v="8.5902424423825119E-2"/>
    <n v="0.10000000000000009"/>
    <n v="9.2801387684301906E-2"/>
    <n v="0.12745098039215685"/>
  </r>
  <r>
    <x v="580"/>
    <n v="532313"/>
    <x v="6"/>
    <x v="35"/>
    <n v="326.45"/>
    <n v="6966.7056080000002"/>
    <n v="1.7291993058364915E-4"/>
    <n v="508"/>
    <n v="363"/>
    <n v="208"/>
    <n v="-23"/>
    <n v="459"/>
    <n v="167"/>
    <n v="108"/>
    <n v="-22"/>
    <n v="0.40944881889763779"/>
    <n v="-6.3360881542699726E-2"/>
    <n v="0.47280970044033754"/>
    <n v="0.23529411764705882"/>
    <n v="-0.1317365269461078"/>
    <n v="0.36703064459316659"/>
    <n v="0.3994490358126721"/>
    <n v="-10.043478260869565"/>
    <n v="1.7485029940119761"/>
    <n v="-5.9090909090909092"/>
  </r>
  <r>
    <x v="581"/>
    <n v="505283"/>
    <x v="4"/>
    <x v="37"/>
    <n v="1122.4000000000001"/>
    <n v="7301.9488552000003"/>
    <n v="1.812409710145657E-4"/>
    <n v="1074"/>
    <n v="1048"/>
    <n v="110"/>
    <n v="131"/>
    <n v="406"/>
    <n v="342"/>
    <n v="41"/>
    <n v="36"/>
    <n v="0.10242085661080075"/>
    <n v="0.125"/>
    <n v="-2.2579143389199252E-2"/>
    <n v="0.10098522167487685"/>
    <n v="0.10526315789473684"/>
    <n v="-4.2779362198599874E-3"/>
    <n v="2.4809160305343525E-2"/>
    <n v="-0.16030534351145043"/>
    <n v="0.1871345029239766"/>
    <n v="0.13888888888888884"/>
  </r>
  <r>
    <x v="582"/>
    <n v="522285"/>
    <x v="4"/>
    <x v="68"/>
    <n v="79.06"/>
    <n v="7680.5956138000001"/>
    <n v="1.9063932583203482E-4"/>
    <n v="5157"/>
    <n v="4324"/>
    <n v="272"/>
    <n v="11"/>
    <n v="1727"/>
    <n v="1656"/>
    <n v="74"/>
    <n v="76"/>
    <n v="5.2743843319759551E-2"/>
    <n v="2.5439407955596669E-3"/>
    <n v="5.0199902524199883E-2"/>
    <n v="4.2848870874348584E-2"/>
    <n v="4.5893719806763288E-2"/>
    <n v="-3.0448489324147038E-3"/>
    <n v="0.19264569842738211"/>
    <n v="23.727272727272727"/>
    <n v="4.287439613526578E-2"/>
    <n v="-2.6315789473684181E-2"/>
  </r>
  <r>
    <x v="583"/>
    <n v="506767"/>
    <x v="8"/>
    <x v="34"/>
    <n v="1308.8"/>
    <n v="6701.4051212000004"/>
    <n v="1.6633493268900805E-4"/>
    <n v="1149"/>
    <n v="1186"/>
    <n v="135"/>
    <n v="140"/>
    <n v="354"/>
    <n v="371"/>
    <n v="42"/>
    <n v="44"/>
    <n v="0.1174934725848564"/>
    <n v="0.11804384485666104"/>
    <n v="-5.5037227180464166E-4"/>
    <n v="0.11864406779661017"/>
    <n v="0.11859838274932614"/>
    <n v="4.5685047284027558E-5"/>
    <n v="-3.1197301854974713E-2"/>
    <n v="-3.5714285714285698E-2"/>
    <n v="-4.5822102425876032E-2"/>
    <n v="-4.5454545454545414E-2"/>
  </r>
  <r>
    <x v="584"/>
    <n v="500265"/>
    <x v="4"/>
    <x v="68"/>
    <n v="595.75"/>
    <n v="7980.2916775000003"/>
    <n v="1.980780530364235E-4"/>
    <n v="3394"/>
    <n v="3851"/>
    <n v="598"/>
    <n v="535"/>
    <n v="1190"/>
    <n v="1408"/>
    <n v="243"/>
    <n v="186"/>
    <n v="0.17619328226281675"/>
    <n v="0.13892495455725787"/>
    <n v="3.7268327705558879E-2"/>
    <n v="0.2042016806722689"/>
    <n v="0.13210227272727273"/>
    <n v="7.2099407944996169E-2"/>
    <n v="-0.11867047520124641"/>
    <n v="0.11775700934579447"/>
    <n v="-0.15482954545454541"/>
    <n v="0.30645161290322576"/>
  </r>
  <r>
    <x v="585"/>
    <n v="512463"/>
    <x v="8"/>
    <x v="135"/>
    <n v="47.04"/>
    <n v="7143.0176542999998"/>
    <n v="1.7729615494602887E-4"/>
    <n v="1037"/>
    <n v="999"/>
    <n v="348"/>
    <n v="99"/>
    <n v="299"/>
    <n v="290"/>
    <n v="38"/>
    <n v="41"/>
    <n v="0.33558341369334621"/>
    <n v="9.90990990990991E-2"/>
    <n v="0.23648431459424712"/>
    <n v="0.12709030100334448"/>
    <n v="0.14137931034482759"/>
    <n v="-1.4289009341483111E-2"/>
    <n v="3.8038038038038069E-2"/>
    <n v="2.5151515151515151"/>
    <n v="3.1034482758620641E-2"/>
    <n v="-7.3170731707317027E-2"/>
  </r>
  <r>
    <x v="586"/>
    <n v="544222"/>
    <x v="7"/>
    <x v="9"/>
    <n v="493.45"/>
    <n v="7544.8663730999997"/>
    <n v="1.8727040338853955E-4"/>
    <n v="3201"/>
    <n v="3062"/>
    <n v="175"/>
    <n v="194"/>
    <n v="1159"/>
    <n v="1010"/>
    <n v="67"/>
    <n v="66"/>
    <n v="5.4670415495157762E-2"/>
    <n v="6.3357282821685179E-2"/>
    <n v="-8.6868673265274171E-3"/>
    <n v="5.7808455565142365E-2"/>
    <n v="6.5346534653465349E-2"/>
    <n v="-7.538079088322984E-3"/>
    <n v="4.53951665578054E-2"/>
    <n v="-9.7938144329896892E-2"/>
    <n v="0.14752475247524743"/>
    <n v="1.5151515151515138E-2"/>
  </r>
  <r>
    <x v="587"/>
    <n v="544192"/>
    <x v="6"/>
    <x v="77"/>
    <n v="163.1"/>
    <n v="7142.3910500000002"/>
    <n v="1.7728060206089835E-4"/>
    <n v="914"/>
    <n v="630"/>
    <n v="39"/>
    <n v="43"/>
    <n v="317"/>
    <n v="241"/>
    <n v="23"/>
    <n v="15"/>
    <n v="4.2669584245076587E-2"/>
    <n v="6.8253968253968247E-2"/>
    <n v="-2.558438400889166E-2"/>
    <n v="7.2555205047318619E-2"/>
    <n v="6.2240663900414939E-2"/>
    <n v="1.031454114690368E-2"/>
    <n v="0.45079365079365075"/>
    <n v="-9.3023255813953543E-2"/>
    <n v="0.31535269709543567"/>
    <n v="0.53333333333333344"/>
  </r>
  <r>
    <x v="588"/>
    <n v="532221"/>
    <x v="3"/>
    <x v="3"/>
    <n v="231.65"/>
    <n v="6424.5361413999999"/>
    <n v="1.5946279434103414E-4"/>
    <n v="8165"/>
    <n v="7540"/>
    <n v="333"/>
    <n v="317"/>
    <n v="3080"/>
    <n v="2842"/>
    <n v="36"/>
    <n v="31"/>
    <n v="4.0783833435394976E-2"/>
    <n v="4.2042440318302385E-2"/>
    <n v="-1.2586068829074093E-3"/>
    <n v="1.1688311688311689E-2"/>
    <n v="1.0907811400422239E-2"/>
    <n v="7.8050028788945007E-4"/>
    <n v="8.2891246684350106E-2"/>
    <n v="5.0473186119873725E-2"/>
    <n v="8.3743842364532028E-2"/>
    <n v="0.16129032258064524"/>
  </r>
  <r>
    <x v="589"/>
    <n v="544317"/>
    <x v="4"/>
    <x v="40"/>
    <n v="495"/>
    <n v="6636.8362500000003"/>
    <n v="1.6473227494027997E-4"/>
    <n v="4948"/>
    <n v="3306"/>
    <n v="307"/>
    <n v="200"/>
    <n v="1777"/>
    <n v="1340"/>
    <n v="110"/>
    <n v="93"/>
    <n v="6.2045270816491513E-2"/>
    <n v="6.0496067755595885E-2"/>
    <n v="1.5492030608956278E-3"/>
    <n v="6.1902082160945414E-2"/>
    <n v="6.9402985074626861E-2"/>
    <n v="-7.5009029136814467E-3"/>
    <n v="0.49667271627344212"/>
    <n v="0.53499999999999992"/>
    <n v="0.32611940298507469"/>
    <n v="0.18279569892473124"/>
  </r>
  <r>
    <x v="590"/>
    <n v="522163"/>
    <x v="4"/>
    <x v="60"/>
    <n v="127.55"/>
    <n v="6718.8802500000002"/>
    <n v="1.6676868118206429E-4"/>
    <n v="1214"/>
    <n v="781"/>
    <n v="97"/>
    <n v="26"/>
    <n v="474"/>
    <n v="307"/>
    <n v="49"/>
    <n v="6"/>
    <n v="7.9901153212520587E-2"/>
    <n v="3.3290653008962869E-2"/>
    <n v="4.6610500203557718E-2"/>
    <n v="0.10337552742616034"/>
    <n v="1.9543973941368076E-2"/>
    <n v="8.3831553484792265E-2"/>
    <n v="0.5544174135723432"/>
    <n v="2.7307692307692308"/>
    <n v="0.5439739413680782"/>
    <n v="7.1666666666666661"/>
  </r>
  <r>
    <x v="591"/>
    <n v="500335"/>
    <x v="8"/>
    <x v="11"/>
    <n v="892.7"/>
    <n v="6893.9030634999999"/>
    <n v="1.7111290562097571E-4"/>
    <n v="6819"/>
    <n v="6400"/>
    <n v="263"/>
    <n v="39"/>
    <n v="2159"/>
    <n v="2257"/>
    <n v="53"/>
    <n v="31"/>
    <n v="3.8568705088722684E-2"/>
    <n v="6.0937500000000002E-3"/>
    <n v="3.2474955088722682E-2"/>
    <n v="2.4548402037980546E-2"/>
    <n v="1.3735046521931768E-2"/>
    <n v="1.0813355516048779E-2"/>
    <n v="6.5468749999999964E-2"/>
    <n v="5.7435897435897436"/>
    <n v="-4.3420469649977811E-2"/>
    <n v="0.70967741935483875"/>
  </r>
  <r>
    <x v="592"/>
    <n v="540293"/>
    <x v="6"/>
    <x v="52"/>
    <n v="533.75"/>
    <n v="6487.1375150000003"/>
    <n v="1.6101661702085608E-4"/>
    <n v="2886"/>
    <n v="1869"/>
    <n v="178"/>
    <n v="132"/>
    <n v="1020"/>
    <n v="616"/>
    <n v="64"/>
    <n v="41"/>
    <n v="6.1677061677061676E-2"/>
    <n v="7.0626003210272875E-2"/>
    <n v="-8.9489415332111993E-3"/>
    <n v="6.2745098039215685E-2"/>
    <n v="6.6558441558441553E-2"/>
    <n v="-3.8133435192258675E-3"/>
    <n v="0.54414125200642061"/>
    <n v="0.3484848484848484"/>
    <n v="0.6558441558441559"/>
    <n v="0.56097560975609762"/>
  </r>
  <r>
    <x v="593"/>
    <n v="544256"/>
    <x v="6"/>
    <x v="10"/>
    <n v="583.29999999999995"/>
    <n v="7905.0084749999996"/>
    <n v="1.9620945589985639E-4"/>
    <n v="7194"/>
    <n v="6105"/>
    <n v="319"/>
    <n v="156"/>
    <n v="3302"/>
    <n v="2435"/>
    <n v="170"/>
    <n v="86"/>
    <n v="4.4342507645259939E-2"/>
    <n v="2.5552825552825554E-2"/>
    <n v="1.8789682092434385E-2"/>
    <n v="5.14839491217444E-2"/>
    <n v="3.5318275154004104E-2"/>
    <n v="1.6165673967740296E-2"/>
    <n v="0.17837837837837833"/>
    <n v="1.0448717948717947"/>
    <n v="0.35605749486652982"/>
    <n v="0.97674418604651159"/>
  </r>
  <r>
    <x v="594"/>
    <n v="542323"/>
    <x v="9"/>
    <x v="12"/>
    <n v="392.05"/>
    <n v="8124.4266383000004"/>
    <n v="2.0165561305095786E-4"/>
    <n v="1900"/>
    <n v="1166"/>
    <n v="353"/>
    <n v="221"/>
    <n v="662"/>
    <n v="458"/>
    <n v="125"/>
    <n v="85"/>
    <n v="0.18578947368421053"/>
    <n v="0.1895368782161235"/>
    <n v="-3.7474045319129679E-3"/>
    <n v="0.18882175226586104"/>
    <n v="0.18558951965065501"/>
    <n v="3.2322326152060266E-3"/>
    <n v="0.6295025728987993"/>
    <n v="0.59728506787330327"/>
    <n v="0.44541484716157198"/>
    <n v="0.47058823529411775"/>
  </r>
  <r>
    <x v="595"/>
    <n v="543243"/>
    <x v="2"/>
    <x v="62"/>
    <n v="54.8"/>
    <n v="6255.2078497000002"/>
    <n v="1.5525991308063054E-4"/>
    <n v="5767"/>
    <n v="5353"/>
    <n v="-109"/>
    <n v="104"/>
    <n v="1981"/>
    <n v="1850"/>
    <n v="90"/>
    <n v="66"/>
    <n v="-1.8900641581411481E-2"/>
    <n v="1.9428357930132634E-2"/>
    <n v="-3.8328999511544115E-2"/>
    <n v="4.5431600201918221E-2"/>
    <n v="3.5675675675675679E-2"/>
    <n v="9.7559245262425417E-3"/>
    <n v="7.7339809452643404E-2"/>
    <n v="-2.0480769230769234"/>
    <n v="7.0810810810810754E-2"/>
    <n v="0.36363636363636354"/>
  </r>
  <r>
    <x v="596"/>
    <n v="505242"/>
    <x v="4"/>
    <x v="92"/>
    <n v="9282.2999999999993"/>
    <n v="6306.8726133"/>
    <n v="1.5654227921435573E-4"/>
    <n v="1188"/>
    <n v="1023"/>
    <n v="19"/>
    <n v="26"/>
    <n v="424"/>
    <n v="315"/>
    <n v="5"/>
    <n v="3"/>
    <n v="1.5993265993265993E-2"/>
    <n v="2.5415444770283482E-2"/>
    <n v="-9.4221787770174883E-3"/>
    <n v="1.179245283018868E-2"/>
    <n v="9.5238095238095247E-3"/>
    <n v="2.2686433063791554E-3"/>
    <n v="0.16129032258064524"/>
    <n v="-0.26923076923076927"/>
    <n v="0.34603174603174613"/>
    <n v="0.66666666666666674"/>
  </r>
  <r>
    <x v="597"/>
    <n v="533095"/>
    <x v="2"/>
    <x v="4"/>
    <n v="5603.15"/>
    <n v="6389.7705139"/>
    <n v="1.5859988004089581E-4"/>
    <n v="1845"/>
    <n v="1606"/>
    <n v="639"/>
    <n v="524"/>
    <n v="563"/>
    <n v="681"/>
    <n v="155"/>
    <n v="225"/>
    <n v="0.34634146341463412"/>
    <n v="0.32627646326276466"/>
    <n v="2.0065000151869461E-2"/>
    <n v="0.27531083481349911"/>
    <n v="0.33039647577092512"/>
    <n v="-5.5085640957426019E-2"/>
    <n v="0.14881693648816929"/>
    <n v="0.21946564885496178"/>
    <n v="-0.17327459618208518"/>
    <n v="-0.31111111111111112"/>
  </r>
  <r>
    <x v="598"/>
    <n v="532867"/>
    <x v="6"/>
    <x v="36"/>
    <n v="193.05"/>
    <n v="7053.5478890000004"/>
    <n v="1.7507543449714908E-4"/>
    <n v="2270"/>
    <n v="1385"/>
    <n v="143"/>
    <n v="65"/>
    <n v="929"/>
    <n v="590"/>
    <n v="102"/>
    <n v="51"/>
    <n v="6.2995594713656386E-2"/>
    <n v="4.6931407942238268E-2"/>
    <n v="1.6064186771418118E-2"/>
    <n v="0.10979547900968784"/>
    <n v="8.6440677966101692E-2"/>
    <n v="2.3354801043586143E-2"/>
    <n v="0.63898916967509023"/>
    <n v="1.2000000000000002"/>
    <n v="0.57457627118644061"/>
    <n v="1"/>
  </r>
  <r>
    <x v="599"/>
    <n v="532915"/>
    <x v="2"/>
    <x v="31"/>
    <n v="219.55"/>
    <n v="7308.6088335000004"/>
    <n v="1.8140627769610573E-4"/>
    <n v="6033"/>
    <n v="5355"/>
    <n v="-22"/>
    <n v="32"/>
    <n v="2067"/>
    <n v="1670"/>
    <n v="-76"/>
    <n v="-63"/>
    <n v="-3.6466103099618763E-3"/>
    <n v="5.9757236227824459E-3"/>
    <n v="-9.622333932744323E-3"/>
    <n v="-3.6768263183357526E-2"/>
    <n v="-3.772455089820359E-2"/>
    <n v="9.562877148460644E-4"/>
    <n v="0.12661064425770308"/>
    <n v="-1.6875"/>
    <n v="0.23772455089820355"/>
    <n v="0.20634920634920628"/>
  </r>
  <r>
    <x v="600"/>
    <n v="517506"/>
    <x v="6"/>
    <x v="51"/>
    <n v="458"/>
    <n v="6257.9715426000002"/>
    <n v="1.5532851043658508E-4"/>
    <n v="2244"/>
    <n v="2065"/>
    <n v="121"/>
    <n v="150"/>
    <n v="801"/>
    <n v="727"/>
    <n v="32"/>
    <n v="57"/>
    <n v="5.3921568627450983E-2"/>
    <n v="7.2639225181598058E-2"/>
    <n v="-1.8717656554147075E-2"/>
    <n v="3.9950062421972535E-2"/>
    <n v="7.8404401650618988E-2"/>
    <n v="-3.8454339228646453E-2"/>
    <n v="8.6682808716707083E-2"/>
    <n v="-0.19333333333333336"/>
    <n v="0.10178817056396139"/>
    <n v="-0.43859649122807021"/>
  </r>
  <r>
    <x v="601"/>
    <n v="505192"/>
    <x v="4"/>
    <x v="42"/>
    <n v="4076.3"/>
    <n v="5876.9359999999997"/>
    <n v="1.4587086384094968E-4"/>
    <n v="1940"/>
    <n v="1627"/>
    <n v="106"/>
    <n v="69"/>
    <n v="539"/>
    <n v="331"/>
    <n v="18"/>
    <n v="0.53"/>
    <n v="5.4639175257731959E-2"/>
    <n v="4.2409342347879533E-2"/>
    <n v="1.2229832909852426E-2"/>
    <n v="3.3395176252319109E-2"/>
    <n v="1.6012084592145015E-3"/>
    <n v="3.1793967793104609E-2"/>
    <n v="0.19237861094038111"/>
    <n v="0.53623188405797095"/>
    <n v="0.6283987915407856"/>
    <n v="32.962264150943398"/>
  </r>
  <r>
    <x v="602"/>
    <n v="532808"/>
    <x v="6"/>
    <x v="84"/>
    <n v="1529.95"/>
    <n v="7098.8278139000004"/>
    <n v="1.7619932316291238E-4"/>
    <n v="3737"/>
    <n v="3305"/>
    <n v="189"/>
    <n v="165"/>
    <n v="1170"/>
    <n v="1022"/>
    <n v="51"/>
    <n v="48"/>
    <n v="5.0575327803050574E-2"/>
    <n v="4.9924357034795766E-2"/>
    <n v="6.5097076825480771E-4"/>
    <n v="4.3589743589743588E-2"/>
    <n v="4.6966731898238745E-2"/>
    <n v="-3.3769883084951574E-3"/>
    <n v="0.13071104387291976"/>
    <n v="0.1454545454545455"/>
    <n v="0.14481409001956957"/>
    <n v="6.25E-2"/>
  </r>
  <r>
    <x v="603"/>
    <n v="540900"/>
    <x v="3"/>
    <x v="3"/>
    <n v="441"/>
    <n v="6232.51188"/>
    <n v="1.5469657859717742E-4"/>
    <n v="1121"/>
    <n v="1056"/>
    <n v="194"/>
    <n v="206"/>
    <n v="400"/>
    <n v="381"/>
    <n v="62"/>
    <n v="89"/>
    <n v="0.17305976806422838"/>
    <n v="0.19507575757575757"/>
    <n v="-2.2015989511529194E-2"/>
    <n v="0.155"/>
    <n v="0.23359580052493439"/>
    <n v="-7.8595800524934395E-2"/>
    <n v="6.1553030303030276E-2"/>
    <n v="-5.8252427184465994E-2"/>
    <n v="4.986876640419946E-2"/>
    <n v="-0.3033707865168539"/>
  </r>
  <r>
    <x v="604"/>
    <n v="533047"/>
    <x v="8"/>
    <x v="136"/>
    <n v="1283.6500000000001"/>
    <n v="6927.7064399999999"/>
    <n v="1.7195193598148938E-4"/>
    <n v="2063"/>
    <n v="1997"/>
    <n v="322"/>
    <n v="332"/>
    <n v="703"/>
    <n v="643"/>
    <n v="131"/>
    <n v="93"/>
    <n v="0.15608337372758119"/>
    <n v="0.16624937406109164"/>
    <n v="-1.016600033351045E-2"/>
    <n v="0.18634423897581792"/>
    <n v="0.14463452566096424"/>
    <n v="4.170971331485368E-2"/>
    <n v="3.3049574361542211E-2"/>
    <n v="-3.0120481927710885E-2"/>
    <n v="9.3312597200622127E-2"/>
    <n v="0.40860215053763449"/>
  </r>
  <r>
    <x v="605"/>
    <n v="540047"/>
    <x v="4"/>
    <x v="5"/>
    <n v="402.7"/>
    <n v="6542.46432"/>
    <n v="1.6238987833234726E-4"/>
    <n v="6684"/>
    <n v="8220"/>
    <n v="1274"/>
    <n v="563"/>
    <n v="2137"/>
    <n v="2589"/>
    <n v="788"/>
    <n v="157"/>
    <n v="0.19060442848593656"/>
    <n v="6.8491484184914839E-2"/>
    <n v="0.12211294430102172"/>
    <n v="0.36874122601778192"/>
    <n v="6.0641174198532252E-2"/>
    <n v="0.30810005181924965"/>
    <n v="-0.18686131386861315"/>
    <n v="1.2628774422735347"/>
    <n v="-0.17458478176902281"/>
    <n v="4.0191082802547768"/>
  </r>
  <r>
    <x v="606"/>
    <n v="540935"/>
    <x v="8"/>
    <x v="34"/>
    <n v="1681.95"/>
    <n v="5956.3980000000001"/>
    <n v="1.4784318250879458E-4"/>
    <n v="3933"/>
    <n v="3078"/>
    <n v="205"/>
    <n v="229"/>
    <n v="1329"/>
    <n v="1041"/>
    <n v="59"/>
    <n v="65"/>
    <n v="5.2123061276379355E-2"/>
    <n v="7.439896036387264E-2"/>
    <n v="-2.2275899087493285E-2"/>
    <n v="4.439428141459744E-2"/>
    <n v="6.2439961575408258E-2"/>
    <n v="-1.8045680160810817E-2"/>
    <n v="0.27777777777777768"/>
    <n v="-0.10480349344978168"/>
    <n v="0.27665706051873196"/>
    <n v="-9.2307692307692313E-2"/>
  </r>
  <r>
    <x v="607"/>
    <n v="521070"/>
    <x v="6"/>
    <x v="89"/>
    <n v="12.65"/>
    <n v="6285.9937642000004"/>
    <n v="1.5602404730673895E-4"/>
    <n v="2731"/>
    <n v="2755"/>
    <n v="-551"/>
    <n v="-741"/>
    <n v="858"/>
    <n v="863"/>
    <n v="-217"/>
    <n v="-272"/>
    <n v="-0.20175759794946907"/>
    <n v="-0.26896551724137929"/>
    <n v="6.7207919291910223E-2"/>
    <n v="-0.2529137529137529"/>
    <n v="-0.31517960602549244"/>
    <n v="6.2265853111739544E-2"/>
    <n v="-8.7114337568058309E-3"/>
    <n v="-0.25641025641025639"/>
    <n v="-5.7937427578215184E-3"/>
    <n v="-0.20220588235294112"/>
  </r>
  <r>
    <x v="608"/>
    <n v="532375"/>
    <x v="6"/>
    <x v="102"/>
    <n v="527.95000000000005"/>
    <n v="6755.2557735"/>
    <n v="1.6767155455615101E-4"/>
    <n v="271"/>
    <n v="232"/>
    <n v="157"/>
    <n v="135"/>
    <n v="94"/>
    <n v="77"/>
    <n v="58"/>
    <n v="44"/>
    <n v="0.57933579335793361"/>
    <n v="0.5818965517241379"/>
    <n v="-2.5607583662042854E-3"/>
    <n v="0.61702127659574468"/>
    <n v="0.5714285714285714"/>
    <n v="4.5592705167173286E-2"/>
    <n v="0.1681034482758621"/>
    <n v="0.16296296296296298"/>
    <n v="0.22077922077922074"/>
    <n v="0.31818181818181812"/>
  </r>
  <r>
    <x v="609"/>
    <n v="543306"/>
    <x v="5"/>
    <x v="104"/>
    <n v="1017"/>
    <n v="6124.4783295999996"/>
    <n v="1.5201508822180955E-4"/>
    <n v="3050"/>
    <n v="2810"/>
    <n v="19"/>
    <n v="19"/>
    <n v="1025"/>
    <n v="901"/>
    <n v="68"/>
    <n v="63"/>
    <n v="6.2295081967213119E-3"/>
    <n v="6.7615658362989326E-3"/>
    <n v="-5.3205763957762074E-4"/>
    <n v="6.634146341463415E-2"/>
    <n v="6.9922308546059936E-2"/>
    <n v="-3.5808451314257861E-3"/>
    <n v="8.5409252669039093E-2"/>
    <n v="0"/>
    <n v="0.13762486126526086"/>
    <n v="7.9365079365079305E-2"/>
  </r>
  <r>
    <x v="610"/>
    <n v="543657"/>
    <x v="8"/>
    <x v="34"/>
    <n v="575.95000000000005"/>
    <n v="7098.8580000000002"/>
    <n v="1.7620007240920041E-4"/>
    <n v="780"/>
    <n v="695"/>
    <n v="93"/>
    <n v="108"/>
    <n v="254"/>
    <n v="242"/>
    <n v="23"/>
    <n v="47"/>
    <n v="0.11923076923076924"/>
    <n v="0.1553956834532374"/>
    <n v="-3.6164914222468161E-2"/>
    <n v="9.055118110236221E-2"/>
    <n v="0.19421487603305784"/>
    <n v="-0.10366369493069563"/>
    <n v="0.1223021582733812"/>
    <n v="-0.13888888888888884"/>
    <n v="4.9586776859504189E-2"/>
    <n v="-0.5106382978723405"/>
  </r>
  <r>
    <x v="611"/>
    <n v="500135"/>
    <x v="4"/>
    <x v="137"/>
    <n v="216.45"/>
    <n v="6930.8028289000003"/>
    <n v="1.7202879115289684E-4"/>
    <n v="3462"/>
    <n v="3107"/>
    <n v="290"/>
    <n v="248"/>
    <n v="1148"/>
    <n v="1014"/>
    <n v="83"/>
    <n v="94"/>
    <n v="8.3766608896591571E-2"/>
    <n v="7.9819761828130026E-2"/>
    <n v="3.9468470684615453E-3"/>
    <n v="7.2299651567944254E-2"/>
    <n v="9.270216962524655E-2"/>
    <n v="-2.0402518057302296E-2"/>
    <n v="0.11425812681042813"/>
    <n v="0.16935483870967749"/>
    <n v="0.13214990138067062"/>
    <n v="-0.11702127659574468"/>
  </r>
  <r>
    <x v="612"/>
    <n v="500123"/>
    <x v="8"/>
    <x v="34"/>
    <n v="8302.9500000000007"/>
    <n v="6582.3140506999998"/>
    <n v="1.6337898466956758E-4"/>
    <n v="848"/>
    <n v="748"/>
    <n v="148"/>
    <n v="139"/>
    <n v="215"/>
    <n v="197"/>
    <n v="39"/>
    <n v="30"/>
    <n v="0.17452830188679244"/>
    <n v="0.18582887700534759"/>
    <n v="-1.1300575118555145E-2"/>
    <n v="0.18139534883720931"/>
    <n v="0.15228426395939088"/>
    <n v="2.9111084877818438E-2"/>
    <n v="0.1336898395721926"/>
    <n v="6.4748201438848962E-2"/>
    <n v="9.137055837563457E-2"/>
    <n v="0.30000000000000004"/>
  </r>
  <r>
    <x v="613"/>
    <n v="506655"/>
    <x v="8"/>
    <x v="138"/>
    <n v="757.85"/>
    <n v="5950.9231010000003"/>
    <n v="1.4770729056670572E-4"/>
    <n v="6997"/>
    <n v="1996"/>
    <n v="-42"/>
    <n v="60"/>
    <n v="2103"/>
    <n v="666"/>
    <n v="-116"/>
    <n v="0.5"/>
    <n v="-6.0025725310847503E-3"/>
    <n v="3.0060120240480961E-2"/>
    <n v="-3.6062692771565708E-2"/>
    <n v="-5.515929624346172E-2"/>
    <n v="7.5075075075075074E-4"/>
    <n v="-5.5910046994212467E-2"/>
    <n v="2.5055110220440882"/>
    <n v="-1.7"/>
    <n v="2.1576576576576576"/>
    <n v="-233"/>
  </r>
  <r>
    <x v="614"/>
    <n v="524230"/>
    <x v="8"/>
    <x v="67"/>
    <n v="116.9"/>
    <n v="6454.7496000000001"/>
    <n v="1.6021271969424622E-4"/>
    <n v="12899"/>
    <n v="13204"/>
    <n v="241"/>
    <n v="170"/>
    <n v="4236"/>
    <n v="4518"/>
    <n v="81"/>
    <n v="80"/>
    <n v="1.8683618885184897E-2"/>
    <n v="1.2874886398061194E-2"/>
    <n v="5.808732487123703E-3"/>
    <n v="1.9121813031161474E-2"/>
    <n v="1.7706949977866312E-2"/>
    <n v="1.4148630532951623E-3"/>
    <n v="-2.3099060890639178E-2"/>
    <n v="0.41764705882352948"/>
    <n v="-6.2416998671978696E-2"/>
    <n v="1.2499999999999956E-2"/>
  </r>
  <r>
    <x v="615"/>
    <n v="544009"/>
    <x v="7"/>
    <x v="9"/>
    <n v="362.9"/>
    <n v="6280.3145952000004"/>
    <n v="1.5588308519860492E-4"/>
    <n v="712"/>
    <n v="689"/>
    <n v="183"/>
    <n v="195"/>
    <n v="192"/>
    <n v="318"/>
    <n v="40"/>
    <n v="98"/>
    <n v="0.25702247191011235"/>
    <n v="0.28301886792452829"/>
    <n v="-2.5996396014415946E-2"/>
    <n v="0.20833333333333334"/>
    <n v="0.3081761006289308"/>
    <n v="-9.9842767295597462E-2"/>
    <n v="3.3381712626995741E-2"/>
    <n v="-6.1538461538461542E-2"/>
    <n v="-0.39622641509433965"/>
    <n v="-0.59183673469387754"/>
  </r>
  <r>
    <x v="616"/>
    <n v="543896"/>
    <x v="4"/>
    <x v="60"/>
    <n v="959.4"/>
    <n v="6406.5468012000001"/>
    <n v="1.5901628265622037E-4"/>
    <n v="1123"/>
    <n v="755"/>
    <n v="71"/>
    <n v="39"/>
    <n v="417"/>
    <n v="280"/>
    <n v="32"/>
    <n v="23"/>
    <n v="6.3223508459483532E-2"/>
    <n v="5.1655629139072845E-2"/>
    <n v="1.1567879320410687E-2"/>
    <n v="7.6738609112709827E-2"/>
    <n v="8.2142857142857142E-2"/>
    <n v="-5.4042480301473156E-3"/>
    <n v="0.48741721854304632"/>
    <n v="0.82051282051282048"/>
    <n v="0.48928571428571432"/>
    <n v="0.39130434782608692"/>
  </r>
  <r>
    <x v="617"/>
    <n v="543398"/>
    <x v="3"/>
    <x v="3"/>
    <n v="303.05"/>
    <n v="6276.0319644000001"/>
    <n v="1.5577678643096342E-4"/>
    <n v="771"/>
    <n v="615"/>
    <n v="147"/>
    <n v="122"/>
    <n v="278"/>
    <n v="227"/>
    <n v="50"/>
    <n v="42"/>
    <n v="0.19066147859922178"/>
    <n v="0.19837398373983739"/>
    <n v="-7.7125051406156109E-3"/>
    <n v="0.17985611510791366"/>
    <n v="0.18502202643171806"/>
    <n v="-5.1659113238043952E-3"/>
    <n v="0.25365853658536586"/>
    <n v="0.20491803278688514"/>
    <n v="0.22466960352422904"/>
    <n v="0.19047619047619047"/>
  </r>
  <r>
    <x v="618"/>
    <n v="543667"/>
    <x v="9"/>
    <x v="12"/>
    <n v="145.85"/>
    <n v="5850.1402015000003"/>
    <n v="1.4520576790073478E-4"/>
    <n v="223"/>
    <n v="167"/>
    <n v="75"/>
    <n v="15"/>
    <n v="81"/>
    <n v="61"/>
    <n v="24"/>
    <n v="5"/>
    <n v="0.33632286995515698"/>
    <n v="8.9820359281437126E-2"/>
    <n v="0.24650251067371987"/>
    <n v="0.29629629629629628"/>
    <n v="8.1967213114754092E-2"/>
    <n v="0.2143290831815422"/>
    <n v="0.33532934131736525"/>
    <n v="4"/>
    <n v="0.32786885245901631"/>
    <n v="3.8"/>
  </r>
  <r>
    <x v="619"/>
    <n v="543950"/>
    <x v="7"/>
    <x v="47"/>
    <n v="674.9"/>
    <n v="6480.7586504000001"/>
    <n v="1.6085828783545631E-4"/>
    <n v="857"/>
    <n v="648"/>
    <n v="126"/>
    <n v="91"/>
    <n v="320"/>
    <n v="219"/>
    <n v="43"/>
    <n v="30"/>
    <n v="0.14702450408401399"/>
    <n v="0.14043209876543211"/>
    <n v="6.5924053185818787E-3"/>
    <n v="0.13437499999999999"/>
    <n v="0.13698630136986301"/>
    <n v="-2.6113013698630116E-3"/>
    <n v="0.32253086419753085"/>
    <n v="0.38461538461538458"/>
    <n v="0.46118721461187207"/>
    <n v="0.43333333333333335"/>
  </r>
  <r>
    <x v="620"/>
    <n v="544008"/>
    <x v="6"/>
    <x v="35"/>
    <n v="356.05"/>
    <n v="5818.83068"/>
    <n v="1.4442863727558386E-4"/>
    <n v="150"/>
    <n v="120"/>
    <n v="19"/>
    <n v="12"/>
    <n v="49"/>
    <n v="40"/>
    <n v="3"/>
    <n v="15"/>
    <n v="0.12666666666666668"/>
    <n v="0.1"/>
    <n v="2.6666666666666672E-2"/>
    <n v="6.1224489795918366E-2"/>
    <n v="0.375"/>
    <n v="-0.31377551020408162"/>
    <n v="0.25"/>
    <n v="0.58333333333333326"/>
    <n v="0.22500000000000009"/>
    <n v="-0.8"/>
  </r>
  <r>
    <x v="621"/>
    <n v="500690"/>
    <x v="8"/>
    <x v="67"/>
    <n v="152.15"/>
    <n v="6062.4366606000003"/>
    <n v="1.5047515791609173E-4"/>
    <n v="8313"/>
    <n v="7612"/>
    <n v="621"/>
    <n v="519"/>
    <n v="2941"/>
    <n v="2841"/>
    <n v="158"/>
    <n v="134"/>
    <n v="7.4702273547455789E-2"/>
    <n v="6.8181818181818177E-2"/>
    <n v="6.5204553656376119E-3"/>
    <n v="5.3723223393403602E-2"/>
    <n v="4.7166490672298486E-2"/>
    <n v="6.5567327211051157E-3"/>
    <n v="9.2091434576983655E-2"/>
    <n v="0.19653179190751446"/>
    <n v="3.5198873636043571E-2"/>
    <n v="0.17910447761194037"/>
  </r>
  <r>
    <x v="622"/>
    <n v="500670"/>
    <x v="8"/>
    <x v="61"/>
    <n v="402.15"/>
    <n v="5908.4816155999997"/>
    <n v="1.4665385453507441E-4"/>
    <n v="1996"/>
    <n v="1899"/>
    <n v="150"/>
    <n v="163"/>
    <n v="1996"/>
    <n v="1899"/>
    <n v="150"/>
    <n v="158"/>
    <n v="7.5150300601202411E-2"/>
    <n v="8.5834649815692471E-2"/>
    <n v="-1.068434921449006E-2"/>
    <n v="7.5150300601202411E-2"/>
    <n v="8.3201685097419695E-2"/>
    <n v="-8.0513844962172842E-3"/>
    <n v="5.1079515534491859E-2"/>
    <n v="-7.9754601226993849E-2"/>
    <n v="5.1079515534491859E-2"/>
    <n v="-5.0632911392405111E-2"/>
  </r>
  <r>
    <x v="623"/>
    <n v="542867"/>
    <x v="2"/>
    <x v="2"/>
    <n v="371.55"/>
    <n v="6288.3954707000003"/>
    <n v="1.5608365983303622E-4"/>
    <n v="4174"/>
    <n v="3206"/>
    <n v="431"/>
    <n v="403"/>
    <n v="1430"/>
    <n v="1138"/>
    <n v="152"/>
    <n v="151"/>
    <n v="0.10325826545280306"/>
    <n v="0.12570180910792264"/>
    <n v="-2.244354365511958E-2"/>
    <n v="0.1062937062937063"/>
    <n v="0.13268892794376097"/>
    <n v="-2.6395221650054673E-2"/>
    <n v="0.3019338739862758"/>
    <n v="6.9478908188585597E-2"/>
    <n v="0.25659050966608077"/>
    <n v="6.6225165562914245E-3"/>
  </r>
  <r>
    <x v="624"/>
    <n v="541195"/>
    <x v="4"/>
    <x v="15"/>
    <n v="305.25"/>
    <n v="5723.2370000000001"/>
    <n v="1.420559157282784E-4"/>
    <n v="655"/>
    <n v="663"/>
    <n v="53"/>
    <n v="53"/>
    <n v="275"/>
    <n v="237"/>
    <n v="27"/>
    <n v="25"/>
    <n v="8.0916030534351147E-2"/>
    <n v="7.9939668174962286E-2"/>
    <n v="9.763623593888604E-4"/>
    <n v="9.8181818181818176E-2"/>
    <n v="0.10548523206751055"/>
    <n v="-7.3034138856923753E-3"/>
    <n v="-1.2066365007541435E-2"/>
    <n v="0"/>
    <n v="0.16033755274261607"/>
    <n v="8.0000000000000071E-2"/>
  </r>
  <r>
    <x v="625"/>
    <n v="532553"/>
    <x v="4"/>
    <x v="5"/>
    <n v="440.75"/>
    <n v="6029.384333"/>
    <n v="1.4965476926816939E-4"/>
    <n v="2416"/>
    <n v="2641"/>
    <n v="230"/>
    <n v="248"/>
    <n v="789"/>
    <n v="896"/>
    <n v="31"/>
    <n v="77"/>
    <n v="9.5198675496688742E-2"/>
    <n v="9.3903824308973871E-2"/>
    <n v="1.2948511877148711E-3"/>
    <n v="3.9290240811153357E-2"/>
    <n v="8.59375E-2"/>
    <n v="-4.6647259188846643E-2"/>
    <n v="-8.5195001893222266E-2"/>
    <n v="-7.2580645161290369E-2"/>
    <n v="-0.1194196428571429"/>
    <n v="-0.59740259740259738"/>
  </r>
  <r>
    <x v="626"/>
    <n v="524226"/>
    <x v="5"/>
    <x v="117"/>
    <n v="145.1"/>
    <n v="6660.0569071"/>
    <n v="1.6530863263928018E-4"/>
    <n v="4262"/>
    <n v="3346"/>
    <n v="169"/>
    <n v="217"/>
    <n v="1481"/>
    <n v="1131"/>
    <n v="66"/>
    <n v="71"/>
    <n v="3.9652745190051616E-2"/>
    <n v="6.4853556485355651E-2"/>
    <n v="-2.5200811295304035E-2"/>
    <n v="4.4564483457123563E-2"/>
    <n v="6.2776304155614499E-2"/>
    <n v="-1.8211820698490935E-2"/>
    <n v="0.27375971309025693"/>
    <n v="-0.22119815668202769"/>
    <n v="0.30946065428824054"/>
    <n v="-7.0422535211267623E-2"/>
  </r>
  <r>
    <x v="627"/>
    <n v="543748"/>
    <x v="7"/>
    <x v="9"/>
    <n v="648.70000000000005"/>
    <n v="5880.0614435999996"/>
    <n v="1.4594844017627446E-4"/>
    <n v="1236"/>
    <n v="1551"/>
    <n v="125"/>
    <n v="184"/>
    <n v="432"/>
    <n v="537"/>
    <n v="47"/>
    <n v="73"/>
    <n v="0.1011326860841424"/>
    <n v="0.11863313990973566"/>
    <n v="-1.750045382559326E-2"/>
    <n v="0.10879629629629629"/>
    <n v="0.13594040968342644"/>
    <n v="-2.7144113387130145E-2"/>
    <n v="-0.20309477756286265"/>
    <n v="-0.32065217391304346"/>
    <n v="-0.1955307262569832"/>
    <n v="-0.35616438356164382"/>
  </r>
  <r>
    <x v="628"/>
    <n v="533033"/>
    <x v="4"/>
    <x v="5"/>
    <n v="913.95"/>
    <n v="6727.9492499999997"/>
    <n v="1.6699378195977795E-4"/>
    <n v="4770"/>
    <n v="4677"/>
    <n v="199"/>
    <n v="185"/>
    <n v="1738"/>
    <n v="1495"/>
    <n v="112"/>
    <n v="58"/>
    <n v="4.1719077568134172E-2"/>
    <n v="3.955527047252512E-2"/>
    <n v="2.1638070956090522E-3"/>
    <n v="6.4441887226697359E-2"/>
    <n v="3.8795986622073578E-2"/>
    <n v="2.5645900604623781E-2"/>
    <n v="1.9884541372674702E-2"/>
    <n v="7.5675675675675569E-2"/>
    <n v="0.16254180602006696"/>
    <n v="0.93103448275862077"/>
  </r>
  <r>
    <x v="629"/>
    <n v="544367"/>
    <x v="4"/>
    <x v="40"/>
    <n v="882.9"/>
    <n v="6830.1824939999997"/>
    <n v="1.695313034872444E-4"/>
    <n v="666"/>
    <n v="228"/>
    <n v="134"/>
    <n v="69"/>
    <n v="283"/>
    <n v="72"/>
    <n v="62"/>
    <n v="19"/>
    <n v="0.20120120120120119"/>
    <n v="0.30263157894736842"/>
    <n v="-0.10143037774616723"/>
    <n v="0.21908127208480566"/>
    <n v="0.2638888888888889"/>
    <n v="-4.4807616804083239E-2"/>
    <n v="1.9210526315789473"/>
    <n v="0.94202898550724634"/>
    <n v="2.9305555555555554"/>
    <n v="2.263157894736842"/>
  </r>
  <r>
    <x v="630"/>
    <n v="543957"/>
    <x v="6"/>
    <x v="90"/>
    <n v="115"/>
    <n v="6357.8403256000001"/>
    <n v="1.5780734390473148E-4"/>
    <n v="1743"/>
    <n v="1514"/>
    <n v="170"/>
    <n v="128"/>
    <n v="786"/>
    <n v="661"/>
    <n v="104"/>
    <n v="73"/>
    <n v="9.7532989099254161E-2"/>
    <n v="8.4544253632760899E-2"/>
    <n v="1.2988735466493262E-2"/>
    <n v="0.13231552162849872"/>
    <n v="0.11043872919818457"/>
    <n v="2.1876792430314151E-2"/>
    <n v="0.15125495376486131"/>
    <n v="0.328125"/>
    <n v="0.18910741301059009"/>
    <n v="0.42465753424657526"/>
  </r>
  <r>
    <x v="631"/>
    <n v="543397"/>
    <x v="6"/>
    <x v="85"/>
    <n v="157.15"/>
    <n v="5046.7937437000001"/>
    <n v="1.2526598265160952E-4"/>
    <n v="2333"/>
    <n v="2170"/>
    <n v="-19"/>
    <n v="14"/>
    <n v="813"/>
    <n v="756"/>
    <n v="-4"/>
    <n v="12"/>
    <n v="-8.144020574367767E-3"/>
    <n v="6.4516129032258064E-3"/>
    <n v="-1.4595633477593573E-2"/>
    <n v="-4.9200492004920051E-3"/>
    <n v="1.5873015873015872E-2"/>
    <n v="-2.0793065073507876E-2"/>
    <n v="7.5115207373271931E-2"/>
    <n v="-2.3571428571428572"/>
    <n v="7.5396825396825351E-2"/>
    <n v="-1.3333333333333333"/>
  </r>
  <r>
    <x v="632"/>
    <n v="500338"/>
    <x v="8"/>
    <x v="11"/>
    <n v="123.05"/>
    <n v="6186.7549257999999"/>
    <n v="1.5356084963298846E-4"/>
    <n v="5646"/>
    <n v="5323"/>
    <n v="46"/>
    <n v="-76"/>
    <n v="1850"/>
    <n v="1792"/>
    <n v="50"/>
    <n v="46"/>
    <n v="8.1473609635139919E-3"/>
    <n v="-1.4277662972008266E-2"/>
    <n v="2.2425023935522259E-2"/>
    <n v="2.7027027027027029E-2"/>
    <n v="2.5669642857142856E-2"/>
    <n v="1.3573841698841724E-3"/>
    <n v="6.0680067631035062E-2"/>
    <n v="-1.6052631578947367"/>
    <n v="3.2366071428571397E-2"/>
    <n v="8.6956521739130377E-2"/>
  </r>
  <r>
    <x v="633"/>
    <n v="539302"/>
    <x v="4"/>
    <x v="5"/>
    <n v="1925.65"/>
    <n v="6085.1871818999998"/>
    <n v="1.5103984641956749E-4"/>
    <n v="3951"/>
    <n v="3381"/>
    <n v="258"/>
    <n v="218"/>
    <n v="1420"/>
    <n v="1338"/>
    <n v="100"/>
    <n v="86"/>
    <n v="6.5299924069855728E-2"/>
    <n v="6.4477965099083115E-2"/>
    <n v="8.2195897077261271E-4"/>
    <n v="7.0422535211267609E-2"/>
    <n v="6.4275037369207769E-2"/>
    <n v="6.1474978420598403E-3"/>
    <n v="0.16858917480035496"/>
    <n v="0.1834862385321101"/>
    <n v="6.1285500747384258E-2"/>
    <n v="0.16279069767441867"/>
  </r>
  <r>
    <x v="634"/>
    <n v="532163"/>
    <x v="6"/>
    <x v="102"/>
    <n v="317.5"/>
    <n v="6098.5535492999998"/>
    <n v="1.5137161174065547E-4"/>
    <n v="697"/>
    <n v="930"/>
    <n v="131"/>
    <n v="144"/>
    <n v="260"/>
    <n v="483"/>
    <n v="51"/>
    <n v="62"/>
    <n v="0.18794835007173602"/>
    <n v="0.15483870967741936"/>
    <n v="3.3109640394316658E-2"/>
    <n v="0.19615384615384615"/>
    <n v="0.12836438923395446"/>
    <n v="6.7789456919891689E-2"/>
    <n v="-0.25053763440860211"/>
    <n v="-9.027777777777779E-2"/>
    <n v="-0.4616977225672878"/>
    <n v="-0.17741935483870963"/>
  </r>
  <r>
    <x v="635"/>
    <n v="530549"/>
    <x v="7"/>
    <x v="9"/>
    <n v="385.8"/>
    <n v="7546.5238723000002"/>
    <n v="1.873115440169418E-4"/>
    <n v="1101"/>
    <n v="955"/>
    <n v="135"/>
    <n v="63"/>
    <n v="409"/>
    <n v="319"/>
    <n v="44"/>
    <n v="31"/>
    <n v="0.1226158038147139"/>
    <n v="6.5968586387434552E-2"/>
    <n v="5.664721742727935E-2"/>
    <n v="0.10757946210268948"/>
    <n v="9.7178683385579931E-2"/>
    <n v="1.0400778717109552E-2"/>
    <n v="0.15287958115183242"/>
    <n v="1.1428571428571428"/>
    <n v="0.28213166144200619"/>
    <n v="0.41935483870967749"/>
  </r>
  <r>
    <x v="636"/>
    <n v="500245"/>
    <x v="8"/>
    <x v="139"/>
    <n v="376.45"/>
    <n v="6208.4738332999996"/>
    <n v="1.5409993254944469E-4"/>
    <n v="5003"/>
    <n v="4830"/>
    <n v="246"/>
    <n v="222"/>
    <n v="1590"/>
    <n v="1609"/>
    <n v="57"/>
    <n v="61"/>
    <n v="4.9170497701379171E-2"/>
    <n v="4.5962732919254658E-2"/>
    <n v="3.2077647821245128E-3"/>
    <n v="3.5849056603773584E-2"/>
    <n v="3.791174642635177E-2"/>
    <n v="-2.0626898225781856E-3"/>
    <n v="3.5817805383022705E-2"/>
    <n v="0.10810810810810811"/>
    <n v="-1.1808576755748867E-2"/>
    <n v="-6.557377049180324E-2"/>
  </r>
  <r>
    <x v="637"/>
    <n v="509557"/>
    <x v="6"/>
    <x v="89"/>
    <n v="600.20000000000005"/>
    <n v="5959.9212759000002"/>
    <n v="1.4793063340141669E-4"/>
    <n v="1102"/>
    <n v="1107"/>
    <n v="141"/>
    <n v="160"/>
    <n v="387"/>
    <n v="350"/>
    <n v="56"/>
    <n v="47"/>
    <n v="0.1279491833030853"/>
    <n v="0.14453477868112014"/>
    <n v="-1.6585595378034834E-2"/>
    <n v="0.14470284237726097"/>
    <n v="0.13428571428571429"/>
    <n v="1.0417128091546685E-2"/>
    <n v="-4.5167118337849921E-3"/>
    <n v="-0.11875000000000002"/>
    <n v="0.10571428571428565"/>
    <n v="0.1914893617021276"/>
  </r>
  <r>
    <x v="638"/>
    <n v="543532"/>
    <x v="6"/>
    <x v="10"/>
    <n v="2250.25"/>
    <n v="6032.7890487000004"/>
    <n v="1.4973927738945775E-4"/>
    <n v="1198"/>
    <n v="940"/>
    <n v="73"/>
    <n v="73"/>
    <n v="468"/>
    <n v="369"/>
    <n v="30"/>
    <n v="29"/>
    <n v="6.0934891485809682E-2"/>
    <n v="7.7659574468085107E-2"/>
    <n v="-1.6724682982275425E-2"/>
    <n v="6.4102564102564097E-2"/>
    <n v="7.8590785907859076E-2"/>
    <n v="-1.4488221805294979E-2"/>
    <n v="0.27446808510638299"/>
    <n v="0"/>
    <n v="0.26829268292682928"/>
    <n v="3.4482758620689724E-2"/>
  </r>
  <r>
    <x v="639"/>
    <n v="532443"/>
    <x v="6"/>
    <x v="140"/>
    <n v="4790.95"/>
    <n v="6180.6744720999995"/>
    <n v="1.5340992727586836E-4"/>
    <n v="1406"/>
    <n v="1337"/>
    <n v="126"/>
    <n v="160"/>
    <n v="498"/>
    <n v="449"/>
    <n v="23"/>
    <n v="45"/>
    <n v="8.9615931721194877E-2"/>
    <n v="0.11967090501121914"/>
    <n v="-3.0054973290024267E-2"/>
    <n v="4.6184738955823292E-2"/>
    <n v="0.10022271714922049"/>
    <n v="-5.4037978193397194E-2"/>
    <n v="5.1608077786088336E-2"/>
    <n v="-0.21250000000000002"/>
    <n v="0.10913140311804015"/>
    <n v="-0.48888888888888893"/>
  </r>
  <r>
    <x v="640"/>
    <n v="531431"/>
    <x v="4"/>
    <x v="37"/>
    <n v="496.3"/>
    <n v="6122.3867331000001"/>
    <n v="1.5196317290602909E-4"/>
    <n v="1840"/>
    <n v="1851"/>
    <n v="219"/>
    <n v="298"/>
    <n v="550"/>
    <n v="649"/>
    <n v="32"/>
    <n v="104"/>
    <n v="0.11902173913043479"/>
    <n v="0.16099405726634253"/>
    <n v="-4.1972318135907738E-2"/>
    <n v="5.8181818181818182E-2"/>
    <n v="0.16024653312788906"/>
    <n v="-0.10206471494607088"/>
    <n v="-5.9427336574824352E-3"/>
    <n v="-0.2651006711409396"/>
    <n v="-0.15254237288135597"/>
    <n v="-0.69230769230769229"/>
  </r>
  <r>
    <x v="641"/>
    <n v="539871"/>
    <x v="7"/>
    <x v="98"/>
    <n v="380"/>
    <n v="6045.8"/>
    <n v="1.5006222096167351E-4"/>
    <n v="605"/>
    <n v="500"/>
    <n v="114"/>
    <n v="69"/>
    <n v="196"/>
    <n v="166"/>
    <n v="28"/>
    <n v="19"/>
    <n v="0.1884297520661157"/>
    <n v="0.13800000000000001"/>
    <n v="5.0429752066115691E-2"/>
    <n v="0.14285714285714285"/>
    <n v="0.1144578313253012"/>
    <n v="2.8399311531841651E-2"/>
    <n v="0.20999999999999996"/>
    <n v="0.65217391304347827"/>
    <n v="0.18072289156626509"/>
    <n v="0.47368421052631571"/>
  </r>
  <r>
    <x v="642"/>
    <n v="502219"/>
    <x v="4"/>
    <x v="141"/>
    <n v="415.9"/>
    <n v="5831.1533071000003"/>
    <n v="1.4473449601896086E-4"/>
    <n v="1115"/>
    <n v="1105"/>
    <n v="-41"/>
    <n v="-57"/>
    <n v="390"/>
    <n v="361"/>
    <n v="100"/>
    <n v="-30"/>
    <n v="-3.6771300448430494E-2"/>
    <n v="-5.1583710407239816E-2"/>
    <n v="1.4812409958809322E-2"/>
    <n v="0.25641025641025639"/>
    <n v="-8.3102493074792241E-2"/>
    <n v="0.33951274948504861"/>
    <n v="9.0497737556560764E-3"/>
    <n v="-0.2807017543859649"/>
    <n v="8.0332409972299068E-2"/>
    <n v="-4.3333333333333339"/>
  </r>
  <r>
    <x v="643"/>
    <n v="500201"/>
    <x v="5"/>
    <x v="55"/>
    <n v="902.6"/>
    <n v="6047.1543689999999"/>
    <n v="1.5009583762450417E-4"/>
    <n v="7463"/>
    <n v="6850"/>
    <n v="206"/>
    <n v="167"/>
    <n v="2551"/>
    <n v="2424"/>
    <n v="68"/>
    <n v="57"/>
    <n v="2.760284068069141E-2"/>
    <n v="2.437956204379562E-2"/>
    <n v="3.2232786368957891E-3"/>
    <n v="2.6656213249705997E-2"/>
    <n v="2.3514851485148515E-2"/>
    <n v="3.1413617645574821E-3"/>
    <n v="8.948905109489047E-2"/>
    <n v="0.23353293413173648"/>
    <n v="5.2392739273927402E-2"/>
    <n v="0.19298245614035081"/>
  </r>
  <r>
    <x v="644"/>
    <n v="532395"/>
    <x v="4"/>
    <x v="15"/>
    <n v="1679.3"/>
    <n v="7134.4163639999997"/>
    <n v="1.7708266314584459E-4"/>
    <n v="885"/>
    <n v="762"/>
    <n v="71"/>
    <n v="43"/>
    <n v="343"/>
    <n v="274"/>
    <n v="27"/>
    <n v="14"/>
    <n v="8.0225988700564965E-2"/>
    <n v="5.6430446194225721E-2"/>
    <n v="2.3795542506339244E-2"/>
    <n v="7.8717201166180764E-2"/>
    <n v="5.1094890510948905E-2"/>
    <n v="2.7622310655231859E-2"/>
    <n v="0.1614173228346456"/>
    <n v="0.65116279069767447"/>
    <n v="0.25182481751824826"/>
    <n v="0.9285714285714286"/>
  </r>
  <r>
    <x v="645"/>
    <n v="500250"/>
    <x v="6"/>
    <x v="52"/>
    <n v="1705.85"/>
    <n v="5422.0285462000002"/>
    <n v="1.345796496345175E-4"/>
    <n v="2260"/>
    <n v="1909"/>
    <n v="249"/>
    <n v="218"/>
    <n v="816"/>
    <n v="676"/>
    <n v="88"/>
    <n v="75"/>
    <n v="0.11017699115044248"/>
    <n v="0.1141959140911472"/>
    <n v="-4.0189229407047167E-3"/>
    <n v="0.10784313725490197"/>
    <n v="0.11094674556213018"/>
    <n v="-3.1036083072282089E-3"/>
    <n v="0.18386589837611322"/>
    <n v="0.14220183486238525"/>
    <n v="0.20710059171597628"/>
    <n v="0.17333333333333334"/>
  </r>
  <r>
    <x v="646"/>
    <n v="533286"/>
    <x v="8"/>
    <x v="63"/>
    <n v="301"/>
    <n v="6124.9015099999997"/>
    <n v="1.5202559194186173E-4"/>
    <n v="1056"/>
    <n v="1151"/>
    <n v="174"/>
    <n v="265"/>
    <n v="359"/>
    <n v="366"/>
    <n v="52"/>
    <n v="63"/>
    <n v="0.16477272727272727"/>
    <n v="0.23023457862728064"/>
    <n v="-6.5461851354553374E-2"/>
    <n v="0.14484679665738162"/>
    <n v="0.1721311475409836"/>
    <n v="-2.7284350883601982E-2"/>
    <n v="-8.2536924413553425E-2"/>
    <n v="-0.34339622641509437"/>
    <n v="-1.9125683060109311E-2"/>
    <n v="-0.17460317460317465"/>
  </r>
  <r>
    <x v="647"/>
    <n v="540205"/>
    <x v="6"/>
    <x v="36"/>
    <n v="459.55"/>
    <n v="5926.1427411000004"/>
    <n v="1.4709221963435208E-4"/>
    <n v="2054"/>
    <n v="1778"/>
    <n v="95"/>
    <n v="89"/>
    <n v="652"/>
    <n v="510"/>
    <n v="27"/>
    <n v="24"/>
    <n v="4.6251217137293084E-2"/>
    <n v="5.0056242969628795E-2"/>
    <n v="-3.8050258323357108E-3"/>
    <n v="4.1411042944785273E-2"/>
    <n v="4.7058823529411764E-2"/>
    <n v="-5.6477805846264911E-3"/>
    <n v="0.15523059617547807"/>
    <n v="6.7415730337078594E-2"/>
    <n v="0.27843137254901951"/>
    <n v="0.125"/>
  </r>
  <r>
    <x v="648"/>
    <n v="532976"/>
    <x v="8"/>
    <x v="18"/>
    <n v="56.87"/>
    <n v="5195.2712229999997"/>
    <n v="1.2895132790063346E-4"/>
    <n v="4039"/>
    <n v="4761"/>
    <n v="108"/>
    <n v="482"/>
    <n v="1328"/>
    <n v="1486"/>
    <n v="12"/>
    <n v="120"/>
    <n v="2.6739291903936618E-2"/>
    <n v="0.1012392354547364"/>
    <n v="-7.449994355079978E-2"/>
    <n v="9.0361445783132526E-3"/>
    <n v="8.0753701211305512E-2"/>
    <n v="-7.1717556632992258E-2"/>
    <n v="-0.15164881327452218"/>
    <n v="-0.77593360995850624"/>
    <n v="-0.10632570659488561"/>
    <n v="-0.9"/>
  </r>
  <r>
    <x v="649"/>
    <n v="540203"/>
    <x v="6"/>
    <x v="142"/>
    <n v="502.45"/>
    <n v="5469.2353832999997"/>
    <n v="1.3575136600287268E-4"/>
    <n v="2771"/>
    <n v="2590"/>
    <n v="69"/>
    <n v="77"/>
    <n v="1074"/>
    <n v="967"/>
    <n v="53"/>
    <n v="17"/>
    <n v="2.4900757849151932E-2"/>
    <n v="2.9729729729729731E-2"/>
    <n v="-4.8289718805777995E-3"/>
    <n v="4.9348230912476726E-2"/>
    <n v="1.7580144777662874E-2"/>
    <n v="3.1768086134813855E-2"/>
    <n v="6.98841698841699E-2"/>
    <n v="-0.10389610389610393"/>
    <n v="0.11065149948293684"/>
    <n v="2.1176470588235294"/>
  </r>
  <r>
    <x v="650"/>
    <n v="531599"/>
    <x v="7"/>
    <x v="9"/>
    <n v="335.45"/>
    <n v="5465.5318987000001"/>
    <n v="1.3565944216742108E-4"/>
    <n v="1586"/>
    <n v="1616"/>
    <n v="178"/>
    <n v="228"/>
    <n v="464"/>
    <n v="464"/>
    <n v="28"/>
    <n v="37"/>
    <n v="0.11223203026481715"/>
    <n v="0.14108910891089108"/>
    <n v="-2.8857078646073925E-2"/>
    <n v="6.0344827586206899E-2"/>
    <n v="7.9741379310344834E-2"/>
    <n v="-1.9396551724137935E-2"/>
    <n v="-1.8564356435643581E-2"/>
    <n v="-0.2192982456140351"/>
    <n v="0"/>
    <n v="-0.2432432432432432"/>
  </r>
  <r>
    <x v="651"/>
    <n v="538979"/>
    <x v="6"/>
    <x v="111"/>
    <n v="219.35"/>
    <n v="5580.0801210999998"/>
    <n v="1.3850263259061665E-4"/>
    <n v="2188"/>
    <n v="1888"/>
    <n v="15"/>
    <n v="67"/>
    <n v="706"/>
    <n v="602"/>
    <n v="-0.59"/>
    <n v="13"/>
    <n v="6.855575868372943E-3"/>
    <n v="3.5487288135593223E-2"/>
    <n v="-2.8631712267220281E-2"/>
    <n v="-8.3569405099150138E-4"/>
    <n v="2.1594684385382059E-2"/>
    <n v="-2.243037843637356E-2"/>
    <n v="0.15889830508474567"/>
    <n v="-0.77611940298507465"/>
    <n v="0.1727574750830565"/>
    <n v="-1.0453846153846154"/>
  </r>
  <r>
    <x v="652"/>
    <n v="512329"/>
    <x v="8"/>
    <x v="135"/>
    <n v="503.2"/>
    <n v="6344.7298461"/>
    <n v="1.5748192995262546E-4"/>
    <n v="4549"/>
    <n v="4323"/>
    <n v="69"/>
    <n v="70"/>
    <n v="1662"/>
    <n v="1360"/>
    <n v="10"/>
    <n v="28"/>
    <n v="1.5168168828313915E-2"/>
    <n v="1.6192458940550544E-2"/>
    <n v="-1.0242901122366286E-3"/>
    <n v="6.0168471720818293E-3"/>
    <n v="2.0588235294117647E-2"/>
    <n v="-1.4571388122035817E-2"/>
    <n v="5.2278510293777503E-2"/>
    <n v="-1.4285714285714235E-2"/>
    <n v="0.22205882352941186"/>
    <n v="-0.64285714285714279"/>
  </r>
  <r>
    <x v="653"/>
    <n v="532509"/>
    <x v="6"/>
    <x v="52"/>
    <n v="413.15"/>
    <n v="5667.2239127000003"/>
    <n v="1.4066562026975211E-4"/>
    <n v="2782"/>
    <n v="2400"/>
    <n v="111"/>
    <n v="72"/>
    <n v="978"/>
    <n v="831"/>
    <n v="12"/>
    <n v="33"/>
    <n v="3.9899352983465135E-2"/>
    <n v="0.03"/>
    <n v="9.8993529834651359E-3"/>
    <n v="1.2269938650306749E-2"/>
    <n v="3.9711191335740074E-2"/>
    <n v="-2.7441252685433327E-2"/>
    <n v="0.15916666666666668"/>
    <n v="0.54166666666666674"/>
    <n v="0.17689530685920585"/>
    <n v="-0.63636363636363635"/>
  </r>
  <r>
    <x v="654"/>
    <n v="523539"/>
    <x v="4"/>
    <x v="143"/>
    <n v="299.89999999999998"/>
    <n v="5475.0966049999997"/>
    <n v="1.3589684682358306E-4"/>
    <n v="3666"/>
    <n v="2969"/>
    <n v="100"/>
    <n v="60"/>
    <n v="1336"/>
    <n v="979"/>
    <n v="37"/>
    <n v="18"/>
    <n v="2.7277686852154936E-2"/>
    <n v="2.0208824520040417E-2"/>
    <n v="7.0688623321145186E-3"/>
    <n v="2.7694610778443114E-2"/>
    <n v="1.8386108273748723E-2"/>
    <n v="9.3085025046943902E-3"/>
    <n v="0.23475917817446956"/>
    <n v="0.66666666666666674"/>
    <n v="0.36465781409601639"/>
    <n v="1.0555555555555554"/>
  </r>
  <r>
    <x v="655"/>
    <n v="532162"/>
    <x v="8"/>
    <x v="119"/>
    <n v="336.5"/>
    <n v="6103.1875526000003"/>
    <n v="1.5148663189136204E-4"/>
    <n v="5533"/>
    <n v="5315"/>
    <n v="191"/>
    <n v="335"/>
    <n v="1878"/>
    <n v="1733"/>
    <n v="28"/>
    <n v="65"/>
    <n v="3.4520151816374481E-2"/>
    <n v="6.3029162746942619E-2"/>
    <n v="-2.8509010930568138E-2"/>
    <n v="1.4909478168264111E-2"/>
    <n v="3.7507212925562611E-2"/>
    <n v="-2.2597734757298499E-2"/>
    <n v="4.1015992474129792E-2"/>
    <n v="-0.42985074626865671"/>
    <n v="8.3669936526254984E-2"/>
    <n v="-0.56923076923076921"/>
  </r>
  <r>
    <x v="656"/>
    <n v="532772"/>
    <x v="2"/>
    <x v="2"/>
    <n v="168.45"/>
    <n v="5424.6875859000002"/>
    <n v="1.346456494034492E-4"/>
    <n v="6140"/>
    <n v="5260"/>
    <n v="525"/>
    <n v="438"/>
    <n v="2082"/>
    <n v="1855"/>
    <n v="184"/>
    <n v="151"/>
    <n v="8.5504885993485338E-2"/>
    <n v="8.3269961977186308E-2"/>
    <n v="2.2349240162990308E-3"/>
    <n v="8.8376560999039386E-2"/>
    <n v="8.1401617250673852E-2"/>
    <n v="6.9749437483655335E-3"/>
    <n v="0.16730038022813698"/>
    <n v="0.19863013698630128"/>
    <n v="0.12237196765498659"/>
    <n v="0.2185430463576159"/>
  </r>
  <r>
    <x v="657"/>
    <n v="524019"/>
    <x v="4"/>
    <x v="76"/>
    <n v="4234.3999999999996"/>
    <n v="5754.9997936999998"/>
    <n v="1.4284429697915824E-4"/>
    <n v="1417"/>
    <n v="1275"/>
    <n v="126"/>
    <n v="110"/>
    <n v="489"/>
    <n v="440"/>
    <n v="45"/>
    <n v="34"/>
    <n v="8.8920254057868742E-2"/>
    <n v="8.6274509803921567E-2"/>
    <n v="2.6457442539471743E-3"/>
    <n v="9.202453987730061E-2"/>
    <n v="7.7272727272727271E-2"/>
    <n v="1.4751812604573339E-2"/>
    <n v="0.1113725490196078"/>
    <n v="0.1454545454545455"/>
    <n v="0.11136363636363633"/>
    <n v="0.32352941176470584"/>
  </r>
  <r>
    <x v="658"/>
    <n v="543417"/>
    <x v="3"/>
    <x v="3"/>
    <n v="496.65"/>
    <n v="5870.0460343000004"/>
    <n v="1.4569984866424991E-4"/>
    <n v="1108"/>
    <n v="815"/>
    <n v="124"/>
    <n v="154"/>
    <n v="540"/>
    <n v="278"/>
    <n v="26"/>
    <n v="56"/>
    <n v="0.11191335740072202"/>
    <n v="0.18895705521472392"/>
    <n v="-7.7043697814001902E-2"/>
    <n v="4.8148148148148148E-2"/>
    <n v="0.20143884892086331"/>
    <n v="-0.15329070077271517"/>
    <n v="0.35950920245398765"/>
    <n v="-0.19480519480519476"/>
    <n v="0.94244604316546754"/>
    <n v="-0.5357142857142857"/>
  </r>
  <r>
    <x v="659"/>
    <n v="523323"/>
    <x v="7"/>
    <x v="47"/>
    <n v="5233.8500000000004"/>
    <n v="5727.0148569000003"/>
    <n v="1.4214968555144314E-4"/>
    <n v="1170"/>
    <n v="1013"/>
    <n v="181"/>
    <n v="154"/>
    <n v="406"/>
    <n v="354"/>
    <n v="65"/>
    <n v="57"/>
    <n v="0.15470085470085471"/>
    <n v="0.15202369200394866"/>
    <n v="2.6771626969060436E-3"/>
    <n v="0.16009852216748768"/>
    <n v="0.16101694915254236"/>
    <n v="-9.1842698505467668E-4"/>
    <n v="0.15498519249753206"/>
    <n v="0.17532467532467533"/>
    <n v="0.14689265536723162"/>
    <n v="0.14035087719298245"/>
  </r>
  <r>
    <x v="660"/>
    <n v="532790"/>
    <x v="3"/>
    <x v="69"/>
    <n v="421.2"/>
    <n v="5561.7231700000002"/>
    <n v="1.3804699647097148E-4"/>
    <n v="3240"/>
    <n v="3003"/>
    <n v="374"/>
    <n v="389"/>
    <n v="1121"/>
    <n v="1000"/>
    <n v="131"/>
    <n v="118"/>
    <n v="0.1154320987654321"/>
    <n v="0.12953712953712954"/>
    <n v="-1.4105030771697433E-2"/>
    <n v="0.11685994647636039"/>
    <n v="0.11799999999999999"/>
    <n v="-1.1400535236396059E-3"/>
    <n v="7.8921078921079024E-2"/>
    <n v="-3.8560411311054033E-2"/>
    <n v="0.121"/>
    <n v="0.11016949152542366"/>
  </r>
  <r>
    <x v="661"/>
    <n v="542484"/>
    <x v="6"/>
    <x v="36"/>
    <n v="442.05"/>
    <n v="5898.1905737999996"/>
    <n v="1.4639842157524818E-4"/>
    <n v="3934"/>
    <n v="3454"/>
    <n v="118"/>
    <n v="106"/>
    <n v="1382"/>
    <n v="1211"/>
    <n v="36"/>
    <n v="47"/>
    <n v="2.9994916115912557E-2"/>
    <n v="3.0689056166763172E-2"/>
    <n v="-6.9414005085061473E-4"/>
    <n v="2.6049204052098408E-2"/>
    <n v="3.8810900082576386E-2"/>
    <n v="-1.2761696030477977E-2"/>
    <n v="0.13896931094383325"/>
    <n v="0.1132075471698113"/>
    <n v="0.14120561519405439"/>
    <n v="-0.23404255319148937"/>
  </r>
  <r>
    <x v="662"/>
    <n v="544263"/>
    <x v="4"/>
    <x v="91"/>
    <n v="889.7"/>
    <n v="5538.1530599999996"/>
    <n v="1.3746196503511333E-4"/>
    <n v="420"/>
    <n v="298"/>
    <n v="53"/>
    <n v="38"/>
    <n v="153"/>
    <n v="111"/>
    <n v="22"/>
    <n v="13"/>
    <n v="0.12619047619047619"/>
    <n v="0.12751677852348994"/>
    <n v="-1.3263023330137569E-3"/>
    <n v="0.1437908496732026"/>
    <n v="0.11711711711711711"/>
    <n v="2.6673732556085489E-2"/>
    <n v="0.40939597315436238"/>
    <n v="0.39473684210526305"/>
    <n v="0.37837837837837829"/>
    <n v="0.69230769230769229"/>
  </r>
  <r>
    <x v="663"/>
    <n v="532768"/>
    <x v="6"/>
    <x v="52"/>
    <n v="2022.9"/>
    <n v="5314.6596761999999"/>
    <n v="1.3191465722750019E-4"/>
    <n v="2064"/>
    <n v="1783"/>
    <n v="184"/>
    <n v="146"/>
    <n v="685"/>
    <n v="590"/>
    <n v="63"/>
    <n v="47"/>
    <n v="8.9147286821705432E-2"/>
    <n v="8.1884464385866523E-2"/>
    <n v="7.2628224358389087E-3"/>
    <n v="9.1970802919708022E-2"/>
    <n v="7.9661016949152536E-2"/>
    <n v="1.2309785970555487E-2"/>
    <n v="0.15759955131800329"/>
    <n v="0.26027397260273966"/>
    <n v="0.16101694915254239"/>
    <n v="0.34042553191489366"/>
  </r>
  <r>
    <x v="664"/>
    <n v="540749"/>
    <x v="2"/>
    <x v="4"/>
    <n v="304.3"/>
    <n v="5513.4586312000001"/>
    <n v="1.3684902699033716E-4"/>
    <n v="1453"/>
    <n v="1158"/>
    <n v="271"/>
    <n v="231"/>
    <n v="507"/>
    <n v="410"/>
    <n v="93"/>
    <n v="80"/>
    <n v="0.18651066758430832"/>
    <n v="0.19948186528497408"/>
    <n v="-1.2971197700665765E-2"/>
    <n v="0.18343195266272189"/>
    <n v="0.1951219512195122"/>
    <n v="-1.1689998556790315E-2"/>
    <n v="0.25474956822107075"/>
    <n v="0.17316017316017307"/>
    <n v="0.23658536585365852"/>
    <n v="0.16250000000000009"/>
  </r>
  <r>
    <x v="665"/>
    <n v="520051"/>
    <x v="6"/>
    <x v="52"/>
    <n v="116.7"/>
    <n v="4666.309244"/>
    <n v="1.1582201343885469E-4"/>
    <n v="1771"/>
    <n v="1632"/>
    <n v="143"/>
    <n v="130"/>
    <n v="667"/>
    <n v="562"/>
    <n v="58"/>
    <n v="43"/>
    <n v="8.0745341614906832E-2"/>
    <n v="7.9656862745098034E-2"/>
    <n v="1.0884788698087983E-3"/>
    <n v="8.6956521739130432E-2"/>
    <n v="7.6512455516014238E-2"/>
    <n v="1.0444066223116194E-2"/>
    <n v="8.5171568627451011E-2"/>
    <n v="0.10000000000000009"/>
    <n v="0.18683274021352303"/>
    <n v="0.34883720930232553"/>
  </r>
  <r>
    <x v="666"/>
    <n v="512179"/>
    <x v="6"/>
    <x v="35"/>
    <n v="303"/>
    <n v="4442.7045306999999"/>
    <n v="1.1027194233241777E-4"/>
    <n v="784"/>
    <n v="647"/>
    <n v="163"/>
    <n v="105"/>
    <n v="344"/>
    <n v="161"/>
    <n v="68"/>
    <n v="47"/>
    <n v="0.20790816326530612"/>
    <n v="0.16228748068006182"/>
    <n v="4.5620682585244293E-2"/>
    <n v="0.19767441860465115"/>
    <n v="0.29192546583850931"/>
    <n v="-9.425104723385816E-2"/>
    <n v="0.21174652241112835"/>
    <n v="0.55238095238095242"/>
    <n v="1.1366459627329193"/>
    <n v="0.44680851063829796"/>
  </r>
  <r>
    <x v="667"/>
    <n v="519126"/>
    <x v="5"/>
    <x v="6"/>
    <n v="497.05"/>
    <n v="5938.8377526000004"/>
    <n v="1.4740732129514536E-4"/>
    <n v="3031"/>
    <n v="2631"/>
    <n v="103"/>
    <n v="79"/>
    <n v="998"/>
    <n v="880"/>
    <n v="36"/>
    <n v="29"/>
    <n v="3.398218409765754E-2"/>
    <n v="3.0026605853287723E-2"/>
    <n v="3.9555782443698173E-3"/>
    <n v="3.6072144288577156E-2"/>
    <n v="3.2954545454545452E-2"/>
    <n v="3.117598834031704E-3"/>
    <n v="0.15203344735841884"/>
    <n v="0.30379746835443044"/>
    <n v="0.13409090909090904"/>
    <n v="0.24137931034482762"/>
  </r>
  <r>
    <x v="668"/>
    <n v="533088"/>
    <x v="6"/>
    <x v="57"/>
    <n v="249.6"/>
    <n v="5022.7481398999998"/>
    <n v="1.2466914902982374E-4"/>
    <n v="2171"/>
    <n v="2002"/>
    <n v="25"/>
    <n v="52"/>
    <n v="752"/>
    <n v="678"/>
    <n v="1"/>
    <n v="35"/>
    <n v="1.1515430677107323E-2"/>
    <n v="2.5974025974025976E-2"/>
    <n v="-1.4458595296918652E-2"/>
    <n v="1.3297872340425532E-3"/>
    <n v="5.1622418879056046E-2"/>
    <n v="-5.0292631645013491E-2"/>
    <n v="8.4415584415584499E-2"/>
    <n v="-0.51923076923076916"/>
    <n v="0.10914454277286145"/>
    <n v="-0.97142857142857142"/>
  </r>
  <r>
    <x v="669"/>
    <n v="522205"/>
    <x v="4"/>
    <x v="92"/>
    <n v="340"/>
    <n v="6252.3990827999996"/>
    <n v="1.5519019694725238E-4"/>
    <n v="2323"/>
    <n v="2368"/>
    <n v="12"/>
    <n v="179"/>
    <n v="841"/>
    <n v="853"/>
    <n v="-12"/>
    <n v="41"/>
    <n v="5.165733964700818E-3"/>
    <n v="7.5591216216216214E-2"/>
    <n v="-7.0425482251515403E-2"/>
    <n v="-1.4268727705112961E-2"/>
    <n v="4.8065650644783117E-2"/>
    <n v="-6.233437834989608E-2"/>
    <n v="-1.9003378378378399E-2"/>
    <n v="-0.93296089385474856"/>
    <n v="-1.4067995310668269E-2"/>
    <n v="-1.2926829268292683"/>
  </r>
  <r>
    <x v="670"/>
    <n v="543425"/>
    <x v="3"/>
    <x v="69"/>
    <n v="877.7"/>
    <n v="4799.0895819999996"/>
    <n v="1.1911774145174324E-4"/>
    <n v="329"/>
    <n v="319"/>
    <n v="83"/>
    <n v="98"/>
    <n v="93"/>
    <n v="114"/>
    <n v="18"/>
    <n v="32"/>
    <n v="0.25227963525835867"/>
    <n v="0.30721003134796238"/>
    <n v="-5.4930396089603706E-2"/>
    <n v="0.19354838709677419"/>
    <n v="0.2807017543859649"/>
    <n v="-8.7153367289190709E-2"/>
    <n v="3.1347962382445083E-2"/>
    <n v="-0.15306122448979587"/>
    <n v="-0.18421052631578949"/>
    <n v="-0.4375"/>
  </r>
  <r>
    <x v="671"/>
    <n v="517206"/>
    <x v="6"/>
    <x v="52"/>
    <n v="4832.2"/>
    <n v="4509.3459167999999"/>
    <n v="1.1192604177436597E-4"/>
    <n v="2983"/>
    <n v="2477"/>
    <n v="118"/>
    <n v="95"/>
    <n v="1052"/>
    <n v="887"/>
    <n v="46"/>
    <n v="33"/>
    <n v="3.9557492457257794E-2"/>
    <n v="3.835284618490109E-2"/>
    <n v="1.2046462723567034E-3"/>
    <n v="4.3726235741444866E-2"/>
    <n v="3.7204058624577228E-2"/>
    <n v="6.5221771168676376E-3"/>
    <n v="0.20427937020589426"/>
    <n v="0.24210526315789482"/>
    <n v="0.18602029312288604"/>
    <n v="0.39393939393939403"/>
  </r>
  <r>
    <x v="672"/>
    <n v="543387"/>
    <x v="6"/>
    <x v="89"/>
    <n v="1598.2"/>
    <n v="5108.9241095999996"/>
    <n v="1.268081144945609E-4"/>
    <n v="20"/>
    <n v="23"/>
    <n v="1"/>
    <n v="2"/>
    <n v="6"/>
    <n v="8"/>
    <n v="1"/>
    <n v="1"/>
    <n v="0.05"/>
    <n v="8.6956521739130432E-2"/>
    <n v="-3.695652173913043E-2"/>
    <n v="0.16666666666666666"/>
    <n v="0.125"/>
    <n v="4.1666666666666657E-2"/>
    <n v="-0.13043478260869568"/>
    <n v="-0.5"/>
    <n v="-0.25"/>
    <n v="0"/>
  </r>
  <r>
    <x v="673"/>
    <n v="543367"/>
    <x v="4"/>
    <x v="15"/>
    <n v="642.9"/>
    <n v="5178.5416290000003"/>
    <n v="1.2853608425522227E-4"/>
    <n v="305"/>
    <n v="256"/>
    <n v="50"/>
    <n v="40"/>
    <n v="106"/>
    <n v="85"/>
    <n v="16"/>
    <n v="13"/>
    <n v="0.16393442622950818"/>
    <n v="0.15625"/>
    <n v="7.6844262295081844E-3"/>
    <n v="0.15094339622641509"/>
    <n v="0.15294117647058825"/>
    <n v="-1.9977802441731585E-3"/>
    <n v="0.19140625"/>
    <n v="0.25"/>
    <n v="0.24705882352941178"/>
    <n v="0.23076923076923084"/>
  </r>
  <r>
    <x v="674"/>
    <n v="531112"/>
    <x v="4"/>
    <x v="83"/>
    <n v="433"/>
    <n v="5256.2692699999998"/>
    <n v="1.3046535456495324E-4"/>
    <n v="843"/>
    <n v="653"/>
    <n v="193"/>
    <n v="141"/>
    <n v="311"/>
    <n v="255"/>
    <n v="71"/>
    <n v="59"/>
    <n v="0.22894424673784106"/>
    <n v="0.21592649310872894"/>
    <n v="1.3017753629112117E-2"/>
    <n v="0.22829581993569131"/>
    <n v="0.23137254901960785"/>
    <n v="-3.0767290839165407E-3"/>
    <n v="0.29096477794793252"/>
    <n v="0.36879432624113484"/>
    <n v="0.21960784313725501"/>
    <n v="0.20338983050847448"/>
  </r>
  <r>
    <x v="675"/>
    <n v="532835"/>
    <x v="2"/>
    <x v="144"/>
    <n v="5115"/>
    <n v="4900.7745045000001"/>
    <n v="1.2164165314393712E-4"/>
    <n v="485"/>
    <n v="418"/>
    <n v="129"/>
    <n v="115"/>
    <n v="179"/>
    <n v="139"/>
    <n v="39"/>
    <n v="42"/>
    <n v="0.26597938144329897"/>
    <n v="0.27511961722488038"/>
    <n v="-9.1402357815814073E-3"/>
    <n v="0.21787709497206703"/>
    <n v="0.30215827338129497"/>
    <n v="-8.4281178409227941E-2"/>
    <n v="0.16028708133971281"/>
    <n v="0.12173913043478257"/>
    <n v="0.28776978417266186"/>
    <n v="-7.1428571428571397E-2"/>
  </r>
  <r>
    <x v="676"/>
    <n v="517385"/>
    <x v="6"/>
    <x v="51"/>
    <n v="718.7"/>
    <n v="4935.4128830999998"/>
    <n v="1.2250140901135371E-4"/>
    <n v="593"/>
    <n v="875"/>
    <n v="81"/>
    <n v="134"/>
    <n v="179"/>
    <n v="193"/>
    <n v="20"/>
    <n v="-10"/>
    <n v="0.13659359190556492"/>
    <n v="0.15314285714285714"/>
    <n v="-1.6549265237292221E-2"/>
    <n v="0.11173184357541899"/>
    <n v="-5.181347150259067E-2"/>
    <n v="0.16354531507800965"/>
    <n v="-0.32228571428571429"/>
    <n v="-0.39552238805970152"/>
    <n v="-7.2538860103626979E-2"/>
    <n v="-3"/>
  </r>
  <r>
    <x v="677"/>
    <n v="544356"/>
    <x v="4"/>
    <x v="121"/>
    <n v="442.45"/>
    <n v="5071.0814099999998"/>
    <n v="1.2586882448345211E-4"/>
    <n v="1344"/>
    <n v="1318"/>
    <n v="130"/>
    <n v="169"/>
    <n v="433"/>
    <n v="548"/>
    <n v="38"/>
    <n v="68"/>
    <n v="9.6726190476190479E-2"/>
    <n v="0.12822458270106221"/>
    <n v="-3.1498392224871732E-2"/>
    <n v="8.7759815242494224E-2"/>
    <n v="0.12408759124087591"/>
    <n v="-3.6327775998381689E-2"/>
    <n v="1.9726858877086473E-2"/>
    <n v="-0.23076923076923073"/>
    <n v="-0.20985401459854014"/>
    <n v="-0.44117647058823528"/>
  </r>
  <r>
    <x v="678"/>
    <n v="526367"/>
    <x v="6"/>
    <x v="35"/>
    <n v="566.04999999999995"/>
    <n v="4719.7092940000002"/>
    <n v="1.1714745094960007E-4"/>
    <n v="416"/>
    <n v="708"/>
    <n v="254"/>
    <n v="433"/>
    <n v="91"/>
    <n v="257"/>
    <n v="63"/>
    <n v="160"/>
    <n v="0.61057692307692313"/>
    <n v="0.6115819209039548"/>
    <n v="-1.0049978270316728E-3"/>
    <n v="0.69230769230769229"/>
    <n v="0.62256809338521402"/>
    <n v="6.9739598922478274E-2"/>
    <n v="-0.41242937853107342"/>
    <n v="-0.41339491916859128"/>
    <n v="-0.64591439688715946"/>
    <n v="-0.60624999999999996"/>
  </r>
  <r>
    <x v="679"/>
    <n v="541967"/>
    <x v="6"/>
    <x v="10"/>
    <n v="361.05"/>
    <n v="5600.2367025000003"/>
    <n v="1.390029371610422E-4"/>
    <n v="4383"/>
    <n v="2489"/>
    <n v="191"/>
    <n v="94"/>
    <n v="1767"/>
    <n v="997"/>
    <n v="80"/>
    <n v="36"/>
    <n v="4.357745836185261E-2"/>
    <n v="3.776617115307352E-2"/>
    <n v="5.8112872087790896E-3"/>
    <n v="4.5274476513865305E-2"/>
    <n v="3.6108324974924777E-2"/>
    <n v="9.1661515389405285E-3"/>
    <n v="0.76094817195660913"/>
    <n v="1.0319148936170213"/>
    <n v="0.77231695085255758"/>
    <n v="1.2222222222222223"/>
  </r>
  <r>
    <x v="680"/>
    <n v="538567"/>
    <x v="0"/>
    <x v="108"/>
    <n v="882.85"/>
    <n v="4363.4939499000002"/>
    <n v="1.0830586411638152E-4"/>
    <n v="3000"/>
    <n v="2678"/>
    <n v="255"/>
    <n v="264"/>
    <n v="1017"/>
    <n v="920"/>
    <n v="76"/>
    <n v="97"/>
    <n v="8.5000000000000006E-2"/>
    <n v="9.8581030619865576E-2"/>
    <n v="-1.3581030619865569E-2"/>
    <n v="7.4729596853490662E-2"/>
    <n v="0.10543478260869565"/>
    <n v="-3.0705185755204992E-2"/>
    <n v="0.12023898431665425"/>
    <n v="-3.4090909090909061E-2"/>
    <n v="0.10543478260869565"/>
    <n v="-0.21649484536082475"/>
  </r>
  <r>
    <x v="681"/>
    <n v="543669"/>
    <x v="6"/>
    <x v="35"/>
    <n v="388.25"/>
    <n v="4898.6305113999997"/>
    <n v="1.2158843729718192E-4"/>
    <n v="1038"/>
    <n v="1419"/>
    <n v="31"/>
    <n v="121"/>
    <n v="266"/>
    <n v="464"/>
    <n v="5"/>
    <n v="29"/>
    <n v="2.9865125240847785E-2"/>
    <n v="8.5271317829457363E-2"/>
    <n v="-5.5406192588609578E-2"/>
    <n v="1.8796992481203006E-2"/>
    <n v="6.25E-2"/>
    <n v="-4.3703007518796994E-2"/>
    <n v="-0.26849894291754761"/>
    <n v="-0.74380165289256195"/>
    <n v="-0.42672413793103448"/>
    <n v="-0.82758620689655171"/>
  </r>
  <r>
    <x v="682"/>
    <n v="530305"/>
    <x v="5"/>
    <x v="55"/>
    <n v="532.95000000000005"/>
    <n v="5255.3402962999999"/>
    <n v="1.3044229659799487E-4"/>
    <n v="775"/>
    <n v="614"/>
    <n v="92"/>
    <n v="62"/>
    <n v="312"/>
    <n v="203"/>
    <n v="47"/>
    <n v="24"/>
    <n v="0.11870967741935484"/>
    <n v="0.10097719869706841"/>
    <n v="1.7732478722286435E-2"/>
    <n v="0.15064102564102563"/>
    <n v="0.11822660098522167"/>
    <n v="3.2414424655803964E-2"/>
    <n v="0.26221498371335494"/>
    <n v="0.4838709677419355"/>
    <n v="0.53694581280788167"/>
    <n v="0.95833333333333326"/>
  </r>
  <r>
    <x v="683"/>
    <n v="544240"/>
    <x v="6"/>
    <x v="89"/>
    <n v="794.3"/>
    <n v="4843.8374043000003"/>
    <n v="1.2022842284999268E-4"/>
    <n v="5111"/>
    <n v="4682"/>
    <n v="98"/>
    <n v="83"/>
    <n v="1848"/>
    <n v="1754"/>
    <n v="42"/>
    <n v="64"/>
    <n v="1.9174329876736451E-2"/>
    <n v="1.7727466894489535E-2"/>
    <n v="1.4468629822469159E-3"/>
    <n v="2.2727272727272728E-2"/>
    <n v="3.6488027366020526E-2"/>
    <n v="-1.3760754638747798E-2"/>
    <n v="9.1627509611277302E-2"/>
    <n v="0.18072289156626509"/>
    <n v="5.3591790193842748E-2"/>
    <n v="-0.34375"/>
  </r>
  <r>
    <x v="684"/>
    <n v="543227"/>
    <x v="3"/>
    <x v="3"/>
    <n v="384.85"/>
    <n v="5782.3949473000002"/>
    <n v="1.4352426945472843E-4"/>
    <n v="1711"/>
    <n v="1516"/>
    <n v="151"/>
    <n v="150"/>
    <n v="587"/>
    <n v="530"/>
    <n v="40"/>
    <n v="50"/>
    <n v="8.8252483927527756E-2"/>
    <n v="9.894459102902374E-2"/>
    <n v="-1.0692107101495985E-2"/>
    <n v="6.8143100511073251E-2"/>
    <n v="9.4339622641509441E-2"/>
    <n v="-2.6196522130436189E-2"/>
    <n v="0.12862796833773094"/>
    <n v="6.6666666666665986E-3"/>
    <n v="0.10754716981132084"/>
    <n v="-0.19999999999999996"/>
  </r>
  <r>
    <x v="685"/>
    <n v="539150"/>
    <x v="4"/>
    <x v="5"/>
    <n v="174.95"/>
    <n v="4487.6382884000004"/>
    <n v="1.1138723881536723E-4"/>
    <n v="3751"/>
    <n v="5064"/>
    <n v="723"/>
    <n v="739"/>
    <n v="1200"/>
    <n v="1470"/>
    <n v="76"/>
    <n v="81"/>
    <n v="0.1927486003732338"/>
    <n v="0.14593206951026857"/>
    <n v="4.6816530862965222E-2"/>
    <n v="6.3333333333333339E-2"/>
    <n v="5.5102040816326532E-2"/>
    <n v="8.2312925170068066E-3"/>
    <n v="-0.25928120063191151"/>
    <n v="-2.1650879566982417E-2"/>
    <n v="-0.18367346938775508"/>
    <n v="-6.1728395061728447E-2"/>
  </r>
  <r>
    <x v="686"/>
    <n v="532804"/>
    <x v="4"/>
    <x v="68"/>
    <n v="2252.25"/>
    <n v="5099.5638159999999"/>
    <n v="1.2657578354638706E-4"/>
    <n v="2047"/>
    <n v="1893"/>
    <n v="215"/>
    <n v="196"/>
    <n v="662"/>
    <n v="644"/>
    <n v="53"/>
    <n v="41"/>
    <n v="0.10503175378602833"/>
    <n v="0.10353935552033809"/>
    <n v="1.4923982656902396E-3"/>
    <n v="8.0060422960725075E-2"/>
    <n v="6.3664596273291921E-2"/>
    <n v="1.6395826687433154E-2"/>
    <n v="8.1352350765979908E-2"/>
    <n v="9.6938775510204023E-2"/>
    <n v="2.7950310559006208E-2"/>
    <n v="0.29268292682926833"/>
  </r>
  <r>
    <x v="687"/>
    <n v="521016"/>
    <x v="6"/>
    <x v="89"/>
    <n v="253.55"/>
    <n v="5026.4199466999999"/>
    <n v="1.2476028659364494E-4"/>
    <n v="3083"/>
    <n v="3128"/>
    <n v="102"/>
    <n v="228"/>
    <n v="1062"/>
    <n v="1151"/>
    <n v="24"/>
    <n v="70"/>
    <n v="3.3084657800843333E-2"/>
    <n v="7.2890025575447576E-2"/>
    <n v="-3.9805367774604243E-2"/>
    <n v="2.2598870056497175E-2"/>
    <n v="6.0816681146828845E-2"/>
    <n v="-3.821781109033167E-2"/>
    <n v="-1.4386189258312032E-2"/>
    <n v="-0.55263157894736836"/>
    <n v="-7.7324066029539562E-2"/>
    <n v="-0.65714285714285714"/>
  </r>
  <r>
    <x v="688"/>
    <n v="535602"/>
    <x v="6"/>
    <x v="52"/>
    <n v="749.9"/>
    <n v="4294.3829284000003"/>
    <n v="1.0659046609143528E-4"/>
    <n v="2425"/>
    <n v="2086"/>
    <n v="255"/>
    <n v="230"/>
    <n v="881"/>
    <n v="689"/>
    <n v="81"/>
    <n v="75"/>
    <n v="0.10515463917525773"/>
    <n v="0.11025886864813039"/>
    <n v="-5.1042294728726595E-3"/>
    <n v="9.1940976163450622E-2"/>
    <n v="0.10885341074020319"/>
    <n v="-1.6912434576752566E-2"/>
    <n v="0.16251198465963568"/>
    <n v="0.10869565217391308"/>
    <n v="0.27866473149492021"/>
    <n v="8.0000000000000071E-2"/>
  </r>
  <r>
    <x v="689"/>
    <n v="505890"/>
    <x v="4"/>
    <x v="92"/>
    <n v="2210"/>
    <n v="4857.1888300000001"/>
    <n v="1.2055981730458044E-4"/>
    <n v="630"/>
    <n v="557"/>
    <n v="55"/>
    <n v="47"/>
    <n v="33"/>
    <n v="28"/>
    <n v="24"/>
    <n v="22"/>
    <n v="8.7301587301587297E-2"/>
    <n v="8.4380610412926396E-2"/>
    <n v="2.9209768886609006E-3"/>
    <n v="0.72727272727272729"/>
    <n v="0.7857142857142857"/>
    <n v="-5.8441558441558406E-2"/>
    <n v="0.13105924596050267"/>
    <n v="0.17021276595744683"/>
    <n v="0.1785714285714286"/>
    <n v="9.0909090909090828E-2"/>
  </r>
  <r>
    <x v="690"/>
    <n v="543434"/>
    <x v="7"/>
    <x v="9"/>
    <n v="613.9"/>
    <n v="4941.6459531"/>
    <n v="1.2265611944299381E-4"/>
    <n v="551"/>
    <n v="512"/>
    <n v="134"/>
    <n v="137"/>
    <n v="206"/>
    <n v="185"/>
    <n v="49"/>
    <n v="46"/>
    <n v="0.24319419237749546"/>
    <n v="0.267578125"/>
    <n v="-2.4383932622504545E-2"/>
    <n v="0.23786407766990292"/>
    <n v="0.24864864864864866"/>
    <n v="-1.0784570978745744E-2"/>
    <n v="7.6171875E-2"/>
    <n v="-2.1897810218978075E-2"/>
    <n v="0.11351351351351346"/>
    <n v="6.5217391304347894E-2"/>
  </r>
  <r>
    <x v="691"/>
    <n v="500355"/>
    <x v="8"/>
    <x v="75"/>
    <n v="239.1"/>
    <n v="4650.1402417999998"/>
    <n v="1.1542068418865353E-4"/>
    <n v="2441"/>
    <n v="2233"/>
    <n v="199"/>
    <n v="157"/>
    <n v="623"/>
    <n v="522"/>
    <n v="2"/>
    <n v="11"/>
    <n v="8.1523965587873823E-2"/>
    <n v="7.0309001343484098E-2"/>
    <n v="1.1214964244389725E-2"/>
    <n v="3.2102728731942215E-3"/>
    <n v="2.1072796934865901E-2"/>
    <n v="-1.7862524061671679E-2"/>
    <n v="9.3148231079265509E-2"/>
    <n v="0.26751592356687892"/>
    <n v="0.19348659003831425"/>
    <n v="-0.81818181818181812"/>
  </r>
  <r>
    <x v="692"/>
    <n v="532798"/>
    <x v="6"/>
    <x v="102"/>
    <n v="30.35"/>
    <n v="4664.55"/>
    <n v="1.1577834741254659E-4"/>
    <n v="1505"/>
    <n v="6326"/>
    <n v="184"/>
    <n v="-1747"/>
    <n v="539"/>
    <n v="1360"/>
    <n v="-5"/>
    <n v="-1399"/>
    <n v="0.12225913621262459"/>
    <n v="-0.27616187164084732"/>
    <n v="0.3984210078534719"/>
    <n v="-9.2764378478664197E-3"/>
    <n v="-1.0286764705882352"/>
    <n v="1.0194000327403687"/>
    <n v="-0.76209294973126784"/>
    <n v="-1.1053234115626789"/>
    <n v="-0.60367647058823537"/>
    <n v="-0.99642601858470337"/>
  </r>
  <r>
    <x v="693"/>
    <n v="532811"/>
    <x v="4"/>
    <x v="5"/>
    <n v="714.1"/>
    <n v="4798.3181247000002"/>
    <n v="1.190985931842162E-4"/>
    <n v="3242"/>
    <n v="2882"/>
    <n v="184"/>
    <n v="118"/>
    <n v="1060"/>
    <n v="951"/>
    <n v="54"/>
    <n v="49"/>
    <n v="5.6755089450956198E-2"/>
    <n v="4.0943789035392086E-2"/>
    <n v="1.5811300415564111E-2"/>
    <n v="5.0943396226415097E-2"/>
    <n v="5.152471083070452E-2"/>
    <n v="-5.813146042894235E-4"/>
    <n v="0.12491325468424708"/>
    <n v="0.55932203389830515"/>
    <n v="0.11461619348054675"/>
    <n v="0.1020408163265305"/>
  </r>
  <r>
    <x v="694"/>
    <n v="543936"/>
    <x v="6"/>
    <x v="10"/>
    <n v="328.55"/>
    <n v="5403.1608009000001"/>
    <n v="1.3411133514110765E-4"/>
    <n v="6433"/>
    <n v="4950"/>
    <n v="417"/>
    <n v="96"/>
    <n v="3070"/>
    <n v="2045"/>
    <n v="264"/>
    <n v="33"/>
    <n v="6.4822011503186699E-2"/>
    <n v="1.9393939393939394E-2"/>
    <n v="4.5428072109247306E-2"/>
    <n v="8.5993485342019546E-2"/>
    <n v="1.6136919315403422E-2"/>
    <n v="6.9856566026616121E-2"/>
    <n v="0.29959595959595964"/>
    <n v="3.34375"/>
    <n v="0.50122249388753048"/>
    <n v="7"/>
  </r>
  <r>
    <x v="695"/>
    <n v="533229"/>
    <x v="5"/>
    <x v="43"/>
    <n v="380.6"/>
    <n v="4963.4953999999998"/>
    <n v="1.2319844246535611E-4"/>
    <n v="838"/>
    <n v="714"/>
    <n v="126"/>
    <n v="94"/>
    <n v="306"/>
    <n v="234"/>
    <n v="46"/>
    <n v="25"/>
    <n v="0.15035799522673032"/>
    <n v="0.13165266106442577"/>
    <n v="1.8705334162304549E-2"/>
    <n v="0.15032679738562091"/>
    <n v="0.10683760683760683"/>
    <n v="4.3489190548014076E-2"/>
    <n v="0.1736694677871149"/>
    <n v="0.34042553191489366"/>
    <n v="0.30769230769230771"/>
    <n v="0.84000000000000008"/>
  </r>
  <r>
    <x v="696"/>
    <n v="507880"/>
    <x v="6"/>
    <x v="133"/>
    <n v="317"/>
    <n v="4510.1446500000002"/>
    <n v="1.1194586705438646E-4"/>
    <n v="1422"/>
    <n v="1684"/>
    <n v="-209"/>
    <n v="-41"/>
    <n v="454"/>
    <n v="501"/>
    <n v="-53"/>
    <n v="-12"/>
    <n v="-0.1469760900140647"/>
    <n v="-2.4346793349168647E-2"/>
    <n v="-0.12262929666489605"/>
    <n v="-0.11674008810572688"/>
    <n v="-2.3952095808383235E-2"/>
    <n v="-9.2787992297343636E-2"/>
    <n v="-0.1555819477434679"/>
    <n v="4.0975609756097562"/>
    <n v="-9.3812375249501034E-2"/>
    <n v="3.416666666666667"/>
  </r>
  <r>
    <x v="697"/>
    <n v="532670"/>
    <x v="5"/>
    <x v="130"/>
    <n v="28.38"/>
    <n v="6040.6516032999998"/>
    <n v="1.4993443310180489E-4"/>
    <n v="6780"/>
    <n v="8288"/>
    <n v="-670"/>
    <n v="-393"/>
    <n v="2300"/>
    <n v="2635"/>
    <n v="-38"/>
    <n v="-203"/>
    <n v="-9.8820058997050153E-2"/>
    <n v="-4.741795366795367E-2"/>
    <n v="-5.1402105329096483E-2"/>
    <n v="-1.6521739130434782E-2"/>
    <n v="-7.7039848197343455E-2"/>
    <n v="6.0518109066908674E-2"/>
    <n v="-0.181949806949807"/>
    <n v="0.7048346055979644"/>
    <n v="-0.12713472485768496"/>
    <n v="-0.81280788177339902"/>
  </r>
  <r>
    <x v="698"/>
    <n v="543441"/>
    <x v="10"/>
    <x v="116"/>
    <n v="287.25"/>
    <n v="4725.0962499999996"/>
    <n v="1.1728116006693488E-4"/>
    <n v="1854"/>
    <n v="1805"/>
    <n v="224"/>
    <n v="274"/>
    <n v="6182"/>
    <n v="5815"/>
    <n v="57"/>
    <n v="93"/>
    <n v="0.12081984897518878"/>
    <n v="0.15180055401662049"/>
    <n v="-3.0980705041431703E-2"/>
    <n v="9.2203170494985446E-3"/>
    <n v="1.599312123817713E-2"/>
    <n v="-6.7728041886785852E-3"/>
    <n v="2.7146814404432229E-2"/>
    <n v="-0.18248175182481752"/>
    <n v="6.3112639724849595E-2"/>
    <n v="-0.38709677419354838"/>
  </r>
  <r>
    <x v="699"/>
    <n v="517168"/>
    <x v="4"/>
    <x v="91"/>
    <n v="690.85"/>
    <n v="4499.3097570999998"/>
    <n v="1.1167693521865655E-4"/>
    <n v="2705"/>
    <n v="2459"/>
    <n v="116"/>
    <n v="104"/>
    <n v="947"/>
    <n v="820"/>
    <n v="34"/>
    <n v="32"/>
    <n v="4.2883548983364141E-2"/>
    <n v="4.2293615290768603E-2"/>
    <n v="5.899336925955373E-4"/>
    <n v="3.5902851108764518E-2"/>
    <n v="3.9024390243902439E-2"/>
    <n v="-3.1215391351379213E-3"/>
    <n v="0.10004066693777958"/>
    <n v="0.11538461538461542"/>
    <n v="0.15487804878048772"/>
    <n v="6.25E-2"/>
  </r>
  <r>
    <x v="700"/>
    <n v="539883"/>
    <x v="2"/>
    <x v="145"/>
    <n v="4395"/>
    <n v="4890.7236555999998"/>
    <n v="1.2139218198900573E-4"/>
    <n v="239"/>
    <n v="247"/>
    <n v="64"/>
    <n v="133"/>
    <n v="59"/>
    <n v="61"/>
    <n v="9"/>
    <n v="26"/>
    <n v="0.26778242677824265"/>
    <n v="0.53846153846153844"/>
    <n v="-0.27067911168329578"/>
    <n v="0.15254237288135594"/>
    <n v="0.42622950819672129"/>
    <n v="-0.27368713531536537"/>
    <n v="-3.2388663967611309E-2"/>
    <n v="-0.51879699248120303"/>
    <n v="-3.2786885245901676E-2"/>
    <n v="-0.65384615384615385"/>
  </r>
  <r>
    <x v="701"/>
    <n v="543965"/>
    <x v="10"/>
    <x v="86"/>
    <n v="102"/>
    <n v="4500.4772741999996"/>
    <n v="1.1170591404842873E-4"/>
    <n v="7971"/>
    <n v="7497"/>
    <n v="99"/>
    <n v="-6"/>
    <n v="2716"/>
    <n v="2445"/>
    <n v="11"/>
    <n v="-24"/>
    <n v="1.2420022581859239E-2"/>
    <n v="-8.0032012805122054E-4"/>
    <n v="1.322034270991046E-2"/>
    <n v="4.050073637702504E-3"/>
    <n v="-9.8159509202453993E-3"/>
    <n v="1.3866024557947904E-2"/>
    <n v="6.3225290116046384E-2"/>
    <n v="-17.5"/>
    <n v="0.11083844580777091"/>
    <n v="-1.4583333333333333"/>
  </r>
  <r>
    <x v="702"/>
    <n v="531266"/>
    <x v="4"/>
    <x v="81"/>
    <n v="5078.3"/>
    <n v="4397.6534367000004"/>
    <n v="1.0915373345643891E-4"/>
    <n v="911"/>
    <n v="693"/>
    <n v="99"/>
    <n v="68"/>
    <n v="314"/>
    <n v="219"/>
    <n v="30"/>
    <n v="1"/>
    <n v="0.10867178924259056"/>
    <n v="9.8124098124098127E-2"/>
    <n v="1.0547691118492436E-2"/>
    <n v="9.5541401273885357E-2"/>
    <n v="4.5662100456621002E-3"/>
    <n v="9.0975191228223257E-2"/>
    <n v="0.31457431457431451"/>
    <n v="0.45588235294117641"/>
    <n v="0.43378995433789957"/>
    <n v="29"/>
  </r>
  <r>
    <x v="703"/>
    <n v="534804"/>
    <x v="2"/>
    <x v="144"/>
    <n v="1533.2"/>
    <n v="4602.5006678"/>
    <n v="1.1423822689927777E-4"/>
    <n v="342"/>
    <n v="292"/>
    <n v="120"/>
    <n v="96"/>
    <n v="112"/>
    <n v="96"/>
    <n v="36"/>
    <n v="28"/>
    <n v="0.35087719298245612"/>
    <n v="0.32876712328767121"/>
    <n v="2.2110069694784906E-2"/>
    <n v="0.32142857142857145"/>
    <n v="0.29166666666666669"/>
    <n v="2.9761904761904767E-2"/>
    <n v="0.17123287671232879"/>
    <n v="0.25"/>
    <n v="0.16666666666666674"/>
    <n v="0.28571428571428581"/>
  </r>
  <r>
    <x v="704"/>
    <n v="500339"/>
    <x v="8"/>
    <x v="123"/>
    <n v="111.45"/>
    <n v="3745.5446221000002"/>
    <n v="9.2967803219322196E-5"/>
    <n v="16946"/>
    <n v="15374"/>
    <n v="136"/>
    <n v="-450"/>
    <n v="4301"/>
    <n v="3676"/>
    <n v="38"/>
    <n v="-133"/>
    <n v="8.0254927416499467E-3"/>
    <n v="-2.9270196435540522E-2"/>
    <n v="3.7295689177190471E-2"/>
    <n v="8.8351546152057661E-3"/>
    <n v="-3.6180631120783457E-2"/>
    <n v="4.5015785735989224E-2"/>
    <n v="0.10225055288148832"/>
    <n v="-1.3022222222222222"/>
    <n v="0.17002176278563663"/>
    <n v="-1.2857142857142856"/>
  </r>
  <r>
    <x v="705"/>
    <n v="523704"/>
    <x v="3"/>
    <x v="3"/>
    <n v="1490.5"/>
    <n v="4618.6036599999998"/>
    <n v="1.1463791772161071E-4"/>
    <n v="2760"/>
    <n v="2549"/>
    <n v="297"/>
    <n v="294"/>
    <n v="905"/>
    <n v="869"/>
    <n v="108"/>
    <n v="94"/>
    <n v="0.10760869565217392"/>
    <n v="0.11533934876422126"/>
    <n v="-7.7306531120473476E-3"/>
    <n v="0.11933701657458563"/>
    <n v="0.10817031070195628"/>
    <n v="1.1166705872629357E-2"/>
    <n v="8.2777559827383218E-2"/>
    <n v="1.0204081632652962E-2"/>
    <n v="4.1426927502876909E-2"/>
    <n v="0.14893617021276606"/>
  </r>
  <r>
    <x v="706"/>
    <n v="539118"/>
    <x v="10"/>
    <x v="86"/>
    <n v="235.3"/>
    <n v="4116.4401510999996"/>
    <n v="1.0217376551157379E-4"/>
    <n v="2368"/>
    <n v="2351"/>
    <n v="164"/>
    <n v="108"/>
    <n v="826"/>
    <n v="825"/>
    <n v="64"/>
    <n v="59"/>
    <n v="6.9256756756756757E-2"/>
    <n v="4.5937898766482348E-2"/>
    <n v="2.3318857990274409E-2"/>
    <n v="7.7481840193704604E-2"/>
    <n v="7.1515151515151518E-2"/>
    <n v="5.9666886785530865E-3"/>
    <n v="7.2309655465758738E-3"/>
    <n v="0.5185185185185186"/>
    <n v="1.2121212121212199E-3"/>
    <n v="8.4745762711864403E-2"/>
  </r>
  <r>
    <x v="707"/>
    <n v="532524"/>
    <x v="9"/>
    <x v="146"/>
    <n v="164.8"/>
    <n v="4878.2152262999998"/>
    <n v="1.2108171146707314E-4"/>
    <n v="12873"/>
    <n v="12755"/>
    <n v="596"/>
    <n v="489"/>
    <n v="3405"/>
    <n v="3315"/>
    <n v="131"/>
    <n v="176"/>
    <n v="4.6298454128796705E-2"/>
    <n v="3.8337906703253627E-2"/>
    <n v="7.9605474255430783E-3"/>
    <n v="3.8472834067547722E-2"/>
    <n v="5.3092006033182503E-2"/>
    <n v="-1.4619171965634781E-2"/>
    <n v="9.2512740101919899E-3"/>
    <n v="0.21881390593047034"/>
    <n v="2.7149321266968229E-2"/>
    <n v="-0.25568181818181823"/>
  </r>
  <r>
    <x v="708"/>
    <n v="539725"/>
    <x v="5"/>
    <x v="54"/>
    <n v="196.15"/>
    <n v="5783.1090205"/>
    <n v="1.4354199339702245E-4"/>
    <n v="17876"/>
    <n v="14088"/>
    <n v="250"/>
    <n v="196"/>
    <n v="6314"/>
    <n v="4988"/>
    <n v="77"/>
    <n v="72"/>
    <n v="1.3985231595435221E-2"/>
    <n v="1.3912549687677456E-2"/>
    <n v="7.2681907757764577E-5"/>
    <n v="1.2195121951219513E-2"/>
    <n v="1.4434643143544507E-2"/>
    <n v="-2.239521192324994E-3"/>
    <n v="0.26888131743327648"/>
    <n v="0.27551020408163263"/>
    <n v="0.26583801122694473"/>
    <n v="6.944444444444442E-2"/>
  </r>
  <r>
    <x v="709"/>
    <n v="500336"/>
    <x v="4"/>
    <x v="68"/>
    <n v="210"/>
    <n v="4567.3550999999998"/>
    <n v="1.1336588213745516E-4"/>
    <n v="5377"/>
    <n v="5290"/>
    <n v="187"/>
    <n v="216"/>
    <n v="1927"/>
    <n v="1867"/>
    <n v="79"/>
    <n v="89"/>
    <n v="3.4777757113632138E-2"/>
    <n v="4.0831758034026465E-2"/>
    <n v="-6.0540009203943271E-3"/>
    <n v="4.0996367410482612E-2"/>
    <n v="4.7670058918050345E-2"/>
    <n v="-6.6736915075677333E-3"/>
    <n v="1.6446124763705106E-2"/>
    <n v="-0.1342592592592593"/>
    <n v="3.2137118371719398E-2"/>
    <n v="-0.11235955056179781"/>
  </r>
  <r>
    <x v="710"/>
    <n v="544223"/>
    <x v="4"/>
    <x v="5"/>
    <n v="280.39999999999998"/>
    <n v="4879.4765543000003"/>
    <n v="1.2111301876818154E-4"/>
    <n v="2635"/>
    <n v="2425"/>
    <n v="181"/>
    <n v="214"/>
    <n v="991"/>
    <n v="830"/>
    <n v="72"/>
    <n v="70"/>
    <n v="6.8690702087286531E-2"/>
    <n v="8.8247422680412371E-2"/>
    <n v="-1.955672059312584E-2"/>
    <n v="7.2653884964682142E-2"/>
    <n v="8.4337349397590355E-2"/>
    <n v="-1.1683464432908214E-2"/>
    <n v="8.6597938144329811E-2"/>
    <n v="-0.15420560747663548"/>
    <n v="0.19397590361445793"/>
    <n v="2.857142857142847E-2"/>
  </r>
  <r>
    <x v="711"/>
    <n v="544027"/>
    <x v="2"/>
    <x v="4"/>
    <n v="135.65"/>
    <n v="5079.0088895999997"/>
    <n v="1.2606559169298673E-4"/>
    <n v="1609"/>
    <n v="1542"/>
    <n v="243"/>
    <n v="153"/>
    <n v="555"/>
    <n v="532"/>
    <n v="87"/>
    <n v="18"/>
    <n v="0.15102548166563082"/>
    <n v="9.9221789883268477E-2"/>
    <n v="5.1803691782362341E-2"/>
    <n v="0.15675675675675677"/>
    <n v="3.3834586466165412E-2"/>
    <n v="0.12292217029059135"/>
    <n v="4.3450064850843129E-2"/>
    <n v="0.58823529411764697"/>
    <n v="4.3233082706766846E-2"/>
    <n v="3.833333333333333"/>
  </r>
  <r>
    <x v="712"/>
    <n v="532668"/>
    <x v="3"/>
    <x v="3"/>
    <n v="785.3"/>
    <n v="4334.2613199999996"/>
    <n v="1.0758028381810094E-4"/>
    <n v="1065"/>
    <n v="846"/>
    <n v="150"/>
    <n v="137"/>
    <n v="371"/>
    <n v="306"/>
    <n v="43"/>
    <n v="47"/>
    <n v="0.14084507042253522"/>
    <n v="0.16193853427895982"/>
    <n v="-2.1093463856424605E-2"/>
    <n v="0.11590296495956873"/>
    <n v="0.15359477124183007"/>
    <n v="-3.7691806282261348E-2"/>
    <n v="0.25886524822695045"/>
    <n v="9.4890510948905105E-2"/>
    <n v="0.21241830065359468"/>
    <n v="-8.5106382978723416E-2"/>
  </r>
  <r>
    <x v="713"/>
    <n v="532630"/>
    <x v="6"/>
    <x v="84"/>
    <n v="621.20000000000005"/>
    <n v="4547.1879489000003"/>
    <n v="1.1286531521752139E-4"/>
    <n v="2918"/>
    <n v="2848"/>
    <n v="64"/>
    <n v="105"/>
    <n v="978"/>
    <n v="987"/>
    <n v="14"/>
    <n v="50"/>
    <n v="2.193283070596299E-2"/>
    <n v="3.6867977528089887E-2"/>
    <n v="-1.4935146822126898E-2"/>
    <n v="1.4314928425357873E-2"/>
    <n v="5.0658561296859167E-2"/>
    <n v="-3.6343632871501295E-2"/>
    <n v="2.4578651685393194E-2"/>
    <n v="-0.39047619047619042"/>
    <n v="-9.1185410334346795E-3"/>
    <n v="-0.72"/>
  </r>
  <r>
    <x v="714"/>
    <n v="544129"/>
    <x v="6"/>
    <x v="57"/>
    <n v="203.25"/>
    <n v="4524.8067862999997"/>
    <n v="1.1230979453085289E-4"/>
    <n v="746"/>
    <n v="666"/>
    <n v="91"/>
    <n v="16"/>
    <n v="295"/>
    <n v="252"/>
    <n v="65"/>
    <n v="32"/>
    <n v="0.12198391420911528"/>
    <n v="2.4024024024024024E-2"/>
    <n v="9.7959890185091256E-2"/>
    <n v="0.22033898305084745"/>
    <n v="0.12698412698412698"/>
    <n v="9.3354856066720476E-2"/>
    <n v="0.12012012012012008"/>
    <n v="4.6875"/>
    <n v="0.17063492063492069"/>
    <n v="1.03125"/>
  </r>
  <r>
    <x v="715"/>
    <n v="500413"/>
    <x v="6"/>
    <x v="77"/>
    <n v="97.05"/>
    <n v="4523.4422689000003"/>
    <n v="1.1227592597556083E-4"/>
    <n v="6627"/>
    <n v="6170"/>
    <n v="188"/>
    <n v="191"/>
    <n v="2145"/>
    <n v="2061"/>
    <n v="44"/>
    <n v="46"/>
    <n v="2.8368794326241134E-2"/>
    <n v="3.0956239870340355E-2"/>
    <n v="-2.5874455440992213E-3"/>
    <n v="2.0512820512820513E-2"/>
    <n v="2.2319262493934983E-2"/>
    <n v="-1.8064419811144698E-3"/>
    <n v="7.4068071312803907E-2"/>
    <n v="-1.5706806282722474E-2"/>
    <n v="4.0756914119359555E-2"/>
    <n v="-4.3478260869565188E-2"/>
  </r>
  <r>
    <x v="716"/>
    <n v="535648"/>
    <x v="6"/>
    <x v="66"/>
    <n v="517.29999999999995"/>
    <n v="4402.3501519000001"/>
    <n v="1.0927031017319044E-4"/>
    <n v="906"/>
    <n v="852"/>
    <n v="397"/>
    <n v="426"/>
    <n v="305"/>
    <n v="287"/>
    <n v="117"/>
    <n v="131"/>
    <n v="0.4381898454746137"/>
    <n v="0.5"/>
    <n v="-6.1810154525386296E-2"/>
    <n v="0.38360655737704918"/>
    <n v="0.45644599303135891"/>
    <n v="-7.2839435654309725E-2"/>
    <n v="6.3380281690140761E-2"/>
    <n v="-6.8075117370892002E-2"/>
    <n v="6.2717770034843134E-2"/>
    <n v="-0.10687022900763354"/>
  </r>
  <r>
    <x v="717"/>
    <n v="543952"/>
    <x v="6"/>
    <x v="147"/>
    <n v="285.5"/>
    <n v="3916.5808241"/>
    <n v="9.7213076357197982E-5"/>
    <n v="1426"/>
    <n v="1223"/>
    <n v="170"/>
    <n v="178"/>
    <n v="499"/>
    <n v="418"/>
    <n v="74"/>
    <n v="61"/>
    <n v="0.11921458625525946"/>
    <n v="0.14554374488961569"/>
    <n v="-2.6329158634356226E-2"/>
    <n v="0.14829659318637275"/>
    <n v="0.145933014354067"/>
    <n v="2.3635788323057572E-3"/>
    <n v="0.1659852820932135"/>
    <n v="-4.49438202247191E-2"/>
    <n v="0.19377990430622005"/>
    <n v="0.21311475409836067"/>
  </r>
  <r>
    <x v="718"/>
    <n v="507717"/>
    <x v="8"/>
    <x v="75"/>
    <n v="991.6"/>
    <n v="4471.7693440000003"/>
    <n v="1.109933572709924E-4"/>
    <n v="1539"/>
    <n v="1593"/>
    <n v="189"/>
    <n v="221"/>
    <n v="409"/>
    <n v="445"/>
    <n v="39"/>
    <n v="55"/>
    <n v="0.12280701754385964"/>
    <n v="0.13873195229127433"/>
    <n v="-1.5924934747414687E-2"/>
    <n v="9.5354523227383858E-2"/>
    <n v="0.12359550561797752"/>
    <n v="-2.8240982390593666E-2"/>
    <n v="-3.3898305084745783E-2"/>
    <n v="-0.14479638009049778"/>
    <n v="-8.0898876404494335E-2"/>
    <n v="-0.29090909090909089"/>
  </r>
  <r>
    <x v="719"/>
    <n v="532928"/>
    <x v="4"/>
    <x v="40"/>
    <n v="274.14999999999998"/>
    <n v="4163.6777057999998"/>
    <n v="1.0334624431852748E-4"/>
    <n v="1764"/>
    <n v="1367"/>
    <n v="181"/>
    <n v="122"/>
    <n v="741"/>
    <n v="568"/>
    <n v="76"/>
    <n v="55"/>
    <n v="0.10260770975056689"/>
    <n v="8.9246525237746885E-2"/>
    <n v="1.3361184512820007E-2"/>
    <n v="0.10256410256410256"/>
    <n v="9.6830985915492954E-2"/>
    <n v="5.7331166486096069E-3"/>
    <n v="0.29041697147037304"/>
    <n v="0.48360655737704916"/>
    <n v="0.30457746478873249"/>
    <n v="0.38181818181818183"/>
  </r>
  <r>
    <x v="720"/>
    <n v="505509"/>
    <x v="6"/>
    <x v="142"/>
    <n v="132.9"/>
    <n v="3522.4313717999999"/>
    <n v="8.7429930668791943E-5"/>
    <n v="963"/>
    <n v="1037"/>
    <n v="125"/>
    <n v="144"/>
    <n v="311"/>
    <n v="367"/>
    <n v="22"/>
    <n v="46"/>
    <n v="0.12980269989615784"/>
    <n v="0.13886210221793635"/>
    <n v="-9.0594023217785147E-3"/>
    <n v="7.0739549839228297E-2"/>
    <n v="0.12534059945504086"/>
    <n v="-5.4601049615812566E-2"/>
    <n v="-7.1359691417550608E-2"/>
    <n v="-0.13194444444444442"/>
    <n v="-0.15258855585831066"/>
    <n v="-0.52173913043478259"/>
  </r>
  <r>
    <x v="721"/>
    <n v="500041"/>
    <x v="5"/>
    <x v="130"/>
    <n v="3670"/>
    <n v="4575.9836134999996"/>
    <n v="1.1358004964207122E-4"/>
    <n v="1634"/>
    <n v="1299"/>
    <n v="106"/>
    <n v="69"/>
    <n v="644"/>
    <n v="421"/>
    <n v="48"/>
    <n v="28"/>
    <n v="6.4871481028151781E-2"/>
    <n v="5.3117782909930716E-2"/>
    <n v="1.1753698118221065E-2"/>
    <n v="7.4534161490683232E-2"/>
    <n v="6.6508313539192399E-2"/>
    <n v="8.0258479514908332E-3"/>
    <n v="0.2578906851424172"/>
    <n v="0.53623188405797095"/>
    <n v="0.52969121140142517"/>
    <n v="0.71428571428571419"/>
  </r>
  <r>
    <x v="722"/>
    <n v="500307"/>
    <x v="10"/>
    <x v="116"/>
    <n v="514.85"/>
    <n v="4639.7265545"/>
    <n v="1.1516220705665472E-4"/>
    <n v="498"/>
    <n v="478"/>
    <n v="275"/>
    <n v="164"/>
    <n v="169"/>
    <n v="161"/>
    <n v="69"/>
    <n v="58"/>
    <n v="0.55220883534136544"/>
    <n v="0.34309623430962344"/>
    <n v="0.20911260103174201"/>
    <n v="0.40828402366863903"/>
    <n v="0.36024844720496896"/>
    <n v="4.8035576463670071E-2"/>
    <n v="4.1841004184100417E-2"/>
    <n v="0.67682926829268286"/>
    <n v="4.9689440993788914E-2"/>
    <n v="0.18965517241379315"/>
  </r>
  <r>
    <x v="723"/>
    <n v="531201"/>
    <x v="4"/>
    <x v="40"/>
    <n v="4066.7"/>
    <n v="4656.1614"/>
    <n v="1.1557013477786482E-4"/>
    <n v="500"/>
    <n v="391"/>
    <n v="129"/>
    <n v="91"/>
    <n v="170"/>
    <n v="153"/>
    <n v="42"/>
    <n v="34"/>
    <n v="0.25800000000000001"/>
    <n v="0.23273657289002558"/>
    <n v="2.5263427109974423E-2"/>
    <n v="0.24705882352941178"/>
    <n v="0.22222222222222221"/>
    <n v="2.4836601307189565E-2"/>
    <n v="0.27877237851662406"/>
    <n v="0.41758241758241765"/>
    <n v="0.11111111111111116"/>
    <n v="0.23529411764705888"/>
  </r>
  <r>
    <x v="724"/>
    <n v="544122"/>
    <x v="6"/>
    <x v="126"/>
    <n v="1235.45"/>
    <n v="5372.7298487999997"/>
    <n v="1.3335601140262733E-4"/>
    <n v="4681"/>
    <n v="3756"/>
    <n v="100"/>
    <n v="76"/>
    <n v="1706"/>
    <n v="1358"/>
    <n v="33"/>
    <n v="29"/>
    <n v="2.1362956633198035E-2"/>
    <n v="2.0234291799787009E-2"/>
    <n v="1.1286648334110257E-3"/>
    <n v="1.9343493552168817E-2"/>
    <n v="2.1354933726067747E-2"/>
    <n v="-2.0114401738989297E-3"/>
    <n v="0.24627263045793391"/>
    <n v="0.31578947368421062"/>
    <n v="0.25625920471281294"/>
    <n v="0.13793103448275867"/>
  </r>
  <r>
    <x v="725"/>
    <n v="542760"/>
    <x v="4"/>
    <x v="5"/>
    <n v="166.55"/>
    <n v="3890.6313881999999"/>
    <n v="9.6568987901765019E-5"/>
    <n v="5602"/>
    <n v="3782"/>
    <n v="-437"/>
    <n v="30"/>
    <n v="2092"/>
    <n v="1837"/>
    <n v="1"/>
    <n v="17"/>
    <n v="-7.8007854337736521E-2"/>
    <n v="7.9323109465891072E-3"/>
    <n v="-8.5940165284325631E-2"/>
    <n v="4.7801147227533459E-4"/>
    <n v="9.2542188350571587E-3"/>
    <n v="-8.7762073627818248E-3"/>
    <n v="0.48122686409307236"/>
    <n v="-15.566666666666666"/>
    <n v="0.13881328252585745"/>
    <n v="-0.94117647058823528"/>
  </r>
  <r>
    <x v="726"/>
    <n v="544322"/>
    <x v="4"/>
    <x v="15"/>
    <n v="729.95"/>
    <n v="3717.637197"/>
    <n v="9.227511570206599E-5"/>
    <n v="158"/>
    <n v="174"/>
    <n v="37"/>
    <n v="54"/>
    <n v="33"/>
    <n v="53"/>
    <n v="2"/>
    <n v="15"/>
    <n v="0.23417721518987342"/>
    <n v="0.31034482758620691"/>
    <n v="-7.6167612396333489E-2"/>
    <n v="6.0606060606060608E-2"/>
    <n v="0.28301886792452829"/>
    <n v="-0.22241280731846769"/>
    <n v="-9.1954022988505746E-2"/>
    <n v="-0.31481481481481477"/>
    <n v="-0.37735849056603776"/>
    <n v="-0.8666666666666667"/>
  </r>
  <r>
    <x v="727"/>
    <n v="500404"/>
    <x v="4"/>
    <x v="68"/>
    <n v="224.75"/>
    <n v="4050.9716512"/>
    <n v="1.0054877816531308E-4"/>
    <n v="2938"/>
    <n v="2652"/>
    <n v="168"/>
    <n v="118"/>
    <n v="942"/>
    <n v="892"/>
    <n v="59"/>
    <n v="50"/>
    <n v="5.7181756296800543E-2"/>
    <n v="4.4494720965309202E-2"/>
    <n v="1.2687035331491341E-2"/>
    <n v="6.2632696390658174E-2"/>
    <n v="5.6053811659192827E-2"/>
    <n v="6.5788847314653467E-3"/>
    <n v="0.10784313725490202"/>
    <n v="0.42372881355932202"/>
    <n v="5.6053811659192876E-2"/>
    <n v="0.17999999999999994"/>
  </r>
  <r>
    <x v="728"/>
    <n v="500185"/>
    <x v="4"/>
    <x v="5"/>
    <n v="15.48"/>
    <n v="4054.9363440000002"/>
    <n v="1.0064718542440183E-4"/>
    <n v="2977"/>
    <n v="4230"/>
    <n v="106"/>
    <n v="22"/>
    <n v="925"/>
    <n v="1007"/>
    <n v="8"/>
    <n v="-39"/>
    <n v="3.5606315082297613E-2"/>
    <n v="5.2009456264775411E-3"/>
    <n v="3.0405369455820071E-2"/>
    <n v="8.6486486486486488E-3"/>
    <n v="-3.8728897715988087E-2"/>
    <n v="4.7377546364636737E-2"/>
    <n v="-0.29621749408983455"/>
    <n v="3.8181818181818183"/>
    <n v="-8.1429990069513458E-2"/>
    <n v="-1.2051282051282051"/>
  </r>
  <r>
    <x v="729"/>
    <n v="532528"/>
    <x v="3"/>
    <x v="82"/>
    <n v="700.85"/>
    <n v="4156.9523364999995"/>
    <n v="1.0317931457325878E-4"/>
    <n v="1467"/>
    <n v="1226"/>
    <n v="150"/>
    <n v="160"/>
    <n v="510"/>
    <n v="425"/>
    <n v="36"/>
    <n v="74"/>
    <n v="0.10224948875255624"/>
    <n v="0.13050570962479607"/>
    <n v="-2.8256220872239834E-2"/>
    <n v="7.0588235294117646E-2"/>
    <n v="0.17411764705882352"/>
    <n v="-0.10352941176470587"/>
    <n v="0.19657422512234901"/>
    <n v="-6.25E-2"/>
    <n v="0.19999999999999996"/>
    <n v="-0.51351351351351349"/>
  </r>
  <r>
    <x v="730"/>
    <n v="534976"/>
    <x v="6"/>
    <x v="26"/>
    <n v="628.04999999999995"/>
    <n v="4958.6179899999997"/>
    <n v="1.2307738074033368E-4"/>
    <n v="2818"/>
    <n v="2473"/>
    <n v="112"/>
    <n v="27"/>
    <n v="1126"/>
    <n v="1026"/>
    <n v="87"/>
    <n v="71"/>
    <n v="3.9744499645138397E-2"/>
    <n v="1.0917913465426607E-2"/>
    <n v="2.8826586179711788E-2"/>
    <n v="7.7264653641207812E-2"/>
    <n v="6.9200779727095513E-2"/>
    <n v="8.0638739141122989E-3"/>
    <n v="0.13950667205822898"/>
    <n v="3.1481481481481479"/>
    <n v="9.7465886939571256E-2"/>
    <n v="0.22535211267605626"/>
  </r>
  <r>
    <x v="731"/>
    <n v="543258"/>
    <x v="6"/>
    <x v="27"/>
    <n v="770.05"/>
    <n v="3674.8398146"/>
    <n v="9.1212845985189799E-5"/>
    <n v="979"/>
    <n v="953"/>
    <n v="88"/>
    <n v="84"/>
    <n v="358"/>
    <n v="342"/>
    <n v="37"/>
    <n v="35"/>
    <n v="8.98876404494382E-2"/>
    <n v="8.8142707240293813E-2"/>
    <n v="1.7449332091443864E-3"/>
    <n v="0.10335195530726257"/>
    <n v="0.1023391812865497"/>
    <n v="1.0127740207128699E-3"/>
    <n v="2.7282266526757581E-2"/>
    <n v="4.7619047619047672E-2"/>
    <n v="4.6783625730994149E-2"/>
    <n v="5.7142857142857162E-2"/>
  </r>
  <r>
    <x v="732"/>
    <n v="505726"/>
    <x v="6"/>
    <x v="51"/>
    <n v="962.5"/>
    <n v="3893.587775"/>
    <n v="9.6642368094498784E-5"/>
    <n v="4145"/>
    <n v="3781"/>
    <n v="101"/>
    <n v="100"/>
    <n v="1419"/>
    <n v="1273"/>
    <n v="24"/>
    <n v="31"/>
    <n v="2.4366706875753919E-2"/>
    <n v="2.6448029621793177E-2"/>
    <n v="-2.0813227460392582E-3"/>
    <n v="1.6913319238900635E-2"/>
    <n v="2.4351924587588374E-2"/>
    <n v="-7.4386053486877393E-3"/>
    <n v="9.6270827823327076E-2"/>
    <n v="1.0000000000000009E-2"/>
    <n v="0.11468970934799683"/>
    <n v="-0.22580645161290325"/>
  </r>
  <r>
    <x v="733"/>
    <n v="540673"/>
    <x v="6"/>
    <x v="148"/>
    <n v="288.45"/>
    <n v="4075.7000849999999"/>
    <n v="1.0116256024492731E-4"/>
    <n v="11492"/>
    <n v="9761"/>
    <n v="35"/>
    <n v="235"/>
    <n v="4185"/>
    <n v="3362"/>
    <n v="-138"/>
    <n v="102"/>
    <n v="3.0455969369996517E-3"/>
    <n v="2.4075402110439504E-2"/>
    <n v="-2.1029805173439851E-2"/>
    <n v="-3.2974910394265235E-2"/>
    <n v="3.0339083878643664E-2"/>
    <n v="-6.3313994272908902E-2"/>
    <n v="0.17733838746030117"/>
    <n v="-0.85106382978723405"/>
    <n v="0.24479476502082087"/>
    <n v="-2.3529411764705883"/>
  </r>
  <r>
    <x v="734"/>
    <n v="500214"/>
    <x v="9"/>
    <x v="134"/>
    <n v="343.5"/>
    <n v="4220.8153590000002"/>
    <n v="1.047644525192172E-4"/>
    <n v="2051"/>
    <n v="1902"/>
    <n v="118"/>
    <n v="145"/>
    <n v="734"/>
    <n v="690"/>
    <n v="20"/>
    <n v="49"/>
    <n v="5.7532910775231594E-2"/>
    <n v="7.6235541535226076E-2"/>
    <n v="-1.8702630759994482E-2"/>
    <n v="2.7247956403269755E-2"/>
    <n v="7.101449275362319E-2"/>
    <n v="-4.3766536350353435E-2"/>
    <n v="7.8338590956887444E-2"/>
    <n v="-0.18620689655172418"/>
    <n v="6.3768115942028913E-2"/>
    <n v="-0.59183673469387754"/>
  </r>
  <r>
    <x v="735"/>
    <n v="532189"/>
    <x v="6"/>
    <x v="57"/>
    <n v="409.5"/>
    <n v="3504.5369191"/>
    <n v="8.6985774177499541E-5"/>
    <n v="391"/>
    <n v="387"/>
    <n v="54"/>
    <n v="56"/>
    <n v="184"/>
    <n v="149"/>
    <n v="28"/>
    <n v="20"/>
    <n v="0.13810741687979539"/>
    <n v="0.14470284237726097"/>
    <n v="-6.5954254974655846E-3"/>
    <n v="0.15217391304347827"/>
    <n v="0.13422818791946309"/>
    <n v="1.7945725124015183E-2"/>
    <n v="1.0335917312661591E-2"/>
    <n v="-3.5714285714285698E-2"/>
    <n v="0.2348993288590604"/>
    <n v="0.39999999999999991"/>
  </r>
  <r>
    <x v="736"/>
    <n v="500171"/>
    <x v="8"/>
    <x v="61"/>
    <n v="451.05"/>
    <n v="4148.0591112000002"/>
    <n v="1.0295857668248659E-4"/>
    <n v="2274"/>
    <n v="2402"/>
    <n v="357"/>
    <n v="474"/>
    <n v="757"/>
    <n v="779"/>
    <n v="106"/>
    <n v="168"/>
    <n v="0.15699208443271767"/>
    <n v="0.19733555370524564"/>
    <n v="-4.0343469272527965E-2"/>
    <n v="0.14002642007926025"/>
    <n v="0.21566110397946084"/>
    <n v="-7.5634683900200589E-2"/>
    <n v="-5.328892589508738E-2"/>
    <n v="-0.24683544303797467"/>
    <n v="-2.8241335044929428E-2"/>
    <n v="-0.36904761904761907"/>
  </r>
  <r>
    <x v="737"/>
    <n v="533122"/>
    <x v="9"/>
    <x v="12"/>
    <n v="8.2899999999999991"/>
    <n v="4441.0640654999997"/>
    <n v="1.1023122450329304E-4"/>
    <n v="2204"/>
    <n v="2348"/>
    <n v="10"/>
    <n v="96"/>
    <n v="728"/>
    <n v="733"/>
    <n v="54"/>
    <n v="4"/>
    <n v="4.5372050816696917E-3"/>
    <n v="4.0885860306643949E-2"/>
    <n v="-3.6348655224974255E-2"/>
    <n v="7.4175824175824176E-2"/>
    <n v="5.4570259208731242E-3"/>
    <n v="6.8718798254951058E-2"/>
    <n v="-6.1328790459965976E-2"/>
    <n v="-0.89583333333333337"/>
    <n v="-6.8212824010913664E-3"/>
    <n v="12.5"/>
  </r>
  <r>
    <x v="738"/>
    <n v="500407"/>
    <x v="4"/>
    <x v="37"/>
    <n v="3630"/>
    <n v="4412.8291520000002"/>
    <n v="1.0953040842792325E-4"/>
    <n v="1461"/>
    <n v="1227"/>
    <n v="141"/>
    <n v="120"/>
    <n v="476"/>
    <n v="349"/>
    <n v="42"/>
    <n v="31"/>
    <n v="9.6509240246406572E-2"/>
    <n v="9.7799511002444994E-2"/>
    <n v="-1.2902707560384225E-3"/>
    <n v="8.8235294117647065E-2"/>
    <n v="8.882521489971347E-2"/>
    <n v="-5.8992078206640541E-4"/>
    <n v="0.19070904645476783"/>
    <n v="0.17500000000000004"/>
    <n v="0.36389684813753576"/>
    <n v="0.35483870967741926"/>
  </r>
  <r>
    <x v="739"/>
    <n v="538730"/>
    <x v="6"/>
    <x v="149"/>
    <n v="287.95"/>
    <n v="4052.9881700000001"/>
    <n v="1.0059882998471481E-4"/>
    <n v="9591"/>
    <n v="9052"/>
    <n v="105"/>
    <n v="161"/>
    <n v="3172"/>
    <n v="3124"/>
    <n v="37"/>
    <n v="45"/>
    <n v="1.0947763528307789E-2"/>
    <n v="1.7786124613345118E-2"/>
    <n v="-6.838361085037329E-3"/>
    <n v="1.1664564943253467E-2"/>
    <n v="1.4404609475032011E-2"/>
    <n v="-2.7400445317785436E-3"/>
    <n v="5.9544851966416346E-2"/>
    <n v="-0.34782608695652173"/>
    <n v="1.5364916773367376E-2"/>
    <n v="-0.17777777777777781"/>
  </r>
  <r>
    <x v="740"/>
    <n v="500128"/>
    <x v="4"/>
    <x v="68"/>
    <n v="78.63"/>
    <n v="4858.3117591"/>
    <n v="1.2058768941988834E-4"/>
    <n v="4425"/>
    <n v="5619"/>
    <n v="145"/>
    <n v="541"/>
    <n v="1471"/>
    <n v="1779"/>
    <n v="-21"/>
    <n v="160"/>
    <n v="3.2768361581920903E-2"/>
    <n v="9.6280476953194513E-2"/>
    <n v="-6.3512115371273603E-2"/>
    <n v="-1.4276002719238613E-2"/>
    <n v="8.9938167509836991E-2"/>
    <n v="-0.1042141702290756"/>
    <n v="-0.21249332621462891"/>
    <n v="-0.73197781885397406"/>
    <n v="-0.17313097245643616"/>
    <n v="-1.1312500000000001"/>
  </r>
  <r>
    <x v="741"/>
    <n v="543249"/>
    <x v="6"/>
    <x v="35"/>
    <n v="116.85"/>
    <n v="3438.1670543"/>
    <n v="8.5338414139652776E-5"/>
    <n v="121"/>
    <n v="21"/>
    <n v="17"/>
    <n v="-126"/>
    <n v="38"/>
    <n v="9"/>
    <n v="-21"/>
    <n v="-28"/>
    <n v="0.14049586776859505"/>
    <n v="-6"/>
    <n v="6.1404958677685952"/>
    <n v="-0.55263157894736847"/>
    <n v="-3.1111111111111112"/>
    <n v="2.5584795321637426"/>
    <n v="4.7619047619047619"/>
    <n v="-1.1349206349206349"/>
    <n v="3.2222222222222223"/>
    <n v="-0.25"/>
  </r>
  <r>
    <x v="742"/>
    <n v="500031"/>
    <x v="6"/>
    <x v="51"/>
    <n v="351"/>
    <n v="4062.3294526"/>
    <n v="1.0083068906268408E-4"/>
    <n v="3210"/>
    <n v="5553"/>
    <n v="-23"/>
    <n v="74"/>
    <n v="1048"/>
    <n v="1286"/>
    <n v="-34"/>
    <n v="33"/>
    <n v="-7.1651090342679125E-3"/>
    <n v="1.3326130019809113E-2"/>
    <n v="-2.0491239054077025E-2"/>
    <n v="-3.2442748091603052E-2"/>
    <n v="2.5660964230171075E-2"/>
    <n v="-5.8103712321774123E-2"/>
    <n v="-0.42193408968125334"/>
    <n v="-1.3108108108108107"/>
    <n v="-0.18506998444790046"/>
    <n v="-2.0303030303030303"/>
  </r>
  <r>
    <x v="743"/>
    <n v="533169"/>
    <x v="4"/>
    <x v="5"/>
    <n v="89.02"/>
    <n v="3598.4900421000002"/>
    <n v="8.9317775617121323E-5"/>
    <n v="484"/>
    <n v="814"/>
    <n v="169"/>
    <n v="215"/>
    <n v="153"/>
    <n v="242"/>
    <n v="51"/>
    <n v="84"/>
    <n v="0.34917355371900827"/>
    <n v="0.26412776412776412"/>
    <n v="8.5045789591244147E-2"/>
    <n v="0.33333333333333331"/>
    <n v="0.34710743801652894"/>
    <n v="-1.377410468319562E-2"/>
    <n v="-0.40540540540540537"/>
    <n v="-0.21395348837209305"/>
    <n v="-0.36776859504132231"/>
    <n v="-0.3928571428571429"/>
  </r>
  <r>
    <x v="744"/>
    <n v="505255"/>
    <x v="4"/>
    <x v="92"/>
    <n v="865.85"/>
    <n v="3890.3729229"/>
    <n v="9.6562572559385267E-5"/>
    <n v="2580"/>
    <n v="2392"/>
    <n v="41"/>
    <n v="77"/>
    <n v="883"/>
    <n v="801"/>
    <n v="-9"/>
    <n v="40"/>
    <n v="1.5891472868217054E-2"/>
    <n v="3.2190635451505016E-2"/>
    <n v="-1.6299162583287962E-2"/>
    <n v="-1.0192525481313703E-2"/>
    <n v="4.9937578027465665E-2"/>
    <n v="-6.013010350877937E-2"/>
    <n v="7.8595317725752567E-2"/>
    <n v="-0.46753246753246758"/>
    <n v="0.10237203495630465"/>
    <n v="-1.2250000000000001"/>
  </r>
  <r>
    <x v="745"/>
    <n v="532872"/>
    <x v="7"/>
    <x v="9"/>
    <n v="121.95"/>
    <n v="3946.7238481999998"/>
    <n v="9.7961253462452408E-5"/>
    <n v="25"/>
    <n v="44"/>
    <n v="-208"/>
    <n v="-282"/>
    <n v="8"/>
    <n v="14"/>
    <n v="-80"/>
    <n v="-79"/>
    <n v="-8.32"/>
    <n v="-6.4090909090909092"/>
    <n v="-1.9109090909090911"/>
    <n v="-10"/>
    <n v="-5.6428571428571432"/>
    <n v="-4.3571428571428568"/>
    <n v="-0.43181818181818177"/>
    <n v="-0.26241134751773054"/>
    <n v="-0.4285714285714286"/>
    <n v="1.2658227848101333E-2"/>
  </r>
  <r>
    <x v="746"/>
    <n v="531500"/>
    <x v="6"/>
    <x v="10"/>
    <n v="91.78"/>
    <n v="2705.7617055000001"/>
    <n v="6.7159451341489233E-5"/>
    <n v="541884"/>
    <n v="223613"/>
    <n v="165"/>
    <n v="92"/>
    <n v="234937"/>
    <n v="96496"/>
    <n v="71"/>
    <n v="35"/>
    <n v="3.0449321256947984E-4"/>
    <n v="4.1142509603645585E-4"/>
    <n v="-1.06931883466976E-4"/>
    <n v="3.0220867721985045E-4"/>
    <n v="3.6270933510197315E-4"/>
    <n v="-6.0500657882122701E-5"/>
    <n v="1.4233117037023786"/>
    <n v="0.79347826086956519"/>
    <n v="1.4346812303100647"/>
    <n v="1.0285714285714285"/>
  </r>
  <r>
    <x v="747"/>
    <n v="500150"/>
    <x v="8"/>
    <x v="34"/>
    <n v="4621.3"/>
    <n v="3466.1589835999998"/>
    <n v="8.6033199127538603E-5"/>
    <n v="643"/>
    <n v="525"/>
    <n v="75"/>
    <n v="73"/>
    <n v="187"/>
    <n v="136"/>
    <n v="15"/>
    <n v="19"/>
    <n v="0.1166407465007776"/>
    <n v="0.13904761904761906"/>
    <n v="-2.2406872546841455E-2"/>
    <n v="8.0213903743315509E-2"/>
    <n v="0.13970588235294118"/>
    <n v="-5.949197860962567E-2"/>
    <n v="0.22476190476190472"/>
    <n v="2.7397260273972712E-2"/>
    <n v="0.375"/>
    <n v="-0.21052631578947367"/>
  </r>
  <r>
    <x v="748"/>
    <n v="506854"/>
    <x v="8"/>
    <x v="61"/>
    <n v="2010.2"/>
    <n v="4010.3468923"/>
    <n v="9.9540434927599875E-5"/>
    <n v="517"/>
    <n v="385"/>
    <n v="52"/>
    <n v="65"/>
    <n v="173"/>
    <n v="178"/>
    <n v="15"/>
    <n v="34"/>
    <n v="0.10058027079303675"/>
    <n v="0.16883116883116883"/>
    <n v="-6.8250898038132085E-2"/>
    <n v="8.6705202312138727E-2"/>
    <n v="0.19101123595505617"/>
    <n v="-0.10430603364291745"/>
    <n v="0.34285714285714275"/>
    <n v="-0.19999999999999996"/>
    <n v="-2.8089887640449396E-2"/>
    <n v="-0.55882352941176472"/>
  </r>
  <r>
    <x v="749"/>
    <n v="533326"/>
    <x v="4"/>
    <x v="92"/>
    <n v="89.95"/>
    <n v="3656.4913732"/>
    <n v="9.0757421083990767E-5"/>
    <n v="3210"/>
    <n v="3760"/>
    <n v="135"/>
    <n v="209"/>
    <n v="1041"/>
    <n v="1326"/>
    <n v="42"/>
    <n v="76"/>
    <n v="4.2056074766355138E-2"/>
    <n v="5.558510638297872E-2"/>
    <n v="-1.3529031616623582E-2"/>
    <n v="4.0345821325648415E-2"/>
    <n v="5.7315233785822019E-2"/>
    <n v="-1.6969412460173604E-2"/>
    <n v="-0.14627659574468088"/>
    <n v="-0.35406698564593297"/>
    <n v="-0.21493212669683259"/>
    <n v="-0.44736842105263153"/>
  </r>
  <r>
    <x v="750"/>
    <n v="544260"/>
    <x v="2"/>
    <x v="4"/>
    <n v="225.3"/>
    <n v="3638.1786870000001"/>
    <n v="9.0302883659175825E-5"/>
    <n v="1960"/>
    <n v="1749"/>
    <n v="270"/>
    <n v="262"/>
    <n v="724"/>
    <n v="580"/>
    <n v="101"/>
    <n v="73"/>
    <n v="0.13775510204081631"/>
    <n v="0.14979988564894225"/>
    <n v="-1.2044783608125942E-2"/>
    <n v="0.13950276243093923"/>
    <n v="0.12586206896551724"/>
    <n v="1.3640693465421988E-2"/>
    <n v="0.12064036592338478"/>
    <n v="3.0534351145038219E-2"/>
    <n v="0.24827586206896557"/>
    <n v="0.38356164383561642"/>
  </r>
  <r>
    <x v="751"/>
    <n v="532856"/>
    <x v="4"/>
    <x v="76"/>
    <n v="170.4"/>
    <n v="3862.8366535999999"/>
    <n v="9.5879097464582799E-5"/>
    <n v="4428"/>
    <n v="3988"/>
    <n v="342"/>
    <n v="282"/>
    <n v="1564"/>
    <n v="1387"/>
    <n v="128"/>
    <n v="102"/>
    <n v="7.7235772357723581E-2"/>
    <n v="7.0712136409227688E-2"/>
    <n v="6.5236359484958928E-3"/>
    <n v="8.1841432225063945E-2"/>
    <n v="7.3540014419610666E-2"/>
    <n v="8.3014178054532789E-3"/>
    <n v="0.11033099297893689"/>
    <n v="0.2127659574468086"/>
    <n v="0.12761355443403022"/>
    <n v="0.25490196078431371"/>
  </r>
  <r>
    <x v="752"/>
    <n v="543242"/>
    <x v="10"/>
    <x v="116"/>
    <n v="119.9"/>
    <n v="3412.0200347"/>
    <n v="8.4689421478184576E-5"/>
    <n v="4"/>
    <n v="5"/>
    <n v="-9"/>
    <n v="-6"/>
    <n v="1"/>
    <n v="1"/>
    <n v="-3"/>
    <n v="-2"/>
    <n v="-2.25"/>
    <n v="-1.2"/>
    <n v="-1.05"/>
    <n v="-3"/>
    <n v="-2"/>
    <n v="-1"/>
    <n v="-0.19999999999999996"/>
    <n v="0.5"/>
    <n v="0"/>
    <n v="0.5"/>
  </r>
  <r>
    <x v="753"/>
    <n v="544209"/>
    <x v="4"/>
    <x v="68"/>
    <n v="252.8"/>
    <n v="3956.9503725"/>
    <n v="9.8215085039609531E-5"/>
    <n v="3023"/>
    <n v="2566"/>
    <n v="120"/>
    <n v="113"/>
    <n v="1029"/>
    <n v="924"/>
    <n v="43"/>
    <n v="41"/>
    <n v="3.9695666556400923E-2"/>
    <n v="4.4037412314886983E-2"/>
    <n v="-4.3417457584860597E-3"/>
    <n v="4.1788143828960157E-2"/>
    <n v="4.4372294372294376E-2"/>
    <n v="-2.5841505433342182E-3"/>
    <n v="0.17809820732657844"/>
    <n v="6.1946902654867353E-2"/>
    <n v="0.11363636363636354"/>
    <n v="4.8780487804878092E-2"/>
  </r>
  <r>
    <x v="754"/>
    <n v="517544"/>
    <x v="4"/>
    <x v="92"/>
    <n v="2786.6"/>
    <n v="4114.2075180000002"/>
    <n v="1.0211834953989453E-4"/>
    <n v="8519"/>
    <n v="7372"/>
    <n v="-53"/>
    <n v="-23"/>
    <n v="232"/>
    <n v="267"/>
    <n v="-61"/>
    <n v="-19"/>
    <n v="-6.2213874867942248E-3"/>
    <n v="-3.1199131850244166E-3"/>
    <n v="-3.1014743017698083E-3"/>
    <n v="-0.26293103448275862"/>
    <n v="-7.116104868913857E-2"/>
    <n v="-0.19176998579362003"/>
    <n v="0.1555887140531742"/>
    <n v="1.3043478260869565"/>
    <n v="-0.13108614232209737"/>
    <n v="2.2105263157894739"/>
  </r>
  <r>
    <x v="755"/>
    <n v="538562"/>
    <x v="4"/>
    <x v="40"/>
    <n v="357.7"/>
    <n v="4043.7163080999999"/>
    <n v="1.0036869399127077E-4"/>
    <n v="3886"/>
    <n v="3336"/>
    <n v="135"/>
    <n v="101"/>
    <n v="1370"/>
    <n v="1135"/>
    <n v="52"/>
    <n v="36"/>
    <n v="3.4740092640247043E-2"/>
    <n v="3.02757793764988E-2"/>
    <n v="4.464313263748243E-3"/>
    <n v="3.7956204379562042E-2"/>
    <n v="3.1718061674008813E-2"/>
    <n v="6.238142705553229E-3"/>
    <n v="0.16486810551558762"/>
    <n v="0.33663366336633671"/>
    <n v="0.20704845814977979"/>
    <n v="0.44444444444444442"/>
  </r>
  <r>
    <x v="756"/>
    <n v="543273"/>
    <x v="10"/>
    <x v="150"/>
    <n v="1621.7"/>
    <n v="3969.9662213000001"/>
    <n v="9.8538150172202308E-5"/>
    <n v="90"/>
    <n v="50"/>
    <n v="32"/>
    <n v="11"/>
    <n v="82"/>
    <n v="42"/>
    <n v="30"/>
    <n v="10"/>
    <n v="0.35555555555555557"/>
    <n v="0.22"/>
    <n v="0.13555555555555557"/>
    <n v="0.36585365853658536"/>
    <n v="0.23809523809523808"/>
    <n v="0.12775842044134728"/>
    <n v="0.8"/>
    <n v="1.9090909090909092"/>
    <n v="0.95238095238095233"/>
    <n v="2"/>
  </r>
  <r>
    <x v="757"/>
    <n v="540768"/>
    <x v="10"/>
    <x v="86"/>
    <n v="352.7"/>
    <n v="3489.1580969000001"/>
    <n v="8.6604057909163399E-5"/>
    <n v="5207"/>
    <n v="4535"/>
    <n v="-12"/>
    <n v="-25"/>
    <n v="1898"/>
    <n v="1594"/>
    <n v="6"/>
    <n v="-7"/>
    <n v="-2.3045899750336087E-3"/>
    <n v="-5.512679162072767E-3"/>
    <n v="3.2080891870391584E-3"/>
    <n v="3.1612223393045311E-3"/>
    <n v="-4.3914680050188204E-3"/>
    <n v="7.5526903443233519E-3"/>
    <n v="0.14818081587651588"/>
    <n v="-0.52"/>
    <n v="0.1907151819322459"/>
    <n v="-1.8571428571428572"/>
  </r>
  <r>
    <x v="758"/>
    <n v="509966"/>
    <x v="5"/>
    <x v="87"/>
    <n v="212.25"/>
    <n v="3601.1059605"/>
    <n v="8.9382705076408505E-5"/>
    <n v="1356"/>
    <n v="1355"/>
    <n v="175"/>
    <n v="237"/>
    <n v="491"/>
    <n v="470"/>
    <n v="60"/>
    <n v="136"/>
    <n v="0.12905604719764011"/>
    <n v="0.17490774907749077"/>
    <n v="-4.5851701879850659E-2"/>
    <n v="0.12219959266802444"/>
    <n v="0.28936170212765955"/>
    <n v="-0.16716210945963511"/>
    <n v="7.3800738007379074E-4"/>
    <n v="-0.26160337552742619"/>
    <n v="4.4680851063829685E-2"/>
    <n v="-0.55882352941176472"/>
  </r>
  <r>
    <x v="759"/>
    <n v="533151"/>
    <x v="6"/>
    <x v="151"/>
    <n v="198.25"/>
    <n v="3545.1326942000001"/>
    <n v="8.7993398011097519E-5"/>
    <n v="1779"/>
    <n v="1791"/>
    <n v="269"/>
    <n v="318"/>
    <n v="605"/>
    <n v="642"/>
    <n v="95"/>
    <n v="118"/>
    <n v="0.15120854412591345"/>
    <n v="0.17755443886097153"/>
    <n v="-2.6345894735058079E-2"/>
    <n v="0.15702479338842976"/>
    <n v="0.18380062305295949"/>
    <n v="-2.6775829664529738E-2"/>
    <n v="-6.7001675041875597E-3"/>
    <n v="-0.15408805031446537"/>
    <n v="-5.7632398753894032E-2"/>
    <n v="-0.19491525423728817"/>
  </r>
  <r>
    <x v="760"/>
    <n v="544118"/>
    <x v="2"/>
    <x v="62"/>
    <n v="386.25"/>
    <n v="4067.6323185000001"/>
    <n v="1.0096231098772559E-4"/>
    <n v="46972"/>
    <n v="40524"/>
    <n v="1866"/>
    <n v="3779"/>
    <n v="13841"/>
    <n v="11774"/>
    <n v="96"/>
    <n v="1106"/>
    <n v="3.9725794090096231E-2"/>
    <n v="9.3253380712664105E-2"/>
    <n v="-5.3527586622567874E-2"/>
    <n v="6.9359150350408209E-3"/>
    <n v="9.3935790725326998E-2"/>
    <n v="-8.699987569028618E-2"/>
    <n v="0.15911558582568364"/>
    <n v="-0.50621857634294787"/>
    <n v="0.17555631051469334"/>
    <n v="-0.91320072332730562"/>
  </r>
  <r>
    <x v="761"/>
    <n v="505872"/>
    <x v="4"/>
    <x v="92"/>
    <n v="394.75"/>
    <n v="3855.5552247000001"/>
    <n v="9.5698365817404842E-5"/>
    <n v="1343"/>
    <n v="1235"/>
    <n v="153"/>
    <n v="150"/>
    <n v="538"/>
    <n v="381"/>
    <n v="75"/>
    <n v="37"/>
    <n v="0.11392405063291139"/>
    <n v="0.1214574898785425"/>
    <n v="-7.5334392456311156E-3"/>
    <n v="0.13940520446096655"/>
    <n v="9.711286089238845E-2"/>
    <n v="4.2292343568578097E-2"/>
    <n v="8.7449392712550589E-2"/>
    <n v="2.0000000000000018E-2"/>
    <n v="0.4120734908136483"/>
    <n v="1.0270270270270272"/>
  </r>
  <r>
    <x v="762"/>
    <n v="508486"/>
    <x v="6"/>
    <x v="131"/>
    <n v="7384.9"/>
    <n v="3904.9984476999998"/>
    <n v="9.6925591305327576E-5"/>
    <n v="887"/>
    <n v="809"/>
    <n v="91"/>
    <n v="80"/>
    <n v="332"/>
    <n v="286"/>
    <n v="34"/>
    <n v="21"/>
    <n v="0.10259301014656144"/>
    <n v="9.8887515451174288E-2"/>
    <n v="3.7054946953871543E-3"/>
    <n v="0.10240963855421686"/>
    <n v="7.3426573426573424E-2"/>
    <n v="2.898306512764344E-2"/>
    <n v="9.6415327564894904E-2"/>
    <n v="0.13749999999999996"/>
    <n v="0.16083916083916083"/>
    <n v="0.61904761904761907"/>
  </r>
  <r>
    <x v="763"/>
    <n v="520057"/>
    <x v="6"/>
    <x v="52"/>
    <n v="125.55"/>
    <n v="3498.5285177000001"/>
    <n v="8.6836640223595472E-5"/>
    <n v="1885"/>
    <n v="1750"/>
    <n v="49"/>
    <n v="50"/>
    <n v="680"/>
    <n v="591"/>
    <n v="20"/>
    <n v="16"/>
    <n v="2.59946949602122E-2"/>
    <n v="2.8571428571428571E-2"/>
    <n v="-2.5767336112163704E-3"/>
    <n v="2.9411764705882353E-2"/>
    <n v="2.7072758037225041E-2"/>
    <n v="2.3390066686573112E-3"/>
    <n v="7.714285714285718E-2"/>
    <n v="-2.0000000000000018E-2"/>
    <n v="0.15059221658206434"/>
    <n v="0.25"/>
  </r>
  <r>
    <x v="764"/>
    <n v="532940"/>
    <x v="4"/>
    <x v="5"/>
    <n v="457.8"/>
    <n v="3461.3007283000002"/>
    <n v="8.5912612839484617E-5"/>
    <n v="4137"/>
    <n v="4060"/>
    <n v="276"/>
    <n v="277"/>
    <n v="1311"/>
    <n v="1486"/>
    <n v="82"/>
    <n v="99"/>
    <n v="6.6715010877447425E-2"/>
    <n v="6.822660098522168E-2"/>
    <n v="-1.511590107774255E-3"/>
    <n v="6.2547673531655232E-2"/>
    <n v="6.6621803499327059E-2"/>
    <n v="-4.0741299676718273E-3"/>
    <n v="1.8965517241379404E-2"/>
    <n v="-3.6101083032491488E-3"/>
    <n v="-0.11776581426648725"/>
    <n v="-0.17171717171717171"/>
  </r>
  <r>
    <x v="765"/>
    <n v="541301"/>
    <x v="6"/>
    <x v="51"/>
    <n v="161.1"/>
    <n v="3427.0813754000001"/>
    <n v="8.5063257568710645E-5"/>
    <n v="2378"/>
    <n v="2231"/>
    <n v="55"/>
    <n v="51"/>
    <n v="906"/>
    <n v="816"/>
    <n v="25"/>
    <n v="27"/>
    <n v="2.3128679562657694E-2"/>
    <n v="2.2859704168534289E-2"/>
    <n v="2.6897539412340521E-4"/>
    <n v="2.759381898454746E-2"/>
    <n v="3.3088235294117647E-2"/>
    <n v="-5.4944163095701874E-3"/>
    <n v="6.5889735544598871E-2"/>
    <n v="7.8431372549019551E-2"/>
    <n v="0.11029411764705888"/>
    <n v="-7.407407407407407E-2"/>
  </r>
  <r>
    <x v="766"/>
    <n v="532899"/>
    <x v="5"/>
    <x v="117"/>
    <n v="847.9"/>
    <n v="4300.8237614999998"/>
    <n v="1.0675033339102001E-4"/>
    <n v="1287"/>
    <n v="1114"/>
    <n v="323"/>
    <n v="305"/>
    <n v="210"/>
    <n v="174"/>
    <n v="12"/>
    <n v="14"/>
    <n v="0.25097125097125095"/>
    <n v="0.27378815080789948"/>
    <n v="-2.281689983664853E-2"/>
    <n v="5.7142857142857141E-2"/>
    <n v="8.0459770114942528E-2"/>
    <n v="-2.3316912972085387E-2"/>
    <n v="0.15529622980251356"/>
    <n v="5.9016393442622883E-2"/>
    <n v="0.2068965517241379"/>
    <n v="-0.1428571428571429"/>
  </r>
  <r>
    <x v="767"/>
    <n v="544067"/>
    <x v="7"/>
    <x v="9"/>
    <n v="698.2"/>
    <n v="3988.0048145000001"/>
    <n v="9.8985884360997195E-5"/>
    <n v="1188"/>
    <n v="937"/>
    <n v="102"/>
    <n v="98"/>
    <n v="451"/>
    <n v="320"/>
    <n v="42"/>
    <n v="34"/>
    <n v="8.5858585858585856E-2"/>
    <n v="0.10458911419423693"/>
    <n v="-1.8730528335651073E-2"/>
    <n v="9.3126385809312637E-2"/>
    <n v="0.10625"/>
    <n v="-1.312361419068736E-2"/>
    <n v="0.26787620064034146"/>
    <n v="4.081632653061229E-2"/>
    <n v="0.40937500000000004"/>
    <n v="0.23529411764705888"/>
  </r>
  <r>
    <x v="768"/>
    <n v="530655"/>
    <x v="4"/>
    <x v="68"/>
    <n v="1049.55"/>
    <n v="3483.2284451999999"/>
    <n v="8.6456878593997293E-5"/>
    <n v="3011"/>
    <n v="2831"/>
    <n v="126"/>
    <n v="123"/>
    <n v="1037"/>
    <n v="941"/>
    <n v="43"/>
    <n v="41"/>
    <n v="4.1846562603786115E-2"/>
    <n v="4.344754503708937E-2"/>
    <n v="-1.6009824333032552E-3"/>
    <n v="4.1465766634522665E-2"/>
    <n v="4.3570669500531352E-2"/>
    <n v="-2.1049028660086871E-3"/>
    <n v="6.3581773225008797E-2"/>
    <n v="2.4390243902439046E-2"/>
    <n v="0.10201912858660989"/>
    <n v="4.8780487804878092E-2"/>
  </r>
  <r>
    <x v="769"/>
    <n v="543336"/>
    <x v="8"/>
    <x v="61"/>
    <n v="240.4"/>
    <n v="3798.5807374999999"/>
    <n v="9.4284207544325266E-5"/>
    <n v="2968"/>
    <n v="3195"/>
    <n v="-234"/>
    <n v="-56"/>
    <n v="835"/>
    <n v="1058"/>
    <n v="-119"/>
    <n v="-49"/>
    <n v="-7.8840970350404313E-2"/>
    <n v="-1.7527386541471048E-2"/>
    <n v="-6.1313583808933265E-2"/>
    <n v="-0.14251497005988023"/>
    <n v="-4.6313799621928164E-2"/>
    <n v="-9.6201170437952066E-2"/>
    <n v="-7.1048513302034433E-2"/>
    <n v="3.1785714285714288"/>
    <n v="-0.21077504725897922"/>
    <n v="1.4285714285714284"/>
  </r>
  <r>
    <x v="770"/>
    <n v="526729"/>
    <x v="6"/>
    <x v="10"/>
    <n v="302.2"/>
    <n v="3412.940505"/>
    <n v="8.4712268383068507E-5"/>
    <n v="742"/>
    <n v="582"/>
    <n v="133"/>
    <n v="93"/>
    <n v="319"/>
    <n v="279"/>
    <n v="68"/>
    <n v="49"/>
    <n v="0.17924528301886791"/>
    <n v="0.15979381443298968"/>
    <n v="1.9451468585878234E-2"/>
    <n v="0.21316614420062696"/>
    <n v="0.17562724014336917"/>
    <n v="3.7538904057257794E-2"/>
    <n v="0.27491408934707895"/>
    <n v="0.43010752688172049"/>
    <n v="0.14336917562724016"/>
    <n v="0.38775510204081631"/>
  </r>
  <r>
    <x v="771"/>
    <n v="534597"/>
    <x v="6"/>
    <x v="28"/>
    <n v="28.96"/>
    <n v="3996.2870517000001"/>
    <n v="9.9191456974838767E-5"/>
    <n v="5833"/>
    <n v="5773"/>
    <n v="-56"/>
    <n v="439"/>
    <n v="2006"/>
    <n v="1921"/>
    <n v="-162"/>
    <n v="-170"/>
    <n v="-9.6005486027773007E-3"/>
    <n v="7.6043651481032398E-2"/>
    <n v="-8.5644200083809699E-2"/>
    <n v="-8.0757726819541381E-2"/>
    <n v="-8.8495575221238937E-2"/>
    <n v="7.7378484016975557E-3"/>
    <n v="1.0393209769617107E-2"/>
    <n v="-1.1275626423690206"/>
    <n v="4.4247787610619538E-2"/>
    <n v="-4.705882352941182E-2"/>
  </r>
  <r>
    <x v="772"/>
    <n v="532406"/>
    <x v="4"/>
    <x v="15"/>
    <n v="135.30000000000001"/>
    <n v="3594.0041348"/>
    <n v="8.9206431343002724E-5"/>
    <n v="159"/>
    <n v="199"/>
    <n v="10"/>
    <n v="50"/>
    <n v="51"/>
    <n v="70"/>
    <n v="2"/>
    <n v="20"/>
    <n v="6.2893081761006289E-2"/>
    <n v="0.25125628140703515"/>
    <n v="-0.18836319964602888"/>
    <n v="3.9215686274509803E-2"/>
    <n v="0.2857142857142857"/>
    <n v="-0.2464985994397759"/>
    <n v="-0.20100502512562812"/>
    <n v="-0.8"/>
    <n v="-0.27142857142857146"/>
    <n v="-0.9"/>
  </r>
  <r>
    <x v="773"/>
    <n v="526951"/>
    <x v="6"/>
    <x v="111"/>
    <n v="2211.5500000000002"/>
    <n v="3756.7049284999998"/>
    <n v="9.3244812112272142E-5"/>
    <n v="849"/>
    <n v="766"/>
    <n v="111"/>
    <n v="92"/>
    <n v="272"/>
    <n v="256"/>
    <n v="46"/>
    <n v="29"/>
    <n v="0.13074204946996468"/>
    <n v="0.12010443864229765"/>
    <n v="1.0637610827667024E-2"/>
    <n v="0.16911764705882354"/>
    <n v="0.11328125"/>
    <n v="5.5836397058823539E-2"/>
    <n v="0.10835509138381205"/>
    <n v="0.20652173913043481"/>
    <n v="6.25E-2"/>
    <n v="0.5862068965517242"/>
  </r>
  <r>
    <x v="774"/>
    <n v="543332"/>
    <x v="8"/>
    <x v="34"/>
    <n v="896.1"/>
    <n v="3867.8649998000001"/>
    <n v="9.6003905562524539E-5"/>
    <n v="1791"/>
    <n v="1922"/>
    <n v="251"/>
    <n v="271"/>
    <n v="597"/>
    <n v="645"/>
    <n v="39"/>
    <n v="104"/>
    <n v="0.14014517029592408"/>
    <n v="0.14099895941727367"/>
    <n v="-8.5378912134959073E-4"/>
    <n v="6.5326633165829151E-2"/>
    <n v="0.16124031007751938"/>
    <n v="-9.5913676911690227E-2"/>
    <n v="-6.8158168574401712E-2"/>
    <n v="-7.3800738007380073E-2"/>
    <n v="-7.441860465116279E-2"/>
    <n v="-0.625"/>
  </r>
  <r>
    <x v="775"/>
    <n v="523398"/>
    <x v="6"/>
    <x v="51"/>
    <n v="1159.3"/>
    <n v="3159.8520984000002"/>
    <n v="7.8430385357820069E-5"/>
    <n v="1752"/>
    <n v="1846"/>
    <n v="-43"/>
    <n v="2"/>
    <n v="477"/>
    <n v="436"/>
    <n v="-19"/>
    <n v="-3"/>
    <n v="-2.4543378995433789E-2"/>
    <n v="1.0834236186348862E-3"/>
    <n v="-2.5626802614068675E-2"/>
    <n v="-3.9832285115303984E-2"/>
    <n v="-6.8807339449541288E-3"/>
    <n v="-3.2951551170349855E-2"/>
    <n v="-5.0920910075839654E-2"/>
    <n v="-22.5"/>
    <n v="9.4036697247706469E-2"/>
    <n v="5.333333333333333"/>
  </r>
  <r>
    <x v="776"/>
    <n v="543626"/>
    <x v="6"/>
    <x v="26"/>
    <n v="96"/>
    <n v="3687.4313999000001"/>
    <n v="9.152538051420935E-5"/>
    <n v="5270"/>
    <n v="5067"/>
    <n v="67"/>
    <n v="133"/>
    <n v="1939"/>
    <n v="1804"/>
    <n v="29"/>
    <n v="33"/>
    <n v="1.2713472485768502E-2"/>
    <n v="2.6248273139925005E-2"/>
    <n v="-1.3534800654156503E-2"/>
    <n v="1.4956162970603403E-2"/>
    <n v="1.8292682926829267E-2"/>
    <n v="-3.3365199562258637E-3"/>
    <n v="4.0063153739885449E-2"/>
    <n v="-0.49624060150375937"/>
    <n v="7.4833702882483477E-2"/>
    <n v="-0.12121212121212122"/>
  </r>
  <r>
    <x v="777"/>
    <n v="543248"/>
    <x v="6"/>
    <x v="85"/>
    <n v="60.82"/>
    <n v="3543.8878595000001"/>
    <n v="8.7962500088603851E-5"/>
    <n v="2115"/>
    <n v="1918"/>
    <n v="-156"/>
    <n v="-172"/>
    <n v="714"/>
    <n v="639"/>
    <n v="-47"/>
    <n v="-54"/>
    <n v="-7.3758865248226946E-2"/>
    <n v="-8.9676746611053182E-2"/>
    <n v="1.5917881362826236E-2"/>
    <n v="-6.5826330532212887E-2"/>
    <n v="-8.4507042253521125E-2"/>
    <n v="1.8680711721308238E-2"/>
    <n v="0.10271115745568293"/>
    <n v="-9.3023255813953543E-2"/>
    <n v="0.11737089201877926"/>
    <n v="-0.12962962962962965"/>
  </r>
  <r>
    <x v="778"/>
    <n v="539042"/>
    <x v="6"/>
    <x v="35"/>
    <n v="312.35000000000002"/>
    <n v="3906.1656250000001"/>
    <n v="9.6954561700956615E-5"/>
    <n v="264"/>
    <n v="241"/>
    <n v="68"/>
    <n v="50"/>
    <n v="87"/>
    <n v="91"/>
    <n v="26"/>
    <n v="19"/>
    <n v="0.25757575757575757"/>
    <n v="0.2074688796680498"/>
    <n v="5.0106877907707764E-2"/>
    <n v="0.2988505747126437"/>
    <n v="0.2087912087912088"/>
    <n v="9.0059365921434903E-2"/>
    <n v="9.543568464730301E-2"/>
    <n v="0.3600000000000001"/>
    <n v="-4.3956043956043911E-2"/>
    <n v="0.36842105263157898"/>
  </r>
  <r>
    <x v="779"/>
    <n v="532156"/>
    <x v="6"/>
    <x v="10"/>
    <n v="191.65"/>
    <n v="3195.3411348999998"/>
    <n v="7.9311255323247272E-5"/>
    <n v="2757"/>
    <n v="2529"/>
    <n v="174"/>
    <n v="119"/>
    <n v="1066"/>
    <n v="977"/>
    <n v="89"/>
    <n v="63"/>
    <n v="6.3112078346028291E-2"/>
    <n v="4.7054171609331751E-2"/>
    <n v="1.6057906736696541E-2"/>
    <n v="8.3489681050656656E-2"/>
    <n v="6.4483111566018422E-2"/>
    <n v="1.9006569484638233E-2"/>
    <n v="9.0154211150652364E-2"/>
    <n v="0.46218487394957974"/>
    <n v="9.1095189355168804E-2"/>
    <n v="0.41269841269841279"/>
  </r>
  <r>
    <x v="780"/>
    <n v="542919"/>
    <x v="7"/>
    <x v="47"/>
    <n v="228.9"/>
    <n v="3622.8374835999998"/>
    <n v="8.9922101123460324E-5"/>
    <n v="802"/>
    <n v="697"/>
    <n v="73"/>
    <n v="59"/>
    <n v="272"/>
    <n v="232"/>
    <n v="22"/>
    <n v="20"/>
    <n v="9.1022443890274321E-2"/>
    <n v="8.4648493543758974E-2"/>
    <n v="6.3739503465153474E-3"/>
    <n v="8.0882352941176475E-2"/>
    <n v="8.6206896551724144E-2"/>
    <n v="-5.324543610547669E-3"/>
    <n v="0.15064562410329985"/>
    <n v="0.23728813559322037"/>
    <n v="0.17241379310344818"/>
    <n v="0.10000000000000009"/>
  </r>
  <r>
    <x v="781"/>
    <n v="500292"/>
    <x v="8"/>
    <x v="11"/>
    <n v="147.5"/>
    <n v="3338.4628819"/>
    <n v="8.2863666455394353E-5"/>
    <n v="1683"/>
    <n v="1536"/>
    <n v="88"/>
    <n v="56"/>
    <n v="574"/>
    <n v="542"/>
    <n v="15"/>
    <n v="5"/>
    <n v="5.2287581699346407E-2"/>
    <n v="3.6458333333333336E-2"/>
    <n v="1.5829248366013071E-2"/>
    <n v="2.6132404181184669E-2"/>
    <n v="9.2250922509225092E-3"/>
    <n v="1.690731193026216E-2"/>
    <n v="9.5703125E-2"/>
    <n v="0.5714285714285714"/>
    <n v="5.9040590405904148E-2"/>
    <n v="2"/>
  </r>
  <r>
    <x v="782"/>
    <n v="532029"/>
    <x v="10"/>
    <x v="86"/>
    <n v="22.44"/>
    <n v="3461.6284776000002"/>
    <n v="8.5920747873372054E-5"/>
    <n v="322"/>
    <n v="352"/>
    <n v="16"/>
    <n v="45"/>
    <n v="95"/>
    <n v="113"/>
    <n v="5"/>
    <n v="14"/>
    <n v="4.9689440993788817E-2"/>
    <n v="0.12784090909090909"/>
    <n v="-7.8151468097120272E-2"/>
    <n v="5.2631578947368418E-2"/>
    <n v="0.12389380530973451"/>
    <n v="-7.1262226362366093E-2"/>
    <n v="-8.5227272727272707E-2"/>
    <n v="-0.64444444444444438"/>
    <n v="-0.15929203539823011"/>
    <n v="-0.64285714285714279"/>
  </r>
  <r>
    <x v="783"/>
    <n v="542665"/>
    <x v="8"/>
    <x v="34"/>
    <n v="1187.8499999999999"/>
    <n v="3138.0996464999998"/>
    <n v="7.7890469839034121E-5"/>
    <n v="615"/>
    <n v="575"/>
    <n v="17"/>
    <n v="32"/>
    <n v="220"/>
    <n v="201"/>
    <n v="4"/>
    <n v="10"/>
    <n v="2.7642276422764227E-2"/>
    <n v="5.565217391304348E-2"/>
    <n v="-2.8009897490279254E-2"/>
    <n v="1.8181818181818181E-2"/>
    <n v="4.975124378109453E-2"/>
    <n v="-3.1569425599276349E-2"/>
    <n v="6.956521739130439E-2"/>
    <n v="-0.46875"/>
    <n v="9.4527363184079505E-2"/>
    <n v="-0.6"/>
  </r>
  <r>
    <x v="784"/>
    <n v="544140"/>
    <x v="5"/>
    <x v="25"/>
    <n v="263.89999999999998"/>
    <n v="3280.1225699000001"/>
    <n v="8.1415607176172912E-5"/>
    <n v="1098"/>
    <n v="1150"/>
    <n v="43"/>
    <n v="58"/>
    <n v="4007"/>
    <n v="3935"/>
    <n v="15"/>
    <n v="5"/>
    <n v="3.9162112932604735E-2"/>
    <n v="5.0434782608695654E-2"/>
    <n v="-1.1272669676090918E-2"/>
    <n v="3.7434489643124532E-3"/>
    <n v="1.2706480304955528E-3"/>
    <n v="2.4728009338169004E-3"/>
    <n v="-4.5217391304347876E-2"/>
    <n v="-0.25862068965517238"/>
    <n v="1.8297331639135939E-2"/>
    <n v="2"/>
  </r>
  <r>
    <x v="785"/>
    <n v="519156"/>
    <x v="5"/>
    <x v="104"/>
    <n v="4417.25"/>
    <n v="3169.4016900000001"/>
    <n v="7.8667414853465461E-5"/>
    <n v="1085"/>
    <n v="964"/>
    <n v="100"/>
    <n v="128"/>
    <n v="238"/>
    <n v="204"/>
    <n v="-0.15"/>
    <n v="12"/>
    <n v="9.2165898617511524E-2"/>
    <n v="0.13278008298755187"/>
    <n v="-4.0614184370040343E-2"/>
    <n v="-6.3025210084033606E-4"/>
    <n v="5.8823529411764705E-2"/>
    <n v="-5.9453781512605039E-2"/>
    <n v="0.12551867219917012"/>
    <n v="-0.21875"/>
    <n v="0.16666666666666674"/>
    <n v="-1.0125"/>
  </r>
  <r>
    <x v="786"/>
    <n v="532942"/>
    <x v="4"/>
    <x v="5"/>
    <n v="115"/>
    <n v="3233.3542305000001"/>
    <n v="8.0254774717101595E-5"/>
    <n v="2002"/>
    <n v="3777"/>
    <n v="325"/>
    <n v="1013"/>
    <n v="743"/>
    <n v="848"/>
    <n v="101"/>
    <n v="250"/>
    <n v="0.16233766233766234"/>
    <n v="0.26820227693936988"/>
    <n v="-0.10586461460170754"/>
    <n v="0.13593539703903096"/>
    <n v="0.294811320754717"/>
    <n v="-0.15887592371568604"/>
    <n v="-0.46994969552554933"/>
    <n v="-0.67917077986179664"/>
    <n v="-0.12382075471698117"/>
    <n v="-0.59599999999999997"/>
  </r>
  <r>
    <x v="787"/>
    <n v="523630"/>
    <x v="8"/>
    <x v="67"/>
    <n v="69.84"/>
    <n v="3431.1054493000001"/>
    <n v="8.5163138720377563E-5"/>
    <n v="17166"/>
    <n v="15137"/>
    <n v="51"/>
    <n v="-21"/>
    <n v="6869"/>
    <n v="5855"/>
    <n v="93"/>
    <n v="30"/>
    <n v="2.9709891646277527E-3"/>
    <n v="-1.3873290612406686E-3"/>
    <n v="4.3583182258684211E-3"/>
    <n v="1.3539088659193479E-2"/>
    <n v="5.1238257899231428E-3"/>
    <n v="8.415262869270336E-3"/>
    <n v="0.13404241263130068"/>
    <n v="-3.4285714285714284"/>
    <n v="0.17318531169940221"/>
    <n v="2.1"/>
  </r>
  <r>
    <x v="788"/>
    <n v="533271"/>
    <x v="4"/>
    <x v="5"/>
    <n v="112.3"/>
    <n v="3152.2397156000002"/>
    <n v="7.8241439135685943E-5"/>
    <n v="5565"/>
    <n v="7342"/>
    <n v="2428"/>
    <n v="1281"/>
    <n v="1827"/>
    <n v="2387"/>
    <n v="2111"/>
    <n v="661"/>
    <n v="0.43629829290206651"/>
    <n v="0.17447561972214656"/>
    <n v="0.26182267317991992"/>
    <n v="1.1554460864805693"/>
    <n v="0.27691663175534142"/>
    <n v="0.87852945472522792"/>
    <n v="-0.24203214383001903"/>
    <n v="0.89539422326307583"/>
    <n v="-0.23460410557184752"/>
    <n v="2.1936459909228443"/>
  </r>
  <r>
    <x v="789"/>
    <n v="532150"/>
    <x v="7"/>
    <x v="47"/>
    <n v="411"/>
    <n v="3760.4261617000002"/>
    <n v="9.3337176484019189E-5"/>
    <n v="1118"/>
    <n v="1023"/>
    <n v="142"/>
    <n v="120"/>
    <n v="372"/>
    <n v="325"/>
    <n v="41"/>
    <n v="33"/>
    <n v="0.12701252236135957"/>
    <n v="0.11730205278592376"/>
    <n v="9.7104695754358095E-3"/>
    <n v="0.11021505376344086"/>
    <n v="0.10153846153846154"/>
    <n v="8.6765922249793237E-3"/>
    <n v="9.2864125122189556E-2"/>
    <n v="0.18333333333333335"/>
    <n v="0.14461538461538459"/>
    <n v="0.24242424242424243"/>
  </r>
  <r>
    <x v="790"/>
    <n v="543325"/>
    <x v="6"/>
    <x v="52"/>
    <n v="120"/>
    <n v="3266.0908765999998"/>
    <n v="8.1067327864840896E-5"/>
    <n v="837"/>
    <n v="870"/>
    <n v="141"/>
    <n v="119"/>
    <n v="274"/>
    <n v="259"/>
    <n v="47"/>
    <n v="20"/>
    <n v="0.16845878136200718"/>
    <n v="0.1367816091954023"/>
    <n v="3.1677172166604872E-2"/>
    <n v="0.17153284671532848"/>
    <n v="7.7220077220077218E-2"/>
    <n v="9.4312769495251261E-2"/>
    <n v="-3.7931034482758585E-2"/>
    <n v="0.18487394957983194"/>
    <n v="5.7915057915058021E-2"/>
    <n v="1.35"/>
  </r>
  <r>
    <x v="791"/>
    <n v="530135"/>
    <x v="1"/>
    <x v="96"/>
    <n v="318"/>
    <n v="2818.5293200999999"/>
    <n v="6.9958445469549374E-5"/>
    <n v="1283"/>
    <n v="1440"/>
    <n v="43"/>
    <n v="40"/>
    <n v="430"/>
    <n v="471"/>
    <n v="12"/>
    <n v="15"/>
    <n v="3.3515198752922838E-2"/>
    <n v="2.7777777777777776E-2"/>
    <n v="5.7374209751450619E-3"/>
    <n v="2.7906976744186046E-2"/>
    <n v="3.1847133757961783E-2"/>
    <n v="-3.9401570137757372E-3"/>
    <n v="-0.10902777777777772"/>
    <n v="7.4999999999999956E-2"/>
    <n v="-8.7048832271762189E-2"/>
    <n v="-0.19999999999999996"/>
  </r>
  <r>
    <x v="792"/>
    <n v="532407"/>
    <x v="3"/>
    <x v="152"/>
    <n v="167.05"/>
    <n v="3237.3710749000002"/>
    <n v="8.0354476426043592E-5"/>
    <n v="431"/>
    <n v="332"/>
    <n v="27"/>
    <n v="24"/>
    <n v="149"/>
    <n v="126"/>
    <n v="4"/>
    <n v="11"/>
    <n v="6.2645011600928072E-2"/>
    <n v="7.2289156626506021E-2"/>
    <n v="-9.6441450255779493E-3"/>
    <n v="2.6845637583892617E-2"/>
    <n v="8.7301587301587297E-2"/>
    <n v="-6.0455949717694676E-2"/>
    <n v="0.29819277108433728"/>
    <n v="0.125"/>
    <n v="0.18253968253968256"/>
    <n v="-0.63636363636363635"/>
  </r>
  <r>
    <x v="793"/>
    <n v="543533"/>
    <x v="3"/>
    <x v="82"/>
    <n v="422.45"/>
    <n v="3460.1208519000002"/>
    <n v="8.5883327240714511E-5"/>
    <n v="516"/>
    <n v="378"/>
    <n v="80"/>
    <n v="62"/>
    <n v="191"/>
    <n v="140"/>
    <n v="28"/>
    <n v="22"/>
    <n v="0.15503875968992248"/>
    <n v="0.16402116402116401"/>
    <n v="-8.9824043312415336E-3"/>
    <n v="0.14659685863874344"/>
    <n v="0.15714285714285714"/>
    <n v="-1.0545998504113696E-2"/>
    <n v="0.36507936507936511"/>
    <n v="0.29032258064516125"/>
    <n v="0.36428571428571432"/>
    <n v="0.27272727272727271"/>
  </r>
  <r>
    <x v="794"/>
    <n v="501455"/>
    <x v="4"/>
    <x v="37"/>
    <n v="135.19999999999999"/>
    <n v="3156.5777001000001"/>
    <n v="7.8349111832197126E-5"/>
    <n v="2436"/>
    <n v="2096"/>
    <n v="33"/>
    <n v="-7"/>
    <n v="875"/>
    <n v="751"/>
    <n v="6"/>
    <n v="7"/>
    <n v="1.3546798029556651E-2"/>
    <n v="-3.3396946564885495E-3"/>
    <n v="1.6886492686045199E-2"/>
    <n v="6.8571428571428568E-3"/>
    <n v="9.3209054593874838E-3"/>
    <n v="-2.463762602244627E-3"/>
    <n v="0.16221374045801529"/>
    <n v="-5.7142857142857144"/>
    <n v="0.16511318242343531"/>
    <n v="-0.1428571428571429"/>
  </r>
  <r>
    <x v="795"/>
    <n v="500390"/>
    <x v="9"/>
    <x v="45"/>
    <n v="77.2"/>
    <n v="3141.7295318000001"/>
    <n v="7.7980566873331352E-5"/>
    <n v="16439"/>
    <n v="19484"/>
    <n v="1982"/>
    <n v="550"/>
    <n v="4297"/>
    <n v="5033"/>
    <n v="11"/>
    <n v="-3298"/>
    <n v="0.12056694446134193"/>
    <n v="2.8228289878874973E-2"/>
    <n v="9.2338654582466956E-2"/>
    <n v="2.5599255294391438E-3"/>
    <n v="-0.65527518378700578"/>
    <n v="0.65783510931644495"/>
    <n v="-0.15628207760213508"/>
    <n v="2.6036363636363635"/>
    <n v="-0.14623484999006553"/>
    <n v="-1.0033353547604609"/>
  </r>
  <r>
    <x v="796"/>
    <n v="543984"/>
    <x v="6"/>
    <x v="57"/>
    <n v="147.94999999999999"/>
    <n v="3284.8006271999998"/>
    <n v="8.1531720786981061E-5"/>
    <n v="902"/>
    <n v="801"/>
    <n v="167"/>
    <n v="39"/>
    <n v="337"/>
    <n v="292"/>
    <n v="48"/>
    <n v="22"/>
    <n v="0.18514412416851442"/>
    <n v="4.8689138576779027E-2"/>
    <n v="0.13645498559173538"/>
    <n v="0.14243323442136499"/>
    <n v="7.5342465753424653E-2"/>
    <n v="6.7090768667940337E-2"/>
    <n v="0.1260923845193509"/>
    <n v="3.2820512820512819"/>
    <n v="0.15410958904109595"/>
    <n v="1.1818181818181817"/>
  </r>
  <r>
    <x v="797"/>
    <n v="544319"/>
    <x v="7"/>
    <x v="9"/>
    <n v="781.65"/>
    <n v="3605.9960970000002"/>
    <n v="8.9504082684664781E-5"/>
    <n v="474"/>
    <n v="284"/>
    <n v="85"/>
    <n v="40"/>
    <n v="175"/>
    <n v="103"/>
    <n v="34"/>
    <n v="16"/>
    <n v="0.17932489451476794"/>
    <n v="0.14084507042253522"/>
    <n v="3.8479824092232717E-2"/>
    <n v="0.19428571428571428"/>
    <n v="0.1553398058252427"/>
    <n v="3.8945908460471579E-2"/>
    <n v="0.66901408450704225"/>
    <n v="1.125"/>
    <n v="0.69902912621359214"/>
    <n v="1.125"/>
  </r>
  <r>
    <x v="798"/>
    <n v="532815"/>
    <x v="7"/>
    <x v="9"/>
    <n v="386.95"/>
    <n v="3628.5476291999998"/>
    <n v="9.006383209880694E-5"/>
    <n v="648"/>
    <n v="534"/>
    <n v="67"/>
    <n v="47"/>
    <n v="210"/>
    <n v="173"/>
    <n v="23"/>
    <n v="17"/>
    <n v="0.10339506172839506"/>
    <n v="8.8014981273408247E-2"/>
    <n v="1.5380080454986816E-2"/>
    <n v="0.10952380952380952"/>
    <n v="9.8265895953757232E-2"/>
    <n v="1.1257913570052291E-2"/>
    <n v="0.21348314606741581"/>
    <n v="0.42553191489361697"/>
    <n v="0.21387283236994215"/>
    <n v="0.35294117647058831"/>
  </r>
  <r>
    <x v="799"/>
    <n v="530999"/>
    <x v="8"/>
    <x v="34"/>
    <n v="1035.8499999999999"/>
    <n v="3360.9548509000001"/>
    <n v="8.3421937457071727E-5"/>
    <n v="1030"/>
    <n v="1044"/>
    <n v="104"/>
    <n v="118"/>
    <n v="331"/>
    <n v="312"/>
    <n v="30"/>
    <n v="31"/>
    <n v="0.10097087378640776"/>
    <n v="0.11302681992337164"/>
    <n v="-1.2055946136963883E-2"/>
    <n v="9.0634441087613288E-2"/>
    <n v="9.9358974358974353E-2"/>
    <n v="-8.7245332713610652E-3"/>
    <n v="-1.3409961685823757E-2"/>
    <n v="-0.11864406779661019"/>
    <n v="6.0897435897435903E-2"/>
    <n v="-3.2258064516129004E-2"/>
  </r>
  <r>
    <x v="800"/>
    <n v="541019"/>
    <x v="4"/>
    <x v="5"/>
    <n v="486.35"/>
    <n v="3171.2257657"/>
    <n v="7.8712690061170682E-5"/>
    <n v="3807"/>
    <n v="3695"/>
    <n v="245"/>
    <n v="358"/>
    <n v="1421"/>
    <n v="1264"/>
    <n v="94"/>
    <n v="115"/>
    <n v="6.4355135277121098E-2"/>
    <n v="9.6887686062246278E-2"/>
    <n v="-3.2532550785125181E-2"/>
    <n v="6.615059817030261E-2"/>
    <n v="9.0981012658227847E-2"/>
    <n v="-2.4830414487925237E-2"/>
    <n v="3.0311231393775451E-2"/>
    <n v="-0.31564245810055869"/>
    <n v="0.12420886075949378"/>
    <n v="-0.18260869565217386"/>
  </r>
  <r>
    <x v="801"/>
    <n v="522034"/>
    <x v="4"/>
    <x v="92"/>
    <n v="458.3"/>
    <n v="3501.6955232999999"/>
    <n v="8.6915248165329246E-5"/>
    <n v="383"/>
    <n v="451"/>
    <n v="60"/>
    <n v="73"/>
    <n v="116"/>
    <n v="157"/>
    <n v="16"/>
    <n v="26"/>
    <n v="0.1566579634464752"/>
    <n v="0.16186252771618626"/>
    <n v="-5.2045642697110539E-3"/>
    <n v="0.13793103448275862"/>
    <n v="0.16560509554140126"/>
    <n v="-2.7674061058642646E-2"/>
    <n v="-0.15077605321507759"/>
    <n v="-0.17808219178082196"/>
    <n v="-0.26114649681528668"/>
    <n v="-0.38461538461538458"/>
  </r>
  <r>
    <x v="802"/>
    <n v="530001"/>
    <x v="8"/>
    <x v="61"/>
    <n v="588.54999999999995"/>
    <n v="4316.6226557"/>
    <n v="1.0714247622611057E-4"/>
    <n v="3232"/>
    <n v="2997"/>
    <n v="-17"/>
    <n v="-73"/>
    <n v="1044"/>
    <n v="1029"/>
    <n v="-19"/>
    <n v="-11"/>
    <n v="-5.2599009900990102E-3"/>
    <n v="-2.435769102435769E-2"/>
    <n v="1.9097790034258679E-2"/>
    <n v="-1.8199233716475097E-2"/>
    <n v="-1.0689990281827016E-2"/>
    <n v="-7.5092434346480802E-3"/>
    <n v="7.8411745078411643E-2"/>
    <n v="-0.76712328767123283"/>
    <n v="1.4577259475218707E-2"/>
    <n v="0.72727272727272729"/>
  </r>
  <r>
    <x v="803"/>
    <n v="544418"/>
    <x v="4"/>
    <x v="37"/>
    <n v="322.39999999999998"/>
    <n v="3673.4914628000001"/>
    <n v="9.1179378674702247E-5"/>
    <n v="1554"/>
    <n v="1065"/>
    <n v="283"/>
    <n v="216"/>
    <n v="501"/>
    <n v="379"/>
    <n v="91"/>
    <n v="80"/>
    <n v="0.1821106821106821"/>
    <n v="0.20281690140845071"/>
    <n v="-2.0706219297768613E-2"/>
    <n v="0.18163672654690619"/>
    <n v="0.21108179419525067"/>
    <n v="-2.9445067648344481E-2"/>
    <n v="0.45915492957746484"/>
    <n v="0.31018518518518512"/>
    <n v="0.32189973614775735"/>
    <n v="0.13749999999999996"/>
  </r>
  <r>
    <x v="804"/>
    <n v="500187"/>
    <x v="4"/>
    <x v="137"/>
    <n v="497.7"/>
    <n v="3218.371247"/>
    <n v="7.9882883523108724E-5"/>
    <n v="1964"/>
    <n v="1861"/>
    <n v="236"/>
    <n v="225"/>
    <n v="637"/>
    <n v="673"/>
    <n v="71"/>
    <n v="90"/>
    <n v="0.12016293279022404"/>
    <n v="0.12090274046211714"/>
    <n v="-7.398076718931057E-4"/>
    <n v="0.11145996860282574"/>
    <n v="0.1337295690936107"/>
    <n v="-2.2269600490784955E-2"/>
    <n v="5.5346587855991336E-2"/>
    <n v="4.8888888888888982E-2"/>
    <n v="-5.3491827637444311E-2"/>
    <n v="-0.21111111111111114"/>
  </r>
  <r>
    <x v="805"/>
    <n v="526807"/>
    <x v="10"/>
    <x v="107"/>
    <n v="1484"/>
    <n v="3777.1364523000002"/>
    <n v="9.3751941001593545E-5"/>
    <n v="625"/>
    <n v="452"/>
    <n v="149"/>
    <n v="46"/>
    <n v="317"/>
    <n v="149"/>
    <n v="99"/>
    <n v="-3"/>
    <n v="0.2384"/>
    <n v="0.10176991150442478"/>
    <n v="0.13663008849557523"/>
    <n v="0.31230283911671924"/>
    <n v="-2.0134228187919462E-2"/>
    <n v="0.33243706730463873"/>
    <n v="0.38274336283185839"/>
    <n v="2.2391304347826089"/>
    <n v="1.1275167785234901"/>
    <n v="-34"/>
  </r>
  <r>
    <x v="806"/>
    <n v="544314"/>
    <x v="6"/>
    <x v="89"/>
    <n v="423"/>
    <n v="3579.9977291999999"/>
    <n v="8.8858779695242949E-5"/>
    <n v="2642"/>
    <n v="2266"/>
    <n v="56"/>
    <n v="117"/>
    <n v="1079"/>
    <n v="743"/>
    <n v="-5"/>
    <n v="34"/>
    <n v="2.1196063588190765E-2"/>
    <n v="5.1632833186231242E-2"/>
    <n v="-3.0436769598040477E-2"/>
    <n v="-4.6339202965708986E-3"/>
    <n v="4.5760430686406457E-2"/>
    <n v="-5.0394350982977357E-2"/>
    <n v="0.16593115622241839"/>
    <n v="-0.52136752136752129"/>
    <n v="0.45222072678331093"/>
    <n v="-1.1470588235294117"/>
  </r>
  <r>
    <x v="807"/>
    <n v="541336"/>
    <x v="2"/>
    <x v="4"/>
    <n v="201.8"/>
    <n v="3225.2517942999998"/>
    <n v="8.0053664926606994E-5"/>
    <n v="1046"/>
    <n v="1031"/>
    <n v="564"/>
    <n v="84"/>
    <n v="346"/>
    <n v="373"/>
    <n v="8"/>
    <n v="27"/>
    <n v="0.53919694072657742"/>
    <n v="8.147429679922405E-2"/>
    <n v="0.4577226439273534"/>
    <n v="2.3121387283236993E-2"/>
    <n v="7.2386058981233251E-2"/>
    <n v="-4.9264671697996254E-2"/>
    <n v="1.4548981571290032E-2"/>
    <n v="5.7142857142857144"/>
    <n v="-7.2386058981233292E-2"/>
    <n v="-0.70370370370370372"/>
  </r>
  <r>
    <x v="808"/>
    <n v="521248"/>
    <x v="6"/>
    <x v="84"/>
    <n v="159.75"/>
    <n v="3181.0258445999998"/>
    <n v="7.895593687802429E-5"/>
    <n v="500"/>
    <n v="682"/>
    <n v="-3"/>
    <n v="103"/>
    <n v="181"/>
    <n v="276"/>
    <n v="-17"/>
    <n v="40"/>
    <n v="-6.0000000000000001E-3"/>
    <n v="0.15102639296187684"/>
    <n v="-0.15702639296187684"/>
    <n v="-9.3922651933701654E-2"/>
    <n v="0.14492753623188406"/>
    <n v="-0.23885018816558573"/>
    <n v="-0.26686217008797652"/>
    <n v="-1.029126213592233"/>
    <n v="-0.34420289855072461"/>
    <n v="-1.425"/>
  </r>
  <r>
    <x v="809"/>
    <n v="506222"/>
    <x v="8"/>
    <x v="34"/>
    <n v="1880.6"/>
    <n v="3217.114"/>
    <n v="7.9851677516109261E-5"/>
    <n v="2612"/>
    <n v="2043"/>
    <n v="109"/>
    <n v="179"/>
    <n v="869"/>
    <n v="691"/>
    <n v="16"/>
    <n v="49"/>
    <n v="4.1730474732006126E-2"/>
    <n v="8.7616250611845331E-2"/>
    <n v="-4.5885775879839205E-2"/>
    <n v="1.8411967779056387E-2"/>
    <n v="7.0911722141823438E-2"/>
    <n v="-5.2499754362767048E-2"/>
    <n v="0.27851199216837985"/>
    <n v="-0.39106145251396651"/>
    <n v="0.25759768451519527"/>
    <n v="-0.67346938775510212"/>
  </r>
  <r>
    <x v="810"/>
    <n v="532626"/>
    <x v="8"/>
    <x v="21"/>
    <n v="1090.75"/>
    <n v="3321.5857132000001"/>
    <n v="8.2444759872532395E-5"/>
    <n v="2023"/>
    <n v="1533"/>
    <n v="94"/>
    <n v="41"/>
    <n v="779"/>
    <n v="509"/>
    <n v="35"/>
    <n v="13"/>
    <n v="4.6465645081562035E-2"/>
    <n v="2.674494455316373E-2"/>
    <n v="1.9720700528398305E-2"/>
    <n v="4.4929396662387676E-2"/>
    <n v="2.5540275049115914E-2"/>
    <n v="1.9389121613271762E-2"/>
    <n v="0.31963470319634713"/>
    <n v="1.2926829268292681"/>
    <n v="0.53045186640471509"/>
    <n v="1.6923076923076925"/>
  </r>
  <r>
    <x v="811"/>
    <n v="533676"/>
    <x v="2"/>
    <x v="78"/>
    <n v="297.7"/>
    <n v="3830.890187"/>
    <n v="9.5086157286298058E-5"/>
    <n v="66"/>
    <n v="26"/>
    <n v="39"/>
    <n v="10"/>
    <n v="27"/>
    <n v="5"/>
    <n v="17"/>
    <n v="0.55000000000000004"/>
    <n v="0.59090909090909094"/>
    <n v="0.38461538461538464"/>
    <n v="0.2062937062937063"/>
    <n v="0.62962962962962965"/>
    <n v="0.11000000000000001"/>
    <n v="0.51962962962962966"/>
    <n v="1.5384615384615383"/>
    <n v="2.9"/>
    <n v="4.4000000000000004"/>
    <n v="29.909090909090907"/>
  </r>
  <r>
    <x v="812"/>
    <n v="543277"/>
    <x v="8"/>
    <x v="34"/>
    <n v="117.05"/>
    <n v="3246.7865191999999"/>
    <n v="8.0588176264443615E-5"/>
    <n v="2111"/>
    <n v="2275"/>
    <n v="57"/>
    <n v="91"/>
    <n v="718"/>
    <n v="786"/>
    <n v="25"/>
    <n v="29"/>
    <n v="2.700142112742776E-2"/>
    <n v="0.04"/>
    <n v="-1.299857887257224E-2"/>
    <n v="3.4818941504178275E-2"/>
    <n v="3.689567430025445E-2"/>
    <n v="-2.076732796076175E-3"/>
    <n v="-7.2087912087912098E-2"/>
    <n v="-0.37362637362637363"/>
    <n v="-8.6513994910941472E-2"/>
    <n v="-0.13793103448275867"/>
  </r>
  <r>
    <x v="813"/>
    <n v="526433"/>
    <x v="3"/>
    <x v="3"/>
    <n v="2504.9499999999998"/>
    <n v="3654.3712857"/>
    <n v="9.0704798595836505E-5"/>
    <n v="393"/>
    <n v="174"/>
    <n v="44"/>
    <n v="10"/>
    <n v="116"/>
    <n v="64"/>
    <n v="9"/>
    <n v="5"/>
    <n v="0.11195928753180662"/>
    <n v="5.7471264367816091E-2"/>
    <n v="5.4488023163990526E-2"/>
    <n v="7.7586206896551727E-2"/>
    <n v="7.8125E-2"/>
    <n v="-5.3879310344827347E-4"/>
    <n v="1.2586206896551726"/>
    <n v="3.4000000000000004"/>
    <n v="0.8125"/>
    <n v="0.8"/>
  </r>
  <r>
    <x v="814"/>
    <n v="513269"/>
    <x v="4"/>
    <x v="68"/>
    <n v="359"/>
    <n v="2696.2194445999999"/>
    <n v="6.6922603800444248E-5"/>
    <n v="2406"/>
    <n v="2286"/>
    <n v="119"/>
    <n v="85"/>
    <n v="830"/>
    <n v="731"/>
    <n v="55"/>
    <n v="34"/>
    <n v="4.9459684123025767E-2"/>
    <n v="3.7182852143482062E-2"/>
    <n v="1.2276831979543705E-2"/>
    <n v="6.6265060240963861E-2"/>
    <n v="4.6511627906976744E-2"/>
    <n v="1.9753432333987117E-2"/>
    <n v="5.2493438320210029E-2"/>
    <n v="0.39999999999999991"/>
    <n v="0.13543091655266748"/>
    <n v="0.61764705882352944"/>
  </r>
  <r>
    <x v="815"/>
    <n v="532638"/>
    <x v="6"/>
    <x v="26"/>
    <n v="300.10000000000002"/>
    <n v="3308.4744129000001"/>
    <n v="8.2119325547428442E-5"/>
    <n v="3834"/>
    <n v="3564"/>
    <n v="-20"/>
    <n v="9"/>
    <n v="1416"/>
    <n v="1379"/>
    <n v="16"/>
    <n v="52"/>
    <n v="-5.2164840897235268E-3"/>
    <n v="2.5252525252525255E-3"/>
    <n v="-7.7417366149760518E-3"/>
    <n v="1.1299435028248588E-2"/>
    <n v="3.7708484408992021E-2"/>
    <n v="-2.6409049380743434E-2"/>
    <n v="7.575757575757569E-2"/>
    <n v="-3.2222222222222223"/>
    <n v="2.6831036983321344E-2"/>
    <n v="-0.69230769230769229"/>
  </r>
  <r>
    <x v="816"/>
    <n v="500148"/>
    <x v="4"/>
    <x v="137"/>
    <n v="351.9"/>
    <n v="2544.0103521999999"/>
    <n v="6.3144636541172586E-5"/>
    <n v="11344"/>
    <n v="11221"/>
    <n v="131"/>
    <n v="-13"/>
    <n v="3612"/>
    <n v="3734"/>
    <n v="38"/>
    <n v="140"/>
    <n v="1.1547954866008462E-2"/>
    <n v="-1.1585420194278584E-3"/>
    <n v="1.2706496885436321E-2"/>
    <n v="1.0520487264673311E-2"/>
    <n v="3.7493304767005894E-2"/>
    <n v="-2.6972817502332581E-2"/>
    <n v="1.0961589876125055E-2"/>
    <n v="-11.076923076923077"/>
    <n v="-3.2672737011247954E-2"/>
    <n v="-0.72857142857142865"/>
  </r>
  <r>
    <x v="817"/>
    <n v="516072"/>
    <x v="8"/>
    <x v="34"/>
    <n v="510.3"/>
    <n v="3455.6302477999998"/>
    <n v="8.5771866387774351E-5"/>
    <n v="1159"/>
    <n v="1053"/>
    <n v="98"/>
    <n v="87"/>
    <n v="411"/>
    <n v="371"/>
    <n v="33"/>
    <n v="34"/>
    <n v="8.4555651423641076E-2"/>
    <n v="8.2621082621082614E-2"/>
    <n v="1.9345688025584618E-3"/>
    <n v="8.0291970802919707E-2"/>
    <n v="9.1644204851752023E-2"/>
    <n v="-1.1352234048832316E-2"/>
    <n v="0.10066476733143404"/>
    <n v="0.12643678160919536"/>
    <n v="0.1078167115902966"/>
    <n v="-2.9411764705882359E-2"/>
  </r>
  <r>
    <x v="818"/>
    <n v="513519"/>
    <x v="4"/>
    <x v="92"/>
    <n v="761.1"/>
    <n v="2810.7845941"/>
    <n v="6.9766214369562678E-5"/>
    <n v="1411"/>
    <n v="1235"/>
    <n v="91"/>
    <n v="86"/>
    <n v="477"/>
    <n v="414"/>
    <n v="28"/>
    <n v="28"/>
    <n v="6.449326718639263E-2"/>
    <n v="6.9635627530364369E-2"/>
    <n v="-5.1423603439717386E-3"/>
    <n v="5.8700209643605873E-2"/>
    <n v="6.7632850241545889E-2"/>
    <n v="-8.9326405979400156E-3"/>
    <n v="0.14251012145748998"/>
    <n v="5.8139534883721034E-2"/>
    <n v="0.15217391304347827"/>
    <n v="0"/>
  </r>
  <r>
    <x v="819"/>
    <n v="540025"/>
    <x v="7"/>
    <x v="80"/>
    <n v="279.89999999999998"/>
    <n v="3138.9844380999998"/>
    <n v="7.7912431166333115E-5"/>
    <n v="542"/>
    <n v="469"/>
    <n v="128"/>
    <n v="107"/>
    <n v="171"/>
    <n v="169"/>
    <n v="43"/>
    <n v="38"/>
    <n v="0.23616236162361623"/>
    <n v="0.22814498933901919"/>
    <n v="8.0173722845970352E-3"/>
    <n v="0.25146198830409355"/>
    <n v="0.22485207100591717"/>
    <n v="2.6609917298176383E-2"/>
    <n v="0.15565031982942434"/>
    <n v="0.19626168224299056"/>
    <n v="1.1834319526627279E-2"/>
    <n v="0.13157894736842102"/>
  </r>
  <r>
    <x v="820"/>
    <n v="530239"/>
    <x v="7"/>
    <x v="110"/>
    <n v="165.8"/>
    <n v="4379.0789828999996"/>
    <n v="1.0869269872317315E-4"/>
    <n v="5"/>
    <n v="5"/>
    <n v="-230"/>
    <n v="-116"/>
    <n v="2"/>
    <n v="1"/>
    <n v="-101"/>
    <n v="-39"/>
    <n v="-46"/>
    <n v="-23.2"/>
    <n v="-22.8"/>
    <n v="-50.5"/>
    <n v="-39"/>
    <n v="-11.5"/>
    <n v="0"/>
    <n v="0.98275862068965525"/>
    <n v="1"/>
    <n v="1.5897435897435899"/>
  </r>
  <r>
    <x v="821"/>
    <n v="544030"/>
    <x v="5"/>
    <x v="120"/>
    <n v="297.7"/>
    <n v="3113.9042671000002"/>
    <n v="7.7289918651470159E-5"/>
    <n v="9271"/>
    <n v="7818"/>
    <n v="104"/>
    <n v="88"/>
    <n v="317"/>
    <n v="264"/>
    <n v="33"/>
    <n v="29"/>
    <n v="1.1217775860209256E-2"/>
    <n v="1.1256075722691225E-2"/>
    <n v="-3.8299862481969843E-5"/>
    <n v="0.10410094637223975"/>
    <n v="0.10984848484848485"/>
    <n v="-5.7475384762450954E-3"/>
    <n v="0.18585315937579949"/>
    <n v="0.18181818181818188"/>
    <n v="0.20075757575757569"/>
    <n v="0.13793103448275867"/>
  </r>
  <r>
    <x v="822"/>
    <n v="532735"/>
    <x v="3"/>
    <x v="82"/>
    <n v="262.85000000000002"/>
    <n v="3110.2710977000002"/>
    <n v="7.7199740102842351E-5"/>
    <n v="1958"/>
    <n v="1741"/>
    <n v="186"/>
    <n v="131"/>
    <n v="555"/>
    <n v="448"/>
    <n v="36"/>
    <n v="38"/>
    <n v="9.4994892747701731E-2"/>
    <n v="7.5244112578977604E-2"/>
    <n v="1.9750780168724127E-2"/>
    <n v="6.4864864864864868E-2"/>
    <n v="8.4821428571428575E-2"/>
    <n v="-1.9956563706563707E-2"/>
    <n v="0.12464101091326829"/>
    <n v="0.41984732824427473"/>
    <n v="0.23883928571428581"/>
    <n v="-5.2631578947368474E-2"/>
  </r>
  <r>
    <x v="823"/>
    <n v="531449"/>
    <x v="5"/>
    <x v="117"/>
    <n v="157.69999999999999"/>
    <n v="3275.9886454000002"/>
    <n v="8.1312999433317068E-5"/>
    <n v="1171"/>
    <n v="1056"/>
    <n v="52"/>
    <n v="40"/>
    <n v="482"/>
    <n v="371"/>
    <n v="19"/>
    <n v="13"/>
    <n v="4.4406490179333902E-2"/>
    <n v="3.787878787878788E-2"/>
    <n v="6.5277023005460219E-3"/>
    <n v="3.9419087136929459E-2"/>
    <n v="3.5040431266846361E-2"/>
    <n v="4.378655870083098E-3"/>
    <n v="0.10890151515151514"/>
    <n v="0.30000000000000004"/>
    <n v="0.29919137466307277"/>
    <n v="0.46153846153846145"/>
  </r>
  <r>
    <x v="824"/>
    <n v="543600"/>
    <x v="4"/>
    <x v="91"/>
    <n v="332.35"/>
    <n v="3034.9551289999999"/>
    <n v="7.5330329679572987E-5"/>
    <n v="1152"/>
    <n v="1034"/>
    <n v="102"/>
    <n v="90"/>
    <n v="409"/>
    <n v="338"/>
    <n v="33"/>
    <n v="26"/>
    <n v="8.8541666666666671E-2"/>
    <n v="8.7040618955512572E-2"/>
    <n v="1.5010477111540993E-3"/>
    <n v="8.0684596577017112E-2"/>
    <n v="7.6923076923076927E-2"/>
    <n v="3.7615196539401846E-3"/>
    <n v="0.11411992263056092"/>
    <n v="0.1333333333333333"/>
    <n v="0.21005917159763321"/>
    <n v="0.26923076923076916"/>
  </r>
  <r>
    <x v="825"/>
    <n v="524348"/>
    <x v="7"/>
    <x v="9"/>
    <n v="352.5"/>
    <n v="3220.4620057000002"/>
    <n v="7.9934778043935903E-5"/>
    <n v="1628"/>
    <n v="1550"/>
    <n v="124"/>
    <n v="95"/>
    <n v="528"/>
    <n v="514"/>
    <n v="33"/>
    <n v="38"/>
    <n v="7.6167076167076173E-2"/>
    <n v="6.1290322580645158E-2"/>
    <n v="1.4876753586431014E-2"/>
    <n v="6.25E-2"/>
    <n v="7.3929961089494164E-2"/>
    <n v="-1.1429961089494164E-2"/>
    <n v="5.0322580645161263E-2"/>
    <n v="0.3052631578947369"/>
    <n v="2.7237354085603016E-2"/>
    <n v="-0.13157894736842102"/>
  </r>
  <r>
    <x v="826"/>
    <n v="513262"/>
    <x v="6"/>
    <x v="52"/>
    <n v="190.5"/>
    <n v="2981.5798971999998"/>
    <n v="7.4005508178985445E-5"/>
    <n v="3708"/>
    <n v="3195"/>
    <n v="129"/>
    <n v="134"/>
    <n v="1320"/>
    <n v="1074"/>
    <n v="46"/>
    <n v="47"/>
    <n v="3.4789644012944987E-2"/>
    <n v="4.1940532081377151E-2"/>
    <n v="-7.1508880684321638E-3"/>
    <n v="3.4848484848484851E-2"/>
    <n v="4.3761638733705775E-2"/>
    <n v="-8.9131538852209244E-3"/>
    <n v="0.16056338028169015"/>
    <n v="-3.7313432835820892E-2"/>
    <n v="0.22905027932960897"/>
    <n v="-2.1276595744680882E-2"/>
  </r>
  <r>
    <x v="827"/>
    <n v="501301"/>
    <x v="2"/>
    <x v="31"/>
    <n v="588.45000000000005"/>
    <n v="29787.982875000002"/>
    <n v="7.3936466111859417E-4"/>
    <n v="360"/>
    <n v="290"/>
    <n v="370"/>
    <n v="274"/>
    <n v="61"/>
    <n v="4"/>
    <n v="75"/>
    <n v="20"/>
    <n v="1.0277777777777777"/>
    <n v="0.94482758620689655"/>
    <n v="8.2950191570881127E-2"/>
    <n v="1.2295081967213115"/>
    <n v="5"/>
    <n v="-3.7704918032786887"/>
    <n v="0.24137931034482762"/>
    <n v="0.35036496350364965"/>
    <n v="14.25"/>
    <n v="2.75"/>
  </r>
  <r>
    <x v="828"/>
    <n v="523716"/>
    <x v="6"/>
    <x v="35"/>
    <n v="308.39999999999998"/>
    <n v="3089.1269812"/>
    <n v="7.6674924018575188E-5"/>
    <n v="762"/>
    <n v="257"/>
    <n v="101"/>
    <n v="-1"/>
    <n v="342"/>
    <n v="115"/>
    <n v="56"/>
    <n v="11"/>
    <n v="0.13254593175853019"/>
    <n v="-3.8910505836575876E-3"/>
    <n v="0.13643698234218776"/>
    <n v="0.16374269005847952"/>
    <n v="9.5652173913043481E-2"/>
    <n v="6.8090516145436042E-2"/>
    <n v="1.9649805447470818"/>
    <n v="-102"/>
    <n v="1.973913043478261"/>
    <n v="4.0909090909090908"/>
  </r>
  <r>
    <x v="829"/>
    <n v="506879"/>
    <x v="7"/>
    <x v="9"/>
    <n v="258.05"/>
    <n v="2811.6290422000002"/>
    <n v="6.9787174334724094E-5"/>
    <n v="121"/>
    <n v="113"/>
    <n v="35"/>
    <n v="36"/>
    <n v="43"/>
    <n v="39"/>
    <n v="12"/>
    <n v="12"/>
    <n v="0.28925619834710742"/>
    <n v="0.31858407079646017"/>
    <n v="-2.9327872449352754E-2"/>
    <n v="0.27906976744186046"/>
    <n v="0.30769230769230771"/>
    <n v="-2.8622540250447248E-2"/>
    <n v="7.079646017699126E-2"/>
    <n v="-2.777777777777779E-2"/>
    <n v="0.10256410256410264"/>
    <n v="0"/>
  </r>
  <r>
    <x v="830"/>
    <n v="532309"/>
    <x v="4"/>
    <x v="40"/>
    <n v="429"/>
    <n v="2763.049"/>
    <n v="6.8581373774509756E-5"/>
    <n v="952"/>
    <n v="780"/>
    <n v="139"/>
    <n v="38"/>
    <n v="385"/>
    <n v="316"/>
    <n v="72"/>
    <n v="-18"/>
    <n v="0.14600840336134455"/>
    <n v="4.8717948717948718E-2"/>
    <n v="9.7290454643395835E-2"/>
    <n v="0.18701298701298702"/>
    <n v="-5.6962025316455694E-2"/>
    <n v="0.24397501232944271"/>
    <n v="0.22051282051282062"/>
    <n v="2.6578947368421053"/>
    <n v="0.21835443037974689"/>
    <n v="-5"/>
  </r>
  <r>
    <x v="831"/>
    <n v="526650"/>
    <x v="2"/>
    <x v="38"/>
    <n v="64.819999999999993"/>
    <n v="2991.9165809000001"/>
    <n v="7.4262074012026625E-5"/>
    <n v="202"/>
    <n v="190"/>
    <n v="91"/>
    <n v="73"/>
    <n v="705"/>
    <n v="641"/>
    <n v="31"/>
    <n v="22"/>
    <n v="0.45049504950495051"/>
    <n v="0.38421052631578945"/>
    <n v="6.628452318916106E-2"/>
    <n v="4.397163120567376E-2"/>
    <n v="3.4321372854914198E-2"/>
    <n v="9.6502583507595621E-3"/>
    <n v="6.315789473684208E-2"/>
    <n v="0.24657534246575352"/>
    <n v="9.9843993759750393E-2"/>
    <n v="0.40909090909090917"/>
  </r>
  <r>
    <x v="832"/>
    <n v="500235"/>
    <x v="4"/>
    <x v="68"/>
    <n v="635.9"/>
    <n v="2776.0177566000002"/>
    <n v="6.890327003613061E-5"/>
    <n v="1361"/>
    <n v="1437"/>
    <n v="186"/>
    <n v="176"/>
    <n v="462"/>
    <n v="484"/>
    <n v="21"/>
    <n v="19"/>
    <n v="0.1366642174871418"/>
    <n v="0.12247738343771747"/>
    <n v="1.4186834049424335E-2"/>
    <n v="4.5454545454545456E-2"/>
    <n v="3.9256198347107439E-2"/>
    <n v="6.1983471074380167E-3"/>
    <n v="-5.2887961029923436E-2"/>
    <n v="5.6818181818181879E-2"/>
    <n v="-4.5454545454545414E-2"/>
    <n v="0.10526315789473695"/>
  </r>
  <r>
    <x v="833"/>
    <n v="534758"/>
    <x v="3"/>
    <x v="82"/>
    <n v="1201.0999999999999"/>
    <n v="3299.8492077000001"/>
    <n v="8.1905240157808837E-5"/>
    <n v="1680"/>
    <n v="1484"/>
    <n v="228"/>
    <n v="127"/>
    <n v="579"/>
    <n v="516"/>
    <n v="80"/>
    <n v="63"/>
    <n v="0.1357142857142857"/>
    <n v="8.557951482479785E-2"/>
    <n v="5.0134770889487854E-2"/>
    <n v="0.1381692573402418"/>
    <n v="0.12209302325581395"/>
    <n v="1.6076234084427848E-2"/>
    <n v="0.13207547169811318"/>
    <n v="0.79527559055118102"/>
    <n v="0.12209302325581395"/>
    <n v="0.26984126984126977"/>
  </r>
  <r>
    <x v="834"/>
    <n v="542597"/>
    <x v="10"/>
    <x v="103"/>
    <n v="402.05"/>
    <n v="2837.12"/>
    <n v="7.0419882949284316E-5"/>
    <n v="250"/>
    <n v="222"/>
    <n v="141"/>
    <n v="331"/>
    <n v="88"/>
    <n v="81"/>
    <n v="51"/>
    <n v="47"/>
    <n v="0.56399999999999995"/>
    <n v="1.4909909909909911"/>
    <n v="-0.92699099099099114"/>
    <n v="0.57954545454545459"/>
    <n v="0.58024691358024694"/>
    <n v="-7.0145903479235105E-4"/>
    <n v="0.12612612612612617"/>
    <n v="-0.57401812688821752"/>
    <n v="8.6419753086419693E-2"/>
    <n v="8.5106382978723305E-2"/>
  </r>
  <r>
    <x v="835"/>
    <n v="508989"/>
    <x v="6"/>
    <x v="153"/>
    <n v="133.44999999999999"/>
    <n v="2950.5404358000001"/>
    <n v="7.3235080689631164E-5"/>
    <n v="1291"/>
    <n v="1352"/>
    <n v="330"/>
    <n v="757"/>
    <n v="250"/>
    <n v="247"/>
    <n v="188"/>
    <n v="-15"/>
    <n v="0.25561580170410536"/>
    <n v="0.5599112426035503"/>
    <n v="-0.30429544089944494"/>
    <n v="0.752"/>
    <n v="-6.0728744939271252E-2"/>
    <n v="0.81272874493927127"/>
    <n v="-4.5118343195266308E-2"/>
    <n v="-0.56406869220607669"/>
    <n v="1.2145748987854255E-2"/>
    <n v="-13.533333333333333"/>
  </r>
  <r>
    <x v="836"/>
    <n v="539837"/>
    <x v="4"/>
    <x v="118"/>
    <n v="635.65"/>
    <n v="2911.0471336999999"/>
    <n v="7.2254821232448272E-5"/>
    <n v="186"/>
    <n v="148"/>
    <n v="39"/>
    <n v="26"/>
    <n v="64"/>
    <n v="55"/>
    <n v="14"/>
    <n v="9"/>
    <n v="0.20967741935483872"/>
    <n v="0.17567567567567569"/>
    <n v="3.4001743679163032E-2"/>
    <n v="0.21875"/>
    <n v="0.16363636363636364"/>
    <n v="5.5113636363636365E-2"/>
    <n v="0.2567567567567568"/>
    <n v="0.5"/>
    <n v="0.16363636363636358"/>
    <n v="0.55555555555555558"/>
  </r>
  <r>
    <x v="837"/>
    <n v="512008"/>
    <x v="10"/>
    <x v="116"/>
    <n v="193.4"/>
    <n v="2659.0402712"/>
    <n v="6.5999783109398701E-5"/>
    <n v="743"/>
    <n v="445"/>
    <n v="165"/>
    <n v="92"/>
    <n v="269"/>
    <n v="177"/>
    <n v="62"/>
    <n v="40"/>
    <n v="0.22207267833109018"/>
    <n v="0.20674157303370785"/>
    <n v="1.5331105297382325E-2"/>
    <n v="0.23048327137546468"/>
    <n v="0.22598870056497175"/>
    <n v="4.4945708104929261E-3"/>
    <n v="0.66966292134831451"/>
    <n v="0.79347826086956519"/>
    <n v="0.51977401129943512"/>
    <n v="0.55000000000000004"/>
  </r>
  <r>
    <x v="838"/>
    <n v="542460"/>
    <x v="4"/>
    <x v="92"/>
    <n v="1710.95"/>
    <n v="3431.9901396"/>
    <n v="8.5185097533318991E-5"/>
    <n v="614"/>
    <n v="511"/>
    <n v="83"/>
    <n v="86"/>
    <n v="206"/>
    <n v="171"/>
    <n v="25"/>
    <n v="30"/>
    <n v="0.13517915309446255"/>
    <n v="0.16829745596868884"/>
    <n v="-3.3118302874226291E-2"/>
    <n v="0.12135922330097088"/>
    <n v="0.17543859649122806"/>
    <n v="-5.4079373190257185E-2"/>
    <n v="0.20156555772994134"/>
    <n v="-3.4883720930232509E-2"/>
    <n v="0.20467836257309946"/>
    <n v="-0.16666666666666663"/>
  </r>
  <r>
    <x v="839"/>
    <n v="535754"/>
    <x v="8"/>
    <x v="11"/>
    <n v="134.30000000000001"/>
    <n v="2762.4069482"/>
    <n v="6.8565437468465809E-5"/>
    <n v="2145"/>
    <n v="1883"/>
    <n v="282"/>
    <n v="49"/>
    <n v="636"/>
    <n v="643"/>
    <n v="27"/>
    <n v="10"/>
    <n v="0.13146853146853146"/>
    <n v="2.6022304832713755E-2"/>
    <n v="0.10544622663581771"/>
    <n v="4.2452830188679243E-2"/>
    <n v="1.5552099533437015E-2"/>
    <n v="2.6900730655242226E-2"/>
    <n v="0.13913967073818378"/>
    <n v="4.7551020408163263"/>
    <n v="-1.0886469673405896E-2"/>
    <n v="1.7000000000000002"/>
  </r>
  <r>
    <x v="840"/>
    <n v="543228"/>
    <x v="1"/>
    <x v="129"/>
    <n v="462.4"/>
    <n v="2911.4331212000002"/>
    <n v="7.2264401791102787E-5"/>
    <n v="3277"/>
    <n v="3401"/>
    <n v="143"/>
    <n v="274"/>
    <n v="1107"/>
    <n v="1184"/>
    <n v="103"/>
    <n v="85"/>
    <n v="4.3637473298748855E-2"/>
    <n v="8.0564539841223165E-2"/>
    <n v="-3.692706654247431E-2"/>
    <n v="9.3044263775971095E-2"/>
    <n v="7.1790540540540543E-2"/>
    <n v="2.1253723235430552E-2"/>
    <n v="-3.6459864745663095E-2"/>
    <n v="-0.47810218978102192"/>
    <n v="-6.5033783783783772E-2"/>
    <n v="0.21176470588235285"/>
  </r>
  <r>
    <x v="841"/>
    <n v="522281"/>
    <x v="4"/>
    <x v="60"/>
    <n v="304"/>
    <n v="2826.1433969999998"/>
    <n v="7.0147433740776834E-5"/>
    <n v="3423"/>
    <n v="2720"/>
    <n v="69"/>
    <n v="51"/>
    <n v="1277"/>
    <n v="888"/>
    <n v="31"/>
    <n v="18"/>
    <n v="2.0157756354075372E-2"/>
    <n v="1.8749999999999999E-2"/>
    <n v="1.4077563540753728E-3"/>
    <n v="2.4275646045418951E-2"/>
    <n v="2.0270270270270271E-2"/>
    <n v="4.0053757751486799E-3"/>
    <n v="0.25845588235294126"/>
    <n v="0.35294117647058831"/>
    <n v="0.43806306306306309"/>
    <n v="0.72222222222222232"/>
  </r>
  <r>
    <x v="842"/>
    <n v="544066"/>
    <x v="6"/>
    <x v="52"/>
    <n v="1251.3"/>
    <n v="2777.8161599999999"/>
    <n v="6.8947908034143932E-5"/>
    <n v="1507"/>
    <n v="1672"/>
    <n v="-174"/>
    <n v="-154"/>
    <n v="501"/>
    <n v="529"/>
    <n v="-52"/>
    <n v="-44"/>
    <n v="-0.11546118115461181"/>
    <n v="-9.2105263157894732E-2"/>
    <n v="-2.3355917996717074E-2"/>
    <n v="-0.10379241516966067"/>
    <n v="-8.3175803402646506E-2"/>
    <n v="-2.0616611767014167E-2"/>
    <n v="-9.8684210526315819E-2"/>
    <n v="0.12987012987012991"/>
    <n v="-5.2930056710774998E-2"/>
    <n v="0.18181818181818188"/>
  </r>
  <r>
    <x v="843"/>
    <n v="533262"/>
    <x v="4"/>
    <x v="5"/>
    <n v="456.8"/>
    <n v="3155.7651283999999"/>
    <n v="7.8328943068097653E-5"/>
    <n v="1339"/>
    <n v="1555"/>
    <n v="230"/>
    <n v="213"/>
    <n v="488"/>
    <n v="459"/>
    <n v="77"/>
    <n v="59"/>
    <n v="0.17176997759522031"/>
    <n v="0.13697749196141479"/>
    <n v="3.479248563380552E-2"/>
    <n v="0.15778688524590165"/>
    <n v="0.12854030501089325"/>
    <n v="2.9246580235008396E-2"/>
    <n v="-0.13890675241157557"/>
    <n v="7.9812206572769995E-2"/>
    <n v="6.3180827886710311E-2"/>
    <n v="0.30508474576271194"/>
  </r>
  <r>
    <x v="844"/>
    <n v="544232"/>
    <x v="4"/>
    <x v="5"/>
    <n v="1818.75"/>
    <n v="3055.6633923999998"/>
    <n v="7.5844327495918758E-5"/>
    <n v="1394"/>
    <n v="990"/>
    <n v="97"/>
    <n v="69"/>
    <n v="522"/>
    <n v="363"/>
    <n v="37"/>
    <n v="28"/>
    <n v="6.9583931133428978E-2"/>
    <n v="6.9696969696969702E-2"/>
    <n v="-1.1303856354072384E-4"/>
    <n v="7.0881226053639848E-2"/>
    <n v="7.7134986225895319E-2"/>
    <n v="-6.2537601722554709E-3"/>
    <n v="0.40808080808080804"/>
    <n v="0.40579710144927539"/>
    <n v="0.43801652892561993"/>
    <n v="0.3214285714285714"/>
  </r>
  <r>
    <x v="845"/>
    <n v="524372"/>
    <x v="7"/>
    <x v="9"/>
    <n v="524.29999999999995"/>
    <n v="2655.1454085"/>
    <n v="6.5903109096513259E-5"/>
    <n v="573"/>
    <n v="684"/>
    <n v="-3"/>
    <n v="77"/>
    <n v="207"/>
    <n v="217"/>
    <n v="-12"/>
    <n v="22"/>
    <n v="-5.235602094240838E-3"/>
    <n v="0.11257309941520467"/>
    <n v="-0.11780870150944552"/>
    <n v="-5.7971014492753624E-2"/>
    <n v="0.10138248847926268"/>
    <n v="-0.15935350297201631"/>
    <n v="-0.16228070175438591"/>
    <n v="-1.0389610389610389"/>
    <n v="-4.6082949308755783E-2"/>
    <n v="-1.5454545454545454"/>
  </r>
  <r>
    <x v="846"/>
    <n v="532900"/>
    <x v="2"/>
    <x v="4"/>
    <n v="35.799999999999997"/>
    <n v="3256.0879746000001"/>
    <n v="8.0819046795308012E-5"/>
    <n v="682"/>
    <n v="577"/>
    <n v="164"/>
    <n v="153"/>
    <n v="243"/>
    <n v="181"/>
    <n v="66"/>
    <n v="62"/>
    <n v="0.2404692082111437"/>
    <n v="0.26516464471403811"/>
    <n v="-2.4695436502894408E-2"/>
    <n v="0.27160493827160492"/>
    <n v="0.34254143646408841"/>
    <n v="-7.0936498192483488E-2"/>
    <n v="0.18197573656845756"/>
    <n v="7.1895424836601274E-2"/>
    <n v="0.34254143646408841"/>
    <n v="6.4516129032258007E-2"/>
  </r>
  <r>
    <x v="847"/>
    <n v="532732"/>
    <x v="6"/>
    <x v="84"/>
    <n v="446.85"/>
    <n v="2754.3379421999998"/>
    <n v="6.836515744575366E-5"/>
    <n v="888"/>
    <n v="714"/>
    <n v="117"/>
    <n v="118"/>
    <n v="301"/>
    <n v="255"/>
    <n v="37"/>
    <n v="26"/>
    <n v="0.13175675675675674"/>
    <n v="0.16526610644257703"/>
    <n v="-3.3509349685820283E-2"/>
    <n v="0.12292358803986711"/>
    <n v="0.10196078431372549"/>
    <n v="2.0962803726141621E-2"/>
    <n v="0.24369747899159666"/>
    <n v="-8.4745762711864181E-3"/>
    <n v="0.18039215686274512"/>
    <n v="0.42307692307692313"/>
  </r>
  <r>
    <x v="848"/>
    <n v="532924"/>
    <x v="6"/>
    <x v="35"/>
    <n v="309.5"/>
    <n v="2736.6682486999998"/>
    <n v="6.7926579680971166E-5"/>
    <n v="486"/>
    <n v="998"/>
    <n v="-23"/>
    <n v="43"/>
    <n v="265"/>
    <n v="349"/>
    <n v="4"/>
    <n v="26"/>
    <n v="-4.7325102880658436E-2"/>
    <n v="4.308617234468938E-2"/>
    <n v="-9.0411275225347809E-2"/>
    <n v="1.509433962264151E-2"/>
    <n v="7.4498567335243557E-2"/>
    <n v="-5.9404227712602051E-2"/>
    <n v="-0.51302605210420849"/>
    <n v="-1.5348837209302326"/>
    <n v="-0.24068767908309452"/>
    <n v="-0.84615384615384615"/>
  </r>
  <r>
    <x v="849"/>
    <n v="523319"/>
    <x v="11"/>
    <x v="79"/>
    <n v="160.4"/>
    <n v="2738.6257525999999"/>
    <n v="6.7975166697209732E-5"/>
    <n v="1973"/>
    <n v="1907"/>
    <n v="187"/>
    <n v="185"/>
    <n v="656"/>
    <n v="630"/>
    <n v="64"/>
    <n v="61"/>
    <n v="9.4779523568170293E-2"/>
    <n v="9.701101206082853E-2"/>
    <n v="-2.2314884926582373E-3"/>
    <n v="9.7560975609756101E-2"/>
    <n v="9.6825396825396828E-2"/>
    <n v="7.355787843592726E-4"/>
    <n v="3.4609334032511763E-2"/>
    <n v="1.08108108108107E-2"/>
    <n v="4.1269841269841345E-2"/>
    <n v="4.9180327868852514E-2"/>
  </r>
  <r>
    <x v="850"/>
    <n v="505010"/>
    <x v="6"/>
    <x v="52"/>
    <n v="1682"/>
    <n v="2523.8500727999999"/>
    <n v="6.264424018304433E-5"/>
    <n v="1513"/>
    <n v="1517"/>
    <n v="110"/>
    <n v="109"/>
    <n v="562"/>
    <n v="530"/>
    <n v="38"/>
    <n v="39"/>
    <n v="7.270323859881031E-2"/>
    <n v="7.1852340145023078E-2"/>
    <n v="8.5089845378723272E-4"/>
    <n v="6.7615658362989328E-2"/>
    <n v="7.3584905660377356E-2"/>
    <n v="-5.9692472973880278E-3"/>
    <n v="-2.636783124588038E-3"/>
    <n v="9.1743119266054496E-3"/>
    <n v="6.0377358490566024E-2"/>
    <n v="-2.5641025641025661E-2"/>
  </r>
  <r>
    <x v="851"/>
    <n v="541163"/>
    <x v="6"/>
    <x v="52"/>
    <n v="466.7"/>
    <n v="2814.8180487"/>
    <n v="6.986632835868307E-5"/>
    <n v="3545"/>
    <n v="2870"/>
    <n v="134"/>
    <n v="99"/>
    <n v="1184"/>
    <n v="973"/>
    <n v="33"/>
    <n v="29"/>
    <n v="3.7799717912552891E-2"/>
    <n v="3.449477351916376E-2"/>
    <n v="3.3049443933891309E-3"/>
    <n v="2.7871621621621621E-2"/>
    <n v="2.9804727646454265E-2"/>
    <n v="-1.9331060248326433E-3"/>
    <n v="0.23519163763066198"/>
    <n v="0.35353535353535359"/>
    <n v="0.21685508735868453"/>
    <n v="0.13793103448275867"/>
  </r>
  <r>
    <x v="852"/>
    <n v="538268"/>
    <x v="6"/>
    <x v="154"/>
    <n v="521.25"/>
    <n v="3295.0051804999998"/>
    <n v="8.1785007024058002E-5"/>
    <n v="3829"/>
    <n v="3617"/>
    <n v="65"/>
    <n v="98"/>
    <n v="1345"/>
    <n v="1215"/>
    <n v="14"/>
    <n v="20"/>
    <n v="1.6975711674066335E-2"/>
    <n v="2.7094277025158972E-2"/>
    <n v="-1.0118565351092637E-2"/>
    <n v="1.0408921933085501E-2"/>
    <n v="1.646090534979424E-2"/>
    <n v="-6.0519834167087391E-3"/>
    <n v="5.8612109482996999E-2"/>
    <n v="-0.33673469387755106"/>
    <n v="0.10699588477366251"/>
    <n v="-0.30000000000000004"/>
  </r>
  <r>
    <x v="853"/>
    <n v="524709"/>
    <x v="8"/>
    <x v="75"/>
    <n v="143.94999999999999"/>
    <n v="3396.7563129"/>
    <n v="8.4310562105818784E-5"/>
    <n v="1223"/>
    <n v="1033"/>
    <n v="5"/>
    <n v="-42"/>
    <n v="318"/>
    <n v="267"/>
    <n v="-10"/>
    <n v="-36"/>
    <n v="4.0883074407195418E-3"/>
    <n v="-4.0658276863504358E-2"/>
    <n v="4.4746584304223902E-2"/>
    <n v="-3.1446540880503145E-2"/>
    <n v="-0.1348314606741573"/>
    <n v="0.10338491979365416"/>
    <n v="0.18393030009680533"/>
    <n v="-1.1190476190476191"/>
    <n v="0.1910112359550562"/>
    <n v="-0.72222222222222221"/>
  </r>
  <r>
    <x v="854"/>
    <n v="532256"/>
    <x v="2"/>
    <x v="31"/>
    <n v="5270"/>
    <n v="2716.0436410000002"/>
    <n v="6.7414658274718035E-5"/>
    <n v="59"/>
    <n v="80"/>
    <n v="42"/>
    <n v="59"/>
    <n v="8"/>
    <n v="8"/>
    <n v="5"/>
    <n v="5"/>
    <n v="0.71186440677966101"/>
    <n v="0.73750000000000004"/>
    <n v="-2.5635593220339037E-2"/>
    <n v="0.625"/>
    <n v="0.625"/>
    <n v="0"/>
    <n v="-0.26249999999999996"/>
    <n v="-0.28813559322033899"/>
    <n v="0"/>
    <n v="0"/>
  </r>
  <r>
    <x v="855"/>
    <n v="532983"/>
    <x v="7"/>
    <x v="9"/>
    <n v="1915.6"/>
    <n v="3169.2050153999999"/>
    <n v="7.8662533212113975E-5"/>
    <n v="530"/>
    <n v="510"/>
    <n v="85"/>
    <n v="65"/>
    <n v="180"/>
    <n v="172"/>
    <n v="22"/>
    <n v="34"/>
    <n v="0.16037735849056603"/>
    <n v="0.12745098039215685"/>
    <n v="3.2926378098409176E-2"/>
    <n v="0.12222222222222222"/>
    <n v="0.19767441860465115"/>
    <n v="-7.5452196382428935E-2"/>
    <n v="3.9215686274509887E-2"/>
    <n v="0.30769230769230771"/>
    <n v="4.6511627906976827E-2"/>
    <n v="-0.3529411764705882"/>
  </r>
  <r>
    <x v="856"/>
    <n v="532054"/>
    <x v="6"/>
    <x v="10"/>
    <n v="2210.3000000000002"/>
    <n v="2715.4328906000001"/>
    <n v="6.7399498897716267E-5"/>
    <n v="1578"/>
    <n v="1228"/>
    <n v="100"/>
    <n v="110"/>
    <n v="596"/>
    <n v="472"/>
    <n v="38"/>
    <n v="47"/>
    <n v="6.3371356147021551E-2"/>
    <n v="8.9576547231270356E-2"/>
    <n v="-2.6205191084248805E-2"/>
    <n v="6.3758389261744972E-2"/>
    <n v="9.9576271186440676E-2"/>
    <n v="-3.5817881924695705E-2"/>
    <n v="0.28501628664495104"/>
    <n v="-9.0909090909090939E-2"/>
    <n v="0.26271186440677963"/>
    <n v="-0.19148936170212771"/>
  </r>
  <r>
    <x v="857"/>
    <n v="543985"/>
    <x v="3"/>
    <x v="82"/>
    <n v="225.35"/>
    <n v="3034.5916624000001"/>
    <n v="7.5321308110013719E-5"/>
    <n v="1289"/>
    <n v="891"/>
    <n v="98"/>
    <n v="56"/>
    <n v="525"/>
    <n v="336"/>
    <n v="37"/>
    <n v="19"/>
    <n v="7.6027928626842517E-2"/>
    <n v="6.2850729517396189E-2"/>
    <n v="1.3177199109446328E-2"/>
    <n v="7.047619047619047E-2"/>
    <n v="5.6547619047619048E-2"/>
    <n v="1.3928571428571422E-2"/>
    <n v="0.44668911335577999"/>
    <n v="0.75"/>
    <n v="0.5625"/>
    <n v="0.94736842105263164"/>
  </r>
  <r>
    <x v="858"/>
    <n v="543972"/>
    <x v="4"/>
    <x v="68"/>
    <n v="252.55"/>
    <n v="3341.350175"/>
    <n v="8.2935331680038447E-5"/>
    <n v="316"/>
    <n v="286"/>
    <n v="37"/>
    <n v="41"/>
    <n v="121"/>
    <n v="100"/>
    <n v="16"/>
    <n v="15"/>
    <n v="0.11708860759493671"/>
    <n v="0.14335664335664336"/>
    <n v="-2.6268035761706651E-2"/>
    <n v="0.13223140495867769"/>
    <n v="0.15"/>
    <n v="-1.7768595041322305E-2"/>
    <n v="0.10489510489510478"/>
    <n v="-9.7560975609756073E-2"/>
    <n v="0.20999999999999996"/>
    <n v="6.6666666666666652E-2"/>
  </r>
  <r>
    <x v="859"/>
    <n v="500243"/>
    <x v="4"/>
    <x v="91"/>
    <n v="2866"/>
    <n v="2995.2756463000001"/>
    <n v="7.4345449051604434E-5"/>
    <n v="5111"/>
    <n v="4860"/>
    <n v="110"/>
    <n v="94"/>
    <n v="1624"/>
    <n v="1614"/>
    <n v="26"/>
    <n v="26"/>
    <n v="2.1522207004500096E-2"/>
    <n v="1.934156378600823E-2"/>
    <n v="2.1806432184918664E-3"/>
    <n v="1.600985221674877E-2"/>
    <n v="1.6109045848822799E-2"/>
    <n v="-9.9193632074029425E-5"/>
    <n v="5.1646090534979372E-2"/>
    <n v="0.17021276595744683"/>
    <n v="6.1957868649318293E-3"/>
    <n v="0"/>
  </r>
  <r>
    <x v="860"/>
    <n v="509243"/>
    <x v="6"/>
    <x v="70"/>
    <n v="3460.3"/>
    <n v="2673.0758059"/>
    <n v="6.6348157767751048E-5"/>
    <n v="2665"/>
    <n v="2435"/>
    <n v="35"/>
    <n v="11"/>
    <n v="916"/>
    <n v="803"/>
    <n v="11"/>
    <n v="-6"/>
    <n v="1.3133208255159476E-2"/>
    <n v="4.517453798767967E-3"/>
    <n v="8.6157544563915077E-3"/>
    <n v="1.2008733624454149E-2"/>
    <n v="-7.4719800747198011E-3"/>
    <n v="1.9480713699173952E-2"/>
    <n v="9.4455852156057452E-2"/>
    <n v="2.1818181818181817"/>
    <n v="0.14072229140722281"/>
    <n v="-2.833333333333333"/>
  </r>
  <r>
    <x v="861"/>
    <n v="543652"/>
    <x v="2"/>
    <x v="106"/>
    <n v="153.94999999999999"/>
    <n v="2479.7027773"/>
    <n v="6.1548464402803283E-5"/>
    <n v="1275"/>
    <n v="1870"/>
    <n v="-100"/>
    <n v="-1060"/>
    <n v="416"/>
    <n v="480"/>
    <n v="14"/>
    <n v="-719"/>
    <n v="-7.8431372549019607E-2"/>
    <n v="-0.5668449197860963"/>
    <n v="0.4884135472370767"/>
    <n v="3.3653846153846152E-2"/>
    <n v="-1.4979166666666666"/>
    <n v="1.5315705128205128"/>
    <n v="-0.31818181818181823"/>
    <n v="-0.90566037735849059"/>
    <n v="-0.1333333333333333"/>
    <n v="-1.0194714881780251"/>
  </r>
  <r>
    <x v="862"/>
    <n v="532884"/>
    <x v="8"/>
    <x v="71"/>
    <n v="210.9"/>
    <n v="2892.0260604"/>
    <n v="7.1782700999481117E-5"/>
    <n v="1342"/>
    <n v="1664"/>
    <n v="136"/>
    <n v="125"/>
    <n v="576"/>
    <n v="686"/>
    <n v="61"/>
    <n v="58"/>
    <n v="0.10134128166915052"/>
    <n v="7.5120192307692304E-2"/>
    <n v="2.6221089361458214E-2"/>
    <n v="0.10590277777777778"/>
    <n v="8.4548104956268216E-2"/>
    <n v="2.135467282150956E-2"/>
    <n v="-0.19350961538461542"/>
    <n v="8.8000000000000078E-2"/>
    <n v="-0.16034985422740522"/>
    <n v="5.1724137931034475E-2"/>
  </r>
  <r>
    <x v="863"/>
    <n v="530943"/>
    <x v="6"/>
    <x v="97"/>
    <n v="43.32"/>
    <n v="1103.4744218999999"/>
    <n v="2.7389232611848347E-5"/>
    <n v="9"/>
    <n v="4"/>
    <n v="13"/>
    <n v="-22"/>
    <n v="4"/>
    <n v="2"/>
    <n v="1"/>
    <n v="-22"/>
    <n v="1.4444444444444444"/>
    <n v="-5.5"/>
    <n v="6.9444444444444446"/>
    <n v="0.25"/>
    <n v="-11"/>
    <n v="11.25"/>
    <n v="1.25"/>
    <n v="-1.5909090909090908"/>
    <n v="1"/>
    <n v="-1.0454545454545454"/>
  </r>
  <r>
    <x v="864"/>
    <n v="519552"/>
    <x v="5"/>
    <x v="104"/>
    <n v="311.45"/>
    <n v="2885.955289"/>
    <n v="7.1632018965799127E-5"/>
    <n v="3368"/>
    <n v="3086"/>
    <n v="125"/>
    <n v="150"/>
    <n v="1119"/>
    <n v="1033"/>
    <n v="34"/>
    <n v="43"/>
    <n v="3.7114014251781471E-2"/>
    <n v="4.8606610499027869E-2"/>
    <n v="-1.1492596247246398E-2"/>
    <n v="3.038427167113494E-2"/>
    <n v="4.1626331074540175E-2"/>
    <n v="-1.1242059403405235E-2"/>
    <n v="9.1380427738172454E-2"/>
    <n v="-0.16666666666666663"/>
    <n v="8.3252662149080336E-2"/>
    <n v="-0.20930232558139539"/>
  </r>
  <r>
    <x v="865"/>
    <n v="544320"/>
    <x v="6"/>
    <x v="52"/>
    <n v="460.75"/>
    <n v="2606.0741005"/>
    <n v="6.4685114875074522E-5"/>
    <n v="1648"/>
    <n v="1363"/>
    <n v="88"/>
    <n v="64"/>
    <n v="569"/>
    <n v="448"/>
    <n v="28"/>
    <n v="14"/>
    <n v="5.3398058252427182E-2"/>
    <n v="4.6955245781364639E-2"/>
    <n v="6.4428124710625423E-3"/>
    <n v="4.9209138840070298E-2"/>
    <n v="3.125E-2"/>
    <n v="1.7959138840070298E-2"/>
    <n v="0.20909757887013947"/>
    <n v="0.375"/>
    <n v="0.27008928571428581"/>
    <n v="1"/>
  </r>
  <r>
    <x v="866"/>
    <n v="532799"/>
    <x v="6"/>
    <x v="35"/>
    <n v="190.8"/>
    <n v="2716.2528821999999"/>
    <n v="6.7419851830440792E-5"/>
    <n v="483"/>
    <n v="311"/>
    <n v="138"/>
    <n v="51"/>
    <n v="87"/>
    <n v="92"/>
    <n v="24"/>
    <n v="15"/>
    <n v="0.2857142857142857"/>
    <n v="0.16398713826366559"/>
    <n v="0.1217271474506201"/>
    <n v="0.27586206896551724"/>
    <n v="0.16304347826086957"/>
    <n v="0.11281859070464767"/>
    <n v="0.55305466237942125"/>
    <n v="1.7058823529411766"/>
    <n v="-5.4347826086956541E-2"/>
    <n v="0.60000000000000009"/>
  </r>
  <r>
    <x v="867"/>
    <n v="539978"/>
    <x v="10"/>
    <x v="116"/>
    <n v="179.1"/>
    <n v="2656.4041265000001"/>
    <n v="6.5934351615062406E-5"/>
    <n v="11412"/>
    <n v="11310"/>
    <n v="157"/>
    <n v="141"/>
    <n v="3929"/>
    <n v="4019"/>
    <n v="55"/>
    <n v="41"/>
    <n v="1.3757448300035051E-2"/>
    <n v="1.246684350132626E-2"/>
    <n v="1.2906047987087908E-3"/>
    <n v="1.3998472893866123E-2"/>
    <n v="1.0201542672306545E-2"/>
    <n v="3.7969302215595784E-3"/>
    <n v="9.0185676392573466E-3"/>
    <n v="0.11347517730496448"/>
    <n v="-2.2393630256282604E-2"/>
    <n v="0.34146341463414642"/>
  </r>
  <r>
    <x v="868"/>
    <n v="544430"/>
    <x v="12"/>
    <x v="155"/>
    <n v="105"/>
    <n v="3099.9430379999999"/>
    <n v="7.6943388325276637E-5"/>
    <n v="1727"/>
    <n v="1016"/>
    <n v="88"/>
    <n v="40"/>
    <n v="589"/>
    <n v="369"/>
    <n v="24"/>
    <n v="10"/>
    <n v="5.0955414012738856E-2"/>
    <n v="3.937007874015748E-2"/>
    <n v="1.1585335272581376E-2"/>
    <n v="4.074702886247878E-2"/>
    <n v="2.7100271002710029E-2"/>
    <n v="1.3646757859768752E-2"/>
    <n v="0.6998031496062993"/>
    <n v="1.2000000000000002"/>
    <n v="0.59620596205962051"/>
    <n v="1.4"/>
  </r>
  <r>
    <x v="869"/>
    <n v="543489"/>
    <x v="10"/>
    <x v="86"/>
    <n v="54.32"/>
    <n v="2714.0651063"/>
    <n v="6.7365549255013151E-5"/>
    <n v="1678"/>
    <n v="1145"/>
    <n v="195"/>
    <n v="564"/>
    <n v="560"/>
    <n v="402"/>
    <n v="67"/>
    <n v="455"/>
    <n v="0.11620977353992849"/>
    <n v="0.49257641921397383"/>
    <n v="-0.37636664567404532"/>
    <n v="0.11964285714285715"/>
    <n v="1.1318407960199004"/>
    <n v="-1.0121979388770432"/>
    <n v="0.46550218340611349"/>
    <n v="-0.6542553191489362"/>
    <n v="0.39303482587064686"/>
    <n v="-0.85274725274725272"/>
  </r>
  <r>
    <x v="870"/>
    <n v="500414"/>
    <x v="6"/>
    <x v="10"/>
    <n v="263.7"/>
    <n v="2662.0516232"/>
    <n v="6.6074527588080989E-5"/>
    <n v="563"/>
    <n v="402"/>
    <n v="48"/>
    <n v="22"/>
    <n v="150"/>
    <n v="119"/>
    <n v="3"/>
    <n v="1"/>
    <n v="8.5257548845470696E-2"/>
    <n v="5.4726368159203981E-2"/>
    <n v="3.0531180686266715E-2"/>
    <n v="0.02"/>
    <n v="8.4033613445378148E-3"/>
    <n v="1.1596638655462186E-2"/>
    <n v="0.40049751243781095"/>
    <n v="1.1818181818181817"/>
    <n v="0.26050420168067223"/>
    <n v="2"/>
  </r>
  <r>
    <x v="871"/>
    <n v="526247"/>
    <x v="8"/>
    <x v="41"/>
    <n v="429.05"/>
    <n v="2292.3535001999999"/>
    <n v="5.6898285995116955E-5"/>
    <n v="299"/>
    <n v="343"/>
    <n v="39"/>
    <n v="24"/>
    <n v="81"/>
    <n v="165"/>
    <n v="6"/>
    <n v="9"/>
    <n v="0.13043478260869565"/>
    <n v="6.9970845481049565E-2"/>
    <n v="6.0463937127646084E-2"/>
    <n v="7.407407407407407E-2"/>
    <n v="5.4545454545454543E-2"/>
    <n v="1.9528619528619527E-2"/>
    <n v="-0.1282798833819242"/>
    <n v="0.625"/>
    <n v="-0.50909090909090904"/>
    <n v="-0.33333333333333337"/>
  </r>
  <r>
    <x v="872"/>
    <n v="503101"/>
    <x v="6"/>
    <x v="35"/>
    <n v="415.9"/>
    <n v="2804.6944640000002"/>
    <n v="6.961505183544783E-5"/>
    <n v="382"/>
    <n v="431"/>
    <n v="144"/>
    <n v="114"/>
    <n v="124"/>
    <n v="123"/>
    <n v="27"/>
    <n v="42"/>
    <n v="0.37696335078534032"/>
    <n v="0.26450116009280744"/>
    <n v="0.11246219069253288"/>
    <n v="0.21774193548387097"/>
    <n v="0.34146341463414637"/>
    <n v="-0.1237214791502754"/>
    <n v="-0.11368909512761016"/>
    <n v="0.26315789473684204"/>
    <n v="8.1300813008129413E-3"/>
    <n v="-0.3571428571428571"/>
  </r>
  <r>
    <x v="873"/>
    <n v="540544"/>
    <x v="4"/>
    <x v="5"/>
    <n v="635.4"/>
    <n v="2522.2088887"/>
    <n v="6.2603504510171755E-5"/>
    <n v="2033"/>
    <n v="1839"/>
    <n v="34"/>
    <n v="49"/>
    <n v="812"/>
    <n v="630"/>
    <n v="17"/>
    <n v="5"/>
    <n v="1.6724053123462864E-2"/>
    <n v="2.6644915715062535E-2"/>
    <n v="-9.9208625915996711E-3"/>
    <n v="2.0935960591133004E-2"/>
    <n v="7.9365079365079361E-3"/>
    <n v="1.2999452654625068E-2"/>
    <n v="0.10549211528004343"/>
    <n v="-0.30612244897959184"/>
    <n v="0.28888888888888897"/>
    <n v="2.4"/>
  </r>
  <r>
    <x v="874"/>
    <n v="509079"/>
    <x v="7"/>
    <x v="9"/>
    <n v="291.45"/>
    <n v="2920.2265223999998"/>
    <n v="7.248266195747927E-5"/>
    <n v="692"/>
    <n v="614"/>
    <n v="42"/>
    <n v="61"/>
    <n v="231"/>
    <n v="207"/>
    <n v="12"/>
    <n v="19"/>
    <n v="6.0693641618497107E-2"/>
    <n v="9.93485342019544E-2"/>
    <n v="-3.8654892583457293E-2"/>
    <n v="5.1948051948051951E-2"/>
    <n v="9.1787439613526575E-2"/>
    <n v="-3.9839387665474624E-2"/>
    <n v="0.12703583061889256"/>
    <n v="-0.31147540983606559"/>
    <n v="0.11594202898550732"/>
    <n v="-0.36842105263157898"/>
  </r>
  <r>
    <x v="875"/>
    <n v="526881"/>
    <x v="3"/>
    <x v="3"/>
    <n v="505.3"/>
    <n v="2320.2848254"/>
    <n v="5.7591566734459104E-5"/>
    <n v="77"/>
    <n v="33"/>
    <n v="-44"/>
    <n v="-53"/>
    <n v="26"/>
    <n v="11"/>
    <n v="-19"/>
    <n v="-16"/>
    <n v="-0.5714285714285714"/>
    <n v="-1.606060606060606"/>
    <n v="1.0346320346320346"/>
    <n v="-0.73076923076923073"/>
    <n v="-1.4545454545454546"/>
    <n v="0.72377622377622386"/>
    <n v="1.3333333333333335"/>
    <n v="-0.16981132075471694"/>
    <n v="1.3636363636363638"/>
    <n v="0.1875"/>
  </r>
  <r>
    <x v="876"/>
    <n v="532486"/>
    <x v="6"/>
    <x v="156"/>
    <n v="897"/>
    <n v="2771.9116881"/>
    <n v="6.8801353704374553E-5"/>
    <n v="424"/>
    <n v="667"/>
    <n v="54"/>
    <n v="128"/>
    <n v="134"/>
    <n v="223"/>
    <n v="20"/>
    <n v="50"/>
    <n v="0.12735849056603774"/>
    <n v="0.19190404797601199"/>
    <n v="-6.4545557409974252E-2"/>
    <n v="0.14925373134328357"/>
    <n v="0.22421524663677131"/>
    <n v="-7.496151529348774E-2"/>
    <n v="-0.3643178410794603"/>
    <n v="-0.578125"/>
    <n v="-0.39910313901345296"/>
    <n v="-0.6"/>
  </r>
  <r>
    <x v="877"/>
    <n v="523618"/>
    <x v="10"/>
    <x v="150"/>
    <n v="852.05"/>
    <n v="2380.1399658"/>
    <n v="5.9077225423862787E-5"/>
    <n v="730"/>
    <n v="679"/>
    <n v="-82"/>
    <n v="-48"/>
    <n v="276"/>
    <n v="324"/>
    <n v="-24"/>
    <n v="16"/>
    <n v="-0.11232876712328767"/>
    <n v="-7.0692194403534608E-2"/>
    <n v="-4.1636572719753059E-2"/>
    <n v="-8.6956521739130432E-2"/>
    <n v="4.9382716049382713E-2"/>
    <n v="-0.13633923778851315"/>
    <n v="7.5110456553755478E-2"/>
    <n v="0.70833333333333326"/>
    <n v="-0.14814814814814814"/>
    <n v="-2.5"/>
  </r>
  <r>
    <x v="878"/>
    <n v="540725"/>
    <x v="2"/>
    <x v="78"/>
    <n v="130.5"/>
    <n v="2860.7056680000001"/>
    <n v="7.1005300548765727E-5"/>
    <n v="1067"/>
    <n v="1226"/>
    <n v="266"/>
    <n v="309"/>
    <n v="377"/>
    <n v="349"/>
    <n v="88"/>
    <n v="82"/>
    <n v="0.24929709465791941"/>
    <n v="0.25203915171288743"/>
    <n v="-2.7420570549680223E-3"/>
    <n v="0.23342175066312998"/>
    <n v="0.23495702005730659"/>
    <n v="-1.5352693941766138E-3"/>
    <n v="-0.12969004893964109"/>
    <n v="-0.13915857605177995"/>
    <n v="8.022922636103158E-2"/>
    <n v="7.3170731707317138E-2"/>
  </r>
  <r>
    <x v="879"/>
    <n v="543547"/>
    <x v="8"/>
    <x v="34"/>
    <n v="218.5"/>
    <n v="2254.0307966999999"/>
    <n v="5.5947081853321706E-5"/>
    <n v="2182"/>
    <n v="1866"/>
    <n v="147"/>
    <n v="133"/>
    <n v="732"/>
    <n v="660"/>
    <n v="48"/>
    <n v="46"/>
    <n v="6.7369385884509622E-2"/>
    <n v="7.1275455519828515E-2"/>
    <n v="-3.9060696353188928E-3"/>
    <n v="6.5573770491803282E-2"/>
    <n v="6.9696969696969702E-2"/>
    <n v="-4.1231992051664196E-3"/>
    <n v="0.16934619506966775"/>
    <n v="0.10526315789473695"/>
    <n v="0.10909090909090913"/>
    <n v="4.3478260869565188E-2"/>
  </r>
  <r>
    <x v="880"/>
    <n v="543321"/>
    <x v="8"/>
    <x v="34"/>
    <n v="1124.0999999999999"/>
    <n v="2626.6933515999999"/>
    <n v="6.5196903325673679E-5"/>
    <n v="371"/>
    <n v="274"/>
    <n v="31"/>
    <n v="4"/>
    <n v="131"/>
    <n v="85"/>
    <n v="15"/>
    <n v="0.38"/>
    <n v="8.3557951482479784E-2"/>
    <n v="1.4598540145985401E-2"/>
    <n v="6.8959411336494386E-2"/>
    <n v="0.11450381679389313"/>
    <n v="4.4705882352941177E-3"/>
    <n v="0.11003322855859901"/>
    <n v="0.35401459854014594"/>
    <n v="6.75"/>
    <n v="0.54117647058823537"/>
    <n v="38.473684210526315"/>
  </r>
  <r>
    <x v="881"/>
    <n v="505710"/>
    <x v="8"/>
    <x v="61"/>
    <n v="64.91"/>
    <n v="2943.0935634000002"/>
    <n v="7.3050242585234358E-5"/>
    <n v="835"/>
    <n v="793"/>
    <n v="112"/>
    <n v="130"/>
    <n v="290"/>
    <n v="274"/>
    <n v="32"/>
    <n v="43"/>
    <n v="0.1341317365269461"/>
    <n v="0.16393442622950818"/>
    <n v="-2.9802689702562085E-2"/>
    <n v="0.1103448275862069"/>
    <n v="0.15693430656934307"/>
    <n v="-4.6589478983136173E-2"/>
    <n v="5.296343001261028E-2"/>
    <n v="-0.13846153846153841"/>
    <n v="5.8394160583941535E-2"/>
    <n v="-0.2558139534883721"/>
  </r>
  <r>
    <x v="882"/>
    <n v="532834"/>
    <x v="8"/>
    <x v="34"/>
    <n v="102.01"/>
    <n v="1962.4068342999999"/>
    <n v="4.870871149978908E-5"/>
    <n v="1340"/>
    <n v="1229"/>
    <n v="-62"/>
    <n v="-158"/>
    <n v="457"/>
    <n v="431"/>
    <n v="-37"/>
    <n v="-7"/>
    <n v="-4.6268656716417909E-2"/>
    <n v="-0.12855980471928397"/>
    <n v="8.2291148002866049E-2"/>
    <n v="-8.0962800875273522E-2"/>
    <n v="-1.6241299303944315E-2"/>
    <n v="-6.4721501571329207E-2"/>
    <n v="9.0317331163547676E-2"/>
    <n v="-0.60759493670886078"/>
    <n v="6.0324825986078912E-2"/>
    <n v="4.2857142857142856"/>
  </r>
  <r>
    <x v="883"/>
    <n v="544055"/>
    <x v="2"/>
    <x v="106"/>
    <n v="154.85"/>
    <n v="2595.7140401000001"/>
    <n v="6.4427968811208529E-5"/>
    <n v="1737"/>
    <n v="2006"/>
    <n v="99"/>
    <n v="178"/>
    <n v="605"/>
    <n v="681"/>
    <n v="62"/>
    <n v="3"/>
    <n v="5.6994818652849742E-2"/>
    <n v="8.8733798604187439E-2"/>
    <n v="-3.1738979951337697E-2"/>
    <n v="0.10247933884297521"/>
    <n v="4.4052863436123352E-3"/>
    <n v="9.8074052499362865E-2"/>
    <n v="-0.13409770687936196"/>
    <n v="-0.4438202247191011"/>
    <n v="-0.11160058737151246"/>
    <n v="19.666666666666668"/>
  </r>
  <r>
    <x v="884"/>
    <n v="544355"/>
    <x v="8"/>
    <x v="34"/>
    <n v="1709.9"/>
    <n v="2613.4043577000002"/>
    <n v="6.4867058484795702E-5"/>
    <n v="1405"/>
    <n v="1162"/>
    <n v="107"/>
    <n v="72"/>
    <n v="449"/>
    <n v="396"/>
    <n v="21"/>
    <n v="21"/>
    <n v="7.6156583629893235E-2"/>
    <n v="6.1962134251290879E-2"/>
    <n v="1.4194449378602356E-2"/>
    <n v="4.6770601336302897E-2"/>
    <n v="5.3030303030303032E-2"/>
    <n v="-6.2597016940001346E-3"/>
    <n v="0.20912220309810681"/>
    <n v="0.48611111111111116"/>
    <n v="0.13383838383838387"/>
    <n v="0"/>
  </r>
  <r>
    <x v="885"/>
    <n v="503960"/>
    <x v="4"/>
    <x v="60"/>
    <n v="2260"/>
    <n v="2555.1834174999999"/>
    <n v="6.3421962121553652E-5"/>
    <n v="1507"/>
    <n v="1283"/>
    <n v="81"/>
    <n v="83"/>
    <n v="568"/>
    <n v="514"/>
    <n v="25"/>
    <n v="41"/>
    <n v="5.3749170537491703E-2"/>
    <n v="6.4692127825409201E-2"/>
    <n v="-1.0942957287917499E-2"/>
    <n v="4.401408450704225E-2"/>
    <n v="7.9766536964980539E-2"/>
    <n v="-3.5752452457938289E-2"/>
    <n v="0.17459080280592354"/>
    <n v="-2.4096385542168641E-2"/>
    <n v="0.10505836575875493"/>
    <n v="-0.3902439024390244"/>
  </r>
  <r>
    <x v="886"/>
    <n v="543212"/>
    <x v="6"/>
    <x v="131"/>
    <n v="242.05"/>
    <n v="2898.7897297999998"/>
    <n v="7.1950581387852304E-5"/>
    <n v="911"/>
    <n v="837"/>
    <n v="64"/>
    <n v="63"/>
    <n v="338"/>
    <n v="338"/>
    <n v="23"/>
    <n v="35"/>
    <n v="7.025246981339188E-2"/>
    <n v="7.5268817204301078E-2"/>
    <n v="-5.0163473909091982E-3"/>
    <n v="6.8047337278106509E-2"/>
    <n v="0.10355029585798817"/>
    <n v="-3.5502958579881658E-2"/>
    <n v="8.8410991636798109E-2"/>
    <n v="1.5873015873015817E-2"/>
    <n v="0"/>
    <n v="-0.34285714285714286"/>
  </r>
  <r>
    <x v="887"/>
    <n v="544294"/>
    <x v="4"/>
    <x v="15"/>
    <n v="752.15"/>
    <n v="2832.7012841000001"/>
    <n v="7.031020642644985E-5"/>
    <n v="343"/>
    <n v="171"/>
    <n v="14"/>
    <n v="1"/>
    <n v="129"/>
    <n v="75"/>
    <n v="5"/>
    <n v="5"/>
    <n v="4.0816326530612242E-2"/>
    <n v="5.8479532163742687E-3"/>
    <n v="3.4968373314237973E-2"/>
    <n v="3.875968992248062E-2"/>
    <n v="6.6666666666666666E-2"/>
    <n v="-2.7906976744186046E-2"/>
    <n v="1.0058479532163744"/>
    <n v="13"/>
    <n v="0.72"/>
    <n v="0"/>
  </r>
  <r>
    <x v="888"/>
    <n v="543213"/>
    <x v="8"/>
    <x v="34"/>
    <n v="442.4"/>
    <n v="2459.0211840000002"/>
    <n v="6.103512856244733E-5"/>
    <n v="1711"/>
    <n v="1500"/>
    <n v="103"/>
    <n v="101"/>
    <n v="581"/>
    <n v="512"/>
    <n v="32"/>
    <n v="31"/>
    <n v="6.0198714202220921E-2"/>
    <n v="6.7333333333333328E-2"/>
    <n v="-7.1346191311124074E-3"/>
    <n v="5.5077452667814115E-2"/>
    <n v="6.0546875E-2"/>
    <n v="-5.4694223321858845E-3"/>
    <n v="0.14066666666666672"/>
    <n v="1.980198019801982E-2"/>
    <n v="0.134765625"/>
    <n v="3.2258064516129004E-2"/>
  </r>
  <r>
    <x v="889"/>
    <n v="542907"/>
    <x v="4"/>
    <x v="76"/>
    <n v="230.4"/>
    <n v="2575.0762914000002"/>
    <n v="6.3915721233456883E-5"/>
    <n v="1748"/>
    <n v="1804"/>
    <n v="17"/>
    <n v="18"/>
    <n v="573"/>
    <n v="577"/>
    <n v="-2"/>
    <n v="-20"/>
    <n v="9.7254004576659038E-3"/>
    <n v="9.9778270509977823E-3"/>
    <n v="-2.5242659333187846E-4"/>
    <n v="-3.4904013961605585E-3"/>
    <n v="-3.4662045060658578E-2"/>
    <n v="3.1171643664498018E-2"/>
    <n v="-3.104212860310418E-2"/>
    <n v="-5.555555555555558E-2"/>
    <n v="-6.9324090121317683E-3"/>
    <n v="-0.9"/>
  </r>
  <r>
    <x v="890"/>
    <n v="500444"/>
    <x v="8"/>
    <x v="119"/>
    <n v="441.4"/>
    <n v="2915.7292124999999"/>
    <n v="7.2371034660521566E-5"/>
    <n v="3047"/>
    <n v="3021"/>
    <n v="101"/>
    <n v="289"/>
    <n v="1049"/>
    <n v="1015"/>
    <n v="29"/>
    <n v="67"/>
    <n v="3.314735805710535E-2"/>
    <n v="9.5663687520688517E-2"/>
    <n v="-6.2516329463583167E-2"/>
    <n v="2.7645376549094377E-2"/>
    <n v="6.6009852216748766E-2"/>
    <n v="-3.8364475667654385E-2"/>
    <n v="8.6064217146639699E-3"/>
    <n v="-0.65051903114186849"/>
    <n v="3.3497536945812811E-2"/>
    <n v="-0.56716417910447769"/>
  </r>
  <r>
    <x v="891"/>
    <n v="544290"/>
    <x v="9"/>
    <x v="134"/>
    <n v="167.5"/>
    <n v="2939.6015499999999"/>
    <n v="7.2963567656121259E-5"/>
    <n v="718"/>
    <n v="665"/>
    <n v="134"/>
    <n v="103"/>
    <n v="250"/>
    <n v="247"/>
    <n v="42"/>
    <n v="36"/>
    <n v="0.18662952646239556"/>
    <n v="0.1548872180451128"/>
    <n v="3.1742308417282761E-2"/>
    <n v="0.16800000000000001"/>
    <n v="0.145748987854251"/>
    <n v="2.2251012145749011E-2"/>
    <n v="7.9699248120300714E-2"/>
    <n v="0.30097087378640786"/>
    <n v="1.2145748987854255E-2"/>
    <n v="0.16666666666666674"/>
  </r>
  <r>
    <x v="892"/>
    <n v="544088"/>
    <x v="2"/>
    <x v="157"/>
    <n v="328"/>
    <n v="2451.6655866999999"/>
    <n v="6.0852555988538547E-5"/>
    <n v="662"/>
    <n v="534"/>
    <n v="34"/>
    <n v="69"/>
    <n v="239"/>
    <n v="185"/>
    <n v="4"/>
    <n v="29"/>
    <n v="5.1359516616314202E-2"/>
    <n v="0.12921348314606743"/>
    <n v="-7.7853966529753224E-2"/>
    <n v="1.6736401673640166E-2"/>
    <n v="0.15675675675675677"/>
    <n v="-0.14002035508311661"/>
    <n v="0.23970037453183513"/>
    <n v="-0.50724637681159424"/>
    <n v="0.2918918918918918"/>
    <n v="-0.86206896551724133"/>
  </r>
  <r>
    <x v="893"/>
    <n v="533333"/>
    <x v="8"/>
    <x v="34"/>
    <n v="22.33"/>
    <n v="2594.5060798999998"/>
    <n v="6.4397986147136715E-5"/>
    <n v="458"/>
    <n v="413"/>
    <n v="81"/>
    <n v="89"/>
    <n v="183"/>
    <n v="125"/>
    <n v="30"/>
    <n v="27"/>
    <n v="0.17685589519650655"/>
    <n v="0.21549636803874092"/>
    <n v="-3.8640472842234375E-2"/>
    <n v="0.16393442622950818"/>
    <n v="0.216"/>
    <n v="-5.2065573770491813E-2"/>
    <n v="0.10895883777239712"/>
    <n v="-8.98876404494382E-2"/>
    <n v="0.46399999999999997"/>
    <n v="0.11111111111111116"/>
  </r>
  <r>
    <x v="894"/>
    <n v="540701"/>
    <x v="7"/>
    <x v="9"/>
    <n v="146.85"/>
    <n v="2302.5166161000002"/>
    <n v="5.7150543718469519E-5"/>
    <n v="2080"/>
    <n v="1995"/>
    <n v="76"/>
    <n v="-40"/>
    <n v="720"/>
    <n v="682"/>
    <n v="-13"/>
    <n v="5"/>
    <n v="3.653846153846154E-2"/>
    <n v="-2.0050125313283207E-2"/>
    <n v="5.6588586851744747E-2"/>
    <n v="-1.8055555555555554E-2"/>
    <n v="7.331378299120235E-3"/>
    <n v="-2.5386933854675789E-2"/>
    <n v="4.2606516290726759E-2"/>
    <n v="-2.9"/>
    <n v="5.5718475073313734E-2"/>
    <n v="-3.6"/>
  </r>
  <r>
    <x v="895"/>
    <n v="544161"/>
    <x v="6"/>
    <x v="10"/>
    <n v="1013.5"/>
    <n v="2305.8248816999999"/>
    <n v="5.7232657861092008E-5"/>
    <n v="2731"/>
    <n v="2594"/>
    <n v="161"/>
    <n v="87"/>
    <n v="1222"/>
    <n v="1085"/>
    <n v="73"/>
    <n v="37"/>
    <n v="5.895276455510802E-2"/>
    <n v="3.3538936006168078E-2"/>
    <n v="2.5413828548939942E-2"/>
    <n v="5.9738134206219311E-2"/>
    <n v="3.4101382488479264E-2"/>
    <n v="2.5636751717740047E-2"/>
    <n v="5.2814186584425604E-2"/>
    <n v="0.85057471264367823"/>
    <n v="0.12626728110599084"/>
    <n v="0.97297297297297303"/>
  </r>
  <r>
    <x v="896"/>
    <n v="526797"/>
    <x v="6"/>
    <x v="111"/>
    <n v="191.4"/>
    <n v="2392.6226815"/>
    <n v="5.9387057711000162E-5"/>
    <n v="1962"/>
    <n v="1838"/>
    <n v="58"/>
    <n v="75"/>
    <n v="673"/>
    <n v="614"/>
    <n v="14"/>
    <n v="24"/>
    <n v="2.9561671763506627E-2"/>
    <n v="4.0805223068552776E-2"/>
    <n v="-1.1243551305046149E-2"/>
    <n v="2.0802377414561663E-2"/>
    <n v="3.9087947882736153E-2"/>
    <n v="-1.828557046817449E-2"/>
    <n v="6.7464635473340584E-2"/>
    <n v="-0.22666666666666668"/>
    <n v="9.6091205211726427E-2"/>
    <n v="-0.41666666666666663"/>
  </r>
  <r>
    <x v="897"/>
    <n v="532967"/>
    <x v="8"/>
    <x v="138"/>
    <n v="381.9"/>
    <n v="2280.8569000000002"/>
    <n v="5.6612929986065979E-5"/>
    <n v="589"/>
    <n v="535"/>
    <n v="4880"/>
    <n v="-44"/>
    <n v="173"/>
    <n v="178"/>
    <n v="5011"/>
    <n v="-13"/>
    <n v="8.2852292020373515"/>
    <n v="-8.2242990654205608E-2"/>
    <n v="8.3674721926915563"/>
    <n v="28.965317919075144"/>
    <n v="-7.3033707865168537E-2"/>
    <n v="29.038351626940312"/>
    <n v="0.10093457943925244"/>
    <n v="-111.90909090909091"/>
    <n v="-2.8089887640449396E-2"/>
    <n v="-386.46153846153845"/>
  </r>
  <r>
    <x v="898"/>
    <n v="531719"/>
    <x v="8"/>
    <x v="75"/>
    <n v="210"/>
    <n v="2724.9939558000001"/>
    <n v="6.7636813178484972E-5"/>
    <n v="377"/>
    <n v="317"/>
    <n v="14"/>
    <n v="14"/>
    <n v="113"/>
    <n v="102"/>
    <n v="4"/>
    <n v="3"/>
    <n v="3.7135278514588858E-2"/>
    <n v="4.4164037854889593E-2"/>
    <n v="-7.0287593403007345E-3"/>
    <n v="3.5398230088495575E-2"/>
    <n v="2.9411764705882353E-2"/>
    <n v="5.9864653826132222E-3"/>
    <n v="0.18927444794952675"/>
    <n v="0"/>
    <n v="0.10784313725490202"/>
    <n v="0.33333333333333326"/>
  </r>
  <r>
    <x v="899"/>
    <n v="524051"/>
    <x v="4"/>
    <x v="137"/>
    <n v="794.9"/>
    <n v="2499.1528678"/>
    <n v="6.203123323047465E-5"/>
    <n v="5215"/>
    <n v="5145"/>
    <n v="3"/>
    <n v="366"/>
    <n v="1682"/>
    <n v="1721"/>
    <n v="29"/>
    <n v="105"/>
    <n v="5.7526366251198463E-4"/>
    <n v="7.113702623906705E-2"/>
    <n v="-7.0561762576555068E-2"/>
    <n v="1.7241379310344827E-2"/>
    <n v="6.1011040092969204E-2"/>
    <n v="-4.3769660782624377E-2"/>
    <n v="1.3605442176870763E-2"/>
    <n v="-0.99180327868852458"/>
    <n v="-2.2661243463102831E-2"/>
    <n v="-0.72380952380952379"/>
  </r>
  <r>
    <x v="900"/>
    <n v="530367"/>
    <x v="6"/>
    <x v="52"/>
    <n v="241.55"/>
    <n v="2345.2361639999999"/>
    <n v="5.821088151269899E-5"/>
    <n v="963"/>
    <n v="869"/>
    <n v="103"/>
    <n v="83"/>
    <n v="327"/>
    <n v="276"/>
    <n v="29"/>
    <n v="22"/>
    <n v="0.10695742471443406"/>
    <n v="9.5512082853855013E-2"/>
    <n v="1.144534186057905E-2"/>
    <n v="8.8685015290519878E-2"/>
    <n v="7.9710144927536225E-2"/>
    <n v="8.9748703629836529E-3"/>
    <n v="0.10817031070195626"/>
    <n v="0.24096385542168686"/>
    <n v="0.18478260869565211"/>
    <n v="0.31818181818181812"/>
  </r>
  <r>
    <x v="901"/>
    <n v="500219"/>
    <x v="4"/>
    <x v="76"/>
    <n v="29.69"/>
    <n v="2158.3095414999998"/>
    <n v="5.3571193774233556E-5"/>
    <n v="4575"/>
    <n v="4030"/>
    <n v="-20"/>
    <n v="-2"/>
    <n v="1597"/>
    <n v="1360"/>
    <n v="-47"/>
    <n v="-1"/>
    <n v="-4.3715846994535519E-3"/>
    <n v="-4.9627791563275434E-4"/>
    <n v="-3.8753067838207976E-3"/>
    <n v="-2.9430181590482152E-2"/>
    <n v="-7.3529411764705881E-4"/>
    <n v="-2.8694887472835093E-2"/>
    <n v="0.13523573200992556"/>
    <n v="9"/>
    <n v="0.17426470588235299"/>
    <n v="46"/>
  </r>
  <r>
    <x v="902"/>
    <n v="500330"/>
    <x v="6"/>
    <x v="35"/>
    <n v="349.8"/>
    <n v="2326.3577614000001"/>
    <n v="5.7742302495469744E-5"/>
    <n v="1609"/>
    <n v="1389"/>
    <n v="41"/>
    <n v="27"/>
    <n v="557"/>
    <n v="466"/>
    <n v="7"/>
    <n v="3"/>
    <n v="2.54816656308266E-2"/>
    <n v="1.9438444924406047E-2"/>
    <n v="6.0432207064205525E-3"/>
    <n v="1.2567324955116697E-2"/>
    <n v="6.4377682403433476E-3"/>
    <n v="6.1295567147733494E-3"/>
    <n v="0.1583873290136788"/>
    <n v="0.5185185185185186"/>
    <n v="0.19527896995708161"/>
    <n v="1.3333333333333335"/>
  </r>
  <r>
    <x v="903"/>
    <n v="522101"/>
    <x v="4"/>
    <x v="92"/>
    <n v="479.8"/>
    <n v="2541.1569985000001"/>
    <n v="6.3073813723115227E-5"/>
    <n v="439"/>
    <n v="297"/>
    <n v="71"/>
    <n v="41"/>
    <n v="156"/>
    <n v="108"/>
    <n v="23"/>
    <n v="15"/>
    <n v="0.16173120728929385"/>
    <n v="0.13804713804713806"/>
    <n v="2.3684069242155797E-2"/>
    <n v="0.14743589743589744"/>
    <n v="0.1388888888888889"/>
    <n v="8.5470085470085444E-3"/>
    <n v="0.47811447811447816"/>
    <n v="0.73170731707317072"/>
    <n v="0.44444444444444442"/>
    <n v="0.53333333333333344"/>
  </r>
  <r>
    <x v="904"/>
    <n v="539889"/>
    <x v="5"/>
    <x v="104"/>
    <n v="192.3"/>
    <n v="2399.9712"/>
    <n v="5.9569454582694226E-5"/>
    <n v="2872"/>
    <n v="2514"/>
    <n v="103"/>
    <n v="93"/>
    <n v="1013"/>
    <n v="885"/>
    <n v="30"/>
    <n v="36"/>
    <n v="3.5863509749303621E-2"/>
    <n v="3.6992840095465392E-2"/>
    <n v="-1.1293303461617707E-3"/>
    <n v="2.9615004935834157E-2"/>
    <n v="4.0677966101694912E-2"/>
    <n v="-1.1062961165860755E-2"/>
    <n v="0.14240254574383449"/>
    <n v="0.10752688172043001"/>
    <n v="0.14463276836158201"/>
    <n v="-0.16666666666666663"/>
  </r>
  <r>
    <x v="905"/>
    <n v="544111"/>
    <x v="6"/>
    <x v="57"/>
    <n v="109.42"/>
    <n v="2334.5227114999998"/>
    <n v="5.7944963937470337E-5"/>
    <n v="524"/>
    <n v="454"/>
    <n v="54"/>
    <n v="57"/>
    <n v="201"/>
    <n v="179"/>
    <n v="24"/>
    <n v="32"/>
    <n v="0.10305343511450382"/>
    <n v="0.12555066079295155"/>
    <n v="-2.2497225678447724E-2"/>
    <n v="0.11940298507462686"/>
    <n v="0.1787709497206704"/>
    <n v="-5.9367964646043533E-2"/>
    <n v="0.15418502202643181"/>
    <n v="-5.2631578947368474E-2"/>
    <n v="0.12290502793296088"/>
    <n v="-0.25"/>
  </r>
  <r>
    <x v="906"/>
    <n v="543686"/>
    <x v="6"/>
    <x v="27"/>
    <n v="410"/>
    <n v="2330.2081042999998"/>
    <n v="5.7837871486676527E-5"/>
    <n v="358"/>
    <n v="272"/>
    <n v="47"/>
    <n v="34"/>
    <n v="112"/>
    <n v="88"/>
    <n v="15"/>
    <n v="11"/>
    <n v="0.13128491620111732"/>
    <n v="0.125"/>
    <n v="6.2849162011173187E-3"/>
    <n v="0.13392857142857142"/>
    <n v="0.125"/>
    <n v="8.9285714285714246E-3"/>
    <n v="0.31617647058823528"/>
    <n v="0.38235294117647056"/>
    <n v="0.27272727272727271"/>
    <n v="0.36363636363636354"/>
  </r>
  <r>
    <x v="907"/>
    <n v="513349"/>
    <x v="6"/>
    <x v="35"/>
    <n v="114.81"/>
    <n v="2260.0005983000001"/>
    <n v="5.6095257725298382E-5"/>
    <n v="664"/>
    <n v="599"/>
    <n v="94"/>
    <n v="100"/>
    <n v="183"/>
    <n v="199"/>
    <n v="25"/>
    <n v="33"/>
    <n v="0.14156626506024098"/>
    <n v="0.1669449081803005"/>
    <n v="-2.5378643120059524E-2"/>
    <n v="0.13661202185792351"/>
    <n v="0.16582914572864321"/>
    <n v="-2.9217123870719702E-2"/>
    <n v="0.10851419031719534"/>
    <n v="-6.0000000000000053E-2"/>
    <n v="-8.0402010050251271E-2"/>
    <n v="-0.24242424242424243"/>
  </r>
  <r>
    <x v="908"/>
    <n v="544402"/>
    <x v="4"/>
    <x v="92"/>
    <n v="374.2"/>
    <n v="2359.3375747"/>
    <n v="5.856089127291844E-5"/>
    <n v="445"/>
    <n v="434"/>
    <n v="18"/>
    <n v="51"/>
    <n v="160"/>
    <n v="180"/>
    <n v="13"/>
    <n v="34"/>
    <n v="4.0449438202247189E-2"/>
    <n v="0.11751152073732719"/>
    <n v="-7.7062082535080012E-2"/>
    <n v="8.1250000000000003E-2"/>
    <n v="0.18888888888888888"/>
    <n v="-0.10763888888888888"/>
    <n v="2.5345622119815614E-2"/>
    <n v="-0.64705882352941169"/>
    <n v="-0.11111111111111116"/>
    <n v="-0.61764705882352944"/>
  </r>
  <r>
    <x v="909"/>
    <n v="531120"/>
    <x v="4"/>
    <x v="5"/>
    <n v="24.93"/>
    <n v="2376.3498485999999"/>
    <n v="5.8983151288969627E-5"/>
    <n v="3681"/>
    <n v="3481"/>
    <n v="238"/>
    <n v="201"/>
    <n v="1239"/>
    <n v="1205"/>
    <n v="93"/>
    <n v="80"/>
    <n v="6.4656343384949744E-2"/>
    <n v="5.7742028152829646E-2"/>
    <n v="6.9143152321200982E-3"/>
    <n v="7.5060532687651338E-2"/>
    <n v="6.6390041493775934E-2"/>
    <n v="8.6704911938754042E-3"/>
    <n v="5.7454754380924955E-2"/>
    <n v="0.18407960199004969"/>
    <n v="2.8215767634854672E-2"/>
    <n v="0.16250000000000009"/>
  </r>
  <r>
    <x v="910"/>
    <n v="513097"/>
    <x v="4"/>
    <x v="68"/>
    <n v="418.35"/>
    <n v="2404.8875201000001"/>
    <n v="5.9691482091570557E-5"/>
    <n v="408"/>
    <n v="375"/>
    <n v="69"/>
    <n v="56"/>
    <n v="134"/>
    <n v="123"/>
    <n v="22"/>
    <n v="18"/>
    <n v="0.16911764705882354"/>
    <n v="0.14933333333333335"/>
    <n v="1.9784313725490194E-2"/>
    <n v="0.16417910447761194"/>
    <n v="0.14634146341463414"/>
    <n v="1.7837641062977805E-2"/>
    <n v="8.8000000000000078E-2"/>
    <n v="0.23214285714285721"/>
    <n v="8.9430894308943021E-2"/>
    <n v="0.22222222222222232"/>
  </r>
  <r>
    <x v="911"/>
    <n v="533104"/>
    <x v="5"/>
    <x v="55"/>
    <n v="880"/>
    <n v="2566.5564466000001"/>
    <n v="6.370425098420339E-5"/>
    <n v="2761"/>
    <n v="2643"/>
    <n v="69"/>
    <n v="17"/>
    <n v="938"/>
    <n v="882"/>
    <n v="30"/>
    <n v="0.72"/>
    <n v="2.4990945309670408E-2"/>
    <n v="6.4320847521755582E-3"/>
    <n v="1.8558860557494849E-2"/>
    <n v="3.1982942430703626E-2"/>
    <n v="8.1632653061224482E-4"/>
    <n v="3.1166615900091382E-2"/>
    <n v="4.4646235338630325E-2"/>
    <n v="3.0588235294117645"/>
    <n v="6.3492063492063489E-2"/>
    <n v="40.666666666666671"/>
  </r>
  <r>
    <x v="912"/>
    <n v="524667"/>
    <x v="0"/>
    <x v="108"/>
    <n v="323"/>
    <n v="2203.2960499999999"/>
    <n v="5.4687799579721864E-5"/>
    <n v="3112"/>
    <n v="2787"/>
    <n v="134"/>
    <n v="83"/>
    <n v="1063"/>
    <n v="939"/>
    <n v="37"/>
    <n v="12"/>
    <n v="4.3059125964010285E-2"/>
    <n v="2.9781126659490492E-2"/>
    <n v="1.3277999304519793E-2"/>
    <n v="3.4807149576669805E-2"/>
    <n v="1.2779552715654952E-2"/>
    <n v="2.2027596861014853E-2"/>
    <n v="0.11661284535342653"/>
    <n v="0.6144578313253013"/>
    <n v="0.13205537806176793"/>
    <n v="2.0833333333333335"/>
  </r>
  <r>
    <x v="913"/>
    <n v="504341"/>
    <x v="4"/>
    <x v="60"/>
    <n v="133.35"/>
    <n v="2385.4420058999999"/>
    <n v="5.920882685180183E-5"/>
    <n v="423"/>
    <n v="97"/>
    <n v="68"/>
    <n v="8"/>
    <n v="131"/>
    <n v="122"/>
    <n v="14"/>
    <n v="30"/>
    <n v="0.16075650118203311"/>
    <n v="8.247422680412371E-2"/>
    <n v="7.8282274377909397E-2"/>
    <n v="0.10687022900763359"/>
    <n v="0.24590163934426229"/>
    <n v="-0.13903141033662869"/>
    <n v="3.3608247422680408"/>
    <n v="7.5"/>
    <n v="7.3770491803278659E-2"/>
    <n v="-0.53333333333333333"/>
  </r>
  <r>
    <x v="914"/>
    <n v="542857"/>
    <x v="6"/>
    <x v="111"/>
    <n v="183.8"/>
    <n v="2240.4007335000001"/>
    <n v="5.5608771364115987E-5"/>
    <n v="1140"/>
    <n v="1061"/>
    <n v="-30"/>
    <n v="42"/>
    <n v="416"/>
    <n v="359"/>
    <n v="10"/>
    <n v="8"/>
    <n v="-2.6315789473684209E-2"/>
    <n v="3.9585296889726673E-2"/>
    <n v="-6.5901086363410882E-2"/>
    <n v="2.403846153846154E-2"/>
    <n v="2.2284122562674095E-2"/>
    <n v="1.754338975787445E-3"/>
    <n v="7.4458058435438179E-2"/>
    <n v="-1.7142857142857144"/>
    <n v="0.15877437325905297"/>
    <n v="0.25"/>
  </r>
  <r>
    <x v="915"/>
    <n v="524091"/>
    <x v="6"/>
    <x v="51"/>
    <n v="811.95"/>
    <n v="2302.7128265000001"/>
    <n v="5.715541383795739E-5"/>
    <n v="699"/>
    <n v="619"/>
    <n v="72"/>
    <n v="45"/>
    <n v="227"/>
    <n v="207"/>
    <n v="21"/>
    <n v="53"/>
    <n v="0.10300429184549356"/>
    <n v="7.2697899838449112E-2"/>
    <n v="3.030639200704445E-2"/>
    <n v="9.2511013215859028E-2"/>
    <n v="0.2560386473429952"/>
    <n v="-0.16352763412713617"/>
    <n v="0.12924071082390953"/>
    <n v="0.60000000000000009"/>
    <n v="9.661835748792269E-2"/>
    <n v="-0.60377358490566035"/>
  </r>
  <r>
    <x v="916"/>
    <n v="532440"/>
    <x v="6"/>
    <x v="158"/>
    <n v="1657.25"/>
    <n v="2809.558008"/>
    <n v="6.9735769393816421E-5"/>
    <n v="563"/>
    <n v="544"/>
    <n v="126"/>
    <n v="101"/>
    <n v="182"/>
    <n v="186"/>
    <n v="35"/>
    <n v="40"/>
    <n v="0.22380106571936056"/>
    <n v="0.18566176470588236"/>
    <n v="3.8139301013478205E-2"/>
    <n v="0.19230769230769232"/>
    <n v="0.21505376344086022"/>
    <n v="-2.27460711331679E-2"/>
    <n v="3.4926470588235281E-2"/>
    <n v="0.24752475247524752"/>
    <n v="-2.1505376344086002E-2"/>
    <n v="-0.125"/>
  </r>
  <r>
    <x v="917"/>
    <n v="502090"/>
    <x v="8"/>
    <x v="11"/>
    <n v="168.15"/>
    <n v="2198.5001100999998"/>
    <n v="5.4568760016224437E-5"/>
    <n v="1863"/>
    <n v="1599"/>
    <n v="-100"/>
    <n v="-143"/>
    <n v="590"/>
    <n v="563"/>
    <n v="-64"/>
    <n v="-54"/>
    <n v="-5.3676865271068172E-2"/>
    <n v="-8.943089430894309E-2"/>
    <n v="3.5754029037874918E-2"/>
    <n v="-0.10847457627118644"/>
    <n v="-9.5914742451154528E-2"/>
    <n v="-1.255983382003191E-2"/>
    <n v="0.16510318949343339"/>
    <n v="-0.30069930069930073"/>
    <n v="4.7957371225577194E-2"/>
    <n v="0.18518518518518512"/>
  </r>
  <r>
    <x v="918"/>
    <n v="540724"/>
    <x v="5"/>
    <x v="25"/>
    <n v="945"/>
    <n v="2267.2507690000002"/>
    <n v="5.6275213515697214E-5"/>
    <n v="1297"/>
    <n v="1300"/>
    <n v="8"/>
    <n v="-22"/>
    <n v="459"/>
    <n v="442"/>
    <n v="3"/>
    <n v="-37"/>
    <n v="6.1680801850424053E-3"/>
    <n v="-1.6923076923076923E-2"/>
    <n v="2.3091157108119327E-2"/>
    <n v="6.5359477124183009E-3"/>
    <n v="-8.3710407239818999E-2"/>
    <n v="9.0246354952237304E-2"/>
    <n v="-2.3076923076923439E-3"/>
    <n v="-1.3636363636363638"/>
    <n v="3.8461538461538547E-2"/>
    <n v="-1.0810810810810811"/>
  </r>
  <r>
    <x v="919"/>
    <n v="544333"/>
    <x v="4"/>
    <x v="92"/>
    <n v="125.05"/>
    <n v="2511.5992744"/>
    <n v="6.2340164292929253E-5"/>
    <n v="547"/>
    <n v="447"/>
    <n v="61"/>
    <n v="52"/>
    <n v="191"/>
    <n v="140"/>
    <n v="20"/>
    <n v="15"/>
    <n v="0.11151736745886655"/>
    <n v="0.116331096196868"/>
    <n v="-4.8137287380014548E-3"/>
    <n v="0.10471204188481675"/>
    <n v="0.10714285714285714"/>
    <n v="-2.4308152580403836E-3"/>
    <n v="0.22371364653243853"/>
    <n v="0.17307692307692313"/>
    <n v="0.36428571428571432"/>
    <n v="0.33333333333333326"/>
  </r>
  <r>
    <x v="920"/>
    <n v="500365"/>
    <x v="4"/>
    <x v="68"/>
    <n v="34.71"/>
    <n v="2286.0100000000002"/>
    <n v="5.6740834586092051E-5"/>
    <n v="666"/>
    <n v="523"/>
    <n v="18"/>
    <n v="-8"/>
    <n v="226"/>
    <n v="194"/>
    <n v="9"/>
    <n v="-3"/>
    <n v="2.7027027027027029E-2"/>
    <n v="-1.5296367112810707E-2"/>
    <n v="4.2323394139837739E-2"/>
    <n v="3.9823008849557522E-2"/>
    <n v="-1.5463917525773196E-2"/>
    <n v="5.5286926375330718E-2"/>
    <n v="0.27342256214149141"/>
    <n v="-3.25"/>
    <n v="0.1649484536082475"/>
    <n v="-4"/>
  </r>
  <r>
    <x v="921"/>
    <n v="500215"/>
    <x v="5"/>
    <x v="54"/>
    <n v="599.70000000000005"/>
    <n v="2205.4540000000002"/>
    <n v="5.4741361849351077E-5"/>
    <n v="1163"/>
    <n v="595"/>
    <n v="10"/>
    <n v="4"/>
    <n v="407"/>
    <n v="208"/>
    <n v="8"/>
    <n v="4"/>
    <n v="8.5984522785898538E-3"/>
    <n v="6.7226890756302525E-3"/>
    <n v="1.8757632029596013E-3"/>
    <n v="1.9656019656019656E-2"/>
    <n v="1.9230769230769232E-2"/>
    <n v="4.252504252504237E-4"/>
    <n v="0.95462184873949574"/>
    <n v="1.5"/>
    <n v="0.95673076923076916"/>
    <n v="1"/>
  </r>
  <r>
    <x v="922"/>
    <n v="539056"/>
    <x v="6"/>
    <x v="154"/>
    <n v="42.35"/>
    <n v="2357.9450000000002"/>
    <n v="5.8526326310078616E-5"/>
    <n v="281"/>
    <n v="315"/>
    <n v="0.95"/>
    <n v="62"/>
    <n v="92"/>
    <n v="91"/>
    <n v="-5"/>
    <n v="3"/>
    <n v="3.3807829181494659E-3"/>
    <n v="0.19682539682539682"/>
    <n v="-0.19344461390724735"/>
    <n v="-5.434782608695652E-2"/>
    <n v="3.2967032967032968E-2"/>
    <n v="-8.7314859053989488E-2"/>
    <n v="-0.10793650793650789"/>
    <n v="-0.98467741935483866"/>
    <n v="1.098901098901095E-2"/>
    <n v="-2.666666666666667"/>
  </r>
  <r>
    <x v="923"/>
    <n v="532369"/>
    <x v="8"/>
    <x v="159"/>
    <n v="257.7"/>
    <n v="2242.6832869999998"/>
    <n v="5.5665426405247649E-5"/>
    <n v="1037"/>
    <n v="1046"/>
    <n v="85"/>
    <n v="75"/>
    <n v="305"/>
    <n v="273"/>
    <n v="17"/>
    <n v="13"/>
    <n v="8.1967213114754092E-2"/>
    <n v="7.1701720841300193E-2"/>
    <n v="1.0265492273453899E-2"/>
    <n v="5.5737704918032788E-2"/>
    <n v="4.7619047619047616E-2"/>
    <n v="8.1186572989851713E-3"/>
    <n v="-8.6042065009560575E-3"/>
    <n v="0.1333333333333333"/>
    <n v="0.11721611721611724"/>
    <n v="0.30769230769230771"/>
  </r>
  <r>
    <x v="924"/>
    <n v="534392"/>
    <x v="4"/>
    <x v="68"/>
    <n v="229.55"/>
    <n v="2216.9668425"/>
    <n v="5.5027121006969907E-5"/>
    <n v="1296"/>
    <n v="1336"/>
    <n v="88"/>
    <n v="73"/>
    <n v="430"/>
    <n v="426"/>
    <n v="33"/>
    <n v="21"/>
    <n v="6.7901234567901231E-2"/>
    <n v="5.4640718562874252E-2"/>
    <n v="1.3260516005026979E-2"/>
    <n v="7.6744186046511634E-2"/>
    <n v="4.9295774647887321E-2"/>
    <n v="2.7448411398624313E-2"/>
    <n v="-2.9940119760479056E-2"/>
    <n v="0.20547945205479445"/>
    <n v="9.3896713615022609E-3"/>
    <n v="0.5714285714285714"/>
  </r>
  <r>
    <x v="925"/>
    <n v="543933"/>
    <x v="4"/>
    <x v="92"/>
    <n v="288.45"/>
    <n v="2287.3738649000002"/>
    <n v="5.6774686945744316E-5"/>
    <n v="892"/>
    <n v="1091"/>
    <n v="50"/>
    <n v="37"/>
    <n v="303"/>
    <n v="444"/>
    <n v="11"/>
    <n v="10"/>
    <n v="5.6053811659192827E-2"/>
    <n v="3.3913840513290557E-2"/>
    <n v="2.2139971145902271E-2"/>
    <n v="3.6303630363036306E-2"/>
    <n v="2.2522522522522521E-2"/>
    <n v="1.3781107840513784E-2"/>
    <n v="-0.18240146654445466"/>
    <n v="0.35135135135135132"/>
    <n v="-0.31756756756756754"/>
    <n v="0.10000000000000009"/>
  </r>
  <r>
    <x v="926"/>
    <n v="523301"/>
    <x v="4"/>
    <x v="137"/>
    <n v="2390.5"/>
    <n v="2162.4323245"/>
    <n v="5.3673524974988305E-5"/>
    <n v="1335"/>
    <n v="1326"/>
    <n v="76"/>
    <n v="104"/>
    <n v="464"/>
    <n v="472"/>
    <n v="25"/>
    <n v="37"/>
    <n v="5.6928838951310859E-2"/>
    <n v="7.8431372549019607E-2"/>
    <n v="-2.1502533597708748E-2"/>
    <n v="5.3879310344827583E-2"/>
    <n v="7.8389830508474576E-2"/>
    <n v="-2.4510520163646993E-2"/>
    <n v="6.7873303167420573E-3"/>
    <n v="-0.26923076923076927"/>
    <n v="-1.6949152542372836E-2"/>
    <n v="-0.32432432432432434"/>
  </r>
  <r>
    <x v="927"/>
    <n v="524743"/>
    <x v="7"/>
    <x v="122"/>
    <n v="40.47"/>
    <n v="2662.8047320000001"/>
    <n v="6.6093220429252344E-5"/>
    <n v="210"/>
    <n v="61"/>
    <n v="38"/>
    <n v="-0.42"/>
    <n v="101"/>
    <n v="11"/>
    <n v="19"/>
    <n v="-0.39"/>
    <n v="0.18095238095238095"/>
    <n v="-6.8852459016393438E-3"/>
    <n v="0.18783762685402028"/>
    <n v="0.18811881188118812"/>
    <n v="-3.5454545454545454E-2"/>
    <n v="0.22357335733573358"/>
    <n v="2.442622950819672"/>
    <n v="-91.476190476190482"/>
    <n v="8.1818181818181817"/>
    <n v="-49.717948717948715"/>
  </r>
  <r>
    <x v="928"/>
    <n v="531543"/>
    <x v="6"/>
    <x v="89"/>
    <n v="20.82"/>
    <n v="2091.4257471000001"/>
    <n v="5.1911077539159966E-5"/>
    <n v="1645"/>
    <n v="1682"/>
    <n v="43"/>
    <n v="53"/>
    <n v="532"/>
    <n v="624"/>
    <n v="14"/>
    <n v="18"/>
    <n v="2.6139817629179333E-2"/>
    <n v="3.151010701545779E-2"/>
    <n v="-5.3702893862784574E-3"/>
    <n v="2.6315789473684209E-2"/>
    <n v="2.8846153846153848E-2"/>
    <n v="-2.5303643724696387E-3"/>
    <n v="-2.199762187871579E-2"/>
    <n v="-0.18867924528301883"/>
    <n v="-0.14743589743589747"/>
    <n v="-0.22222222222222221"/>
  </r>
  <r>
    <x v="929"/>
    <n v="539301"/>
    <x v="6"/>
    <x v="35"/>
    <n v="530.5"/>
    <n v="2432.5551722999999"/>
    <n v="6.0378218228711561E-5"/>
    <n v="408"/>
    <n v="550"/>
    <n v="59"/>
    <n v="97"/>
    <n v="166"/>
    <n v="210"/>
    <n v="29"/>
    <n v="50"/>
    <n v="0.14460784313725492"/>
    <n v="0.17636363636363636"/>
    <n v="-3.1755793226381446E-2"/>
    <n v="0.1746987951807229"/>
    <n v="0.23809523809523808"/>
    <n v="-6.3396442914515183E-2"/>
    <n v="-0.25818181818181818"/>
    <n v="-0.39175257731958768"/>
    <n v="-0.20952380952380956"/>
    <n v="-0.42000000000000004"/>
  </r>
  <r>
    <x v="930"/>
    <n v="504212"/>
    <x v="4"/>
    <x v="39"/>
    <n v="691"/>
    <n v="2397.2724800000001"/>
    <n v="5.9502469912848434E-5"/>
    <n v="2182"/>
    <n v="1734"/>
    <n v="107"/>
    <n v="39"/>
    <n v="767"/>
    <n v="607"/>
    <n v="27"/>
    <n v="15"/>
    <n v="4.9037580201649861E-2"/>
    <n v="2.2491349480968859E-2"/>
    <n v="2.6546230720681002E-2"/>
    <n v="3.5202086049543675E-2"/>
    <n v="2.4711696869851731E-2"/>
    <n v="1.0490389179691945E-2"/>
    <n v="0.25836216839677051"/>
    <n v="1.7435897435897436"/>
    <n v="0.26359143327841839"/>
    <n v="0.8"/>
  </r>
  <r>
    <x v="931"/>
    <n v="524735"/>
    <x v="7"/>
    <x v="9"/>
    <n v="163.15"/>
    <n v="2011.7742662999999"/>
    <n v="4.993405578658229E-5"/>
    <n v="1193"/>
    <n v="1307"/>
    <n v="-63"/>
    <n v="40"/>
    <n v="494"/>
    <n v="447"/>
    <n v="-5"/>
    <n v="17"/>
    <n v="-5.2808046940486172E-2"/>
    <n v="3.0604437643458302E-2"/>
    <n v="-8.3412484583944471E-2"/>
    <n v="-1.0121457489878543E-2"/>
    <n v="3.803131991051454E-2"/>
    <n v="-4.8152777400393081E-2"/>
    <n v="-8.7222647283856203E-2"/>
    <n v="-2.5750000000000002"/>
    <n v="0.10514541387024612"/>
    <n v="-1.2941176470588236"/>
  </r>
  <r>
    <x v="932"/>
    <n v="531508"/>
    <x v="5"/>
    <x v="132"/>
    <n v="282"/>
    <n v="2049.7807320000002"/>
    <n v="5.0877410620325666E-5"/>
    <n v="1128"/>
    <n v="1045"/>
    <n v="30"/>
    <n v="72"/>
    <n v="367"/>
    <n v="333"/>
    <n v="7"/>
    <n v="13"/>
    <n v="2.6595744680851064E-2"/>
    <n v="6.8899521531100474E-2"/>
    <n v="-4.2303776850249414E-2"/>
    <n v="1.9073569482288829E-2"/>
    <n v="3.903903903903904E-2"/>
    <n v="-1.9965469556750211E-2"/>
    <n v="7.9425837320574066E-2"/>
    <n v="-0.58333333333333326"/>
    <n v="0.10210210210210202"/>
    <n v="-0.46153846153846156"/>
  </r>
  <r>
    <x v="933"/>
    <n v="500020"/>
    <x v="6"/>
    <x v="89"/>
    <n v="102.81"/>
    <n v="2122.3526765000001"/>
    <n v="5.2678711882553543E-5"/>
    <n v="1064"/>
    <n v="1246"/>
    <n v="6"/>
    <n v="479"/>
    <n v="324"/>
    <n v="415"/>
    <n v="-10"/>
    <n v="70"/>
    <n v="5.6390977443609019E-3"/>
    <n v="0.38443017656500805"/>
    <n v="-0.37879107882064716"/>
    <n v="-3.0864197530864196E-2"/>
    <n v="0.16867469879518071"/>
    <n v="-0.19953889632604491"/>
    <n v="-0.1460674157303371"/>
    <n v="-0.98747390396659707"/>
    <n v="-0.21927710843373494"/>
    <n v="-1.1428571428571428"/>
  </r>
  <r>
    <x v="934"/>
    <n v="543942"/>
    <x v="2"/>
    <x v="62"/>
    <n v="11.97"/>
    <n v="2126.529951"/>
    <n v="5.2782395611594621E-5"/>
    <n v="2857"/>
    <n v="3198"/>
    <n v="-962"/>
    <n v="20"/>
    <n v="901"/>
    <n v="1037"/>
    <n v="-375"/>
    <n v="-168"/>
    <n v="-0.33671683584179207"/>
    <n v="6.2539086929330832E-3"/>
    <n v="-0.34297074453472515"/>
    <n v="-0.41620421753607101"/>
    <n v="-0.16200578592092574"/>
    <n v="-0.25419843161514527"/>
    <n v="-0.10662914321450911"/>
    <n v="-49.1"/>
    <n v="-0.13114754098360659"/>
    <n v="1.2321428571428572"/>
  </r>
  <r>
    <x v="935"/>
    <n v="543288"/>
    <x v="0"/>
    <x v="160"/>
    <n v="447"/>
    <n v="2860.1422235"/>
    <n v="7.0991315346963045E-5"/>
    <n v="642"/>
    <n v="408"/>
    <n v="204"/>
    <n v="127"/>
    <n v="221"/>
    <n v="154"/>
    <n v="71"/>
    <n v="47"/>
    <n v="0.31775700934579437"/>
    <n v="0.31127450980392157"/>
    <n v="6.4824995418727993E-3"/>
    <n v="0.32126696832579188"/>
    <n v="0.30519480519480519"/>
    <n v="1.6072163130986694E-2"/>
    <n v="0.57352941176470584"/>
    <n v="0.60629921259842523"/>
    <n v="0.43506493506493515"/>
    <n v="0.5106382978723405"/>
  </r>
  <r>
    <x v="936"/>
    <n v="503811"/>
    <x v="6"/>
    <x v="89"/>
    <n v="500"/>
    <n v="2275.0832184000001"/>
    <n v="5.6469621989767462E-5"/>
    <n v="1719"/>
    <n v="1485"/>
    <n v="133"/>
    <n v="125"/>
    <n v="624"/>
    <n v="570"/>
    <n v="41"/>
    <n v="45"/>
    <n v="7.7370564281559043E-2"/>
    <n v="8.4175084175084181E-2"/>
    <n v="-6.8045198935251378E-3"/>
    <n v="6.5705128205128208E-2"/>
    <n v="7.8947368421052627E-2"/>
    <n v="-1.324224021592442E-2"/>
    <n v="0.15757575757575748"/>
    <n v="6.4000000000000057E-2"/>
    <n v="9.473684210526323E-2"/>
    <n v="-8.8888888888888906E-2"/>
  </r>
  <r>
    <x v="937"/>
    <n v="504036"/>
    <x v="4"/>
    <x v="92"/>
    <n v="684.7"/>
    <n v="2342.2818265999999"/>
    <n v="5.8137552187925738E-5"/>
    <n v="719"/>
    <n v="470"/>
    <n v="40"/>
    <n v="27"/>
    <n v="277"/>
    <n v="168"/>
    <n v="12"/>
    <n v="10"/>
    <n v="5.5632823365785816E-2"/>
    <n v="5.7446808510638298E-2"/>
    <n v="-1.8139851448524813E-3"/>
    <n v="4.3321299638989168E-2"/>
    <n v="5.9523809523809521E-2"/>
    <n v="-1.6202509884820353E-2"/>
    <n v="0.52978723404255312"/>
    <n v="0.4814814814814814"/>
    <n v="0.64880952380952372"/>
    <n v="0.19999999999999996"/>
  </r>
  <r>
    <x v="938"/>
    <n v="544119"/>
    <x v="3"/>
    <x v="152"/>
    <n v="365.05"/>
    <n v="2419.5063438000002"/>
    <n v="6.005433451015357E-5"/>
    <n v="11337"/>
    <n v="10799"/>
    <n v="195"/>
    <n v="156"/>
    <n v="4030"/>
    <n v="2826"/>
    <n v="74"/>
    <n v="32"/>
    <n v="1.7200317544323895E-2"/>
    <n v="1.4445782016853412E-2"/>
    <n v="2.7545355274704829E-3"/>
    <n v="1.836228287841191E-2"/>
    <n v="1.132342533616419E-2"/>
    <n v="7.0388575422477197E-3"/>
    <n v="4.9819427724789422E-2"/>
    <n v="0.25"/>
    <n v="0.42604387827317769"/>
    <n v="1.3125"/>
  </r>
  <r>
    <x v="939"/>
    <n v="506690"/>
    <x v="7"/>
    <x v="9"/>
    <n v="299"/>
    <n v="2105.132224"/>
    <n v="5.2251284685472094E-5"/>
    <n v="1627"/>
    <n v="1524"/>
    <n v="242"/>
    <n v="84"/>
    <n v="521"/>
    <n v="533"/>
    <n v="264"/>
    <n v="58"/>
    <n v="0.14874001229256301"/>
    <n v="5.5118110236220472E-2"/>
    <n v="9.3621902056342535E-2"/>
    <n v="0.50671785028790783"/>
    <n v="0.10881801125703565"/>
    <n v="0.39789983903087217"/>
    <n v="6.7585301837270295E-2"/>
    <n v="1.8809523809523809"/>
    <n v="-2.2514071294559068E-2"/>
    <n v="3.5517241379310347"/>
  </r>
  <r>
    <x v="940"/>
    <n v="506022"/>
    <x v="8"/>
    <x v="18"/>
    <n v="126.05"/>
    <n v="2252.6699785000001"/>
    <n v="5.5913305115517438E-5"/>
    <n v="2558"/>
    <n v="3169"/>
    <n v="239"/>
    <n v="264"/>
    <n v="798"/>
    <n v="925"/>
    <n v="86"/>
    <n v="83"/>
    <n v="9.3432369038311175E-2"/>
    <n v="8.3307036920164085E-2"/>
    <n v="1.012533211814709E-2"/>
    <n v="0.10776942355889724"/>
    <n v="8.9729729729729729E-2"/>
    <n v="1.8039693829167508E-2"/>
    <n v="-0.19280530135689489"/>
    <n v="-9.4696969696969724E-2"/>
    <n v="-0.13729729729729734"/>
    <n v="3.6144578313253017E-2"/>
  </r>
  <r>
    <x v="941"/>
    <n v="535322"/>
    <x v="2"/>
    <x v="64"/>
    <n v="364.55"/>
    <n v="2291.9354616999999"/>
    <n v="5.6887909901670678E-5"/>
    <n v="1340"/>
    <n v="1286"/>
    <n v="320"/>
    <n v="321"/>
    <n v="457"/>
    <n v="445"/>
    <n v="109"/>
    <n v="107"/>
    <n v="0.23880597014925373"/>
    <n v="0.24961119751166408"/>
    <n v="-1.0805227362410352E-2"/>
    <n v="0.23851203501094093"/>
    <n v="0.24044943820224718"/>
    <n v="-1.9374031913062528E-3"/>
    <n v="4.1990668740280013E-2"/>
    <n v="-3.1152647975077885E-3"/>
    <n v="2.6966292134831482E-2"/>
    <n v="1.8691588785046731E-2"/>
  </r>
  <r>
    <x v="942"/>
    <n v="544379"/>
    <x v="0"/>
    <x v="14"/>
    <n v="158.05000000000001"/>
    <n v="2316.8763568999998"/>
    <n v="5.7506965465282497E-5"/>
    <n v="4"/>
    <n v="2"/>
    <n v="0.49"/>
    <n v="-0.93"/>
    <n v="1"/>
    <n v="1"/>
    <n v="0.22"/>
    <n v="-0.09"/>
    <n v="0.1225"/>
    <n v="-0.46500000000000002"/>
    <n v="0.58750000000000002"/>
    <n v="0.22"/>
    <n v="-0.09"/>
    <n v="0.31"/>
    <n v="1"/>
    <n v="-1.5268817204301075"/>
    <n v="0"/>
    <n v="-3.4444444444444446"/>
  </r>
  <r>
    <x v="943"/>
    <n v="544095"/>
    <x v="6"/>
    <x v="51"/>
    <n v="217.8"/>
    <n v="2096.2413909000002"/>
    <n v="5.2030606171266273E-5"/>
    <n v="1303"/>
    <n v="1527"/>
    <n v="3"/>
    <n v="17"/>
    <n v="427"/>
    <n v="376"/>
    <n v="25"/>
    <n v="25"/>
    <n v="2.3023791250959325E-3"/>
    <n v="1.1132940406024885E-2"/>
    <n v="-8.8305612809289526E-3"/>
    <n v="5.8548009367681501E-2"/>
    <n v="6.6489361702127658E-2"/>
    <n v="-7.941352334446157E-3"/>
    <n v="-0.14669286182056318"/>
    <n v="-0.82352941176470584"/>
    <n v="0.1356382978723405"/>
    <n v="0"/>
  </r>
  <r>
    <x v="944"/>
    <n v="500730"/>
    <x v="8"/>
    <x v="34"/>
    <n v="161.6"/>
    <n v="2696.7841475"/>
    <n v="6.6936620236872425E-5"/>
    <n v="973"/>
    <n v="1053"/>
    <n v="39"/>
    <n v="82"/>
    <n v="316"/>
    <n v="318"/>
    <n v="9"/>
    <n v="13"/>
    <n v="4.0082219938335044E-2"/>
    <n v="7.7872744539411204E-2"/>
    <n v="-3.779052460107616E-2"/>
    <n v="2.8481012658227847E-2"/>
    <n v="4.0880503144654086E-2"/>
    <n v="-1.2399490486426239E-2"/>
    <n v="-7.5973409306742679E-2"/>
    <n v="-0.52439024390243905"/>
    <n v="-6.2893081761006275E-3"/>
    <n v="-0.30769230769230771"/>
  </r>
  <r>
    <x v="945"/>
    <n v="544021"/>
    <x v="3"/>
    <x v="82"/>
    <n v="498"/>
    <n v="2024.5404579000001"/>
    <n v="5.0250924201799178E-5"/>
    <n v="690"/>
    <n v="618"/>
    <n v="70"/>
    <n v="72"/>
    <n v="229"/>
    <n v="228"/>
    <n v="22"/>
    <n v="23"/>
    <n v="0.10144927536231885"/>
    <n v="0.11650485436893204"/>
    <n v="-1.5055579006613196E-2"/>
    <n v="9.606986899563319E-2"/>
    <n v="0.10087719298245613"/>
    <n v="-4.807323986822945E-3"/>
    <n v="0.11650485436893199"/>
    <n v="-2.777777777777779E-2"/>
    <n v="4.3859649122806044E-3"/>
    <n v="-4.3478260869565188E-2"/>
  </r>
  <r>
    <x v="946"/>
    <n v="500285"/>
    <x v="10"/>
    <x v="30"/>
    <n v="10.59"/>
    <n v="1614.6127303000001"/>
    <n v="4.0076147458038571E-5"/>
    <n v="3320"/>
    <n v="3860"/>
    <n v="-111"/>
    <n v="-27"/>
    <n v="1345"/>
    <n v="1178"/>
    <n v="-261"/>
    <n v="20"/>
    <n v="-3.3433734939759034E-2"/>
    <n v="-6.9948186528497412E-3"/>
    <n v="-2.6438916286909295E-2"/>
    <n v="-0.19405204460966544"/>
    <n v="1.6977928692699491E-2"/>
    <n v="-0.21102997330236492"/>
    <n v="-0.13989637305699487"/>
    <n v="3.1111111111111107"/>
    <n v="0.14176570458404081"/>
    <n v="-14.05"/>
  </r>
  <r>
    <x v="947"/>
    <n v="517498"/>
    <x v="4"/>
    <x v="60"/>
    <n v="76.08"/>
    <n v="3304.4176637999999"/>
    <n v="8.2018633367761517E-5"/>
    <n v="648"/>
    <n v="402"/>
    <n v="178"/>
    <n v="106"/>
    <n v="261"/>
    <n v="147"/>
    <n v="65"/>
    <n v="42"/>
    <n v="0.27469135802469136"/>
    <n v="0.26368159203980102"/>
    <n v="1.1009765984890341E-2"/>
    <n v="0.24904214559386972"/>
    <n v="0.2857142857142857"/>
    <n v="-3.6672140120415975E-2"/>
    <n v="0.61194029850746268"/>
    <n v="0.679245283018868"/>
    <n v="0.77551020408163263"/>
    <n v="0.54761904761904767"/>
  </r>
  <r>
    <x v="948"/>
    <n v="500288"/>
    <x v="7"/>
    <x v="9"/>
    <n v="38.090000000000003"/>
    <n v="2087.7035132999999"/>
    <n v="5.1818688331616441E-5"/>
    <n v="1320"/>
    <n v="1345"/>
    <n v="79"/>
    <n v="97"/>
    <n v="484"/>
    <n v="452"/>
    <n v="27"/>
    <n v="26"/>
    <n v="5.9848484848484845E-2"/>
    <n v="7.2118959107806691E-2"/>
    <n v="-1.2270474259321845E-2"/>
    <n v="5.578512396694215E-2"/>
    <n v="5.7522123893805309E-2"/>
    <n v="-1.7369999268631586E-3"/>
    <n v="-1.8587360594795488E-2"/>
    <n v="-0.18556701030927836"/>
    <n v="7.079646017699126E-2"/>
    <n v="3.8461538461538547E-2"/>
  </r>
  <r>
    <x v="949"/>
    <n v="506235"/>
    <x v="6"/>
    <x v="35"/>
    <n v="79.53"/>
    <n v="2043.9830887999999"/>
    <n v="5.0733507875455609E-5"/>
    <n v="179"/>
    <n v="161"/>
    <n v="116"/>
    <n v="120"/>
    <n v="74"/>
    <n v="57"/>
    <n v="22"/>
    <n v="26"/>
    <n v="0.64804469273743015"/>
    <n v="0.74534161490683226"/>
    <n v="-9.7296922169402111E-2"/>
    <n v="0.29729729729729731"/>
    <n v="0.45614035087719296"/>
    <n v="-0.15884305357989564"/>
    <n v="0.11180124223602483"/>
    <n v="-3.3333333333333326E-2"/>
    <n v="0.29824561403508776"/>
    <n v="-0.15384615384615385"/>
  </r>
  <r>
    <x v="950"/>
    <n v="517467"/>
    <x v="4"/>
    <x v="60"/>
    <n v="140.44999999999999"/>
    <m/>
    <n v="0"/>
    <n v="155"/>
    <n v="117"/>
    <n v="23"/>
    <n v="19"/>
    <n v="45"/>
    <n v="44"/>
    <n v="6"/>
    <n v="6"/>
    <n v="0.14838709677419354"/>
    <n v="0.1623931623931624"/>
    <n v="-1.400606561896886E-2"/>
    <n v="0.13333333333333333"/>
    <n v="0.13636363636363635"/>
    <n v="-3.0303030303030221E-3"/>
    <n v="0.32478632478632474"/>
    <n v="0.21052631578947367"/>
    <n v="2.2727272727272707E-2"/>
    <n v="0"/>
  </r>
  <r>
    <x v="951"/>
    <n v="532661"/>
    <x v="6"/>
    <x v="52"/>
    <n v="679.8"/>
    <n v="1877.5283589999999"/>
    <n v="4.6601951018900108E-5"/>
    <n v="2815"/>
    <n v="2504"/>
    <n v="71"/>
    <n v="31"/>
    <n v="1015"/>
    <n v="837"/>
    <n v="31"/>
    <n v="0.39"/>
    <n v="2.522202486678508E-2"/>
    <n v="1.2380191693290734E-2"/>
    <n v="1.2841833173494346E-2"/>
    <n v="3.0541871921182268E-2"/>
    <n v="4.6594982078853047E-4"/>
    <n v="3.0075922100393736E-2"/>
    <n v="0.12420127795527147"/>
    <n v="1.2903225806451615"/>
    <n v="0.21266427718040615"/>
    <n v="78.487179487179489"/>
  </r>
  <r>
    <x v="952"/>
    <n v="507488"/>
    <x v="5"/>
    <x v="55"/>
    <n v="1055"/>
    <n v="2407.2657814999998"/>
    <n v="5.9750512689293169E-5"/>
    <n v="2164"/>
    <n v="1840"/>
    <n v="102"/>
    <n v="68"/>
    <n v="808"/>
    <n v="644"/>
    <n v="42"/>
    <n v="21"/>
    <n v="4.7134935304990758E-2"/>
    <n v="3.6956521739130437E-2"/>
    <n v="1.0178413565860321E-2"/>
    <n v="5.1980198019801978E-2"/>
    <n v="3.2608695652173912E-2"/>
    <n v="1.9371502367628066E-2"/>
    <n v="0.17608695652173911"/>
    <n v="0.5"/>
    <n v="0.25465838509316763"/>
    <n v="1"/>
  </r>
  <r>
    <x v="953"/>
    <n v="544396"/>
    <x v="3"/>
    <x v="82"/>
    <n v="1125"/>
    <n v="2343.1961488000002"/>
    <n v="5.8160246491410242E-5"/>
    <n v="132"/>
    <n v="146"/>
    <n v="28"/>
    <n v="39"/>
    <n v="52"/>
    <n v="21"/>
    <n v="11"/>
    <n v="5"/>
    <n v="0.21212121212121213"/>
    <n v="0.26712328767123289"/>
    <n v="-5.5002075550020763E-2"/>
    <n v="0.21153846153846154"/>
    <n v="0.23809523809523808"/>
    <n v="-2.6556776556776546E-2"/>
    <n v="-9.589041095890416E-2"/>
    <n v="-0.28205128205128205"/>
    <n v="1.4761904761904763"/>
    <n v="1.2000000000000002"/>
  </r>
  <r>
    <x v="954"/>
    <n v="500412"/>
    <x v="8"/>
    <x v="61"/>
    <n v="173.4"/>
    <n v="2092.0714748"/>
    <n v="5.1927105084364651E-5"/>
    <n v="1311"/>
    <n v="1526"/>
    <n v="-139"/>
    <n v="-32"/>
    <n v="415"/>
    <n v="446"/>
    <n v="-46"/>
    <n v="-42"/>
    <n v="-0.10602593440122045"/>
    <n v="-2.0969855832241154E-2"/>
    <n v="-8.5056078568979288E-2"/>
    <n v="-0.1108433734939759"/>
    <n v="-9.417040358744394E-2"/>
    <n v="-1.6672969906531956E-2"/>
    <n v="-0.14089121887287026"/>
    <n v="3.34375"/>
    <n v="-6.9506726457399082E-2"/>
    <n v="9.5238095238095344E-2"/>
  </r>
  <r>
    <x v="955"/>
    <n v="522215"/>
    <x v="4"/>
    <x v="92"/>
    <n v="270.55"/>
    <n v="1879.0981764000001"/>
    <n v="4.6640915305768394E-5"/>
    <n v="961"/>
    <n v="693"/>
    <n v="36"/>
    <n v="30"/>
    <n v="326"/>
    <n v="231"/>
    <n v="4"/>
    <n v="10"/>
    <n v="3.7460978147762745E-2"/>
    <n v="4.3290043290043288E-2"/>
    <n v="-5.8290651422805428E-3"/>
    <n v="1.2269938650306749E-2"/>
    <n v="4.3290043290043288E-2"/>
    <n v="-3.1020104639736541E-2"/>
    <n v="0.3867243867243868"/>
    <n v="0.19999999999999996"/>
    <n v="0.41125541125541121"/>
    <n v="-0.6"/>
  </r>
  <r>
    <x v="956"/>
    <n v="526947"/>
    <x v="6"/>
    <x v="161"/>
    <n v="180.7"/>
    <n v="1994.3369795999999"/>
    <n v="4.9501246568654565E-5"/>
    <n v="240"/>
    <n v="254"/>
    <n v="76"/>
    <n v="70"/>
    <n v="84"/>
    <n v="91"/>
    <n v="24"/>
    <n v="23"/>
    <n v="0.31666666666666665"/>
    <n v="0.27559055118110237"/>
    <n v="4.107611548556428E-2"/>
    <n v="0.2857142857142857"/>
    <n v="0.25274725274725274"/>
    <n v="3.2967032967032961E-2"/>
    <n v="-5.5118110236220486E-2"/>
    <n v="8.5714285714285632E-2"/>
    <n v="-7.6923076923076872E-2"/>
    <n v="4.3478260869565188E-2"/>
  </r>
  <r>
    <x v="957"/>
    <n v="505744"/>
    <x v="6"/>
    <x v="52"/>
    <n v="421.35"/>
    <n v="2346.5627536000002"/>
    <n v="5.824380866571112E-5"/>
    <n v="1469"/>
    <n v="1341"/>
    <n v="127"/>
    <n v="108"/>
    <n v="495"/>
    <n v="433"/>
    <n v="30"/>
    <n v="30"/>
    <n v="8.6453369639210353E-2"/>
    <n v="8.0536912751677847E-2"/>
    <n v="5.9164568875325063E-3"/>
    <n v="6.0606060606060608E-2"/>
    <n v="6.9284064665127015E-2"/>
    <n v="-8.6780040590664076E-3"/>
    <n v="9.5451155853840453E-2"/>
    <n v="0.17592592592592582"/>
    <n v="0.14318706697459582"/>
    <n v="0"/>
  </r>
  <r>
    <x v="958"/>
    <n v="530073"/>
    <x v="10"/>
    <x v="116"/>
    <n v="279.8"/>
    <n v="2411.9204737"/>
    <n v="5.9866046357198989E-5"/>
    <n v="739"/>
    <n v="548"/>
    <n v="115"/>
    <n v="102"/>
    <n v="235"/>
    <n v="207"/>
    <n v="28"/>
    <n v="33"/>
    <n v="0.15561569688768606"/>
    <n v="0.18613138686131386"/>
    <n v="-3.0515689973627802E-2"/>
    <n v="0.11914893617021277"/>
    <n v="0.15942028985507245"/>
    <n v="-4.0271353684859679E-2"/>
    <n v="0.3485401459854014"/>
    <n v="0.12745098039215685"/>
    <n v="0.13526570048309172"/>
    <n v="-0.15151515151515149"/>
  </r>
  <r>
    <x v="959"/>
    <n v="514234"/>
    <x v="6"/>
    <x v="89"/>
    <n v="440.75"/>
    <n v="2173.1264589000002"/>
    <n v="5.3938963057512811E-5"/>
    <n v="2350"/>
    <n v="2122"/>
    <n v="49"/>
    <n v="22"/>
    <n v="774"/>
    <n v="753"/>
    <n v="24"/>
    <n v="2"/>
    <n v="2.0851063829787235E-2"/>
    <n v="1.0367577756833177E-2"/>
    <n v="1.0483486072954058E-2"/>
    <n v="3.1007751937984496E-2"/>
    <n v="2.6560424966799467E-3"/>
    <n v="2.8351709441304548E-2"/>
    <n v="0.10744580584354391"/>
    <n v="1.2272727272727271"/>
    <n v="2.7888446215139417E-2"/>
    <n v="11"/>
  </r>
  <r>
    <x v="960"/>
    <n v="526783"/>
    <x v="7"/>
    <x v="47"/>
    <n v="4787.5"/>
    <n v="2313.7159262"/>
    <n v="5.7428520718509957E-5"/>
    <n v="351"/>
    <n v="297"/>
    <n v="54"/>
    <n v="39"/>
    <n v="116"/>
    <n v="95"/>
    <n v="17"/>
    <n v="10"/>
    <n v="0.15384615384615385"/>
    <n v="0.13131313131313133"/>
    <n v="2.2533022533022529E-2"/>
    <n v="0.14655172413793102"/>
    <n v="0.10526315789473684"/>
    <n v="4.1288566243194186E-2"/>
    <n v="0.18181818181818188"/>
    <n v="0.38461538461538458"/>
    <n v="0.22105263157894739"/>
    <n v="0.7"/>
  </r>
  <r>
    <x v="961"/>
    <n v="511551"/>
    <x v="2"/>
    <x v="78"/>
    <n v="277.3"/>
    <n v="2195.7321870000001"/>
    <n v="5.4500057662882109E-5"/>
    <n v="273"/>
    <n v="266"/>
    <n v="135"/>
    <n v="124"/>
    <n v="91"/>
    <n v="76"/>
    <n v="45"/>
    <n v="40"/>
    <n v="0.49450549450549453"/>
    <n v="0.46616541353383456"/>
    <n v="2.8340080971659964E-2"/>
    <n v="0.49450549450549453"/>
    <n v="0.52631578947368418"/>
    <n v="-3.1810294968189656E-2"/>
    <n v="2.6315789473684292E-2"/>
    <n v="8.870967741935476E-2"/>
    <n v="0.19736842105263164"/>
    <n v="0.125"/>
  </r>
  <r>
    <x v="962"/>
    <n v="534600"/>
    <x v="4"/>
    <x v="68"/>
    <n v="49.58"/>
    <n v="1948.1119679000001"/>
    <n v="4.8353899994225815E-5"/>
    <n v="1443"/>
    <n v="1446"/>
    <n v="65"/>
    <n v="81"/>
    <n v="470"/>
    <n v="451"/>
    <n v="26"/>
    <n v="24"/>
    <n v="4.5045045045045043E-2"/>
    <n v="5.6016597510373446E-2"/>
    <n v="-1.0971552465328403E-2"/>
    <n v="5.5319148936170209E-2"/>
    <n v="5.3215077605321508E-2"/>
    <n v="2.1040713308487016E-3"/>
    <n v="-2.0746887966804906E-3"/>
    <n v="-0.19753086419753085"/>
    <n v="4.2128603104212958E-2"/>
    <n v="8.3333333333333259E-2"/>
  </r>
  <r>
    <x v="963"/>
    <n v="542333"/>
    <x v="10"/>
    <x v="115"/>
    <n v="1113"/>
    <n v="3679.5384632"/>
    <n v="9.1329470690676992E-5"/>
    <n v="8396"/>
    <n v="7067"/>
    <n v="74"/>
    <n v="152"/>
    <n v="2756"/>
    <n v="2385"/>
    <n v="-136"/>
    <n v="-46"/>
    <n v="8.8137208194378272E-3"/>
    <n v="2.1508419414178578E-2"/>
    <n v="-1.269469859474075E-2"/>
    <n v="-4.9346879535558781E-2"/>
    <n v="-1.9287211740041929E-2"/>
    <n v="-3.0059667795516852E-2"/>
    <n v="0.18805716711475884"/>
    <n v="-0.51315789473684204"/>
    <n v="0.15555555555555545"/>
    <n v="1.9565217391304346"/>
  </r>
  <r>
    <x v="964"/>
    <n v="539199"/>
    <x v="2"/>
    <x v="4"/>
    <n v="450"/>
    <n v="2937.0244499999999"/>
    <n v="7.2899601704611071E-5"/>
    <n v="228"/>
    <n v="116"/>
    <n v="85"/>
    <n v="57"/>
    <n v="86"/>
    <n v="42"/>
    <n v="32"/>
    <n v="23"/>
    <n v="0.37280701754385964"/>
    <n v="0.49137931034482757"/>
    <n v="-0.11857229280096793"/>
    <n v="0.37209302325581395"/>
    <n v="0.54761904761904767"/>
    <n v="-0.17552602436323372"/>
    <n v="0.96551724137931028"/>
    <n v="0.49122807017543857"/>
    <n v="1.0476190476190474"/>
    <n v="0.39130434782608692"/>
  </r>
  <r>
    <x v="965"/>
    <n v="543528"/>
    <x v="4"/>
    <x v="68"/>
    <n v="1010.15"/>
    <n v="2050.8661662999998"/>
    <n v="5.0904352080804994E-5"/>
    <n v="864"/>
    <n v="700"/>
    <n v="76"/>
    <n v="69"/>
    <n v="296"/>
    <n v="231"/>
    <n v="25"/>
    <n v="17"/>
    <n v="8.7962962962962965E-2"/>
    <n v="9.8571428571428574E-2"/>
    <n v="-1.0608465608465609E-2"/>
    <n v="8.4459459459459457E-2"/>
    <n v="7.3593073593073599E-2"/>
    <n v="1.0866385866385858E-2"/>
    <n v="0.23428571428571421"/>
    <n v="0.10144927536231885"/>
    <n v="0.28138528138528129"/>
    <n v="0.47058823529411775"/>
  </r>
  <r>
    <x v="966"/>
    <n v="533267"/>
    <x v="6"/>
    <x v="84"/>
    <n v="230.6"/>
    <n v="1927.9399530000001"/>
    <n v="4.7853212350379513E-5"/>
    <n v="599"/>
    <n v="501"/>
    <n v="66"/>
    <n v="52"/>
    <n v="264"/>
    <n v="222"/>
    <n v="45"/>
    <n v="34"/>
    <n v="0.11018363939899833"/>
    <n v="0.10379241516966067"/>
    <n v="6.3912242293376609E-3"/>
    <n v="0.17045454545454544"/>
    <n v="0.15315315315315314"/>
    <n v="1.7301392301392299E-2"/>
    <n v="0.1956087824351298"/>
    <n v="0.26923076923076916"/>
    <n v="0.18918918918918926"/>
    <n v="0.32352941176470584"/>
  </r>
  <r>
    <x v="967"/>
    <n v="532390"/>
    <x v="6"/>
    <x v="57"/>
    <n v="323.35000000000002"/>
    <n v="2027.4523939999999"/>
    <n v="5.0323201087978753E-5"/>
    <n v="349"/>
    <n v="324"/>
    <n v="73"/>
    <n v="66"/>
    <n v="136"/>
    <n v="126"/>
    <n v="29"/>
    <n v="33"/>
    <n v="0.20916905444126074"/>
    <n v="0.20370370370370369"/>
    <n v="5.4653507375570509E-3"/>
    <n v="0.21323529411764705"/>
    <n v="0.26190476190476192"/>
    <n v="-4.8669467787114867E-2"/>
    <n v="7.7160493827160392E-2"/>
    <n v="0.10606060606060597"/>
    <n v="7.9365079365079305E-2"/>
    <n v="-0.12121212121212122"/>
  </r>
  <r>
    <x v="968"/>
    <n v="519183"/>
    <x v="5"/>
    <x v="25"/>
    <n v="178"/>
    <n v="1953.4846447"/>
    <n v="4.848725468890927E-5"/>
    <n v="486"/>
    <n v="430"/>
    <n v="64"/>
    <n v="52"/>
    <n v="191"/>
    <n v="147"/>
    <n v="22"/>
    <n v="18"/>
    <n v="0.13168724279835392"/>
    <n v="0.12093023255813953"/>
    <n v="1.0757010240214387E-2"/>
    <n v="0.11518324607329843"/>
    <n v="0.12244897959183673"/>
    <n v="-7.265733518538306E-3"/>
    <n v="0.13023255813953494"/>
    <n v="0.23076923076923084"/>
    <n v="0.29931972789115657"/>
    <n v="0.22222222222222232"/>
  </r>
  <r>
    <x v="969"/>
    <n v="517300"/>
    <x v="9"/>
    <x v="12"/>
    <n v="131.65"/>
    <n v="2044.8143517999999"/>
    <n v="5.0754140574516656E-5"/>
    <n v="1062"/>
    <n v="918"/>
    <n v="75"/>
    <n v="141"/>
    <n v="369"/>
    <n v="321"/>
    <n v="-3"/>
    <n v="39"/>
    <n v="7.0621468926553674E-2"/>
    <n v="0.15359477124183007"/>
    <n v="-8.2973302315276401E-2"/>
    <n v="-8.130081300813009E-3"/>
    <n v="0.12149532710280374"/>
    <n v="-0.12962540840361675"/>
    <n v="0.15686274509803932"/>
    <n v="-0.46808510638297873"/>
    <n v="0.14953271028037385"/>
    <n v="-1.0769230769230769"/>
  </r>
  <r>
    <x v="970"/>
    <n v="517522"/>
    <x v="6"/>
    <x v="52"/>
    <n v="368.45"/>
    <n v="1877.0035622"/>
    <n v="4.6588925087946129E-5"/>
    <n v="845"/>
    <n v="684"/>
    <n v="54"/>
    <n v="43"/>
    <n v="302"/>
    <n v="218"/>
    <n v="20"/>
    <n v="9"/>
    <n v="6.3905325443786978E-2"/>
    <n v="6.2865497076023388E-2"/>
    <n v="1.03982836776359E-3"/>
    <n v="6.6225165562913912E-2"/>
    <n v="4.1284403669724773E-2"/>
    <n v="2.4940761893189139E-2"/>
    <n v="0.23538011695906436"/>
    <n v="0.2558139534883721"/>
    <n v="0.3853211009174311"/>
    <n v="1.2222222222222223"/>
  </r>
  <r>
    <x v="971"/>
    <n v="522064"/>
    <x v="4"/>
    <x v="92"/>
    <n v="2012.3"/>
    <n v="2054.7811443000001"/>
    <n v="5.1001525373619197E-5"/>
    <n v="600"/>
    <n v="525"/>
    <n v="37"/>
    <n v="43"/>
    <n v="270"/>
    <n v="204"/>
    <n v="16"/>
    <n v="19"/>
    <n v="6.1666666666666668E-2"/>
    <n v="8.1904761904761911E-2"/>
    <n v="-2.0238095238095243E-2"/>
    <n v="5.9259259259259262E-2"/>
    <n v="9.3137254901960786E-2"/>
    <n v="-3.3877995642701525E-2"/>
    <n v="0.14285714285714279"/>
    <n v="-0.13953488372093026"/>
    <n v="0.32352941176470584"/>
    <n v="-0.15789473684210531"/>
  </r>
  <r>
    <x v="972"/>
    <n v="522029"/>
    <x v="4"/>
    <x v="92"/>
    <n v="232.6"/>
    <n v="2062.4790194000002"/>
    <n v="5.1192593591918119E-5"/>
    <n v="385"/>
    <n v="247"/>
    <n v="-10"/>
    <n v="0.79"/>
    <n v="135"/>
    <n v="107"/>
    <n v="-3"/>
    <n v="41"/>
    <n v="-2.5974025974025976E-2"/>
    <n v="3.1983805668016198E-3"/>
    <n v="-2.9172406540827596E-2"/>
    <n v="-2.2222222222222223E-2"/>
    <n v="0.38317757009345793"/>
    <n v="-0.40539979231568013"/>
    <n v="0.55870445344129549"/>
    <n v="-13.658227848101266"/>
    <n v="0.26168224299065423"/>
    <n v="-1.0731707317073171"/>
  </r>
  <r>
    <x v="973"/>
    <n v="524164"/>
    <x v="7"/>
    <x v="9"/>
    <n v="78.42"/>
    <n v="2300.9612705999998"/>
    <n v="5.7111938637240764E-5"/>
    <n v="1700"/>
    <n v="1551"/>
    <n v="84"/>
    <n v="70"/>
    <n v="580"/>
    <n v="523"/>
    <n v="21"/>
    <n v="20"/>
    <n v="4.9411764705882349E-2"/>
    <n v="4.5132172791747263E-2"/>
    <n v="4.2795919141350863E-3"/>
    <n v="3.6206896551724141E-2"/>
    <n v="3.8240917782026769E-2"/>
    <n v="-2.0340212303026281E-3"/>
    <n v="9.6067053513862133E-2"/>
    <n v="0.19999999999999996"/>
    <n v="0.10898661567877621"/>
    <n v="5.0000000000000044E-2"/>
  </r>
  <r>
    <x v="974"/>
    <n v="540136"/>
    <x v="4"/>
    <x v="92"/>
    <n v="297"/>
    <n v="1911.0100468000001"/>
    <n v="4.7432996775096703E-5"/>
    <n v="1291"/>
    <n v="1207"/>
    <n v="60"/>
    <n v="56"/>
    <n v="473"/>
    <n v="392"/>
    <n v="19"/>
    <n v="18"/>
    <n v="4.6475600309837335E-2"/>
    <n v="4.6396023198011602E-2"/>
    <n v="7.9577111825733515E-5"/>
    <n v="4.0169133192389003E-2"/>
    <n v="4.5918367346938778E-2"/>
    <n v="-5.7492341545497747E-3"/>
    <n v="6.9594034797017423E-2"/>
    <n v="7.1428571428571397E-2"/>
    <n v="0.20663265306122458"/>
    <n v="5.555555555555558E-2"/>
  </r>
  <r>
    <x v="975"/>
    <n v="544261"/>
    <x v="6"/>
    <x v="35"/>
    <n v="104.11"/>
    <n v="1939.0696393000001"/>
    <n v="4.8129461224769124E-5"/>
    <n v="629"/>
    <n v="560"/>
    <n v="114"/>
    <n v="123"/>
    <n v="199"/>
    <n v="264"/>
    <n v="40"/>
    <n v="45"/>
    <n v="0.18124006359300476"/>
    <n v="0.21964285714285714"/>
    <n v="-3.8402793549852376E-2"/>
    <n v="0.20100502512562815"/>
    <n v="0.17045454545454544"/>
    <n v="3.0550479671082709E-2"/>
    <n v="0.12321428571428572"/>
    <n v="-7.3170731707317027E-2"/>
    <n v="-0.24621212121212122"/>
    <n v="-0.11111111111111116"/>
  </r>
  <r>
    <x v="976"/>
    <n v="538920"/>
    <x v="10"/>
    <x v="103"/>
    <n v="133.30000000000001"/>
    <n v="1941.589369"/>
    <n v="4.8192003193574754E-5"/>
    <n v="387"/>
    <n v="203"/>
    <n v="51"/>
    <n v="24"/>
    <n v="150"/>
    <n v="88"/>
    <n v="19"/>
    <n v="12"/>
    <n v="0.13178294573643412"/>
    <n v="0.11822660098522167"/>
    <n v="1.3556344751212451E-2"/>
    <n v="0.12666666666666668"/>
    <n v="0.13636363636363635"/>
    <n v="-9.6969696969696761E-3"/>
    <n v="0.90640394088669951"/>
    <n v="1.125"/>
    <n v="0.70454545454545459"/>
    <n v="0.58333333333333326"/>
  </r>
  <r>
    <x v="977"/>
    <n v="543328"/>
    <x v="7"/>
    <x v="98"/>
    <n v="563.45000000000005"/>
    <n v="1835.7612716000001"/>
    <n v="4.5565254155235365E-5"/>
    <n v="580"/>
    <n v="531"/>
    <n v="59"/>
    <n v="56"/>
    <n v="181"/>
    <n v="174"/>
    <n v="15"/>
    <n v="19"/>
    <n v="0.10172413793103448"/>
    <n v="0.10546139359698682"/>
    <n v="-3.7372556659523437E-3"/>
    <n v="8.2872928176795577E-2"/>
    <n v="0.10919540229885058"/>
    <n v="-2.6322474122055003E-2"/>
    <n v="9.227871939736354E-2"/>
    <n v="5.3571428571428603E-2"/>
    <n v="4.022988505747116E-2"/>
    <n v="-0.21052631578947367"/>
  </r>
  <r>
    <x v="978"/>
    <n v="541540"/>
    <x v="7"/>
    <x v="9"/>
    <n v="471.35"/>
    <n v="2063.7522678"/>
    <n v="5.1224196768129679E-5"/>
    <n v="982"/>
    <n v="1011"/>
    <n v="-17"/>
    <n v="3"/>
    <n v="349"/>
    <n v="300"/>
    <n v="-17"/>
    <n v="8"/>
    <n v="-1.7311608961303463E-2"/>
    <n v="2.967359050445104E-3"/>
    <n v="-2.0278968011748569E-2"/>
    <n v="-4.8710601719197708E-2"/>
    <n v="2.6666666666666668E-2"/>
    <n v="-7.5377268385864379E-2"/>
    <n v="-2.8684470820969366E-2"/>
    <n v="-6.666666666666667"/>
    <n v="0.16333333333333333"/>
    <n v="-3.125"/>
  </r>
  <r>
    <x v="979"/>
    <n v="531209"/>
    <x v="3"/>
    <x v="69"/>
    <n v="829"/>
    <n v="2184.8469089999999"/>
    <n v="5.4229875223425742E-5"/>
    <n v="651"/>
    <n v="603"/>
    <n v="82"/>
    <n v="98"/>
    <n v="220"/>
    <n v="205"/>
    <n v="20"/>
    <n v="34"/>
    <n v="0.1259600614439324"/>
    <n v="0.1625207296849088"/>
    <n v="-3.6560668240976396E-2"/>
    <n v="9.0909090909090912E-2"/>
    <n v="0.16585365853658537"/>
    <n v="-7.4944567627494463E-2"/>
    <n v="7.9601990049751326E-2"/>
    <n v="-0.16326530612244894"/>
    <n v="7.3170731707317138E-2"/>
    <n v="-0.41176470588235292"/>
  </r>
  <r>
    <x v="980"/>
    <n v="543689"/>
    <x v="6"/>
    <x v="52"/>
    <n v="469.35"/>
    <n v="2118.6775739999998"/>
    <n v="5.258749251647927E-5"/>
    <n v="831"/>
    <n v="710"/>
    <n v="107"/>
    <n v="65"/>
    <n v="281"/>
    <n v="208"/>
    <n v="33"/>
    <n v="19"/>
    <n v="0.12876052948255115"/>
    <n v="9.154929577464789E-2"/>
    <n v="3.721123370790326E-2"/>
    <n v="0.11743772241992882"/>
    <n v="9.1346153846153841E-2"/>
    <n v="2.6091568573774981E-2"/>
    <n v="0.1704225352112676"/>
    <n v="0.64615384615384608"/>
    <n v="0.35096153846153855"/>
    <n v="0.73684210526315796"/>
  </r>
  <r>
    <x v="981"/>
    <n v="540212"/>
    <x v="10"/>
    <x v="86"/>
    <n v="495"/>
    <n v="1900.9715782999999"/>
    <n v="4.7183832912884292E-5"/>
    <n v="909"/>
    <n v="900"/>
    <n v="65"/>
    <n v="66"/>
    <n v="314"/>
    <n v="296"/>
    <n v="91"/>
    <n v="24"/>
    <n v="7.1507150715071507E-2"/>
    <n v="7.3333333333333334E-2"/>
    <n v="-1.8261826182618263E-3"/>
    <n v="0.28980891719745222"/>
    <n v="8.1081081081081086E-2"/>
    <n v="0.20872783611637113"/>
    <n v="1.0000000000000009E-2"/>
    <n v="-1.5151515151515138E-2"/>
    <n v="6.0810810810810745E-2"/>
    <n v="2.7916666666666665"/>
  </r>
  <r>
    <x v="982"/>
    <n v="514167"/>
    <x v="6"/>
    <x v="89"/>
    <n v="1082.75"/>
    <n v="2893.055437"/>
    <n v="7.1808251057174386E-5"/>
    <n v="1057"/>
    <n v="1121"/>
    <n v="15"/>
    <n v="79"/>
    <n v="357"/>
    <n v="397"/>
    <n v="4"/>
    <n v="29"/>
    <n v="1.4191106906338695E-2"/>
    <n v="7.0472792149866195E-2"/>
    <n v="-5.6281685243527502E-2"/>
    <n v="1.1204481792717087E-2"/>
    <n v="7.3047858942065488E-2"/>
    <n v="-6.18433771493484E-2"/>
    <n v="-5.7091882247992887E-2"/>
    <n v="-0.810126582278481"/>
    <n v="-0.10075566750629728"/>
    <n v="-0.86206896551724133"/>
  </r>
  <r>
    <x v="983"/>
    <n v="544181"/>
    <x v="10"/>
    <x v="116"/>
    <n v="268.35000000000002"/>
    <n v="1913.843574"/>
    <n v="4.7503327481502361E-5"/>
    <n v="1083"/>
    <n v="867"/>
    <n v="47"/>
    <n v="56"/>
    <n v="381"/>
    <n v="317"/>
    <n v="21"/>
    <n v="15"/>
    <n v="4.339796860572484E-2"/>
    <n v="6.4590542099192613E-2"/>
    <n v="-2.1192573493467773E-2"/>
    <n v="5.5118110236220472E-2"/>
    <n v="4.7318611987381701E-2"/>
    <n v="7.799498248838771E-3"/>
    <n v="0.24913494809688586"/>
    <n v="-0.1607142857142857"/>
    <n v="0.20189274447949535"/>
    <n v="0.39999999999999991"/>
  </r>
  <r>
    <x v="984"/>
    <n v="539658"/>
    <x v="10"/>
    <x v="116"/>
    <n v="1178.9000000000001"/>
    <n v="1975.1414672999999"/>
    <n v="4.9024796602027299E-5"/>
    <n v="8936"/>
    <n v="8298"/>
    <n v="95"/>
    <n v="76"/>
    <n v="3013"/>
    <n v="2921"/>
    <n v="42"/>
    <n v="28"/>
    <n v="1.0631154879140556E-2"/>
    <n v="9.1588334538443006E-3"/>
    <n v="1.4723214252962552E-3"/>
    <n v="1.3939595087952207E-2"/>
    <n v="9.5857583019513873E-3"/>
    <n v="4.3538367860008198E-3"/>
    <n v="7.6885996625692954E-2"/>
    <n v="0.25"/>
    <n v="3.1496062992125928E-2"/>
    <n v="0.5"/>
  </r>
  <r>
    <x v="985"/>
    <n v="500032"/>
    <x v="5"/>
    <x v="130"/>
    <n v="17.28"/>
    <n v="4130.3823837"/>
    <n v="1.0251982432746586E-4"/>
    <n v="3786"/>
    <n v="4021"/>
    <n v="-264"/>
    <n v="-233"/>
    <n v="1380"/>
    <n v="1476"/>
    <n v="15"/>
    <n v="-101"/>
    <n v="-6.9730586370839939E-2"/>
    <n v="-5.7945784630688883E-2"/>
    <n v="-1.1784801740151056E-2"/>
    <n v="1.0869565217391304E-2"/>
    <n v="-6.8428184281842816E-2"/>
    <n v="7.9297749499234127E-2"/>
    <n v="-5.8443173339965182E-2"/>
    <n v="0.13304721030042921"/>
    <n v="-6.5040650406504086E-2"/>
    <n v="-1.1485148514851484"/>
  </r>
  <r>
    <x v="986"/>
    <n v="500052"/>
    <x v="8"/>
    <x v="34"/>
    <n v="88.28"/>
    <n v="2196.4242915"/>
    <n v="5.451723632218403E-5"/>
    <n v="934"/>
    <n v="1052"/>
    <n v="128"/>
    <n v="140"/>
    <n v="301"/>
    <n v="345"/>
    <n v="42"/>
    <n v="40"/>
    <n v="0.13704496788008566"/>
    <n v="0.13307984790874525"/>
    <n v="3.9651199713404139E-3"/>
    <n v="0.13953488372093023"/>
    <n v="0.11594202898550725"/>
    <n v="2.3592854735422983E-2"/>
    <n v="-0.11216730038022815"/>
    <n v="-8.5714285714285743E-2"/>
    <n v="-0.12753623188405794"/>
    <n v="5.0000000000000044E-2"/>
  </r>
  <r>
    <x v="987"/>
    <n v="539450"/>
    <x v="8"/>
    <x v="34"/>
    <n v="120.65"/>
    <n v="1667.0004942999999"/>
    <n v="4.1376459115231325E-5"/>
    <n v="1718"/>
    <n v="1556"/>
    <n v="67"/>
    <n v="-29"/>
    <n v="584"/>
    <n v="544"/>
    <n v="33"/>
    <n v="17"/>
    <n v="3.8998835855646098E-2"/>
    <n v="-1.8637532133676093E-2"/>
    <n v="5.7636367989322188E-2"/>
    <n v="5.650684931506849E-2"/>
    <n v="3.125E-2"/>
    <n v="2.525684931506849E-2"/>
    <n v="0.10411311053984584"/>
    <n v="-3.3103448275862069"/>
    <n v="7.3529411764705843E-2"/>
    <n v="0.94117647058823528"/>
  </r>
  <r>
    <x v="988"/>
    <n v="513228"/>
    <x v="4"/>
    <x v="92"/>
    <n v="147.1"/>
    <n v="1983.0343677999999"/>
    <n v="4.9220705527042929E-5"/>
    <n v="2733"/>
    <n v="2341"/>
    <n v="98"/>
    <n v="84"/>
    <n v="943"/>
    <n v="840"/>
    <n v="33"/>
    <n v="30"/>
    <n v="3.5858031467252104E-2"/>
    <n v="3.5882101665954722E-2"/>
    <n v="-2.4070198702617895E-5"/>
    <n v="3.4994697773064687E-2"/>
    <n v="3.5714285714285712E-2"/>
    <n v="-7.1958794122102543E-4"/>
    <n v="0.16744980777445528"/>
    <n v="0.16666666666666674"/>
    <n v="0.12261904761904763"/>
    <n v="0.10000000000000009"/>
  </r>
  <r>
    <x v="989"/>
    <n v="531349"/>
    <x v="7"/>
    <x v="9"/>
    <n v="324.8"/>
    <n v="1978.3989019999999"/>
    <n v="4.9105649075764373E-5"/>
    <n v="473"/>
    <n v="426"/>
    <n v="-6"/>
    <n v="-6"/>
    <n v="165"/>
    <n v="163"/>
    <n v="3"/>
    <n v="4"/>
    <n v="-1.2684989429175475E-2"/>
    <n v="-1.4084507042253521E-2"/>
    <n v="1.3995176130780461E-3"/>
    <n v="1.8181818181818181E-2"/>
    <n v="2.4539877300613498E-2"/>
    <n v="-6.3580591187953166E-3"/>
    <n v="0.11032863849765251"/>
    <n v="0"/>
    <n v="1.2269938650306678E-2"/>
    <n v="-0.25"/>
  </r>
  <r>
    <x v="990"/>
    <n v="524394"/>
    <x v="7"/>
    <x v="110"/>
    <n v="412.5"/>
    <n v="1846.4071961"/>
    <n v="4.5829495624463634E-5"/>
    <n v="298"/>
    <n v="249"/>
    <n v="56"/>
    <n v="48"/>
    <n v="98"/>
    <n v="89"/>
    <n v="17"/>
    <n v="17"/>
    <n v="0.18791946308724833"/>
    <n v="0.19277108433734941"/>
    <n v="-4.8516212501010791E-3"/>
    <n v="0.17346938775510204"/>
    <n v="0.19101123595505617"/>
    <n v="-1.7541848199954135E-2"/>
    <n v="0.19678714859437751"/>
    <n v="0.16666666666666674"/>
    <n v="0.101123595505618"/>
    <n v="0"/>
  </r>
  <r>
    <x v="991"/>
    <n v="500306"/>
    <x v="4"/>
    <x v="15"/>
    <n v="142.5"/>
    <n v="1858.4137599999999"/>
    <n v="4.6127509393518558E-5"/>
    <n v="178"/>
    <n v="69"/>
    <n v="35"/>
    <n v="11"/>
    <n v="59"/>
    <n v="21"/>
    <n v="6"/>
    <n v="5"/>
    <n v="0.19662921348314608"/>
    <n v="0.15942028985507245"/>
    <n v="3.7208923628073626E-2"/>
    <n v="0.10169491525423729"/>
    <n v="0.23809523809523808"/>
    <n v="-0.13640032284100079"/>
    <n v="1.5797101449275361"/>
    <n v="2.1818181818181817"/>
    <n v="1.8095238095238093"/>
    <n v="0.19999999999999996"/>
  </r>
  <r>
    <x v="992"/>
    <n v="532430"/>
    <x v="10"/>
    <x v="162"/>
    <n v="411.5"/>
    <n v="1543.6194313999999"/>
    <n v="3.831402960658302E-5"/>
    <n v="17"/>
    <n v="16"/>
    <n v="5"/>
    <n v="15"/>
    <n v="3"/>
    <n v="1"/>
    <n v="-2"/>
    <n v="-0.83"/>
    <n v="0.29411764705882354"/>
    <n v="0.9375"/>
    <n v="-0.64338235294117641"/>
    <n v="-0.66666666666666663"/>
    <n v="-0.83"/>
    <n v="0.16333333333333333"/>
    <n v="6.25E-2"/>
    <n v="-0.66666666666666674"/>
    <n v="2"/>
    <n v="1.4096385542168677"/>
  </r>
  <r>
    <x v="993"/>
    <n v="512237"/>
    <x v="4"/>
    <x v="76"/>
    <n v="97.32"/>
    <n v="1711.172775"/>
    <n v="4.2472855050721168E-5"/>
    <n v="393"/>
    <n v="382"/>
    <n v="148"/>
    <n v="43"/>
    <n v="116"/>
    <n v="126"/>
    <n v="17"/>
    <n v="12"/>
    <n v="0.37659033078880405"/>
    <n v="0.112565445026178"/>
    <n v="0.26402488576262606"/>
    <n v="0.14655172413793102"/>
    <n v="9.5238095238095233E-2"/>
    <n v="5.1313628899835789E-2"/>
    <n v="2.8795811518324665E-2"/>
    <n v="2.441860465116279"/>
    <n v="-7.9365079365079416E-2"/>
    <n v="0.41666666666666674"/>
  </r>
  <r>
    <x v="994"/>
    <n v="542905"/>
    <x v="6"/>
    <x v="140"/>
    <n v="199.5"/>
    <n v="1669.4138685999999"/>
    <n v="4.1436361246871447E-5"/>
    <n v="1849"/>
    <n v="1824"/>
    <n v="-12"/>
    <n v="-22"/>
    <n v="640"/>
    <n v="594"/>
    <n v="5"/>
    <n v="-12"/>
    <n v="-6.4899945916711737E-3"/>
    <n v="-1.2061403508771929E-2"/>
    <n v="5.5714089171007555E-3"/>
    <n v="7.8125E-3"/>
    <n v="-2.0202020202020204E-2"/>
    <n v="2.8014520202020204E-2"/>
    <n v="1.3706140350877138E-2"/>
    <n v="-0.45454545454545459"/>
    <n v="7.7441077441077422E-2"/>
    <n v="-1.4166666666666667"/>
  </r>
  <r>
    <x v="995"/>
    <n v="523261"/>
    <x v="5"/>
    <x v="163"/>
    <n v="1325.15"/>
    <n v="1866.020608"/>
    <n v="4.6316318236913623E-5"/>
    <n v="2626"/>
    <n v="2463"/>
    <n v="37"/>
    <n v="103"/>
    <n v="960"/>
    <n v="881"/>
    <n v="48"/>
    <n v="20"/>
    <n v="1.408987052551409E-2"/>
    <n v="4.1818920016240359E-2"/>
    <n v="-2.7729049490726271E-2"/>
    <n v="0.05"/>
    <n v="2.2701475595913734E-2"/>
    <n v="2.7298524404086269E-2"/>
    <n v="6.6179455948030874E-2"/>
    <n v="-0.64077669902912615"/>
    <n v="8.9670828603859221E-2"/>
    <n v="1.4"/>
  </r>
  <r>
    <x v="996"/>
    <n v="539686"/>
    <x v="9"/>
    <x v="12"/>
    <n v="287.5"/>
    <n v="1937.9493258"/>
    <n v="4.8101654031017535E-5"/>
    <n v="865"/>
    <n v="537"/>
    <n v="102"/>
    <n v="69"/>
    <n v="344"/>
    <n v="211"/>
    <n v="41"/>
    <n v="26"/>
    <n v="0.11791907514450867"/>
    <n v="0.12849162011173185"/>
    <n v="-1.057254496722318E-2"/>
    <n v="0.11918604651162791"/>
    <n v="0.12322274881516587"/>
    <n v="-4.0367023035379618E-3"/>
    <n v="0.61080074487895719"/>
    <n v="0.47826086956521729"/>
    <n v="0.63033175355450233"/>
    <n v="0.57692307692307687"/>
  </r>
  <r>
    <x v="997"/>
    <n v="500108"/>
    <x v="1"/>
    <x v="1"/>
    <n v="25.5"/>
    <n v="1609.0200576"/>
    <n v="3.9937332266256881E-5"/>
    <n v="660"/>
    <n v="817"/>
    <n v="-2800"/>
    <n v="-2500"/>
    <n v="197"/>
    <n v="261"/>
    <n v="-897"/>
    <n v="-836"/>
    <n v="-4.2424242424242422"/>
    <n v="-3.0599755201958385"/>
    <n v="-1.1824487222284037"/>
    <n v="-4.5532994923857872"/>
    <n v="-3.2030651340996168"/>
    <n v="-1.3502343582861704"/>
    <n v="-0.19216646266829862"/>
    <n v="0.12000000000000011"/>
    <n v="-0.24521072796934862"/>
    <n v="7.2966507177033568E-2"/>
  </r>
  <r>
    <x v="998"/>
    <n v="543992"/>
    <x v="6"/>
    <x v="77"/>
    <n v="97.2"/>
    <n v="1534.5070438"/>
    <n v="3.8087851909418114E-5"/>
    <n v="817"/>
    <n v="572"/>
    <n v="38"/>
    <n v="21"/>
    <n v="256"/>
    <n v="235"/>
    <n v="8"/>
    <n v="10"/>
    <n v="4.6511627906976744E-2"/>
    <n v="3.6713286713286712E-2"/>
    <n v="9.7983411936900314E-3"/>
    <n v="3.125E-2"/>
    <n v="4.2553191489361701E-2"/>
    <n v="-1.1303191489361701E-2"/>
    <n v="0.42832167832167833"/>
    <n v="0.80952380952380953"/>
    <n v="8.9361702127659592E-2"/>
    <n v="-0.19999999999999996"/>
  </r>
  <r>
    <x v="999"/>
    <n v="532663"/>
    <x v="3"/>
    <x v="82"/>
    <n v="1197"/>
    <n v="1816.300616"/>
    <n v="4.5082223092231916E-5"/>
    <n v="779"/>
    <n v="402"/>
    <n v="29"/>
    <n v="39"/>
    <n v="250"/>
    <n v="144"/>
    <n v="9"/>
    <n v="9"/>
    <n v="3.7227214377406934E-2"/>
    <n v="9.7014925373134331E-2"/>
    <n v="-5.9787710995727397E-2"/>
    <n v="3.5999999999999997E-2"/>
    <n v="6.25E-2"/>
    <n v="-2.6500000000000003E-2"/>
    <n v="0.93781094527363185"/>
    <n v="-0.25641025641025639"/>
    <n v="0.73611111111111116"/>
    <n v="0"/>
  </r>
  <r>
    <x v="1000"/>
    <n v="504741"/>
    <x v="4"/>
    <x v="92"/>
    <n v="320.05"/>
    <n v="1688.3150889999999"/>
    <n v="4.1905506622522328E-5"/>
    <n v="954"/>
    <n v="1099"/>
    <n v="118"/>
    <n v="58"/>
    <n v="282"/>
    <n v="380"/>
    <n v="61"/>
    <n v="14"/>
    <n v="0.12368972746331237"/>
    <n v="5.2775250227479524E-2"/>
    <n v="7.0914477235832857E-2"/>
    <n v="0.21631205673758866"/>
    <n v="3.6842105263157891E-2"/>
    <n v="0.17946995147443076"/>
    <n v="-0.13193812556869877"/>
    <n v="1.0344827586206895"/>
    <n v="-0.25789473684210529"/>
    <n v="3.3571428571428568"/>
  </r>
  <r>
    <x v="1001"/>
    <n v="532722"/>
    <x v="6"/>
    <x v="114"/>
    <n v="87.76"/>
    <n v="2006.5988457000001"/>
    <n v="4.9805597169088032E-5"/>
    <n v="389"/>
    <n v="220"/>
    <n v="36"/>
    <n v="-738"/>
    <n v="130"/>
    <n v="84"/>
    <n v="-11"/>
    <n v="-660"/>
    <n v="9.2544987146529561E-2"/>
    <n v="-3.3545454545454545"/>
    <n v="3.4470904416919841"/>
    <n v="-8.461538461538462E-2"/>
    <n v="-7.8571428571428568"/>
    <n v="7.7725274725274724"/>
    <n v="0.76818181818181808"/>
    <n v="-1.0487804878048781"/>
    <n v="0.54761904761904767"/>
    <n v="-0.98333333333333328"/>
  </r>
  <r>
    <x v="1002"/>
    <n v="511742"/>
    <x v="2"/>
    <x v="4"/>
    <n v="88.7"/>
    <n v="1358.2241220000001"/>
    <n v="3.3712350443454798E-5"/>
    <n v="1278"/>
    <n v="992"/>
    <n v="83"/>
    <n v="103"/>
    <n v="408"/>
    <n v="371"/>
    <n v="6"/>
    <n v="37"/>
    <n v="6.4945226917057897E-2"/>
    <n v="0.10383064516129033"/>
    <n v="-3.8885418244232431E-2"/>
    <n v="1.4705882352941176E-2"/>
    <n v="9.9730458221024262E-2"/>
    <n v="-8.5024575868083083E-2"/>
    <n v="0.28830645161290325"/>
    <n v="-0.19417475728155342"/>
    <n v="9.9730458221024332E-2"/>
    <n v="-0.83783783783783783"/>
  </r>
  <r>
    <x v="1003"/>
    <n v="543401"/>
    <x v="6"/>
    <x v="36"/>
    <n v="272.60000000000002"/>
    <n v="1435.8702539999999"/>
    <n v="3.5639597626127604E-5"/>
    <n v="641"/>
    <n v="643"/>
    <n v="51"/>
    <n v="73"/>
    <n v="194"/>
    <n v="214"/>
    <n v="7"/>
    <n v="24"/>
    <n v="7.9563182527301088E-2"/>
    <n v="0.11353032659409021"/>
    <n v="-3.3967144066789121E-2"/>
    <n v="3.608247422680412E-2"/>
    <n v="0.11214953271028037"/>
    <n v="-7.6067058483476252E-2"/>
    <n v="-3.1104199066873672E-3"/>
    <n v="-0.30136986301369861"/>
    <n v="-9.3457943925233655E-2"/>
    <n v="-0.70833333333333326"/>
  </r>
  <r>
    <x v="1004"/>
    <n v="543983"/>
    <x v="9"/>
    <x v="164"/>
    <n v="290.25"/>
    <n v="1610.1156137"/>
    <n v="3.9964524958961587E-5"/>
    <n v="612"/>
    <n v="685"/>
    <n v="85"/>
    <n v="137"/>
    <n v="200"/>
    <n v="245"/>
    <n v="19"/>
    <n v="50"/>
    <n v="0.1388888888888889"/>
    <n v="0.2"/>
    <n v="-6.1111111111111116E-2"/>
    <n v="9.5000000000000001E-2"/>
    <n v="0.20408163265306123"/>
    <n v="-0.10908163265306123"/>
    <n v="-0.10656934306569343"/>
    <n v="-0.37956204379562042"/>
    <n v="-0.18367346938775508"/>
    <n v="-0.62"/>
  </r>
  <r>
    <x v="1005"/>
    <n v="543235"/>
    <x v="2"/>
    <x v="78"/>
    <m/>
    <n v="22398.943838899999"/>
    <n v="5.5596203309092715E-4"/>
    <n v="3684"/>
    <n v="4189"/>
    <n v="594"/>
    <n v="997"/>
    <n v="1337"/>
    <n v="1263"/>
    <n v="268"/>
    <n v="261"/>
    <n v="0.16123778501628663"/>
    <n v="0.23800429696825018"/>
    <n v="-7.6766511951963545E-2"/>
    <n v="0.20044876589379207"/>
    <n v="0.20665083135391923"/>
    <n v="-6.2020654601271652E-3"/>
    <n v="-0.12055383146335641"/>
    <n v="-0.40421263791374118"/>
    <n v="5.8590657165479065E-2"/>
    <n v="2.6819923371647514E-2"/>
  </r>
  <r>
    <x v="1006"/>
    <n v="500252"/>
    <x v="4"/>
    <x v="92"/>
    <n v="13215"/>
    <n v="13151.84"/>
    <n v="3.2644055710287739E-4"/>
    <n v="2381"/>
    <n v="2300"/>
    <n v="67"/>
    <n v="55"/>
    <n v="788"/>
    <n v="799"/>
    <n v="15"/>
    <n v="19"/>
    <n v="2.8139437211255777E-2"/>
    <n v="2.391304347826087E-2"/>
    <n v="4.2263937329949063E-3"/>
    <n v="1.9035532994923859E-2"/>
    <n v="2.3779724655819776E-2"/>
    <n v="-4.7441916608959162E-3"/>
    <n v="3.5217391304347867E-2"/>
    <n v="0.21818181818181825"/>
    <n v="-1.3767209011264048E-2"/>
    <n v="-0.21052631578947367"/>
  </r>
  <r>
    <x v="1007"/>
    <n v="512038"/>
    <x v="10"/>
    <x v="103"/>
    <m/>
    <n v="1692.9491989999999"/>
    <n v="4.2020529421619338E-5"/>
    <n v="95"/>
    <n v="51"/>
    <n v="33"/>
    <n v="25"/>
    <n v="46"/>
    <n v="22"/>
    <n v="14"/>
    <n v="10"/>
    <n v="0.3473684210526316"/>
    <n v="0.49019607843137253"/>
    <n v="-0.14282765737874092"/>
    <n v="0.30434782608695654"/>
    <n v="0.45454545454545453"/>
    <n v="-0.15019762845849799"/>
    <n v="0.86274509803921573"/>
    <n v="0.32000000000000006"/>
    <n v="1.0909090909090908"/>
    <n v="0.39999999999999991"/>
  </r>
  <r>
    <x v="1008"/>
    <n v="544600"/>
    <x v="6"/>
    <x v="36"/>
    <n v="502.5"/>
    <n v="87036.011280299994"/>
    <n v="2.1603124741749785E-3"/>
    <n v="6298"/>
    <n v="4924"/>
    <n v="297"/>
    <n v="77"/>
    <n v="2308"/>
    <n v="1669"/>
    <n v="133"/>
    <n v="2"/>
    <n v="4.7157827881867259E-2"/>
    <n v="1.5637692932575144E-2"/>
    <n v="3.1520134949292115E-2"/>
    <n v="5.7625649913344887E-2"/>
    <n v="1.1983223487118035E-3"/>
    <n v="5.6427327564633083E-2"/>
    <n v="0.27904142973192525"/>
    <n v="2.8571428571428572"/>
    <n v="0.38286399041342123"/>
    <n v="65.5"/>
  </r>
  <r>
    <x v="1009"/>
    <n v="542727"/>
    <x v="6"/>
    <x v="36"/>
    <n v="2265"/>
    <n v="2415.402795"/>
    <n v="5.9952480719629127E-5"/>
    <n v="4"/>
    <n v="2"/>
    <n v="2"/>
    <n v="1"/>
    <n v="1"/>
    <n v="2"/>
    <n v="0.67"/>
    <n v="0.88"/>
    <n v="0.5"/>
    <n v="0.5"/>
    <n v="0"/>
    <n v="0.67"/>
    <n v="0.44"/>
    <n v="0.23000000000000004"/>
    <n v="1"/>
    <n v="1"/>
    <n v="-0.5"/>
    <n v="-0.23863636363636365"/>
  </r>
  <r>
    <x v="1010"/>
    <n v="544243"/>
    <x v="6"/>
    <x v="36"/>
    <n v="296"/>
    <n v="2210.8603016000002"/>
    <n v="5.4875551141964897E-5"/>
    <n v="1376"/>
    <n v="998"/>
    <n v="72"/>
    <n v="22"/>
    <n v="466"/>
    <n v="411"/>
    <n v="19"/>
    <n v="30"/>
    <n v="5.232558139534884E-2"/>
    <n v="2.2044088176352707E-2"/>
    <n v="3.0281493218996133E-2"/>
    <n v="4.07725321888412E-2"/>
    <n v="7.2992700729927001E-2"/>
    <n v="-3.2220168541085802E-2"/>
    <n v="0.37875751503006017"/>
    <n v="2.2727272727272729"/>
    <n v="0.13381995133819946"/>
    <n v="-0.3666666666666667"/>
  </r>
  <r>
    <x v="1011"/>
    <n v="543989"/>
    <x v="6"/>
    <x v="36"/>
    <n v="93.86"/>
    <n v="1386.2688269"/>
    <n v="3.4408445369437917E-5"/>
    <n v="1235"/>
    <n v="1063"/>
    <n v="108"/>
    <n v="72"/>
    <n v="411"/>
    <n v="449"/>
    <n v="38"/>
    <n v="46"/>
    <n v="8.7449392712550603E-2"/>
    <n v="6.7732831608654745E-2"/>
    <n v="1.9716561103895858E-2"/>
    <n v="9.2457420924574207E-2"/>
    <n v="0.10244988864142539"/>
    <n v="-9.9924677168511805E-3"/>
    <n v="0.16180620884289754"/>
    <n v="0.5"/>
    <n v="-8.4632516703786242E-2"/>
    <n v="-0.17391304347826086"/>
  </r>
  <r>
    <x v="1012"/>
    <n v="541167"/>
    <x v="8"/>
    <x v="34"/>
    <n v="1420.15"/>
    <n v="1706.3193179"/>
    <n v="4.2352387858328398E-5"/>
    <n v="584"/>
    <n v="491"/>
    <n v="13"/>
    <n v="11"/>
    <n v="202"/>
    <n v="150"/>
    <n v="4"/>
    <n v="-0.22"/>
    <n v="2.2260273972602738E-2"/>
    <n v="2.2403258655804479E-2"/>
    <n v="-1.4298468320174049E-4"/>
    <n v="1.9801980198019802E-2"/>
    <n v="-1.4666666666666667E-3"/>
    <n v="2.126864686468647E-2"/>
    <n v="0.18940936863543789"/>
    <n v="0.18181818181818188"/>
    <n v="0.34666666666666668"/>
    <n v="-19.181818181818183"/>
  </r>
  <r>
    <x v="1013"/>
    <n v="543275"/>
    <x v="8"/>
    <x v="34"/>
    <n v="1248.1500000000001"/>
    <n v="14211.6838448"/>
    <n v="3.5274683935224838E-4"/>
    <n v="1730"/>
    <n v="938"/>
    <n v="166"/>
    <n v="97"/>
    <n v="512"/>
    <n v="390"/>
    <n v="61"/>
    <n v="54"/>
    <n v="9.595375722543352E-2"/>
    <n v="0.10341151385927505"/>
    <n v="-7.4577566338415308E-3"/>
    <n v="0.119140625"/>
    <n v="0.13846153846153847"/>
    <n v="-1.9320913461538469E-2"/>
    <n v="0.84434968017057566"/>
    <n v="0.71134020618556693"/>
    <n v="0.31282051282051282"/>
    <n v="0.12962962962962954"/>
  </r>
  <r>
    <x v="1014"/>
    <n v="544619"/>
    <x v="8"/>
    <x v="34"/>
    <n v="606.35"/>
    <n v="6845.8143701999998"/>
    <n v="1.6991930078460288E-4"/>
    <n v="460"/>
    <n v="344"/>
    <n v="126"/>
    <n v="94"/>
    <n v="172"/>
    <n v="115"/>
    <n v="48"/>
    <n v="29"/>
    <n v="0.27391304347826084"/>
    <n v="0.27325581395348836"/>
    <n v="6.5722952477248464E-4"/>
    <n v="0.27906976744186046"/>
    <n v="0.25217391304347825"/>
    <n v="2.6895854398382213E-2"/>
    <n v="0.33720930232558133"/>
    <n v="0.34042553191489366"/>
    <n v="0.4956521739130435"/>
    <n v="0.65517241379310343"/>
  </r>
  <r>
    <x v="1015"/>
    <n v="513307"/>
    <x v="4"/>
    <x v="143"/>
    <n v="1560"/>
    <n v="2258.69904"/>
    <n v="5.6062951871778731E-5"/>
    <n v="5"/>
    <n v="17"/>
    <n v="1"/>
    <n v="0.36"/>
    <n v="0"/>
    <n v="5"/>
    <n v="1"/>
    <n v="0.3"/>
    <n v="0.2"/>
    <n v="2.1176470588235293E-2"/>
    <n v="0.17882352941176471"/>
    <e v="#DIV/0!"/>
    <n v="0.06"/>
    <e v="#DIV/0!"/>
    <n v="-0.70588235294117641"/>
    <n v="1.7777777777777777"/>
    <n v="-1"/>
    <n v="2.3333333333333335"/>
  </r>
  <r>
    <x v="1016"/>
    <n v="544664"/>
    <x v="4"/>
    <x v="143"/>
    <n v="484.1"/>
    <n v="3288.5229408"/>
    <n v="8.1624111975232719E-5"/>
    <n v="2089"/>
    <n v="1420"/>
    <n v="76"/>
    <n v="50"/>
    <n v="818"/>
    <n v="516"/>
    <n v="23"/>
    <n v="26"/>
    <n v="3.6381043561512685E-2"/>
    <n v="3.5211267605633804E-2"/>
    <n v="1.1697759558788809E-3"/>
    <n v="2.8117359413202935E-2"/>
    <n v="5.0387596899224806E-2"/>
    <n v="-2.227023748602187E-2"/>
    <n v="0.47112676056338021"/>
    <n v="0.52"/>
    <n v="0.58527131782945729"/>
    <n v="-0.11538461538461542"/>
  </r>
  <r>
    <x v="1017"/>
    <n v="544633"/>
    <x v="4"/>
    <x v="143"/>
    <n v="52.3"/>
    <n v="1112.1680561000001"/>
    <n v="2.7605016471102769E-5"/>
    <n v="1241"/>
    <n v="1101"/>
    <n v="38"/>
    <n v="28"/>
    <n v="448"/>
    <n v="347"/>
    <n v="15"/>
    <n v="11"/>
    <n v="3.0620467365028204E-2"/>
    <n v="2.5431425976385105E-2"/>
    <n v="5.1890413886430987E-3"/>
    <n v="3.3482142857142856E-2"/>
    <n v="3.1700288184438041E-2"/>
    <n v="1.7818546727048148E-3"/>
    <n v="0.12715712988192562"/>
    <n v="0.35714285714285721"/>
    <n v="0.29106628242074928"/>
    <n v="0.36363636363636354"/>
  </r>
  <r>
    <x v="1018"/>
    <n v="539533"/>
    <x v="5"/>
    <x v="87"/>
    <n v="41.5"/>
    <n v="6633.7749999999996"/>
    <n v="1.6465629194813353E-4"/>
    <n v="5477"/>
    <n v="236"/>
    <n v="311"/>
    <n v="27"/>
    <n v="1741"/>
    <n v="94"/>
    <n v="104"/>
    <n v="13"/>
    <n v="5.6782910352382691E-2"/>
    <n v="0.11440677966101695"/>
    <n v="-5.7623869308634258E-2"/>
    <n v="5.9735784032165423E-2"/>
    <n v="0.13829787234042554"/>
    <n v="-7.8562088308260114E-2"/>
    <n v="22.207627118644069"/>
    <n v="10.518518518518519"/>
    <n v="17.521276595744681"/>
    <n v="7"/>
  </r>
  <r>
    <x v="1019"/>
    <n v="544678"/>
    <x v="0"/>
    <x v="23"/>
    <n v="32.549999999999997"/>
    <n v="15181.812769300001"/>
    <n v="3.7682631618403737E-4"/>
    <n v="8442"/>
    <n v="10534"/>
    <n v="101"/>
    <n v="1174"/>
    <n v="2783"/>
    <n v="3688"/>
    <n v="-23"/>
    <n v="425"/>
    <n v="1.1963989575929874E-2"/>
    <n v="0.11144864249098159"/>
    <n v="-9.9484652915051708E-2"/>
    <n v="-8.2644628099173556E-3"/>
    <n v="0.11523861171366595"/>
    <n v="-0.12350307452358331"/>
    <n v="-0.19859502563128917"/>
    <n v="-0.91396933560477001"/>
    <n v="-0.24539045553145333"/>
    <n v="-1.0541176470588236"/>
  </r>
  <r>
    <x v="1020"/>
    <n v="544569"/>
    <x v="4"/>
    <x v="42"/>
    <n v="393.45"/>
    <n v="144844.49213249999"/>
    <n v="3.5951712235715032E-3"/>
    <n v="57757"/>
    <n v="36354"/>
    <n v="1236"/>
    <n v="1855"/>
    <n v="21847"/>
    <n v="18819"/>
    <n v="705"/>
    <n v="1355"/>
    <n v="2.1400003462783732E-2"/>
    <n v="5.1026021895802388E-2"/>
    <n v="-2.9626018433018656E-2"/>
    <n v="3.2269876870966267E-2"/>
    <n v="7.2001700409160957E-2"/>
    <n v="-3.973182353819469E-2"/>
    <n v="0.58873851570666225"/>
    <n v="-0.33369272237196768"/>
    <n v="0.1609012168553059"/>
    <n v="-0.47970479704797053"/>
  </r>
  <r>
    <x v="1021"/>
    <n v="544467"/>
    <x v="2"/>
    <x v="112"/>
    <n v="877.5"/>
    <n v="17551.990735700001"/>
    <n v="4.3565627577787225E-4"/>
    <n v="1072"/>
    <n v="1057"/>
    <n v="290"/>
    <n v="260"/>
    <n v="360"/>
    <n v="363"/>
    <n v="90"/>
    <n v="86"/>
    <n v="0.27052238805970147"/>
    <n v="0.24597918637653737"/>
    <n v="2.4543201683164095E-2"/>
    <n v="0.25"/>
    <n v="0.23691460055096419"/>
    <n v="1.3085399449035806E-2"/>
    <n v="1.4191106906338735E-2"/>
    <n v="0.11538461538461542"/>
    <n v="-8.2644628099173278E-3"/>
    <n v="4.6511627906976827E-2"/>
  </r>
  <r>
    <x v="1022"/>
    <n v="544609"/>
    <x v="6"/>
    <x v="158"/>
    <n v="93.06"/>
    <n v="26609.434932700002"/>
    <n v="6.6047022801549865E-4"/>
    <n v="2981"/>
    <n v="2277"/>
    <n v="45"/>
    <n v="46"/>
    <n v="1082"/>
    <n v="810"/>
    <n v="102"/>
    <n v="77"/>
    <n v="1.5095605501509561E-2"/>
    <n v="2.0202020202020204E-2"/>
    <n v="-5.1064147005106426E-3"/>
    <n v="9.4269870609981515E-2"/>
    <n v="9.5061728395061731E-2"/>
    <n v="-7.9185778508021609E-4"/>
    <n v="0.3091787439613527"/>
    <n v="-2.1739130434782594E-2"/>
    <n v="0.33580246913580236"/>
    <n v="0.32467532467532467"/>
  </r>
  <r>
    <x v="1023"/>
    <n v="539469"/>
    <x v="6"/>
    <x v="127"/>
    <n v="36.99"/>
    <n v="949.13130000000001"/>
    <n v="2.3558296811379874E-5"/>
    <n v="244"/>
    <n v="152"/>
    <n v="3"/>
    <n v="9"/>
    <n v="29"/>
    <n v="34"/>
    <n v="-2"/>
    <n v="1"/>
    <n v="1.2295081967213115E-2"/>
    <n v="5.921052631578947E-2"/>
    <n v="-4.6915444348576356E-2"/>
    <n v="-6.8965517241379309E-2"/>
    <n v="2.9411764705882353E-2"/>
    <n v="-9.8377281947261669E-2"/>
    <n v="0.60526315789473695"/>
    <n v="-0.66666666666666674"/>
    <n v="-0.1470588235294118"/>
    <n v="-3"/>
  </r>
  <r>
    <x v="1024"/>
    <n v="512267"/>
    <x v="6"/>
    <x v="127"/>
    <n v="9.4600000000000009"/>
    <n v="1071.5739363"/>
    <n v="2.6597433723547067E-5"/>
    <n v="956"/>
    <n v="1615"/>
    <n v="6"/>
    <n v="5"/>
    <n v="336"/>
    <n v="258"/>
    <n v="2"/>
    <n v="1"/>
    <n v="6.2761506276150627E-3"/>
    <n v="3.0959752321981426E-3"/>
    <n v="3.1801753954169201E-3"/>
    <n v="5.9523809523809521E-3"/>
    <n v="3.875968992248062E-3"/>
    <n v="2.0764119601328901E-3"/>
    <n v="-0.40804953560371515"/>
    <n v="0.19999999999999996"/>
    <n v="0.30232558139534893"/>
    <n v="1"/>
  </r>
  <r>
    <x v="1025"/>
    <n v="544587"/>
    <x v="6"/>
    <x v="156"/>
    <n v="1295.1500000000001"/>
    <n v="4650.6416858000002"/>
    <n v="1.154331304820023E-4"/>
    <n v="430"/>
    <n v="396"/>
    <n v="69"/>
    <n v="85"/>
    <n v="129"/>
    <n v="117"/>
    <n v="17"/>
    <n v="14"/>
    <n v="0.16046511627906976"/>
    <n v="0.21464646464646464"/>
    <n v="-5.4181348367394883E-2"/>
    <n v="0.13178294573643412"/>
    <n v="0.11965811965811966"/>
    <n v="1.2124826078314457E-2"/>
    <n v="8.5858585858585856E-2"/>
    <n v="-0.18823529411764706"/>
    <n v="0.10256410256410264"/>
    <n v="0.21428571428571419"/>
  </r>
  <r>
    <x v="1026"/>
    <n v="543929"/>
    <x v="5"/>
    <x v="163"/>
    <n v="24.72"/>
    <n v="1227.8878176999999"/>
    <n v="3.0477285556228203E-5"/>
    <n v="5337"/>
    <n v="3633"/>
    <n v="157"/>
    <n v="75"/>
    <n v="2059"/>
    <n v="1455"/>
    <n v="67"/>
    <n v="21"/>
    <n v="2.9417275623009182E-2"/>
    <n v="2.0644095788604461E-2"/>
    <n v="8.7731798344047214E-3"/>
    <n v="3.2540067994171931E-2"/>
    <n v="1.443298969072165E-2"/>
    <n v="1.8107078303450281E-2"/>
    <n v="0.46903385631709327"/>
    <n v="1.0933333333333333"/>
    <n v="0.41512027491408943"/>
    <n v="2.1904761904761907"/>
  </r>
  <r>
    <x v="1027"/>
    <n v="532143"/>
    <x v="5"/>
    <x v="163"/>
    <n v="163.55000000000001"/>
    <n v="859.09523669999999"/>
    <n v="2.1323520334248008E-5"/>
    <n v="581"/>
    <n v="380"/>
    <n v="71"/>
    <n v="28"/>
    <n v="204"/>
    <n v="135"/>
    <n v="30"/>
    <n v="8"/>
    <n v="0.12220309810671257"/>
    <n v="7.3684210526315783E-2"/>
    <n v="4.8518887580396783E-2"/>
    <n v="0.14705882352941177"/>
    <n v="5.9259259259259262E-2"/>
    <n v="8.7799564270152508E-2"/>
    <n v="0.52894736842105261"/>
    <n v="1.5357142857142856"/>
    <n v="0.51111111111111107"/>
    <n v="2.75"/>
  </r>
  <r>
    <x v="1028"/>
    <n v="544603"/>
    <x v="2"/>
    <x v="78"/>
    <n v="169.2"/>
    <n v="106162.1016052"/>
    <n v="2.6350393246278667E-3"/>
    <n v="3280"/>
    <n v="3212"/>
    <n v="1397"/>
    <n v="1515"/>
    <n v="1261"/>
    <n v="1004"/>
    <n v="547"/>
    <n v="757"/>
    <n v="0.42591463414634145"/>
    <n v="0.47166874221668742"/>
    <n v="-4.5754108070345967E-2"/>
    <n v="0.43378271213322761"/>
    <n v="0.75398406374501992"/>
    <n v="-0.32020135161179231"/>
    <n v="2.1170610211706187E-2"/>
    <n v="-7.788778877887792E-2"/>
    <n v="0.25597609561752988"/>
    <n v="-0.27741083223249674"/>
  </r>
  <r>
    <x v="1029"/>
    <n v="544455"/>
    <x v="3"/>
    <x v="152"/>
    <n v="367"/>
    <n v="4175.1012690999996"/>
    <n v="1.0362978748570043E-4"/>
    <n v="1239"/>
    <n v="955"/>
    <n v="90"/>
    <n v="54"/>
    <n v="487"/>
    <n v="347"/>
    <n v="39"/>
    <n v="19"/>
    <n v="7.2639225181598058E-2"/>
    <n v="5.654450261780105E-2"/>
    <n v="1.6094722563797008E-2"/>
    <n v="8.0082135523613956E-2"/>
    <n v="5.4755043227665709E-2"/>
    <n v="2.5327092295948248E-2"/>
    <n v="0.29738219895287954"/>
    <n v="0.66666666666666674"/>
    <n v="0.40345821325648412"/>
    <n v="1.052631578947368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794A7A-7106-4CCC-86E0-F7DCC64D4451}" name="PivotTable2" cacheId="1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1213" firstHeaderRow="0" firstDataRow="1" firstDataCol="1"/>
  <pivotFields count="25">
    <pivotField axis="axisRow" showAll="0">
      <items count="1031">
        <item x="208"/>
        <item x="210"/>
        <item x="875"/>
        <item x="322"/>
        <item x="825"/>
        <item x="371"/>
        <item x="627"/>
        <item x="507"/>
        <item x="74"/>
        <item x="176"/>
        <item x="256"/>
        <item x="398"/>
        <item x="492"/>
        <item x="346"/>
        <item x="83"/>
        <item x="28"/>
        <item x="56"/>
        <item x="22"/>
        <item x="185"/>
        <item x="183"/>
        <item x="968"/>
        <item x="119"/>
        <item x="559"/>
        <item x="448"/>
        <item x="406"/>
        <item x="279"/>
        <item x="647"/>
        <item x="819"/>
        <item x="288"/>
        <item x="289"/>
        <item x="858"/>
        <item x="438"/>
        <item x="488"/>
        <item x="327"/>
        <item x="804"/>
        <item x="778"/>
        <item x="693"/>
        <item x="228"/>
        <item x="219"/>
        <item x="677"/>
        <item x="907"/>
        <item x="586"/>
        <item x="418"/>
        <item x="949"/>
        <item x="408"/>
        <item x="473"/>
        <item x="150"/>
        <item x="583"/>
        <item x="423"/>
        <item x="607"/>
        <item x="374"/>
        <item x="273"/>
        <item x="93"/>
        <item x="275"/>
        <item x="334"/>
        <item x="1005"/>
        <item x="214"/>
        <item x="1013"/>
        <item x="205"/>
        <item x="905"/>
        <item x="163"/>
        <item x="88"/>
        <item x="572"/>
        <item x="261"/>
        <item x="453"/>
        <item x="610"/>
        <item x="975"/>
        <item x="780"/>
        <item x="661"/>
        <item x="528"/>
        <item x="929"/>
        <item x="300"/>
        <item x="828"/>
        <item x="76"/>
        <item x="788"/>
        <item x="36"/>
        <item x="562"/>
        <item x="813"/>
        <item x="236"/>
        <item x="521"/>
        <item x="200"/>
        <item x="299"/>
        <item x="277"/>
        <item x="324"/>
        <item x="138"/>
        <item x="712"/>
        <item x="143"/>
        <item x="564"/>
        <item x="850"/>
        <item x="616"/>
        <item x="772"/>
        <item x="347"/>
        <item x="35"/>
        <item x="983"/>
        <item x="293"/>
        <item x="11"/>
        <item x="644"/>
        <item x="483"/>
        <item x="1010"/>
        <item x="26"/>
        <item x="695"/>
        <item x="742"/>
        <item x="5"/>
        <item x="23"/>
        <item x="985"/>
        <item x="81"/>
        <item x="142"/>
        <item x="799"/>
        <item x="199"/>
        <item x="849"/>
        <item x="520"/>
        <item x="674"/>
        <item x="543"/>
        <item x="259"/>
        <item x="48"/>
        <item x="127"/>
        <item x="179"/>
        <item x="721"/>
        <item x="753"/>
        <item x="375"/>
        <item x="505"/>
        <item x="314"/>
        <item x="1015"/>
        <item x="359"/>
        <item x="410"/>
        <item x="597"/>
        <item x="189"/>
        <item x="992"/>
        <item x="898"/>
        <item x="986"/>
        <item x="885"/>
        <item x="1019"/>
        <item x="195"/>
        <item x="21"/>
        <item x="116"/>
        <item x="112"/>
        <item x="124"/>
        <item x="1"/>
        <item x="126"/>
        <item x="368"/>
        <item x="1028"/>
        <item x="160"/>
        <item x="591"/>
        <item x="486"/>
        <item x="537"/>
        <item x="487"/>
        <item x="479"/>
        <item x="422"/>
        <item x="615"/>
        <item x="213"/>
        <item x="933"/>
        <item x="886"/>
        <item x="642"/>
        <item x="775"/>
        <item x="101"/>
        <item x="489"/>
        <item x="356"/>
        <item x="60"/>
        <item x="94"/>
        <item x="670"/>
        <item x="882"/>
        <item x="573"/>
        <item x="477"/>
        <item x="63"/>
        <item x="966"/>
        <item x="430"/>
        <item x="378"/>
        <item x="379"/>
        <item x="703"/>
        <item x="865"/>
        <item x="541"/>
        <item x="915"/>
        <item x="333"/>
        <item x="415"/>
        <item x="278"/>
        <item x="401"/>
        <item x="710"/>
        <item x="522"/>
        <item x="508"/>
        <item x="229"/>
        <item x="754"/>
        <item x="365"/>
        <item x="639"/>
        <item x="315"/>
        <item x="87"/>
        <item x="352"/>
        <item x="343"/>
        <item x="769"/>
        <item x="399"/>
        <item x="369"/>
        <item x="252"/>
        <item x="58"/>
        <item x="344"/>
        <item x="833"/>
        <item x="91"/>
        <item x="1009"/>
        <item x="311"/>
        <item x="569"/>
        <item x="698"/>
        <item x="31"/>
        <item x="216"/>
        <item x="211"/>
        <item x="463"/>
        <item x="165"/>
        <item x="366"/>
        <item x="433"/>
        <item x="255"/>
        <item x="156"/>
        <item x="335"/>
        <item x="325"/>
        <item x="244"/>
        <item x="364"/>
        <item x="623"/>
        <item x="66"/>
        <item x="491"/>
        <item x="925"/>
        <item x="502"/>
        <item x="759"/>
        <item x="895"/>
        <item x="114"/>
        <item x="222"/>
        <item x="340"/>
        <item x="729"/>
        <item x="656"/>
        <item x="373"/>
        <item x="879"/>
        <item x="935"/>
        <item x="439"/>
        <item x="307"/>
        <item x="240"/>
        <item x="381"/>
        <item x="718"/>
        <item x="590"/>
        <item x="605"/>
        <item x="894"/>
        <item x="47"/>
        <item x="164"/>
        <item x="57"/>
        <item x="609"/>
        <item x="407"/>
        <item x="395"/>
        <item x="286"/>
        <item x="960"/>
        <item x="97"/>
        <item x="877"/>
        <item x="596"/>
        <item x="377"/>
        <item x="387"/>
        <item x="482"/>
        <item x="837"/>
        <item x="38"/>
        <item x="323"/>
        <item x="612"/>
        <item x="524"/>
        <item x="776"/>
        <item x="740"/>
        <item x="363"/>
        <item x="1018"/>
        <item x="319"/>
        <item x="554"/>
        <item x="268"/>
        <item x="1004"/>
        <item x="793"/>
        <item x="218"/>
        <item x="449"/>
        <item x="724"/>
        <item x="891"/>
        <item x="943"/>
        <item x="774"/>
        <item x="611"/>
        <item x="595"/>
        <item x="329"/>
        <item x="549"/>
        <item x="217"/>
        <item x="37"/>
        <item x="638"/>
        <item x="534"/>
        <item x="932"/>
        <item x="265"/>
        <item x="650"/>
        <item x="711"/>
        <item x="136"/>
        <item x="957"/>
        <item x="663"/>
        <item x="409"/>
        <item x="893"/>
        <item x="393"/>
        <item x="476"/>
        <item x="392"/>
        <item x="927"/>
        <item x="452"/>
        <item x="821"/>
        <item x="246"/>
        <item x="141"/>
        <item x="747"/>
        <item x="132"/>
        <item x="861"/>
        <item x="533"/>
        <item x="952"/>
        <item x="403"/>
        <item x="92"/>
        <item x="606"/>
        <item x="405"/>
        <item x="678"/>
        <item x="982"/>
        <item x="270"/>
        <item x="517"/>
        <item x="637"/>
        <item x="869"/>
        <item x="830"/>
        <item x="105"/>
        <item x="155"/>
        <item x="563"/>
        <item x="736"/>
        <item x="274"/>
        <item x="254"/>
        <item x="204"/>
        <item x="166"/>
        <item x="251"/>
        <item x="911"/>
        <item x="744"/>
        <item x="102"/>
        <item x="538"/>
        <item x="1029"/>
        <item x="248"/>
        <item x="1003"/>
        <item x="349"/>
        <item x="243"/>
        <item x="462"/>
        <item x="78"/>
        <item x="239"/>
        <item x="190"/>
        <item x="713"/>
        <item x="708"/>
        <item x="770"/>
        <item x="768"/>
        <item x="784"/>
        <item x="396"/>
        <item x="404"/>
        <item x="43"/>
        <item x="881"/>
        <item x="469"/>
        <item x="330"/>
        <item x="794"/>
        <item x="651"/>
        <item x="914"/>
        <item x="896"/>
        <item x="342"/>
        <item x="823"/>
        <item x="874"/>
        <item x="802"/>
        <item x="626"/>
        <item x="220"/>
        <item x="267"/>
        <item x="969"/>
        <item x="348"/>
        <item x="622"/>
        <item x="550"/>
        <item x="621"/>
        <item x="354"/>
        <item x="829"/>
        <item x="680"/>
        <item x="800"/>
        <item x="684"/>
        <item x="444"/>
        <item x="824"/>
        <item x="317"/>
        <item x="122"/>
        <item x="762"/>
        <item x="332"/>
        <item x="16"/>
        <item x="171"/>
        <item x="84"/>
        <item x="4"/>
        <item x="50"/>
        <item x="560"/>
        <item x="478"/>
        <item x="781"/>
        <item x="752"/>
        <item x="864"/>
        <item x="86"/>
        <item x="258"/>
        <item x="516"/>
        <item x="931"/>
        <item x="295"/>
        <item x="937"/>
        <item x="39"/>
        <item x="29"/>
        <item x="728"/>
        <item x="178"/>
        <item x="667"/>
        <item x="115"/>
        <item x="7"/>
        <item x="32"/>
        <item x="994"/>
        <item x="85"/>
        <item x="955"/>
        <item x="1026"/>
        <item x="468"/>
        <item x="511"/>
        <item x="971"/>
        <item x="272"/>
        <item x="225"/>
        <item x="974"/>
        <item x="866"/>
        <item x="46"/>
        <item x="51"/>
        <item x="2"/>
        <item x="108"/>
        <item x="107"/>
        <item x="675"/>
        <item x="77"/>
        <item x="187"/>
        <item x="732"/>
        <item x="380"/>
        <item x="506"/>
        <item x="306"/>
        <item x="922"/>
        <item x="464"/>
        <item x="441"/>
        <item x="643"/>
        <item x="561"/>
        <item x="735"/>
        <item x="432"/>
        <item x="70"/>
        <item x="480"/>
        <item x="110"/>
        <item x="1000"/>
        <item x="604"/>
        <item x="33"/>
        <item x="147"/>
        <item x="197"/>
        <item x="72"/>
        <item x="245"/>
        <item x="731"/>
        <item x="687"/>
        <item x="811"/>
        <item x="807"/>
        <item x="292"/>
        <item x="789"/>
        <item x="80"/>
        <item x="133"/>
        <item x="154"/>
        <item x="8"/>
        <item x="440"/>
        <item x="767"/>
        <item x="618"/>
        <item x="493"/>
        <item x="376"/>
        <item x="515"/>
        <item x="844"/>
        <item x="45"/>
        <item x="394"/>
        <item x="296"/>
        <item x="973"/>
        <item x="734"/>
        <item x="215"/>
        <item x="283"/>
        <item x="429"/>
        <item x="628"/>
        <item x="226"/>
        <item x="14"/>
        <item x="281"/>
        <item x="235"/>
        <item x="202"/>
        <item x="764"/>
        <item x="648"/>
        <item x="993"/>
        <item x="901"/>
        <item x="503"/>
        <item x="421"/>
        <item x="665"/>
        <item x="760"/>
        <item x="908"/>
        <item x="582"/>
        <item x="991"/>
        <item x="436"/>
        <item x="472"/>
        <item x="157"/>
        <item x="73"/>
        <item x="928"/>
        <item x="49"/>
        <item x="542"/>
        <item x="655"/>
        <item x="424"/>
        <item x="454"/>
        <item x="362"/>
        <item x="121"/>
        <item x="338"/>
        <item x="188"/>
        <item x="24"/>
        <item x="763"/>
        <item x="962"/>
        <item x="884"/>
        <item x="237"/>
        <item x="531"/>
        <item x="416"/>
        <item x="714"/>
        <item x="555"/>
        <item x="466"/>
        <item x="716"/>
        <item x="525"/>
        <item x="337"/>
        <item x="996"/>
        <item x="253"/>
        <item x="384"/>
        <item x="303"/>
        <item x="209"/>
        <item x="832"/>
        <item x="551"/>
        <item x="370"/>
        <item x="570"/>
        <item x="249"/>
        <item x="766"/>
        <item x="287"/>
        <item x="856"/>
        <item x="383"/>
        <item x="193"/>
        <item x="689"/>
        <item x="847"/>
        <item x="681"/>
        <item x="367"/>
        <item x="903"/>
        <item x="657"/>
        <item x="321"/>
        <item x="897"/>
        <item x="447"/>
        <item x="636"/>
        <item x="859"/>
        <item x="320"/>
        <item x="581"/>
        <item x="808"/>
        <item x="756"/>
        <item x="786"/>
        <item x="848"/>
        <item x="123"/>
        <item x="659"/>
        <item x="594"/>
        <item x="313"/>
        <item x="576"/>
        <item x="260"/>
        <item x="662"/>
        <item x="977"/>
        <item x="426"/>
        <item x="1016"/>
        <item x="140"/>
        <item x="221"/>
        <item x="645"/>
        <item x="956"/>
        <item x="6"/>
        <item x="617"/>
        <item x="173"/>
        <item x="812"/>
        <item x="587"/>
        <item x="388"/>
        <item x="532"/>
        <item x="1008"/>
        <item x="95"/>
        <item x="96"/>
        <item x="257"/>
        <item x="9"/>
        <item x="175"/>
        <item x="577"/>
        <item x="585"/>
        <item x="153"/>
        <item x="1006"/>
        <item x="106"/>
        <item x="400"/>
        <item x="68"/>
        <item x="467"/>
        <item x="671"/>
        <item x="100"/>
        <item x="455"/>
        <item x="997"/>
        <item x="385"/>
        <item x="584"/>
        <item x="198"/>
        <item x="13"/>
        <item x="668"/>
        <item x="580"/>
        <item x="757"/>
        <item x="814"/>
        <item x="743"/>
        <item x="285"/>
        <item x="238"/>
        <item x="111"/>
        <item x="553"/>
        <item x="872"/>
        <item x="103"/>
        <item x="571"/>
        <item x="950"/>
        <item x="10"/>
        <item x="664"/>
        <item x="705"/>
        <item x="620"/>
        <item x="162"/>
        <item x="99"/>
        <item x="117"/>
        <item x="892"/>
        <item x="1024"/>
        <item x="496"/>
        <item x="266"/>
        <item x="509"/>
        <item x="1025"/>
        <item x="431"/>
        <item x="624"/>
        <item x="536"/>
        <item x="646"/>
        <item x="961"/>
        <item x="948"/>
        <item x="792"/>
        <item x="331"/>
        <item x="206"/>
        <item x="203"/>
        <item x="916"/>
        <item x="169"/>
        <item x="834"/>
        <item x="459"/>
        <item x="158"/>
        <item x="62"/>
        <item x="883"/>
        <item x="853"/>
        <item x="854"/>
        <item x="224"/>
        <item x="353"/>
        <item x="151"/>
        <item x="787"/>
        <item x="1021"/>
        <item x="355"/>
        <item x="247"/>
        <item x="835"/>
        <item x="510"/>
        <item x="284"/>
        <item x="518"/>
        <item x="783"/>
        <item x="566"/>
        <item x="34"/>
        <item x="310"/>
        <item x="953"/>
        <item x="692"/>
        <item x="357"/>
        <item x="603"/>
        <item x="135"/>
        <item x="717"/>
        <item x="172"/>
        <item x="722"/>
        <item x="1001"/>
        <item x="411"/>
        <item x="231"/>
        <item x="139"/>
        <item x="458"/>
        <item x="944"/>
        <item x="750"/>
        <item x="900"/>
        <item x="131"/>
        <item x="18"/>
        <item x="979"/>
        <item x="298"/>
        <item x="471"/>
        <item x="184"/>
        <item x="20"/>
        <item x="125"/>
        <item x="497"/>
        <item x="565"/>
        <item x="149"/>
        <item x="389"/>
        <item x="791"/>
        <item x="167"/>
        <item x="845"/>
        <item x="839"/>
        <item x="765"/>
        <item x="803"/>
        <item x="593"/>
        <item x="194"/>
        <item x="232"/>
        <item x="846"/>
        <item x="989"/>
        <item x="1023"/>
        <item x="457"/>
        <item x="904"/>
        <item x="673"/>
        <item x="180"/>
        <item x="909"/>
        <item x="146"/>
        <item x="578"/>
        <item x="475"/>
        <item x="739"/>
        <item x="602"/>
        <item x="988"/>
        <item x="134"/>
        <item x="196"/>
        <item x="297"/>
        <item x="351"/>
        <item x="1022"/>
        <item x="682"/>
        <item x="54"/>
        <item x="700"/>
        <item x="212"/>
        <item x="316"/>
        <item x="818"/>
        <item x="304"/>
        <item x="685"/>
        <item x="876"/>
        <item x="419"/>
        <item x="71"/>
        <item x="899"/>
        <item x="810"/>
        <item x="234"/>
        <item x="67"/>
        <item x="25"/>
        <item x="633"/>
        <item x="942"/>
        <item x="669"/>
        <item x="940"/>
        <item x="918"/>
        <item x="654"/>
        <item x="242"/>
        <item x="871"/>
        <item x="168"/>
        <item x="592"/>
        <item x="308"/>
        <item x="889"/>
        <item x="632"/>
        <item x="460"/>
        <item x="552"/>
        <item x="223"/>
        <item x="945"/>
        <item x="512"/>
        <item x="873"/>
        <item x="707"/>
        <item x="271"/>
        <item x="336"/>
        <item x="59"/>
        <item x="498"/>
        <item x="629"/>
        <item x="867"/>
        <item x="350"/>
        <item x="822"/>
        <item x="230"/>
        <item x="836"/>
        <item x="161"/>
        <item x="514"/>
        <item x="704"/>
        <item x="445"/>
        <item x="746"/>
        <item x="970"/>
        <item x="691"/>
        <item x="841"/>
        <item x="923"/>
        <item x="501"/>
        <item x="843"/>
        <item x="951"/>
        <item x="938"/>
        <item x="614"/>
        <item x="658"/>
        <item x="358"/>
        <item x="771"/>
        <item x="737"/>
        <item x="913"/>
        <item x="683"/>
        <item x="902"/>
        <item x="326"/>
        <item x="118"/>
        <item x="312"/>
        <item x="630"/>
        <item x="862"/>
        <item x="556"/>
        <item x="0"/>
        <item x="795"/>
        <item x="513"/>
        <item x="599"/>
        <item x="941"/>
        <item x="720"/>
        <item x="777"/>
        <item x="529"/>
        <item x="504"/>
        <item x="790"/>
        <item x="888"/>
        <item x="887"/>
        <item x="840"/>
        <item x="855"/>
        <item x="963"/>
        <item x="987"/>
        <item x="672"/>
        <item x="547"/>
        <item x="917"/>
        <item x="339"/>
        <item x="305"/>
        <item x="1011"/>
        <item x="868"/>
        <item x="796"/>
        <item x="443"/>
        <item x="120"/>
        <item x="806"/>
        <item x="851"/>
        <item x="499"/>
        <item x="959"/>
        <item x="958"/>
        <item x="535"/>
        <item x="402"/>
        <item x="631"/>
        <item x="328"/>
        <item x="634"/>
        <item x="999"/>
        <item x="912"/>
        <item x="490"/>
        <item x="137"/>
        <item x="41"/>
        <item x="148"/>
        <item x="309"/>
        <item x="805"/>
        <item x="694"/>
        <item x="797"/>
        <item x="519"/>
        <item x="964"/>
        <item x="652"/>
        <item x="527"/>
        <item x="640"/>
        <item x="801"/>
        <item x="494"/>
        <item x="688"/>
        <item x="878"/>
        <item x="649"/>
        <item x="723"/>
        <item x="635"/>
        <item x="456"/>
        <item x="910"/>
        <item x="815"/>
        <item x="109"/>
        <item x="697"/>
        <item x="42"/>
        <item x="412"/>
        <item x="294"/>
        <item x="98"/>
        <item x="79"/>
        <item x="413"/>
        <item x="782"/>
        <item x="906"/>
        <item x="733"/>
        <item x="936"/>
        <item x="264"/>
        <item x="544"/>
        <item x="755"/>
        <item x="1027"/>
        <item x="679"/>
        <item x="601"/>
        <item x="798"/>
        <item x="390"/>
        <item x="75"/>
        <item x="978"/>
        <item x="241"/>
        <item x="588"/>
        <item x="484"/>
        <item x="946"/>
        <item x="130"/>
        <item x="863"/>
        <item x="919"/>
        <item x="545"/>
        <item x="269"/>
        <item x="19"/>
        <item x="145"/>
        <item x="826"/>
        <item x="725"/>
        <item x="548"/>
        <item x="567"/>
        <item x="773"/>
        <item x="809"/>
        <item x="699"/>
        <item x="613"/>
        <item x="1014"/>
        <item x="318"/>
        <item x="745"/>
        <item x="12"/>
        <item x="282"/>
        <item x="174"/>
        <item x="842"/>
        <item x="345"/>
        <item x="921"/>
        <item x="727"/>
        <item x="666"/>
        <item x="653"/>
        <item x="191"/>
        <item x="425"/>
        <item x="690"/>
        <item x="709"/>
        <item x="820"/>
        <item x="177"/>
        <item x="470"/>
        <item x="738"/>
        <item x="152"/>
        <item x="676"/>
        <item x="360"/>
        <item x="382"/>
        <item x="397"/>
        <item x="967"/>
        <item x="485"/>
        <item x="748"/>
        <item x="660"/>
        <item x="741"/>
        <item x="64"/>
        <item x="341"/>
        <item x="201"/>
        <item x="3"/>
        <item x="90"/>
        <item x="263"/>
        <item x="827"/>
        <item x="1020"/>
        <item x="61"/>
        <item x="82"/>
        <item x="30"/>
        <item x="290"/>
        <item x="568"/>
        <item x="880"/>
        <item x="437"/>
        <item x="1007"/>
        <item x="981"/>
        <item x="926"/>
        <item x="984"/>
        <item x="69"/>
        <item x="420"/>
        <item x="686"/>
        <item x="417"/>
        <item x="546"/>
        <item x="749"/>
        <item x="451"/>
        <item x="838"/>
        <item x="465"/>
        <item x="291"/>
        <item x="170"/>
        <item x="276"/>
        <item x="233"/>
        <item x="954"/>
        <item x="715"/>
        <item x="641"/>
        <item x="481"/>
        <item x="751"/>
        <item x="870"/>
        <item x="280"/>
        <item x="608"/>
        <item x="526"/>
        <item x="15"/>
        <item x="55"/>
        <item x="128"/>
        <item x="831"/>
        <item x="719"/>
        <item x="579"/>
        <item x="589"/>
        <item x="65"/>
        <item x="435"/>
        <item x="539"/>
        <item x="386"/>
        <item x="600"/>
        <item x="182"/>
        <item x="250"/>
        <item x="44"/>
        <item x="860"/>
        <item x="701"/>
        <item x="227"/>
        <item x="816"/>
        <item x="1002"/>
        <item x="474"/>
        <item x="17"/>
        <item x="939"/>
        <item x="726"/>
        <item x="52"/>
        <item x="980"/>
        <item x="207"/>
        <item x="104"/>
        <item x="930"/>
        <item x="144"/>
        <item x="186"/>
        <item x="428"/>
        <item x="434"/>
        <item x="934"/>
        <item x="696"/>
        <item x="702"/>
        <item x="598"/>
        <item x="575"/>
        <item x="785"/>
        <item x="779"/>
        <item x="924"/>
        <item x="372"/>
        <item x="558"/>
        <item x="53"/>
        <item x="523"/>
        <item x="27"/>
        <item x="995"/>
        <item x="361"/>
        <item x="965"/>
        <item x="495"/>
        <item x="414"/>
        <item x="1017"/>
        <item x="500"/>
        <item x="990"/>
        <item x="391"/>
        <item x="976"/>
        <item x="181"/>
        <item x="817"/>
        <item x="730"/>
        <item x="89"/>
        <item x="530"/>
        <item x="192"/>
        <item x="706"/>
        <item x="758"/>
        <item x="129"/>
        <item x="540"/>
        <item x="947"/>
        <item x="301"/>
        <item x="625"/>
        <item x="450"/>
        <item x="920"/>
        <item x="890"/>
        <item x="574"/>
        <item x="461"/>
        <item x="972"/>
        <item x="40"/>
        <item x="302"/>
        <item x="852"/>
        <item x="761"/>
        <item x="1012"/>
        <item x="619"/>
        <item x="998"/>
        <item x="159"/>
        <item x="857"/>
        <item x="557"/>
        <item x="446"/>
        <item x="427"/>
        <item x="262"/>
        <item x="113"/>
        <item x="442"/>
        <item t="default"/>
      </items>
    </pivotField>
    <pivotField showAll="0"/>
    <pivotField axis="axisRow" showAll="0">
      <items count="14">
        <item x="8"/>
        <item x="6"/>
        <item x="11"/>
        <item x="0"/>
        <item x="5"/>
        <item x="2"/>
        <item x="7"/>
        <item x="4"/>
        <item x="3"/>
        <item x="12"/>
        <item x="10"/>
        <item x="1"/>
        <item x="9"/>
        <item t="default"/>
      </items>
    </pivotField>
    <pivotField axis="axisRow" showAll="0">
      <items count="166">
        <item x="73"/>
        <item x="20"/>
        <item x="95"/>
        <item x="15"/>
        <item x="30"/>
        <item x="53"/>
        <item x="29"/>
        <item x="143"/>
        <item x="154"/>
        <item x="109"/>
        <item x="32"/>
        <item x="52"/>
        <item x="80"/>
        <item x="55"/>
        <item x="115"/>
        <item x="39"/>
        <item x="101"/>
        <item x="83"/>
        <item x="11"/>
        <item x="114"/>
        <item x="87"/>
        <item x="5"/>
        <item x="23"/>
        <item x="42"/>
        <item x="61"/>
        <item x="37"/>
        <item x="3"/>
        <item x="152"/>
        <item x="121"/>
        <item x="59"/>
        <item x="72"/>
        <item x="104"/>
        <item x="94"/>
        <item x="112"/>
        <item x="128"/>
        <item x="79"/>
        <item x="116"/>
        <item x="6"/>
        <item x="21"/>
        <item x="26"/>
        <item x="150"/>
        <item x="138"/>
        <item x="54"/>
        <item x="147"/>
        <item x="158"/>
        <item x="118"/>
        <item x="28"/>
        <item x="50"/>
        <item x="41"/>
        <item x="136"/>
        <item x="67"/>
        <item x="127"/>
        <item x="38"/>
        <item x="93"/>
        <item x="65"/>
        <item x="90"/>
        <item x="142"/>
        <item x="84"/>
        <item x="49"/>
        <item x="10"/>
        <item x="56"/>
        <item x="161"/>
        <item x="141"/>
        <item x="156"/>
        <item x="110"/>
        <item x="98"/>
        <item x="40"/>
        <item x="17"/>
        <item x="47"/>
        <item x="57"/>
        <item x="51"/>
        <item x="132"/>
        <item x="131"/>
        <item x="64"/>
        <item x="71"/>
        <item x="63"/>
        <item x="92"/>
        <item x="155"/>
        <item x="157"/>
        <item x="45"/>
        <item x="66"/>
        <item x="31"/>
        <item x="18"/>
        <item x="68"/>
        <item x="82"/>
        <item x="7"/>
        <item x="86"/>
        <item x="74"/>
        <item x="108"/>
        <item x="163"/>
        <item x="102"/>
        <item x="122"/>
        <item x="106"/>
        <item x="4"/>
        <item x="160"/>
        <item x="14"/>
        <item x="100"/>
        <item x="117"/>
        <item x="62"/>
        <item x="33"/>
        <item x="159"/>
        <item x="148"/>
        <item x="60"/>
        <item x="88"/>
        <item x="113"/>
        <item x="91"/>
        <item x="129"/>
        <item x="89"/>
        <item x="25"/>
        <item x="137"/>
        <item x="27"/>
        <item x="119"/>
        <item x="8"/>
        <item x="43"/>
        <item x="75"/>
        <item x="123"/>
        <item x="9"/>
        <item x="126"/>
        <item x="139"/>
        <item x="133"/>
        <item x="76"/>
        <item x="111"/>
        <item x="16"/>
        <item x="19"/>
        <item x="46"/>
        <item x="12"/>
        <item x="146"/>
        <item x="151"/>
        <item x="153"/>
        <item x="2"/>
        <item x="13"/>
        <item x="124"/>
        <item x="144"/>
        <item x="0"/>
        <item x="35"/>
        <item x="85"/>
        <item x="162"/>
        <item x="140"/>
        <item x="58"/>
        <item x="107"/>
        <item x="69"/>
        <item x="36"/>
        <item x="34"/>
        <item x="105"/>
        <item x="120"/>
        <item x="78"/>
        <item x="130"/>
        <item x="48"/>
        <item x="1"/>
        <item x="96"/>
        <item x="44"/>
        <item x="77"/>
        <item x="81"/>
        <item x="99"/>
        <item x="135"/>
        <item x="22"/>
        <item x="149"/>
        <item x="103"/>
        <item x="125"/>
        <item x="97"/>
        <item x="70"/>
        <item x="164"/>
        <item x="134"/>
        <item x="24"/>
        <item x="145"/>
        <item t="default"/>
      </items>
    </pivotField>
    <pivotField showAll="0"/>
    <pivotField showAll="0"/>
    <pivotField numFmtId="10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</pivotFields>
  <rowFields count="3">
    <field x="2"/>
    <field x="3"/>
    <field x="0"/>
  </rowFields>
  <rowItems count="1210">
    <i>
      <x/>
    </i>
    <i r="1">
      <x v="6"/>
    </i>
    <i r="2">
      <x v="386"/>
    </i>
    <i r="2">
      <x v="625"/>
    </i>
    <i r="1">
      <x v="16"/>
    </i>
    <i r="2">
      <x v="384"/>
    </i>
    <i r="2">
      <x v="685"/>
    </i>
    <i r="1">
      <x v="18"/>
    </i>
    <i r="2">
      <x v="10"/>
    </i>
    <i r="2">
      <x v="52"/>
    </i>
    <i r="2">
      <x v="142"/>
    </i>
    <i r="2">
      <x v="220"/>
    </i>
    <i r="2">
      <x v="339"/>
    </i>
    <i r="2">
      <x v="377"/>
    </i>
    <i r="2">
      <x v="419"/>
    </i>
    <i r="2">
      <x v="464"/>
    </i>
    <i r="2">
      <x v="482"/>
    </i>
    <i r="2">
      <x v="486"/>
    </i>
    <i r="2">
      <x v="658"/>
    </i>
    <i r="2">
      <x v="669"/>
    </i>
    <i r="2">
      <x v="722"/>
    </i>
    <i r="2">
      <x v="785"/>
    </i>
    <i r="2">
      <x v="828"/>
    </i>
    <i r="2">
      <x v="857"/>
    </i>
    <i r="2">
      <x v="929"/>
    </i>
    <i r="2">
      <x v="961"/>
    </i>
    <i r="1">
      <x v="24"/>
    </i>
    <i r="2">
      <x v="187"/>
    </i>
    <i r="2">
      <x v="227"/>
    </i>
    <i r="2">
      <x v="313"/>
    </i>
    <i r="2">
      <x v="340"/>
    </i>
    <i r="2">
      <x v="350"/>
    </i>
    <i r="2">
      <x v="356"/>
    </i>
    <i r="2">
      <x v="854"/>
    </i>
    <i r="2">
      <x v="896"/>
    </i>
    <i r="2">
      <x v="900"/>
    </i>
    <i r="2">
      <x v="931"/>
    </i>
    <i r="1">
      <x v="30"/>
    </i>
    <i r="2">
      <x v="389"/>
    </i>
    <i r="1">
      <x v="38"/>
    </i>
    <i r="2">
      <x v="706"/>
    </i>
    <i r="2">
      <x v="985"/>
    </i>
    <i r="1">
      <x v="41"/>
    </i>
    <i r="2">
      <x v="525"/>
    </i>
    <i r="2">
      <x v="868"/>
    </i>
    <i r="1">
      <x v="48"/>
    </i>
    <i r="2">
      <x v="717"/>
    </i>
    <i r="2">
      <x v="848"/>
    </i>
    <i r="1">
      <x v="49"/>
    </i>
    <i r="2">
      <x v="428"/>
    </i>
    <i r="1">
      <x v="50"/>
    </i>
    <i r="2">
      <x v="186"/>
    </i>
    <i r="2">
      <x v="207"/>
    </i>
    <i r="2">
      <x v="358"/>
    </i>
    <i r="2">
      <x v="626"/>
    </i>
    <i r="2">
      <x v="678"/>
    </i>
    <i r="2">
      <x v="753"/>
    </i>
    <i r="1">
      <x v="74"/>
    </i>
    <i r="2">
      <x v="561"/>
    </i>
    <i r="2">
      <x v="765"/>
    </i>
    <i r="1">
      <x v="75"/>
    </i>
    <i r="2">
      <x v="341"/>
    </i>
    <i r="2">
      <x v="355"/>
    </i>
    <i r="2">
      <x v="564"/>
    </i>
    <i r="2">
      <x v="607"/>
    </i>
    <i r="2">
      <x v="649"/>
    </i>
    <i r="1">
      <x v="82"/>
    </i>
    <i r="2">
      <x v="466"/>
    </i>
    <i r="2">
      <x v="478"/>
    </i>
    <i r="2">
      <x v="479"/>
    </i>
    <i r="2">
      <x v="490"/>
    </i>
    <i r="2">
      <x v="650"/>
    </i>
    <i r="2">
      <x v="713"/>
    </i>
    <i r="2">
      <x v="801"/>
    </i>
    <i r="2">
      <x v="860"/>
    </i>
    <i r="2">
      <x v="909"/>
    </i>
    <i r="1">
      <x v="100"/>
    </i>
    <i r="2">
      <x v="748"/>
    </i>
    <i r="1">
      <x v="111"/>
    </i>
    <i r="2">
      <x v="24"/>
    </i>
    <i r="2">
      <x v="483"/>
    </i>
    <i r="2">
      <x v="1011"/>
    </i>
    <i r="1">
      <x v="114"/>
    </i>
    <i r="2">
      <x v="121"/>
    </i>
    <i r="2">
      <x v="128"/>
    </i>
    <i r="2">
      <x v="231"/>
    </i>
    <i r="2">
      <x v="621"/>
    </i>
    <i r="2">
      <x v="673"/>
    </i>
    <i r="2">
      <x v="746"/>
    </i>
    <i r="2">
      <x v="819"/>
    </i>
    <i r="2">
      <x v="870"/>
    </i>
    <i r="2">
      <x v="970"/>
    </i>
    <i r="1">
      <x v="115"/>
    </i>
    <i r="2">
      <x v="742"/>
    </i>
    <i r="2">
      <x v="882"/>
    </i>
    <i r="2">
      <x v="887"/>
    </i>
    <i r="1">
      <x v="118"/>
    </i>
    <i r="2">
      <x v="527"/>
    </i>
    <i r="1">
      <x v="142"/>
    </i>
    <i r="2">
      <x v="5"/>
    </i>
    <i r="2">
      <x v="31"/>
    </i>
    <i r="2">
      <x v="47"/>
    </i>
    <i r="2">
      <x v="57"/>
    </i>
    <i r="2">
      <x v="65"/>
    </i>
    <i r="2">
      <x v="83"/>
    </i>
    <i r="2">
      <x v="107"/>
    </i>
    <i r="2">
      <x v="119"/>
    </i>
    <i r="2">
      <x v="129"/>
    </i>
    <i r="2">
      <x v="160"/>
    </i>
    <i r="2">
      <x v="197"/>
    </i>
    <i r="2">
      <x v="225"/>
    </i>
    <i r="2">
      <x v="228"/>
    </i>
    <i r="2">
      <x v="252"/>
    </i>
    <i r="2">
      <x v="268"/>
    </i>
    <i r="2">
      <x v="284"/>
    </i>
    <i r="2">
      <x v="285"/>
    </i>
    <i r="2">
      <x v="294"/>
    </i>
    <i r="2">
      <x v="301"/>
    </i>
    <i r="2">
      <x v="352"/>
    </i>
    <i r="2">
      <x v="493"/>
    </i>
    <i r="2">
      <x v="495"/>
    </i>
    <i r="2">
      <x v="552"/>
    </i>
    <i r="2">
      <x v="629"/>
    </i>
    <i r="2">
      <x v="634"/>
    </i>
    <i r="2">
      <x v="651"/>
    </i>
    <i r="2">
      <x v="695"/>
    </i>
    <i r="2">
      <x v="723"/>
    </i>
    <i r="2">
      <x v="777"/>
    </i>
    <i r="2">
      <x v="782"/>
    </i>
    <i r="2">
      <x v="866"/>
    </i>
    <i r="2">
      <x v="869"/>
    </i>
    <i r="2">
      <x v="912"/>
    </i>
    <i r="2">
      <x v="994"/>
    </i>
    <i r="2">
      <x v="997"/>
    </i>
    <i r="2">
      <x v="1019"/>
    </i>
    <i r="1">
      <x v="143"/>
    </i>
    <i r="2">
      <x v="524"/>
    </i>
    <i r="1">
      <x v="154"/>
    </i>
    <i r="2">
      <x v="563"/>
    </i>
    <i r="2">
      <x v="815"/>
    </i>
    <i r="1">
      <x v="155"/>
    </i>
    <i r="2">
      <x v="15"/>
    </i>
    <i r="1">
      <x v="163"/>
    </i>
    <i r="2">
      <x v="393"/>
    </i>
    <i>
      <x v="1"/>
    </i>
    <i r="1">
      <x v="1"/>
    </i>
    <i r="2">
      <x v="82"/>
    </i>
    <i r="2">
      <x v="99"/>
    </i>
    <i r="2">
      <x v="250"/>
    </i>
    <i r="2">
      <x v="380"/>
    </i>
    <i r="2">
      <x v="662"/>
    </i>
    <i r="2">
      <x v="954"/>
    </i>
    <i r="1">
      <x v="8"/>
    </i>
    <i r="2">
      <x v="417"/>
    </i>
    <i r="2">
      <x v="1017"/>
    </i>
    <i r="1">
      <x v="11"/>
    </i>
    <i r="2">
      <x v="50"/>
    </i>
    <i r="2">
      <x v="71"/>
    </i>
    <i r="2">
      <x v="76"/>
    </i>
    <i r="2">
      <x v="88"/>
    </i>
    <i r="2">
      <x v="112"/>
    </i>
    <i r="2">
      <x v="123"/>
    </i>
    <i r="2">
      <x v="134"/>
    </i>
    <i r="2">
      <x v="154"/>
    </i>
    <i r="2">
      <x v="169"/>
    </i>
    <i r="2">
      <x v="192"/>
    </i>
    <i r="2">
      <x v="208"/>
    </i>
    <i r="2">
      <x v="263"/>
    </i>
    <i r="2">
      <x v="278"/>
    </i>
    <i r="2">
      <x v="282"/>
    </i>
    <i r="2">
      <x v="283"/>
    </i>
    <i r="2">
      <x v="299"/>
    </i>
    <i r="2">
      <x v="471"/>
    </i>
    <i r="2">
      <x v="476"/>
    </i>
    <i r="2">
      <x v="491"/>
    </i>
    <i r="2">
      <x v="547"/>
    </i>
    <i r="2">
      <x v="569"/>
    </i>
    <i r="2">
      <x v="570"/>
    </i>
    <i r="2">
      <x v="604"/>
    </i>
    <i r="2">
      <x v="611"/>
    </i>
    <i r="2">
      <x v="653"/>
    </i>
    <i r="2">
      <x v="719"/>
    </i>
    <i r="2">
      <x v="745"/>
    </i>
    <i r="2">
      <x v="749"/>
    </i>
    <i r="2">
      <x v="751"/>
    </i>
    <i r="2">
      <x v="776"/>
    </i>
    <i r="2">
      <x v="792"/>
    </i>
    <i r="2">
      <x v="794"/>
    </i>
    <i r="2">
      <x v="799"/>
    </i>
    <i r="2">
      <x v="808"/>
    </i>
    <i r="2">
      <x v="820"/>
    </i>
    <i r="2">
      <x v="831"/>
    </i>
    <i r="2">
      <x v="841"/>
    </i>
    <i r="2">
      <x v="850"/>
    </i>
    <i r="2">
      <x v="861"/>
    </i>
    <i r="2">
      <x v="875"/>
    </i>
    <i r="2">
      <x v="876"/>
    </i>
    <i r="2">
      <x v="880"/>
    </i>
    <i r="2">
      <x v="952"/>
    </i>
    <i r="2">
      <x v="965"/>
    </i>
    <i r="2">
      <x v="969"/>
    </i>
    <i r="2">
      <x v="982"/>
    </i>
    <i r="2">
      <x v="1027"/>
    </i>
    <i r="1">
      <x v="19"/>
    </i>
    <i r="2">
      <x v="505"/>
    </i>
    <i r="2">
      <x v="646"/>
    </i>
    <i r="1">
      <x v="29"/>
    </i>
    <i r="2">
      <x v="236"/>
    </i>
    <i r="2">
      <x v="367"/>
    </i>
    <i r="2">
      <x v="692"/>
    </i>
    <i r="1">
      <x v="34"/>
    </i>
    <i r="2">
      <x v="631"/>
    </i>
    <i r="1">
      <x v="39"/>
    </i>
    <i r="2">
      <x v="92"/>
    </i>
    <i r="2">
      <x v="254"/>
    </i>
    <i r="2">
      <x v="827"/>
    </i>
    <i r="2">
      <x v="996"/>
    </i>
    <i r="2">
      <x v="998"/>
    </i>
    <i r="1">
      <x v="43"/>
    </i>
    <i r="2">
      <x v="643"/>
    </i>
    <i r="1">
      <x v="44"/>
    </i>
    <i r="2">
      <x v="614"/>
    </i>
    <i r="2">
      <x v="693"/>
    </i>
    <i r="1">
      <x v="46"/>
    </i>
    <i r="2">
      <x v="155"/>
    </i>
    <i r="2">
      <x v="170"/>
    </i>
    <i r="2">
      <x v="274"/>
    </i>
    <i r="2">
      <x v="295"/>
    </i>
    <i r="2">
      <x v="756"/>
    </i>
    <i r="2">
      <x v="889"/>
    </i>
    <i r="1">
      <x v="51"/>
    </i>
    <i r="2">
      <x v="599"/>
    </i>
    <i r="2">
      <x v="677"/>
    </i>
    <i r="2">
      <x v="733"/>
    </i>
    <i r="1">
      <x v="55"/>
    </i>
    <i r="2">
      <x v="120"/>
    </i>
    <i r="2">
      <x v="161"/>
    </i>
    <i r="2">
      <x v="601"/>
    </i>
    <i r="2">
      <x v="764"/>
    </i>
    <i r="2">
      <x v="766"/>
    </i>
    <i r="1">
      <x v="56"/>
    </i>
    <i r="2">
      <x v="772"/>
    </i>
    <i r="2">
      <x v="822"/>
    </i>
    <i r="1">
      <x v="57"/>
    </i>
    <i r="2">
      <x v="69"/>
    </i>
    <i r="2">
      <x v="164"/>
    </i>
    <i r="2">
      <x v="332"/>
    </i>
    <i r="2">
      <x v="519"/>
    </i>
    <i r="2">
      <x v="531"/>
    </i>
    <i r="2">
      <x v="674"/>
    </i>
    <i r="2">
      <x v="687"/>
    </i>
    <i r="1">
      <x v="59"/>
    </i>
    <i r="2">
      <x v="218"/>
    </i>
    <i r="2">
      <x v="275"/>
    </i>
    <i r="2">
      <x v="334"/>
    </i>
    <i r="2">
      <x v="507"/>
    </i>
    <i r="2">
      <x v="515"/>
    </i>
    <i r="2">
      <x v="672"/>
    </i>
    <i r="2">
      <x v="684"/>
    </i>
    <i r="2">
      <x v="744"/>
    </i>
    <i r="2">
      <x v="811"/>
    </i>
    <i r="2">
      <x v="844"/>
    </i>
    <i r="2">
      <x v="924"/>
    </i>
    <i r="2">
      <x v="936"/>
    </i>
    <i r="2">
      <x v="940"/>
    </i>
    <i r="2">
      <x v="979"/>
    </i>
    <i r="1">
      <x v="61"/>
    </i>
    <i r="2">
      <x v="548"/>
    </i>
    <i r="1">
      <x v="63"/>
    </i>
    <i r="2">
      <x v="603"/>
    </i>
    <i r="2">
      <x v="702"/>
    </i>
    <i r="1">
      <x v="69"/>
    </i>
    <i r="2">
      <x v="59"/>
    </i>
    <i r="2">
      <x v="185"/>
    </i>
    <i r="2">
      <x v="251"/>
    </i>
    <i r="2">
      <x v="422"/>
    </i>
    <i r="2">
      <x v="426"/>
    </i>
    <i r="2">
      <x v="460"/>
    </i>
    <i r="2">
      <x v="497"/>
    </i>
    <i r="2">
      <x v="554"/>
    </i>
    <i r="2">
      <x v="555"/>
    </i>
    <i r="2">
      <x v="578"/>
    </i>
    <i r="2">
      <x v="790"/>
    </i>
    <i r="2">
      <x v="894"/>
    </i>
    <i r="2">
      <x v="987"/>
    </i>
    <i r="1">
      <x v="70"/>
    </i>
    <i r="2">
      <x v="51"/>
    </i>
    <i r="2">
      <x v="101"/>
    </i>
    <i r="2">
      <x v="149"/>
    </i>
    <i r="2">
      <x v="153"/>
    </i>
    <i r="2">
      <x v="171"/>
    </i>
    <i r="2">
      <x v="211"/>
    </i>
    <i r="2">
      <x v="267"/>
    </i>
    <i r="2">
      <x v="276"/>
    </i>
    <i r="2">
      <x v="413"/>
    </i>
    <i r="2">
      <x v="557"/>
    </i>
    <i r="2">
      <x v="558"/>
    </i>
    <i r="2">
      <x v="670"/>
    </i>
    <i r="2">
      <x v="890"/>
    </i>
    <i r="2">
      <x v="951"/>
    </i>
    <i r="2">
      <x v="990"/>
    </i>
    <i r="2">
      <x v="1001"/>
    </i>
    <i r="2">
      <x v="1013"/>
    </i>
    <i r="1">
      <x v="72"/>
    </i>
    <i r="2">
      <x v="151"/>
    </i>
    <i r="2">
      <x v="177"/>
    </i>
    <i r="2">
      <x v="368"/>
    </i>
    <i r="1">
      <x v="80"/>
    </i>
    <i r="2">
      <x v="423"/>
    </i>
    <i r="2">
      <x v="442"/>
    </i>
    <i r="2">
      <x v="500"/>
    </i>
    <i r="1">
      <x v="90"/>
    </i>
    <i r="2">
      <x v="639"/>
    </i>
    <i r="2">
      <x v="720"/>
    </i>
    <i r="2">
      <x v="802"/>
    </i>
    <i r="2">
      <x v="938"/>
    </i>
    <i r="1">
      <x v="101"/>
    </i>
    <i r="2">
      <x v="838"/>
    </i>
    <i r="1">
      <x v="107"/>
    </i>
    <i r="2">
      <x v="49"/>
    </i>
    <i r="2">
      <x v="150"/>
    </i>
    <i r="2">
      <x v="304"/>
    </i>
    <i r="2">
      <x v="307"/>
    </i>
    <i r="2">
      <x v="435"/>
    </i>
    <i r="2">
      <x v="480"/>
    </i>
    <i r="2">
      <x v="504"/>
    </i>
    <i r="2">
      <x v="759"/>
    </i>
    <i r="2">
      <x v="783"/>
    </i>
    <i r="2">
      <x v="793"/>
    </i>
    <i r="2">
      <x v="796"/>
    </i>
    <i r="2">
      <x v="839"/>
    </i>
    <i r="2">
      <x v="948"/>
    </i>
    <i r="2">
      <x v="981"/>
    </i>
    <i r="2">
      <x v="1009"/>
    </i>
    <i r="1">
      <x v="110"/>
    </i>
    <i r="2">
      <x v="42"/>
    </i>
    <i r="2">
      <x v="75"/>
    </i>
    <i r="2">
      <x v="126"/>
    </i>
    <i r="2">
      <x v="434"/>
    </i>
    <i r="2">
      <x v="510"/>
    </i>
    <i r="2">
      <x v="837"/>
    </i>
    <i r="1">
      <x v="112"/>
    </i>
    <i r="2">
      <x v="292"/>
    </i>
    <i r="2">
      <x v="405"/>
    </i>
    <i r="2">
      <x v="577"/>
    </i>
    <i r="2">
      <x v="591"/>
    </i>
    <i r="2">
      <x v="663"/>
    </i>
    <i r="2">
      <x v="907"/>
    </i>
    <i r="1">
      <x v="117"/>
    </i>
    <i r="2">
      <x v="265"/>
    </i>
    <i r="2">
      <x v="600"/>
    </i>
    <i r="1">
      <x v="119"/>
    </i>
    <i r="2">
      <x v="784"/>
    </i>
    <i r="2">
      <x v="974"/>
    </i>
    <i r="1">
      <x v="121"/>
    </i>
    <i r="2">
      <x v="181"/>
    </i>
    <i r="2">
      <x v="344"/>
    </i>
    <i r="2">
      <x v="345"/>
    </i>
    <i r="2">
      <x v="346"/>
    </i>
    <i r="2">
      <x v="865"/>
    </i>
    <i r="1">
      <x v="127"/>
    </i>
    <i r="2">
      <x v="217"/>
    </i>
    <i r="1">
      <x v="128"/>
    </i>
    <i r="2">
      <x v="630"/>
    </i>
    <i r="1">
      <x v="134"/>
    </i>
    <i r="2">
      <x v="35"/>
    </i>
    <i r="2">
      <x v="40"/>
    </i>
    <i r="2">
      <x v="43"/>
    </i>
    <i r="2">
      <x v="54"/>
    </i>
    <i r="2">
      <x v="66"/>
    </i>
    <i r="2">
      <x v="70"/>
    </i>
    <i r="2">
      <x v="72"/>
    </i>
    <i r="2">
      <x v="156"/>
    </i>
    <i r="2">
      <x v="237"/>
    </i>
    <i r="2">
      <x v="259"/>
    </i>
    <i r="2">
      <x v="303"/>
    </i>
    <i r="2">
      <x v="331"/>
    </i>
    <i r="2">
      <x v="404"/>
    </i>
    <i r="2">
      <x v="520"/>
    </i>
    <i r="2">
      <x v="534"/>
    </i>
    <i r="2">
      <x v="566"/>
    </i>
    <i r="2">
      <x v="579"/>
    </i>
    <i r="2">
      <x v="587"/>
    </i>
    <i r="2">
      <x v="594"/>
    </i>
    <i r="2">
      <x v="659"/>
    </i>
    <i r="2">
      <x v="718"/>
    </i>
    <i r="2">
      <x v="760"/>
    </i>
    <i r="2">
      <x v="835"/>
    </i>
    <i r="2">
      <x v="847"/>
    </i>
    <i r="2">
      <x v="879"/>
    </i>
    <i r="2">
      <x v="898"/>
    </i>
    <i r="2">
      <x v="928"/>
    </i>
    <i r="1">
      <x v="135"/>
    </i>
    <i r="2">
      <x v="230"/>
    </i>
    <i r="2">
      <x v="494"/>
    </i>
    <i r="2">
      <x v="773"/>
    </i>
    <i r="2">
      <x v="800"/>
    </i>
    <i r="2">
      <x v="1012"/>
    </i>
    <i r="1">
      <x v="137"/>
    </i>
    <i r="2">
      <x v="182"/>
    </i>
    <i r="2">
      <x v="394"/>
    </i>
    <i r="1">
      <x v="141"/>
    </i>
    <i r="2">
      <x v="22"/>
    </i>
    <i r="2">
      <x v="23"/>
    </i>
    <i r="2">
      <x v="26"/>
    </i>
    <i r="2">
      <x v="68"/>
    </i>
    <i r="2">
      <x v="98"/>
    </i>
    <i r="2">
      <x v="195"/>
    </i>
    <i r="2">
      <x v="325"/>
    </i>
    <i r="2">
      <x v="556"/>
    </i>
    <i r="2">
      <x v="788"/>
    </i>
    <i r="2">
      <x v="947"/>
    </i>
    <i r="2">
      <x v="976"/>
    </i>
    <i r="2">
      <x v="984"/>
    </i>
    <i r="1">
      <x v="151"/>
    </i>
    <i r="2">
      <x v="146"/>
    </i>
    <i r="2">
      <x v="431"/>
    </i>
    <i r="2">
      <x v="553"/>
    </i>
    <i r="2">
      <x v="913"/>
    </i>
    <i r="2">
      <x v="932"/>
    </i>
    <i r="2">
      <x v="1021"/>
    </i>
    <i r="1">
      <x v="156"/>
    </i>
    <i r="2">
      <x v="686"/>
    </i>
    <i r="1">
      <x v="159"/>
    </i>
    <i r="2">
      <x v="855"/>
    </i>
    <i r="2">
      <x v="873"/>
    </i>
    <i r="2">
      <x v="1024"/>
    </i>
    <i r="1">
      <x v="160"/>
    </i>
    <i r="2">
      <x v="63"/>
    </i>
    <i r="2">
      <x v="108"/>
    </i>
    <i r="2">
      <x v="175"/>
    </i>
    <i r="2">
      <x v="484"/>
    </i>
    <i r="2">
      <x v="615"/>
    </i>
    <i r="2">
      <x v="955"/>
    </i>
    <i>
      <x v="2"/>
    </i>
    <i r="1">
      <x v="35"/>
    </i>
    <i r="2">
      <x v="1"/>
    </i>
    <i r="2">
      <x v="109"/>
    </i>
    <i r="2">
      <x v="224"/>
    </i>
    <i r="2">
      <x v="330"/>
    </i>
    <i>
      <x v="3"/>
    </i>
    <i r="1">
      <x v="22"/>
    </i>
    <i r="2">
      <x v="131"/>
    </i>
    <i r="2">
      <x v="199"/>
    </i>
    <i r="2">
      <x v="795"/>
    </i>
    <i r="1">
      <x v="58"/>
    </i>
    <i r="2">
      <x v="300"/>
    </i>
    <i r="2">
      <x v="359"/>
    </i>
    <i r="1">
      <x v="87"/>
    </i>
    <i r="2">
      <x v="19"/>
    </i>
    <i r="2">
      <x v="353"/>
    </i>
    <i r="2">
      <x v="438"/>
    </i>
    <i r="2">
      <x v="572"/>
    </i>
    <i r="2">
      <x v="690"/>
    </i>
    <i r="1">
      <x v="88"/>
    </i>
    <i r="2">
      <x v="172"/>
    </i>
    <i r="2">
      <x v="361"/>
    </i>
    <i r="2">
      <x v="804"/>
    </i>
    <i r="1">
      <x v="94"/>
    </i>
    <i r="2">
      <x v="226"/>
    </i>
    <i r="1">
      <x v="95"/>
    </i>
    <i r="2">
      <x v="660"/>
    </i>
    <i r="2">
      <x v="661"/>
    </i>
    <i r="2">
      <x v="711"/>
    </i>
    <i r="1">
      <x v="96"/>
    </i>
    <i r="2">
      <x v="29"/>
    </i>
    <i r="1">
      <x v="133"/>
    </i>
    <i r="2">
      <x v="136"/>
    </i>
    <i r="2">
      <x v="188"/>
    </i>
    <i r="2">
      <x v="391"/>
    </i>
    <i r="2">
      <x v="429"/>
    </i>
    <i r="2">
      <x v="584"/>
    </i>
    <i r="2">
      <x v="767"/>
    </i>
    <i r="1">
      <x v="153"/>
    </i>
    <i r="2">
      <x v="28"/>
    </i>
    <i>
      <x v="4"/>
    </i>
    <i r="1">
      <x/>
    </i>
    <i r="2">
      <x v="681"/>
    </i>
    <i r="1">
      <x v="9"/>
    </i>
    <i r="2">
      <x v="91"/>
    </i>
    <i r="2">
      <x v="328"/>
    </i>
    <i r="1">
      <x v="13"/>
    </i>
    <i r="2">
      <x v="48"/>
    </i>
    <i r="2">
      <x v="298"/>
    </i>
    <i r="2">
      <x v="319"/>
    </i>
    <i r="2">
      <x v="420"/>
    </i>
    <i r="2">
      <x v="694"/>
    </i>
    <i r="2">
      <x v="738"/>
    </i>
    <i r="2">
      <x v="934"/>
    </i>
    <i r="2">
      <x v="966"/>
    </i>
    <i r="2">
      <x v="967"/>
    </i>
    <i r="1">
      <x v="20"/>
    </i>
    <i r="2">
      <x v="257"/>
    </i>
    <i r="2">
      <x v="327"/>
    </i>
    <i r="2">
      <x v="1003"/>
    </i>
    <i r="1">
      <x v="31"/>
    </i>
    <i r="2">
      <x v="238"/>
    </i>
    <i r="2">
      <x v="366"/>
    </i>
    <i r="2">
      <x v="379"/>
    </i>
    <i r="2">
      <x v="679"/>
    </i>
    <i r="2">
      <x v="978"/>
    </i>
    <i r="1">
      <x v="37"/>
    </i>
    <i r="2">
      <x v="390"/>
    </i>
    <i r="2">
      <x v="392"/>
    </i>
    <i r="2">
      <x v="461"/>
    </i>
    <i r="1">
      <x v="42"/>
    </i>
    <i r="2">
      <x v="94"/>
    </i>
    <i r="2">
      <x v="333"/>
    </i>
    <i r="2">
      <x v="588"/>
    </i>
    <i r="2">
      <x v="877"/>
    </i>
    <i r="1">
      <x v="71"/>
    </i>
    <i r="2">
      <x v="277"/>
    </i>
    <i r="2">
      <x v="501"/>
    </i>
    <i r="1">
      <x v="89"/>
    </i>
    <i r="2">
      <x v="397"/>
    </i>
    <i r="2">
      <x v="843"/>
    </i>
    <i r="2">
      <x v="986"/>
    </i>
    <i r="1">
      <x v="97"/>
    </i>
    <i r="2">
      <x v="348"/>
    </i>
    <i r="2">
      <x v="351"/>
    </i>
    <i r="2">
      <x v="513"/>
    </i>
    <i r="2">
      <x v="539"/>
    </i>
    <i r="2">
      <x v="567"/>
    </i>
    <i r="1">
      <x v="99"/>
    </i>
    <i r="2">
      <x v="983"/>
    </i>
    <i r="1">
      <x v="104"/>
    </i>
    <i r="2">
      <x v="246"/>
    </i>
    <i r="2">
      <x v="586"/>
    </i>
    <i r="1">
      <x v="108"/>
    </i>
    <i r="2">
      <x v="20"/>
    </i>
    <i r="2">
      <x v="139"/>
    </i>
    <i r="2">
      <x v="157"/>
    </i>
    <i r="2">
      <x v="336"/>
    </i>
    <i r="2">
      <x v="636"/>
    </i>
    <i r="2">
      <x v="714"/>
    </i>
    <i r="2">
      <x v="926"/>
    </i>
    <i r="2">
      <x v="1029"/>
    </i>
    <i r="1">
      <x v="113"/>
    </i>
    <i r="2">
      <x v="100"/>
    </i>
    <i r="2">
      <x v="203"/>
    </i>
    <i r="2">
      <x v="214"/>
    </i>
    <i r="2">
      <x v="219"/>
    </i>
    <i r="2">
      <x v="258"/>
    </i>
    <i r="2">
      <x v="314"/>
    </i>
    <i r="2">
      <x v="329"/>
    </i>
    <i r="2">
      <x v="399"/>
    </i>
    <i r="2">
      <x v="725"/>
    </i>
    <i r="1">
      <x v="144"/>
    </i>
    <i r="2">
      <x v="239"/>
    </i>
    <i r="2">
      <x v="291"/>
    </i>
    <i r="1">
      <x v="146"/>
    </i>
    <i r="2">
      <x v="104"/>
    </i>
    <i r="2">
      <x v="110"/>
    </i>
    <i r="2">
      <x v="117"/>
    </i>
    <i r="2">
      <x v="829"/>
    </i>
    <i r="2">
      <x v="949"/>
    </i>
    <i r="1">
      <x v="147"/>
    </i>
    <i r="2">
      <x v="173"/>
    </i>
    <i r="2">
      <x v="903"/>
    </i>
    <i>
      <x v="5"/>
    </i>
    <i r="1">
      <x v="10"/>
    </i>
    <i r="2">
      <x v="25"/>
    </i>
    <i r="2">
      <x v="372"/>
    </i>
    <i r="2">
      <x v="406"/>
    </i>
    <i r="2">
      <x v="644"/>
    </i>
    <i r="2">
      <x v="972"/>
    </i>
    <i r="1">
      <x v="32"/>
    </i>
    <i r="2">
      <x v="174"/>
    </i>
    <i r="1">
      <x v="33"/>
    </i>
    <i r="2">
      <x v="204"/>
    </i>
    <i r="2">
      <x v="521"/>
    </i>
    <i r="2">
      <x v="627"/>
    </i>
    <i r="1">
      <x v="47"/>
    </i>
    <i r="2">
      <x v="158"/>
    </i>
    <i r="2">
      <x v="425"/>
    </i>
    <i r="2">
      <x v="618"/>
    </i>
    <i r="1">
      <x v="52"/>
    </i>
    <i r="2">
      <x v="402"/>
    </i>
    <i r="2">
      <x v="414"/>
    </i>
    <i r="2">
      <x v="432"/>
    </i>
    <i r="2">
      <x v="433"/>
    </i>
    <i r="2">
      <x v="708"/>
    </i>
    <i r="2">
      <x v="762"/>
    </i>
    <i r="2">
      <x v="943"/>
    </i>
    <i r="1">
      <x v="53"/>
    </i>
    <i r="2">
      <x v="53"/>
    </i>
    <i r="2">
      <x v="727"/>
    </i>
    <i r="1">
      <x v="54"/>
    </i>
    <i r="2">
      <x v="664"/>
    </i>
    <i r="2">
      <x v="683"/>
    </i>
    <i r="1">
      <x v="60"/>
    </i>
    <i r="2">
      <x v="311"/>
    </i>
    <i r="2">
      <x v="324"/>
    </i>
    <i r="2">
      <x v="408"/>
    </i>
    <i r="2">
      <x v="647"/>
    </i>
    <i r="2">
      <x v="858"/>
    </i>
    <i r="2">
      <x v="927"/>
    </i>
    <i r="1">
      <x v="67"/>
    </i>
    <i r="2">
      <x v="103"/>
    </i>
    <i r="2">
      <x v="105"/>
    </i>
    <i r="2">
      <x v="189"/>
    </i>
    <i r="2">
      <x v="248"/>
    </i>
    <i r="2">
      <x v="485"/>
    </i>
    <i r="2">
      <x v="509"/>
    </i>
    <i r="1">
      <x v="73"/>
    </i>
    <i r="2">
      <x v="3"/>
    </i>
    <i r="2">
      <x v="7"/>
    </i>
    <i r="2">
      <x v="64"/>
    </i>
    <i r="2">
      <x v="106"/>
    </i>
    <i r="2">
      <x v="162"/>
    </i>
    <i r="2">
      <x v="398"/>
    </i>
    <i r="2">
      <x v="421"/>
    </i>
    <i r="2">
      <x v="559"/>
    </i>
    <i r="2">
      <x v="700"/>
    </i>
    <i r="2">
      <x v="771"/>
    </i>
    <i r="2">
      <x v="791"/>
    </i>
    <i r="1">
      <x v="78"/>
    </i>
    <i r="2">
      <x v="598"/>
    </i>
    <i r="1">
      <x v="81"/>
    </i>
    <i r="2">
      <x v="21"/>
    </i>
    <i r="2">
      <x v="190"/>
    </i>
    <i r="2">
      <x v="481"/>
    </i>
    <i r="2">
      <x v="488"/>
    </i>
    <i r="2">
      <x v="574"/>
    </i>
    <i r="2">
      <x v="622"/>
    </i>
    <i r="2">
      <x v="770"/>
    </i>
    <i r="2">
      <x v="905"/>
    </i>
    <i r="2">
      <x v="953"/>
    </i>
    <i r="1">
      <x v="85"/>
    </i>
    <i r="2">
      <x v="374"/>
    </i>
    <i r="2">
      <x v="409"/>
    </i>
    <i r="2">
      <x v="560"/>
    </i>
    <i r="2">
      <x v="595"/>
    </i>
    <i r="2">
      <x v="807"/>
    </i>
    <i r="1">
      <x v="92"/>
    </i>
    <i r="2">
      <x v="209"/>
    </i>
    <i r="2">
      <x v="296"/>
    </i>
    <i r="2">
      <x v="620"/>
    </i>
    <i r="1">
      <x v="93"/>
    </i>
    <i r="2">
      <x v="87"/>
    </i>
    <i r="2">
      <x v="102"/>
    </i>
    <i r="2">
      <x v="125"/>
    </i>
    <i r="2">
      <x v="166"/>
    </i>
    <i r="2">
      <x v="191"/>
    </i>
    <i r="2">
      <x v="280"/>
    </i>
    <i r="2">
      <x v="290"/>
    </i>
    <i r="2">
      <x v="371"/>
    </i>
    <i r="2">
      <x v="416"/>
    </i>
    <i r="2">
      <x v="437"/>
    </i>
    <i r="2">
      <x v="545"/>
    </i>
    <i r="2">
      <x v="576"/>
    </i>
    <i r="2">
      <x v="583"/>
    </i>
    <i r="2">
      <x v="592"/>
    </i>
    <i r="2">
      <x v="619"/>
    </i>
    <i r="2">
      <x v="652"/>
    </i>
    <i r="2">
      <x v="675"/>
    </i>
    <i r="2">
      <x v="697"/>
    </i>
    <i r="2">
      <x v="707"/>
    </i>
    <i r="2">
      <x v="805"/>
    </i>
    <i r="2">
      <x v="806"/>
    </i>
    <i r="2">
      <x v="814"/>
    </i>
    <i r="2">
      <x v="830"/>
    </i>
    <i r="2">
      <x v="874"/>
    </i>
    <i r="2">
      <x v="899"/>
    </i>
    <i r="2">
      <x v="959"/>
    </i>
    <i r="1">
      <x v="98"/>
    </i>
    <i r="2">
      <x v="84"/>
    </i>
    <i r="2">
      <x v="270"/>
    </i>
    <i r="2">
      <x v="472"/>
    </i>
    <i r="2">
      <x v="960"/>
    </i>
    <i r="2">
      <x v="973"/>
    </i>
    <i r="1">
      <x v="103"/>
    </i>
    <i r="2">
      <x v="210"/>
    </i>
    <i r="1">
      <x v="129"/>
    </i>
    <i r="2">
      <x v="95"/>
    </i>
    <i r="2">
      <x v="113"/>
    </i>
    <i r="2">
      <x v="196"/>
    </i>
    <i r="2">
      <x v="212"/>
    </i>
    <i r="2">
      <x v="223"/>
    </i>
    <i r="2">
      <x v="281"/>
    </i>
    <i r="2">
      <x v="373"/>
    </i>
    <i r="2">
      <x v="407"/>
    </i>
    <i r="2">
      <x v="411"/>
    </i>
    <i r="2">
      <x v="412"/>
    </i>
    <i r="2">
      <x v="441"/>
    </i>
    <i r="2">
      <x v="470"/>
    </i>
    <i r="2">
      <x v="511"/>
    </i>
    <i r="2">
      <x v="512"/>
    </i>
    <i r="2">
      <x v="535"/>
    </i>
    <i r="2">
      <x v="761"/>
    </i>
    <i r="2">
      <x v="852"/>
    </i>
    <i r="2">
      <x v="895"/>
    </i>
    <i r="2">
      <x v="1022"/>
    </i>
    <i r="1">
      <x v="130"/>
    </i>
    <i r="2">
      <x v="114"/>
    </i>
    <i r="2">
      <x v="115"/>
    </i>
    <i r="2">
      <x v="116"/>
    </i>
    <i r="2">
      <x v="163"/>
    </i>
    <i r="2">
      <x v="179"/>
    </i>
    <i r="2">
      <x v="424"/>
    </i>
    <i r="2">
      <x v="430"/>
    </i>
    <i r="2">
      <x v="731"/>
    </i>
    <i r="2">
      <x v="732"/>
    </i>
    <i r="2">
      <x v="859"/>
    </i>
    <i r="2">
      <x v="957"/>
    </i>
    <i r="2">
      <x v="964"/>
    </i>
    <i r="1">
      <x v="132"/>
    </i>
    <i r="2">
      <x v="168"/>
    </i>
    <i r="2">
      <x v="410"/>
    </i>
    <i r="1">
      <x v="145"/>
    </i>
    <i r="2">
      <x/>
    </i>
    <i r="2">
      <x v="55"/>
    </i>
    <i r="2">
      <x v="140"/>
    </i>
    <i r="2">
      <x v="415"/>
    </i>
    <i r="2">
      <x v="436"/>
    </i>
    <i r="2">
      <x v="608"/>
    </i>
    <i r="2">
      <x v="612"/>
    </i>
    <i r="2">
      <x v="657"/>
    </i>
    <i r="2">
      <x v="821"/>
    </i>
    <i r="1">
      <x v="164"/>
    </i>
    <i r="2">
      <x v="696"/>
    </i>
    <i>
      <x v="6"/>
    </i>
    <i r="1">
      <x v="12"/>
    </i>
    <i r="2">
      <x v="27"/>
    </i>
    <i r="2">
      <x v="56"/>
    </i>
    <i r="1">
      <x v="64"/>
    </i>
    <i r="2">
      <x v="418"/>
    </i>
    <i r="2">
      <x v="885"/>
    </i>
    <i r="2">
      <x v="891"/>
    </i>
    <i r="2">
      <x v="993"/>
    </i>
    <i r="1">
      <x v="65"/>
    </i>
    <i r="2">
      <x v="241"/>
    </i>
    <i r="2">
      <x v="542"/>
    </i>
    <i r="2">
      <x v="602"/>
    </i>
    <i r="2">
      <x v="933"/>
    </i>
    <i r="2">
      <x v="992"/>
    </i>
    <i r="1">
      <x v="68"/>
    </i>
    <i r="2">
      <x v="61"/>
    </i>
    <i r="2">
      <x v="67"/>
    </i>
    <i r="2">
      <x v="78"/>
    </i>
    <i r="2">
      <x v="240"/>
    </i>
    <i r="2">
      <x v="242"/>
    </i>
    <i r="2">
      <x v="293"/>
    </i>
    <i r="2">
      <x v="318"/>
    </i>
    <i r="2">
      <x v="375"/>
    </i>
    <i r="2">
      <x v="439"/>
    </i>
    <i r="2">
      <x v="498"/>
    </i>
    <i r="2">
      <x v="536"/>
    </i>
    <i r="2">
      <x v="540"/>
    </i>
    <i r="2">
      <x v="596"/>
    </i>
    <i r="2">
      <x v="623"/>
    </i>
    <i r="2">
      <x v="743"/>
    </i>
    <i r="2">
      <x v="1020"/>
    </i>
    <i r="1">
      <x v="91"/>
    </i>
    <i r="2">
      <x v="289"/>
    </i>
    <i r="2">
      <x v="703"/>
    </i>
    <i r="1">
      <x v="108"/>
    </i>
    <i r="2">
      <x v="1028"/>
    </i>
    <i r="1">
      <x v="116"/>
    </i>
    <i r="2">
      <x v="4"/>
    </i>
    <i r="2">
      <x v="6"/>
    </i>
    <i r="2">
      <x v="9"/>
    </i>
    <i r="2">
      <x v="13"/>
    </i>
    <i r="2">
      <x v="38"/>
    </i>
    <i r="2">
      <x v="41"/>
    </i>
    <i r="2">
      <x v="44"/>
    </i>
    <i r="2">
      <x v="45"/>
    </i>
    <i r="2">
      <x v="46"/>
    </i>
    <i r="2">
      <x v="81"/>
    </i>
    <i r="2">
      <x v="86"/>
    </i>
    <i r="2">
      <x v="141"/>
    </i>
    <i r="2">
      <x v="148"/>
    </i>
    <i r="2">
      <x v="165"/>
    </i>
    <i r="2">
      <x v="194"/>
    </i>
    <i r="2">
      <x v="202"/>
    </i>
    <i r="2">
      <x v="205"/>
    </i>
    <i r="2">
      <x v="234"/>
    </i>
    <i r="2">
      <x v="235"/>
    </i>
    <i r="2">
      <x v="243"/>
    </i>
    <i r="2">
      <x v="260"/>
    </i>
    <i r="2">
      <x v="271"/>
    </i>
    <i r="2">
      <x v="279"/>
    </i>
    <i r="2">
      <x v="315"/>
    </i>
    <i r="2">
      <x v="316"/>
    </i>
    <i r="2">
      <x v="317"/>
    </i>
    <i r="2">
      <x v="337"/>
    </i>
    <i r="2">
      <x v="349"/>
    </i>
    <i r="2">
      <x v="360"/>
    </i>
    <i r="2">
      <x v="383"/>
    </i>
    <i r="2">
      <x v="445"/>
    </i>
    <i r="2">
      <x v="454"/>
    </i>
    <i r="2">
      <x v="456"/>
    </i>
    <i r="2">
      <x v="463"/>
    </i>
    <i r="2">
      <x v="496"/>
    </i>
    <i r="2">
      <x v="551"/>
    </i>
    <i r="2">
      <x v="571"/>
    </i>
    <i r="2">
      <x v="585"/>
    </i>
    <i r="2">
      <x v="589"/>
    </i>
    <i r="2">
      <x v="609"/>
    </i>
    <i r="2">
      <x v="624"/>
    </i>
    <i r="2">
      <x v="640"/>
    </i>
    <i r="2">
      <x v="665"/>
    </i>
    <i r="2">
      <x v="668"/>
    </i>
    <i r="2">
      <x v="676"/>
    </i>
    <i r="2">
      <x v="691"/>
    </i>
    <i r="2">
      <x v="698"/>
    </i>
    <i r="2">
      <x v="724"/>
    </i>
    <i r="2">
      <x v="780"/>
    </i>
    <i r="2">
      <x v="787"/>
    </i>
    <i r="2">
      <x v="798"/>
    </i>
    <i r="2">
      <x v="812"/>
    </i>
    <i r="2">
      <x v="813"/>
    </i>
    <i r="2">
      <x v="824"/>
    </i>
    <i r="2">
      <x v="846"/>
    </i>
    <i r="2">
      <x v="849"/>
    </i>
    <i r="2">
      <x v="864"/>
    </i>
    <i r="2">
      <x v="871"/>
    </i>
    <i r="2">
      <x v="872"/>
    </i>
    <i r="2">
      <x v="883"/>
    </i>
    <i r="2">
      <x v="941"/>
    </i>
    <i r="2">
      <x v="962"/>
    </i>
    <i r="2">
      <x v="1016"/>
    </i>
    <i>
      <x v="7"/>
    </i>
    <i r="1">
      <x v="2"/>
    </i>
    <i r="2">
      <x v="167"/>
    </i>
    <i r="2">
      <x v="347"/>
    </i>
    <i r="2">
      <x v="937"/>
    </i>
    <i r="1">
      <x v="3"/>
    </i>
    <i r="2">
      <x v="62"/>
    </i>
    <i r="2">
      <x v="79"/>
    </i>
    <i r="2">
      <x v="90"/>
    </i>
    <i r="2">
      <x v="96"/>
    </i>
    <i r="2">
      <x v="132"/>
    </i>
    <i r="2">
      <x v="133"/>
    </i>
    <i r="2">
      <x v="221"/>
    </i>
    <i r="2">
      <x v="305"/>
    </i>
    <i r="2">
      <x v="387"/>
    </i>
    <i r="2">
      <x v="475"/>
    </i>
    <i r="2">
      <x v="605"/>
    </i>
    <i r="2">
      <x v="617"/>
    </i>
    <i r="2">
      <x v="680"/>
    </i>
    <i r="2">
      <x v="778"/>
    </i>
    <i r="2">
      <x v="963"/>
    </i>
    <i r="2">
      <x v="1025"/>
    </i>
    <i r="1">
      <x v="7"/>
    </i>
    <i r="2">
      <x v="122"/>
    </i>
    <i r="2">
      <x v="544"/>
    </i>
    <i r="2">
      <x v="715"/>
    </i>
    <i r="2">
      <x v="991"/>
    </i>
    <i r="1">
      <x v="15"/>
    </i>
    <i r="2">
      <x v="286"/>
    </i>
    <i r="2">
      <x v="517"/>
    </i>
    <i r="2">
      <x v="704"/>
    </i>
    <i r="2">
      <x v="736"/>
    </i>
    <i r="2">
      <x v="968"/>
    </i>
    <i r="1">
      <x v="17"/>
    </i>
    <i r="2">
      <x v="37"/>
    </i>
    <i r="2">
      <x v="111"/>
    </i>
    <i r="2">
      <x v="364"/>
    </i>
    <i r="1">
      <x v="21"/>
    </i>
    <i r="2">
      <x v="32"/>
    </i>
    <i r="2">
      <x v="36"/>
    </i>
    <i r="2">
      <x v="74"/>
    </i>
    <i r="2">
      <x v="176"/>
    </i>
    <i r="2">
      <x v="178"/>
    </i>
    <i r="2">
      <x v="233"/>
    </i>
    <i r="2">
      <x v="264"/>
    </i>
    <i r="2">
      <x v="297"/>
    </i>
    <i r="2">
      <x v="362"/>
    </i>
    <i r="2">
      <x v="388"/>
    </i>
    <i r="2">
      <x v="450"/>
    </i>
    <i r="2">
      <x v="457"/>
    </i>
    <i r="2">
      <x v="458"/>
    </i>
    <i r="2">
      <x v="459"/>
    </i>
    <i r="2">
      <x v="465"/>
    </i>
    <i r="2">
      <x v="506"/>
    </i>
    <i r="2">
      <x v="516"/>
    </i>
    <i r="2">
      <x v="533"/>
    </i>
    <i r="2">
      <x v="549"/>
    </i>
    <i r="2">
      <x v="582"/>
    </i>
    <i r="2">
      <x v="632"/>
    </i>
    <i r="2">
      <x v="633"/>
    </i>
    <i r="2">
      <x v="682"/>
    </i>
    <i r="2">
      <x v="701"/>
    </i>
    <i r="2">
      <x v="710"/>
    </i>
    <i r="2">
      <x v="728"/>
    </i>
    <i r="2">
      <x v="740"/>
    </i>
    <i r="2">
      <x v="750"/>
    </i>
    <i r="2">
      <x v="775"/>
    </i>
    <i r="2">
      <x v="862"/>
    </i>
    <i r="2">
      <x v="919"/>
    </i>
    <i r="2">
      <x v="1008"/>
    </i>
    <i r="1">
      <x v="23"/>
    </i>
    <i r="2">
      <x v="73"/>
    </i>
    <i r="2">
      <x v="845"/>
    </i>
    <i r="2">
      <x v="906"/>
    </i>
    <i r="1">
      <x v="25"/>
    </i>
    <i r="2">
      <x v="213"/>
    </i>
    <i r="2">
      <x v="256"/>
    </i>
    <i r="2">
      <x v="343"/>
    </i>
    <i r="2">
      <x v="444"/>
    </i>
    <i r="2">
      <x v="526"/>
    </i>
    <i r="2">
      <x v="529"/>
    </i>
    <i r="2">
      <x v="530"/>
    </i>
    <i r="2">
      <x v="543"/>
    </i>
    <i r="2">
      <x v="671"/>
    </i>
    <i r="2">
      <x v="817"/>
    </i>
    <i r="2">
      <x v="888"/>
    </i>
    <i r="1">
      <x v="28"/>
    </i>
    <i r="2">
      <x v="12"/>
    </i>
    <i r="2">
      <x v="39"/>
    </i>
    <i r="2">
      <x v="124"/>
    </i>
    <i r="1">
      <x v="45"/>
    </i>
    <i r="2">
      <x v="338"/>
    </i>
    <i r="2">
      <x v="376"/>
    </i>
    <i r="2">
      <x v="739"/>
    </i>
    <i r="2">
      <x v="774"/>
    </i>
    <i r="2">
      <x v="989"/>
    </i>
    <i r="1">
      <x v="62"/>
    </i>
    <i r="2">
      <x v="152"/>
    </i>
    <i r="1">
      <x v="66"/>
    </i>
    <i r="2">
      <x v="8"/>
    </i>
    <i r="2">
      <x v="97"/>
    </i>
    <i r="2">
      <x v="135"/>
    </i>
    <i r="2">
      <x v="184"/>
    </i>
    <i r="2">
      <x v="253"/>
    </i>
    <i r="2">
      <x v="309"/>
    </i>
    <i r="2">
      <x v="310"/>
    </i>
    <i r="2">
      <x v="395"/>
    </i>
    <i r="2">
      <x v="448"/>
    </i>
    <i r="2">
      <x v="734"/>
    </i>
    <i r="2">
      <x v="809"/>
    </i>
    <i r="2">
      <x v="823"/>
    </i>
    <i r="2">
      <x v="833"/>
    </i>
    <i r="2">
      <x v="834"/>
    </i>
    <i r="2">
      <x v="842"/>
    </i>
    <i r="2">
      <x v="886"/>
    </i>
    <i r="2">
      <x v="893"/>
    </i>
    <i r="2">
      <x v="930"/>
    </i>
    <i r="2">
      <x v="944"/>
    </i>
    <i r="2">
      <x v="946"/>
    </i>
    <i r="2">
      <x v="950"/>
    </i>
    <i r="2">
      <x v="1000"/>
    </i>
    <i r="1">
      <x v="76"/>
    </i>
    <i r="2">
      <x v="180"/>
    </i>
    <i r="2">
      <x v="215"/>
    </i>
    <i r="2">
      <x v="245"/>
    </i>
    <i r="2">
      <x v="320"/>
    </i>
    <i r="2">
      <x v="385"/>
    </i>
    <i r="2">
      <x v="396"/>
    </i>
    <i r="2">
      <x v="400"/>
    </i>
    <i r="2">
      <x v="401"/>
    </i>
    <i r="2">
      <x v="403"/>
    </i>
    <i r="2">
      <x v="427"/>
    </i>
    <i r="2">
      <x v="473"/>
    </i>
    <i r="2">
      <x v="502"/>
    </i>
    <i r="2">
      <x v="514"/>
    </i>
    <i r="2">
      <x v="518"/>
    </i>
    <i r="2">
      <x v="522"/>
    </i>
    <i r="2">
      <x v="562"/>
    </i>
    <i r="2">
      <x v="565"/>
    </i>
    <i r="2">
      <x v="688"/>
    </i>
    <i r="2">
      <x v="699"/>
    </i>
    <i r="2">
      <x v="712"/>
    </i>
    <i r="2">
      <x v="818"/>
    </i>
    <i r="2">
      <x v="856"/>
    </i>
    <i r="2">
      <x v="892"/>
    </i>
    <i r="2">
      <x v="921"/>
    </i>
    <i r="2">
      <x v="923"/>
    </i>
    <i r="2">
      <x v="925"/>
    </i>
    <i r="2">
      <x v="1014"/>
    </i>
    <i r="2">
      <x v="1018"/>
    </i>
    <i r="1">
      <x v="83"/>
    </i>
    <i r="2">
      <x v="30"/>
    </i>
    <i r="2">
      <x v="60"/>
    </i>
    <i r="2">
      <x v="118"/>
    </i>
    <i r="2">
      <x v="255"/>
    </i>
    <i r="2">
      <x v="302"/>
    </i>
    <i r="2">
      <x v="326"/>
    </i>
    <i r="2">
      <x v="335"/>
    </i>
    <i r="2">
      <x v="474"/>
    </i>
    <i r="2">
      <x v="477"/>
    </i>
    <i r="2">
      <x v="492"/>
    </i>
    <i r="2">
      <x v="508"/>
    </i>
    <i r="2">
      <x v="575"/>
    </i>
    <i r="2">
      <x v="581"/>
    </i>
    <i r="2">
      <x v="755"/>
    </i>
    <i r="2">
      <x v="826"/>
    </i>
    <i r="2">
      <x v="832"/>
    </i>
    <i r="2">
      <x v="878"/>
    </i>
    <i r="2">
      <x v="884"/>
    </i>
    <i r="2">
      <x v="920"/>
    </i>
    <i r="2">
      <x v="971"/>
    </i>
    <i r="2">
      <x v="980"/>
    </i>
    <i r="2">
      <x v="988"/>
    </i>
    <i r="2">
      <x v="1007"/>
    </i>
    <i r="2">
      <x v="1010"/>
    </i>
    <i r="1">
      <x v="102"/>
    </i>
    <i r="2">
      <x v="58"/>
    </i>
    <i r="2">
      <x v="89"/>
    </i>
    <i r="2">
      <x v="130"/>
    </i>
    <i r="2">
      <x v="232"/>
    </i>
    <i r="2">
      <x v="312"/>
    </i>
    <i r="2">
      <x v="590"/>
    </i>
    <i r="2">
      <x v="716"/>
    </i>
    <i r="2">
      <x v="747"/>
    </i>
    <i r="2">
      <x v="758"/>
    </i>
    <i r="2">
      <x v="1004"/>
    </i>
    <i r="2">
      <x v="1005"/>
    </i>
    <i r="2">
      <x v="1006"/>
    </i>
    <i r="1">
      <x v="105"/>
    </i>
    <i r="2">
      <x v="272"/>
    </i>
    <i r="2">
      <x v="365"/>
    </i>
    <i r="2">
      <x v="369"/>
    </i>
    <i r="2">
      <x v="447"/>
    </i>
    <i r="2">
      <x v="528"/>
    </i>
    <i r="2">
      <x v="541"/>
    </i>
    <i r="2">
      <x v="730"/>
    </i>
    <i r="2">
      <x v="867"/>
    </i>
    <i r="1">
      <x v="109"/>
    </i>
    <i r="2">
      <x v="34"/>
    </i>
    <i r="2">
      <x v="269"/>
    </i>
    <i r="2">
      <x v="705"/>
    </i>
    <i r="2">
      <x v="916"/>
    </i>
    <i r="2">
      <x v="958"/>
    </i>
    <i r="1">
      <x v="120"/>
    </i>
    <i r="2">
      <x v="80"/>
    </i>
    <i r="2">
      <x v="287"/>
    </i>
    <i r="2">
      <x v="306"/>
    </i>
    <i r="2">
      <x v="467"/>
    </i>
    <i r="2">
      <x v="468"/>
    </i>
    <i r="2">
      <x v="523"/>
    </i>
    <i r="2">
      <x v="721"/>
    </i>
    <i r="2">
      <x v="816"/>
    </i>
    <i r="2">
      <x v="881"/>
    </i>
    <i r="2">
      <x v="935"/>
    </i>
    <i r="1">
      <x v="131"/>
    </i>
    <i r="2">
      <x v="499"/>
    </i>
    <i r="2">
      <x v="939"/>
    </i>
    <i r="1">
      <x v="138"/>
    </i>
    <i r="2">
      <x v="200"/>
    </i>
    <i r="2">
      <x v="597"/>
    </i>
    <i r="1">
      <x v="152"/>
    </i>
    <i r="2">
      <x v="273"/>
    </i>
    <i r="2">
      <x v="975"/>
    </i>
    <i>
      <x v="8"/>
    </i>
    <i r="1">
      <x v="26"/>
    </i>
    <i r="2">
      <x v="2"/>
    </i>
    <i r="2">
      <x v="77"/>
    </i>
    <i r="2">
      <x v="85"/>
    </i>
    <i r="2">
      <x v="143"/>
    </i>
    <i r="2">
      <x v="201"/>
    </i>
    <i r="2">
      <x v="363"/>
    </i>
    <i r="2">
      <x v="370"/>
    </i>
    <i r="2">
      <x v="381"/>
    </i>
    <i r="2">
      <x v="443"/>
    </i>
    <i r="2">
      <x v="449"/>
    </i>
    <i r="2">
      <x v="538"/>
    </i>
    <i r="2">
      <x v="550"/>
    </i>
    <i r="2">
      <x v="568"/>
    </i>
    <i r="2">
      <x v="593"/>
    </i>
    <i r="2">
      <x v="613"/>
    </i>
    <i r="2">
      <x v="641"/>
    </i>
    <i r="2">
      <x v="689"/>
    </i>
    <i r="2">
      <x v="754"/>
    </i>
    <i r="2">
      <x v="851"/>
    </i>
    <i r="2">
      <x v="902"/>
    </i>
    <i r="2">
      <x v="904"/>
    </i>
    <i r="2">
      <x v="918"/>
    </i>
    <i r="2">
      <x v="1015"/>
    </i>
    <i r="2">
      <x v="1026"/>
    </i>
    <i r="1">
      <x v="27"/>
    </i>
    <i r="2">
      <x v="323"/>
    </i>
    <i r="2">
      <x v="610"/>
    </i>
    <i r="2">
      <x v="752"/>
    </i>
    <i r="1">
      <x v="84"/>
    </i>
    <i r="2">
      <x v="33"/>
    </i>
    <i r="2">
      <x v="144"/>
    </i>
    <i r="2">
      <x v="193"/>
    </i>
    <i r="2">
      <x v="216"/>
    </i>
    <i r="2">
      <x v="222"/>
    </i>
    <i r="2">
      <x v="262"/>
    </i>
    <i r="2">
      <x v="453"/>
    </i>
    <i r="2">
      <x v="546"/>
    </i>
    <i r="2">
      <x v="637"/>
    </i>
    <i r="2">
      <x v="638"/>
    </i>
    <i r="2">
      <x v="726"/>
    </i>
    <i r="2">
      <x v="737"/>
    </i>
    <i r="2">
      <x v="786"/>
    </i>
    <i r="2">
      <x v="803"/>
    </i>
    <i r="2">
      <x v="910"/>
    </i>
    <i r="2">
      <x v="1023"/>
    </i>
    <i r="1">
      <x v="140"/>
    </i>
    <i r="2">
      <x v="159"/>
    </i>
    <i r="2">
      <x v="656"/>
    </i>
    <i r="2">
      <x v="667"/>
    </i>
    <i r="2">
      <x v="897"/>
    </i>
    <i>
      <x v="9"/>
    </i>
    <i r="1">
      <x v="77"/>
    </i>
    <i r="2">
      <x v="789"/>
    </i>
    <i>
      <x v="10"/>
    </i>
    <i r="1">
      <x v="4"/>
    </i>
    <i r="2">
      <x v="451"/>
    </i>
    <i r="2">
      <x v="853"/>
    </i>
    <i r="1">
      <x v="5"/>
    </i>
    <i r="2">
      <x v="321"/>
    </i>
    <i r="1">
      <x v="14"/>
    </i>
    <i r="2">
      <x v="247"/>
    </i>
    <i r="2">
      <x v="288"/>
    </i>
    <i r="2">
      <x v="781"/>
    </i>
    <i r="1">
      <x v="36"/>
    </i>
    <i r="2">
      <x v="93"/>
    </i>
    <i r="2">
      <x v="198"/>
    </i>
    <i r="2">
      <x v="249"/>
    </i>
    <i r="2">
      <x v="378"/>
    </i>
    <i r="2">
      <x v="452"/>
    </i>
    <i r="2">
      <x v="635"/>
    </i>
    <i r="2">
      <x v="645"/>
    </i>
    <i r="2">
      <x v="735"/>
    </i>
    <i r="2">
      <x v="797"/>
    </i>
    <i r="2">
      <x v="917"/>
    </i>
    <i r="1">
      <x v="40"/>
    </i>
    <i r="2">
      <x v="244"/>
    </i>
    <i r="2">
      <x v="532"/>
    </i>
    <i r="1">
      <x v="86"/>
    </i>
    <i r="2">
      <x v="147"/>
    </i>
    <i r="2">
      <x v="206"/>
    </i>
    <i r="2">
      <x v="229"/>
    </i>
    <i r="2">
      <x v="308"/>
    </i>
    <i r="2">
      <x v="580"/>
    </i>
    <i r="2">
      <x v="836"/>
    </i>
    <i r="2">
      <x v="915"/>
    </i>
    <i r="2">
      <x v="945"/>
    </i>
    <i r="2">
      <x v="956"/>
    </i>
    <i r="2">
      <x v="1002"/>
    </i>
    <i r="1">
      <x v="122"/>
    </i>
    <i r="2">
      <x v="17"/>
    </i>
    <i r="2">
      <x v="357"/>
    </i>
    <i r="2">
      <x v="489"/>
    </i>
    <i r="1">
      <x v="136"/>
    </i>
    <i r="2">
      <x v="127"/>
    </i>
    <i r="1">
      <x v="139"/>
    </i>
    <i r="2">
      <x v="342"/>
    </i>
    <i r="2">
      <x v="810"/>
    </i>
    <i r="2">
      <x v="825"/>
    </i>
    <i r="1">
      <x v="157"/>
    </i>
    <i r="2">
      <x v="606"/>
    </i>
    <i r="2">
      <x v="616"/>
    </i>
    <i r="2">
      <x v="763"/>
    </i>
    <i r="2">
      <x v="914"/>
    </i>
    <i r="2">
      <x v="995"/>
    </i>
    <i r="1">
      <x v="158"/>
    </i>
    <i r="2">
      <x v="145"/>
    </i>
    <i>
      <x v="11"/>
    </i>
    <i r="1">
      <x v="106"/>
    </i>
    <i r="2">
      <x v="741"/>
    </i>
    <i r="2">
      <x v="779"/>
    </i>
    <i r="1">
      <x v="148"/>
    </i>
    <i r="2">
      <x v="137"/>
    </i>
    <i r="2">
      <x v="138"/>
    </i>
    <i r="2">
      <x v="573"/>
    </i>
    <i r="2">
      <x v="901"/>
    </i>
    <i r="2">
      <x v="911"/>
    </i>
    <i r="2">
      <x v="999"/>
    </i>
    <i r="1">
      <x v="149"/>
    </i>
    <i r="2">
      <x v="462"/>
    </i>
    <i r="2">
      <x v="666"/>
    </i>
    <i r="2">
      <x v="863"/>
    </i>
    <i r="2">
      <x v="922"/>
    </i>
    <i r="1">
      <x v="150"/>
    </i>
    <i r="2">
      <x v="382"/>
    </i>
    <i r="2">
      <x v="440"/>
    </i>
    <i>
      <x v="12"/>
    </i>
    <i r="1">
      <x v="79"/>
    </i>
    <i r="2">
      <x v="18"/>
    </i>
    <i r="2">
      <x v="183"/>
    </i>
    <i r="2">
      <x v="768"/>
    </i>
    <i r="2">
      <x v="908"/>
    </i>
    <i r="2">
      <x v="942"/>
    </i>
    <i r="1">
      <x v="123"/>
    </i>
    <i r="2">
      <x v="709"/>
    </i>
    <i r="1">
      <x v="124"/>
    </i>
    <i r="2">
      <x v="14"/>
    </i>
    <i r="1">
      <x v="125"/>
    </i>
    <i r="2">
      <x v="11"/>
    </i>
    <i r="2">
      <x v="16"/>
    </i>
    <i r="2">
      <x v="322"/>
    </i>
    <i r="2">
      <x v="354"/>
    </i>
    <i r="2">
      <x v="446"/>
    </i>
    <i r="2">
      <x v="469"/>
    </i>
    <i r="2">
      <x v="487"/>
    </i>
    <i r="2">
      <x v="503"/>
    </i>
    <i r="2">
      <x v="537"/>
    </i>
    <i r="2">
      <x v="628"/>
    </i>
    <i r="2">
      <x v="642"/>
    </i>
    <i r="2">
      <x v="648"/>
    </i>
    <i r="2">
      <x v="654"/>
    </i>
    <i r="2">
      <x v="655"/>
    </i>
    <i r="2">
      <x v="757"/>
    </i>
    <i r="2">
      <x v="769"/>
    </i>
    <i r="2">
      <x v="840"/>
    </i>
    <i r="1">
      <x v="126"/>
    </i>
    <i r="2">
      <x v="729"/>
    </i>
    <i r="1">
      <x v="161"/>
    </i>
    <i r="2">
      <x v="261"/>
    </i>
    <i r="1">
      <x v="162"/>
    </i>
    <i r="2">
      <x v="266"/>
    </i>
    <i r="2">
      <x v="455"/>
    </i>
    <i r="2">
      <x v="977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Sales Gr Q3_FY26" fld="23" subtotal="average" baseField="2" baseItem="0"/>
    <dataField name="Average of Profit Gr Q3_FY26" fld="24" subtotal="average" baseField="2" baseItem="0"/>
  </dataFields>
  <formats count="1">
    <format dxfId="0">
      <pivotArea outline="0" collapsedLevelsAreSubtotals="1" fieldPosition="0"/>
    </format>
  </formats>
  <conditionalFormats count="3">
    <conditionalFormat priority="4">
      <pivotAreas count="345">
        <pivotArea type="data" collapsedLevelsAreSubtotals="1" fieldPosition="0">
          <references count="2">
            <reference field="4294967294" count="1" selected="0">
              <x v="0"/>
            </reference>
            <reference field="2" count="1">
              <x v="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6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386"/>
              <x v="625"/>
            </reference>
            <reference field="2" count="1" selected="0">
              <x v="0"/>
            </reference>
            <reference field="3" count="1" selected="0">
              <x v="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16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384"/>
              <x v="685"/>
            </reference>
            <reference field="2" count="1" selected="0">
              <x v="0"/>
            </reference>
            <reference field="3" count="1" selected="0">
              <x v="1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18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8">
              <x v="10"/>
              <x v="52"/>
              <x v="142"/>
              <x v="220"/>
              <x v="339"/>
              <x v="377"/>
              <x v="419"/>
              <x v="464"/>
              <x v="482"/>
              <x v="486"/>
              <x v="658"/>
              <x v="669"/>
              <x v="722"/>
              <x v="785"/>
              <x v="828"/>
              <x v="857"/>
              <x v="929"/>
              <x v="961"/>
            </reference>
            <reference field="2" count="1" selected="0">
              <x v="0"/>
            </reference>
            <reference field="3" count="1" selected="0">
              <x v="1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24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0">
              <x v="187"/>
              <x v="227"/>
              <x v="313"/>
              <x v="340"/>
              <x v="350"/>
              <x v="356"/>
              <x v="854"/>
              <x v="896"/>
              <x v="900"/>
              <x v="931"/>
            </reference>
            <reference field="2" count="1" selected="0">
              <x v="0"/>
            </reference>
            <reference field="3" count="1" selected="0">
              <x v="2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3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389"/>
            </reference>
            <reference field="2" count="1" selected="0">
              <x v="0"/>
            </reference>
            <reference field="3" count="1" selected="0">
              <x v="3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38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706"/>
              <x v="985"/>
            </reference>
            <reference field="2" count="1" selected="0">
              <x v="0"/>
            </reference>
            <reference field="3" count="1" selected="0">
              <x v="3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41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525"/>
              <x v="868"/>
            </reference>
            <reference field="2" count="1" selected="0">
              <x v="0"/>
            </reference>
            <reference field="3" count="1" selected="0">
              <x v="4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48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717"/>
              <x v="848"/>
            </reference>
            <reference field="2" count="1" selected="0">
              <x v="0"/>
            </reference>
            <reference field="3" count="1" selected="0">
              <x v="4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49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428"/>
            </reference>
            <reference field="2" count="1" selected="0">
              <x v="0"/>
            </reference>
            <reference field="3" count="1" selected="0">
              <x v="4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5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6">
              <x v="186"/>
              <x v="207"/>
              <x v="358"/>
              <x v="626"/>
              <x v="678"/>
              <x v="753"/>
            </reference>
            <reference field="2" count="1" selected="0">
              <x v="0"/>
            </reference>
            <reference field="3" count="1" selected="0">
              <x v="5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74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561"/>
              <x v="765"/>
            </reference>
            <reference field="2" count="1" selected="0">
              <x v="0"/>
            </reference>
            <reference field="3" count="1" selected="0">
              <x v="7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75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5">
              <x v="341"/>
              <x v="355"/>
              <x v="564"/>
              <x v="607"/>
              <x v="649"/>
            </reference>
            <reference field="2" count="1" selected="0">
              <x v="0"/>
            </reference>
            <reference field="3" count="1" selected="0">
              <x v="7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82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9">
              <x v="466"/>
              <x v="478"/>
              <x v="479"/>
              <x v="490"/>
              <x v="650"/>
              <x v="713"/>
              <x v="801"/>
              <x v="860"/>
              <x v="909"/>
            </reference>
            <reference field="2" count="1" selected="0">
              <x v="0"/>
            </reference>
            <reference field="3" count="1" selected="0">
              <x v="8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10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748"/>
            </reference>
            <reference field="2" count="1" selected="0">
              <x v="0"/>
            </reference>
            <reference field="3" count="1" selected="0">
              <x v="10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111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24"/>
              <x v="483"/>
              <x v="1011"/>
            </reference>
            <reference field="2" count="1" selected="0">
              <x v="0"/>
            </reference>
            <reference field="3" count="1" selected="0">
              <x v="11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114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9">
              <x v="121"/>
              <x v="128"/>
              <x v="231"/>
              <x v="621"/>
              <x v="673"/>
              <x v="746"/>
              <x v="819"/>
              <x v="870"/>
              <x v="970"/>
            </reference>
            <reference field="2" count="1" selected="0">
              <x v="0"/>
            </reference>
            <reference field="3" count="1" selected="0">
              <x v="11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115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742"/>
              <x v="882"/>
              <x v="887"/>
            </reference>
            <reference field="2" count="1" selected="0">
              <x v="0"/>
            </reference>
            <reference field="3" count="1" selected="0">
              <x v="11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118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527"/>
            </reference>
            <reference field="2" count="1" selected="0">
              <x v="0"/>
            </reference>
            <reference field="3" count="1" selected="0">
              <x v="11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142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6">
              <x v="5"/>
              <x v="31"/>
              <x v="47"/>
              <x v="57"/>
              <x v="65"/>
              <x v="83"/>
              <x v="107"/>
              <x v="119"/>
              <x v="129"/>
              <x v="160"/>
              <x v="197"/>
              <x v="225"/>
              <x v="228"/>
              <x v="252"/>
              <x v="268"/>
              <x v="284"/>
              <x v="285"/>
              <x v="294"/>
              <x v="301"/>
              <x v="352"/>
              <x v="493"/>
              <x v="495"/>
              <x v="552"/>
              <x v="629"/>
              <x v="634"/>
              <x v="651"/>
              <x v="695"/>
              <x v="723"/>
              <x v="777"/>
              <x v="782"/>
              <x v="866"/>
              <x v="869"/>
              <x v="912"/>
              <x v="994"/>
              <x v="997"/>
              <x v="1019"/>
            </reference>
            <reference field="2" count="1" selected="0">
              <x v="0"/>
            </reference>
            <reference field="3" count="1" selected="0">
              <x v="14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143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524"/>
            </reference>
            <reference field="2" count="1" selected="0">
              <x v="0"/>
            </reference>
            <reference field="3" count="1" selected="0">
              <x v="14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154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563"/>
              <x v="815"/>
            </reference>
            <reference field="2" count="1" selected="0">
              <x v="0"/>
            </reference>
            <reference field="3" count="1" selected="0">
              <x v="15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155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15"/>
            </reference>
            <reference field="2" count="1" selected="0">
              <x v="0"/>
            </reference>
            <reference field="3" count="1" selected="0">
              <x v="15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0"/>
            </reference>
            <reference field="3" count="1">
              <x v="163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393"/>
            </reference>
            <reference field="2" count="1" selected="0">
              <x v="0"/>
            </reference>
            <reference field="3" count="1" selected="0">
              <x v="163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2" count="1">
              <x v="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1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6">
              <x v="82"/>
              <x v="99"/>
              <x v="250"/>
              <x v="380"/>
              <x v="662"/>
              <x v="954"/>
            </reference>
            <reference field="2" count="1" selected="0">
              <x v="1"/>
            </reference>
            <reference field="3" count="1" selected="0">
              <x v="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8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417"/>
              <x v="1017"/>
            </reference>
            <reference field="2" count="1" selected="0">
              <x v="1"/>
            </reference>
            <reference field="3" count="1" selected="0">
              <x v="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11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47">
              <x v="50"/>
              <x v="71"/>
              <x v="76"/>
              <x v="88"/>
              <x v="112"/>
              <x v="123"/>
              <x v="134"/>
              <x v="154"/>
              <x v="169"/>
              <x v="192"/>
              <x v="208"/>
              <x v="263"/>
              <x v="278"/>
              <x v="282"/>
              <x v="283"/>
              <x v="299"/>
              <x v="471"/>
              <x v="476"/>
              <x v="491"/>
              <x v="547"/>
              <x v="569"/>
              <x v="570"/>
              <x v="604"/>
              <x v="611"/>
              <x v="653"/>
              <x v="719"/>
              <x v="745"/>
              <x v="749"/>
              <x v="751"/>
              <x v="776"/>
              <x v="792"/>
              <x v="794"/>
              <x v="799"/>
              <x v="808"/>
              <x v="820"/>
              <x v="831"/>
              <x v="841"/>
              <x v="850"/>
              <x v="861"/>
              <x v="875"/>
              <x v="876"/>
              <x v="880"/>
              <x v="952"/>
              <x v="965"/>
              <x v="969"/>
              <x v="982"/>
              <x v="1027"/>
            </reference>
            <reference field="2" count="1" selected="0">
              <x v="1"/>
            </reference>
            <reference field="3" count="1" selected="0">
              <x v="1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19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505"/>
              <x v="646"/>
            </reference>
            <reference field="2" count="1" selected="0">
              <x v="1"/>
            </reference>
            <reference field="3" count="1" selected="0">
              <x v="1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29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236"/>
              <x v="367"/>
              <x v="692"/>
            </reference>
            <reference field="2" count="1" selected="0">
              <x v="1"/>
            </reference>
            <reference field="3" count="1" selected="0">
              <x v="2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34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631"/>
            </reference>
            <reference field="2" count="1" selected="0">
              <x v="1"/>
            </reference>
            <reference field="3" count="1" selected="0">
              <x v="3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39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5">
              <x v="92"/>
              <x v="254"/>
              <x v="827"/>
              <x v="996"/>
              <x v="998"/>
            </reference>
            <reference field="2" count="1" selected="0">
              <x v="1"/>
            </reference>
            <reference field="3" count="1" selected="0">
              <x v="3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43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643"/>
            </reference>
            <reference field="2" count="1" selected="0">
              <x v="1"/>
            </reference>
            <reference field="3" count="1" selected="0">
              <x v="4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44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614"/>
              <x v="693"/>
            </reference>
            <reference field="2" count="1" selected="0">
              <x v="1"/>
            </reference>
            <reference field="3" count="1" selected="0">
              <x v="4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46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6">
              <x v="155"/>
              <x v="170"/>
              <x v="274"/>
              <x v="295"/>
              <x v="756"/>
              <x v="889"/>
            </reference>
            <reference field="2" count="1" selected="0">
              <x v="1"/>
            </reference>
            <reference field="3" count="1" selected="0">
              <x v="4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51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599"/>
              <x v="677"/>
              <x v="733"/>
            </reference>
            <reference field="2" count="1" selected="0">
              <x v="1"/>
            </reference>
            <reference field="3" count="1" selected="0">
              <x v="5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55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5">
              <x v="120"/>
              <x v="161"/>
              <x v="601"/>
              <x v="764"/>
              <x v="766"/>
            </reference>
            <reference field="2" count="1" selected="0">
              <x v="1"/>
            </reference>
            <reference field="3" count="1" selected="0">
              <x v="5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56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772"/>
              <x v="822"/>
            </reference>
            <reference field="2" count="1" selected="0">
              <x v="1"/>
            </reference>
            <reference field="3" count="1" selected="0">
              <x v="5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57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7">
              <x v="69"/>
              <x v="164"/>
              <x v="332"/>
              <x v="519"/>
              <x v="531"/>
              <x v="674"/>
              <x v="687"/>
            </reference>
            <reference field="2" count="1" selected="0">
              <x v="1"/>
            </reference>
            <reference field="3" count="1" selected="0">
              <x v="5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59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4">
              <x v="218"/>
              <x v="275"/>
              <x v="334"/>
              <x v="507"/>
              <x v="515"/>
              <x v="672"/>
              <x v="684"/>
              <x v="744"/>
              <x v="811"/>
              <x v="844"/>
              <x v="924"/>
              <x v="936"/>
              <x v="940"/>
              <x v="979"/>
            </reference>
            <reference field="2" count="1" selected="0">
              <x v="1"/>
            </reference>
            <reference field="3" count="1" selected="0">
              <x v="5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61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548"/>
            </reference>
            <reference field="2" count="1" selected="0">
              <x v="1"/>
            </reference>
            <reference field="3" count="1" selected="0">
              <x v="6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63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603"/>
              <x v="702"/>
            </reference>
            <reference field="2" count="1" selected="0">
              <x v="1"/>
            </reference>
            <reference field="3" count="1" selected="0">
              <x v="6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69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3">
              <x v="59"/>
              <x v="185"/>
              <x v="251"/>
              <x v="422"/>
              <x v="426"/>
              <x v="460"/>
              <x v="497"/>
              <x v="554"/>
              <x v="555"/>
              <x v="578"/>
              <x v="790"/>
              <x v="894"/>
              <x v="987"/>
            </reference>
            <reference field="2" count="1" selected="0">
              <x v="1"/>
            </reference>
            <reference field="3" count="1" selected="0">
              <x v="6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7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7">
              <x v="51"/>
              <x v="101"/>
              <x v="149"/>
              <x v="153"/>
              <x v="171"/>
              <x v="211"/>
              <x v="267"/>
              <x v="276"/>
              <x v="413"/>
              <x v="557"/>
              <x v="558"/>
              <x v="670"/>
              <x v="890"/>
              <x v="951"/>
              <x v="990"/>
              <x v="1001"/>
              <x v="1013"/>
            </reference>
            <reference field="2" count="1" selected="0">
              <x v="1"/>
            </reference>
            <reference field="3" count="1" selected="0">
              <x v="7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72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151"/>
              <x v="177"/>
              <x v="368"/>
            </reference>
            <reference field="2" count="1" selected="0">
              <x v="1"/>
            </reference>
            <reference field="3" count="1" selected="0">
              <x v="7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8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423"/>
              <x v="442"/>
              <x v="500"/>
            </reference>
            <reference field="2" count="1" selected="0">
              <x v="1"/>
            </reference>
            <reference field="3" count="1" selected="0">
              <x v="8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9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4">
              <x v="639"/>
              <x v="720"/>
              <x v="802"/>
              <x v="938"/>
            </reference>
            <reference field="2" count="1" selected="0">
              <x v="1"/>
            </reference>
            <reference field="3" count="1" selected="0">
              <x v="9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101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838"/>
            </reference>
            <reference field="2" count="1" selected="0">
              <x v="1"/>
            </reference>
            <reference field="3" count="1" selected="0">
              <x v="10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107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5">
              <x v="49"/>
              <x v="150"/>
              <x v="304"/>
              <x v="307"/>
              <x v="435"/>
              <x v="480"/>
              <x v="504"/>
              <x v="759"/>
              <x v="783"/>
              <x v="793"/>
              <x v="796"/>
              <x v="839"/>
              <x v="948"/>
              <x v="981"/>
              <x v="1009"/>
            </reference>
            <reference field="2" count="1" selected="0">
              <x v="1"/>
            </reference>
            <reference field="3" count="1" selected="0">
              <x v="10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11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6">
              <x v="42"/>
              <x v="75"/>
              <x v="126"/>
              <x v="434"/>
              <x v="510"/>
              <x v="837"/>
            </reference>
            <reference field="2" count="1" selected="0">
              <x v="1"/>
            </reference>
            <reference field="3" count="1" selected="0">
              <x v="11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112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6">
              <x v="292"/>
              <x v="405"/>
              <x v="577"/>
              <x v="591"/>
              <x v="663"/>
              <x v="907"/>
            </reference>
            <reference field="2" count="1" selected="0">
              <x v="1"/>
            </reference>
            <reference field="3" count="1" selected="0">
              <x v="11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117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265"/>
              <x v="600"/>
            </reference>
            <reference field="2" count="1" selected="0">
              <x v="1"/>
            </reference>
            <reference field="3" count="1" selected="0">
              <x v="11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119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784"/>
              <x v="974"/>
            </reference>
            <reference field="2" count="1" selected="0">
              <x v="1"/>
            </reference>
            <reference field="3" count="1" selected="0">
              <x v="11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121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5">
              <x v="181"/>
              <x v="344"/>
              <x v="345"/>
              <x v="346"/>
              <x v="865"/>
            </reference>
            <reference field="2" count="1" selected="0">
              <x v="1"/>
            </reference>
            <reference field="3" count="1" selected="0">
              <x v="12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127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217"/>
            </reference>
            <reference field="2" count="1" selected="0">
              <x v="1"/>
            </reference>
            <reference field="3" count="1" selected="0">
              <x v="12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128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630"/>
            </reference>
            <reference field="2" count="1" selected="0">
              <x v="1"/>
            </reference>
            <reference field="3" count="1" selected="0">
              <x v="12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134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7">
              <x v="35"/>
              <x v="40"/>
              <x v="43"/>
              <x v="54"/>
              <x v="66"/>
              <x v="70"/>
              <x v="72"/>
              <x v="156"/>
              <x v="237"/>
              <x v="259"/>
              <x v="303"/>
              <x v="331"/>
              <x v="404"/>
              <x v="520"/>
              <x v="534"/>
              <x v="566"/>
              <x v="579"/>
              <x v="587"/>
              <x v="594"/>
              <x v="659"/>
              <x v="718"/>
              <x v="760"/>
              <x v="835"/>
              <x v="847"/>
              <x v="879"/>
              <x v="898"/>
              <x v="928"/>
            </reference>
            <reference field="2" count="1" selected="0">
              <x v="1"/>
            </reference>
            <reference field="3" count="1" selected="0">
              <x v="13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135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5">
              <x v="230"/>
              <x v="494"/>
              <x v="773"/>
              <x v="800"/>
              <x v="1012"/>
            </reference>
            <reference field="2" count="1" selected="0">
              <x v="1"/>
            </reference>
            <reference field="3" count="1" selected="0">
              <x v="13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137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182"/>
              <x v="394"/>
            </reference>
            <reference field="2" count="1" selected="0">
              <x v="1"/>
            </reference>
            <reference field="3" count="1" selected="0">
              <x v="13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141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2">
              <x v="22"/>
              <x v="23"/>
              <x v="26"/>
              <x v="68"/>
              <x v="98"/>
              <x v="195"/>
              <x v="325"/>
              <x v="556"/>
              <x v="788"/>
              <x v="947"/>
              <x v="976"/>
              <x v="984"/>
            </reference>
            <reference field="2" count="1" selected="0">
              <x v="1"/>
            </reference>
            <reference field="3" count="1" selected="0">
              <x v="14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151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6">
              <x v="146"/>
              <x v="431"/>
              <x v="553"/>
              <x v="913"/>
              <x v="932"/>
              <x v="1021"/>
            </reference>
            <reference field="2" count="1" selected="0">
              <x v="1"/>
            </reference>
            <reference field="3" count="1" selected="0">
              <x v="15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156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686"/>
            </reference>
            <reference field="2" count="1" selected="0">
              <x v="1"/>
            </reference>
            <reference field="3" count="1" selected="0">
              <x v="15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159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855"/>
              <x v="873"/>
              <x v="1024"/>
            </reference>
            <reference field="2" count="1" selected="0">
              <x v="1"/>
            </reference>
            <reference field="3" count="1" selected="0">
              <x v="15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"/>
            </reference>
            <reference field="3" count="1">
              <x v="16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6">
              <x v="63"/>
              <x v="108"/>
              <x v="175"/>
              <x v="484"/>
              <x v="615"/>
              <x v="955"/>
            </reference>
            <reference field="2" count="1" selected="0">
              <x v="1"/>
            </reference>
            <reference field="3" count="1" selected="0">
              <x v="160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2" count="1">
              <x v="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2"/>
            </reference>
            <reference field="3" count="1">
              <x v="35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4">
              <x v="1"/>
              <x v="109"/>
              <x v="224"/>
              <x v="330"/>
            </reference>
            <reference field="2" count="1" selected="0">
              <x v="2"/>
            </reference>
            <reference field="3" count="1" selected="0">
              <x v="35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2" count="1">
              <x v="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3"/>
            </reference>
            <reference field="3" count="1">
              <x v="22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131"/>
              <x v="199"/>
              <x v="795"/>
            </reference>
            <reference field="2" count="1" selected="0">
              <x v="3"/>
            </reference>
            <reference field="3" count="1" selected="0">
              <x v="2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3"/>
            </reference>
            <reference field="3" count="1">
              <x v="58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300"/>
              <x v="359"/>
            </reference>
            <reference field="2" count="1" selected="0">
              <x v="3"/>
            </reference>
            <reference field="3" count="1" selected="0">
              <x v="5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3"/>
            </reference>
            <reference field="3" count="1">
              <x v="87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5">
              <x v="19"/>
              <x v="353"/>
              <x v="438"/>
              <x v="572"/>
              <x v="690"/>
            </reference>
            <reference field="2" count="1" selected="0">
              <x v="3"/>
            </reference>
            <reference field="3" count="1" selected="0">
              <x v="8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3"/>
            </reference>
            <reference field="3" count="1">
              <x v="88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172"/>
              <x v="361"/>
              <x v="804"/>
            </reference>
            <reference field="2" count="1" selected="0">
              <x v="3"/>
            </reference>
            <reference field="3" count="1" selected="0">
              <x v="8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3"/>
            </reference>
            <reference field="3" count="1">
              <x v="94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226"/>
            </reference>
            <reference field="2" count="1" selected="0">
              <x v="3"/>
            </reference>
            <reference field="3" count="1" selected="0">
              <x v="9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3"/>
            </reference>
            <reference field="3" count="1">
              <x v="95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660"/>
              <x v="661"/>
              <x v="711"/>
            </reference>
            <reference field="2" count="1" selected="0">
              <x v="3"/>
            </reference>
            <reference field="3" count="1" selected="0">
              <x v="9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3"/>
            </reference>
            <reference field="3" count="1">
              <x v="96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29"/>
            </reference>
            <reference field="2" count="1" selected="0">
              <x v="3"/>
            </reference>
            <reference field="3" count="1" selected="0">
              <x v="9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3"/>
            </reference>
            <reference field="3" count="1">
              <x v="133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6">
              <x v="136"/>
              <x v="188"/>
              <x v="391"/>
              <x v="429"/>
              <x v="584"/>
              <x v="767"/>
            </reference>
            <reference field="2" count="1" selected="0">
              <x v="3"/>
            </reference>
            <reference field="3" count="1" selected="0">
              <x v="13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3"/>
            </reference>
            <reference field="3" count="1">
              <x v="153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28"/>
            </reference>
            <reference field="2" count="1" selected="0">
              <x v="3"/>
            </reference>
            <reference field="3" count="1" selected="0">
              <x v="153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2" count="1">
              <x v="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4"/>
            </reference>
            <reference field="3" count="1">
              <x v="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681"/>
            </reference>
            <reference field="2" count="1" selected="0">
              <x v="4"/>
            </reference>
            <reference field="3" count="1" selected="0">
              <x v="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4"/>
            </reference>
            <reference field="3" count="1">
              <x v="9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91"/>
              <x v="328"/>
            </reference>
            <reference field="2" count="1" selected="0">
              <x v="4"/>
            </reference>
            <reference field="3" count="1" selected="0">
              <x v="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4"/>
            </reference>
            <reference field="3" count="1">
              <x v="13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9">
              <x v="48"/>
              <x v="298"/>
              <x v="319"/>
              <x v="420"/>
              <x v="694"/>
              <x v="738"/>
              <x v="934"/>
              <x v="966"/>
              <x v="967"/>
            </reference>
            <reference field="2" count="1" selected="0">
              <x v="4"/>
            </reference>
            <reference field="3" count="1" selected="0">
              <x v="1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4"/>
            </reference>
            <reference field="3" count="1">
              <x v="2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257"/>
              <x v="327"/>
              <x v="1003"/>
            </reference>
            <reference field="2" count="1" selected="0">
              <x v="4"/>
            </reference>
            <reference field="3" count="1" selected="0">
              <x v="2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4"/>
            </reference>
            <reference field="3" count="1">
              <x v="31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5">
              <x v="238"/>
              <x v="366"/>
              <x v="379"/>
              <x v="679"/>
              <x v="978"/>
            </reference>
            <reference field="2" count="1" selected="0">
              <x v="4"/>
            </reference>
            <reference field="3" count="1" selected="0">
              <x v="3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4"/>
            </reference>
            <reference field="3" count="1">
              <x v="37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390"/>
              <x v="392"/>
              <x v="461"/>
            </reference>
            <reference field="2" count="1" selected="0">
              <x v="4"/>
            </reference>
            <reference field="3" count="1" selected="0">
              <x v="3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4"/>
            </reference>
            <reference field="3" count="1">
              <x v="42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4">
              <x v="94"/>
              <x v="333"/>
              <x v="588"/>
              <x v="877"/>
            </reference>
            <reference field="2" count="1" selected="0">
              <x v="4"/>
            </reference>
            <reference field="3" count="1" selected="0">
              <x v="4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4"/>
            </reference>
            <reference field="3" count="1">
              <x v="71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277"/>
              <x v="501"/>
            </reference>
            <reference field="2" count="1" selected="0">
              <x v="4"/>
            </reference>
            <reference field="3" count="1" selected="0">
              <x v="7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4"/>
            </reference>
            <reference field="3" count="1">
              <x v="89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397"/>
              <x v="843"/>
              <x v="986"/>
            </reference>
            <reference field="2" count="1" selected="0">
              <x v="4"/>
            </reference>
            <reference field="3" count="1" selected="0">
              <x v="8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4"/>
            </reference>
            <reference field="3" count="1">
              <x v="97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5">
              <x v="348"/>
              <x v="351"/>
              <x v="513"/>
              <x v="539"/>
              <x v="567"/>
            </reference>
            <reference field="2" count="1" selected="0">
              <x v="4"/>
            </reference>
            <reference field="3" count="1" selected="0">
              <x v="9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4"/>
            </reference>
            <reference field="3" count="1">
              <x v="99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983"/>
            </reference>
            <reference field="2" count="1" selected="0">
              <x v="4"/>
            </reference>
            <reference field="3" count="1" selected="0">
              <x v="9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4"/>
            </reference>
            <reference field="3" count="1">
              <x v="104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246"/>
              <x v="586"/>
            </reference>
            <reference field="2" count="1" selected="0">
              <x v="4"/>
            </reference>
            <reference field="3" count="1" selected="0">
              <x v="10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4"/>
            </reference>
            <reference field="3" count="1">
              <x v="108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8">
              <x v="20"/>
              <x v="139"/>
              <x v="157"/>
              <x v="336"/>
              <x v="636"/>
              <x v="714"/>
              <x v="926"/>
              <x v="1029"/>
            </reference>
            <reference field="2" count="1" selected="0">
              <x v="4"/>
            </reference>
            <reference field="3" count="1" selected="0">
              <x v="10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4"/>
            </reference>
            <reference field="3" count="1">
              <x v="113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9">
              <x v="100"/>
              <x v="203"/>
              <x v="214"/>
              <x v="219"/>
              <x v="258"/>
              <x v="314"/>
              <x v="329"/>
              <x v="399"/>
              <x v="725"/>
            </reference>
            <reference field="2" count="1" selected="0">
              <x v="4"/>
            </reference>
            <reference field="3" count="1" selected="0">
              <x v="11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4"/>
            </reference>
            <reference field="3" count="1">
              <x v="144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239"/>
              <x v="291"/>
            </reference>
            <reference field="2" count="1" selected="0">
              <x v="4"/>
            </reference>
            <reference field="3" count="1" selected="0">
              <x v="14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4"/>
            </reference>
            <reference field="3" count="1">
              <x v="146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5">
              <x v="104"/>
              <x v="110"/>
              <x v="117"/>
              <x v="829"/>
              <x v="949"/>
            </reference>
            <reference field="2" count="1" selected="0">
              <x v="4"/>
            </reference>
            <reference field="3" count="1" selected="0">
              <x v="14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4"/>
            </reference>
            <reference field="3" count="1">
              <x v="147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173"/>
              <x v="903"/>
            </reference>
            <reference field="2" count="1" selected="0">
              <x v="4"/>
            </reference>
            <reference field="3" count="1" selected="0">
              <x v="147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2" count="1">
              <x v="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5"/>
            </reference>
            <reference field="3" count="1">
              <x v="1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5">
              <x v="25"/>
              <x v="372"/>
              <x v="406"/>
              <x v="644"/>
              <x v="972"/>
            </reference>
            <reference field="2" count="1" selected="0">
              <x v="5"/>
            </reference>
            <reference field="3" count="1" selected="0">
              <x v="1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5"/>
            </reference>
            <reference field="3" count="1">
              <x v="32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174"/>
            </reference>
            <reference field="2" count="1" selected="0">
              <x v="5"/>
            </reference>
            <reference field="3" count="1" selected="0">
              <x v="3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5"/>
            </reference>
            <reference field="3" count="1">
              <x v="33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204"/>
              <x v="521"/>
              <x v="627"/>
            </reference>
            <reference field="2" count="1" selected="0">
              <x v="5"/>
            </reference>
            <reference field="3" count="1" selected="0">
              <x v="3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5"/>
            </reference>
            <reference field="3" count="1">
              <x v="47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158"/>
              <x v="425"/>
              <x v="618"/>
            </reference>
            <reference field="2" count="1" selected="0">
              <x v="5"/>
            </reference>
            <reference field="3" count="1" selected="0">
              <x v="4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5"/>
            </reference>
            <reference field="3" count="1">
              <x v="52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7">
              <x v="402"/>
              <x v="414"/>
              <x v="432"/>
              <x v="433"/>
              <x v="708"/>
              <x v="762"/>
              <x v="943"/>
            </reference>
            <reference field="2" count="1" selected="0">
              <x v="5"/>
            </reference>
            <reference field="3" count="1" selected="0">
              <x v="5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5"/>
            </reference>
            <reference field="3" count="1">
              <x v="53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53"/>
              <x v="727"/>
            </reference>
            <reference field="2" count="1" selected="0">
              <x v="5"/>
            </reference>
            <reference field="3" count="1" selected="0">
              <x v="5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5"/>
            </reference>
            <reference field="3" count="1">
              <x v="54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664"/>
              <x v="683"/>
            </reference>
            <reference field="2" count="1" selected="0">
              <x v="5"/>
            </reference>
            <reference field="3" count="1" selected="0">
              <x v="5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5"/>
            </reference>
            <reference field="3" count="1">
              <x v="6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6">
              <x v="311"/>
              <x v="324"/>
              <x v="408"/>
              <x v="647"/>
              <x v="858"/>
              <x v="927"/>
            </reference>
            <reference field="2" count="1" selected="0">
              <x v="5"/>
            </reference>
            <reference field="3" count="1" selected="0">
              <x v="6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5"/>
            </reference>
            <reference field="3" count="1">
              <x v="67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6">
              <x v="103"/>
              <x v="105"/>
              <x v="189"/>
              <x v="248"/>
              <x v="485"/>
              <x v="509"/>
            </reference>
            <reference field="2" count="1" selected="0">
              <x v="5"/>
            </reference>
            <reference field="3" count="1" selected="0">
              <x v="6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5"/>
            </reference>
            <reference field="3" count="1">
              <x v="73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1">
              <x v="3"/>
              <x v="7"/>
              <x v="64"/>
              <x v="106"/>
              <x v="162"/>
              <x v="398"/>
              <x v="421"/>
              <x v="559"/>
              <x v="700"/>
              <x v="771"/>
              <x v="791"/>
            </reference>
            <reference field="2" count="1" selected="0">
              <x v="5"/>
            </reference>
            <reference field="3" count="1" selected="0">
              <x v="7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5"/>
            </reference>
            <reference field="3" count="1">
              <x v="78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598"/>
            </reference>
            <reference field="2" count="1" selected="0">
              <x v="5"/>
            </reference>
            <reference field="3" count="1" selected="0">
              <x v="7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5"/>
            </reference>
            <reference field="3" count="1">
              <x v="81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9">
              <x v="21"/>
              <x v="190"/>
              <x v="481"/>
              <x v="488"/>
              <x v="574"/>
              <x v="622"/>
              <x v="770"/>
              <x v="905"/>
              <x v="953"/>
            </reference>
            <reference field="2" count="1" selected="0">
              <x v="5"/>
            </reference>
            <reference field="3" count="1" selected="0">
              <x v="8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5"/>
            </reference>
            <reference field="3" count="1">
              <x v="85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5">
              <x v="374"/>
              <x v="409"/>
              <x v="560"/>
              <x v="595"/>
              <x v="807"/>
            </reference>
            <reference field="2" count="1" selected="0">
              <x v="5"/>
            </reference>
            <reference field="3" count="1" selected="0">
              <x v="8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5"/>
            </reference>
            <reference field="3" count="1">
              <x v="92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209"/>
              <x v="296"/>
              <x v="620"/>
            </reference>
            <reference field="2" count="1" selected="0">
              <x v="5"/>
            </reference>
            <reference field="3" count="1" selected="0">
              <x v="9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5"/>
            </reference>
            <reference field="3" count="1">
              <x v="93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6">
              <x v="87"/>
              <x v="102"/>
              <x v="125"/>
              <x v="166"/>
              <x v="191"/>
              <x v="280"/>
              <x v="290"/>
              <x v="371"/>
              <x v="416"/>
              <x v="437"/>
              <x v="545"/>
              <x v="576"/>
              <x v="583"/>
              <x v="592"/>
              <x v="619"/>
              <x v="652"/>
              <x v="675"/>
              <x v="697"/>
              <x v="707"/>
              <x v="805"/>
              <x v="806"/>
              <x v="814"/>
              <x v="830"/>
              <x v="874"/>
              <x v="899"/>
              <x v="959"/>
            </reference>
            <reference field="2" count="1" selected="0">
              <x v="5"/>
            </reference>
            <reference field="3" count="1" selected="0">
              <x v="9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5"/>
            </reference>
            <reference field="3" count="1">
              <x v="98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5">
              <x v="84"/>
              <x v="270"/>
              <x v="472"/>
              <x v="960"/>
              <x v="973"/>
            </reference>
            <reference field="2" count="1" selected="0">
              <x v="5"/>
            </reference>
            <reference field="3" count="1" selected="0">
              <x v="9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5"/>
            </reference>
            <reference field="3" count="1">
              <x v="103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210"/>
            </reference>
            <reference field="2" count="1" selected="0">
              <x v="5"/>
            </reference>
            <reference field="3" count="1" selected="0">
              <x v="10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5"/>
            </reference>
            <reference field="3" count="1">
              <x v="129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9">
              <x v="95"/>
              <x v="113"/>
              <x v="196"/>
              <x v="212"/>
              <x v="223"/>
              <x v="281"/>
              <x v="373"/>
              <x v="407"/>
              <x v="411"/>
              <x v="412"/>
              <x v="441"/>
              <x v="470"/>
              <x v="511"/>
              <x v="512"/>
              <x v="535"/>
              <x v="761"/>
              <x v="852"/>
              <x v="895"/>
              <x v="1022"/>
            </reference>
            <reference field="2" count="1" selected="0">
              <x v="5"/>
            </reference>
            <reference field="3" count="1" selected="0">
              <x v="12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5"/>
            </reference>
            <reference field="3" count="1">
              <x v="13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2">
              <x v="114"/>
              <x v="115"/>
              <x v="116"/>
              <x v="163"/>
              <x v="179"/>
              <x v="424"/>
              <x v="430"/>
              <x v="731"/>
              <x v="732"/>
              <x v="859"/>
              <x v="957"/>
              <x v="964"/>
            </reference>
            <reference field="2" count="1" selected="0">
              <x v="5"/>
            </reference>
            <reference field="3" count="1" selected="0">
              <x v="13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5"/>
            </reference>
            <reference field="3" count="1">
              <x v="132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168"/>
              <x v="410"/>
            </reference>
            <reference field="2" count="1" selected="0">
              <x v="5"/>
            </reference>
            <reference field="3" count="1" selected="0">
              <x v="13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5"/>
            </reference>
            <reference field="3" count="1">
              <x v="145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9">
              <x v="0"/>
              <x v="55"/>
              <x v="140"/>
              <x v="415"/>
              <x v="436"/>
              <x v="608"/>
              <x v="612"/>
              <x v="657"/>
              <x v="821"/>
            </reference>
            <reference field="2" count="1" selected="0">
              <x v="5"/>
            </reference>
            <reference field="3" count="1" selected="0">
              <x v="14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5"/>
            </reference>
            <reference field="3" count="1">
              <x v="164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696"/>
            </reference>
            <reference field="2" count="1" selected="0">
              <x v="5"/>
            </reference>
            <reference field="3" count="1" selected="0">
              <x v="164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2" count="1">
              <x v="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6"/>
            </reference>
            <reference field="3" count="1">
              <x v="12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27"/>
              <x v="56"/>
            </reference>
            <reference field="2" count="1" selected="0">
              <x v="6"/>
            </reference>
            <reference field="3" count="1" selected="0">
              <x v="1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6"/>
            </reference>
            <reference field="3" count="1">
              <x v="64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4">
              <x v="418"/>
              <x v="885"/>
              <x v="891"/>
              <x v="993"/>
            </reference>
            <reference field="2" count="1" selected="0">
              <x v="6"/>
            </reference>
            <reference field="3" count="1" selected="0">
              <x v="6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6"/>
            </reference>
            <reference field="3" count="1">
              <x v="65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5">
              <x v="241"/>
              <x v="542"/>
              <x v="602"/>
              <x v="933"/>
              <x v="992"/>
            </reference>
            <reference field="2" count="1" selected="0">
              <x v="6"/>
            </reference>
            <reference field="3" count="1" selected="0">
              <x v="6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6"/>
            </reference>
            <reference field="3" count="1">
              <x v="68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6">
              <x v="61"/>
              <x v="67"/>
              <x v="78"/>
              <x v="240"/>
              <x v="242"/>
              <x v="293"/>
              <x v="318"/>
              <x v="375"/>
              <x v="439"/>
              <x v="498"/>
              <x v="536"/>
              <x v="540"/>
              <x v="596"/>
              <x v="623"/>
              <x v="743"/>
              <x v="1020"/>
            </reference>
            <reference field="2" count="1" selected="0">
              <x v="6"/>
            </reference>
            <reference field="3" count="1" selected="0">
              <x v="6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6"/>
            </reference>
            <reference field="3" count="1">
              <x v="91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289"/>
              <x v="703"/>
            </reference>
            <reference field="2" count="1" selected="0">
              <x v="6"/>
            </reference>
            <reference field="3" count="1" selected="0">
              <x v="9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6"/>
            </reference>
            <reference field="3" count="1">
              <x v="108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1028"/>
            </reference>
            <reference field="2" count="1" selected="0">
              <x v="6"/>
            </reference>
            <reference field="3" count="1" selected="0">
              <x v="10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6"/>
            </reference>
            <reference field="3" count="1">
              <x v="116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63">
              <x v="4"/>
              <x v="6"/>
              <x v="9"/>
              <x v="13"/>
              <x v="38"/>
              <x v="41"/>
              <x v="44"/>
              <x v="45"/>
              <x v="46"/>
              <x v="81"/>
              <x v="86"/>
              <x v="141"/>
              <x v="148"/>
              <x v="165"/>
              <x v="194"/>
              <x v="202"/>
              <x v="205"/>
              <x v="234"/>
              <x v="235"/>
              <x v="243"/>
              <x v="260"/>
              <x v="271"/>
              <x v="279"/>
              <x v="315"/>
              <x v="316"/>
              <x v="317"/>
              <x v="337"/>
              <x v="349"/>
              <x v="360"/>
              <x v="383"/>
              <x v="445"/>
              <x v="454"/>
              <x v="456"/>
              <x v="463"/>
              <x v="496"/>
              <x v="551"/>
              <x v="571"/>
              <x v="585"/>
              <x v="589"/>
              <x v="609"/>
              <x v="624"/>
              <x v="640"/>
              <x v="665"/>
              <x v="668"/>
              <x v="676"/>
              <x v="691"/>
              <x v="698"/>
              <x v="724"/>
              <x v="780"/>
              <x v="787"/>
              <x v="798"/>
              <x v="812"/>
              <x v="813"/>
              <x v="824"/>
              <x v="846"/>
              <x v="849"/>
              <x v="864"/>
              <x v="871"/>
              <x v="872"/>
              <x v="883"/>
              <x v="941"/>
              <x v="962"/>
              <x v="1016"/>
            </reference>
            <reference field="2" count="1" selected="0">
              <x v="6"/>
            </reference>
            <reference field="3" count="1" selected="0">
              <x v="116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2" count="1">
              <x v="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7"/>
            </reference>
            <reference field="3" count="1">
              <x v="2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167"/>
              <x v="347"/>
              <x v="937"/>
            </reference>
            <reference field="2" count="1" selected="0">
              <x v="7"/>
            </reference>
            <reference field="3" count="1" selected="0">
              <x v="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7"/>
            </reference>
            <reference field="3" count="1">
              <x v="3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6">
              <x v="62"/>
              <x v="79"/>
              <x v="90"/>
              <x v="96"/>
              <x v="132"/>
              <x v="133"/>
              <x v="221"/>
              <x v="305"/>
              <x v="387"/>
              <x v="475"/>
              <x v="605"/>
              <x v="617"/>
              <x v="680"/>
              <x v="778"/>
              <x v="963"/>
              <x v="1025"/>
            </reference>
            <reference field="2" count="1" selected="0">
              <x v="7"/>
            </reference>
            <reference field="3" count="1" selected="0">
              <x v="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7"/>
            </reference>
            <reference field="3" count="1">
              <x v="7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4">
              <x v="122"/>
              <x v="544"/>
              <x v="715"/>
              <x v="991"/>
            </reference>
            <reference field="2" count="1" selected="0">
              <x v="7"/>
            </reference>
            <reference field="3" count="1" selected="0">
              <x v="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7"/>
            </reference>
            <reference field="3" count="1">
              <x v="15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5">
              <x v="286"/>
              <x v="517"/>
              <x v="704"/>
              <x v="736"/>
              <x v="968"/>
            </reference>
            <reference field="2" count="1" selected="0">
              <x v="7"/>
            </reference>
            <reference field="3" count="1" selected="0">
              <x v="1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7"/>
            </reference>
            <reference field="3" count="1">
              <x v="17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37"/>
              <x v="111"/>
              <x v="364"/>
            </reference>
            <reference field="2" count="1" selected="0">
              <x v="7"/>
            </reference>
            <reference field="3" count="1" selected="0">
              <x v="1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7"/>
            </reference>
            <reference field="3" count="1">
              <x v="21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2">
              <x v="32"/>
              <x v="36"/>
              <x v="74"/>
              <x v="176"/>
              <x v="178"/>
              <x v="233"/>
              <x v="264"/>
              <x v="297"/>
              <x v="362"/>
              <x v="388"/>
              <x v="450"/>
              <x v="457"/>
              <x v="458"/>
              <x v="459"/>
              <x v="465"/>
              <x v="506"/>
              <x v="516"/>
              <x v="533"/>
              <x v="549"/>
              <x v="582"/>
              <x v="632"/>
              <x v="633"/>
              <x v="682"/>
              <x v="701"/>
              <x v="710"/>
              <x v="728"/>
              <x v="740"/>
              <x v="750"/>
              <x v="775"/>
              <x v="862"/>
              <x v="919"/>
              <x v="1008"/>
            </reference>
            <reference field="2" count="1" selected="0">
              <x v="7"/>
            </reference>
            <reference field="3" count="1" selected="0">
              <x v="2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7"/>
            </reference>
            <reference field="3" count="1">
              <x v="23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73"/>
              <x v="845"/>
              <x v="906"/>
            </reference>
            <reference field="2" count="1" selected="0">
              <x v="7"/>
            </reference>
            <reference field="3" count="1" selected="0">
              <x v="2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7"/>
            </reference>
            <reference field="3" count="1">
              <x v="25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1">
              <x v="213"/>
              <x v="256"/>
              <x v="343"/>
              <x v="444"/>
              <x v="526"/>
              <x v="529"/>
              <x v="530"/>
              <x v="543"/>
              <x v="671"/>
              <x v="817"/>
              <x v="888"/>
            </reference>
            <reference field="2" count="1" selected="0">
              <x v="7"/>
            </reference>
            <reference field="3" count="1" selected="0">
              <x v="2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7"/>
            </reference>
            <reference field="3" count="1">
              <x v="28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12"/>
              <x v="39"/>
              <x v="124"/>
            </reference>
            <reference field="2" count="1" selected="0">
              <x v="7"/>
            </reference>
            <reference field="3" count="1" selected="0">
              <x v="2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7"/>
            </reference>
            <reference field="3" count="1">
              <x v="45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5">
              <x v="338"/>
              <x v="376"/>
              <x v="739"/>
              <x v="774"/>
              <x v="989"/>
            </reference>
            <reference field="2" count="1" selected="0">
              <x v="7"/>
            </reference>
            <reference field="3" count="1" selected="0">
              <x v="4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7"/>
            </reference>
            <reference field="3" count="1">
              <x v="62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152"/>
            </reference>
            <reference field="2" count="1" selected="0">
              <x v="7"/>
            </reference>
            <reference field="3" count="1" selected="0">
              <x v="6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7"/>
            </reference>
            <reference field="3" count="1">
              <x v="66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2">
              <x v="8"/>
              <x v="97"/>
              <x v="135"/>
              <x v="184"/>
              <x v="253"/>
              <x v="309"/>
              <x v="310"/>
              <x v="395"/>
              <x v="448"/>
              <x v="734"/>
              <x v="809"/>
              <x v="823"/>
              <x v="833"/>
              <x v="834"/>
              <x v="842"/>
              <x v="886"/>
              <x v="893"/>
              <x v="930"/>
              <x v="944"/>
              <x v="946"/>
              <x v="950"/>
              <x v="1000"/>
            </reference>
            <reference field="2" count="1" selected="0">
              <x v="7"/>
            </reference>
            <reference field="3" count="1" selected="0">
              <x v="6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7"/>
            </reference>
            <reference field="3" count="1">
              <x v="76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8">
              <x v="180"/>
              <x v="215"/>
              <x v="245"/>
              <x v="320"/>
              <x v="385"/>
              <x v="396"/>
              <x v="400"/>
              <x v="401"/>
              <x v="403"/>
              <x v="427"/>
              <x v="473"/>
              <x v="502"/>
              <x v="514"/>
              <x v="518"/>
              <x v="522"/>
              <x v="562"/>
              <x v="565"/>
              <x v="688"/>
              <x v="699"/>
              <x v="712"/>
              <x v="818"/>
              <x v="856"/>
              <x v="892"/>
              <x v="921"/>
              <x v="923"/>
              <x v="925"/>
              <x v="1014"/>
              <x v="1018"/>
            </reference>
            <reference field="2" count="1" selected="0">
              <x v="7"/>
            </reference>
            <reference field="3" count="1" selected="0">
              <x v="7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7"/>
            </reference>
            <reference field="3" count="1">
              <x v="83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4">
              <x v="30"/>
              <x v="60"/>
              <x v="118"/>
              <x v="255"/>
              <x v="302"/>
              <x v="326"/>
              <x v="335"/>
              <x v="474"/>
              <x v="477"/>
              <x v="492"/>
              <x v="508"/>
              <x v="575"/>
              <x v="581"/>
              <x v="755"/>
              <x v="826"/>
              <x v="832"/>
              <x v="878"/>
              <x v="884"/>
              <x v="920"/>
              <x v="971"/>
              <x v="980"/>
              <x v="988"/>
              <x v="1007"/>
              <x v="1010"/>
            </reference>
            <reference field="2" count="1" selected="0">
              <x v="7"/>
            </reference>
            <reference field="3" count="1" selected="0">
              <x v="8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7"/>
            </reference>
            <reference field="3" count="1">
              <x v="102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2">
              <x v="58"/>
              <x v="89"/>
              <x v="130"/>
              <x v="232"/>
              <x v="312"/>
              <x v="590"/>
              <x v="716"/>
              <x v="747"/>
              <x v="758"/>
              <x v="1004"/>
              <x v="1005"/>
              <x v="1006"/>
            </reference>
            <reference field="2" count="1" selected="0">
              <x v="7"/>
            </reference>
            <reference field="3" count="1" selected="0">
              <x v="10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7"/>
            </reference>
            <reference field="3" count="1">
              <x v="105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8">
              <x v="272"/>
              <x v="365"/>
              <x v="369"/>
              <x v="447"/>
              <x v="528"/>
              <x v="541"/>
              <x v="730"/>
              <x v="867"/>
            </reference>
            <reference field="2" count="1" selected="0">
              <x v="7"/>
            </reference>
            <reference field="3" count="1" selected="0">
              <x v="10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7"/>
            </reference>
            <reference field="3" count="1">
              <x v="109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5">
              <x v="34"/>
              <x v="269"/>
              <x v="705"/>
              <x v="916"/>
              <x v="958"/>
            </reference>
            <reference field="2" count="1" selected="0">
              <x v="7"/>
            </reference>
            <reference field="3" count="1" selected="0">
              <x v="10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7"/>
            </reference>
            <reference field="3" count="1">
              <x v="12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0">
              <x v="80"/>
              <x v="287"/>
              <x v="306"/>
              <x v="467"/>
              <x v="468"/>
              <x v="523"/>
              <x v="721"/>
              <x v="816"/>
              <x v="881"/>
              <x v="935"/>
            </reference>
            <reference field="2" count="1" selected="0">
              <x v="7"/>
            </reference>
            <reference field="3" count="1" selected="0">
              <x v="12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7"/>
            </reference>
            <reference field="3" count="1">
              <x v="131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499"/>
              <x v="939"/>
            </reference>
            <reference field="2" count="1" selected="0">
              <x v="7"/>
            </reference>
            <reference field="3" count="1" selected="0">
              <x v="13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7"/>
            </reference>
            <reference field="3" count="1">
              <x v="138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200"/>
              <x v="597"/>
            </reference>
            <reference field="2" count="1" selected="0">
              <x v="7"/>
            </reference>
            <reference field="3" count="1" selected="0">
              <x v="13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7"/>
            </reference>
            <reference field="3" count="1">
              <x v="152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273"/>
              <x v="975"/>
            </reference>
            <reference field="2" count="1" selected="0">
              <x v="7"/>
            </reference>
            <reference field="3" count="1" selected="0">
              <x v="152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2" count="1">
              <x v="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8"/>
            </reference>
            <reference field="3" count="1">
              <x v="26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4">
              <x v="2"/>
              <x v="77"/>
              <x v="85"/>
              <x v="143"/>
              <x v="201"/>
              <x v="363"/>
              <x v="370"/>
              <x v="381"/>
              <x v="443"/>
              <x v="449"/>
              <x v="538"/>
              <x v="550"/>
              <x v="568"/>
              <x v="593"/>
              <x v="613"/>
              <x v="641"/>
              <x v="689"/>
              <x v="754"/>
              <x v="851"/>
              <x v="902"/>
              <x v="904"/>
              <x v="918"/>
              <x v="1015"/>
              <x v="1026"/>
            </reference>
            <reference field="2" count="1" selected="0">
              <x v="8"/>
            </reference>
            <reference field="3" count="1" selected="0">
              <x v="2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8"/>
            </reference>
            <reference field="3" count="1">
              <x v="27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323"/>
              <x v="610"/>
              <x v="752"/>
            </reference>
            <reference field="2" count="1" selected="0">
              <x v="8"/>
            </reference>
            <reference field="3" count="1" selected="0">
              <x v="2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8"/>
            </reference>
            <reference field="3" count="1">
              <x v="84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6">
              <x v="33"/>
              <x v="144"/>
              <x v="193"/>
              <x v="216"/>
              <x v="222"/>
              <x v="262"/>
              <x v="453"/>
              <x v="546"/>
              <x v="637"/>
              <x v="638"/>
              <x v="726"/>
              <x v="737"/>
              <x v="786"/>
              <x v="803"/>
              <x v="910"/>
              <x v="1023"/>
            </reference>
            <reference field="2" count="1" selected="0">
              <x v="8"/>
            </reference>
            <reference field="3" count="1" selected="0">
              <x v="8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8"/>
            </reference>
            <reference field="3" count="1">
              <x v="14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4">
              <x v="159"/>
              <x v="656"/>
              <x v="667"/>
              <x v="897"/>
            </reference>
            <reference field="2" count="1" selected="0">
              <x v="8"/>
            </reference>
            <reference field="3" count="1" selected="0">
              <x v="140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2" count="1">
              <x v="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9"/>
            </reference>
            <reference field="3" count="1">
              <x v="77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789"/>
            </reference>
            <reference field="2" count="1" selected="0">
              <x v="9"/>
            </reference>
            <reference field="3" count="1" selected="0">
              <x v="77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2" count="1">
              <x v="1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0"/>
            </reference>
            <reference field="3" count="1">
              <x v="4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451"/>
              <x v="853"/>
            </reference>
            <reference field="2" count="1" selected="0">
              <x v="10"/>
            </reference>
            <reference field="3" count="1" selected="0">
              <x v="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0"/>
            </reference>
            <reference field="3" count="1">
              <x v="5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321"/>
            </reference>
            <reference field="2" count="1" selected="0">
              <x v="10"/>
            </reference>
            <reference field="3" count="1" selected="0">
              <x v="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0"/>
            </reference>
            <reference field="3" count="1">
              <x v="14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247"/>
              <x v="288"/>
              <x v="781"/>
            </reference>
            <reference field="2" count="1" selected="0">
              <x v="10"/>
            </reference>
            <reference field="3" count="1" selected="0">
              <x v="1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0"/>
            </reference>
            <reference field="3" count="1">
              <x v="36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0">
              <x v="93"/>
              <x v="198"/>
              <x v="249"/>
              <x v="378"/>
              <x v="452"/>
              <x v="635"/>
              <x v="645"/>
              <x v="735"/>
              <x v="797"/>
              <x v="917"/>
            </reference>
            <reference field="2" count="1" selected="0">
              <x v="10"/>
            </reference>
            <reference field="3" count="1" selected="0">
              <x v="3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0"/>
            </reference>
            <reference field="3" count="1">
              <x v="4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244"/>
              <x v="532"/>
            </reference>
            <reference field="2" count="1" selected="0">
              <x v="10"/>
            </reference>
            <reference field="3" count="1" selected="0">
              <x v="4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0"/>
            </reference>
            <reference field="3" count="1">
              <x v="86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0">
              <x v="147"/>
              <x v="206"/>
              <x v="229"/>
              <x v="308"/>
              <x v="580"/>
              <x v="836"/>
              <x v="915"/>
              <x v="945"/>
              <x v="956"/>
              <x v="1002"/>
            </reference>
            <reference field="2" count="1" selected="0">
              <x v="10"/>
            </reference>
            <reference field="3" count="1" selected="0">
              <x v="8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0"/>
            </reference>
            <reference field="3" count="1">
              <x v="122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17"/>
              <x v="357"/>
              <x v="489"/>
            </reference>
            <reference field="2" count="1" selected="0">
              <x v="10"/>
            </reference>
            <reference field="3" count="1" selected="0">
              <x v="12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0"/>
            </reference>
            <reference field="3" count="1">
              <x v="136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127"/>
            </reference>
            <reference field="2" count="1" selected="0">
              <x v="10"/>
            </reference>
            <reference field="3" count="1" selected="0">
              <x v="13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0"/>
            </reference>
            <reference field="3" count="1">
              <x v="139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342"/>
              <x v="810"/>
              <x v="825"/>
            </reference>
            <reference field="2" count="1" selected="0">
              <x v="10"/>
            </reference>
            <reference field="3" count="1" selected="0">
              <x v="13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0"/>
            </reference>
            <reference field="3" count="1">
              <x v="157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5">
              <x v="606"/>
              <x v="616"/>
              <x v="763"/>
              <x v="914"/>
              <x v="995"/>
            </reference>
            <reference field="2" count="1" selected="0">
              <x v="10"/>
            </reference>
            <reference field="3" count="1" selected="0">
              <x v="15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0"/>
            </reference>
            <reference field="3" count="1">
              <x v="158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145"/>
            </reference>
            <reference field="2" count="1" selected="0">
              <x v="10"/>
            </reference>
            <reference field="3" count="1" selected="0">
              <x v="158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2" count="1">
              <x v="1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1"/>
            </reference>
            <reference field="3" count="1">
              <x v="106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741"/>
              <x v="779"/>
            </reference>
            <reference field="2" count="1" selected="0">
              <x v="11"/>
            </reference>
            <reference field="3" count="1" selected="0">
              <x v="10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1"/>
            </reference>
            <reference field="3" count="1">
              <x v="148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6">
              <x v="137"/>
              <x v="138"/>
              <x v="573"/>
              <x v="901"/>
              <x v="911"/>
              <x v="999"/>
            </reference>
            <reference field="2" count="1" selected="0">
              <x v="11"/>
            </reference>
            <reference field="3" count="1" selected="0">
              <x v="14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1"/>
            </reference>
            <reference field="3" count="1">
              <x v="149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4">
              <x v="462"/>
              <x v="666"/>
              <x v="863"/>
              <x v="922"/>
            </reference>
            <reference field="2" count="1" selected="0">
              <x v="11"/>
            </reference>
            <reference field="3" count="1" selected="0">
              <x v="14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1"/>
            </reference>
            <reference field="3" count="1">
              <x v="15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2">
              <x v="382"/>
              <x v="440"/>
            </reference>
            <reference field="2" count="1" selected="0">
              <x v="11"/>
            </reference>
            <reference field="3" count="1" selected="0">
              <x v="150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2" count="1">
              <x v="1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2"/>
            </reference>
            <reference field="3" count="1">
              <x v="79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5">
              <x v="18"/>
              <x v="183"/>
              <x v="768"/>
              <x v="908"/>
              <x v="942"/>
            </reference>
            <reference field="2" count="1" selected="0">
              <x v="12"/>
            </reference>
            <reference field="3" count="1" selected="0">
              <x v="7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2"/>
            </reference>
            <reference field="3" count="1">
              <x v="123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709"/>
            </reference>
            <reference field="2" count="1" selected="0">
              <x v="12"/>
            </reference>
            <reference field="3" count="1" selected="0">
              <x v="12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2"/>
            </reference>
            <reference field="3" count="1">
              <x v="124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14"/>
            </reference>
            <reference field="2" count="1" selected="0">
              <x v="12"/>
            </reference>
            <reference field="3" count="1" selected="0">
              <x v="12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2"/>
            </reference>
            <reference field="3" count="1">
              <x v="125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7">
              <x v="11"/>
              <x v="16"/>
              <x v="322"/>
              <x v="354"/>
              <x v="446"/>
              <x v="469"/>
              <x v="487"/>
              <x v="503"/>
              <x v="537"/>
              <x v="628"/>
              <x v="642"/>
              <x v="648"/>
              <x v="654"/>
              <x v="655"/>
              <x v="757"/>
              <x v="769"/>
              <x v="840"/>
            </reference>
            <reference field="2" count="1" selected="0">
              <x v="12"/>
            </reference>
            <reference field="3" count="1" selected="0">
              <x v="12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2"/>
            </reference>
            <reference field="3" count="1">
              <x v="126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729"/>
            </reference>
            <reference field="2" count="1" selected="0">
              <x v="12"/>
            </reference>
            <reference field="3" count="1" selected="0">
              <x v="12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2"/>
            </reference>
            <reference field="3" count="1">
              <x v="161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261"/>
            </reference>
            <reference field="2" count="1" selected="0">
              <x v="12"/>
            </reference>
            <reference field="3" count="1" selected="0">
              <x v="16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2" count="1" selected="0">
              <x v="12"/>
            </reference>
            <reference field="3" count="1">
              <x v="162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266"/>
              <x v="455"/>
              <x v="977"/>
            </reference>
            <reference field="2" count="1" selected="0">
              <x v="12"/>
            </reference>
            <reference field="3" count="1" selected="0">
              <x v="162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1"/>
            </reference>
          </references>
        </pivotArea>
      </pivotAreas>
    </conditionalFormat>
    <conditionalFormat priority="1">
      <pivotAreas count="345">
        <pivotArea type="data" collapsedLevelsAreSubtotals="1" fieldPosition="0">
          <references count="2">
            <reference field="4294967294" count="1" selected="0">
              <x v="1"/>
            </reference>
            <reference field="2" count="1">
              <x v="0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6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386"/>
              <x v="625"/>
            </reference>
            <reference field="2" count="1" selected="0">
              <x v="0"/>
            </reference>
            <reference field="3" count="1" selected="0">
              <x v="6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16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384"/>
              <x v="685"/>
            </reference>
            <reference field="2" count="1" selected="0">
              <x v="0"/>
            </reference>
            <reference field="3" count="1" selected="0">
              <x v="16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18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8">
              <x v="10"/>
              <x v="52"/>
              <x v="142"/>
              <x v="220"/>
              <x v="339"/>
              <x v="377"/>
              <x v="419"/>
              <x v="464"/>
              <x v="482"/>
              <x v="486"/>
              <x v="658"/>
              <x v="669"/>
              <x v="722"/>
              <x v="785"/>
              <x v="828"/>
              <x v="857"/>
              <x v="929"/>
              <x v="961"/>
            </reference>
            <reference field="2" count="1" selected="0">
              <x v="0"/>
            </reference>
            <reference field="3" count="1" selected="0">
              <x v="18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24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0">
              <x v="187"/>
              <x v="227"/>
              <x v="313"/>
              <x v="340"/>
              <x v="350"/>
              <x v="356"/>
              <x v="854"/>
              <x v="896"/>
              <x v="900"/>
              <x v="931"/>
            </reference>
            <reference field="2" count="1" selected="0">
              <x v="0"/>
            </reference>
            <reference field="3" count="1" selected="0">
              <x v="24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30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389"/>
            </reference>
            <reference field="2" count="1" selected="0">
              <x v="0"/>
            </reference>
            <reference field="3" count="1" selected="0">
              <x v="30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38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706"/>
              <x v="985"/>
            </reference>
            <reference field="2" count="1" selected="0">
              <x v="0"/>
            </reference>
            <reference field="3" count="1" selected="0">
              <x v="38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41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525"/>
              <x v="868"/>
            </reference>
            <reference field="2" count="1" selected="0">
              <x v="0"/>
            </reference>
            <reference field="3" count="1" selected="0">
              <x v="41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48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717"/>
              <x v="848"/>
            </reference>
            <reference field="2" count="1" selected="0">
              <x v="0"/>
            </reference>
            <reference field="3" count="1" selected="0">
              <x v="48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49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428"/>
            </reference>
            <reference field="2" count="1" selected="0">
              <x v="0"/>
            </reference>
            <reference field="3" count="1" selected="0">
              <x v="49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50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6">
              <x v="186"/>
              <x v="207"/>
              <x v="358"/>
              <x v="626"/>
              <x v="678"/>
              <x v="753"/>
            </reference>
            <reference field="2" count="1" selected="0">
              <x v="0"/>
            </reference>
            <reference field="3" count="1" selected="0">
              <x v="50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74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561"/>
              <x v="765"/>
            </reference>
            <reference field="2" count="1" selected="0">
              <x v="0"/>
            </reference>
            <reference field="3" count="1" selected="0">
              <x v="74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75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5">
              <x v="341"/>
              <x v="355"/>
              <x v="564"/>
              <x v="607"/>
              <x v="649"/>
            </reference>
            <reference field="2" count="1" selected="0">
              <x v="0"/>
            </reference>
            <reference field="3" count="1" selected="0">
              <x v="75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82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9">
              <x v="466"/>
              <x v="478"/>
              <x v="479"/>
              <x v="490"/>
              <x v="650"/>
              <x v="713"/>
              <x v="801"/>
              <x v="860"/>
              <x v="909"/>
            </reference>
            <reference field="2" count="1" selected="0">
              <x v="0"/>
            </reference>
            <reference field="3" count="1" selected="0">
              <x v="82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100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748"/>
            </reference>
            <reference field="2" count="1" selected="0">
              <x v="0"/>
            </reference>
            <reference field="3" count="1" selected="0">
              <x v="100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111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24"/>
              <x v="483"/>
              <x v="1011"/>
            </reference>
            <reference field="2" count="1" selected="0">
              <x v="0"/>
            </reference>
            <reference field="3" count="1" selected="0">
              <x v="111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114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9">
              <x v="121"/>
              <x v="128"/>
              <x v="231"/>
              <x v="621"/>
              <x v="673"/>
              <x v="746"/>
              <x v="819"/>
              <x v="870"/>
              <x v="970"/>
            </reference>
            <reference field="2" count="1" selected="0">
              <x v="0"/>
            </reference>
            <reference field="3" count="1" selected="0">
              <x v="114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115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742"/>
              <x v="882"/>
              <x v="887"/>
            </reference>
            <reference field="2" count="1" selected="0">
              <x v="0"/>
            </reference>
            <reference field="3" count="1" selected="0">
              <x v="115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118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527"/>
            </reference>
            <reference field="2" count="1" selected="0">
              <x v="0"/>
            </reference>
            <reference field="3" count="1" selected="0">
              <x v="118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142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6">
              <x v="5"/>
              <x v="31"/>
              <x v="47"/>
              <x v="57"/>
              <x v="65"/>
              <x v="83"/>
              <x v="107"/>
              <x v="119"/>
              <x v="129"/>
              <x v="160"/>
              <x v="197"/>
              <x v="225"/>
              <x v="228"/>
              <x v="252"/>
              <x v="268"/>
              <x v="284"/>
              <x v="285"/>
              <x v="294"/>
              <x v="301"/>
              <x v="352"/>
              <x v="493"/>
              <x v="495"/>
              <x v="552"/>
              <x v="629"/>
              <x v="634"/>
              <x v="651"/>
              <x v="695"/>
              <x v="723"/>
              <x v="777"/>
              <x v="782"/>
              <x v="866"/>
              <x v="869"/>
              <x v="912"/>
              <x v="994"/>
              <x v="997"/>
              <x v="1019"/>
            </reference>
            <reference field="2" count="1" selected="0">
              <x v="0"/>
            </reference>
            <reference field="3" count="1" selected="0">
              <x v="142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143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524"/>
            </reference>
            <reference field="2" count="1" selected="0">
              <x v="0"/>
            </reference>
            <reference field="3" count="1" selected="0">
              <x v="143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154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563"/>
              <x v="815"/>
            </reference>
            <reference field="2" count="1" selected="0">
              <x v="0"/>
            </reference>
            <reference field="3" count="1" selected="0">
              <x v="154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155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15"/>
            </reference>
            <reference field="2" count="1" selected="0">
              <x v="0"/>
            </reference>
            <reference field="3" count="1" selected="0">
              <x v="155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>
              <x v="163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393"/>
            </reference>
            <reference field="2" count="1" selected="0">
              <x v="0"/>
            </reference>
            <reference field="3" count="1" selected="0">
              <x v="163"/>
            </reference>
          </references>
        </pivotArea>
        <pivotArea type="data" collapsedLevelsAreSubtotals="1" fieldPosition="0">
          <references count="2">
            <reference field="4294967294" count="1" selected="0">
              <x v="1"/>
            </reference>
            <reference field="2" count="1">
              <x v="1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1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6">
              <x v="82"/>
              <x v="99"/>
              <x v="250"/>
              <x v="380"/>
              <x v="662"/>
              <x v="954"/>
            </reference>
            <reference field="2" count="1" selected="0">
              <x v="1"/>
            </reference>
            <reference field="3" count="1" selected="0">
              <x v="1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8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417"/>
              <x v="1017"/>
            </reference>
            <reference field="2" count="1" selected="0">
              <x v="1"/>
            </reference>
            <reference field="3" count="1" selected="0">
              <x v="8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11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47">
              <x v="50"/>
              <x v="71"/>
              <x v="76"/>
              <x v="88"/>
              <x v="112"/>
              <x v="123"/>
              <x v="134"/>
              <x v="154"/>
              <x v="169"/>
              <x v="192"/>
              <x v="208"/>
              <x v="263"/>
              <x v="278"/>
              <x v="282"/>
              <x v="283"/>
              <x v="299"/>
              <x v="471"/>
              <x v="476"/>
              <x v="491"/>
              <x v="547"/>
              <x v="569"/>
              <x v="570"/>
              <x v="604"/>
              <x v="611"/>
              <x v="653"/>
              <x v="719"/>
              <x v="745"/>
              <x v="749"/>
              <x v="751"/>
              <x v="776"/>
              <x v="792"/>
              <x v="794"/>
              <x v="799"/>
              <x v="808"/>
              <x v="820"/>
              <x v="831"/>
              <x v="841"/>
              <x v="850"/>
              <x v="861"/>
              <x v="875"/>
              <x v="876"/>
              <x v="880"/>
              <x v="952"/>
              <x v="965"/>
              <x v="969"/>
              <x v="982"/>
              <x v="1027"/>
            </reference>
            <reference field="2" count="1" selected="0">
              <x v="1"/>
            </reference>
            <reference field="3" count="1" selected="0">
              <x v="11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19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505"/>
              <x v="646"/>
            </reference>
            <reference field="2" count="1" selected="0">
              <x v="1"/>
            </reference>
            <reference field="3" count="1" selected="0">
              <x v="19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29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236"/>
              <x v="367"/>
              <x v="692"/>
            </reference>
            <reference field="2" count="1" selected="0">
              <x v="1"/>
            </reference>
            <reference field="3" count="1" selected="0">
              <x v="29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34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631"/>
            </reference>
            <reference field="2" count="1" selected="0">
              <x v="1"/>
            </reference>
            <reference field="3" count="1" selected="0">
              <x v="34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39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5">
              <x v="92"/>
              <x v="254"/>
              <x v="827"/>
              <x v="996"/>
              <x v="998"/>
            </reference>
            <reference field="2" count="1" selected="0">
              <x v="1"/>
            </reference>
            <reference field="3" count="1" selected="0">
              <x v="39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43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643"/>
            </reference>
            <reference field="2" count="1" selected="0">
              <x v="1"/>
            </reference>
            <reference field="3" count="1" selected="0">
              <x v="43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44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614"/>
              <x v="693"/>
            </reference>
            <reference field="2" count="1" selected="0">
              <x v="1"/>
            </reference>
            <reference field="3" count="1" selected="0">
              <x v="44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46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6">
              <x v="155"/>
              <x v="170"/>
              <x v="274"/>
              <x v="295"/>
              <x v="756"/>
              <x v="889"/>
            </reference>
            <reference field="2" count="1" selected="0">
              <x v="1"/>
            </reference>
            <reference field="3" count="1" selected="0">
              <x v="46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51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599"/>
              <x v="677"/>
              <x v="733"/>
            </reference>
            <reference field="2" count="1" selected="0">
              <x v="1"/>
            </reference>
            <reference field="3" count="1" selected="0">
              <x v="51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55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5">
              <x v="120"/>
              <x v="161"/>
              <x v="601"/>
              <x v="764"/>
              <x v="766"/>
            </reference>
            <reference field="2" count="1" selected="0">
              <x v="1"/>
            </reference>
            <reference field="3" count="1" selected="0">
              <x v="55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56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772"/>
              <x v="822"/>
            </reference>
            <reference field="2" count="1" selected="0">
              <x v="1"/>
            </reference>
            <reference field="3" count="1" selected="0">
              <x v="56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57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7">
              <x v="69"/>
              <x v="164"/>
              <x v="332"/>
              <x v="519"/>
              <x v="531"/>
              <x v="674"/>
              <x v="687"/>
            </reference>
            <reference field="2" count="1" selected="0">
              <x v="1"/>
            </reference>
            <reference field="3" count="1" selected="0">
              <x v="57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59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4">
              <x v="218"/>
              <x v="275"/>
              <x v="334"/>
              <x v="507"/>
              <x v="515"/>
              <x v="672"/>
              <x v="684"/>
              <x v="744"/>
              <x v="811"/>
              <x v="844"/>
              <x v="924"/>
              <x v="936"/>
              <x v="940"/>
              <x v="979"/>
            </reference>
            <reference field="2" count="1" selected="0">
              <x v="1"/>
            </reference>
            <reference field="3" count="1" selected="0">
              <x v="59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61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548"/>
            </reference>
            <reference field="2" count="1" selected="0">
              <x v="1"/>
            </reference>
            <reference field="3" count="1" selected="0">
              <x v="61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63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603"/>
              <x v="702"/>
            </reference>
            <reference field="2" count="1" selected="0">
              <x v="1"/>
            </reference>
            <reference field="3" count="1" selected="0">
              <x v="63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69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3">
              <x v="59"/>
              <x v="185"/>
              <x v="251"/>
              <x v="422"/>
              <x v="426"/>
              <x v="460"/>
              <x v="497"/>
              <x v="554"/>
              <x v="555"/>
              <x v="578"/>
              <x v="790"/>
              <x v="894"/>
              <x v="987"/>
            </reference>
            <reference field="2" count="1" selected="0">
              <x v="1"/>
            </reference>
            <reference field="3" count="1" selected="0">
              <x v="69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70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7">
              <x v="51"/>
              <x v="101"/>
              <x v="149"/>
              <x v="153"/>
              <x v="171"/>
              <x v="211"/>
              <x v="267"/>
              <x v="276"/>
              <x v="413"/>
              <x v="557"/>
              <x v="558"/>
              <x v="670"/>
              <x v="890"/>
              <x v="951"/>
              <x v="990"/>
              <x v="1001"/>
              <x v="1013"/>
            </reference>
            <reference field="2" count="1" selected="0">
              <x v="1"/>
            </reference>
            <reference field="3" count="1" selected="0">
              <x v="70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72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151"/>
              <x v="177"/>
              <x v="368"/>
            </reference>
            <reference field="2" count="1" selected="0">
              <x v="1"/>
            </reference>
            <reference field="3" count="1" selected="0">
              <x v="72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80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423"/>
              <x v="442"/>
              <x v="500"/>
            </reference>
            <reference field="2" count="1" selected="0">
              <x v="1"/>
            </reference>
            <reference field="3" count="1" selected="0">
              <x v="80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90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4">
              <x v="639"/>
              <x v="720"/>
              <x v="802"/>
              <x v="938"/>
            </reference>
            <reference field="2" count="1" selected="0">
              <x v="1"/>
            </reference>
            <reference field="3" count="1" selected="0">
              <x v="90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101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838"/>
            </reference>
            <reference field="2" count="1" selected="0">
              <x v="1"/>
            </reference>
            <reference field="3" count="1" selected="0">
              <x v="101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107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5">
              <x v="49"/>
              <x v="150"/>
              <x v="304"/>
              <x v="307"/>
              <x v="435"/>
              <x v="480"/>
              <x v="504"/>
              <x v="759"/>
              <x v="783"/>
              <x v="793"/>
              <x v="796"/>
              <x v="839"/>
              <x v="948"/>
              <x v="981"/>
              <x v="1009"/>
            </reference>
            <reference field="2" count="1" selected="0">
              <x v="1"/>
            </reference>
            <reference field="3" count="1" selected="0">
              <x v="107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110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6">
              <x v="42"/>
              <x v="75"/>
              <x v="126"/>
              <x v="434"/>
              <x v="510"/>
              <x v="837"/>
            </reference>
            <reference field="2" count="1" selected="0">
              <x v="1"/>
            </reference>
            <reference field="3" count="1" selected="0">
              <x v="110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112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6">
              <x v="292"/>
              <x v="405"/>
              <x v="577"/>
              <x v="591"/>
              <x v="663"/>
              <x v="907"/>
            </reference>
            <reference field="2" count="1" selected="0">
              <x v="1"/>
            </reference>
            <reference field="3" count="1" selected="0">
              <x v="112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117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265"/>
              <x v="600"/>
            </reference>
            <reference field="2" count="1" selected="0">
              <x v="1"/>
            </reference>
            <reference field="3" count="1" selected="0">
              <x v="117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119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784"/>
              <x v="974"/>
            </reference>
            <reference field="2" count="1" selected="0">
              <x v="1"/>
            </reference>
            <reference field="3" count="1" selected="0">
              <x v="119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121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5">
              <x v="181"/>
              <x v="344"/>
              <x v="345"/>
              <x v="346"/>
              <x v="865"/>
            </reference>
            <reference field="2" count="1" selected="0">
              <x v="1"/>
            </reference>
            <reference field="3" count="1" selected="0">
              <x v="121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127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217"/>
            </reference>
            <reference field="2" count="1" selected="0">
              <x v="1"/>
            </reference>
            <reference field="3" count="1" selected="0">
              <x v="127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128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630"/>
            </reference>
            <reference field="2" count="1" selected="0">
              <x v="1"/>
            </reference>
            <reference field="3" count="1" selected="0">
              <x v="128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134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7">
              <x v="35"/>
              <x v="40"/>
              <x v="43"/>
              <x v="54"/>
              <x v="66"/>
              <x v="70"/>
              <x v="72"/>
              <x v="156"/>
              <x v="237"/>
              <x v="259"/>
              <x v="303"/>
              <x v="331"/>
              <x v="404"/>
              <x v="520"/>
              <x v="534"/>
              <x v="566"/>
              <x v="579"/>
              <x v="587"/>
              <x v="594"/>
              <x v="659"/>
              <x v="718"/>
              <x v="760"/>
              <x v="835"/>
              <x v="847"/>
              <x v="879"/>
              <x v="898"/>
              <x v="928"/>
            </reference>
            <reference field="2" count="1" selected="0">
              <x v="1"/>
            </reference>
            <reference field="3" count="1" selected="0">
              <x v="134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135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5">
              <x v="230"/>
              <x v="494"/>
              <x v="773"/>
              <x v="800"/>
              <x v="1012"/>
            </reference>
            <reference field="2" count="1" selected="0">
              <x v="1"/>
            </reference>
            <reference field="3" count="1" selected="0">
              <x v="135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137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182"/>
              <x v="394"/>
            </reference>
            <reference field="2" count="1" selected="0">
              <x v="1"/>
            </reference>
            <reference field="3" count="1" selected="0">
              <x v="137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141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2">
              <x v="22"/>
              <x v="23"/>
              <x v="26"/>
              <x v="68"/>
              <x v="98"/>
              <x v="195"/>
              <x v="325"/>
              <x v="556"/>
              <x v="788"/>
              <x v="947"/>
              <x v="976"/>
              <x v="984"/>
            </reference>
            <reference field="2" count="1" selected="0">
              <x v="1"/>
            </reference>
            <reference field="3" count="1" selected="0">
              <x v="141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151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6">
              <x v="146"/>
              <x v="431"/>
              <x v="553"/>
              <x v="913"/>
              <x v="932"/>
              <x v="1021"/>
            </reference>
            <reference field="2" count="1" selected="0">
              <x v="1"/>
            </reference>
            <reference field="3" count="1" selected="0">
              <x v="151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156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686"/>
            </reference>
            <reference field="2" count="1" selected="0">
              <x v="1"/>
            </reference>
            <reference field="3" count="1" selected="0">
              <x v="156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159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855"/>
              <x v="873"/>
              <x v="1024"/>
            </reference>
            <reference field="2" count="1" selected="0">
              <x v="1"/>
            </reference>
            <reference field="3" count="1" selected="0">
              <x v="159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>
              <x v="160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6">
              <x v="63"/>
              <x v="108"/>
              <x v="175"/>
              <x v="484"/>
              <x v="615"/>
              <x v="955"/>
            </reference>
            <reference field="2" count="1" selected="0">
              <x v="1"/>
            </reference>
            <reference field="3" count="1" selected="0">
              <x v="160"/>
            </reference>
          </references>
        </pivotArea>
        <pivotArea type="data" collapsedLevelsAreSubtotals="1" fieldPosition="0">
          <references count="2">
            <reference field="4294967294" count="1" selected="0">
              <x v="1"/>
            </reference>
            <reference field="2" count="1">
              <x v="2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2"/>
            </reference>
            <reference field="3" count="1">
              <x v="35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4">
              <x v="1"/>
              <x v="109"/>
              <x v="224"/>
              <x v="330"/>
            </reference>
            <reference field="2" count="1" selected="0">
              <x v="2"/>
            </reference>
            <reference field="3" count="1" selected="0">
              <x v="35"/>
            </reference>
          </references>
        </pivotArea>
        <pivotArea type="data" collapsedLevelsAreSubtotals="1" fieldPosition="0">
          <references count="2">
            <reference field="4294967294" count="1" selected="0">
              <x v="1"/>
            </reference>
            <reference field="2" count="1">
              <x v="3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"/>
            </reference>
            <reference field="3" count="1">
              <x v="22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131"/>
              <x v="199"/>
              <x v="795"/>
            </reference>
            <reference field="2" count="1" selected="0">
              <x v="3"/>
            </reference>
            <reference field="3" count="1" selected="0">
              <x v="22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"/>
            </reference>
            <reference field="3" count="1">
              <x v="58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300"/>
              <x v="359"/>
            </reference>
            <reference field="2" count="1" selected="0">
              <x v="3"/>
            </reference>
            <reference field="3" count="1" selected="0">
              <x v="58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"/>
            </reference>
            <reference field="3" count="1">
              <x v="87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5">
              <x v="19"/>
              <x v="353"/>
              <x v="438"/>
              <x v="572"/>
              <x v="690"/>
            </reference>
            <reference field="2" count="1" selected="0">
              <x v="3"/>
            </reference>
            <reference field="3" count="1" selected="0">
              <x v="87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"/>
            </reference>
            <reference field="3" count="1">
              <x v="88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172"/>
              <x v="361"/>
              <x v="804"/>
            </reference>
            <reference field="2" count="1" selected="0">
              <x v="3"/>
            </reference>
            <reference field="3" count="1" selected="0">
              <x v="88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"/>
            </reference>
            <reference field="3" count="1">
              <x v="94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226"/>
            </reference>
            <reference field="2" count="1" selected="0">
              <x v="3"/>
            </reference>
            <reference field="3" count="1" selected="0">
              <x v="94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"/>
            </reference>
            <reference field="3" count="1">
              <x v="95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660"/>
              <x v="661"/>
              <x v="711"/>
            </reference>
            <reference field="2" count="1" selected="0">
              <x v="3"/>
            </reference>
            <reference field="3" count="1" selected="0">
              <x v="95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"/>
            </reference>
            <reference field="3" count="1">
              <x v="96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29"/>
            </reference>
            <reference field="2" count="1" selected="0">
              <x v="3"/>
            </reference>
            <reference field="3" count="1" selected="0">
              <x v="96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"/>
            </reference>
            <reference field="3" count="1">
              <x v="133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6">
              <x v="136"/>
              <x v="188"/>
              <x v="391"/>
              <x v="429"/>
              <x v="584"/>
              <x v="767"/>
            </reference>
            <reference field="2" count="1" selected="0">
              <x v="3"/>
            </reference>
            <reference field="3" count="1" selected="0">
              <x v="133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"/>
            </reference>
            <reference field="3" count="1">
              <x v="153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28"/>
            </reference>
            <reference field="2" count="1" selected="0">
              <x v="3"/>
            </reference>
            <reference field="3" count="1" selected="0">
              <x v="153"/>
            </reference>
          </references>
        </pivotArea>
        <pivotArea type="data" collapsedLevelsAreSubtotals="1" fieldPosition="0">
          <references count="2">
            <reference field="4294967294" count="1" selected="0">
              <x v="1"/>
            </reference>
            <reference field="2" count="1">
              <x v="4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4"/>
            </reference>
            <reference field="3" count="1">
              <x v="0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681"/>
            </reference>
            <reference field="2" count="1" selected="0">
              <x v="4"/>
            </reference>
            <reference field="3" count="1" selected="0">
              <x v="0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4"/>
            </reference>
            <reference field="3" count="1">
              <x v="9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91"/>
              <x v="328"/>
            </reference>
            <reference field="2" count="1" selected="0">
              <x v="4"/>
            </reference>
            <reference field="3" count="1" selected="0">
              <x v="9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4"/>
            </reference>
            <reference field="3" count="1">
              <x v="13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9">
              <x v="48"/>
              <x v="298"/>
              <x v="319"/>
              <x v="420"/>
              <x v="694"/>
              <x v="738"/>
              <x v="934"/>
              <x v="966"/>
              <x v="967"/>
            </reference>
            <reference field="2" count="1" selected="0">
              <x v="4"/>
            </reference>
            <reference field="3" count="1" selected="0">
              <x v="13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4"/>
            </reference>
            <reference field="3" count="1">
              <x v="20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257"/>
              <x v="327"/>
              <x v="1003"/>
            </reference>
            <reference field="2" count="1" selected="0">
              <x v="4"/>
            </reference>
            <reference field="3" count="1" selected="0">
              <x v="20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4"/>
            </reference>
            <reference field="3" count="1">
              <x v="31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5">
              <x v="238"/>
              <x v="366"/>
              <x v="379"/>
              <x v="679"/>
              <x v="978"/>
            </reference>
            <reference field="2" count="1" selected="0">
              <x v="4"/>
            </reference>
            <reference field="3" count="1" selected="0">
              <x v="31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4"/>
            </reference>
            <reference field="3" count="1">
              <x v="37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390"/>
              <x v="392"/>
              <x v="461"/>
            </reference>
            <reference field="2" count="1" selected="0">
              <x v="4"/>
            </reference>
            <reference field="3" count="1" selected="0">
              <x v="37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4"/>
            </reference>
            <reference field="3" count="1">
              <x v="42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4">
              <x v="94"/>
              <x v="333"/>
              <x v="588"/>
              <x v="877"/>
            </reference>
            <reference field="2" count="1" selected="0">
              <x v="4"/>
            </reference>
            <reference field="3" count="1" selected="0">
              <x v="42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4"/>
            </reference>
            <reference field="3" count="1">
              <x v="71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277"/>
              <x v="501"/>
            </reference>
            <reference field="2" count="1" selected="0">
              <x v="4"/>
            </reference>
            <reference field="3" count="1" selected="0">
              <x v="71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4"/>
            </reference>
            <reference field="3" count="1">
              <x v="89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397"/>
              <x v="843"/>
              <x v="986"/>
            </reference>
            <reference field="2" count="1" selected="0">
              <x v="4"/>
            </reference>
            <reference field="3" count="1" selected="0">
              <x v="89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4"/>
            </reference>
            <reference field="3" count="1">
              <x v="97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5">
              <x v="348"/>
              <x v="351"/>
              <x v="513"/>
              <x v="539"/>
              <x v="567"/>
            </reference>
            <reference field="2" count="1" selected="0">
              <x v="4"/>
            </reference>
            <reference field="3" count="1" selected="0">
              <x v="97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4"/>
            </reference>
            <reference field="3" count="1">
              <x v="99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983"/>
            </reference>
            <reference field="2" count="1" selected="0">
              <x v="4"/>
            </reference>
            <reference field="3" count="1" selected="0">
              <x v="99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4"/>
            </reference>
            <reference field="3" count="1">
              <x v="104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246"/>
              <x v="586"/>
            </reference>
            <reference field="2" count="1" selected="0">
              <x v="4"/>
            </reference>
            <reference field="3" count="1" selected="0">
              <x v="104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4"/>
            </reference>
            <reference field="3" count="1">
              <x v="108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8">
              <x v="20"/>
              <x v="139"/>
              <x v="157"/>
              <x v="336"/>
              <x v="636"/>
              <x v="714"/>
              <x v="926"/>
              <x v="1029"/>
            </reference>
            <reference field="2" count="1" selected="0">
              <x v="4"/>
            </reference>
            <reference field="3" count="1" selected="0">
              <x v="108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4"/>
            </reference>
            <reference field="3" count="1">
              <x v="113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9">
              <x v="100"/>
              <x v="203"/>
              <x v="214"/>
              <x v="219"/>
              <x v="258"/>
              <x v="314"/>
              <x v="329"/>
              <x v="399"/>
              <x v="725"/>
            </reference>
            <reference field="2" count="1" selected="0">
              <x v="4"/>
            </reference>
            <reference field="3" count="1" selected="0">
              <x v="113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4"/>
            </reference>
            <reference field="3" count="1">
              <x v="144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239"/>
              <x v="291"/>
            </reference>
            <reference field="2" count="1" selected="0">
              <x v="4"/>
            </reference>
            <reference field="3" count="1" selected="0">
              <x v="144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4"/>
            </reference>
            <reference field="3" count="1">
              <x v="146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5">
              <x v="104"/>
              <x v="110"/>
              <x v="117"/>
              <x v="829"/>
              <x v="949"/>
            </reference>
            <reference field="2" count="1" selected="0">
              <x v="4"/>
            </reference>
            <reference field="3" count="1" selected="0">
              <x v="146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4"/>
            </reference>
            <reference field="3" count="1">
              <x v="147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173"/>
              <x v="903"/>
            </reference>
            <reference field="2" count="1" selected="0">
              <x v="4"/>
            </reference>
            <reference field="3" count="1" selected="0">
              <x v="147"/>
            </reference>
          </references>
        </pivotArea>
        <pivotArea type="data" collapsedLevelsAreSubtotals="1" fieldPosition="0">
          <references count="2">
            <reference field="4294967294" count="1" selected="0">
              <x v="1"/>
            </reference>
            <reference field="2" count="1">
              <x v="5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>
              <x v="10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5">
              <x v="25"/>
              <x v="372"/>
              <x v="406"/>
              <x v="644"/>
              <x v="972"/>
            </reference>
            <reference field="2" count="1" selected="0">
              <x v="5"/>
            </reference>
            <reference field="3" count="1" selected="0">
              <x v="10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>
              <x v="32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174"/>
            </reference>
            <reference field="2" count="1" selected="0">
              <x v="5"/>
            </reference>
            <reference field="3" count="1" selected="0">
              <x v="32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>
              <x v="33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204"/>
              <x v="521"/>
              <x v="627"/>
            </reference>
            <reference field="2" count="1" selected="0">
              <x v="5"/>
            </reference>
            <reference field="3" count="1" selected="0">
              <x v="33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>
              <x v="47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158"/>
              <x v="425"/>
              <x v="618"/>
            </reference>
            <reference field="2" count="1" selected="0">
              <x v="5"/>
            </reference>
            <reference field="3" count="1" selected="0">
              <x v="47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>
              <x v="52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7">
              <x v="402"/>
              <x v="414"/>
              <x v="432"/>
              <x v="433"/>
              <x v="708"/>
              <x v="762"/>
              <x v="943"/>
            </reference>
            <reference field="2" count="1" selected="0">
              <x v="5"/>
            </reference>
            <reference field="3" count="1" selected="0">
              <x v="52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>
              <x v="53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53"/>
              <x v="727"/>
            </reference>
            <reference field="2" count="1" selected="0">
              <x v="5"/>
            </reference>
            <reference field="3" count="1" selected="0">
              <x v="53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>
              <x v="54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664"/>
              <x v="683"/>
            </reference>
            <reference field="2" count="1" selected="0">
              <x v="5"/>
            </reference>
            <reference field="3" count="1" selected="0">
              <x v="54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>
              <x v="60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6">
              <x v="311"/>
              <x v="324"/>
              <x v="408"/>
              <x v="647"/>
              <x v="858"/>
              <x v="927"/>
            </reference>
            <reference field="2" count="1" selected="0">
              <x v="5"/>
            </reference>
            <reference field="3" count="1" selected="0">
              <x v="60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>
              <x v="67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6">
              <x v="103"/>
              <x v="105"/>
              <x v="189"/>
              <x v="248"/>
              <x v="485"/>
              <x v="509"/>
            </reference>
            <reference field="2" count="1" selected="0">
              <x v="5"/>
            </reference>
            <reference field="3" count="1" selected="0">
              <x v="67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>
              <x v="73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1">
              <x v="3"/>
              <x v="7"/>
              <x v="64"/>
              <x v="106"/>
              <x v="162"/>
              <x v="398"/>
              <x v="421"/>
              <x v="559"/>
              <x v="700"/>
              <x v="771"/>
              <x v="791"/>
            </reference>
            <reference field="2" count="1" selected="0">
              <x v="5"/>
            </reference>
            <reference field="3" count="1" selected="0">
              <x v="73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>
              <x v="78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598"/>
            </reference>
            <reference field="2" count="1" selected="0">
              <x v="5"/>
            </reference>
            <reference field="3" count="1" selected="0">
              <x v="78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>
              <x v="81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9">
              <x v="21"/>
              <x v="190"/>
              <x v="481"/>
              <x v="488"/>
              <x v="574"/>
              <x v="622"/>
              <x v="770"/>
              <x v="905"/>
              <x v="953"/>
            </reference>
            <reference field="2" count="1" selected="0">
              <x v="5"/>
            </reference>
            <reference field="3" count="1" selected="0">
              <x v="81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>
              <x v="85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5">
              <x v="374"/>
              <x v="409"/>
              <x v="560"/>
              <x v="595"/>
              <x v="807"/>
            </reference>
            <reference field="2" count="1" selected="0">
              <x v="5"/>
            </reference>
            <reference field="3" count="1" selected="0">
              <x v="85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>
              <x v="92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209"/>
              <x v="296"/>
              <x v="620"/>
            </reference>
            <reference field="2" count="1" selected="0">
              <x v="5"/>
            </reference>
            <reference field="3" count="1" selected="0">
              <x v="92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>
              <x v="93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6">
              <x v="87"/>
              <x v="102"/>
              <x v="125"/>
              <x v="166"/>
              <x v="191"/>
              <x v="280"/>
              <x v="290"/>
              <x v="371"/>
              <x v="416"/>
              <x v="437"/>
              <x v="545"/>
              <x v="576"/>
              <x v="583"/>
              <x v="592"/>
              <x v="619"/>
              <x v="652"/>
              <x v="675"/>
              <x v="697"/>
              <x v="707"/>
              <x v="805"/>
              <x v="806"/>
              <x v="814"/>
              <x v="830"/>
              <x v="874"/>
              <x v="899"/>
              <x v="959"/>
            </reference>
            <reference field="2" count="1" selected="0">
              <x v="5"/>
            </reference>
            <reference field="3" count="1" selected="0">
              <x v="93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>
              <x v="98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5">
              <x v="84"/>
              <x v="270"/>
              <x v="472"/>
              <x v="960"/>
              <x v="973"/>
            </reference>
            <reference field="2" count="1" selected="0">
              <x v="5"/>
            </reference>
            <reference field="3" count="1" selected="0">
              <x v="98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>
              <x v="103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210"/>
            </reference>
            <reference field="2" count="1" selected="0">
              <x v="5"/>
            </reference>
            <reference field="3" count="1" selected="0">
              <x v="103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>
              <x v="129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9">
              <x v="95"/>
              <x v="113"/>
              <x v="196"/>
              <x v="212"/>
              <x v="223"/>
              <x v="281"/>
              <x v="373"/>
              <x v="407"/>
              <x v="411"/>
              <x v="412"/>
              <x v="441"/>
              <x v="470"/>
              <x v="511"/>
              <x v="512"/>
              <x v="535"/>
              <x v="761"/>
              <x v="852"/>
              <x v="895"/>
              <x v="1022"/>
            </reference>
            <reference field="2" count="1" selected="0">
              <x v="5"/>
            </reference>
            <reference field="3" count="1" selected="0">
              <x v="129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>
              <x v="130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2">
              <x v="114"/>
              <x v="115"/>
              <x v="116"/>
              <x v="163"/>
              <x v="179"/>
              <x v="424"/>
              <x v="430"/>
              <x v="731"/>
              <x v="732"/>
              <x v="859"/>
              <x v="957"/>
              <x v="964"/>
            </reference>
            <reference field="2" count="1" selected="0">
              <x v="5"/>
            </reference>
            <reference field="3" count="1" selected="0">
              <x v="130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>
              <x v="132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168"/>
              <x v="410"/>
            </reference>
            <reference field="2" count="1" selected="0">
              <x v="5"/>
            </reference>
            <reference field="3" count="1" selected="0">
              <x v="132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>
              <x v="145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9">
              <x v="0"/>
              <x v="55"/>
              <x v="140"/>
              <x v="415"/>
              <x v="436"/>
              <x v="608"/>
              <x v="612"/>
              <x v="657"/>
              <x v="821"/>
            </reference>
            <reference field="2" count="1" selected="0">
              <x v="5"/>
            </reference>
            <reference field="3" count="1" selected="0">
              <x v="145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>
              <x v="164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696"/>
            </reference>
            <reference field="2" count="1" selected="0">
              <x v="5"/>
            </reference>
            <reference field="3" count="1" selected="0">
              <x v="164"/>
            </reference>
          </references>
        </pivotArea>
        <pivotArea type="data" collapsedLevelsAreSubtotals="1" fieldPosition="0">
          <references count="2">
            <reference field="4294967294" count="1" selected="0">
              <x v="1"/>
            </reference>
            <reference field="2" count="1">
              <x v="6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6"/>
            </reference>
            <reference field="3" count="1">
              <x v="12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27"/>
              <x v="56"/>
            </reference>
            <reference field="2" count="1" selected="0">
              <x v="6"/>
            </reference>
            <reference field="3" count="1" selected="0">
              <x v="12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6"/>
            </reference>
            <reference field="3" count="1">
              <x v="64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4">
              <x v="418"/>
              <x v="885"/>
              <x v="891"/>
              <x v="993"/>
            </reference>
            <reference field="2" count="1" selected="0">
              <x v="6"/>
            </reference>
            <reference field="3" count="1" selected="0">
              <x v="64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6"/>
            </reference>
            <reference field="3" count="1">
              <x v="65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5">
              <x v="241"/>
              <x v="542"/>
              <x v="602"/>
              <x v="933"/>
              <x v="992"/>
            </reference>
            <reference field="2" count="1" selected="0">
              <x v="6"/>
            </reference>
            <reference field="3" count="1" selected="0">
              <x v="65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6"/>
            </reference>
            <reference field="3" count="1">
              <x v="68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6">
              <x v="61"/>
              <x v="67"/>
              <x v="78"/>
              <x v="240"/>
              <x v="242"/>
              <x v="293"/>
              <x v="318"/>
              <x v="375"/>
              <x v="439"/>
              <x v="498"/>
              <x v="536"/>
              <x v="540"/>
              <x v="596"/>
              <x v="623"/>
              <x v="743"/>
              <x v="1020"/>
            </reference>
            <reference field="2" count="1" selected="0">
              <x v="6"/>
            </reference>
            <reference field="3" count="1" selected="0">
              <x v="68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6"/>
            </reference>
            <reference field="3" count="1">
              <x v="91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289"/>
              <x v="703"/>
            </reference>
            <reference field="2" count="1" selected="0">
              <x v="6"/>
            </reference>
            <reference field="3" count="1" selected="0">
              <x v="91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6"/>
            </reference>
            <reference field="3" count="1">
              <x v="108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1028"/>
            </reference>
            <reference field="2" count="1" selected="0">
              <x v="6"/>
            </reference>
            <reference field="3" count="1" selected="0">
              <x v="108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6"/>
            </reference>
            <reference field="3" count="1">
              <x v="116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63">
              <x v="4"/>
              <x v="6"/>
              <x v="9"/>
              <x v="13"/>
              <x v="38"/>
              <x v="41"/>
              <x v="44"/>
              <x v="45"/>
              <x v="46"/>
              <x v="81"/>
              <x v="86"/>
              <x v="141"/>
              <x v="148"/>
              <x v="165"/>
              <x v="194"/>
              <x v="202"/>
              <x v="205"/>
              <x v="234"/>
              <x v="235"/>
              <x v="243"/>
              <x v="260"/>
              <x v="271"/>
              <x v="279"/>
              <x v="315"/>
              <x v="316"/>
              <x v="317"/>
              <x v="337"/>
              <x v="349"/>
              <x v="360"/>
              <x v="383"/>
              <x v="445"/>
              <x v="454"/>
              <x v="456"/>
              <x v="463"/>
              <x v="496"/>
              <x v="551"/>
              <x v="571"/>
              <x v="585"/>
              <x v="589"/>
              <x v="609"/>
              <x v="624"/>
              <x v="640"/>
              <x v="665"/>
              <x v="668"/>
              <x v="676"/>
              <x v="691"/>
              <x v="698"/>
              <x v="724"/>
              <x v="780"/>
              <x v="787"/>
              <x v="798"/>
              <x v="812"/>
              <x v="813"/>
              <x v="824"/>
              <x v="846"/>
              <x v="849"/>
              <x v="864"/>
              <x v="871"/>
              <x v="872"/>
              <x v="883"/>
              <x v="941"/>
              <x v="962"/>
              <x v="1016"/>
            </reference>
            <reference field="2" count="1" selected="0">
              <x v="6"/>
            </reference>
            <reference field="3" count="1" selected="0">
              <x v="116"/>
            </reference>
          </references>
        </pivotArea>
        <pivotArea type="data" collapsedLevelsAreSubtotals="1" fieldPosition="0">
          <references count="2">
            <reference field="4294967294" count="1" selected="0">
              <x v="1"/>
            </reference>
            <reference field="2" count="1">
              <x v="7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1">
              <x v="2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167"/>
              <x v="347"/>
              <x v="937"/>
            </reference>
            <reference field="2" count="1" selected="0">
              <x v="7"/>
            </reference>
            <reference field="3" count="1" selected="0">
              <x v="2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1">
              <x v="3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6">
              <x v="62"/>
              <x v="79"/>
              <x v="90"/>
              <x v="96"/>
              <x v="132"/>
              <x v="133"/>
              <x v="221"/>
              <x v="305"/>
              <x v="387"/>
              <x v="475"/>
              <x v="605"/>
              <x v="617"/>
              <x v="680"/>
              <x v="778"/>
              <x v="963"/>
              <x v="1025"/>
            </reference>
            <reference field="2" count="1" selected="0">
              <x v="7"/>
            </reference>
            <reference field="3" count="1" selected="0">
              <x v="3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1">
              <x v="7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4">
              <x v="122"/>
              <x v="544"/>
              <x v="715"/>
              <x v="991"/>
            </reference>
            <reference field="2" count="1" selected="0">
              <x v="7"/>
            </reference>
            <reference field="3" count="1" selected="0">
              <x v="7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1">
              <x v="15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5">
              <x v="286"/>
              <x v="517"/>
              <x v="704"/>
              <x v="736"/>
              <x v="968"/>
            </reference>
            <reference field="2" count="1" selected="0">
              <x v="7"/>
            </reference>
            <reference field="3" count="1" selected="0">
              <x v="15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1">
              <x v="17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37"/>
              <x v="111"/>
              <x v="364"/>
            </reference>
            <reference field="2" count="1" selected="0">
              <x v="7"/>
            </reference>
            <reference field="3" count="1" selected="0">
              <x v="17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1">
              <x v="21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2">
              <x v="32"/>
              <x v="36"/>
              <x v="74"/>
              <x v="176"/>
              <x v="178"/>
              <x v="233"/>
              <x v="264"/>
              <x v="297"/>
              <x v="362"/>
              <x v="388"/>
              <x v="450"/>
              <x v="457"/>
              <x v="458"/>
              <x v="459"/>
              <x v="465"/>
              <x v="506"/>
              <x v="516"/>
              <x v="533"/>
              <x v="549"/>
              <x v="582"/>
              <x v="632"/>
              <x v="633"/>
              <x v="682"/>
              <x v="701"/>
              <x v="710"/>
              <x v="728"/>
              <x v="740"/>
              <x v="750"/>
              <x v="775"/>
              <x v="862"/>
              <x v="919"/>
              <x v="1008"/>
            </reference>
            <reference field="2" count="1" selected="0">
              <x v="7"/>
            </reference>
            <reference field="3" count="1" selected="0">
              <x v="21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1">
              <x v="23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73"/>
              <x v="845"/>
              <x v="906"/>
            </reference>
            <reference field="2" count="1" selected="0">
              <x v="7"/>
            </reference>
            <reference field="3" count="1" selected="0">
              <x v="23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1">
              <x v="25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1">
              <x v="213"/>
              <x v="256"/>
              <x v="343"/>
              <x v="444"/>
              <x v="526"/>
              <x v="529"/>
              <x v="530"/>
              <x v="543"/>
              <x v="671"/>
              <x v="817"/>
              <x v="888"/>
            </reference>
            <reference field="2" count="1" selected="0">
              <x v="7"/>
            </reference>
            <reference field="3" count="1" selected="0">
              <x v="25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1">
              <x v="28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12"/>
              <x v="39"/>
              <x v="124"/>
            </reference>
            <reference field="2" count="1" selected="0">
              <x v="7"/>
            </reference>
            <reference field="3" count="1" selected="0">
              <x v="28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1">
              <x v="45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5">
              <x v="338"/>
              <x v="376"/>
              <x v="739"/>
              <x v="774"/>
              <x v="989"/>
            </reference>
            <reference field="2" count="1" selected="0">
              <x v="7"/>
            </reference>
            <reference field="3" count="1" selected="0">
              <x v="45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1">
              <x v="62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152"/>
            </reference>
            <reference field="2" count="1" selected="0">
              <x v="7"/>
            </reference>
            <reference field="3" count="1" selected="0">
              <x v="62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1">
              <x v="66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2">
              <x v="8"/>
              <x v="97"/>
              <x v="135"/>
              <x v="184"/>
              <x v="253"/>
              <x v="309"/>
              <x v="310"/>
              <x v="395"/>
              <x v="448"/>
              <x v="734"/>
              <x v="809"/>
              <x v="823"/>
              <x v="833"/>
              <x v="834"/>
              <x v="842"/>
              <x v="886"/>
              <x v="893"/>
              <x v="930"/>
              <x v="944"/>
              <x v="946"/>
              <x v="950"/>
              <x v="1000"/>
            </reference>
            <reference field="2" count="1" selected="0">
              <x v="7"/>
            </reference>
            <reference field="3" count="1" selected="0">
              <x v="66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1">
              <x v="76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8">
              <x v="180"/>
              <x v="215"/>
              <x v="245"/>
              <x v="320"/>
              <x v="385"/>
              <x v="396"/>
              <x v="400"/>
              <x v="401"/>
              <x v="403"/>
              <x v="427"/>
              <x v="473"/>
              <x v="502"/>
              <x v="514"/>
              <x v="518"/>
              <x v="522"/>
              <x v="562"/>
              <x v="565"/>
              <x v="688"/>
              <x v="699"/>
              <x v="712"/>
              <x v="818"/>
              <x v="856"/>
              <x v="892"/>
              <x v="921"/>
              <x v="923"/>
              <x v="925"/>
              <x v="1014"/>
              <x v="1018"/>
            </reference>
            <reference field="2" count="1" selected="0">
              <x v="7"/>
            </reference>
            <reference field="3" count="1" selected="0">
              <x v="76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1">
              <x v="83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4">
              <x v="30"/>
              <x v="60"/>
              <x v="118"/>
              <x v="255"/>
              <x v="302"/>
              <x v="326"/>
              <x v="335"/>
              <x v="474"/>
              <x v="477"/>
              <x v="492"/>
              <x v="508"/>
              <x v="575"/>
              <x v="581"/>
              <x v="755"/>
              <x v="826"/>
              <x v="832"/>
              <x v="878"/>
              <x v="884"/>
              <x v="920"/>
              <x v="971"/>
              <x v="980"/>
              <x v="988"/>
              <x v="1007"/>
              <x v="1010"/>
            </reference>
            <reference field="2" count="1" selected="0">
              <x v="7"/>
            </reference>
            <reference field="3" count="1" selected="0">
              <x v="83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1">
              <x v="102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2">
              <x v="58"/>
              <x v="89"/>
              <x v="130"/>
              <x v="232"/>
              <x v="312"/>
              <x v="590"/>
              <x v="716"/>
              <x v="747"/>
              <x v="758"/>
              <x v="1004"/>
              <x v="1005"/>
              <x v="1006"/>
            </reference>
            <reference field="2" count="1" selected="0">
              <x v="7"/>
            </reference>
            <reference field="3" count="1" selected="0">
              <x v="102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1">
              <x v="105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8">
              <x v="272"/>
              <x v="365"/>
              <x v="369"/>
              <x v="447"/>
              <x v="528"/>
              <x v="541"/>
              <x v="730"/>
              <x v="867"/>
            </reference>
            <reference field="2" count="1" selected="0">
              <x v="7"/>
            </reference>
            <reference field="3" count="1" selected="0">
              <x v="105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1">
              <x v="109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5">
              <x v="34"/>
              <x v="269"/>
              <x v="705"/>
              <x v="916"/>
              <x v="958"/>
            </reference>
            <reference field="2" count="1" selected="0">
              <x v="7"/>
            </reference>
            <reference field="3" count="1" selected="0">
              <x v="109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1">
              <x v="120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0">
              <x v="80"/>
              <x v="287"/>
              <x v="306"/>
              <x v="467"/>
              <x v="468"/>
              <x v="523"/>
              <x v="721"/>
              <x v="816"/>
              <x v="881"/>
              <x v="935"/>
            </reference>
            <reference field="2" count="1" selected="0">
              <x v="7"/>
            </reference>
            <reference field="3" count="1" selected="0">
              <x v="120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1">
              <x v="131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499"/>
              <x v="939"/>
            </reference>
            <reference field="2" count="1" selected="0">
              <x v="7"/>
            </reference>
            <reference field="3" count="1" selected="0">
              <x v="131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1">
              <x v="138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200"/>
              <x v="597"/>
            </reference>
            <reference field="2" count="1" selected="0">
              <x v="7"/>
            </reference>
            <reference field="3" count="1" selected="0">
              <x v="138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1">
              <x v="152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273"/>
              <x v="975"/>
            </reference>
            <reference field="2" count="1" selected="0">
              <x v="7"/>
            </reference>
            <reference field="3" count="1" selected="0">
              <x v="152"/>
            </reference>
          </references>
        </pivotArea>
        <pivotArea type="data" collapsedLevelsAreSubtotals="1" fieldPosition="0">
          <references count="2">
            <reference field="4294967294" count="1" selected="0">
              <x v="1"/>
            </reference>
            <reference field="2" count="1">
              <x v="8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8"/>
            </reference>
            <reference field="3" count="1">
              <x v="26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4">
              <x v="2"/>
              <x v="77"/>
              <x v="85"/>
              <x v="143"/>
              <x v="201"/>
              <x v="363"/>
              <x v="370"/>
              <x v="381"/>
              <x v="443"/>
              <x v="449"/>
              <x v="538"/>
              <x v="550"/>
              <x v="568"/>
              <x v="593"/>
              <x v="613"/>
              <x v="641"/>
              <x v="689"/>
              <x v="754"/>
              <x v="851"/>
              <x v="902"/>
              <x v="904"/>
              <x v="918"/>
              <x v="1015"/>
              <x v="1026"/>
            </reference>
            <reference field="2" count="1" selected="0">
              <x v="8"/>
            </reference>
            <reference field="3" count="1" selected="0">
              <x v="26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8"/>
            </reference>
            <reference field="3" count="1">
              <x v="27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323"/>
              <x v="610"/>
              <x v="752"/>
            </reference>
            <reference field="2" count="1" selected="0">
              <x v="8"/>
            </reference>
            <reference field="3" count="1" selected="0">
              <x v="27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8"/>
            </reference>
            <reference field="3" count="1">
              <x v="84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6">
              <x v="33"/>
              <x v="144"/>
              <x v="193"/>
              <x v="216"/>
              <x v="222"/>
              <x v="262"/>
              <x v="453"/>
              <x v="546"/>
              <x v="637"/>
              <x v="638"/>
              <x v="726"/>
              <x v="737"/>
              <x v="786"/>
              <x v="803"/>
              <x v="910"/>
              <x v="1023"/>
            </reference>
            <reference field="2" count="1" selected="0">
              <x v="8"/>
            </reference>
            <reference field="3" count="1" selected="0">
              <x v="84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8"/>
            </reference>
            <reference field="3" count="1">
              <x v="140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4">
              <x v="159"/>
              <x v="656"/>
              <x v="667"/>
              <x v="897"/>
            </reference>
            <reference field="2" count="1" selected="0">
              <x v="8"/>
            </reference>
            <reference field="3" count="1" selected="0">
              <x v="140"/>
            </reference>
          </references>
        </pivotArea>
        <pivotArea type="data" collapsedLevelsAreSubtotals="1" fieldPosition="0">
          <references count="2">
            <reference field="4294967294" count="1" selected="0">
              <x v="1"/>
            </reference>
            <reference field="2" count="1">
              <x v="9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9"/>
            </reference>
            <reference field="3" count="1">
              <x v="77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789"/>
            </reference>
            <reference field="2" count="1" selected="0">
              <x v="9"/>
            </reference>
            <reference field="3" count="1" selected="0">
              <x v="77"/>
            </reference>
          </references>
        </pivotArea>
        <pivotArea type="data" collapsedLevelsAreSubtotals="1" fieldPosition="0">
          <references count="2">
            <reference field="4294967294" count="1" selected="0">
              <x v="1"/>
            </reference>
            <reference field="2" count="1">
              <x v="10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0"/>
            </reference>
            <reference field="3" count="1">
              <x v="4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451"/>
              <x v="853"/>
            </reference>
            <reference field="2" count="1" selected="0">
              <x v="10"/>
            </reference>
            <reference field="3" count="1" selected="0">
              <x v="4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0"/>
            </reference>
            <reference field="3" count="1">
              <x v="5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321"/>
            </reference>
            <reference field="2" count="1" selected="0">
              <x v="10"/>
            </reference>
            <reference field="3" count="1" selected="0">
              <x v="5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0"/>
            </reference>
            <reference field="3" count="1">
              <x v="14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247"/>
              <x v="288"/>
              <x v="781"/>
            </reference>
            <reference field="2" count="1" selected="0">
              <x v="10"/>
            </reference>
            <reference field="3" count="1" selected="0">
              <x v="14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0"/>
            </reference>
            <reference field="3" count="1">
              <x v="36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0">
              <x v="93"/>
              <x v="198"/>
              <x v="249"/>
              <x v="378"/>
              <x v="452"/>
              <x v="635"/>
              <x v="645"/>
              <x v="735"/>
              <x v="797"/>
              <x v="917"/>
            </reference>
            <reference field="2" count="1" selected="0">
              <x v="10"/>
            </reference>
            <reference field="3" count="1" selected="0">
              <x v="36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0"/>
            </reference>
            <reference field="3" count="1">
              <x v="40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244"/>
              <x v="532"/>
            </reference>
            <reference field="2" count="1" selected="0">
              <x v="10"/>
            </reference>
            <reference field="3" count="1" selected="0">
              <x v="40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0"/>
            </reference>
            <reference field="3" count="1">
              <x v="86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0">
              <x v="147"/>
              <x v="206"/>
              <x v="229"/>
              <x v="308"/>
              <x v="580"/>
              <x v="836"/>
              <x v="915"/>
              <x v="945"/>
              <x v="956"/>
              <x v="1002"/>
            </reference>
            <reference field="2" count="1" selected="0">
              <x v="10"/>
            </reference>
            <reference field="3" count="1" selected="0">
              <x v="86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0"/>
            </reference>
            <reference field="3" count="1">
              <x v="122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17"/>
              <x v="357"/>
              <x v="489"/>
            </reference>
            <reference field="2" count="1" selected="0">
              <x v="10"/>
            </reference>
            <reference field="3" count="1" selected="0">
              <x v="122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0"/>
            </reference>
            <reference field="3" count="1">
              <x v="136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127"/>
            </reference>
            <reference field="2" count="1" selected="0">
              <x v="10"/>
            </reference>
            <reference field="3" count="1" selected="0">
              <x v="136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0"/>
            </reference>
            <reference field="3" count="1">
              <x v="139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342"/>
              <x v="810"/>
              <x v="825"/>
            </reference>
            <reference field="2" count="1" selected="0">
              <x v="10"/>
            </reference>
            <reference field="3" count="1" selected="0">
              <x v="139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0"/>
            </reference>
            <reference field="3" count="1">
              <x v="157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5">
              <x v="606"/>
              <x v="616"/>
              <x v="763"/>
              <x v="914"/>
              <x v="995"/>
            </reference>
            <reference field="2" count="1" selected="0">
              <x v="10"/>
            </reference>
            <reference field="3" count="1" selected="0">
              <x v="157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0"/>
            </reference>
            <reference field="3" count="1">
              <x v="158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145"/>
            </reference>
            <reference field="2" count="1" selected="0">
              <x v="10"/>
            </reference>
            <reference field="3" count="1" selected="0">
              <x v="158"/>
            </reference>
          </references>
        </pivotArea>
        <pivotArea type="data" collapsedLevelsAreSubtotals="1" fieldPosition="0">
          <references count="2">
            <reference field="4294967294" count="1" selected="0">
              <x v="1"/>
            </reference>
            <reference field="2" count="1">
              <x v="11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1"/>
            </reference>
            <reference field="3" count="1">
              <x v="106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741"/>
              <x v="779"/>
            </reference>
            <reference field="2" count="1" selected="0">
              <x v="11"/>
            </reference>
            <reference field="3" count="1" selected="0">
              <x v="106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1"/>
            </reference>
            <reference field="3" count="1">
              <x v="148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6">
              <x v="137"/>
              <x v="138"/>
              <x v="573"/>
              <x v="901"/>
              <x v="911"/>
              <x v="999"/>
            </reference>
            <reference field="2" count="1" selected="0">
              <x v="11"/>
            </reference>
            <reference field="3" count="1" selected="0">
              <x v="148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1"/>
            </reference>
            <reference field="3" count="1">
              <x v="149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4">
              <x v="462"/>
              <x v="666"/>
              <x v="863"/>
              <x v="922"/>
            </reference>
            <reference field="2" count="1" selected="0">
              <x v="11"/>
            </reference>
            <reference field="3" count="1" selected="0">
              <x v="149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1"/>
            </reference>
            <reference field="3" count="1">
              <x v="150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2">
              <x v="382"/>
              <x v="440"/>
            </reference>
            <reference field="2" count="1" selected="0">
              <x v="11"/>
            </reference>
            <reference field="3" count="1" selected="0">
              <x v="150"/>
            </reference>
          </references>
        </pivotArea>
        <pivotArea type="data" collapsedLevelsAreSubtotals="1" fieldPosition="0">
          <references count="2">
            <reference field="4294967294" count="1" selected="0">
              <x v="1"/>
            </reference>
            <reference field="2" count="1">
              <x v="12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2"/>
            </reference>
            <reference field="3" count="1">
              <x v="79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5">
              <x v="18"/>
              <x v="183"/>
              <x v="768"/>
              <x v="908"/>
              <x v="942"/>
            </reference>
            <reference field="2" count="1" selected="0">
              <x v="12"/>
            </reference>
            <reference field="3" count="1" selected="0">
              <x v="79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2"/>
            </reference>
            <reference field="3" count="1">
              <x v="123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709"/>
            </reference>
            <reference field="2" count="1" selected="0">
              <x v="12"/>
            </reference>
            <reference field="3" count="1" selected="0">
              <x v="123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2"/>
            </reference>
            <reference field="3" count="1">
              <x v="124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14"/>
            </reference>
            <reference field="2" count="1" selected="0">
              <x v="12"/>
            </reference>
            <reference field="3" count="1" selected="0">
              <x v="124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2"/>
            </reference>
            <reference field="3" count="1">
              <x v="125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7">
              <x v="11"/>
              <x v="16"/>
              <x v="322"/>
              <x v="354"/>
              <x v="446"/>
              <x v="469"/>
              <x v="487"/>
              <x v="503"/>
              <x v="537"/>
              <x v="628"/>
              <x v="642"/>
              <x v="648"/>
              <x v="654"/>
              <x v="655"/>
              <x v="757"/>
              <x v="769"/>
              <x v="840"/>
            </reference>
            <reference field="2" count="1" selected="0">
              <x v="12"/>
            </reference>
            <reference field="3" count="1" selected="0">
              <x v="125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2"/>
            </reference>
            <reference field="3" count="1">
              <x v="126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729"/>
            </reference>
            <reference field="2" count="1" selected="0">
              <x v="12"/>
            </reference>
            <reference field="3" count="1" selected="0">
              <x v="126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2"/>
            </reference>
            <reference field="3" count="1">
              <x v="161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1">
              <x v="261"/>
            </reference>
            <reference field="2" count="1" selected="0">
              <x v="12"/>
            </reference>
            <reference field="3" count="1" selected="0">
              <x v="161"/>
            </reference>
          </references>
        </pivotArea>
        <pivotArea type="data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2"/>
            </reference>
            <reference field="3" count="1">
              <x v="162"/>
            </reference>
          </references>
        </pivotArea>
        <pivotArea type="data" collapsedLevelsAreSubtotals="1" fieldPosition="0">
          <references count="4">
            <reference field="4294967294" count="1" selected="0">
              <x v="1"/>
            </reference>
            <reference field="0" count="3">
              <x v="266"/>
              <x v="455"/>
              <x v="977"/>
            </reference>
            <reference field="2" count="1" selected="0">
              <x v="12"/>
            </reference>
            <reference field="3" count="1" selected="0">
              <x v="162"/>
            </reference>
          </references>
        </pivotArea>
      </pivotAreas>
    </conditionalFormat>
  </conditional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MacroEconomic Data" cacheId="5" applyNumberFormats="0" applyBorderFormats="0" applyFontFormats="0" applyPatternFormats="0" applyAlignmentFormats="0" applyWidthHeightFormats="0" dataCaption="" updatedVersion="8" compact="0" compactData="0">
  <location ref="A1:I16" firstHeaderRow="1" firstDataRow="2" firstDataCol="1"/>
  <pivotFields count="25">
    <pivotField name="Company Name" compact="0" outline="0" multipleItemSelectionAllowed="1" showAll="0"/>
    <pivotField name="Symbol" compact="0" outline="0" multipleItemSelectionAllowed="1" showAll="0"/>
    <pivotField name="Macro-Economic Sector" axis="axisRow" compact="0" outline="0" multipleItemSelectionAllowed="1" showAll="0" sortType="ascending">
      <items count="14">
        <item x="8"/>
        <item x="6"/>
        <item x="11"/>
        <item x="0"/>
        <item x="5"/>
        <item x="2"/>
        <item x="7"/>
        <item x="4"/>
        <item x="3"/>
        <item x="12"/>
        <item x="10"/>
        <item x="1"/>
        <item x="9"/>
        <item t="default"/>
      </items>
    </pivotField>
    <pivotField name="Basic Industry" compact="0" outline="0" multipleItemSelectionAllowed="1" showAll="0"/>
    <pivotField name="Price" compact="0" outline="0" multipleItemSelectionAllowed="1" showAll="0"/>
    <pivotField name="MarketCap" compact="0" numFmtId="1" outline="0" multipleItemSelectionAllowed="1" showAll="0"/>
    <pivotField name="Weightage" compact="0" numFmtId="10" outline="0" multipleItemSelectionAllowed="1" showAll="0"/>
    <pivotField name="Sales 9M_FY26" dataField="1" compact="0" outline="0" multipleItemSelectionAllowed="1" showAll="0"/>
    <pivotField name="Sales 9M_FY25" dataField="1" compact="0" outline="0" multipleItemSelectionAllowed="1" showAll="0"/>
    <pivotField name="Profit 9M_FY26" dataField="1" compact="0" outline="0" multipleItemSelectionAllowed="1" showAll="0"/>
    <pivotField name="Profit 9M_FY25" dataField="1" compact="0" outline="0" multipleItemSelectionAllowed="1" showAll="0"/>
    <pivotField name="Sales Q3_FY26" dataField="1" compact="0" outline="0" multipleItemSelectionAllowed="1" showAll="0"/>
    <pivotField name="Sales Q3_FY25" dataField="1" compact="0" outline="0" multipleItemSelectionAllowed="1" showAll="0"/>
    <pivotField name="Profit Q3_FY26" dataField="1" compact="0" outline="0" multipleItemSelectionAllowed="1" showAll="0"/>
    <pivotField name="Profit Q3_FY25" dataField="1" compact="0" outline="0" multipleItemSelectionAllowed="1" showAll="0"/>
    <pivotField name="Margin 9M_FY26" compact="0" outline="0" multipleItemSelectionAllowed="1" showAll="0"/>
    <pivotField name="Margin 9M_FY25" compact="0" outline="0" multipleItemSelectionAllowed="1" showAll="0"/>
    <pivotField name="Margin Change 9M_FY26" compact="0" outline="0" multipleItemSelectionAllowed="1" showAll="0"/>
    <pivotField name="Margin Q3_FY26" compact="0" outline="0" multipleItemSelectionAllowed="1" showAll="0"/>
    <pivotField name="Margin Q3_FY25" compact="0" outline="0" multipleItemSelectionAllowed="1" showAll="0"/>
    <pivotField name="Margin Change Q3_FY26" compact="0" outline="0" multipleItemSelectionAllowed="1" showAll="0"/>
    <pivotField name="Sales Gr. 9M_FY26" compact="0" outline="0" multipleItemSelectionAllowed="1" showAll="0"/>
    <pivotField name="Profit  Gr. 9M_FY26" compact="0" outline="0" multipleItemSelectionAllowed="1" showAll="0"/>
    <pivotField name="Sales Gr Q3_FY26" compact="0" outline="0" multipleItemSelectionAllowed="1" showAll="0"/>
    <pivotField name="Profit Gr Q3_FY26" compact="0" outline="0" multipleItemSelectionAllowed="1" showAll="0"/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 of Sales 9M_FY26" fld="7" baseField="0"/>
    <dataField name="SUM of Sales 9M_FY25" fld="8" baseField="0"/>
    <dataField name="SUM of Sales Q3_FY26" fld="11" baseField="0"/>
    <dataField name="SUM of Sales Q3_FY25" fld="12" baseField="0"/>
    <dataField name="SUM of Profit 9M_FY26" fld="9" baseField="0"/>
    <dataField name="SUM of Profit 9M_FY25" fld="10" baseField="0"/>
    <dataField name="SUM of Profit Q3_FY26" fld="13" baseField="0"/>
    <dataField name="SUM of Profit Q3_FY25" fld="14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bseindia.com/stock-share-price/action-construction-equipment-ltd/ace/532762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V2477"/>
  <sheetViews>
    <sheetView tabSelected="1" workbookViewId="0">
      <selection activeCell="I8" sqref="I8"/>
    </sheetView>
  </sheetViews>
  <sheetFormatPr defaultColWidth="12.6640625" defaultRowHeight="15.75" customHeight="1"/>
  <cols>
    <col min="2" max="2" width="16.77734375" customWidth="1"/>
    <col min="3" max="3" width="24" customWidth="1"/>
    <col min="4" max="4" width="15.44140625" customWidth="1"/>
    <col min="8" max="8" width="19.88671875" customWidth="1"/>
    <col min="9" max="9" width="16" customWidth="1"/>
    <col min="10" max="10" width="15.44140625" customWidth="1"/>
    <col min="19" max="19" width="20.6640625" customWidth="1"/>
  </cols>
  <sheetData>
    <row r="1" spans="1:2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3.2">
      <c r="A2" s="1"/>
      <c r="B2" s="2" t="s">
        <v>1</v>
      </c>
      <c r="C2" s="2" t="s">
        <v>2</v>
      </c>
      <c r="D2" s="2" t="s">
        <v>3</v>
      </c>
      <c r="E2" s="1"/>
      <c r="N2" s="1"/>
      <c r="O2" s="4" t="s">
        <v>12</v>
      </c>
      <c r="P2" s="4" t="s">
        <v>13</v>
      </c>
      <c r="Q2" s="4" t="s">
        <v>14</v>
      </c>
      <c r="R2" s="1"/>
      <c r="S2" s="5" t="s">
        <v>15</v>
      </c>
      <c r="T2" s="5" t="s">
        <v>16</v>
      </c>
      <c r="U2" s="1"/>
      <c r="V2" s="1"/>
    </row>
    <row r="3" spans="1:22" ht="15.75" customHeight="1">
      <c r="A3" s="1"/>
      <c r="B3" s="6" t="s">
        <v>17</v>
      </c>
      <c r="C3" s="7">
        <v>0.17250827720059367</v>
      </c>
      <c r="D3" s="8">
        <v>1.3966586748867832E-2</v>
      </c>
      <c r="E3" s="1"/>
      <c r="N3" s="1"/>
      <c r="O3" s="11">
        <v>16562160</v>
      </c>
      <c r="P3" s="12">
        <f>FV(9%,1,0,-O3,0)</f>
        <v>18052754.400000002</v>
      </c>
      <c r="Q3" s="13">
        <v>0.09</v>
      </c>
      <c r="R3" s="1"/>
      <c r="S3" s="14" t="s">
        <v>19</v>
      </c>
      <c r="T3" s="15">
        <v>45995268</v>
      </c>
      <c r="U3" s="1"/>
      <c r="V3" s="1"/>
    </row>
    <row r="4" spans="1:22" ht="15.75" customHeight="1">
      <c r="A4" s="1"/>
      <c r="B4" s="6" t="s">
        <v>20</v>
      </c>
      <c r="C4" s="16">
        <v>0.1886958112310225</v>
      </c>
      <c r="D4" s="17">
        <v>2.9522590085970368E-2</v>
      </c>
      <c r="E4" s="1"/>
      <c r="N4" s="1"/>
      <c r="O4" s="11">
        <v>1612610</v>
      </c>
      <c r="P4" s="20">
        <f>P3*10.2%</f>
        <v>1841380.9488000001</v>
      </c>
      <c r="Q4" s="13">
        <f>(P4/O4)-1</f>
        <v>0.14186377909103887</v>
      </c>
      <c r="R4" s="1"/>
      <c r="S4" s="14" t="s">
        <v>22</v>
      </c>
      <c r="T4" s="21">
        <v>20833813</v>
      </c>
      <c r="U4" s="1"/>
      <c r="V4" s="1"/>
    </row>
    <row r="5" spans="1:22" ht="15.75" customHeight="1">
      <c r="A5" s="1"/>
      <c r="B5" s="6" t="s">
        <v>23</v>
      </c>
      <c r="C5" s="22">
        <v>0.23295580723961803</v>
      </c>
      <c r="D5" s="7">
        <v>8.1723295580723963E-3</v>
      </c>
      <c r="E5" s="1"/>
      <c r="N5" s="1"/>
      <c r="O5" s="1"/>
      <c r="P5" s="1"/>
      <c r="Q5" s="1"/>
      <c r="R5" s="1"/>
      <c r="S5" s="14" t="s">
        <v>24</v>
      </c>
      <c r="T5" s="21">
        <v>331</v>
      </c>
      <c r="U5" s="1"/>
      <c r="V5" s="1"/>
    </row>
    <row r="6" spans="1:22" ht="15.75" customHeight="1">
      <c r="A6" s="1"/>
      <c r="B6" s="6" t="s">
        <v>25</v>
      </c>
      <c r="C6" s="23">
        <v>0.28751070205479451</v>
      </c>
      <c r="D6" s="24">
        <v>8.59375E-2</v>
      </c>
      <c r="E6" s="1"/>
      <c r="N6" s="1"/>
      <c r="O6" s="4" t="s">
        <v>12</v>
      </c>
      <c r="P6" s="4" t="s">
        <v>13</v>
      </c>
      <c r="Q6" s="4" t="s">
        <v>14</v>
      </c>
      <c r="R6" s="1"/>
      <c r="S6" s="14" t="s">
        <v>29</v>
      </c>
      <c r="T6" s="26">
        <f>T4/T3</f>
        <v>0.45295557360378896</v>
      </c>
      <c r="U6" s="1"/>
      <c r="V6" s="1"/>
    </row>
    <row r="7" spans="1:22" ht="15.75" customHeight="1">
      <c r="A7" s="1"/>
      <c r="B7" s="6" t="s">
        <v>30</v>
      </c>
      <c r="C7" s="27">
        <v>0.20563219794082938</v>
      </c>
      <c r="D7" s="28">
        <v>2.9992267936352908E-2</v>
      </c>
      <c r="E7" s="1"/>
      <c r="N7" s="1"/>
      <c r="O7" s="11">
        <v>3740514</v>
      </c>
      <c r="P7" s="12">
        <f>FV(10%,1,0,-O7,0)</f>
        <v>4114565.4000000004</v>
      </c>
      <c r="Q7" s="37">
        <v>0.1</v>
      </c>
      <c r="R7" s="1"/>
      <c r="S7" s="38" t="s">
        <v>31</v>
      </c>
      <c r="T7" s="39">
        <f>T5/1000</f>
        <v>0.33100000000000002</v>
      </c>
      <c r="U7" s="1"/>
      <c r="V7" s="1"/>
    </row>
    <row r="8" spans="1:22" ht="15.75" customHeight="1">
      <c r="A8" s="1"/>
      <c r="B8" s="6" t="s">
        <v>32</v>
      </c>
      <c r="C8" s="40">
        <v>0.30026060354269746</v>
      </c>
      <c r="D8" s="40">
        <v>0.10964233107980512</v>
      </c>
      <c r="E8" s="1"/>
      <c r="N8" s="1"/>
      <c r="O8" s="11">
        <v>414506</v>
      </c>
      <c r="P8" s="20">
        <f>P7*11.55%</f>
        <v>475232.30370000005</v>
      </c>
      <c r="Q8" s="37">
        <f>(P8/O8)-1</f>
        <v>0.14650283397586539</v>
      </c>
      <c r="R8" s="1"/>
      <c r="S8" s="1" t="s">
        <v>33</v>
      </c>
      <c r="T8" s="18">
        <v>7.2999999999999995E-2</v>
      </c>
      <c r="U8" s="1"/>
      <c r="V8" s="1"/>
    </row>
    <row r="9" spans="1:22">
      <c r="A9" s="1"/>
      <c r="B9" s="6" t="s">
        <v>34</v>
      </c>
      <c r="C9" s="40">
        <v>0.39</v>
      </c>
      <c r="D9" s="40">
        <v>0.10964233107980512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 t="s">
        <v>35</v>
      </c>
      <c r="T9" s="18">
        <v>0.16</v>
      </c>
      <c r="U9" s="1"/>
      <c r="V9" s="1"/>
    </row>
    <row r="10" spans="1:22" ht="13.2">
      <c r="A10" s="1"/>
      <c r="C10" s="1"/>
      <c r="D10" s="1"/>
      <c r="E10" s="1"/>
      <c r="K10" s="1"/>
      <c r="L10" s="1"/>
      <c r="M10" s="1"/>
      <c r="N10" s="1"/>
      <c r="O10" s="1"/>
      <c r="P10" s="1"/>
      <c r="Q10" s="1"/>
      <c r="R10" s="1"/>
      <c r="S10" s="1" t="s">
        <v>36</v>
      </c>
      <c r="T10" s="49">
        <v>8.7400000000000005E-2</v>
      </c>
      <c r="U10" s="1"/>
      <c r="V10" s="1"/>
    </row>
    <row r="11" spans="1:22" ht="13.2">
      <c r="A11" s="1"/>
      <c r="B11" s="3" t="s">
        <v>4</v>
      </c>
      <c r="C11" s="3" t="s">
        <v>5</v>
      </c>
      <c r="D11" s="3" t="s">
        <v>6</v>
      </c>
      <c r="E11" s="3" t="s">
        <v>7</v>
      </c>
      <c r="F11" s="3" t="s">
        <v>8</v>
      </c>
      <c r="G11" s="3" t="s">
        <v>9</v>
      </c>
      <c r="H11" s="3" t="s">
        <v>10</v>
      </c>
      <c r="I11" s="3" t="s">
        <v>11</v>
      </c>
      <c r="R11" s="1"/>
      <c r="S11" s="1" t="s">
        <v>37</v>
      </c>
      <c r="T11" s="49">
        <v>0.1234</v>
      </c>
      <c r="U11" s="1"/>
      <c r="V11" s="1"/>
    </row>
    <row r="12" spans="1:22" ht="13.2">
      <c r="A12" s="1"/>
      <c r="B12" s="1" t="s">
        <v>18</v>
      </c>
      <c r="C12" s="9">
        <v>9.5000000000000001E-2</v>
      </c>
      <c r="D12" s="9">
        <v>7.9000000000000001E-2</v>
      </c>
      <c r="E12" s="9">
        <v>7.1999999999999995E-2</v>
      </c>
      <c r="F12" s="9">
        <v>6.5199999999999994E-2</v>
      </c>
      <c r="G12" s="9">
        <v>7.3400000000000007E-2</v>
      </c>
      <c r="H12" s="9">
        <f>'BSE ALL CAP'!V2</f>
        <v>0.108280935327008</v>
      </c>
      <c r="I12" s="10">
        <v>0.12</v>
      </c>
      <c r="R12" s="1"/>
      <c r="S12" s="1" t="s">
        <v>38</v>
      </c>
      <c r="T12" s="49">
        <v>0.13220000000000001</v>
      </c>
      <c r="U12" s="1"/>
      <c r="V12" s="1"/>
    </row>
    <row r="13" spans="1:22" ht="14.4">
      <c r="A13" s="1"/>
      <c r="B13" s="14" t="s">
        <v>21</v>
      </c>
      <c r="C13" s="9">
        <v>4.9000000000000002E-2</v>
      </c>
      <c r="D13" s="9">
        <v>5.5E-2</v>
      </c>
      <c r="E13" s="9">
        <v>8.3000000000000004E-2</v>
      </c>
      <c r="F13" s="18">
        <v>0.1038</v>
      </c>
      <c r="G13" s="18">
        <v>0.1595</v>
      </c>
      <c r="H13" s="9">
        <f>'BSE ALL CAP'!W2</f>
        <v>0.13133337515193433</v>
      </c>
      <c r="I13" s="19">
        <v>0.14199999999999999</v>
      </c>
      <c r="R13" s="1"/>
      <c r="S13" s="52" t="s">
        <v>44</v>
      </c>
      <c r="T13" s="53">
        <v>0.12</v>
      </c>
      <c r="U13" s="1"/>
      <c r="V13" s="1"/>
    </row>
    <row r="14" spans="1:22" ht="13.2">
      <c r="A14" s="1"/>
      <c r="B14" s="1"/>
      <c r="C14" s="1"/>
      <c r="D14" s="1"/>
      <c r="E14" s="1"/>
      <c r="F14" s="1"/>
      <c r="G14" s="1"/>
      <c r="I14" s="1"/>
      <c r="R14" s="1"/>
      <c r="S14" s="379"/>
      <c r="T14" s="380"/>
      <c r="U14" s="1"/>
      <c r="V14" s="1"/>
    </row>
    <row r="15" spans="1:22" ht="13.2">
      <c r="A15" s="1"/>
      <c r="B15" s="25" t="s">
        <v>26</v>
      </c>
      <c r="C15" s="25" t="s">
        <v>5</v>
      </c>
      <c r="D15" s="25" t="s">
        <v>6</v>
      </c>
      <c r="E15" s="25" t="s">
        <v>7</v>
      </c>
      <c r="F15" s="25" t="s">
        <v>27</v>
      </c>
      <c r="G15" s="25" t="s">
        <v>9</v>
      </c>
      <c r="H15" s="25" t="s">
        <v>10</v>
      </c>
      <c r="I15" s="25" t="s">
        <v>28</v>
      </c>
      <c r="R15" s="1"/>
      <c r="S15" s="1"/>
      <c r="T15" s="1"/>
      <c r="U15" s="1"/>
      <c r="V15" s="1"/>
    </row>
    <row r="16" spans="1:22" ht="13.2">
      <c r="A16" s="1"/>
      <c r="B16" s="29" t="s">
        <v>18</v>
      </c>
      <c r="C16" s="30">
        <v>0.14649999999999999</v>
      </c>
      <c r="D16" s="31">
        <v>0.125</v>
      </c>
      <c r="E16" s="32">
        <v>0.1191</v>
      </c>
      <c r="F16" s="33">
        <v>9.9900000000000003E-2</v>
      </c>
      <c r="G16" s="34">
        <v>9.1999999999999998E-2</v>
      </c>
      <c r="H16" s="35">
        <f>'IFRF FUND'!U2</f>
        <v>0.10861758031315838</v>
      </c>
      <c r="I16" s="36">
        <v>0.12</v>
      </c>
      <c r="R16" s="1"/>
      <c r="S16" s="1"/>
      <c r="T16" s="1"/>
      <c r="U16" s="1"/>
      <c r="V16" s="1"/>
    </row>
    <row r="17" spans="1:22" ht="14.4">
      <c r="A17" s="1"/>
      <c r="B17" s="41" t="s">
        <v>21</v>
      </c>
      <c r="C17" s="42">
        <v>8.1699999999999995E-2</v>
      </c>
      <c r="D17" s="43">
        <v>9.4E-2</v>
      </c>
      <c r="E17" s="44">
        <v>7.22E-2</v>
      </c>
      <c r="F17" s="45">
        <v>0.1953</v>
      </c>
      <c r="G17" s="46">
        <v>0.15</v>
      </c>
      <c r="H17" s="47">
        <f>'IFRF FUND'!V2</f>
        <v>0.11359041064313224</v>
      </c>
      <c r="I17" s="48">
        <v>0.14699999999999999</v>
      </c>
      <c r="R17" s="1"/>
      <c r="S17" s="1"/>
      <c r="T17" s="1"/>
      <c r="U17" s="1"/>
      <c r="V17" s="1"/>
    </row>
    <row r="18" spans="1:22" ht="13.2">
      <c r="A18" s="1"/>
      <c r="R18" s="1"/>
      <c r="S18" s="1"/>
      <c r="T18" s="1"/>
      <c r="U18" s="1"/>
      <c r="V18" s="1"/>
    </row>
    <row r="19" spans="1:22" ht="13.2">
      <c r="B19" s="2" t="s">
        <v>30</v>
      </c>
      <c r="C19" s="2" t="s">
        <v>49</v>
      </c>
      <c r="D19" s="2" t="s">
        <v>50</v>
      </c>
      <c r="E19" s="2" t="s">
        <v>51</v>
      </c>
      <c r="F19" s="2" t="s">
        <v>52</v>
      </c>
      <c r="G19" s="2" t="s">
        <v>53</v>
      </c>
      <c r="H19" s="1"/>
      <c r="I19" s="51" t="s">
        <v>39</v>
      </c>
      <c r="J19" s="51" t="s">
        <v>40</v>
      </c>
      <c r="K19" s="51" t="s">
        <v>41</v>
      </c>
      <c r="L19" s="51" t="s">
        <v>42</v>
      </c>
      <c r="M19" s="51" t="s">
        <v>43</v>
      </c>
      <c r="R19" s="1"/>
      <c r="S19" s="1"/>
      <c r="T19" s="1"/>
      <c r="U19" s="1"/>
      <c r="V19" s="1"/>
    </row>
    <row r="20" spans="1:22" ht="13.2">
      <c r="B20" s="6" t="s">
        <v>55</v>
      </c>
      <c r="C20" s="59">
        <v>18.899999999999999</v>
      </c>
      <c r="D20" s="60">
        <v>14</v>
      </c>
      <c r="E20" s="61">
        <v>12</v>
      </c>
      <c r="F20" s="62">
        <v>10.1</v>
      </c>
      <c r="G20" s="63">
        <v>10</v>
      </c>
      <c r="H20" s="1"/>
      <c r="I20" s="54" t="s">
        <v>45</v>
      </c>
      <c r="J20" s="55">
        <v>0.14064416454030204</v>
      </c>
      <c r="K20" s="55">
        <v>0.11940046172142815</v>
      </c>
      <c r="L20" s="55">
        <v>0.16266941144476066</v>
      </c>
      <c r="M20" s="55">
        <v>-7.229850060320564E-2</v>
      </c>
      <c r="R20" s="1"/>
      <c r="S20" s="1"/>
      <c r="T20" s="1"/>
      <c r="U20" s="1"/>
      <c r="V20" s="1"/>
    </row>
    <row r="21" spans="1:22" ht="13.2">
      <c r="B21" s="6" t="s">
        <v>57</v>
      </c>
      <c r="C21" s="65">
        <v>26</v>
      </c>
      <c r="D21" s="66">
        <v>21</v>
      </c>
      <c r="E21" s="67">
        <v>8.3000000000000007</v>
      </c>
      <c r="F21" s="68">
        <v>7.2</v>
      </c>
      <c r="G21" s="69">
        <v>12</v>
      </c>
      <c r="H21" s="1"/>
      <c r="I21" s="54" t="s">
        <v>46</v>
      </c>
      <c r="J21" s="56">
        <v>0.127</v>
      </c>
      <c r="K21" s="56">
        <v>0.2072</v>
      </c>
      <c r="L21" s="55">
        <v>0.15040777529050464</v>
      </c>
      <c r="M21" s="55">
        <v>0.11858838988220932</v>
      </c>
      <c r="R21" s="1"/>
      <c r="S21" s="1"/>
      <c r="T21" s="1"/>
      <c r="U21" s="1"/>
      <c r="V21" s="1"/>
    </row>
    <row r="22" spans="1:22" ht="15.75" customHeight="1">
      <c r="B22" s="71" t="s">
        <v>58</v>
      </c>
      <c r="C22" s="65">
        <v>50</v>
      </c>
      <c r="D22" s="72">
        <v>6</v>
      </c>
      <c r="E22" s="73">
        <v>29</v>
      </c>
      <c r="F22" s="74">
        <v>8.3000000000000007</v>
      </c>
      <c r="G22" s="75">
        <v>14.2</v>
      </c>
      <c r="H22" s="76"/>
      <c r="I22" s="54" t="s">
        <v>47</v>
      </c>
      <c r="J22" s="56">
        <v>0.1192</v>
      </c>
      <c r="K22" s="56">
        <v>0.12740000000000001</v>
      </c>
      <c r="L22" s="55">
        <v>0.15675728946454393</v>
      </c>
      <c r="M22" s="55">
        <v>3.5568651962972986E-2</v>
      </c>
      <c r="R22" s="1"/>
      <c r="S22" s="1"/>
      <c r="T22" s="1"/>
      <c r="U22" s="1"/>
      <c r="V22" s="1"/>
    </row>
    <row r="23" spans="1:22" ht="13.2">
      <c r="B23" s="6" t="s">
        <v>59</v>
      </c>
      <c r="C23" s="77">
        <v>23.97</v>
      </c>
      <c r="D23" s="78">
        <v>21.2</v>
      </c>
      <c r="E23" s="79">
        <v>25.03</v>
      </c>
      <c r="F23" s="80">
        <v>24.6</v>
      </c>
      <c r="G23" s="75">
        <v>21.7</v>
      </c>
      <c r="H23" s="76"/>
      <c r="I23" s="54" t="s">
        <v>48</v>
      </c>
      <c r="J23" s="56">
        <v>0.1157</v>
      </c>
      <c r="K23" s="56">
        <v>0.1158</v>
      </c>
      <c r="L23" s="55">
        <v>0.1363069526041909</v>
      </c>
      <c r="M23" s="55">
        <v>-0.1498211446740858</v>
      </c>
      <c r="R23" s="1"/>
      <c r="S23" s="1"/>
      <c r="T23" s="1"/>
      <c r="U23" s="1"/>
      <c r="V23" s="1"/>
    </row>
    <row r="24" spans="1:22" ht="13.2">
      <c r="B24" s="6" t="s">
        <v>60</v>
      </c>
      <c r="C24" s="72">
        <v>14895</v>
      </c>
      <c r="D24" s="81">
        <v>15220</v>
      </c>
      <c r="E24" s="75">
        <v>20255</v>
      </c>
      <c r="F24" s="82">
        <f>926*F23</f>
        <v>22779.600000000002</v>
      </c>
      <c r="G24" s="65">
        <v>21391</v>
      </c>
      <c r="H24" s="1"/>
      <c r="I24" s="57" t="s">
        <v>54</v>
      </c>
      <c r="J24" s="58">
        <v>9.4799999999999995E-2</v>
      </c>
      <c r="K24" s="56">
        <v>0.1003</v>
      </c>
      <c r="L24" s="55">
        <v>0.15010539127060429</v>
      </c>
      <c r="M24" s="55">
        <v>0.12065470220439178</v>
      </c>
      <c r="R24" s="1"/>
      <c r="S24" s="1"/>
      <c r="T24" s="1"/>
      <c r="U24" s="1"/>
      <c r="V24" s="1"/>
    </row>
    <row r="25" spans="1:22" ht="13.2">
      <c r="B25" s="6" t="s">
        <v>61</v>
      </c>
      <c r="C25" s="83">
        <f t="shared" ref="C25:G25" si="0">C23-AVERAGE(C21:C22)</f>
        <v>-14.030000000000001</v>
      </c>
      <c r="D25" s="84">
        <f t="shared" si="0"/>
        <v>7.6999999999999993</v>
      </c>
      <c r="E25" s="85">
        <f t="shared" si="0"/>
        <v>6.3800000000000026</v>
      </c>
      <c r="F25" s="86">
        <f t="shared" si="0"/>
        <v>16.850000000000001</v>
      </c>
      <c r="G25" s="87">
        <f t="shared" si="0"/>
        <v>8.6</v>
      </c>
      <c r="H25" s="88"/>
      <c r="I25" s="57" t="s">
        <v>56</v>
      </c>
      <c r="J25" s="64">
        <v>7.6603980042625919E-2</v>
      </c>
      <c r="K25" s="55">
        <v>0.13921702904753763</v>
      </c>
      <c r="L25" s="55">
        <v>8.7381257158256398E-2</v>
      </c>
      <c r="M25" s="55">
        <v>1.9623743107362923E-2</v>
      </c>
      <c r="N25" s="1"/>
      <c r="O25" s="1"/>
      <c r="P25" s="1"/>
      <c r="R25" s="1"/>
      <c r="S25" s="1"/>
      <c r="T25" s="1"/>
      <c r="U25" s="1"/>
      <c r="V25" s="1"/>
    </row>
    <row r="26" spans="1:22" ht="13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R26" s="1"/>
      <c r="S26" s="1"/>
      <c r="T26" s="1"/>
      <c r="U26" s="1"/>
      <c r="V26" s="1"/>
    </row>
    <row r="27" spans="1:22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R27" s="1"/>
      <c r="S27" s="1"/>
      <c r="T27" s="1"/>
      <c r="U27" s="1"/>
      <c r="V27" s="1"/>
    </row>
    <row r="28" spans="1:22" ht="13.2"/>
    <row r="29" spans="1:22" ht="13.2"/>
    <row r="30" spans="1:22" ht="13.2"/>
    <row r="31" spans="1:22" ht="13.2"/>
    <row r="32" spans="1:22" ht="13.2"/>
    <row r="33" ht="13.2"/>
    <row r="34" ht="13.2"/>
    <row r="35" ht="13.2"/>
    <row r="36" ht="13.2"/>
    <row r="37" ht="13.2"/>
    <row r="38" ht="13.2"/>
    <row r="39" ht="13.2"/>
    <row r="40" ht="13.2"/>
    <row r="41" ht="13.2"/>
    <row r="42" ht="13.2"/>
    <row r="43" ht="13.2"/>
    <row r="44" ht="13.2"/>
    <row r="45" ht="13.2"/>
    <row r="46" ht="13.2"/>
    <row r="47" ht="13.2"/>
    <row r="48" ht="13.2"/>
    <row r="49" ht="13.2"/>
    <row r="50" ht="13.2"/>
    <row r="51" ht="13.2"/>
    <row r="52" ht="13.2"/>
    <row r="53" ht="13.2"/>
    <row r="54" ht="13.2"/>
    <row r="55" ht="13.2"/>
    <row r="56" ht="13.2"/>
    <row r="57" ht="13.2"/>
    <row r="58" ht="13.2"/>
    <row r="59" ht="13.2"/>
    <row r="60" ht="13.2"/>
    <row r="61" ht="13.2"/>
    <row r="62" ht="13.2"/>
    <row r="63" ht="13.2"/>
    <row r="64" ht="13.2"/>
    <row r="65" ht="13.2"/>
    <row r="66" ht="13.2"/>
    <row r="67" ht="13.2"/>
    <row r="68" ht="13.2"/>
    <row r="69" ht="13.2"/>
    <row r="70" ht="13.2"/>
    <row r="71" ht="13.2"/>
    <row r="72" ht="13.2"/>
    <row r="73" ht="13.2"/>
    <row r="74" ht="13.2"/>
    <row r="75" ht="13.2"/>
    <row r="76" ht="13.2"/>
    <row r="77" ht="13.2"/>
    <row r="78" ht="13.2"/>
    <row r="79" ht="13.2"/>
    <row r="80" ht="13.2"/>
    <row r="81" spans="1:10" ht="13.2"/>
    <row r="82" spans="1:10" ht="13.2"/>
    <row r="83" spans="1:10" ht="13.2"/>
    <row r="84" spans="1:10" ht="13.2"/>
    <row r="85" spans="1:10" ht="13.2"/>
    <row r="86" spans="1:10" ht="13.2"/>
    <row r="87" spans="1:10" ht="13.2"/>
    <row r="88" spans="1:10" ht="13.2"/>
    <row r="89" spans="1:10" ht="13.2"/>
    <row r="90" spans="1:10" ht="13.2"/>
    <row r="91" spans="1:10" ht="14.4">
      <c r="A91" s="90"/>
      <c r="B91" s="90"/>
      <c r="C91" s="92"/>
    </row>
    <row r="92" spans="1:10" ht="14.4">
      <c r="A92" s="90"/>
      <c r="B92" s="90"/>
      <c r="C92" s="92"/>
    </row>
    <row r="93" spans="1:10" ht="14.4">
      <c r="A93" s="90"/>
      <c r="B93" s="90"/>
      <c r="C93" s="92"/>
    </row>
    <row r="94" spans="1:10" ht="14.4">
      <c r="A94" s="90"/>
      <c r="B94" s="90"/>
      <c r="C94" s="92"/>
    </row>
    <row r="95" spans="1:10" ht="14.4">
      <c r="A95" s="93"/>
      <c r="B95" s="90"/>
      <c r="C95" s="90"/>
      <c r="D95" s="92"/>
      <c r="G95" s="93"/>
      <c r="H95" s="90"/>
      <c r="I95" s="90"/>
      <c r="J95" s="91"/>
    </row>
    <row r="96" spans="1:10" ht="14.4">
      <c r="A96" s="93"/>
      <c r="B96" s="90"/>
      <c r="C96" s="90"/>
      <c r="D96" s="92"/>
      <c r="G96" s="93"/>
      <c r="H96" s="90"/>
      <c r="I96" s="90"/>
      <c r="J96" s="91"/>
    </row>
    <row r="97" spans="1:10" ht="14.4">
      <c r="A97" s="93"/>
      <c r="B97" s="90"/>
      <c r="C97" s="90"/>
      <c r="D97" s="92"/>
      <c r="G97" s="93"/>
      <c r="H97" s="90"/>
      <c r="I97" s="90"/>
      <c r="J97" s="91"/>
    </row>
    <row r="98" spans="1:10" ht="14.4">
      <c r="A98" s="93"/>
      <c r="B98" s="90"/>
      <c r="C98" s="90"/>
      <c r="D98" s="92"/>
      <c r="G98" s="93"/>
      <c r="H98" s="90"/>
      <c r="I98" s="90"/>
      <c r="J98" s="91"/>
    </row>
    <row r="99" spans="1:10" ht="14.4">
      <c r="A99" s="93"/>
      <c r="B99" s="90"/>
      <c r="C99" s="90"/>
      <c r="D99" s="92"/>
      <c r="G99" s="93"/>
      <c r="H99" s="90"/>
      <c r="I99" s="90"/>
      <c r="J99" s="91"/>
    </row>
    <row r="100" spans="1:10" ht="14.4">
      <c r="A100" s="93"/>
      <c r="B100" s="90"/>
      <c r="C100" s="90"/>
      <c r="D100" s="92"/>
      <c r="G100" s="93"/>
      <c r="H100" s="90"/>
      <c r="I100" s="90"/>
      <c r="J100" s="91"/>
    </row>
    <row r="101" spans="1:10" ht="14.4">
      <c r="A101" s="93"/>
      <c r="B101" s="90"/>
      <c r="C101" s="90"/>
      <c r="D101" s="92"/>
      <c r="G101" s="93"/>
      <c r="H101" s="90"/>
      <c r="I101" s="90"/>
      <c r="J101" s="91"/>
    </row>
    <row r="102" spans="1:10" ht="14.4">
      <c r="A102" s="93"/>
      <c r="B102" s="90"/>
      <c r="C102" s="90"/>
      <c r="D102" s="92"/>
      <c r="G102" s="93"/>
      <c r="H102" s="90"/>
      <c r="I102" s="90"/>
      <c r="J102" s="91"/>
    </row>
    <row r="103" spans="1:10" ht="14.4">
      <c r="A103" s="93"/>
      <c r="B103" s="90"/>
      <c r="C103" s="90"/>
      <c r="D103" s="92"/>
      <c r="G103" s="93"/>
      <c r="H103" s="90"/>
      <c r="I103" s="90"/>
      <c r="J103" s="91"/>
    </row>
    <row r="104" spans="1:10" ht="14.4">
      <c r="A104" s="93"/>
      <c r="B104" s="90"/>
      <c r="C104" s="90"/>
      <c r="D104" s="92"/>
      <c r="G104" s="93"/>
      <c r="H104" s="90"/>
      <c r="I104" s="90"/>
      <c r="J104" s="91"/>
    </row>
    <row r="105" spans="1:10" ht="14.4">
      <c r="A105" s="93"/>
      <c r="B105" s="90"/>
      <c r="C105" s="90"/>
      <c r="D105" s="92"/>
      <c r="G105" s="93"/>
      <c r="H105" s="90"/>
      <c r="I105" s="90"/>
      <c r="J105" s="91"/>
    </row>
    <row r="106" spans="1:10" ht="14.4">
      <c r="A106" s="93"/>
      <c r="B106" s="90"/>
      <c r="C106" s="90"/>
      <c r="D106" s="92"/>
      <c r="G106" s="93"/>
      <c r="H106" s="90"/>
      <c r="I106" s="90"/>
      <c r="J106" s="91"/>
    </row>
    <row r="107" spans="1:10" ht="14.4">
      <c r="A107" s="93"/>
      <c r="B107" s="90"/>
      <c r="C107" s="90"/>
      <c r="D107" s="92"/>
      <c r="G107" s="93"/>
      <c r="H107" s="90"/>
      <c r="I107" s="90"/>
      <c r="J107" s="91"/>
    </row>
    <row r="108" spans="1:10" ht="14.4">
      <c r="A108" s="93"/>
      <c r="B108" s="90"/>
      <c r="C108" s="90"/>
      <c r="D108" s="92"/>
      <c r="G108" s="93"/>
      <c r="H108" s="90"/>
      <c r="I108" s="90"/>
      <c r="J108" s="91"/>
    </row>
    <row r="109" spans="1:10" ht="14.4">
      <c r="A109" s="93"/>
      <c r="B109" s="90"/>
      <c r="C109" s="90"/>
      <c r="D109" s="92"/>
      <c r="G109" s="93"/>
      <c r="H109" s="90"/>
      <c r="I109" s="90"/>
      <c r="J109" s="91"/>
    </row>
    <row r="110" spans="1:10" ht="14.4">
      <c r="A110" s="93"/>
      <c r="B110" s="90"/>
      <c r="C110" s="90"/>
      <c r="D110" s="92"/>
      <c r="G110" s="93"/>
      <c r="H110" s="90"/>
      <c r="I110" s="90"/>
      <c r="J110" s="91"/>
    </row>
    <row r="111" spans="1:10" ht="14.4">
      <c r="A111" s="93"/>
      <c r="B111" s="90"/>
      <c r="C111" s="90"/>
      <c r="D111" s="92"/>
      <c r="G111" s="93"/>
      <c r="H111" s="90"/>
      <c r="I111" s="90"/>
      <c r="J111" s="91"/>
    </row>
    <row r="112" spans="1:10" ht="14.4">
      <c r="A112" s="93"/>
      <c r="B112" s="90"/>
      <c r="C112" s="90"/>
      <c r="D112" s="92"/>
      <c r="G112" s="93"/>
      <c r="H112" s="90"/>
      <c r="I112" s="90"/>
      <c r="J112" s="91"/>
    </row>
    <row r="113" spans="1:10" ht="14.4">
      <c r="A113" s="93"/>
      <c r="B113" s="90"/>
      <c r="C113" s="90"/>
      <c r="D113" s="92"/>
      <c r="G113" s="93"/>
      <c r="H113" s="90"/>
      <c r="I113" s="90"/>
      <c r="J113" s="91"/>
    </row>
    <row r="114" spans="1:10" ht="14.4">
      <c r="A114" s="93"/>
      <c r="B114" s="90"/>
      <c r="C114" s="90"/>
      <c r="D114" s="92"/>
      <c r="G114" s="93"/>
      <c r="H114" s="90"/>
      <c r="I114" s="90"/>
      <c r="J114" s="91"/>
    </row>
    <row r="115" spans="1:10" ht="14.4">
      <c r="A115" s="93"/>
      <c r="B115" s="90"/>
      <c r="C115" s="90"/>
      <c r="D115" s="92"/>
      <c r="G115" s="93"/>
      <c r="H115" s="90"/>
      <c r="I115" s="90"/>
      <c r="J115" s="91"/>
    </row>
    <row r="116" spans="1:10" ht="14.4">
      <c r="A116" s="93"/>
      <c r="B116" s="90"/>
      <c r="C116" s="90"/>
      <c r="D116" s="92"/>
      <c r="G116" s="93"/>
      <c r="H116" s="90"/>
      <c r="I116" s="90"/>
      <c r="J116" s="91"/>
    </row>
    <row r="117" spans="1:10" ht="14.4">
      <c r="A117" s="93"/>
      <c r="B117" s="90"/>
      <c r="C117" s="90"/>
      <c r="D117" s="92"/>
      <c r="G117" s="93"/>
      <c r="H117" s="90"/>
      <c r="I117" s="90"/>
      <c r="J117" s="91"/>
    </row>
    <row r="118" spans="1:10" ht="14.4">
      <c r="A118" s="93"/>
      <c r="B118" s="90"/>
      <c r="C118" s="90"/>
      <c r="D118" s="92"/>
      <c r="G118" s="93"/>
      <c r="H118" s="90"/>
      <c r="I118" s="90"/>
      <c r="J118" s="91"/>
    </row>
    <row r="119" spans="1:10" ht="14.4">
      <c r="A119" s="93"/>
      <c r="B119" s="90"/>
      <c r="C119" s="90"/>
      <c r="D119" s="92"/>
      <c r="G119" s="93"/>
      <c r="H119" s="90"/>
      <c r="I119" s="90"/>
      <c r="J119" s="91"/>
    </row>
    <row r="120" spans="1:10" ht="14.4">
      <c r="A120" s="93"/>
      <c r="B120" s="90"/>
      <c r="C120" s="90"/>
      <c r="D120" s="92"/>
      <c r="G120" s="93"/>
      <c r="H120" s="90"/>
      <c r="I120" s="90"/>
      <c r="J120" s="91"/>
    </row>
    <row r="121" spans="1:10" ht="14.4">
      <c r="A121" s="93"/>
      <c r="B121" s="90"/>
      <c r="C121" s="90"/>
      <c r="D121" s="92"/>
      <c r="G121" s="93"/>
      <c r="H121" s="90"/>
      <c r="I121" s="90"/>
      <c r="J121" s="91"/>
    </row>
    <row r="122" spans="1:10" ht="14.4">
      <c r="A122" s="93"/>
      <c r="B122" s="90"/>
      <c r="C122" s="90"/>
      <c r="D122" s="92"/>
      <c r="G122" s="93"/>
      <c r="H122" s="90"/>
      <c r="I122" s="90"/>
      <c r="J122" s="91"/>
    </row>
    <row r="123" spans="1:10" ht="14.4">
      <c r="A123" s="93"/>
      <c r="B123" s="90"/>
      <c r="C123" s="90"/>
      <c r="D123" s="92"/>
      <c r="G123" s="93"/>
      <c r="H123" s="90"/>
      <c r="I123" s="90"/>
      <c r="J123" s="91"/>
    </row>
    <row r="124" spans="1:10" ht="14.4">
      <c r="A124" s="93"/>
      <c r="B124" s="90"/>
      <c r="C124" s="90"/>
      <c r="D124" s="92"/>
      <c r="G124" s="93"/>
      <c r="H124" s="90"/>
      <c r="I124" s="90"/>
      <c r="J124" s="91"/>
    </row>
    <row r="125" spans="1:10" ht="14.4">
      <c r="A125" s="93"/>
      <c r="B125" s="90"/>
      <c r="C125" s="90"/>
      <c r="D125" s="92"/>
      <c r="G125" s="93"/>
      <c r="H125" s="90"/>
      <c r="I125" s="90"/>
      <c r="J125" s="91"/>
    </row>
    <row r="126" spans="1:10" ht="14.4">
      <c r="A126" s="93"/>
      <c r="B126" s="90"/>
      <c r="C126" s="90"/>
      <c r="D126" s="92"/>
      <c r="G126" s="93"/>
      <c r="H126" s="90"/>
      <c r="I126" s="90"/>
      <c r="J126" s="91"/>
    </row>
    <row r="127" spans="1:10" ht="14.4">
      <c r="A127" s="93"/>
      <c r="B127" s="90"/>
      <c r="C127" s="90"/>
      <c r="D127" s="92"/>
      <c r="G127" s="93"/>
      <c r="H127" s="90"/>
      <c r="I127" s="90"/>
      <c r="J127" s="91"/>
    </row>
    <row r="128" spans="1:10" ht="14.4">
      <c r="A128" s="93"/>
      <c r="B128" s="90"/>
      <c r="C128" s="90"/>
      <c r="D128" s="92"/>
      <c r="G128" s="93"/>
      <c r="H128" s="90"/>
      <c r="I128" s="90"/>
      <c r="J128" s="91"/>
    </row>
    <row r="129" spans="1:10" ht="14.4">
      <c r="A129" s="93"/>
      <c r="B129" s="90"/>
      <c r="C129" s="90"/>
      <c r="D129" s="92"/>
      <c r="G129" s="93"/>
      <c r="H129" s="90"/>
      <c r="I129" s="90"/>
      <c r="J129" s="91"/>
    </row>
    <row r="130" spans="1:10" ht="14.4">
      <c r="A130" s="93"/>
      <c r="B130" s="90"/>
      <c r="C130" s="90"/>
      <c r="D130" s="92"/>
      <c r="G130" s="93"/>
      <c r="H130" s="90"/>
      <c r="I130" s="90"/>
      <c r="J130" s="91"/>
    </row>
    <row r="131" spans="1:10" ht="14.4">
      <c r="A131" s="93"/>
      <c r="B131" s="90"/>
      <c r="C131" s="90"/>
      <c r="D131" s="92"/>
      <c r="G131" s="93"/>
      <c r="H131" s="90"/>
      <c r="I131" s="90"/>
      <c r="J131" s="91"/>
    </row>
    <row r="132" spans="1:10" ht="14.4">
      <c r="A132" s="93"/>
      <c r="B132" s="90"/>
      <c r="C132" s="90"/>
      <c r="D132" s="92"/>
      <c r="G132" s="93"/>
      <c r="H132" s="90"/>
      <c r="I132" s="90"/>
      <c r="J132" s="91"/>
    </row>
    <row r="133" spans="1:10" ht="14.4">
      <c r="A133" s="93"/>
      <c r="B133" s="90"/>
      <c r="C133" s="90"/>
      <c r="D133" s="92"/>
      <c r="G133" s="93"/>
      <c r="H133" s="90"/>
      <c r="I133" s="90"/>
      <c r="J133" s="91"/>
    </row>
    <row r="134" spans="1:10" ht="14.4">
      <c r="A134" s="93"/>
      <c r="B134" s="90"/>
      <c r="C134" s="90"/>
      <c r="D134" s="92"/>
      <c r="G134" s="93"/>
      <c r="H134" s="90"/>
      <c r="I134" s="90"/>
      <c r="J134" s="91"/>
    </row>
    <row r="135" spans="1:10" ht="14.4">
      <c r="A135" s="93"/>
      <c r="B135" s="90"/>
      <c r="C135" s="90"/>
      <c r="D135" s="92"/>
      <c r="G135" s="93"/>
      <c r="H135" s="90"/>
      <c r="I135" s="90"/>
      <c r="J135" s="91"/>
    </row>
    <row r="136" spans="1:10" ht="14.4">
      <c r="A136" s="93"/>
      <c r="B136" s="90"/>
      <c r="C136" s="90"/>
      <c r="D136" s="92"/>
      <c r="G136" s="93"/>
      <c r="H136" s="90"/>
      <c r="I136" s="90"/>
      <c r="J136" s="91"/>
    </row>
    <row r="137" spans="1:10" ht="14.4">
      <c r="A137" s="93"/>
      <c r="B137" s="90"/>
      <c r="C137" s="90"/>
      <c r="D137" s="92"/>
      <c r="G137" s="93"/>
      <c r="H137" s="90"/>
      <c r="I137" s="90"/>
      <c r="J137" s="91"/>
    </row>
    <row r="138" spans="1:10" ht="14.4">
      <c r="A138" s="93"/>
      <c r="B138" s="90"/>
      <c r="C138" s="90"/>
      <c r="D138" s="92"/>
      <c r="G138" s="93"/>
      <c r="H138" s="90"/>
      <c r="I138" s="90"/>
      <c r="J138" s="91"/>
    </row>
    <row r="139" spans="1:10" ht="14.4">
      <c r="A139" s="93"/>
      <c r="B139" s="90"/>
      <c r="C139" s="90"/>
      <c r="D139" s="92"/>
      <c r="G139" s="93"/>
      <c r="H139" s="90"/>
      <c r="I139" s="90"/>
      <c r="J139" s="91"/>
    </row>
    <row r="140" spans="1:10" ht="14.4">
      <c r="A140" s="93"/>
      <c r="B140" s="90"/>
      <c r="C140" s="90"/>
      <c r="D140" s="92"/>
      <c r="G140" s="93"/>
      <c r="H140" s="90"/>
      <c r="I140" s="90"/>
      <c r="J140" s="91"/>
    </row>
    <row r="141" spans="1:10" ht="14.4">
      <c r="A141" s="93"/>
      <c r="B141" s="90"/>
      <c r="C141" s="90"/>
      <c r="D141" s="92"/>
      <c r="G141" s="93"/>
      <c r="H141" s="90"/>
      <c r="I141" s="90"/>
      <c r="J141" s="91"/>
    </row>
    <row r="142" spans="1:10" ht="14.4">
      <c r="A142" s="93"/>
      <c r="B142" s="90"/>
      <c r="C142" s="90"/>
      <c r="D142" s="92"/>
      <c r="G142" s="93"/>
      <c r="H142" s="90"/>
      <c r="I142" s="90"/>
      <c r="J142" s="91"/>
    </row>
    <row r="143" spans="1:10" ht="14.4">
      <c r="A143" s="93"/>
      <c r="B143" s="90"/>
      <c r="C143" s="90"/>
      <c r="D143" s="92"/>
      <c r="G143" s="93"/>
      <c r="H143" s="90"/>
      <c r="I143" s="90"/>
      <c r="J143" s="91"/>
    </row>
    <row r="144" spans="1:10" ht="14.4">
      <c r="A144" s="93"/>
      <c r="B144" s="90"/>
      <c r="C144" s="90"/>
      <c r="D144" s="92"/>
      <c r="G144" s="93"/>
      <c r="H144" s="90"/>
      <c r="I144" s="90"/>
      <c r="J144" s="91"/>
    </row>
    <row r="145" spans="1:10" ht="14.4">
      <c r="A145" s="93"/>
      <c r="B145" s="90"/>
      <c r="C145" s="90"/>
      <c r="D145" s="92"/>
      <c r="G145" s="93"/>
      <c r="H145" s="90"/>
      <c r="I145" s="90"/>
      <c r="J145" s="91"/>
    </row>
    <row r="146" spans="1:10" ht="14.4">
      <c r="A146" s="93"/>
      <c r="B146" s="90"/>
      <c r="C146" s="90"/>
      <c r="D146" s="92"/>
      <c r="G146" s="93"/>
      <c r="H146" s="90"/>
      <c r="I146" s="90"/>
      <c r="J146" s="91"/>
    </row>
    <row r="147" spans="1:10" ht="14.4">
      <c r="A147" s="93"/>
      <c r="B147" s="90"/>
      <c r="C147" s="90"/>
      <c r="D147" s="92"/>
      <c r="G147" s="93"/>
      <c r="H147" s="90"/>
      <c r="I147" s="90"/>
      <c r="J147" s="91"/>
    </row>
    <row r="148" spans="1:10" ht="14.4">
      <c r="A148" s="93"/>
      <c r="B148" s="90"/>
      <c r="C148" s="90"/>
      <c r="D148" s="92"/>
      <c r="G148" s="93"/>
      <c r="H148" s="90"/>
      <c r="I148" s="90"/>
      <c r="J148" s="91"/>
    </row>
    <row r="149" spans="1:10" ht="14.4">
      <c r="A149" s="93"/>
      <c r="B149" s="90"/>
      <c r="C149" s="90"/>
      <c r="D149" s="92"/>
      <c r="G149" s="93"/>
      <c r="H149" s="90"/>
      <c r="I149" s="90"/>
      <c r="J149" s="91"/>
    </row>
    <row r="150" spans="1:10" ht="14.4">
      <c r="A150" s="93"/>
      <c r="B150" s="90"/>
      <c r="C150" s="90"/>
      <c r="D150" s="92"/>
      <c r="G150" s="93"/>
      <c r="H150" s="90"/>
      <c r="I150" s="90"/>
      <c r="J150" s="91"/>
    </row>
    <row r="151" spans="1:10" ht="14.4">
      <c r="A151" s="93"/>
      <c r="B151" s="90"/>
      <c r="C151" s="90"/>
      <c r="D151" s="92"/>
      <c r="G151" s="93"/>
      <c r="H151" s="90"/>
      <c r="I151" s="90"/>
      <c r="J151" s="91"/>
    </row>
    <row r="152" spans="1:10" ht="14.4">
      <c r="A152" s="93"/>
      <c r="B152" s="90"/>
      <c r="C152" s="90"/>
      <c r="D152" s="92"/>
      <c r="G152" s="93"/>
      <c r="H152" s="90"/>
      <c r="I152" s="90"/>
      <c r="J152" s="91"/>
    </row>
    <row r="153" spans="1:10" ht="14.4">
      <c r="A153" s="93"/>
      <c r="B153" s="90"/>
      <c r="C153" s="90"/>
      <c r="D153" s="92"/>
      <c r="G153" s="93"/>
      <c r="H153" s="90"/>
      <c r="I153" s="90"/>
      <c r="J153" s="91"/>
    </row>
    <row r="154" spans="1:10" ht="14.4">
      <c r="A154" s="93"/>
      <c r="B154" s="90"/>
      <c r="C154" s="90"/>
      <c r="D154" s="92"/>
      <c r="G154" s="93"/>
      <c r="H154" s="90"/>
      <c r="I154" s="90"/>
      <c r="J154" s="91"/>
    </row>
    <row r="155" spans="1:10" ht="14.4">
      <c r="A155" s="93"/>
      <c r="B155" s="90"/>
      <c r="C155" s="90"/>
      <c r="D155" s="92"/>
      <c r="G155" s="93"/>
      <c r="H155" s="90"/>
      <c r="I155" s="90"/>
      <c r="J155" s="91"/>
    </row>
    <row r="156" spans="1:10" ht="14.4">
      <c r="A156" s="93"/>
      <c r="B156" s="90"/>
      <c r="C156" s="90"/>
      <c r="D156" s="92"/>
      <c r="G156" s="93"/>
      <c r="H156" s="90"/>
      <c r="I156" s="90"/>
      <c r="J156" s="91"/>
    </row>
    <row r="157" spans="1:10" ht="14.4">
      <c r="A157" s="93"/>
      <c r="B157" s="90"/>
      <c r="C157" s="90"/>
      <c r="D157" s="92"/>
      <c r="G157" s="93"/>
      <c r="H157" s="90"/>
      <c r="I157" s="90"/>
      <c r="J157" s="91"/>
    </row>
    <row r="158" spans="1:10" ht="14.4">
      <c r="A158" s="93"/>
      <c r="B158" s="90"/>
      <c r="C158" s="90"/>
      <c r="D158" s="92"/>
      <c r="G158" s="93"/>
      <c r="H158" s="90"/>
      <c r="I158" s="90"/>
      <c r="J158" s="91"/>
    </row>
    <row r="159" spans="1:10" ht="14.4">
      <c r="A159" s="93"/>
      <c r="B159" s="90"/>
      <c r="C159" s="90"/>
      <c r="D159" s="92"/>
      <c r="G159" s="93"/>
      <c r="H159" s="90"/>
      <c r="I159" s="90"/>
      <c r="J159" s="91"/>
    </row>
    <row r="160" spans="1:10" ht="14.4">
      <c r="A160" s="93"/>
      <c r="B160" s="90"/>
      <c r="C160" s="90"/>
      <c r="D160" s="92"/>
      <c r="G160" s="93"/>
      <c r="H160" s="90"/>
      <c r="I160" s="90"/>
      <c r="J160" s="91"/>
    </row>
    <row r="161" spans="1:10" ht="14.4">
      <c r="A161" s="93"/>
      <c r="B161" s="90"/>
      <c r="C161" s="90"/>
      <c r="D161" s="92"/>
      <c r="G161" s="93"/>
      <c r="H161" s="90"/>
      <c r="I161" s="90"/>
      <c r="J161" s="91"/>
    </row>
    <row r="162" spans="1:10" ht="14.4">
      <c r="A162" s="93"/>
      <c r="B162" s="90"/>
      <c r="C162" s="90"/>
      <c r="D162" s="92"/>
      <c r="G162" s="93"/>
      <c r="H162" s="90"/>
      <c r="I162" s="90"/>
      <c r="J162" s="91"/>
    </row>
    <row r="163" spans="1:10" ht="14.4">
      <c r="A163" s="93"/>
      <c r="B163" s="90"/>
      <c r="C163" s="90"/>
      <c r="D163" s="92"/>
      <c r="G163" s="93"/>
      <c r="H163" s="90"/>
      <c r="I163" s="90"/>
      <c r="J163" s="91"/>
    </row>
    <row r="164" spans="1:10" ht="14.4">
      <c r="A164" s="93"/>
      <c r="B164" s="90"/>
      <c r="C164" s="90"/>
      <c r="D164" s="92"/>
    </row>
    <row r="165" spans="1:10" ht="14.4">
      <c r="A165" s="93"/>
      <c r="B165" s="90"/>
      <c r="C165" s="90"/>
      <c r="D165" s="92"/>
    </row>
    <row r="166" spans="1:10" ht="14.4">
      <c r="A166" s="93"/>
      <c r="B166" s="90"/>
      <c r="C166" s="90"/>
      <c r="D166" s="92"/>
    </row>
    <row r="167" spans="1:10" ht="14.4">
      <c r="A167" s="93"/>
      <c r="B167" s="90"/>
      <c r="C167" s="90"/>
      <c r="D167" s="92"/>
    </row>
    <row r="168" spans="1:10" ht="14.4">
      <c r="A168" s="93"/>
      <c r="B168" s="90"/>
      <c r="C168" s="90"/>
      <c r="D168" s="92"/>
    </row>
    <row r="169" spans="1:10" ht="14.4">
      <c r="A169" s="93"/>
      <c r="B169" s="90"/>
      <c r="C169" s="90"/>
      <c r="D169" s="92"/>
    </row>
    <row r="170" spans="1:10" ht="14.4">
      <c r="A170" s="93"/>
      <c r="B170" s="90"/>
      <c r="C170" s="90"/>
      <c r="D170" s="92"/>
    </row>
    <row r="171" spans="1:10" ht="14.4">
      <c r="A171" s="93"/>
      <c r="B171" s="90"/>
      <c r="C171" s="90"/>
      <c r="D171" s="92"/>
    </row>
    <row r="172" spans="1:10" ht="14.4">
      <c r="A172" s="93"/>
      <c r="B172" s="90"/>
      <c r="C172" s="90"/>
      <c r="D172" s="92"/>
    </row>
    <row r="173" spans="1:10" ht="14.4">
      <c r="A173" s="93"/>
      <c r="B173" s="90"/>
      <c r="C173" s="90"/>
      <c r="D173" s="92"/>
    </row>
    <row r="174" spans="1:10" ht="14.4">
      <c r="A174" s="93"/>
      <c r="B174" s="90"/>
      <c r="C174" s="90"/>
      <c r="D174" s="92"/>
    </row>
    <row r="175" spans="1:10" ht="14.4">
      <c r="A175" s="93"/>
      <c r="B175" s="90"/>
      <c r="C175" s="90"/>
      <c r="D175" s="92"/>
    </row>
    <row r="176" spans="1:10" ht="14.4">
      <c r="A176" s="93"/>
      <c r="B176" s="90"/>
      <c r="C176" s="90"/>
      <c r="D176" s="92"/>
    </row>
    <row r="177" spans="1:4" ht="14.4">
      <c r="A177" s="93"/>
      <c r="B177" s="90"/>
      <c r="C177" s="90"/>
      <c r="D177" s="92"/>
    </row>
    <row r="178" spans="1:4" ht="14.4">
      <c r="A178" s="93"/>
      <c r="B178" s="90"/>
      <c r="C178" s="90"/>
      <c r="D178" s="92"/>
    </row>
    <row r="179" spans="1:4" ht="14.4">
      <c r="A179" s="93"/>
      <c r="B179" s="90"/>
      <c r="C179" s="90"/>
      <c r="D179" s="92"/>
    </row>
    <row r="180" spans="1:4" ht="14.4">
      <c r="A180" s="93"/>
      <c r="B180" s="90"/>
      <c r="C180" s="90"/>
      <c r="D180" s="92"/>
    </row>
    <row r="181" spans="1:4" ht="14.4">
      <c r="A181" s="93"/>
      <c r="B181" s="90"/>
      <c r="C181" s="90"/>
      <c r="D181" s="92"/>
    </row>
    <row r="182" spans="1:4" ht="14.4">
      <c r="A182" s="93"/>
      <c r="B182" s="90"/>
      <c r="C182" s="90"/>
      <c r="D182" s="92"/>
    </row>
    <row r="183" spans="1:4" ht="14.4">
      <c r="A183" s="93"/>
      <c r="B183" s="90"/>
      <c r="C183" s="90"/>
      <c r="D183" s="92"/>
    </row>
    <row r="184" spans="1:4" ht="14.4">
      <c r="A184" s="93"/>
      <c r="B184" s="90"/>
      <c r="C184" s="90"/>
      <c r="D184" s="92"/>
    </row>
    <row r="185" spans="1:4" ht="14.4">
      <c r="A185" s="93"/>
      <c r="B185" s="90"/>
      <c r="C185" s="90"/>
      <c r="D185" s="92"/>
    </row>
    <row r="186" spans="1:4" ht="14.4">
      <c r="A186" s="93"/>
      <c r="B186" s="90"/>
      <c r="C186" s="90"/>
      <c r="D186" s="91"/>
    </row>
    <row r="187" spans="1:4" ht="14.4">
      <c r="A187" s="93"/>
      <c r="B187" s="90"/>
      <c r="C187" s="90"/>
      <c r="D187" s="91"/>
    </row>
    <row r="188" spans="1:4" ht="14.4">
      <c r="A188" s="93"/>
      <c r="B188" s="90"/>
      <c r="C188" s="90"/>
      <c r="D188" s="91"/>
    </row>
    <row r="189" spans="1:4" ht="14.4">
      <c r="A189" s="93"/>
      <c r="B189" s="90"/>
      <c r="C189" s="90"/>
      <c r="D189" s="91"/>
    </row>
    <row r="190" spans="1:4" ht="14.4">
      <c r="A190" s="93"/>
      <c r="B190" s="90"/>
      <c r="C190" s="90"/>
      <c r="D190" s="91"/>
    </row>
    <row r="191" spans="1:4" ht="14.4">
      <c r="A191" s="93"/>
      <c r="B191" s="90"/>
      <c r="C191" s="90"/>
      <c r="D191" s="91"/>
    </row>
    <row r="192" spans="1:4" ht="14.4">
      <c r="A192" s="93"/>
      <c r="B192" s="90"/>
      <c r="C192" s="90"/>
      <c r="D192" s="91"/>
    </row>
    <row r="193" spans="1:4" ht="14.4">
      <c r="A193" s="93"/>
      <c r="B193" s="90"/>
      <c r="C193" s="90"/>
      <c r="D193" s="91"/>
    </row>
    <row r="194" spans="1:4" ht="14.4">
      <c r="A194" s="93"/>
      <c r="B194" s="90"/>
      <c r="C194" s="90"/>
      <c r="D194" s="91"/>
    </row>
    <row r="195" spans="1:4" ht="14.4">
      <c r="A195" s="93"/>
      <c r="B195" s="90"/>
      <c r="C195" s="90"/>
      <c r="D195" s="91"/>
    </row>
    <row r="196" spans="1:4" ht="14.4">
      <c r="A196" s="93"/>
      <c r="B196" s="90"/>
      <c r="C196" s="90"/>
      <c r="D196" s="91"/>
    </row>
    <row r="197" spans="1:4" ht="14.4">
      <c r="A197" s="93"/>
      <c r="B197" s="90"/>
      <c r="C197" s="90"/>
      <c r="D197" s="91"/>
    </row>
    <row r="198" spans="1:4" ht="14.4">
      <c r="A198" s="93"/>
      <c r="B198" s="90"/>
      <c r="C198" s="90"/>
      <c r="D198" s="92"/>
    </row>
    <row r="199" spans="1:4" ht="14.4">
      <c r="A199" s="93"/>
      <c r="B199" s="90"/>
      <c r="C199" s="90"/>
      <c r="D199" s="92"/>
    </row>
    <row r="200" spans="1:4" ht="14.4">
      <c r="A200" s="93"/>
      <c r="B200" s="90"/>
      <c r="C200" s="90"/>
      <c r="D200" s="92"/>
    </row>
    <row r="201" spans="1:4" ht="14.4">
      <c r="A201" s="93"/>
      <c r="B201" s="90"/>
      <c r="C201" s="90"/>
      <c r="D201" s="92"/>
    </row>
    <row r="202" spans="1:4" ht="14.4">
      <c r="A202" s="93"/>
      <c r="B202" s="90"/>
      <c r="C202" s="90"/>
      <c r="D202" s="92"/>
    </row>
    <row r="203" spans="1:4" ht="14.4">
      <c r="A203" s="93"/>
      <c r="B203" s="90"/>
      <c r="C203" s="90"/>
      <c r="D203" s="92"/>
    </row>
    <row r="204" spans="1:4" ht="14.4">
      <c r="A204" s="93"/>
      <c r="B204" s="90"/>
      <c r="C204" s="90"/>
      <c r="D204" s="92"/>
    </row>
    <row r="205" spans="1:4" ht="14.4">
      <c r="A205" s="93"/>
      <c r="B205" s="90"/>
      <c r="C205" s="90"/>
      <c r="D205" s="92"/>
    </row>
    <row r="206" spans="1:4" ht="14.4">
      <c r="A206" s="93"/>
      <c r="B206" s="90"/>
      <c r="C206" s="90"/>
      <c r="D206" s="92"/>
    </row>
    <row r="207" spans="1:4" ht="14.4">
      <c r="A207" s="93"/>
      <c r="B207" s="90"/>
      <c r="C207" s="90"/>
      <c r="D207" s="92"/>
    </row>
    <row r="208" spans="1:4" ht="14.4">
      <c r="A208" s="93"/>
      <c r="B208" s="90"/>
      <c r="C208" s="90"/>
      <c r="D208" s="92"/>
    </row>
    <row r="209" spans="1:4" ht="14.4">
      <c r="A209" s="93"/>
      <c r="B209" s="90"/>
      <c r="C209" s="90"/>
      <c r="D209" s="92"/>
    </row>
    <row r="210" spans="1:4" ht="14.4">
      <c r="A210" s="93"/>
      <c r="B210" s="90"/>
      <c r="C210" s="90"/>
      <c r="D210" s="92"/>
    </row>
    <row r="211" spans="1:4" ht="14.4">
      <c r="A211" s="93"/>
      <c r="B211" s="90"/>
      <c r="C211" s="90"/>
      <c r="D211" s="92"/>
    </row>
    <row r="212" spans="1:4" ht="14.4">
      <c r="A212" s="93"/>
      <c r="B212" s="90"/>
      <c r="C212" s="90"/>
      <c r="D212" s="92"/>
    </row>
    <row r="213" spans="1:4" ht="14.4">
      <c r="A213" s="93"/>
      <c r="B213" s="90"/>
      <c r="C213" s="90"/>
      <c r="D213" s="92"/>
    </row>
    <row r="214" spans="1:4" ht="14.4">
      <c r="A214" s="93"/>
      <c r="B214" s="90"/>
      <c r="C214" s="90"/>
      <c r="D214" s="92"/>
    </row>
    <row r="215" spans="1:4" ht="14.4">
      <c r="A215" s="93"/>
      <c r="B215" s="90"/>
      <c r="C215" s="90"/>
      <c r="D215" s="92"/>
    </row>
    <row r="216" spans="1:4" ht="14.4">
      <c r="A216" s="93"/>
      <c r="B216" s="90"/>
      <c r="C216" s="90"/>
      <c r="D216" s="92"/>
    </row>
    <row r="217" spans="1:4" ht="14.4">
      <c r="A217" s="93"/>
      <c r="B217" s="90"/>
      <c r="C217" s="90"/>
      <c r="D217" s="92"/>
    </row>
    <row r="218" spans="1:4" ht="14.4">
      <c r="A218" s="93"/>
      <c r="B218" s="90"/>
      <c r="C218" s="90"/>
      <c r="D218" s="92"/>
    </row>
    <row r="219" spans="1:4" ht="14.4">
      <c r="A219" s="93"/>
      <c r="B219" s="90"/>
      <c r="C219" s="90"/>
      <c r="D219" s="92"/>
    </row>
    <row r="220" spans="1:4" ht="14.4">
      <c r="A220" s="93"/>
      <c r="B220" s="90"/>
      <c r="C220" s="90"/>
      <c r="D220" s="92"/>
    </row>
    <row r="221" spans="1:4" ht="14.4">
      <c r="A221" s="93"/>
      <c r="B221" s="90"/>
      <c r="C221" s="90"/>
      <c r="D221" s="92"/>
    </row>
    <row r="222" spans="1:4" ht="14.4">
      <c r="A222" s="93"/>
      <c r="B222" s="90"/>
      <c r="C222" s="90"/>
      <c r="D222" s="92"/>
    </row>
    <row r="223" spans="1:4" ht="14.4">
      <c r="A223" s="93"/>
      <c r="B223" s="90"/>
      <c r="C223" s="90"/>
      <c r="D223" s="92"/>
    </row>
    <row r="224" spans="1:4" ht="14.4">
      <c r="A224" s="93"/>
      <c r="B224" s="90"/>
      <c r="C224" s="90"/>
      <c r="D224" s="92"/>
    </row>
    <row r="225" spans="1:4" ht="14.4">
      <c r="A225" s="93"/>
      <c r="B225" s="90"/>
      <c r="C225" s="90"/>
      <c r="D225" s="92"/>
    </row>
    <row r="226" spans="1:4" ht="14.4">
      <c r="A226" s="93"/>
      <c r="B226" s="90"/>
      <c r="C226" s="90"/>
      <c r="D226" s="92"/>
    </row>
    <row r="227" spans="1:4" ht="14.4">
      <c r="A227" s="93"/>
      <c r="B227" s="90"/>
      <c r="C227" s="90"/>
      <c r="D227" s="92"/>
    </row>
    <row r="228" spans="1:4" ht="14.4">
      <c r="A228" s="93"/>
      <c r="B228" s="90"/>
      <c r="C228" s="90"/>
      <c r="D228" s="92"/>
    </row>
    <row r="229" spans="1:4" ht="14.4">
      <c r="A229" s="93"/>
      <c r="B229" s="90"/>
      <c r="C229" s="90"/>
      <c r="D229" s="92"/>
    </row>
    <row r="230" spans="1:4" ht="14.4">
      <c r="A230" s="93"/>
      <c r="B230" s="90"/>
      <c r="C230" s="90"/>
      <c r="D230" s="92"/>
    </row>
    <row r="231" spans="1:4" ht="14.4">
      <c r="A231" s="93"/>
      <c r="B231" s="90"/>
      <c r="C231" s="90"/>
      <c r="D231" s="92"/>
    </row>
    <row r="232" spans="1:4" ht="14.4">
      <c r="A232" s="93"/>
      <c r="B232" s="90"/>
      <c r="C232" s="90"/>
      <c r="D232" s="92"/>
    </row>
    <row r="233" spans="1:4" ht="14.4">
      <c r="A233" s="93"/>
      <c r="B233" s="90"/>
      <c r="C233" s="90"/>
      <c r="D233" s="92"/>
    </row>
    <row r="234" spans="1:4" ht="14.4">
      <c r="A234" s="93"/>
      <c r="B234" s="90"/>
      <c r="C234" s="90"/>
      <c r="D234" s="92"/>
    </row>
    <row r="235" spans="1:4" ht="14.4">
      <c r="A235" s="93"/>
      <c r="B235" s="90"/>
      <c r="C235" s="90"/>
      <c r="D235" s="92"/>
    </row>
    <row r="236" spans="1:4" ht="14.4">
      <c r="A236" s="93"/>
      <c r="B236" s="90"/>
      <c r="C236" s="90"/>
      <c r="D236" s="92"/>
    </row>
    <row r="237" spans="1:4" ht="14.4">
      <c r="A237" s="93"/>
      <c r="B237" s="90"/>
      <c r="C237" s="90"/>
      <c r="D237" s="92"/>
    </row>
    <row r="238" spans="1:4" ht="14.4">
      <c r="A238" s="93"/>
      <c r="B238" s="90"/>
      <c r="C238" s="90"/>
      <c r="D238" s="91"/>
    </row>
    <row r="239" spans="1:4" ht="14.4">
      <c r="A239" s="93"/>
      <c r="B239" s="90"/>
      <c r="C239" s="90"/>
      <c r="D239" s="91"/>
    </row>
    <row r="240" spans="1:4" ht="14.4">
      <c r="A240" s="93"/>
      <c r="B240" s="90"/>
      <c r="C240" s="90"/>
      <c r="D240" s="91"/>
    </row>
    <row r="241" spans="1:4" ht="14.4">
      <c r="A241" s="93"/>
      <c r="B241" s="90"/>
      <c r="C241" s="90"/>
      <c r="D241" s="91"/>
    </row>
    <row r="242" spans="1:4" ht="14.4">
      <c r="A242" s="93"/>
      <c r="B242" s="90"/>
      <c r="C242" s="90"/>
      <c r="D242" s="91"/>
    </row>
    <row r="243" spans="1:4" ht="14.4">
      <c r="A243" s="93"/>
      <c r="B243" s="90"/>
      <c r="C243" s="90"/>
      <c r="D243" s="91"/>
    </row>
    <row r="244" spans="1:4" ht="14.4">
      <c r="A244" s="93"/>
      <c r="B244" s="90"/>
      <c r="C244" s="90"/>
      <c r="D244" s="91"/>
    </row>
    <row r="245" spans="1:4" ht="14.4">
      <c r="A245" s="93"/>
      <c r="B245" s="90"/>
      <c r="C245" s="90"/>
      <c r="D245" s="91"/>
    </row>
    <row r="246" spans="1:4" ht="14.4">
      <c r="A246" s="93"/>
      <c r="B246" s="90"/>
      <c r="C246" s="90"/>
      <c r="D246" s="91"/>
    </row>
    <row r="247" spans="1:4" ht="14.4">
      <c r="A247" s="93"/>
      <c r="B247" s="90"/>
      <c r="C247" s="90"/>
      <c r="D247" s="91"/>
    </row>
    <row r="248" spans="1:4" ht="14.4">
      <c r="A248" s="93"/>
      <c r="B248" s="90"/>
      <c r="C248" s="90"/>
      <c r="D248" s="91"/>
    </row>
    <row r="249" spans="1:4" ht="14.4">
      <c r="A249" s="93"/>
      <c r="B249" s="90"/>
      <c r="C249" s="90"/>
      <c r="D249" s="91"/>
    </row>
    <row r="250" spans="1:4" ht="14.4">
      <c r="A250" s="93"/>
      <c r="B250" s="90"/>
      <c r="C250" s="90"/>
      <c r="D250" s="91"/>
    </row>
    <row r="251" spans="1:4" ht="14.4">
      <c r="A251" s="93"/>
      <c r="B251" s="90"/>
      <c r="C251" s="90"/>
      <c r="D251" s="92"/>
    </row>
    <row r="252" spans="1:4" ht="14.4">
      <c r="A252" s="93"/>
      <c r="B252" s="90"/>
      <c r="C252" s="90"/>
      <c r="D252" s="92"/>
    </row>
    <row r="253" spans="1:4" ht="14.4">
      <c r="A253" s="93"/>
      <c r="B253" s="90"/>
      <c r="C253" s="90"/>
      <c r="D253" s="92"/>
    </row>
    <row r="254" spans="1:4" ht="14.4">
      <c r="A254" s="93"/>
      <c r="B254" s="90"/>
      <c r="C254" s="90"/>
      <c r="D254" s="92"/>
    </row>
    <row r="255" spans="1:4" ht="14.4">
      <c r="A255" s="93"/>
      <c r="B255" s="90"/>
      <c r="C255" s="90"/>
      <c r="D255" s="92"/>
    </row>
    <row r="256" spans="1:4" ht="14.4">
      <c r="A256" s="93"/>
      <c r="B256" s="90"/>
      <c r="C256" s="90"/>
      <c r="D256" s="92"/>
    </row>
    <row r="257" spans="1:4" ht="14.4">
      <c r="A257" s="93"/>
      <c r="B257" s="90"/>
      <c r="C257" s="90"/>
      <c r="D257" s="92"/>
    </row>
    <row r="258" spans="1:4" ht="14.4">
      <c r="A258" s="93"/>
      <c r="B258" s="90"/>
      <c r="C258" s="90"/>
      <c r="D258" s="92"/>
    </row>
    <row r="259" spans="1:4" ht="14.4">
      <c r="A259" s="93"/>
      <c r="B259" s="90"/>
      <c r="C259" s="90"/>
      <c r="D259" s="92"/>
    </row>
    <row r="260" spans="1:4" ht="14.4">
      <c r="A260" s="93"/>
      <c r="B260" s="90"/>
      <c r="C260" s="90"/>
      <c r="D260" s="92"/>
    </row>
    <row r="261" spans="1:4" ht="14.4">
      <c r="A261" s="93"/>
      <c r="B261" s="90"/>
      <c r="C261" s="90"/>
      <c r="D261" s="92"/>
    </row>
    <row r="262" spans="1:4" ht="14.4">
      <c r="A262" s="93"/>
      <c r="B262" s="90"/>
      <c r="C262" s="90"/>
      <c r="D262" s="92"/>
    </row>
    <row r="263" spans="1:4" ht="14.4">
      <c r="A263" s="93"/>
      <c r="B263" s="90"/>
      <c r="C263" s="90"/>
      <c r="D263" s="92"/>
    </row>
    <row r="264" spans="1:4" ht="14.4">
      <c r="A264" s="93"/>
      <c r="B264" s="90"/>
      <c r="C264" s="90"/>
      <c r="D264" s="92"/>
    </row>
    <row r="265" spans="1:4" ht="14.4">
      <c r="A265" s="93"/>
      <c r="B265" s="90"/>
      <c r="C265" s="90"/>
      <c r="D265" s="92"/>
    </row>
    <row r="266" spans="1:4" ht="14.4">
      <c r="A266" s="93"/>
      <c r="B266" s="90"/>
      <c r="C266" s="90"/>
      <c r="D266" s="92"/>
    </row>
    <row r="267" spans="1:4" ht="14.4">
      <c r="A267" s="93"/>
      <c r="B267" s="90"/>
      <c r="C267" s="90"/>
      <c r="D267" s="92"/>
    </row>
    <row r="268" spans="1:4" ht="14.4">
      <c r="A268" s="93"/>
      <c r="B268" s="90"/>
      <c r="C268" s="90"/>
      <c r="D268" s="92"/>
    </row>
    <row r="269" spans="1:4" ht="14.4">
      <c r="A269" s="93"/>
      <c r="B269" s="90"/>
      <c r="C269" s="90"/>
      <c r="D269" s="92"/>
    </row>
    <row r="270" spans="1:4" ht="14.4">
      <c r="A270" s="93"/>
      <c r="B270" s="90"/>
      <c r="C270" s="90"/>
      <c r="D270" s="92"/>
    </row>
    <row r="271" spans="1:4" ht="14.4">
      <c r="A271" s="93"/>
      <c r="B271" s="90"/>
      <c r="C271" s="90"/>
      <c r="D271" s="92"/>
    </row>
    <row r="272" spans="1:4" ht="14.4">
      <c r="A272" s="93"/>
      <c r="B272" s="90"/>
      <c r="C272" s="90"/>
      <c r="D272" s="92"/>
    </row>
    <row r="273" spans="1:4" ht="14.4">
      <c r="A273" s="93"/>
      <c r="B273" s="90"/>
      <c r="C273" s="90"/>
      <c r="D273" s="92"/>
    </row>
    <row r="274" spans="1:4" ht="14.4">
      <c r="A274" s="93"/>
      <c r="B274" s="90"/>
      <c r="C274" s="90"/>
      <c r="D274" s="92"/>
    </row>
    <row r="275" spans="1:4" ht="14.4">
      <c r="A275" s="93"/>
      <c r="B275" s="90"/>
      <c r="C275" s="90"/>
      <c r="D275" s="92"/>
    </row>
    <row r="276" spans="1:4" ht="14.4">
      <c r="A276" s="93"/>
      <c r="B276" s="90"/>
      <c r="C276" s="90"/>
      <c r="D276" s="92"/>
    </row>
    <row r="277" spans="1:4" ht="14.4">
      <c r="A277" s="93"/>
      <c r="B277" s="90"/>
      <c r="C277" s="90"/>
      <c r="D277" s="92"/>
    </row>
    <row r="278" spans="1:4" ht="14.4">
      <c r="A278" s="93"/>
      <c r="B278" s="90"/>
      <c r="C278" s="90"/>
      <c r="D278" s="92"/>
    </row>
    <row r="279" spans="1:4" ht="14.4">
      <c r="A279" s="93"/>
      <c r="B279" s="90"/>
      <c r="C279" s="90"/>
      <c r="D279" s="92"/>
    </row>
    <row r="280" spans="1:4" ht="14.4">
      <c r="A280" s="93"/>
      <c r="B280" s="90"/>
      <c r="C280" s="90"/>
      <c r="D280" s="92"/>
    </row>
    <row r="281" spans="1:4" ht="14.4">
      <c r="A281" s="93"/>
      <c r="B281" s="90"/>
      <c r="C281" s="90"/>
      <c r="D281" s="92"/>
    </row>
    <row r="282" spans="1:4" ht="14.4">
      <c r="A282" s="93"/>
      <c r="B282" s="90"/>
      <c r="C282" s="90"/>
      <c r="D282" s="92"/>
    </row>
    <row r="283" spans="1:4" ht="14.4">
      <c r="A283" s="93"/>
      <c r="B283" s="90"/>
      <c r="C283" s="90"/>
      <c r="D283" s="92"/>
    </row>
    <row r="284" spans="1:4" ht="14.4">
      <c r="A284" s="93"/>
      <c r="B284" s="90"/>
      <c r="C284" s="90"/>
      <c r="D284" s="92"/>
    </row>
    <row r="285" spans="1:4" ht="14.4">
      <c r="A285" s="93"/>
      <c r="B285" s="90"/>
      <c r="C285" s="90"/>
      <c r="D285" s="92"/>
    </row>
    <row r="286" spans="1:4" ht="14.4">
      <c r="A286" s="93"/>
      <c r="B286" s="90"/>
      <c r="C286" s="90"/>
      <c r="D286" s="92"/>
    </row>
    <row r="287" spans="1:4" ht="14.4">
      <c r="A287" s="93"/>
      <c r="B287" s="90"/>
      <c r="C287" s="90"/>
      <c r="D287" s="92"/>
    </row>
    <row r="288" spans="1:4" ht="14.4">
      <c r="A288" s="93"/>
      <c r="B288" s="90"/>
      <c r="C288" s="90"/>
      <c r="D288" s="92"/>
    </row>
    <row r="289" spans="1:4" ht="14.4">
      <c r="A289" s="93"/>
      <c r="B289" s="90"/>
      <c r="C289" s="90"/>
      <c r="D289" s="92"/>
    </row>
    <row r="290" spans="1:4" ht="14.4">
      <c r="A290" s="93"/>
      <c r="B290" s="90"/>
      <c r="C290" s="90"/>
      <c r="D290" s="92"/>
    </row>
    <row r="291" spans="1:4" ht="14.4">
      <c r="A291" s="93"/>
      <c r="B291" s="90"/>
      <c r="C291" s="90"/>
      <c r="D291" s="92"/>
    </row>
    <row r="292" spans="1:4" ht="14.4">
      <c r="A292" s="93"/>
      <c r="B292" s="90"/>
      <c r="C292" s="90"/>
      <c r="D292" s="92"/>
    </row>
    <row r="293" spans="1:4" ht="14.4">
      <c r="A293" s="93"/>
      <c r="B293" s="90"/>
      <c r="C293" s="90"/>
      <c r="D293" s="92"/>
    </row>
    <row r="294" spans="1:4" ht="14.4">
      <c r="A294" s="93"/>
      <c r="B294" s="90"/>
      <c r="C294" s="90"/>
      <c r="D294" s="92"/>
    </row>
    <row r="295" spans="1:4" ht="14.4">
      <c r="A295" s="93"/>
      <c r="B295" s="90"/>
      <c r="C295" s="90"/>
      <c r="D295" s="92"/>
    </row>
    <row r="296" spans="1:4" ht="14.4">
      <c r="A296" s="93"/>
      <c r="B296" s="90"/>
      <c r="C296" s="90"/>
      <c r="D296" s="92"/>
    </row>
    <row r="297" spans="1:4" ht="14.4">
      <c r="A297" s="93"/>
      <c r="B297" s="90"/>
      <c r="C297" s="90"/>
      <c r="D297" s="92"/>
    </row>
    <row r="298" spans="1:4" ht="14.4">
      <c r="A298" s="93"/>
      <c r="B298" s="90"/>
      <c r="C298" s="90"/>
      <c r="D298" s="91"/>
    </row>
    <row r="299" spans="1:4" ht="14.4">
      <c r="A299" s="93"/>
      <c r="B299" s="90"/>
      <c r="C299" s="90"/>
      <c r="D299" s="91"/>
    </row>
    <row r="300" spans="1:4" ht="14.4">
      <c r="A300" s="93"/>
      <c r="B300" s="90"/>
      <c r="C300" s="90"/>
      <c r="D300" s="91"/>
    </row>
    <row r="301" spans="1:4" ht="14.4">
      <c r="A301" s="93"/>
      <c r="B301" s="90"/>
      <c r="C301" s="90"/>
      <c r="D301" s="91"/>
    </row>
    <row r="302" spans="1:4" ht="14.4">
      <c r="A302" s="93"/>
      <c r="B302" s="90"/>
      <c r="C302" s="90"/>
      <c r="D302" s="91"/>
    </row>
    <row r="303" spans="1:4" ht="14.4">
      <c r="A303" s="93"/>
      <c r="B303" s="90"/>
      <c r="C303" s="90"/>
      <c r="D303" s="91"/>
    </row>
    <row r="304" spans="1:4" ht="14.4">
      <c r="A304" s="93"/>
      <c r="B304" s="90"/>
      <c r="C304" s="90"/>
      <c r="D304" s="91"/>
    </row>
    <row r="305" spans="1:4" ht="14.4">
      <c r="A305" s="93"/>
      <c r="B305" s="90"/>
      <c r="C305" s="90"/>
      <c r="D305" s="91"/>
    </row>
    <row r="306" spans="1:4" ht="14.4">
      <c r="A306" s="93"/>
      <c r="B306" s="90"/>
      <c r="C306" s="90"/>
      <c r="D306" s="91"/>
    </row>
    <row r="307" spans="1:4" ht="14.4">
      <c r="A307" s="93"/>
      <c r="B307" s="90"/>
      <c r="C307" s="90"/>
      <c r="D307" s="91"/>
    </row>
    <row r="308" spans="1:4" ht="14.4">
      <c r="A308" s="93"/>
      <c r="B308" s="90"/>
      <c r="C308" s="90"/>
      <c r="D308" s="91"/>
    </row>
    <row r="309" spans="1:4" ht="14.4">
      <c r="A309" s="93"/>
      <c r="B309" s="90"/>
      <c r="C309" s="90"/>
      <c r="D309" s="91"/>
    </row>
    <row r="310" spans="1:4" ht="14.4">
      <c r="A310" s="93"/>
      <c r="B310" s="90"/>
      <c r="C310" s="90"/>
      <c r="D310" s="91"/>
    </row>
    <row r="311" spans="1:4" ht="14.4">
      <c r="A311" s="93"/>
      <c r="B311" s="90"/>
      <c r="C311" s="90"/>
      <c r="D311" s="92"/>
    </row>
    <row r="312" spans="1:4" ht="14.4">
      <c r="A312" s="93"/>
      <c r="B312" s="90"/>
      <c r="C312" s="90"/>
      <c r="D312" s="92"/>
    </row>
    <row r="313" spans="1:4" ht="14.4">
      <c r="A313" s="93"/>
      <c r="B313" s="90"/>
      <c r="C313" s="90"/>
      <c r="D313" s="92"/>
    </row>
    <row r="314" spans="1:4" ht="14.4">
      <c r="A314" s="93"/>
      <c r="B314" s="90"/>
      <c r="C314" s="90"/>
      <c r="D314" s="92"/>
    </row>
    <row r="315" spans="1:4" ht="14.4">
      <c r="A315" s="93"/>
      <c r="B315" s="90"/>
      <c r="C315" s="90"/>
      <c r="D315" s="92"/>
    </row>
    <row r="316" spans="1:4" ht="14.4">
      <c r="A316" s="93"/>
      <c r="B316" s="90"/>
      <c r="C316" s="90"/>
      <c r="D316" s="92"/>
    </row>
    <row r="317" spans="1:4" ht="14.4">
      <c r="A317" s="93"/>
      <c r="B317" s="90"/>
      <c r="C317" s="90"/>
      <c r="D317" s="92"/>
    </row>
    <row r="318" spans="1:4" ht="14.4">
      <c r="A318" s="93"/>
      <c r="B318" s="90"/>
      <c r="C318" s="90"/>
      <c r="D318" s="92"/>
    </row>
    <row r="319" spans="1:4" ht="14.4">
      <c r="A319" s="93"/>
      <c r="B319" s="90"/>
      <c r="C319" s="90"/>
      <c r="D319" s="92"/>
    </row>
    <row r="320" spans="1:4" ht="14.4">
      <c r="A320" s="93"/>
      <c r="B320" s="90"/>
      <c r="C320" s="90"/>
      <c r="D320" s="92"/>
    </row>
    <row r="321" spans="1:4" ht="14.4">
      <c r="A321" s="93"/>
      <c r="B321" s="90"/>
      <c r="C321" s="90"/>
      <c r="D321" s="92"/>
    </row>
    <row r="322" spans="1:4" ht="14.4">
      <c r="A322" s="93"/>
      <c r="B322" s="90"/>
      <c r="C322" s="90"/>
      <c r="D322" s="92"/>
    </row>
    <row r="323" spans="1:4" ht="14.4">
      <c r="A323" s="93"/>
      <c r="B323" s="90"/>
      <c r="C323" s="90"/>
      <c r="D323" s="92"/>
    </row>
    <row r="324" spans="1:4" ht="14.4">
      <c r="A324" s="93"/>
      <c r="B324" s="90"/>
      <c r="C324" s="90"/>
      <c r="D324" s="92"/>
    </row>
    <row r="325" spans="1:4" ht="14.4">
      <c r="A325" s="93"/>
      <c r="B325" s="90"/>
      <c r="C325" s="90"/>
      <c r="D325" s="92"/>
    </row>
    <row r="326" spans="1:4" ht="14.4">
      <c r="A326" s="93"/>
      <c r="B326" s="90"/>
      <c r="C326" s="90"/>
      <c r="D326" s="92"/>
    </row>
    <row r="327" spans="1:4" ht="14.4">
      <c r="A327" s="93"/>
      <c r="B327" s="90"/>
      <c r="C327" s="90"/>
      <c r="D327" s="92"/>
    </row>
    <row r="328" spans="1:4" ht="14.4">
      <c r="A328" s="93"/>
      <c r="B328" s="90"/>
      <c r="C328" s="90"/>
      <c r="D328" s="92"/>
    </row>
    <row r="329" spans="1:4" ht="14.4">
      <c r="A329" s="93"/>
      <c r="B329" s="90"/>
      <c r="C329" s="90"/>
      <c r="D329" s="92"/>
    </row>
    <row r="330" spans="1:4" ht="14.4">
      <c r="A330" s="93"/>
      <c r="B330" s="90"/>
      <c r="C330" s="90"/>
      <c r="D330" s="92"/>
    </row>
    <row r="331" spans="1:4" ht="14.4">
      <c r="A331" s="93"/>
      <c r="B331" s="90"/>
      <c r="C331" s="90"/>
      <c r="D331" s="92"/>
    </row>
    <row r="332" spans="1:4" ht="14.4">
      <c r="A332" s="93"/>
      <c r="B332" s="90"/>
      <c r="C332" s="90"/>
      <c r="D332" s="92"/>
    </row>
    <row r="333" spans="1:4" ht="14.4">
      <c r="A333" s="93"/>
      <c r="B333" s="90"/>
      <c r="C333" s="90"/>
      <c r="D333" s="92"/>
    </row>
    <row r="334" spans="1:4" ht="14.4">
      <c r="A334" s="93"/>
      <c r="B334" s="90"/>
      <c r="C334" s="90"/>
      <c r="D334" s="92"/>
    </row>
    <row r="335" spans="1:4" ht="14.4">
      <c r="A335" s="93"/>
      <c r="B335" s="90"/>
      <c r="C335" s="90"/>
      <c r="D335" s="92"/>
    </row>
    <row r="336" spans="1:4" ht="14.4">
      <c r="A336" s="93"/>
      <c r="B336" s="90"/>
      <c r="C336" s="90"/>
      <c r="D336" s="92"/>
    </row>
    <row r="337" spans="1:4" ht="14.4">
      <c r="A337" s="93"/>
      <c r="B337" s="90"/>
      <c r="C337" s="90"/>
      <c r="D337" s="92"/>
    </row>
    <row r="338" spans="1:4" ht="14.4">
      <c r="A338" s="93"/>
      <c r="B338" s="90"/>
      <c r="C338" s="90"/>
      <c r="D338" s="92"/>
    </row>
    <row r="339" spans="1:4" ht="14.4">
      <c r="A339" s="93"/>
      <c r="B339" s="90"/>
      <c r="C339" s="90"/>
      <c r="D339" s="92"/>
    </row>
    <row r="340" spans="1:4" ht="14.4">
      <c r="A340" s="93"/>
      <c r="B340" s="90"/>
      <c r="C340" s="90"/>
      <c r="D340" s="92"/>
    </row>
    <row r="341" spans="1:4" ht="14.4">
      <c r="A341" s="93"/>
      <c r="B341" s="90"/>
      <c r="C341" s="90"/>
      <c r="D341" s="92"/>
    </row>
    <row r="342" spans="1:4" ht="14.4">
      <c r="A342" s="93"/>
      <c r="B342" s="90"/>
      <c r="C342" s="90"/>
      <c r="D342" s="92"/>
    </row>
    <row r="343" spans="1:4" ht="14.4">
      <c r="A343" s="93"/>
      <c r="B343" s="90"/>
      <c r="C343" s="90"/>
      <c r="D343" s="92"/>
    </row>
    <row r="344" spans="1:4" ht="14.4">
      <c r="A344" s="93"/>
      <c r="B344" s="90"/>
      <c r="C344" s="90"/>
      <c r="D344" s="92"/>
    </row>
    <row r="345" spans="1:4" ht="14.4">
      <c r="A345" s="93"/>
      <c r="B345" s="90"/>
      <c r="C345" s="90"/>
      <c r="D345" s="92"/>
    </row>
    <row r="346" spans="1:4" ht="14.4">
      <c r="A346" s="93"/>
      <c r="B346" s="90"/>
      <c r="C346" s="90"/>
      <c r="D346" s="92"/>
    </row>
    <row r="347" spans="1:4" ht="14.4">
      <c r="A347" s="93"/>
      <c r="B347" s="90"/>
      <c r="C347" s="90"/>
      <c r="D347" s="92"/>
    </row>
    <row r="348" spans="1:4" ht="14.4">
      <c r="A348" s="93"/>
      <c r="B348" s="90"/>
      <c r="C348" s="90"/>
      <c r="D348" s="92"/>
    </row>
    <row r="349" spans="1:4" ht="14.4">
      <c r="A349" s="93"/>
      <c r="B349" s="90"/>
      <c r="C349" s="90"/>
      <c r="D349" s="92"/>
    </row>
    <row r="350" spans="1:4" ht="14.4">
      <c r="A350" s="93"/>
      <c r="B350" s="90"/>
      <c r="C350" s="90"/>
      <c r="D350" s="92"/>
    </row>
    <row r="351" spans="1:4" ht="14.4">
      <c r="A351" s="93"/>
      <c r="B351" s="90"/>
      <c r="C351" s="90"/>
      <c r="D351" s="92"/>
    </row>
    <row r="352" spans="1:4" ht="14.4">
      <c r="A352" s="93"/>
      <c r="B352" s="90"/>
      <c r="C352" s="90"/>
      <c r="D352" s="92"/>
    </row>
    <row r="353" spans="1:4" ht="14.4">
      <c r="A353" s="93"/>
      <c r="B353" s="90"/>
      <c r="C353" s="90"/>
      <c r="D353" s="92"/>
    </row>
    <row r="354" spans="1:4" ht="14.4">
      <c r="A354" s="93"/>
      <c r="B354" s="90"/>
      <c r="C354" s="90"/>
      <c r="D354" s="92"/>
    </row>
    <row r="355" spans="1:4" ht="14.4">
      <c r="A355" s="93"/>
      <c r="B355" s="90"/>
      <c r="C355" s="90"/>
      <c r="D355" s="92"/>
    </row>
    <row r="356" spans="1:4" ht="14.4">
      <c r="A356" s="93"/>
      <c r="B356" s="90"/>
      <c r="C356" s="90"/>
      <c r="D356" s="92"/>
    </row>
    <row r="357" spans="1:4" ht="14.4">
      <c r="A357" s="93"/>
      <c r="B357" s="90"/>
      <c r="C357" s="90"/>
      <c r="D357" s="92"/>
    </row>
    <row r="358" spans="1:4" ht="14.4">
      <c r="A358" s="93"/>
      <c r="B358" s="90"/>
      <c r="C358" s="90"/>
      <c r="D358" s="92"/>
    </row>
    <row r="359" spans="1:4" ht="14.4">
      <c r="A359" s="93"/>
      <c r="B359" s="90"/>
      <c r="C359" s="90"/>
      <c r="D359" s="92"/>
    </row>
    <row r="360" spans="1:4" ht="14.4">
      <c r="A360" s="93"/>
      <c r="B360" s="90"/>
      <c r="C360" s="90"/>
      <c r="D360" s="92"/>
    </row>
    <row r="361" spans="1:4" ht="14.4">
      <c r="A361" s="93"/>
      <c r="B361" s="90"/>
      <c r="C361" s="90"/>
      <c r="D361" s="92"/>
    </row>
    <row r="362" spans="1:4" ht="14.4">
      <c r="A362" s="93"/>
      <c r="B362" s="90"/>
      <c r="C362" s="90"/>
      <c r="D362" s="92"/>
    </row>
    <row r="363" spans="1:4" ht="14.4">
      <c r="A363" s="93"/>
      <c r="B363" s="90"/>
      <c r="C363" s="90"/>
      <c r="D363" s="92"/>
    </row>
    <row r="364" spans="1:4" ht="14.4">
      <c r="A364" s="93"/>
      <c r="B364" s="90"/>
      <c r="C364" s="90"/>
      <c r="D364" s="92"/>
    </row>
    <row r="365" spans="1:4" ht="14.4">
      <c r="A365" s="93"/>
      <c r="B365" s="90"/>
      <c r="C365" s="90"/>
      <c r="D365" s="92"/>
    </row>
    <row r="366" spans="1:4" ht="14.4">
      <c r="A366" s="93"/>
      <c r="B366" s="90"/>
      <c r="C366" s="90"/>
      <c r="D366" s="92"/>
    </row>
    <row r="367" spans="1:4" ht="14.4">
      <c r="A367" s="93"/>
      <c r="B367" s="90"/>
      <c r="C367" s="90"/>
      <c r="D367" s="92"/>
    </row>
    <row r="368" spans="1:4" ht="14.4">
      <c r="A368" s="93"/>
      <c r="B368" s="90"/>
      <c r="C368" s="90"/>
      <c r="D368" s="92"/>
    </row>
    <row r="369" spans="1:4" ht="14.4">
      <c r="A369" s="93"/>
      <c r="B369" s="90"/>
      <c r="C369" s="90"/>
      <c r="D369" s="92"/>
    </row>
    <row r="370" spans="1:4" ht="14.4">
      <c r="A370" s="93"/>
      <c r="B370" s="90"/>
      <c r="C370" s="90"/>
      <c r="D370" s="92"/>
    </row>
    <row r="371" spans="1:4" ht="14.4">
      <c r="A371" s="93"/>
      <c r="B371" s="90"/>
      <c r="C371" s="90"/>
      <c r="D371" s="92"/>
    </row>
    <row r="372" spans="1:4" ht="14.4">
      <c r="A372" s="93"/>
      <c r="B372" s="90"/>
      <c r="C372" s="90"/>
      <c r="D372" s="92"/>
    </row>
    <row r="373" spans="1:4" ht="14.4">
      <c r="A373" s="93"/>
      <c r="B373" s="90"/>
      <c r="C373" s="90"/>
      <c r="D373" s="92"/>
    </row>
    <row r="374" spans="1:4" ht="14.4">
      <c r="A374" s="93"/>
      <c r="B374" s="90"/>
      <c r="C374" s="90"/>
      <c r="D374" s="92"/>
    </row>
    <row r="375" spans="1:4" ht="14.4">
      <c r="A375" s="93"/>
      <c r="B375" s="90"/>
      <c r="C375" s="90"/>
      <c r="D375" s="92"/>
    </row>
    <row r="376" spans="1:4" ht="14.4">
      <c r="A376" s="93"/>
      <c r="B376" s="90"/>
      <c r="C376" s="90"/>
      <c r="D376" s="92"/>
    </row>
    <row r="377" spans="1:4" ht="14.4">
      <c r="A377" s="93"/>
      <c r="B377" s="90"/>
      <c r="C377" s="90"/>
      <c r="D377" s="92"/>
    </row>
    <row r="378" spans="1:4" ht="14.4">
      <c r="A378" s="93"/>
      <c r="B378" s="90"/>
      <c r="C378" s="90"/>
      <c r="D378" s="92"/>
    </row>
    <row r="379" spans="1:4" ht="14.4">
      <c r="A379" s="93"/>
      <c r="B379" s="90"/>
      <c r="C379" s="90"/>
      <c r="D379" s="92"/>
    </row>
    <row r="380" spans="1:4" ht="14.4">
      <c r="A380" s="93"/>
      <c r="B380" s="90"/>
      <c r="C380" s="90"/>
      <c r="D380" s="92"/>
    </row>
    <row r="381" spans="1:4" ht="14.4">
      <c r="A381" s="93"/>
      <c r="B381" s="90"/>
      <c r="C381" s="90"/>
      <c r="D381" s="92"/>
    </row>
    <row r="382" spans="1:4" ht="14.4">
      <c r="A382" s="93"/>
      <c r="B382" s="90"/>
      <c r="C382" s="90"/>
      <c r="D382" s="92"/>
    </row>
    <row r="383" spans="1:4" ht="14.4">
      <c r="A383" s="93"/>
      <c r="B383" s="90"/>
      <c r="C383" s="90"/>
      <c r="D383" s="92"/>
    </row>
    <row r="384" spans="1:4" ht="14.4">
      <c r="A384" s="93"/>
      <c r="B384" s="90"/>
      <c r="C384" s="90"/>
      <c r="D384" s="92"/>
    </row>
    <row r="385" spans="1:4" ht="14.4">
      <c r="A385" s="93"/>
      <c r="B385" s="90"/>
      <c r="C385" s="90"/>
      <c r="D385" s="92"/>
    </row>
    <row r="386" spans="1:4" ht="14.4">
      <c r="A386" s="93"/>
      <c r="B386" s="90"/>
      <c r="C386" s="90"/>
      <c r="D386" s="92"/>
    </row>
    <row r="387" spans="1:4" ht="14.4">
      <c r="A387" s="93"/>
      <c r="B387" s="90"/>
      <c r="C387" s="90"/>
      <c r="D387" s="92"/>
    </row>
    <row r="388" spans="1:4" ht="14.4">
      <c r="A388" s="93"/>
      <c r="B388" s="90"/>
      <c r="C388" s="90"/>
      <c r="D388" s="92"/>
    </row>
    <row r="389" spans="1:4" ht="14.4">
      <c r="A389" s="93"/>
      <c r="B389" s="90"/>
      <c r="C389" s="90"/>
      <c r="D389" s="92"/>
    </row>
    <row r="390" spans="1:4" ht="14.4">
      <c r="A390" s="93"/>
      <c r="B390" s="90"/>
      <c r="C390" s="90"/>
      <c r="D390" s="92"/>
    </row>
    <row r="391" spans="1:4" ht="14.4">
      <c r="A391" s="93"/>
      <c r="B391" s="90"/>
      <c r="C391" s="90"/>
      <c r="D391" s="92"/>
    </row>
    <row r="392" spans="1:4" ht="14.4">
      <c r="A392" s="93"/>
      <c r="B392" s="90"/>
      <c r="C392" s="90"/>
      <c r="D392" s="92"/>
    </row>
    <row r="393" spans="1:4" ht="14.4">
      <c r="A393" s="93"/>
      <c r="B393" s="90"/>
      <c r="C393" s="90"/>
      <c r="D393" s="92"/>
    </row>
    <row r="394" spans="1:4" ht="14.4">
      <c r="A394" s="93"/>
      <c r="B394" s="90"/>
      <c r="C394" s="90"/>
      <c r="D394" s="92"/>
    </row>
    <row r="395" spans="1:4" ht="14.4">
      <c r="A395" s="93"/>
      <c r="B395" s="90"/>
      <c r="C395" s="90"/>
      <c r="D395" s="92"/>
    </row>
    <row r="396" spans="1:4" ht="14.4">
      <c r="A396" s="93"/>
      <c r="B396" s="90"/>
      <c r="C396" s="90"/>
      <c r="D396" s="92"/>
    </row>
    <row r="397" spans="1:4" ht="14.4">
      <c r="A397" s="93"/>
      <c r="B397" s="90"/>
      <c r="C397" s="90"/>
      <c r="D397" s="92"/>
    </row>
    <row r="398" spans="1:4" ht="14.4">
      <c r="A398" s="93"/>
      <c r="B398" s="90"/>
      <c r="C398" s="90"/>
      <c r="D398" s="92"/>
    </row>
    <row r="399" spans="1:4" ht="14.4">
      <c r="A399" s="93"/>
      <c r="B399" s="90"/>
      <c r="C399" s="90"/>
      <c r="D399" s="92"/>
    </row>
    <row r="400" spans="1:4" ht="14.4">
      <c r="A400" s="93"/>
      <c r="B400" s="90"/>
      <c r="C400" s="90"/>
      <c r="D400" s="92"/>
    </row>
    <row r="401" spans="1:4" ht="14.4">
      <c r="A401" s="93"/>
      <c r="B401" s="90"/>
      <c r="C401" s="90"/>
      <c r="D401" s="92"/>
    </row>
    <row r="402" spans="1:4" ht="14.4">
      <c r="A402" s="93"/>
      <c r="B402" s="90"/>
      <c r="C402" s="90"/>
      <c r="D402" s="92"/>
    </row>
    <row r="403" spans="1:4" ht="14.4">
      <c r="A403" s="93"/>
      <c r="B403" s="90"/>
      <c r="C403" s="90"/>
      <c r="D403" s="92"/>
    </row>
    <row r="404" spans="1:4" ht="14.4">
      <c r="A404" s="93"/>
      <c r="B404" s="90"/>
      <c r="C404" s="90"/>
      <c r="D404" s="92"/>
    </row>
    <row r="405" spans="1:4" ht="14.4">
      <c r="A405" s="93"/>
      <c r="B405" s="90"/>
      <c r="C405" s="90"/>
      <c r="D405" s="92"/>
    </row>
    <row r="406" spans="1:4" ht="14.4">
      <c r="A406" s="93"/>
      <c r="B406" s="90"/>
      <c r="C406" s="90"/>
      <c r="D406" s="92"/>
    </row>
    <row r="407" spans="1:4" ht="14.4">
      <c r="A407" s="93"/>
      <c r="B407" s="90"/>
      <c r="C407" s="90"/>
      <c r="D407" s="92"/>
    </row>
    <row r="408" spans="1:4" ht="14.4">
      <c r="A408" s="93"/>
      <c r="B408" s="90"/>
      <c r="C408" s="90"/>
      <c r="D408" s="92"/>
    </row>
    <row r="409" spans="1:4" ht="14.4">
      <c r="A409" s="93"/>
      <c r="B409" s="90"/>
      <c r="C409" s="90"/>
      <c r="D409" s="92"/>
    </row>
    <row r="410" spans="1:4" ht="14.4">
      <c r="A410" s="93"/>
      <c r="B410" s="90"/>
      <c r="C410" s="90"/>
      <c r="D410" s="92"/>
    </row>
    <row r="411" spans="1:4" ht="14.4">
      <c r="A411" s="93"/>
      <c r="B411" s="90"/>
      <c r="C411" s="90"/>
      <c r="D411" s="92"/>
    </row>
    <row r="412" spans="1:4" ht="14.4">
      <c r="A412" s="93"/>
      <c r="B412" s="90"/>
      <c r="C412" s="90"/>
      <c r="D412" s="92"/>
    </row>
    <row r="413" spans="1:4" ht="14.4">
      <c r="A413" s="93"/>
      <c r="B413" s="90"/>
      <c r="C413" s="90"/>
      <c r="D413" s="92"/>
    </row>
    <row r="414" spans="1:4" ht="14.4">
      <c r="A414" s="93"/>
      <c r="B414" s="90"/>
      <c r="C414" s="90"/>
      <c r="D414" s="92"/>
    </row>
    <row r="415" spans="1:4" ht="14.4">
      <c r="A415" s="93"/>
      <c r="B415" s="90"/>
      <c r="C415" s="90"/>
      <c r="D415" s="92"/>
    </row>
    <row r="416" spans="1:4" ht="14.4">
      <c r="A416" s="93"/>
      <c r="B416" s="90"/>
      <c r="C416" s="90"/>
      <c r="D416" s="92"/>
    </row>
    <row r="417" spans="1:4" ht="14.4">
      <c r="A417" s="93"/>
      <c r="B417" s="90"/>
      <c r="C417" s="90"/>
      <c r="D417" s="92"/>
    </row>
    <row r="418" spans="1:4" ht="14.4">
      <c r="A418" s="93"/>
      <c r="B418" s="90"/>
      <c r="C418" s="90"/>
      <c r="D418" s="92"/>
    </row>
    <row r="419" spans="1:4" ht="14.4">
      <c r="A419" s="93"/>
      <c r="B419" s="90"/>
      <c r="C419" s="90"/>
      <c r="D419" s="92"/>
    </row>
    <row r="420" spans="1:4" ht="14.4">
      <c r="A420" s="93"/>
      <c r="B420" s="90"/>
      <c r="C420" s="90"/>
      <c r="D420" s="92"/>
    </row>
    <row r="421" spans="1:4" ht="14.4">
      <c r="A421" s="93"/>
      <c r="B421" s="90"/>
      <c r="C421" s="90"/>
      <c r="D421" s="92"/>
    </row>
    <row r="422" spans="1:4" ht="14.4">
      <c r="A422" s="93"/>
      <c r="B422" s="90"/>
      <c r="C422" s="90"/>
      <c r="D422" s="92"/>
    </row>
    <row r="423" spans="1:4" ht="14.4">
      <c r="A423" s="93"/>
      <c r="B423" s="90"/>
      <c r="C423" s="90"/>
      <c r="D423" s="92"/>
    </row>
    <row r="424" spans="1:4" ht="14.4">
      <c r="A424" s="93"/>
      <c r="B424" s="90"/>
      <c r="C424" s="90"/>
      <c r="D424" s="92"/>
    </row>
    <row r="425" spans="1:4" ht="14.4">
      <c r="A425" s="93"/>
      <c r="B425" s="90"/>
      <c r="C425" s="90"/>
      <c r="D425" s="92"/>
    </row>
    <row r="426" spans="1:4" ht="14.4">
      <c r="A426" s="93"/>
      <c r="B426" s="90"/>
      <c r="C426" s="90"/>
      <c r="D426" s="92"/>
    </row>
    <row r="427" spans="1:4" ht="14.4">
      <c r="A427" s="93"/>
      <c r="B427" s="90"/>
      <c r="C427" s="90"/>
      <c r="D427" s="92"/>
    </row>
    <row r="428" spans="1:4" ht="14.4">
      <c r="A428" s="93"/>
      <c r="B428" s="90"/>
      <c r="C428" s="90"/>
      <c r="D428" s="92"/>
    </row>
    <row r="429" spans="1:4" ht="14.4">
      <c r="A429" s="93"/>
      <c r="B429" s="90"/>
      <c r="C429" s="90"/>
      <c r="D429" s="92"/>
    </row>
    <row r="430" spans="1:4" ht="14.4">
      <c r="A430" s="93"/>
      <c r="B430" s="90"/>
      <c r="C430" s="90"/>
      <c r="D430" s="92"/>
    </row>
    <row r="431" spans="1:4" ht="14.4">
      <c r="A431" s="93"/>
      <c r="B431" s="90"/>
      <c r="C431" s="90"/>
      <c r="D431" s="92"/>
    </row>
    <row r="432" spans="1:4" ht="14.4">
      <c r="A432" s="93"/>
      <c r="B432" s="90"/>
      <c r="C432" s="90"/>
      <c r="D432" s="92"/>
    </row>
    <row r="433" spans="1:4" ht="14.4">
      <c r="A433" s="93"/>
      <c r="B433" s="90"/>
      <c r="C433" s="90"/>
      <c r="D433" s="92"/>
    </row>
    <row r="434" spans="1:4" ht="14.4">
      <c r="A434" s="93"/>
      <c r="B434" s="90"/>
      <c r="C434" s="90"/>
      <c r="D434" s="92"/>
    </row>
    <row r="435" spans="1:4" ht="14.4">
      <c r="A435" s="93"/>
      <c r="B435" s="90"/>
      <c r="C435" s="90"/>
      <c r="D435" s="92"/>
    </row>
    <row r="436" spans="1:4" ht="14.4">
      <c r="A436" s="93"/>
      <c r="B436" s="90"/>
      <c r="C436" s="90"/>
      <c r="D436" s="92"/>
    </row>
    <row r="437" spans="1:4" ht="14.4">
      <c r="A437" s="93"/>
      <c r="B437" s="90"/>
      <c r="C437" s="90"/>
      <c r="D437" s="92"/>
    </row>
    <row r="438" spans="1:4" ht="14.4">
      <c r="A438" s="93"/>
      <c r="B438" s="90"/>
      <c r="C438" s="90"/>
      <c r="D438" s="92"/>
    </row>
    <row r="439" spans="1:4" ht="14.4">
      <c r="A439" s="93"/>
      <c r="B439" s="90"/>
      <c r="C439" s="90"/>
      <c r="D439" s="92"/>
    </row>
    <row r="440" spans="1:4" ht="14.4">
      <c r="A440" s="93"/>
      <c r="B440" s="90"/>
      <c r="C440" s="90"/>
      <c r="D440" s="92"/>
    </row>
    <row r="441" spans="1:4" ht="14.4">
      <c r="A441" s="93"/>
      <c r="B441" s="90"/>
      <c r="C441" s="90"/>
      <c r="D441" s="92"/>
    </row>
    <row r="442" spans="1:4" ht="14.4">
      <c r="A442" s="93"/>
      <c r="B442" s="90"/>
      <c r="C442" s="90"/>
      <c r="D442" s="92"/>
    </row>
    <row r="443" spans="1:4" ht="14.4">
      <c r="A443" s="93"/>
      <c r="B443" s="90"/>
      <c r="C443" s="90"/>
      <c r="D443" s="92"/>
    </row>
    <row r="444" spans="1:4" ht="14.4">
      <c r="A444" s="93"/>
      <c r="B444" s="90"/>
      <c r="C444" s="90"/>
      <c r="D444" s="92"/>
    </row>
    <row r="445" spans="1:4" ht="14.4">
      <c r="A445" s="93"/>
      <c r="B445" s="90"/>
      <c r="C445" s="90"/>
      <c r="D445" s="92"/>
    </row>
    <row r="446" spans="1:4" ht="14.4">
      <c r="A446" s="93"/>
      <c r="B446" s="90"/>
      <c r="C446" s="90"/>
      <c r="D446" s="92"/>
    </row>
    <row r="447" spans="1:4" ht="14.4">
      <c r="A447" s="93"/>
      <c r="B447" s="90"/>
      <c r="C447" s="90"/>
      <c r="D447" s="92"/>
    </row>
    <row r="448" spans="1:4" ht="14.4">
      <c r="A448" s="93"/>
      <c r="B448" s="90"/>
      <c r="C448" s="90"/>
      <c r="D448" s="92"/>
    </row>
    <row r="449" spans="1:4" ht="14.4">
      <c r="A449" s="93"/>
      <c r="B449" s="90"/>
      <c r="C449" s="90"/>
      <c r="D449" s="92"/>
    </row>
    <row r="450" spans="1:4" ht="14.4">
      <c r="A450" s="93"/>
      <c r="B450" s="90"/>
      <c r="C450" s="90"/>
      <c r="D450" s="92"/>
    </row>
    <row r="451" spans="1:4" ht="14.4">
      <c r="A451" s="93"/>
      <c r="B451" s="90"/>
      <c r="C451" s="90"/>
      <c r="D451" s="92"/>
    </row>
    <row r="452" spans="1:4" ht="14.4">
      <c r="A452" s="93"/>
      <c r="B452" s="90"/>
      <c r="C452" s="90"/>
      <c r="D452" s="92"/>
    </row>
    <row r="453" spans="1:4" ht="14.4">
      <c r="A453" s="93"/>
      <c r="B453" s="90"/>
      <c r="C453" s="90"/>
      <c r="D453" s="92"/>
    </row>
    <row r="454" spans="1:4" ht="14.4">
      <c r="A454" s="93"/>
      <c r="B454" s="90"/>
      <c r="C454" s="90"/>
      <c r="D454" s="92"/>
    </row>
    <row r="455" spans="1:4" ht="14.4">
      <c r="A455" s="93"/>
      <c r="B455" s="90"/>
      <c r="C455" s="90"/>
      <c r="D455" s="92"/>
    </row>
    <row r="456" spans="1:4" ht="14.4">
      <c r="A456" s="93"/>
      <c r="B456" s="90"/>
      <c r="C456" s="90"/>
      <c r="D456" s="92"/>
    </row>
    <row r="457" spans="1:4" ht="14.4">
      <c r="A457" s="93"/>
      <c r="B457" s="90"/>
      <c r="C457" s="90"/>
      <c r="D457" s="92"/>
    </row>
    <row r="458" spans="1:4" ht="14.4">
      <c r="A458" s="93"/>
      <c r="B458" s="90"/>
      <c r="C458" s="90"/>
      <c r="D458" s="92"/>
    </row>
    <row r="459" spans="1:4" ht="14.4">
      <c r="A459" s="93"/>
      <c r="B459" s="90"/>
      <c r="C459" s="90"/>
      <c r="D459" s="92"/>
    </row>
    <row r="460" spans="1:4" ht="14.4">
      <c r="A460" s="93"/>
      <c r="B460" s="90"/>
      <c r="C460" s="90"/>
      <c r="D460" s="92"/>
    </row>
    <row r="461" spans="1:4" ht="14.4">
      <c r="A461" s="93"/>
      <c r="B461" s="90"/>
      <c r="C461" s="90"/>
      <c r="D461" s="92"/>
    </row>
    <row r="462" spans="1:4" ht="14.4">
      <c r="A462" s="93"/>
      <c r="B462" s="90"/>
      <c r="C462" s="90"/>
      <c r="D462" s="92"/>
    </row>
    <row r="463" spans="1:4" ht="14.4">
      <c r="A463" s="93"/>
      <c r="B463" s="90"/>
      <c r="C463" s="90"/>
      <c r="D463" s="92"/>
    </row>
    <row r="464" spans="1:4" ht="14.4">
      <c r="A464" s="93"/>
      <c r="B464" s="90"/>
      <c r="C464" s="90"/>
      <c r="D464" s="92"/>
    </row>
    <row r="465" spans="1:4" ht="14.4">
      <c r="A465" s="93"/>
      <c r="B465" s="90"/>
      <c r="C465" s="90"/>
      <c r="D465" s="92"/>
    </row>
    <row r="466" spans="1:4" ht="14.4">
      <c r="A466" s="93"/>
      <c r="B466" s="90"/>
      <c r="C466" s="90"/>
      <c r="D466" s="92"/>
    </row>
    <row r="467" spans="1:4" ht="14.4">
      <c r="A467" s="93"/>
      <c r="B467" s="90"/>
      <c r="C467" s="90"/>
      <c r="D467" s="92"/>
    </row>
    <row r="468" spans="1:4" ht="14.4">
      <c r="A468" s="93"/>
      <c r="B468" s="90"/>
      <c r="C468" s="90"/>
      <c r="D468" s="92"/>
    </row>
    <row r="469" spans="1:4" ht="14.4">
      <c r="A469" s="93"/>
      <c r="B469" s="90"/>
      <c r="C469" s="90"/>
      <c r="D469" s="92"/>
    </row>
    <row r="470" spans="1:4" ht="14.4">
      <c r="A470" s="93"/>
      <c r="B470" s="90"/>
      <c r="C470" s="90"/>
      <c r="D470" s="92"/>
    </row>
    <row r="471" spans="1:4" ht="14.4">
      <c r="A471" s="93"/>
      <c r="B471" s="90"/>
      <c r="C471" s="90"/>
      <c r="D471" s="92"/>
    </row>
    <row r="472" spans="1:4" ht="14.4">
      <c r="A472" s="93"/>
      <c r="B472" s="90"/>
      <c r="C472" s="90"/>
      <c r="D472" s="92"/>
    </row>
    <row r="473" spans="1:4" ht="14.4">
      <c r="A473" s="93"/>
      <c r="B473" s="90"/>
      <c r="C473" s="90"/>
      <c r="D473" s="92"/>
    </row>
    <row r="474" spans="1:4" ht="14.4">
      <c r="A474" s="93"/>
      <c r="B474" s="90"/>
      <c r="C474" s="90"/>
      <c r="D474" s="92"/>
    </row>
    <row r="475" spans="1:4" ht="14.4">
      <c r="A475" s="93"/>
      <c r="B475" s="90"/>
      <c r="C475" s="90"/>
      <c r="D475" s="91"/>
    </row>
    <row r="476" spans="1:4" ht="14.4">
      <c r="A476" s="93"/>
      <c r="B476" s="90"/>
      <c r="C476" s="90"/>
      <c r="D476" s="91"/>
    </row>
    <row r="477" spans="1:4" ht="14.4">
      <c r="A477" s="93"/>
      <c r="B477" s="90"/>
      <c r="C477" s="90"/>
      <c r="D477" s="91"/>
    </row>
    <row r="478" spans="1:4" ht="14.4">
      <c r="A478" s="93"/>
      <c r="B478" s="90"/>
      <c r="C478" s="90"/>
      <c r="D478" s="91"/>
    </row>
    <row r="479" spans="1:4" ht="14.4">
      <c r="A479" s="93"/>
      <c r="B479" s="90"/>
      <c r="C479" s="90"/>
      <c r="D479" s="91"/>
    </row>
    <row r="480" spans="1:4" ht="14.4">
      <c r="A480" s="93"/>
      <c r="B480" s="90"/>
      <c r="C480" s="90"/>
      <c r="D480" s="91"/>
    </row>
    <row r="481" spans="1:4" ht="14.4">
      <c r="A481" s="93"/>
      <c r="B481" s="90"/>
      <c r="C481" s="90"/>
      <c r="D481" s="91"/>
    </row>
    <row r="482" spans="1:4" ht="14.4">
      <c r="A482" s="93"/>
      <c r="B482" s="90"/>
      <c r="C482" s="90"/>
      <c r="D482" s="91"/>
    </row>
    <row r="483" spans="1:4" ht="14.4">
      <c r="A483" s="93"/>
      <c r="B483" s="90"/>
      <c r="C483" s="90"/>
      <c r="D483" s="91"/>
    </row>
    <row r="484" spans="1:4" ht="14.4">
      <c r="A484" s="93"/>
      <c r="B484" s="90"/>
      <c r="C484" s="90"/>
      <c r="D484" s="91"/>
    </row>
    <row r="485" spans="1:4" ht="14.4">
      <c r="A485" s="93"/>
      <c r="B485" s="90"/>
      <c r="C485" s="90"/>
      <c r="D485" s="91"/>
    </row>
    <row r="486" spans="1:4" ht="14.4">
      <c r="A486" s="93"/>
      <c r="B486" s="90"/>
      <c r="C486" s="90"/>
      <c r="D486" s="91"/>
    </row>
    <row r="487" spans="1:4" ht="14.4">
      <c r="A487" s="93"/>
      <c r="B487" s="90"/>
      <c r="C487" s="90"/>
      <c r="D487" s="91"/>
    </row>
    <row r="488" spans="1:4" ht="14.4">
      <c r="A488" s="93"/>
      <c r="B488" s="90"/>
      <c r="C488" s="90"/>
      <c r="D488" s="91"/>
    </row>
    <row r="489" spans="1:4" ht="14.4">
      <c r="A489" s="93"/>
      <c r="B489" s="90"/>
      <c r="C489" s="90"/>
      <c r="D489" s="91"/>
    </row>
    <row r="490" spans="1:4" ht="14.4">
      <c r="A490" s="93"/>
      <c r="B490" s="90"/>
      <c r="C490" s="90"/>
      <c r="D490" s="91"/>
    </row>
    <row r="491" spans="1:4" ht="14.4">
      <c r="A491" s="93"/>
      <c r="B491" s="90"/>
      <c r="C491" s="90"/>
      <c r="D491" s="91"/>
    </row>
    <row r="492" spans="1:4" ht="14.4">
      <c r="A492" s="93"/>
      <c r="B492" s="90"/>
      <c r="C492" s="90"/>
      <c r="D492" s="91"/>
    </row>
    <row r="493" spans="1:4" ht="14.4">
      <c r="A493" s="93"/>
      <c r="B493" s="90"/>
      <c r="C493" s="90"/>
      <c r="D493" s="91"/>
    </row>
    <row r="494" spans="1:4" ht="14.4">
      <c r="A494" s="93"/>
      <c r="B494" s="90"/>
      <c r="C494" s="90"/>
      <c r="D494" s="91"/>
    </row>
    <row r="495" spans="1:4" ht="14.4">
      <c r="A495" s="93"/>
      <c r="B495" s="90"/>
      <c r="C495" s="90"/>
      <c r="D495" s="91"/>
    </row>
    <row r="496" spans="1:4" ht="14.4">
      <c r="A496" s="93"/>
      <c r="B496" s="90"/>
      <c r="C496" s="90"/>
      <c r="D496" s="91"/>
    </row>
    <row r="497" spans="1:4" ht="14.4">
      <c r="A497" s="93"/>
      <c r="B497" s="90"/>
      <c r="C497" s="90"/>
      <c r="D497" s="91"/>
    </row>
    <row r="498" spans="1:4" ht="14.4">
      <c r="A498" s="93"/>
      <c r="B498" s="90"/>
      <c r="C498" s="90"/>
      <c r="D498" s="91"/>
    </row>
    <row r="499" spans="1:4" ht="14.4">
      <c r="A499" s="93"/>
      <c r="B499" s="90"/>
      <c r="C499" s="90"/>
      <c r="D499" s="91"/>
    </row>
    <row r="500" spans="1:4" ht="14.4">
      <c r="A500" s="93"/>
      <c r="B500" s="90"/>
      <c r="C500" s="90"/>
      <c r="D500" s="91"/>
    </row>
    <row r="501" spans="1:4" ht="14.4">
      <c r="A501" s="93"/>
      <c r="B501" s="90"/>
      <c r="C501" s="90"/>
      <c r="D501" s="91"/>
    </row>
    <row r="502" spans="1:4" ht="14.4">
      <c r="A502" s="93"/>
      <c r="B502" s="90"/>
      <c r="C502" s="90"/>
      <c r="D502" s="91"/>
    </row>
    <row r="503" spans="1:4" ht="14.4">
      <c r="A503" s="93"/>
      <c r="B503" s="90"/>
      <c r="C503" s="90"/>
      <c r="D503" s="91"/>
    </row>
    <row r="504" spans="1:4" ht="14.4">
      <c r="A504" s="93"/>
      <c r="B504" s="90"/>
      <c r="C504" s="90"/>
      <c r="D504" s="91"/>
    </row>
    <row r="505" spans="1:4" ht="14.4">
      <c r="A505" s="93"/>
      <c r="B505" s="90"/>
      <c r="C505" s="90"/>
      <c r="D505" s="91"/>
    </row>
    <row r="506" spans="1:4" ht="14.4">
      <c r="A506" s="93"/>
      <c r="B506" s="90"/>
      <c r="C506" s="90"/>
      <c r="D506" s="91"/>
    </row>
    <row r="507" spans="1:4" ht="14.4">
      <c r="A507" s="93"/>
      <c r="B507" s="90"/>
      <c r="C507" s="90"/>
      <c r="D507" s="91"/>
    </row>
    <row r="508" spans="1:4" ht="14.4">
      <c r="A508" s="93"/>
      <c r="B508" s="90"/>
      <c r="C508" s="90"/>
      <c r="D508" s="91"/>
    </row>
    <row r="509" spans="1:4" ht="14.4">
      <c r="A509" s="93"/>
      <c r="B509" s="90"/>
      <c r="C509" s="90"/>
      <c r="D509" s="91"/>
    </row>
    <row r="510" spans="1:4" ht="14.4">
      <c r="A510" s="93"/>
      <c r="B510" s="90"/>
      <c r="C510" s="90"/>
      <c r="D510" s="91"/>
    </row>
    <row r="511" spans="1:4" ht="14.4">
      <c r="A511" s="93"/>
      <c r="B511" s="90"/>
      <c r="C511" s="90"/>
      <c r="D511" s="91"/>
    </row>
    <row r="512" spans="1:4" ht="14.4">
      <c r="A512" s="93"/>
      <c r="B512" s="90"/>
      <c r="C512" s="90"/>
      <c r="D512" s="91"/>
    </row>
    <row r="513" spans="1:4" ht="14.4">
      <c r="A513" s="93"/>
      <c r="B513" s="90"/>
      <c r="C513" s="90"/>
      <c r="D513" s="91"/>
    </row>
    <row r="514" spans="1:4" ht="14.4">
      <c r="A514" s="93"/>
      <c r="B514" s="90"/>
      <c r="C514" s="90"/>
      <c r="D514" s="91"/>
    </row>
    <row r="515" spans="1:4" ht="14.4">
      <c r="A515" s="93"/>
      <c r="B515" s="90"/>
      <c r="C515" s="90"/>
      <c r="D515" s="91"/>
    </row>
    <row r="516" spans="1:4" ht="14.4">
      <c r="A516" s="93"/>
      <c r="B516" s="90"/>
      <c r="C516" s="90"/>
      <c r="D516" s="91"/>
    </row>
    <row r="517" spans="1:4" ht="14.4">
      <c r="A517" s="93"/>
      <c r="B517" s="90"/>
      <c r="C517" s="90"/>
      <c r="D517" s="91"/>
    </row>
    <row r="518" spans="1:4" ht="14.4">
      <c r="A518" s="93"/>
      <c r="B518" s="90"/>
      <c r="C518" s="90"/>
      <c r="D518" s="91"/>
    </row>
    <row r="519" spans="1:4" ht="14.4">
      <c r="A519" s="93"/>
      <c r="B519" s="90"/>
      <c r="C519" s="90"/>
      <c r="D519" s="91"/>
    </row>
    <row r="520" spans="1:4" ht="14.4">
      <c r="A520" s="93"/>
      <c r="B520" s="90"/>
      <c r="C520" s="90"/>
      <c r="D520" s="91"/>
    </row>
    <row r="521" spans="1:4" ht="14.4">
      <c r="A521" s="93"/>
      <c r="B521" s="90"/>
      <c r="C521" s="90"/>
      <c r="D521" s="91"/>
    </row>
    <row r="522" spans="1:4" ht="14.4">
      <c r="A522" s="93"/>
      <c r="B522" s="90"/>
      <c r="C522" s="90"/>
      <c r="D522" s="91"/>
    </row>
    <row r="523" spans="1:4" ht="14.4">
      <c r="A523" s="93"/>
      <c r="B523" s="90"/>
      <c r="C523" s="90"/>
      <c r="D523" s="91"/>
    </row>
    <row r="524" spans="1:4" ht="14.4">
      <c r="A524" s="93"/>
      <c r="B524" s="90"/>
      <c r="C524" s="90"/>
      <c r="D524" s="91"/>
    </row>
    <row r="525" spans="1:4" ht="14.4">
      <c r="A525" s="93"/>
      <c r="B525" s="90"/>
      <c r="C525" s="90"/>
      <c r="D525" s="91"/>
    </row>
    <row r="526" spans="1:4" ht="14.4">
      <c r="A526" s="93"/>
      <c r="B526" s="90"/>
      <c r="C526" s="90"/>
      <c r="D526" s="91"/>
    </row>
    <row r="527" spans="1:4" ht="14.4">
      <c r="A527" s="93"/>
      <c r="B527" s="90"/>
      <c r="C527" s="90"/>
      <c r="D527" s="91"/>
    </row>
    <row r="528" spans="1:4" ht="14.4">
      <c r="A528" s="93"/>
      <c r="B528" s="90"/>
      <c r="C528" s="90"/>
      <c r="D528" s="91"/>
    </row>
    <row r="529" spans="1:4" ht="14.4">
      <c r="A529" s="93"/>
      <c r="B529" s="90"/>
      <c r="C529" s="90"/>
      <c r="D529" s="91"/>
    </row>
    <row r="530" spans="1:4" ht="14.4">
      <c r="A530" s="93"/>
      <c r="B530" s="90"/>
      <c r="C530" s="90"/>
      <c r="D530" s="91"/>
    </row>
    <row r="531" spans="1:4" ht="14.4">
      <c r="A531" s="93"/>
      <c r="B531" s="90"/>
      <c r="C531" s="90"/>
      <c r="D531" s="91"/>
    </row>
    <row r="532" spans="1:4" ht="14.4">
      <c r="A532" s="93"/>
      <c r="B532" s="90"/>
      <c r="C532" s="90"/>
      <c r="D532" s="91"/>
    </row>
    <row r="533" spans="1:4" ht="14.4">
      <c r="A533" s="93"/>
      <c r="B533" s="90"/>
      <c r="C533" s="90"/>
      <c r="D533" s="91"/>
    </row>
    <row r="534" spans="1:4" ht="14.4">
      <c r="A534" s="93"/>
      <c r="B534" s="90"/>
      <c r="C534" s="90"/>
      <c r="D534" s="91"/>
    </row>
    <row r="535" spans="1:4" ht="14.4">
      <c r="A535" s="93"/>
      <c r="B535" s="90"/>
      <c r="C535" s="90"/>
      <c r="D535" s="91"/>
    </row>
    <row r="536" spans="1:4" ht="14.4">
      <c r="A536" s="93"/>
      <c r="B536" s="90"/>
      <c r="C536" s="90"/>
      <c r="D536" s="91"/>
    </row>
    <row r="537" spans="1:4" ht="14.4">
      <c r="A537" s="93"/>
      <c r="B537" s="90"/>
      <c r="C537" s="90"/>
      <c r="D537" s="91"/>
    </row>
    <row r="538" spans="1:4" ht="14.4">
      <c r="A538" s="93"/>
      <c r="B538" s="90"/>
      <c r="C538" s="90"/>
      <c r="D538" s="91"/>
    </row>
    <row r="539" spans="1:4" ht="14.4">
      <c r="A539" s="93"/>
      <c r="B539" s="90"/>
      <c r="C539" s="90"/>
      <c r="D539" s="91"/>
    </row>
    <row r="540" spans="1:4" ht="14.4">
      <c r="A540" s="93"/>
      <c r="B540" s="90"/>
      <c r="C540" s="90"/>
      <c r="D540" s="91"/>
    </row>
    <row r="541" spans="1:4" ht="14.4">
      <c r="A541" s="93"/>
      <c r="B541" s="90"/>
      <c r="C541" s="90"/>
      <c r="D541" s="91"/>
    </row>
    <row r="542" spans="1:4" ht="14.4">
      <c r="A542" s="93"/>
      <c r="B542" s="90"/>
      <c r="C542" s="90"/>
      <c r="D542" s="91"/>
    </row>
    <row r="543" spans="1:4" ht="14.4">
      <c r="A543" s="93"/>
      <c r="B543" s="90"/>
      <c r="C543" s="90"/>
      <c r="D543" s="91"/>
    </row>
    <row r="544" spans="1:4" ht="14.4">
      <c r="A544" s="93"/>
      <c r="B544" s="90"/>
      <c r="C544" s="90"/>
      <c r="D544" s="91"/>
    </row>
    <row r="545" spans="1:4" ht="14.4">
      <c r="A545" s="93"/>
      <c r="B545" s="90"/>
      <c r="C545" s="90"/>
      <c r="D545" s="91"/>
    </row>
    <row r="546" spans="1:4" ht="14.4">
      <c r="A546" s="93"/>
      <c r="B546" s="90"/>
      <c r="C546" s="90"/>
      <c r="D546" s="91"/>
    </row>
    <row r="547" spans="1:4" ht="14.4">
      <c r="A547" s="93"/>
      <c r="B547" s="90"/>
      <c r="C547" s="90"/>
      <c r="D547" s="91"/>
    </row>
    <row r="548" spans="1:4" ht="14.4">
      <c r="A548" s="93"/>
      <c r="B548" s="90"/>
      <c r="C548" s="90"/>
      <c r="D548" s="91"/>
    </row>
    <row r="549" spans="1:4" ht="14.4">
      <c r="A549" s="93"/>
      <c r="B549" s="90"/>
      <c r="C549" s="90"/>
      <c r="D549" s="91"/>
    </row>
    <row r="550" spans="1:4" ht="14.4">
      <c r="A550" s="93"/>
      <c r="B550" s="90"/>
      <c r="C550" s="90"/>
      <c r="D550" s="91"/>
    </row>
    <row r="551" spans="1:4" ht="14.4">
      <c r="A551" s="93"/>
      <c r="B551" s="90"/>
      <c r="C551" s="90"/>
      <c r="D551" s="91"/>
    </row>
    <row r="552" spans="1:4" ht="14.4">
      <c r="A552" s="93"/>
      <c r="B552" s="90"/>
      <c r="C552" s="90"/>
      <c r="D552" s="91"/>
    </row>
    <row r="553" spans="1:4" ht="14.4">
      <c r="A553" s="93"/>
      <c r="B553" s="90"/>
      <c r="C553" s="90"/>
      <c r="D553" s="91"/>
    </row>
    <row r="554" spans="1:4" ht="14.4">
      <c r="A554" s="93"/>
      <c r="B554" s="90"/>
      <c r="C554" s="90"/>
      <c r="D554" s="91"/>
    </row>
    <row r="555" spans="1:4" ht="14.4">
      <c r="A555" s="93"/>
      <c r="B555" s="90"/>
      <c r="C555" s="90"/>
      <c r="D555" s="91"/>
    </row>
    <row r="556" spans="1:4" ht="14.4">
      <c r="A556" s="93"/>
      <c r="B556" s="90"/>
      <c r="C556" s="90"/>
      <c r="D556" s="91"/>
    </row>
    <row r="557" spans="1:4" ht="14.4">
      <c r="A557" s="93"/>
      <c r="B557" s="90"/>
      <c r="C557" s="90"/>
      <c r="D557" s="91"/>
    </row>
    <row r="558" spans="1:4" ht="14.4">
      <c r="A558" s="93"/>
      <c r="B558" s="90"/>
      <c r="C558" s="90"/>
      <c r="D558" s="91"/>
    </row>
    <row r="559" spans="1:4" ht="14.4">
      <c r="A559" s="93"/>
      <c r="B559" s="90"/>
      <c r="C559" s="90"/>
      <c r="D559" s="91"/>
    </row>
    <row r="560" spans="1:4" ht="14.4">
      <c r="A560" s="93"/>
      <c r="B560" s="90"/>
      <c r="C560" s="90"/>
      <c r="D560" s="91"/>
    </row>
    <row r="561" spans="1:4" ht="14.4">
      <c r="A561" s="93"/>
      <c r="B561" s="90"/>
      <c r="C561" s="90"/>
      <c r="D561" s="91"/>
    </row>
    <row r="562" spans="1:4" ht="14.4">
      <c r="A562" s="93"/>
      <c r="B562" s="90"/>
      <c r="C562" s="90"/>
      <c r="D562" s="91"/>
    </row>
    <row r="563" spans="1:4" ht="14.4">
      <c r="A563" s="93"/>
      <c r="B563" s="90"/>
      <c r="C563" s="90"/>
      <c r="D563" s="91"/>
    </row>
    <row r="564" spans="1:4" ht="14.4">
      <c r="A564" s="93"/>
      <c r="B564" s="90"/>
      <c r="C564" s="90"/>
      <c r="D564" s="91"/>
    </row>
    <row r="565" spans="1:4" ht="14.4">
      <c r="A565" s="93"/>
      <c r="B565" s="90"/>
      <c r="C565" s="90"/>
      <c r="D565" s="91"/>
    </row>
    <row r="566" spans="1:4" ht="14.4">
      <c r="A566" s="93"/>
      <c r="B566" s="90"/>
      <c r="C566" s="90"/>
      <c r="D566" s="91"/>
    </row>
    <row r="567" spans="1:4" ht="14.4">
      <c r="A567" s="93"/>
      <c r="B567" s="90"/>
      <c r="C567" s="90"/>
      <c r="D567" s="91"/>
    </row>
    <row r="568" spans="1:4" ht="14.4">
      <c r="A568" s="93"/>
      <c r="B568" s="90"/>
      <c r="C568" s="90"/>
      <c r="D568" s="91"/>
    </row>
    <row r="569" spans="1:4" ht="14.4">
      <c r="A569" s="93"/>
      <c r="B569" s="90"/>
      <c r="C569" s="90"/>
      <c r="D569" s="91"/>
    </row>
    <row r="570" spans="1:4" ht="14.4">
      <c r="A570" s="93"/>
      <c r="B570" s="90"/>
      <c r="C570" s="90"/>
      <c r="D570" s="91"/>
    </row>
    <row r="571" spans="1:4" ht="14.4">
      <c r="A571" s="93"/>
      <c r="B571" s="90"/>
      <c r="C571" s="90"/>
      <c r="D571" s="91"/>
    </row>
    <row r="572" spans="1:4" ht="14.4">
      <c r="A572" s="93"/>
      <c r="B572" s="90"/>
      <c r="C572" s="90"/>
      <c r="D572" s="91"/>
    </row>
    <row r="573" spans="1:4" ht="14.4">
      <c r="A573" s="93"/>
      <c r="B573" s="90"/>
      <c r="C573" s="90"/>
      <c r="D573" s="91"/>
    </row>
    <row r="574" spans="1:4" ht="14.4">
      <c r="A574" s="93"/>
      <c r="B574" s="90"/>
      <c r="C574" s="90"/>
      <c r="D574" s="91"/>
    </row>
    <row r="575" spans="1:4" ht="14.4">
      <c r="A575" s="93"/>
      <c r="B575" s="90"/>
      <c r="C575" s="90"/>
      <c r="D575" s="91"/>
    </row>
    <row r="576" spans="1:4" ht="14.4">
      <c r="A576" s="93"/>
      <c r="B576" s="90"/>
      <c r="C576" s="90"/>
      <c r="D576" s="91"/>
    </row>
    <row r="577" spans="1:4" ht="14.4">
      <c r="A577" s="93"/>
      <c r="B577" s="90"/>
      <c r="C577" s="90"/>
      <c r="D577" s="91"/>
    </row>
    <row r="578" spans="1:4" ht="14.4">
      <c r="A578" s="93"/>
      <c r="B578" s="90"/>
      <c r="C578" s="90"/>
      <c r="D578" s="91"/>
    </row>
    <row r="579" spans="1:4" ht="14.4">
      <c r="A579" s="93"/>
      <c r="B579" s="90"/>
      <c r="C579" s="90"/>
      <c r="D579" s="91"/>
    </row>
    <row r="580" spans="1:4" ht="14.4">
      <c r="A580" s="93"/>
      <c r="B580" s="90"/>
      <c r="C580" s="90"/>
      <c r="D580" s="91"/>
    </row>
    <row r="581" spans="1:4" ht="14.4">
      <c r="A581" s="93"/>
      <c r="B581" s="90"/>
      <c r="C581" s="90"/>
      <c r="D581" s="91"/>
    </row>
    <row r="582" spans="1:4" ht="14.4">
      <c r="A582" s="93"/>
      <c r="B582" s="90"/>
      <c r="C582" s="90"/>
      <c r="D582" s="91"/>
    </row>
    <row r="583" spans="1:4" ht="14.4">
      <c r="A583" s="93"/>
      <c r="B583" s="90"/>
      <c r="C583" s="90"/>
      <c r="D583" s="91"/>
    </row>
    <row r="584" spans="1:4" ht="14.4">
      <c r="A584" s="93"/>
      <c r="B584" s="90"/>
      <c r="C584" s="90"/>
      <c r="D584" s="91"/>
    </row>
    <row r="585" spans="1:4" ht="14.4">
      <c r="A585" s="93"/>
      <c r="B585" s="90"/>
      <c r="C585" s="90"/>
      <c r="D585" s="91"/>
    </row>
    <row r="586" spans="1:4" ht="14.4">
      <c r="A586" s="93"/>
      <c r="B586" s="90"/>
      <c r="C586" s="90"/>
      <c r="D586" s="91"/>
    </row>
    <row r="587" spans="1:4" ht="14.4">
      <c r="A587" s="93"/>
      <c r="B587" s="90"/>
      <c r="C587" s="90"/>
      <c r="D587" s="91"/>
    </row>
    <row r="588" spans="1:4" ht="14.4">
      <c r="A588" s="93"/>
      <c r="B588" s="90"/>
      <c r="C588" s="90"/>
      <c r="D588" s="91"/>
    </row>
    <row r="589" spans="1:4" ht="14.4">
      <c r="A589" s="93"/>
      <c r="B589" s="90"/>
      <c r="C589" s="90"/>
      <c r="D589" s="91"/>
    </row>
    <row r="590" spans="1:4" ht="14.4">
      <c r="A590" s="93"/>
      <c r="B590" s="90"/>
      <c r="C590" s="90"/>
      <c r="D590" s="91"/>
    </row>
    <row r="591" spans="1:4" ht="14.4">
      <c r="A591" s="93"/>
      <c r="B591" s="90"/>
      <c r="C591" s="90"/>
      <c r="D591" s="91"/>
    </row>
    <row r="592" spans="1:4" ht="14.4">
      <c r="A592" s="93"/>
      <c r="B592" s="90"/>
      <c r="C592" s="90"/>
      <c r="D592" s="91"/>
    </row>
    <row r="593" spans="1:4" ht="14.4">
      <c r="A593" s="93"/>
      <c r="B593" s="90"/>
      <c r="C593" s="90"/>
      <c r="D593" s="91"/>
    </row>
    <row r="594" spans="1:4" ht="14.4">
      <c r="A594" s="93"/>
      <c r="B594" s="90"/>
      <c r="C594" s="90"/>
      <c r="D594" s="91"/>
    </row>
    <row r="595" spans="1:4" ht="14.4">
      <c r="A595" s="93"/>
      <c r="B595" s="90"/>
      <c r="C595" s="90"/>
      <c r="D595" s="91"/>
    </row>
    <row r="596" spans="1:4" ht="14.4">
      <c r="A596" s="93"/>
      <c r="B596" s="90"/>
      <c r="C596" s="90"/>
      <c r="D596" s="91"/>
    </row>
    <row r="597" spans="1:4" ht="14.4">
      <c r="A597" s="93"/>
      <c r="B597" s="90"/>
      <c r="C597" s="90"/>
      <c r="D597" s="91"/>
    </row>
    <row r="598" spans="1:4" ht="14.4">
      <c r="A598" s="93"/>
      <c r="B598" s="90"/>
      <c r="C598" s="90"/>
      <c r="D598" s="91"/>
    </row>
    <row r="599" spans="1:4" ht="14.4">
      <c r="A599" s="93"/>
      <c r="B599" s="90"/>
      <c r="C599" s="90"/>
      <c r="D599" s="91"/>
    </row>
    <row r="600" spans="1:4" ht="14.4">
      <c r="A600" s="93"/>
      <c r="B600" s="90"/>
      <c r="C600" s="90"/>
      <c r="D600" s="91"/>
    </row>
    <row r="601" spans="1:4" ht="14.4">
      <c r="A601" s="93"/>
      <c r="B601" s="90"/>
      <c r="C601" s="90"/>
      <c r="D601" s="91"/>
    </row>
    <row r="602" spans="1:4" ht="14.4">
      <c r="A602" s="93"/>
      <c r="B602" s="90"/>
      <c r="C602" s="90"/>
      <c r="D602" s="91"/>
    </row>
    <row r="603" spans="1:4" ht="14.4">
      <c r="A603" s="93"/>
      <c r="B603" s="90"/>
      <c r="C603" s="90"/>
      <c r="D603" s="91"/>
    </row>
    <row r="604" spans="1:4" ht="14.4">
      <c r="A604" s="93"/>
      <c r="B604" s="90"/>
      <c r="C604" s="90"/>
      <c r="D604" s="91"/>
    </row>
    <row r="605" spans="1:4" ht="14.4">
      <c r="A605" s="93"/>
      <c r="B605" s="90"/>
      <c r="C605" s="90"/>
      <c r="D605" s="91"/>
    </row>
    <row r="606" spans="1:4" ht="14.4">
      <c r="A606" s="93"/>
      <c r="B606" s="90"/>
      <c r="C606" s="90"/>
      <c r="D606" s="91"/>
    </row>
    <row r="607" spans="1:4" ht="14.4">
      <c r="A607" s="93"/>
      <c r="B607" s="90"/>
      <c r="C607" s="90"/>
      <c r="D607" s="91"/>
    </row>
    <row r="608" spans="1:4" ht="14.4">
      <c r="A608" s="93"/>
      <c r="B608" s="90"/>
      <c r="C608" s="90"/>
      <c r="D608" s="91"/>
    </row>
    <row r="609" spans="1:4" ht="14.4">
      <c r="A609" s="93"/>
      <c r="B609" s="90"/>
      <c r="C609" s="90"/>
      <c r="D609" s="91"/>
    </row>
    <row r="610" spans="1:4" ht="14.4">
      <c r="A610" s="93"/>
      <c r="B610" s="90"/>
      <c r="C610" s="90"/>
      <c r="D610" s="91"/>
    </row>
    <row r="611" spans="1:4" ht="14.4">
      <c r="A611" s="93"/>
      <c r="B611" s="90"/>
      <c r="C611" s="90"/>
      <c r="D611" s="91"/>
    </row>
    <row r="612" spans="1:4" ht="14.4">
      <c r="A612" s="93"/>
      <c r="B612" s="90"/>
      <c r="C612" s="90"/>
      <c r="D612" s="91"/>
    </row>
    <row r="613" spans="1:4" ht="14.4">
      <c r="A613" s="93"/>
      <c r="B613" s="90"/>
      <c r="C613" s="90"/>
      <c r="D613" s="91"/>
    </row>
    <row r="614" spans="1:4" ht="14.4">
      <c r="A614" s="93"/>
      <c r="B614" s="90"/>
      <c r="C614" s="90"/>
      <c r="D614" s="91"/>
    </row>
    <row r="615" spans="1:4" ht="14.4">
      <c r="A615" s="93"/>
      <c r="B615" s="90"/>
      <c r="C615" s="90"/>
      <c r="D615" s="91"/>
    </row>
    <row r="616" spans="1:4" ht="14.4">
      <c r="A616" s="93"/>
      <c r="B616" s="90"/>
      <c r="C616" s="90"/>
      <c r="D616" s="91"/>
    </row>
    <row r="617" spans="1:4" ht="14.4">
      <c r="A617" s="93"/>
      <c r="B617" s="90"/>
      <c r="C617" s="90"/>
      <c r="D617" s="91"/>
    </row>
    <row r="618" spans="1:4" ht="14.4">
      <c r="A618" s="93"/>
      <c r="B618" s="90"/>
      <c r="C618" s="90"/>
      <c r="D618" s="91"/>
    </row>
    <row r="619" spans="1:4" ht="14.4">
      <c r="A619" s="93"/>
      <c r="B619" s="90"/>
      <c r="C619" s="90"/>
      <c r="D619" s="91"/>
    </row>
    <row r="620" spans="1:4" ht="14.4">
      <c r="A620" s="93"/>
      <c r="B620" s="90"/>
      <c r="C620" s="90"/>
      <c r="D620" s="91"/>
    </row>
    <row r="621" spans="1:4" ht="14.4">
      <c r="A621" s="93"/>
      <c r="B621" s="90"/>
      <c r="C621" s="90"/>
      <c r="D621" s="91"/>
    </row>
    <row r="622" spans="1:4" ht="14.4">
      <c r="A622" s="93"/>
      <c r="B622" s="90"/>
      <c r="C622" s="90"/>
      <c r="D622" s="91"/>
    </row>
    <row r="623" spans="1:4" ht="14.4">
      <c r="A623" s="93"/>
      <c r="B623" s="90"/>
      <c r="C623" s="90"/>
      <c r="D623" s="91"/>
    </row>
    <row r="624" spans="1:4" ht="14.4">
      <c r="A624" s="93"/>
      <c r="B624" s="90"/>
      <c r="C624" s="90"/>
      <c r="D624" s="91"/>
    </row>
    <row r="625" spans="1:4" ht="14.4">
      <c r="A625" s="93"/>
      <c r="B625" s="90"/>
      <c r="C625" s="90"/>
      <c r="D625" s="91"/>
    </row>
    <row r="626" spans="1:4" ht="14.4">
      <c r="A626" s="93"/>
      <c r="B626" s="90"/>
      <c r="C626" s="90"/>
      <c r="D626" s="91"/>
    </row>
    <row r="627" spans="1:4" ht="14.4">
      <c r="A627" s="93"/>
      <c r="B627" s="90"/>
      <c r="C627" s="90"/>
      <c r="D627" s="91"/>
    </row>
    <row r="628" spans="1:4" ht="14.4">
      <c r="A628" s="93"/>
      <c r="B628" s="90"/>
      <c r="C628" s="90"/>
      <c r="D628" s="91"/>
    </row>
    <row r="629" spans="1:4" ht="14.4">
      <c r="A629" s="93"/>
      <c r="B629" s="90"/>
      <c r="C629" s="90"/>
      <c r="D629" s="91"/>
    </row>
    <row r="630" spans="1:4" ht="14.4">
      <c r="A630" s="93"/>
      <c r="B630" s="90"/>
      <c r="C630" s="90"/>
      <c r="D630" s="91"/>
    </row>
    <row r="631" spans="1:4" ht="14.4">
      <c r="A631" s="93"/>
      <c r="B631" s="90"/>
      <c r="C631" s="90"/>
      <c r="D631" s="91"/>
    </row>
    <row r="632" spans="1:4" ht="14.4">
      <c r="A632" s="93"/>
      <c r="B632" s="90"/>
      <c r="C632" s="90"/>
      <c r="D632" s="91"/>
    </row>
    <row r="633" spans="1:4" ht="14.4">
      <c r="A633" s="93"/>
      <c r="B633" s="90"/>
      <c r="C633" s="90"/>
      <c r="D633" s="91"/>
    </row>
    <row r="634" spans="1:4" ht="14.4">
      <c r="A634" s="93"/>
      <c r="B634" s="90"/>
      <c r="C634" s="90"/>
      <c r="D634" s="91"/>
    </row>
    <row r="635" spans="1:4" ht="14.4">
      <c r="A635" s="93"/>
      <c r="B635" s="90"/>
      <c r="C635" s="90"/>
      <c r="D635" s="91"/>
    </row>
    <row r="636" spans="1:4" ht="14.4">
      <c r="A636" s="93"/>
      <c r="B636" s="90"/>
      <c r="C636" s="90"/>
      <c r="D636" s="91"/>
    </row>
    <row r="637" spans="1:4" ht="14.4">
      <c r="A637" s="93"/>
      <c r="B637" s="90"/>
      <c r="C637" s="90"/>
      <c r="D637" s="91"/>
    </row>
    <row r="638" spans="1:4" ht="14.4">
      <c r="A638" s="93"/>
      <c r="B638" s="90"/>
      <c r="C638" s="90"/>
      <c r="D638" s="91"/>
    </row>
    <row r="639" spans="1:4" ht="14.4">
      <c r="A639" s="93"/>
      <c r="B639" s="90"/>
      <c r="C639" s="90"/>
      <c r="D639" s="91"/>
    </row>
    <row r="640" spans="1:4" ht="14.4">
      <c r="A640" s="93"/>
      <c r="B640" s="90"/>
      <c r="C640" s="90"/>
      <c r="D640" s="91"/>
    </row>
    <row r="641" spans="1:4" ht="14.4">
      <c r="A641" s="93"/>
      <c r="B641" s="90"/>
      <c r="C641" s="90"/>
      <c r="D641" s="91"/>
    </row>
    <row r="642" spans="1:4" ht="14.4">
      <c r="A642" s="93"/>
      <c r="B642" s="90"/>
      <c r="C642" s="90"/>
      <c r="D642" s="91"/>
    </row>
    <row r="643" spans="1:4" ht="14.4">
      <c r="A643" s="93"/>
      <c r="B643" s="90"/>
      <c r="C643" s="90"/>
      <c r="D643" s="91"/>
    </row>
    <row r="644" spans="1:4" ht="14.4">
      <c r="A644" s="93"/>
      <c r="B644" s="90"/>
      <c r="C644" s="90"/>
      <c r="D644" s="91"/>
    </row>
    <row r="645" spans="1:4" ht="14.4">
      <c r="A645" s="93"/>
      <c r="B645" s="90"/>
      <c r="C645" s="90"/>
      <c r="D645" s="91"/>
    </row>
    <row r="646" spans="1:4" ht="14.4">
      <c r="A646" s="93"/>
      <c r="B646" s="90"/>
      <c r="C646" s="90"/>
      <c r="D646" s="91"/>
    </row>
    <row r="647" spans="1:4" ht="14.4">
      <c r="A647" s="93"/>
      <c r="B647" s="90"/>
      <c r="C647" s="90"/>
      <c r="D647" s="91"/>
    </row>
    <row r="648" spans="1:4" ht="14.4">
      <c r="A648" s="93"/>
      <c r="B648" s="90"/>
      <c r="C648" s="90"/>
      <c r="D648" s="91"/>
    </row>
    <row r="649" spans="1:4" ht="14.4">
      <c r="A649" s="93"/>
      <c r="B649" s="90"/>
      <c r="C649" s="90"/>
      <c r="D649" s="91"/>
    </row>
    <row r="650" spans="1:4" ht="14.4">
      <c r="A650" s="93"/>
      <c r="B650" s="90"/>
      <c r="C650" s="90"/>
      <c r="D650" s="91"/>
    </row>
    <row r="651" spans="1:4" ht="14.4">
      <c r="A651" s="93"/>
      <c r="B651" s="90"/>
      <c r="C651" s="90"/>
      <c r="D651" s="91"/>
    </row>
    <row r="652" spans="1:4" ht="14.4">
      <c r="A652" s="93"/>
      <c r="B652" s="90"/>
      <c r="C652" s="90"/>
      <c r="D652" s="91"/>
    </row>
    <row r="653" spans="1:4" ht="14.4">
      <c r="A653" s="93"/>
      <c r="B653" s="90"/>
      <c r="C653" s="90"/>
      <c r="D653" s="91"/>
    </row>
    <row r="654" spans="1:4" ht="14.4">
      <c r="A654" s="93"/>
      <c r="B654" s="90"/>
      <c r="C654" s="90"/>
      <c r="D654" s="91"/>
    </row>
    <row r="655" spans="1:4" ht="14.4">
      <c r="A655" s="93"/>
      <c r="B655" s="90"/>
      <c r="C655" s="90"/>
      <c r="D655" s="91"/>
    </row>
    <row r="656" spans="1:4" ht="14.4">
      <c r="A656" s="93"/>
      <c r="B656" s="90"/>
      <c r="C656" s="90"/>
      <c r="D656" s="91"/>
    </row>
    <row r="657" spans="1:4" ht="14.4">
      <c r="A657" s="93"/>
      <c r="B657" s="90"/>
      <c r="C657" s="90"/>
      <c r="D657" s="91"/>
    </row>
    <row r="658" spans="1:4" ht="14.4">
      <c r="A658" s="93"/>
      <c r="B658" s="90"/>
      <c r="C658" s="90"/>
      <c r="D658" s="91"/>
    </row>
    <row r="659" spans="1:4" ht="14.4">
      <c r="A659" s="93"/>
      <c r="B659" s="90"/>
      <c r="C659" s="90"/>
      <c r="D659" s="91"/>
    </row>
    <row r="660" spans="1:4" ht="14.4">
      <c r="A660" s="93"/>
      <c r="B660" s="90"/>
      <c r="C660" s="90"/>
      <c r="D660" s="91"/>
    </row>
    <row r="661" spans="1:4" ht="14.4">
      <c r="A661" s="93"/>
      <c r="B661" s="90"/>
      <c r="C661" s="90"/>
      <c r="D661" s="91"/>
    </row>
    <row r="662" spans="1:4" ht="14.4">
      <c r="A662" s="93"/>
      <c r="B662" s="90"/>
      <c r="C662" s="90"/>
      <c r="D662" s="91"/>
    </row>
    <row r="663" spans="1:4" ht="14.4">
      <c r="A663" s="93"/>
      <c r="B663" s="90"/>
      <c r="C663" s="90"/>
      <c r="D663" s="91"/>
    </row>
    <row r="664" spans="1:4" ht="14.4">
      <c r="A664" s="93"/>
      <c r="B664" s="90"/>
      <c r="C664" s="90"/>
      <c r="D664" s="91"/>
    </row>
    <row r="665" spans="1:4" ht="14.4">
      <c r="A665" s="93"/>
      <c r="B665" s="90"/>
      <c r="C665" s="90"/>
      <c r="D665" s="91"/>
    </row>
    <row r="666" spans="1:4" ht="14.4">
      <c r="A666" s="93"/>
      <c r="B666" s="90"/>
      <c r="C666" s="90"/>
      <c r="D666" s="91"/>
    </row>
    <row r="667" spans="1:4" ht="14.4">
      <c r="A667" s="93"/>
      <c r="B667" s="90"/>
      <c r="C667" s="90"/>
      <c r="D667" s="91"/>
    </row>
    <row r="668" spans="1:4" ht="14.4">
      <c r="A668" s="93"/>
      <c r="B668" s="90"/>
      <c r="C668" s="90"/>
      <c r="D668" s="91"/>
    </row>
    <row r="669" spans="1:4" ht="14.4">
      <c r="A669" s="93"/>
      <c r="B669" s="90"/>
      <c r="C669" s="90"/>
      <c r="D669" s="91"/>
    </row>
    <row r="670" spans="1:4" ht="14.4">
      <c r="A670" s="93"/>
      <c r="B670" s="90"/>
      <c r="C670" s="90"/>
      <c r="D670" s="91"/>
    </row>
    <row r="671" spans="1:4" ht="14.4">
      <c r="A671" s="93"/>
      <c r="B671" s="90"/>
      <c r="C671" s="90"/>
      <c r="D671" s="91"/>
    </row>
    <row r="672" spans="1:4" ht="14.4">
      <c r="A672" s="93"/>
      <c r="B672" s="90"/>
      <c r="C672" s="90"/>
      <c r="D672" s="91"/>
    </row>
    <row r="673" spans="1:4" ht="14.4">
      <c r="A673" s="93"/>
      <c r="B673" s="90"/>
      <c r="C673" s="90"/>
      <c r="D673" s="91"/>
    </row>
    <row r="674" spans="1:4" ht="14.4">
      <c r="A674" s="93"/>
      <c r="B674" s="90"/>
      <c r="C674" s="90"/>
      <c r="D674" s="91"/>
    </row>
    <row r="675" spans="1:4" ht="14.4">
      <c r="A675" s="93"/>
      <c r="B675" s="90"/>
      <c r="C675" s="90"/>
      <c r="D675" s="91"/>
    </row>
    <row r="676" spans="1:4" ht="14.4">
      <c r="A676" s="93"/>
      <c r="B676" s="90"/>
      <c r="C676" s="90"/>
      <c r="D676" s="91"/>
    </row>
    <row r="677" spans="1:4" ht="14.4">
      <c r="A677" s="93"/>
      <c r="B677" s="90"/>
      <c r="C677" s="90"/>
      <c r="D677" s="91"/>
    </row>
    <row r="678" spans="1:4" ht="14.4">
      <c r="A678" s="93"/>
      <c r="B678" s="90"/>
      <c r="C678" s="90"/>
      <c r="D678" s="91"/>
    </row>
    <row r="679" spans="1:4" ht="14.4">
      <c r="A679" s="93"/>
      <c r="B679" s="90"/>
      <c r="C679" s="90"/>
      <c r="D679" s="91"/>
    </row>
    <row r="680" spans="1:4" ht="14.4">
      <c r="A680" s="93"/>
      <c r="B680" s="90"/>
      <c r="C680" s="90"/>
      <c r="D680" s="91"/>
    </row>
    <row r="681" spans="1:4" ht="14.4">
      <c r="A681" s="93"/>
      <c r="B681" s="90"/>
      <c r="C681" s="90"/>
      <c r="D681" s="91"/>
    </row>
    <row r="682" spans="1:4" ht="14.4">
      <c r="A682" s="93"/>
      <c r="B682" s="90"/>
      <c r="C682" s="90"/>
      <c r="D682" s="91"/>
    </row>
    <row r="683" spans="1:4" ht="14.4">
      <c r="A683" s="93"/>
      <c r="B683" s="90"/>
      <c r="C683" s="90"/>
      <c r="D683" s="91"/>
    </row>
    <row r="684" spans="1:4" ht="14.4">
      <c r="A684" s="93"/>
      <c r="B684" s="90"/>
      <c r="C684" s="90"/>
      <c r="D684" s="91"/>
    </row>
    <row r="685" spans="1:4" ht="14.4">
      <c r="A685" s="93"/>
      <c r="B685" s="90"/>
      <c r="C685" s="90"/>
      <c r="D685" s="91"/>
    </row>
    <row r="686" spans="1:4" ht="14.4">
      <c r="A686" s="93"/>
      <c r="B686" s="90"/>
      <c r="C686" s="90"/>
      <c r="D686" s="91"/>
    </row>
    <row r="687" spans="1:4" ht="14.4">
      <c r="A687" s="93"/>
      <c r="B687" s="90"/>
      <c r="C687" s="90"/>
      <c r="D687" s="91"/>
    </row>
    <row r="688" spans="1:4" ht="14.4">
      <c r="A688" s="93"/>
      <c r="B688" s="90"/>
      <c r="C688" s="90"/>
      <c r="D688" s="91"/>
    </row>
    <row r="689" spans="1:4" ht="14.4">
      <c r="A689" s="93"/>
      <c r="B689" s="90"/>
      <c r="C689" s="90"/>
      <c r="D689" s="91"/>
    </row>
    <row r="690" spans="1:4" ht="14.4">
      <c r="A690" s="93"/>
      <c r="B690" s="90"/>
      <c r="C690" s="90"/>
      <c r="D690" s="91"/>
    </row>
    <row r="691" spans="1:4" ht="14.4">
      <c r="A691" s="93"/>
      <c r="B691" s="90"/>
      <c r="C691" s="90"/>
      <c r="D691" s="91"/>
    </row>
    <row r="692" spans="1:4" ht="14.4">
      <c r="A692" s="93"/>
      <c r="B692" s="90"/>
      <c r="C692" s="90"/>
      <c r="D692" s="91"/>
    </row>
    <row r="693" spans="1:4" ht="14.4">
      <c r="A693" s="93"/>
      <c r="B693" s="90"/>
      <c r="C693" s="90"/>
      <c r="D693" s="91"/>
    </row>
    <row r="694" spans="1:4" ht="14.4">
      <c r="A694" s="93"/>
      <c r="B694" s="90"/>
      <c r="C694" s="90"/>
      <c r="D694" s="91"/>
    </row>
    <row r="695" spans="1:4" ht="14.4">
      <c r="A695" s="93"/>
      <c r="B695" s="90"/>
      <c r="C695" s="90"/>
      <c r="D695" s="91"/>
    </row>
    <row r="696" spans="1:4" ht="14.4">
      <c r="A696" s="93"/>
      <c r="B696" s="90"/>
      <c r="C696" s="90"/>
      <c r="D696" s="91"/>
    </row>
    <row r="697" spans="1:4" ht="14.4">
      <c r="A697" s="93"/>
      <c r="B697" s="90"/>
      <c r="C697" s="90"/>
      <c r="D697" s="91"/>
    </row>
    <row r="698" spans="1:4" ht="14.4">
      <c r="A698" s="93"/>
      <c r="B698" s="90"/>
      <c r="C698" s="90"/>
      <c r="D698" s="91"/>
    </row>
    <row r="699" spans="1:4" ht="14.4">
      <c r="A699" s="93"/>
      <c r="B699" s="90"/>
      <c r="C699" s="90"/>
      <c r="D699" s="91"/>
    </row>
    <row r="700" spans="1:4" ht="14.4">
      <c r="A700" s="93"/>
      <c r="B700" s="90"/>
      <c r="C700" s="90"/>
      <c r="D700" s="91"/>
    </row>
    <row r="701" spans="1:4" ht="14.4">
      <c r="A701" s="93"/>
      <c r="B701" s="90"/>
      <c r="C701" s="90"/>
      <c r="D701" s="91"/>
    </row>
    <row r="702" spans="1:4" ht="14.4">
      <c r="A702" s="93"/>
      <c r="B702" s="90"/>
      <c r="C702" s="90"/>
      <c r="D702" s="91"/>
    </row>
    <row r="703" spans="1:4" ht="14.4">
      <c r="A703" s="93"/>
      <c r="B703" s="90"/>
      <c r="C703" s="90"/>
      <c r="D703" s="91"/>
    </row>
    <row r="704" spans="1:4" ht="14.4">
      <c r="A704" s="93"/>
      <c r="B704" s="90"/>
      <c r="C704" s="90"/>
      <c r="D704" s="91"/>
    </row>
    <row r="705" spans="1:4" ht="14.4">
      <c r="A705" s="93"/>
      <c r="B705" s="90"/>
      <c r="C705" s="90"/>
      <c r="D705" s="91"/>
    </row>
    <row r="706" spans="1:4" ht="14.4">
      <c r="A706" s="93"/>
      <c r="B706" s="90"/>
      <c r="C706" s="90"/>
      <c r="D706" s="91"/>
    </row>
    <row r="707" spans="1:4" ht="14.4">
      <c r="A707" s="93"/>
      <c r="B707" s="90"/>
      <c r="C707" s="90"/>
      <c r="D707" s="91"/>
    </row>
    <row r="708" spans="1:4" ht="14.4">
      <c r="A708" s="93"/>
      <c r="B708" s="90"/>
      <c r="C708" s="90"/>
      <c r="D708" s="91"/>
    </row>
    <row r="709" spans="1:4" ht="14.4">
      <c r="A709" s="93"/>
      <c r="B709" s="90"/>
      <c r="C709" s="90"/>
      <c r="D709" s="92"/>
    </row>
    <row r="710" spans="1:4" ht="14.4">
      <c r="A710" s="93"/>
      <c r="B710" s="90"/>
      <c r="C710" s="90"/>
      <c r="D710" s="92"/>
    </row>
    <row r="711" spans="1:4" ht="14.4">
      <c r="A711" s="93"/>
      <c r="B711" s="90"/>
      <c r="C711" s="90"/>
      <c r="D711" s="92"/>
    </row>
    <row r="712" spans="1:4" ht="14.4">
      <c r="A712" s="93"/>
      <c r="B712" s="90"/>
      <c r="C712" s="90"/>
      <c r="D712" s="92"/>
    </row>
    <row r="713" spans="1:4" ht="14.4">
      <c r="A713" s="93"/>
      <c r="B713" s="90"/>
      <c r="C713" s="90"/>
      <c r="D713" s="92"/>
    </row>
    <row r="714" spans="1:4" ht="14.4">
      <c r="A714" s="93"/>
      <c r="B714" s="90"/>
      <c r="C714" s="90"/>
      <c r="D714" s="92"/>
    </row>
    <row r="715" spans="1:4" ht="14.4">
      <c r="A715" s="93"/>
      <c r="B715" s="90"/>
      <c r="C715" s="90"/>
      <c r="D715" s="92"/>
    </row>
    <row r="716" spans="1:4" ht="14.4">
      <c r="A716" s="93"/>
      <c r="B716" s="90"/>
      <c r="C716" s="90"/>
      <c r="D716" s="92"/>
    </row>
    <row r="717" spans="1:4" ht="14.4">
      <c r="A717" s="93"/>
      <c r="B717" s="90"/>
      <c r="C717" s="90"/>
      <c r="D717" s="92"/>
    </row>
    <row r="718" spans="1:4" ht="14.4">
      <c r="A718" s="93"/>
      <c r="B718" s="90"/>
      <c r="C718" s="90"/>
      <c r="D718" s="92"/>
    </row>
    <row r="719" spans="1:4" ht="14.4">
      <c r="A719" s="93"/>
      <c r="B719" s="90"/>
      <c r="C719" s="90"/>
      <c r="D719" s="92"/>
    </row>
    <row r="720" spans="1:4" ht="14.4">
      <c r="A720" s="93"/>
      <c r="B720" s="90"/>
      <c r="C720" s="90"/>
      <c r="D720" s="92"/>
    </row>
    <row r="721" spans="1:4" ht="14.4">
      <c r="A721" s="93"/>
      <c r="B721" s="90"/>
      <c r="C721" s="90"/>
      <c r="D721" s="92"/>
    </row>
    <row r="722" spans="1:4" ht="14.4">
      <c r="A722" s="93"/>
      <c r="B722" s="90"/>
      <c r="C722" s="90"/>
      <c r="D722" s="92"/>
    </row>
    <row r="723" spans="1:4" ht="14.4">
      <c r="A723" s="93"/>
      <c r="B723" s="90"/>
      <c r="C723" s="90"/>
      <c r="D723" s="92"/>
    </row>
    <row r="724" spans="1:4" ht="14.4">
      <c r="A724" s="93"/>
      <c r="B724" s="90"/>
      <c r="C724" s="90"/>
      <c r="D724" s="92"/>
    </row>
    <row r="725" spans="1:4" ht="14.4">
      <c r="A725" s="93"/>
      <c r="B725" s="90"/>
      <c r="C725" s="90"/>
      <c r="D725" s="92"/>
    </row>
    <row r="726" spans="1:4" ht="14.4">
      <c r="A726" s="93"/>
      <c r="B726" s="90"/>
      <c r="C726" s="90"/>
      <c r="D726" s="92"/>
    </row>
    <row r="727" spans="1:4" ht="14.4">
      <c r="A727" s="93"/>
      <c r="B727" s="90"/>
      <c r="C727" s="90"/>
      <c r="D727" s="92"/>
    </row>
    <row r="728" spans="1:4" ht="14.4">
      <c r="A728" s="93"/>
      <c r="B728" s="90"/>
      <c r="C728" s="90"/>
      <c r="D728" s="92"/>
    </row>
    <row r="729" spans="1:4" ht="14.4">
      <c r="A729" s="93"/>
      <c r="B729" s="90"/>
      <c r="C729" s="90"/>
      <c r="D729" s="92"/>
    </row>
    <row r="730" spans="1:4" ht="14.4">
      <c r="A730" s="93"/>
      <c r="B730" s="90"/>
      <c r="C730" s="90"/>
      <c r="D730" s="92"/>
    </row>
    <row r="731" spans="1:4" ht="14.4">
      <c r="A731" s="93"/>
      <c r="B731" s="90"/>
      <c r="C731" s="90"/>
      <c r="D731" s="92"/>
    </row>
    <row r="732" spans="1:4" ht="14.4">
      <c r="A732" s="93"/>
      <c r="B732" s="90"/>
      <c r="C732" s="90"/>
      <c r="D732" s="92"/>
    </row>
    <row r="733" spans="1:4" ht="14.4">
      <c r="A733" s="93"/>
      <c r="B733" s="90"/>
      <c r="C733" s="90"/>
      <c r="D733" s="92"/>
    </row>
    <row r="734" spans="1:4" ht="14.4">
      <c r="A734" s="93"/>
      <c r="B734" s="90"/>
      <c r="C734" s="90"/>
      <c r="D734" s="92"/>
    </row>
    <row r="735" spans="1:4" ht="14.4">
      <c r="A735" s="93"/>
      <c r="B735" s="90"/>
      <c r="C735" s="90"/>
      <c r="D735" s="92"/>
    </row>
    <row r="736" spans="1:4" ht="14.4">
      <c r="A736" s="93"/>
      <c r="B736" s="90"/>
      <c r="C736" s="90"/>
      <c r="D736" s="92"/>
    </row>
    <row r="737" spans="1:4" ht="14.4">
      <c r="A737" s="93"/>
      <c r="B737" s="90"/>
      <c r="C737" s="90"/>
      <c r="D737" s="92"/>
    </row>
    <row r="738" spans="1:4" ht="14.4">
      <c r="A738" s="93"/>
      <c r="B738" s="90"/>
      <c r="C738" s="90"/>
      <c r="D738" s="92"/>
    </row>
    <row r="739" spans="1:4" ht="14.4">
      <c r="A739" s="93"/>
      <c r="B739" s="90"/>
      <c r="C739" s="90"/>
      <c r="D739" s="92"/>
    </row>
    <row r="740" spans="1:4" ht="14.4">
      <c r="A740" s="93"/>
      <c r="B740" s="90"/>
      <c r="C740" s="90"/>
      <c r="D740" s="92"/>
    </row>
    <row r="741" spans="1:4" ht="14.4">
      <c r="A741" s="93"/>
      <c r="B741" s="90"/>
      <c r="C741" s="90"/>
      <c r="D741" s="92"/>
    </row>
    <row r="742" spans="1:4" ht="14.4">
      <c r="A742" s="93"/>
      <c r="B742" s="90"/>
      <c r="C742" s="90"/>
      <c r="D742" s="92"/>
    </row>
    <row r="743" spans="1:4" ht="14.4">
      <c r="A743" s="93"/>
      <c r="B743" s="90"/>
      <c r="C743" s="90"/>
      <c r="D743" s="92"/>
    </row>
    <row r="744" spans="1:4" ht="14.4">
      <c r="A744" s="93"/>
      <c r="B744" s="90"/>
      <c r="C744" s="90"/>
      <c r="D744" s="92"/>
    </row>
    <row r="745" spans="1:4" ht="14.4">
      <c r="A745" s="93"/>
      <c r="B745" s="90"/>
      <c r="C745" s="90"/>
      <c r="D745" s="92"/>
    </row>
    <row r="746" spans="1:4" ht="14.4">
      <c r="A746" s="93"/>
      <c r="B746" s="90"/>
      <c r="C746" s="90"/>
      <c r="D746" s="92"/>
    </row>
    <row r="747" spans="1:4" ht="14.4">
      <c r="A747" s="93"/>
      <c r="B747" s="90"/>
      <c r="C747" s="90"/>
      <c r="D747" s="92"/>
    </row>
    <row r="748" spans="1:4" ht="14.4">
      <c r="A748" s="93"/>
      <c r="B748" s="90"/>
      <c r="C748" s="90"/>
      <c r="D748" s="92"/>
    </row>
    <row r="749" spans="1:4" ht="14.4">
      <c r="A749" s="93"/>
      <c r="B749" s="90"/>
      <c r="C749" s="90"/>
      <c r="D749" s="92"/>
    </row>
    <row r="750" spans="1:4" ht="14.4">
      <c r="A750" s="93"/>
      <c r="B750" s="90"/>
      <c r="C750" s="90"/>
      <c r="D750" s="92"/>
    </row>
    <row r="751" spans="1:4" ht="14.4">
      <c r="A751" s="93"/>
      <c r="B751" s="90"/>
      <c r="C751" s="90"/>
      <c r="D751" s="92"/>
    </row>
    <row r="752" spans="1:4" ht="14.4">
      <c r="A752" s="93"/>
      <c r="B752" s="90"/>
      <c r="C752" s="90"/>
      <c r="D752" s="92"/>
    </row>
    <row r="753" spans="1:4" ht="14.4">
      <c r="A753" s="93"/>
      <c r="B753" s="90"/>
      <c r="C753" s="90"/>
      <c r="D753" s="92"/>
    </row>
    <row r="754" spans="1:4" ht="14.4">
      <c r="A754" s="93"/>
      <c r="B754" s="90"/>
      <c r="C754" s="90"/>
      <c r="D754" s="92"/>
    </row>
    <row r="755" spans="1:4" ht="14.4">
      <c r="A755" s="93"/>
      <c r="B755" s="90"/>
      <c r="C755" s="90"/>
      <c r="D755" s="92"/>
    </row>
    <row r="756" spans="1:4" ht="14.4">
      <c r="A756" s="93"/>
      <c r="B756" s="90"/>
      <c r="C756" s="90"/>
      <c r="D756" s="92"/>
    </row>
    <row r="757" spans="1:4" ht="14.4">
      <c r="A757" s="93"/>
      <c r="B757" s="90"/>
      <c r="C757" s="90"/>
      <c r="D757" s="92"/>
    </row>
    <row r="758" spans="1:4" ht="14.4">
      <c r="A758" s="93"/>
      <c r="B758" s="90"/>
      <c r="C758" s="90"/>
      <c r="D758" s="92"/>
    </row>
    <row r="759" spans="1:4" ht="14.4">
      <c r="A759" s="93"/>
      <c r="B759" s="90"/>
      <c r="C759" s="90"/>
      <c r="D759" s="92"/>
    </row>
    <row r="760" spans="1:4" ht="14.4">
      <c r="A760" s="93"/>
      <c r="B760" s="90"/>
      <c r="C760" s="90"/>
      <c r="D760" s="92"/>
    </row>
    <row r="761" spans="1:4" ht="14.4">
      <c r="A761" s="93"/>
      <c r="B761" s="90"/>
      <c r="C761" s="90"/>
      <c r="D761" s="92"/>
    </row>
    <row r="762" spans="1:4" ht="14.4">
      <c r="A762" s="93"/>
      <c r="B762" s="90"/>
      <c r="C762" s="90"/>
      <c r="D762" s="92"/>
    </row>
    <row r="763" spans="1:4" ht="14.4">
      <c r="A763" s="93"/>
      <c r="B763" s="90"/>
      <c r="C763" s="90"/>
      <c r="D763" s="92"/>
    </row>
    <row r="764" spans="1:4" ht="14.4">
      <c r="A764" s="93"/>
      <c r="B764" s="90"/>
      <c r="C764" s="90"/>
      <c r="D764" s="92"/>
    </row>
    <row r="765" spans="1:4" ht="14.4">
      <c r="A765" s="93"/>
      <c r="B765" s="90"/>
      <c r="C765" s="90"/>
      <c r="D765" s="92"/>
    </row>
    <row r="766" spans="1:4" ht="14.4">
      <c r="A766" s="93"/>
      <c r="B766" s="90"/>
      <c r="C766" s="90"/>
      <c r="D766" s="92"/>
    </row>
    <row r="767" spans="1:4" ht="14.4">
      <c r="A767" s="93"/>
      <c r="B767" s="90"/>
      <c r="C767" s="90"/>
      <c r="D767" s="92"/>
    </row>
    <row r="768" spans="1:4" ht="14.4">
      <c r="A768" s="93"/>
      <c r="B768" s="90"/>
      <c r="C768" s="90"/>
      <c r="D768" s="92"/>
    </row>
    <row r="769" spans="1:4" ht="14.4">
      <c r="A769" s="93"/>
      <c r="B769" s="90"/>
      <c r="C769" s="90"/>
      <c r="D769" s="92"/>
    </row>
    <row r="770" spans="1:4" ht="14.4">
      <c r="A770" s="93"/>
      <c r="B770" s="90"/>
      <c r="C770" s="90"/>
      <c r="D770" s="92"/>
    </row>
    <row r="771" spans="1:4" ht="14.4">
      <c r="A771" s="93"/>
      <c r="B771" s="90"/>
      <c r="C771" s="90"/>
      <c r="D771" s="92"/>
    </row>
    <row r="772" spans="1:4" ht="14.4">
      <c r="A772" s="93"/>
      <c r="B772" s="90"/>
      <c r="C772" s="90"/>
      <c r="D772" s="92"/>
    </row>
    <row r="773" spans="1:4" ht="14.4">
      <c r="A773" s="93"/>
      <c r="B773" s="90"/>
      <c r="C773" s="90"/>
      <c r="D773" s="92"/>
    </row>
    <row r="774" spans="1:4" ht="14.4">
      <c r="A774" s="93"/>
      <c r="B774" s="90"/>
      <c r="C774" s="90"/>
      <c r="D774" s="92"/>
    </row>
    <row r="775" spans="1:4" ht="14.4">
      <c r="A775" s="93"/>
      <c r="B775" s="90"/>
      <c r="C775" s="90"/>
      <c r="D775" s="92"/>
    </row>
    <row r="776" spans="1:4" ht="14.4">
      <c r="A776" s="93"/>
      <c r="B776" s="90"/>
      <c r="C776" s="90"/>
      <c r="D776" s="92"/>
    </row>
    <row r="777" spans="1:4" ht="14.4">
      <c r="A777" s="93"/>
      <c r="B777" s="90"/>
      <c r="C777" s="90"/>
      <c r="D777" s="92"/>
    </row>
    <row r="778" spans="1:4" ht="14.4">
      <c r="A778" s="93"/>
      <c r="B778" s="90"/>
      <c r="C778" s="90"/>
      <c r="D778" s="92"/>
    </row>
    <row r="779" spans="1:4" ht="14.4">
      <c r="A779" s="93"/>
      <c r="B779" s="90"/>
      <c r="C779" s="90"/>
      <c r="D779" s="92"/>
    </row>
    <row r="780" spans="1:4" ht="14.4">
      <c r="A780" s="93"/>
      <c r="B780" s="90"/>
      <c r="C780" s="90"/>
      <c r="D780" s="92"/>
    </row>
    <row r="781" spans="1:4" ht="14.4">
      <c r="A781" s="93"/>
      <c r="B781" s="90"/>
      <c r="C781" s="90"/>
      <c r="D781" s="92"/>
    </row>
    <row r="782" spans="1:4" ht="14.4">
      <c r="A782" s="93"/>
      <c r="B782" s="90"/>
      <c r="C782" s="90"/>
      <c r="D782" s="92"/>
    </row>
    <row r="783" spans="1:4" ht="14.4">
      <c r="A783" s="93"/>
      <c r="B783" s="90"/>
      <c r="C783" s="90"/>
      <c r="D783" s="92"/>
    </row>
    <row r="784" spans="1:4" ht="14.4">
      <c r="A784" s="93"/>
      <c r="B784" s="90"/>
      <c r="C784" s="90"/>
      <c r="D784" s="92"/>
    </row>
    <row r="785" spans="1:4" ht="14.4">
      <c r="A785" s="93"/>
      <c r="B785" s="90"/>
      <c r="C785" s="90"/>
      <c r="D785" s="92"/>
    </row>
    <row r="786" spans="1:4" ht="14.4">
      <c r="A786" s="93"/>
      <c r="B786" s="90"/>
      <c r="C786" s="90"/>
      <c r="D786" s="92"/>
    </row>
    <row r="787" spans="1:4" ht="14.4">
      <c r="A787" s="93"/>
      <c r="B787" s="90"/>
      <c r="C787" s="90"/>
      <c r="D787" s="92"/>
    </row>
    <row r="788" spans="1:4" ht="14.4">
      <c r="A788" s="93"/>
      <c r="B788" s="90"/>
      <c r="C788" s="90"/>
      <c r="D788" s="92"/>
    </row>
    <row r="789" spans="1:4" ht="14.4">
      <c r="A789" s="93"/>
      <c r="B789" s="90"/>
      <c r="C789" s="90"/>
      <c r="D789" s="92"/>
    </row>
    <row r="790" spans="1:4" ht="14.4">
      <c r="A790" s="93"/>
      <c r="B790" s="90"/>
      <c r="C790" s="90"/>
      <c r="D790" s="92"/>
    </row>
    <row r="791" spans="1:4" ht="14.4">
      <c r="A791" s="93"/>
      <c r="B791" s="90"/>
      <c r="C791" s="90"/>
      <c r="D791" s="92"/>
    </row>
    <row r="792" spans="1:4" ht="14.4">
      <c r="A792" s="93"/>
      <c r="B792" s="90"/>
      <c r="C792" s="90"/>
      <c r="D792" s="92"/>
    </row>
    <row r="793" spans="1:4" ht="14.4">
      <c r="A793" s="93"/>
      <c r="B793" s="90"/>
      <c r="C793" s="90"/>
      <c r="D793" s="92"/>
    </row>
    <row r="794" spans="1:4" ht="14.4">
      <c r="A794" s="93"/>
      <c r="B794" s="90"/>
      <c r="C794" s="90"/>
      <c r="D794" s="92"/>
    </row>
    <row r="795" spans="1:4" ht="14.4">
      <c r="A795" s="93"/>
      <c r="B795" s="90"/>
      <c r="C795" s="90"/>
      <c r="D795" s="92"/>
    </row>
    <row r="796" spans="1:4" ht="14.4">
      <c r="A796" s="93"/>
      <c r="B796" s="90"/>
      <c r="C796" s="90"/>
      <c r="D796" s="92"/>
    </row>
    <row r="797" spans="1:4" ht="14.4">
      <c r="A797" s="93"/>
      <c r="B797" s="90"/>
      <c r="C797" s="90"/>
      <c r="D797" s="92"/>
    </row>
    <row r="798" spans="1:4" ht="14.4">
      <c r="A798" s="93"/>
      <c r="B798" s="90"/>
      <c r="C798" s="90"/>
      <c r="D798" s="92"/>
    </row>
    <row r="799" spans="1:4" ht="14.4">
      <c r="A799" s="93"/>
      <c r="B799" s="90"/>
      <c r="C799" s="90"/>
      <c r="D799" s="92"/>
    </row>
    <row r="800" spans="1:4" ht="14.4">
      <c r="A800" s="93"/>
      <c r="B800" s="90"/>
      <c r="C800" s="90"/>
      <c r="D800" s="92"/>
    </row>
    <row r="801" spans="1:4" ht="14.4">
      <c r="A801" s="93"/>
      <c r="B801" s="90"/>
      <c r="C801" s="90"/>
      <c r="D801" s="92"/>
    </row>
    <row r="802" spans="1:4" ht="14.4">
      <c r="A802" s="93"/>
      <c r="B802" s="90"/>
      <c r="C802" s="90"/>
      <c r="D802" s="92"/>
    </row>
    <row r="803" spans="1:4" ht="14.4">
      <c r="A803" s="93"/>
      <c r="B803" s="90"/>
      <c r="C803" s="90"/>
      <c r="D803" s="92"/>
    </row>
    <row r="804" spans="1:4" ht="14.4">
      <c r="A804" s="93"/>
      <c r="B804" s="90"/>
      <c r="C804" s="90"/>
      <c r="D804" s="92"/>
    </row>
    <row r="805" spans="1:4" ht="14.4">
      <c r="A805" s="93"/>
      <c r="B805" s="90"/>
      <c r="C805" s="90"/>
      <c r="D805" s="92"/>
    </row>
    <row r="806" spans="1:4" ht="14.4">
      <c r="A806" s="93"/>
      <c r="B806" s="90"/>
      <c r="C806" s="90"/>
      <c r="D806" s="92"/>
    </row>
    <row r="807" spans="1:4" ht="14.4">
      <c r="A807" s="93"/>
      <c r="B807" s="90"/>
      <c r="C807" s="90"/>
      <c r="D807" s="92"/>
    </row>
    <row r="808" spans="1:4" ht="14.4">
      <c r="A808" s="93"/>
      <c r="B808" s="90"/>
      <c r="C808" s="90"/>
      <c r="D808" s="92"/>
    </row>
    <row r="809" spans="1:4" ht="14.4">
      <c r="A809" s="93"/>
      <c r="B809" s="90"/>
      <c r="C809" s="90"/>
      <c r="D809" s="92"/>
    </row>
    <row r="810" spans="1:4" ht="14.4">
      <c r="A810" s="93"/>
      <c r="B810" s="90"/>
      <c r="C810" s="90"/>
      <c r="D810" s="92"/>
    </row>
    <row r="811" spans="1:4" ht="14.4">
      <c r="A811" s="93"/>
      <c r="B811" s="90"/>
      <c r="C811" s="90"/>
      <c r="D811" s="92"/>
    </row>
    <row r="812" spans="1:4" ht="14.4">
      <c r="A812" s="93"/>
      <c r="B812" s="90"/>
      <c r="C812" s="90"/>
      <c r="D812" s="92"/>
    </row>
    <row r="813" spans="1:4" ht="14.4">
      <c r="A813" s="93"/>
      <c r="B813" s="90"/>
      <c r="C813" s="90"/>
      <c r="D813" s="92"/>
    </row>
    <row r="814" spans="1:4" ht="14.4">
      <c r="A814" s="93"/>
      <c r="B814" s="90"/>
      <c r="C814" s="90"/>
      <c r="D814" s="92"/>
    </row>
    <row r="815" spans="1:4" ht="14.4">
      <c r="A815" s="93"/>
      <c r="B815" s="90"/>
      <c r="C815" s="90"/>
      <c r="D815" s="92"/>
    </row>
    <row r="816" spans="1:4" ht="14.4">
      <c r="A816" s="93"/>
      <c r="B816" s="90"/>
      <c r="C816" s="90"/>
      <c r="D816" s="92"/>
    </row>
    <row r="817" spans="1:4" ht="14.4">
      <c r="A817" s="93"/>
      <c r="B817" s="90"/>
      <c r="C817" s="90"/>
      <c r="D817" s="92"/>
    </row>
    <row r="818" spans="1:4" ht="14.4">
      <c r="A818" s="93"/>
      <c r="B818" s="90"/>
      <c r="C818" s="90"/>
      <c r="D818" s="92"/>
    </row>
    <row r="819" spans="1:4" ht="14.4">
      <c r="A819" s="93"/>
      <c r="B819" s="90"/>
      <c r="C819" s="90"/>
      <c r="D819" s="92"/>
    </row>
    <row r="820" spans="1:4" ht="14.4">
      <c r="A820" s="93"/>
      <c r="B820" s="90"/>
      <c r="C820" s="90"/>
      <c r="D820" s="92"/>
    </row>
    <row r="821" spans="1:4" ht="14.4">
      <c r="A821" s="93"/>
      <c r="B821" s="90"/>
      <c r="C821" s="90"/>
      <c r="D821" s="92"/>
    </row>
    <row r="822" spans="1:4" ht="14.4">
      <c r="A822" s="93"/>
      <c r="B822" s="90"/>
      <c r="C822" s="90"/>
      <c r="D822" s="92"/>
    </row>
    <row r="823" spans="1:4" ht="14.4">
      <c r="A823" s="93"/>
      <c r="B823" s="90"/>
      <c r="C823" s="90"/>
      <c r="D823" s="92"/>
    </row>
    <row r="824" spans="1:4" ht="14.4">
      <c r="A824" s="93"/>
      <c r="B824" s="90"/>
      <c r="C824" s="90"/>
      <c r="D824" s="92"/>
    </row>
    <row r="825" spans="1:4" ht="14.4">
      <c r="A825" s="93"/>
      <c r="B825" s="90"/>
      <c r="C825" s="90"/>
      <c r="D825" s="92"/>
    </row>
    <row r="826" spans="1:4" ht="14.4">
      <c r="A826" s="93"/>
      <c r="B826" s="90"/>
      <c r="C826" s="90"/>
      <c r="D826" s="92"/>
    </row>
    <row r="827" spans="1:4" ht="14.4">
      <c r="A827" s="93"/>
      <c r="B827" s="90"/>
      <c r="C827" s="90"/>
      <c r="D827" s="92"/>
    </row>
    <row r="828" spans="1:4" ht="14.4">
      <c r="A828" s="93"/>
      <c r="B828" s="90"/>
      <c r="C828" s="90"/>
      <c r="D828" s="92"/>
    </row>
    <row r="829" spans="1:4" ht="14.4">
      <c r="A829" s="93"/>
      <c r="B829" s="90"/>
      <c r="C829" s="90"/>
      <c r="D829" s="92"/>
    </row>
    <row r="830" spans="1:4" ht="14.4">
      <c r="A830" s="93"/>
      <c r="B830" s="90"/>
      <c r="C830" s="90"/>
      <c r="D830" s="92"/>
    </row>
    <row r="831" spans="1:4" ht="14.4">
      <c r="A831" s="93"/>
      <c r="B831" s="90"/>
      <c r="C831" s="90"/>
      <c r="D831" s="92"/>
    </row>
    <row r="832" spans="1:4" ht="14.4">
      <c r="A832" s="93"/>
      <c r="B832" s="90"/>
      <c r="C832" s="90"/>
      <c r="D832" s="92"/>
    </row>
    <row r="833" spans="1:4" ht="14.4">
      <c r="A833" s="93"/>
      <c r="B833" s="90"/>
      <c r="C833" s="90"/>
      <c r="D833" s="92"/>
    </row>
    <row r="834" spans="1:4" ht="14.4">
      <c r="A834" s="93"/>
      <c r="B834" s="90"/>
      <c r="C834" s="90"/>
      <c r="D834" s="92"/>
    </row>
    <row r="835" spans="1:4" ht="14.4">
      <c r="A835" s="93"/>
      <c r="B835" s="90"/>
      <c r="C835" s="90"/>
      <c r="D835" s="92"/>
    </row>
    <row r="836" spans="1:4" ht="14.4">
      <c r="A836" s="93"/>
      <c r="B836" s="90"/>
      <c r="C836" s="90"/>
      <c r="D836" s="92"/>
    </row>
    <row r="837" spans="1:4" ht="14.4">
      <c r="A837" s="93"/>
      <c r="B837" s="90"/>
      <c r="C837" s="90"/>
      <c r="D837" s="92"/>
    </row>
    <row r="838" spans="1:4" ht="14.4">
      <c r="A838" s="93"/>
      <c r="B838" s="90"/>
      <c r="C838" s="90"/>
      <c r="D838" s="92"/>
    </row>
    <row r="839" spans="1:4" ht="14.4">
      <c r="A839" s="93"/>
      <c r="B839" s="90"/>
      <c r="C839" s="90"/>
      <c r="D839" s="92"/>
    </row>
    <row r="840" spans="1:4" ht="14.4">
      <c r="A840" s="93"/>
      <c r="B840" s="90"/>
      <c r="C840" s="90"/>
      <c r="D840" s="92"/>
    </row>
    <row r="841" spans="1:4" ht="14.4">
      <c r="A841" s="93"/>
      <c r="B841" s="90"/>
      <c r="C841" s="90"/>
      <c r="D841" s="92"/>
    </row>
    <row r="842" spans="1:4" ht="14.4">
      <c r="A842" s="93"/>
      <c r="B842" s="90"/>
      <c r="C842" s="90"/>
      <c r="D842" s="92"/>
    </row>
    <row r="843" spans="1:4" ht="14.4">
      <c r="A843" s="93"/>
      <c r="B843" s="90"/>
      <c r="C843" s="90"/>
      <c r="D843" s="92"/>
    </row>
    <row r="844" spans="1:4" ht="14.4">
      <c r="A844" s="93"/>
      <c r="B844" s="90"/>
      <c r="C844" s="90"/>
      <c r="D844" s="92"/>
    </row>
    <row r="845" spans="1:4" ht="14.4">
      <c r="A845" s="93"/>
      <c r="B845" s="90"/>
      <c r="C845" s="90"/>
      <c r="D845" s="92"/>
    </row>
    <row r="846" spans="1:4" ht="14.4">
      <c r="A846" s="93"/>
      <c r="B846" s="90"/>
      <c r="C846" s="90"/>
      <c r="D846" s="92"/>
    </row>
    <row r="847" spans="1:4" ht="14.4">
      <c r="A847" s="93"/>
      <c r="B847" s="90"/>
      <c r="C847" s="90"/>
      <c r="D847" s="92"/>
    </row>
    <row r="848" spans="1:4" ht="14.4">
      <c r="A848" s="93"/>
      <c r="B848" s="90"/>
      <c r="C848" s="90"/>
      <c r="D848" s="92"/>
    </row>
    <row r="849" spans="1:4" ht="14.4">
      <c r="A849" s="93"/>
      <c r="B849" s="90"/>
      <c r="C849" s="90"/>
      <c r="D849" s="92"/>
    </row>
    <row r="850" spans="1:4" ht="14.4">
      <c r="A850" s="93"/>
      <c r="B850" s="90"/>
      <c r="C850" s="90"/>
      <c r="D850" s="92"/>
    </row>
    <row r="851" spans="1:4" ht="14.4">
      <c r="A851" s="93"/>
      <c r="B851" s="90"/>
      <c r="C851" s="90"/>
      <c r="D851" s="92"/>
    </row>
    <row r="852" spans="1:4" ht="14.4">
      <c r="A852" s="93"/>
      <c r="B852" s="90"/>
      <c r="C852" s="90"/>
      <c r="D852" s="92"/>
    </row>
    <row r="853" spans="1:4" ht="14.4">
      <c r="A853" s="93"/>
      <c r="B853" s="90"/>
      <c r="C853" s="90"/>
      <c r="D853" s="92"/>
    </row>
    <row r="854" spans="1:4" ht="14.4">
      <c r="A854" s="93"/>
      <c r="B854" s="90"/>
      <c r="C854" s="90"/>
      <c r="D854" s="92"/>
    </row>
    <row r="855" spans="1:4" ht="14.4">
      <c r="A855" s="93"/>
      <c r="B855" s="90"/>
      <c r="C855" s="90"/>
      <c r="D855" s="92"/>
    </row>
    <row r="856" spans="1:4" ht="14.4">
      <c r="A856" s="93"/>
      <c r="B856" s="90"/>
      <c r="C856" s="90"/>
      <c r="D856" s="92"/>
    </row>
    <row r="857" spans="1:4" ht="14.4">
      <c r="A857" s="93"/>
      <c r="B857" s="90"/>
      <c r="C857" s="90"/>
      <c r="D857" s="92"/>
    </row>
    <row r="858" spans="1:4" ht="14.4">
      <c r="A858" s="93"/>
      <c r="B858" s="90"/>
      <c r="C858" s="90"/>
      <c r="D858" s="92"/>
    </row>
    <row r="859" spans="1:4" ht="14.4">
      <c r="A859" s="93"/>
      <c r="B859" s="90"/>
      <c r="C859" s="90"/>
      <c r="D859" s="92"/>
    </row>
    <row r="860" spans="1:4" ht="14.4">
      <c r="A860" s="93"/>
      <c r="B860" s="90"/>
      <c r="C860" s="90"/>
      <c r="D860" s="92"/>
    </row>
    <row r="861" spans="1:4" ht="14.4">
      <c r="A861" s="93"/>
      <c r="B861" s="90"/>
      <c r="C861" s="90"/>
      <c r="D861" s="92"/>
    </row>
    <row r="862" spans="1:4" ht="14.4">
      <c r="A862" s="93"/>
      <c r="B862" s="90"/>
      <c r="C862" s="90"/>
      <c r="D862" s="92"/>
    </row>
    <row r="863" spans="1:4" ht="14.4">
      <c r="A863" s="93"/>
      <c r="B863" s="90"/>
      <c r="C863" s="90"/>
      <c r="D863" s="92"/>
    </row>
    <row r="864" spans="1:4" ht="14.4">
      <c r="A864" s="93"/>
      <c r="B864" s="90"/>
      <c r="C864" s="90"/>
      <c r="D864" s="92"/>
    </row>
    <row r="865" spans="1:4" ht="14.4">
      <c r="A865" s="93"/>
      <c r="B865" s="90"/>
      <c r="C865" s="90"/>
      <c r="D865" s="92"/>
    </row>
    <row r="866" spans="1:4" ht="14.4">
      <c r="A866" s="93"/>
      <c r="B866" s="90"/>
      <c r="C866" s="90"/>
      <c r="D866" s="92"/>
    </row>
    <row r="867" spans="1:4" ht="14.4">
      <c r="A867" s="93"/>
      <c r="B867" s="90"/>
      <c r="C867" s="90"/>
      <c r="D867" s="92"/>
    </row>
    <row r="868" spans="1:4" ht="14.4">
      <c r="A868" s="93"/>
      <c r="B868" s="90"/>
      <c r="C868" s="90"/>
      <c r="D868" s="92"/>
    </row>
    <row r="869" spans="1:4" ht="14.4">
      <c r="A869" s="93"/>
      <c r="B869" s="90"/>
      <c r="C869" s="90"/>
      <c r="D869" s="92"/>
    </row>
    <row r="870" spans="1:4" ht="14.4">
      <c r="A870" s="93"/>
      <c r="B870" s="90"/>
      <c r="C870" s="90"/>
      <c r="D870" s="92"/>
    </row>
    <row r="871" spans="1:4" ht="14.4">
      <c r="A871" s="93"/>
      <c r="B871" s="90"/>
      <c r="C871" s="90"/>
      <c r="D871" s="92"/>
    </row>
    <row r="872" spans="1:4" ht="14.4">
      <c r="A872" s="93"/>
      <c r="B872" s="90"/>
      <c r="C872" s="90"/>
      <c r="D872" s="92"/>
    </row>
    <row r="873" spans="1:4" ht="14.4">
      <c r="A873" s="93"/>
      <c r="B873" s="90"/>
      <c r="C873" s="90"/>
      <c r="D873" s="92"/>
    </row>
    <row r="874" spans="1:4" ht="14.4">
      <c r="A874" s="93"/>
      <c r="B874" s="90"/>
      <c r="C874" s="90"/>
      <c r="D874" s="92"/>
    </row>
    <row r="875" spans="1:4" ht="14.4">
      <c r="A875" s="93"/>
      <c r="B875" s="90"/>
      <c r="C875" s="90"/>
      <c r="D875" s="92"/>
    </row>
    <row r="876" spans="1:4" ht="14.4">
      <c r="A876" s="93"/>
      <c r="B876" s="90"/>
      <c r="C876" s="90"/>
      <c r="D876" s="92"/>
    </row>
    <row r="877" spans="1:4" ht="14.4">
      <c r="A877" s="93"/>
      <c r="B877" s="90"/>
      <c r="C877" s="90"/>
      <c r="D877" s="92"/>
    </row>
    <row r="878" spans="1:4" ht="14.4">
      <c r="A878" s="93"/>
      <c r="B878" s="90"/>
      <c r="C878" s="90"/>
      <c r="D878" s="92"/>
    </row>
    <row r="879" spans="1:4" ht="14.4">
      <c r="A879" s="93"/>
      <c r="B879" s="90"/>
      <c r="C879" s="90"/>
      <c r="D879" s="92"/>
    </row>
    <row r="880" spans="1:4" ht="14.4">
      <c r="A880" s="93"/>
      <c r="B880" s="90"/>
      <c r="C880" s="90"/>
      <c r="D880" s="92"/>
    </row>
    <row r="881" spans="1:4" ht="14.4">
      <c r="A881" s="93"/>
      <c r="B881" s="90"/>
      <c r="C881" s="90"/>
      <c r="D881" s="92"/>
    </row>
    <row r="882" spans="1:4" ht="14.4">
      <c r="A882" s="93"/>
      <c r="B882" s="90"/>
      <c r="C882" s="90"/>
      <c r="D882" s="92"/>
    </row>
    <row r="883" spans="1:4" ht="14.4">
      <c r="A883" s="93"/>
      <c r="B883" s="90"/>
      <c r="C883" s="90"/>
      <c r="D883" s="92"/>
    </row>
    <row r="884" spans="1:4" ht="14.4">
      <c r="A884" s="93"/>
      <c r="B884" s="90"/>
      <c r="C884" s="90"/>
      <c r="D884" s="92"/>
    </row>
    <row r="885" spans="1:4" ht="14.4">
      <c r="A885" s="93"/>
      <c r="B885" s="90"/>
      <c r="C885" s="90"/>
      <c r="D885" s="92"/>
    </row>
    <row r="886" spans="1:4" ht="14.4">
      <c r="A886" s="93"/>
      <c r="B886" s="90"/>
      <c r="C886" s="90"/>
      <c r="D886" s="92"/>
    </row>
    <row r="887" spans="1:4" ht="14.4">
      <c r="A887" s="93"/>
      <c r="B887" s="90"/>
      <c r="C887" s="90"/>
      <c r="D887" s="92"/>
    </row>
    <row r="888" spans="1:4" ht="14.4">
      <c r="A888" s="93"/>
      <c r="B888" s="90"/>
      <c r="C888" s="90"/>
      <c r="D888" s="92"/>
    </row>
    <row r="889" spans="1:4" ht="14.4">
      <c r="A889" s="93"/>
      <c r="B889" s="90"/>
      <c r="C889" s="90"/>
      <c r="D889" s="92"/>
    </row>
    <row r="890" spans="1:4" ht="14.4">
      <c r="A890" s="93"/>
      <c r="B890" s="90"/>
      <c r="C890" s="90"/>
      <c r="D890" s="92"/>
    </row>
    <row r="891" spans="1:4" ht="14.4">
      <c r="A891" s="93"/>
      <c r="B891" s="90"/>
      <c r="C891" s="90"/>
      <c r="D891" s="92"/>
    </row>
    <row r="892" spans="1:4" ht="14.4">
      <c r="A892" s="93"/>
      <c r="B892" s="90"/>
      <c r="C892" s="90"/>
      <c r="D892" s="92"/>
    </row>
    <row r="893" spans="1:4" ht="14.4">
      <c r="A893" s="93"/>
      <c r="B893" s="90"/>
      <c r="C893" s="90"/>
      <c r="D893" s="92"/>
    </row>
    <row r="894" spans="1:4" ht="14.4">
      <c r="A894" s="93"/>
      <c r="B894" s="90"/>
      <c r="C894" s="90"/>
      <c r="D894" s="92"/>
    </row>
    <row r="895" spans="1:4" ht="14.4">
      <c r="A895" s="93"/>
      <c r="B895" s="90"/>
      <c r="C895" s="90"/>
      <c r="D895" s="92"/>
    </row>
    <row r="896" spans="1:4" ht="14.4">
      <c r="A896" s="93"/>
      <c r="B896" s="90"/>
      <c r="C896" s="90"/>
      <c r="D896" s="92"/>
    </row>
    <row r="897" spans="1:4" ht="14.4">
      <c r="A897" s="93"/>
      <c r="B897" s="90"/>
      <c r="C897" s="90"/>
      <c r="D897" s="92"/>
    </row>
    <row r="898" spans="1:4" ht="14.4">
      <c r="A898" s="93"/>
      <c r="B898" s="90"/>
      <c r="C898" s="90"/>
      <c r="D898" s="92"/>
    </row>
    <row r="899" spans="1:4" ht="14.4">
      <c r="A899" s="93"/>
      <c r="B899" s="90"/>
      <c r="C899" s="90"/>
      <c r="D899" s="92"/>
    </row>
    <row r="900" spans="1:4" ht="14.4">
      <c r="A900" s="93"/>
      <c r="B900" s="90"/>
      <c r="C900" s="90"/>
      <c r="D900" s="92"/>
    </row>
    <row r="901" spans="1:4" ht="14.4">
      <c r="A901" s="93"/>
      <c r="B901" s="90"/>
      <c r="C901" s="90"/>
      <c r="D901" s="92"/>
    </row>
    <row r="902" spans="1:4" ht="14.4">
      <c r="A902" s="93"/>
      <c r="B902" s="90"/>
      <c r="C902" s="90"/>
      <c r="D902" s="92"/>
    </row>
    <row r="903" spans="1:4" ht="14.4">
      <c r="A903" s="93"/>
      <c r="B903" s="90"/>
      <c r="C903" s="90"/>
      <c r="D903" s="92"/>
    </row>
    <row r="904" spans="1:4" ht="14.4">
      <c r="A904" s="93"/>
      <c r="B904" s="90"/>
      <c r="C904" s="90"/>
      <c r="D904" s="92"/>
    </row>
    <row r="905" spans="1:4" ht="14.4">
      <c r="A905" s="93"/>
      <c r="B905" s="90"/>
      <c r="C905" s="90"/>
      <c r="D905" s="92"/>
    </row>
    <row r="906" spans="1:4" ht="14.4">
      <c r="A906" s="93"/>
      <c r="B906" s="90"/>
      <c r="C906" s="90"/>
      <c r="D906" s="92"/>
    </row>
    <row r="907" spans="1:4" ht="14.4">
      <c r="A907" s="93"/>
      <c r="B907" s="90"/>
      <c r="C907" s="90"/>
      <c r="D907" s="92"/>
    </row>
    <row r="908" spans="1:4" ht="14.4">
      <c r="A908" s="93"/>
      <c r="B908" s="90"/>
      <c r="C908" s="90"/>
      <c r="D908" s="92"/>
    </row>
    <row r="909" spans="1:4" ht="14.4">
      <c r="A909" s="93"/>
      <c r="B909" s="90"/>
      <c r="C909" s="90"/>
      <c r="D909" s="92"/>
    </row>
    <row r="910" spans="1:4" ht="14.4">
      <c r="A910" s="93"/>
      <c r="B910" s="90"/>
      <c r="C910" s="90"/>
      <c r="D910" s="92"/>
    </row>
    <row r="911" spans="1:4" ht="14.4">
      <c r="A911" s="93"/>
      <c r="B911" s="90"/>
      <c r="C911" s="90"/>
      <c r="D911" s="92"/>
    </row>
    <row r="912" spans="1:4" ht="14.4">
      <c r="A912" s="93"/>
      <c r="B912" s="90"/>
      <c r="C912" s="90"/>
      <c r="D912" s="92"/>
    </row>
    <row r="913" spans="1:4" ht="14.4">
      <c r="A913" s="93"/>
      <c r="B913" s="90"/>
      <c r="C913" s="90"/>
      <c r="D913" s="92"/>
    </row>
    <row r="914" spans="1:4" ht="14.4">
      <c r="A914" s="93"/>
      <c r="B914" s="90"/>
      <c r="C914" s="90"/>
      <c r="D914" s="92"/>
    </row>
    <row r="915" spans="1:4" ht="14.4">
      <c r="A915" s="93"/>
      <c r="B915" s="90"/>
      <c r="C915" s="90"/>
      <c r="D915" s="92"/>
    </row>
    <row r="916" spans="1:4" ht="14.4">
      <c r="A916" s="93"/>
      <c r="B916" s="90"/>
      <c r="C916" s="90"/>
      <c r="D916" s="92"/>
    </row>
    <row r="917" spans="1:4" ht="14.4">
      <c r="A917" s="93"/>
      <c r="B917" s="90"/>
      <c r="C917" s="90"/>
      <c r="D917" s="92"/>
    </row>
    <row r="918" spans="1:4" ht="14.4">
      <c r="A918" s="93"/>
      <c r="B918" s="90"/>
      <c r="C918" s="90"/>
      <c r="D918" s="92"/>
    </row>
    <row r="919" spans="1:4" ht="14.4">
      <c r="A919" s="93"/>
      <c r="B919" s="90"/>
      <c r="C919" s="90"/>
      <c r="D919" s="92"/>
    </row>
    <row r="920" spans="1:4" ht="14.4">
      <c r="A920" s="93"/>
      <c r="B920" s="90"/>
      <c r="C920" s="90"/>
      <c r="D920" s="92"/>
    </row>
    <row r="921" spans="1:4" ht="14.4">
      <c r="A921" s="93"/>
      <c r="B921" s="90"/>
      <c r="C921" s="90"/>
      <c r="D921" s="92"/>
    </row>
    <row r="922" spans="1:4" ht="14.4">
      <c r="A922" s="93"/>
      <c r="B922" s="90"/>
      <c r="C922" s="90"/>
      <c r="D922" s="92"/>
    </row>
    <row r="923" spans="1:4" ht="14.4">
      <c r="A923" s="93"/>
      <c r="B923" s="90"/>
      <c r="C923" s="90"/>
      <c r="D923" s="92"/>
    </row>
    <row r="924" spans="1:4" ht="14.4">
      <c r="A924" s="93"/>
      <c r="B924" s="90"/>
      <c r="C924" s="90"/>
      <c r="D924" s="92"/>
    </row>
    <row r="925" spans="1:4" ht="14.4">
      <c r="A925" s="93"/>
      <c r="B925" s="90"/>
      <c r="C925" s="90"/>
      <c r="D925" s="92"/>
    </row>
    <row r="926" spans="1:4" ht="14.4">
      <c r="A926" s="93"/>
      <c r="B926" s="90"/>
      <c r="C926" s="90"/>
      <c r="D926" s="92"/>
    </row>
    <row r="927" spans="1:4" ht="14.4">
      <c r="A927" s="93"/>
      <c r="B927" s="90"/>
      <c r="C927" s="90"/>
      <c r="D927" s="92"/>
    </row>
    <row r="928" spans="1:4" ht="14.4">
      <c r="A928" s="93"/>
      <c r="B928" s="90"/>
      <c r="C928" s="90"/>
      <c r="D928" s="92"/>
    </row>
    <row r="929" spans="1:4" ht="14.4">
      <c r="A929" s="93"/>
      <c r="B929" s="90"/>
      <c r="C929" s="90"/>
      <c r="D929" s="92"/>
    </row>
    <row r="930" spans="1:4" ht="14.4">
      <c r="A930" s="93"/>
      <c r="B930" s="90"/>
      <c r="C930" s="90"/>
      <c r="D930" s="92"/>
    </row>
    <row r="931" spans="1:4" ht="14.4">
      <c r="A931" s="93"/>
      <c r="B931" s="90"/>
      <c r="C931" s="90"/>
      <c r="D931" s="92"/>
    </row>
    <row r="932" spans="1:4" ht="14.4">
      <c r="A932" s="93"/>
      <c r="B932" s="90"/>
      <c r="C932" s="90"/>
      <c r="D932" s="92"/>
    </row>
    <row r="933" spans="1:4" ht="14.4">
      <c r="A933" s="93"/>
      <c r="B933" s="90"/>
      <c r="C933" s="90"/>
      <c r="D933" s="92"/>
    </row>
    <row r="934" spans="1:4" ht="14.4">
      <c r="A934" s="93"/>
      <c r="B934" s="90"/>
      <c r="C934" s="90"/>
      <c r="D934" s="92"/>
    </row>
    <row r="935" spans="1:4" ht="14.4">
      <c r="A935" s="93"/>
      <c r="B935" s="90"/>
      <c r="C935" s="90"/>
      <c r="D935" s="92"/>
    </row>
    <row r="936" spans="1:4" ht="14.4">
      <c r="A936" s="93"/>
      <c r="B936" s="90"/>
      <c r="C936" s="90"/>
      <c r="D936" s="92"/>
    </row>
    <row r="937" spans="1:4" ht="14.4">
      <c r="A937" s="93"/>
      <c r="B937" s="90"/>
      <c r="C937" s="90"/>
      <c r="D937" s="92"/>
    </row>
    <row r="938" spans="1:4" ht="14.4">
      <c r="A938" s="93"/>
      <c r="B938" s="90"/>
      <c r="C938" s="90"/>
      <c r="D938" s="92"/>
    </row>
    <row r="939" spans="1:4" ht="14.4">
      <c r="A939" s="93"/>
      <c r="B939" s="90"/>
      <c r="C939" s="90"/>
      <c r="D939" s="92"/>
    </row>
    <row r="940" spans="1:4" ht="14.4">
      <c r="A940" s="93"/>
      <c r="B940" s="90"/>
      <c r="C940" s="90"/>
      <c r="D940" s="92"/>
    </row>
    <row r="941" spans="1:4" ht="14.4">
      <c r="A941" s="93"/>
      <c r="B941" s="90"/>
      <c r="C941" s="90"/>
      <c r="D941" s="92"/>
    </row>
    <row r="942" spans="1:4" ht="14.4">
      <c r="A942" s="93"/>
      <c r="B942" s="90"/>
      <c r="C942" s="90"/>
      <c r="D942" s="92"/>
    </row>
    <row r="943" spans="1:4" ht="14.4">
      <c r="A943" s="93"/>
      <c r="B943" s="90"/>
      <c r="C943" s="90"/>
      <c r="D943" s="92"/>
    </row>
    <row r="944" spans="1:4" ht="14.4">
      <c r="A944" s="93"/>
      <c r="B944" s="90"/>
      <c r="C944" s="90"/>
      <c r="D944" s="92"/>
    </row>
    <row r="945" spans="1:4" ht="14.4">
      <c r="A945" s="93"/>
      <c r="B945" s="90"/>
      <c r="C945" s="90"/>
      <c r="D945" s="92"/>
    </row>
    <row r="946" spans="1:4" ht="14.4">
      <c r="A946" s="93"/>
      <c r="B946" s="90"/>
      <c r="C946" s="90"/>
      <c r="D946" s="92"/>
    </row>
    <row r="947" spans="1:4" ht="14.4">
      <c r="A947" s="93"/>
      <c r="B947" s="90"/>
      <c r="C947" s="90"/>
      <c r="D947" s="92"/>
    </row>
    <row r="948" spans="1:4" ht="14.4">
      <c r="A948" s="93"/>
      <c r="B948" s="90"/>
      <c r="C948" s="90"/>
      <c r="D948" s="92"/>
    </row>
    <row r="949" spans="1:4" ht="14.4">
      <c r="A949" s="93"/>
      <c r="B949" s="90"/>
      <c r="C949" s="90"/>
      <c r="D949" s="92"/>
    </row>
    <row r="950" spans="1:4" ht="14.4">
      <c r="A950" s="93"/>
      <c r="B950" s="90"/>
      <c r="C950" s="90"/>
      <c r="D950" s="92"/>
    </row>
    <row r="951" spans="1:4" ht="14.4">
      <c r="A951" s="93"/>
      <c r="B951" s="90"/>
      <c r="C951" s="90"/>
      <c r="D951" s="92"/>
    </row>
    <row r="952" spans="1:4" ht="14.4">
      <c r="A952" s="93"/>
      <c r="B952" s="90"/>
      <c r="C952" s="90"/>
      <c r="D952" s="92"/>
    </row>
    <row r="953" spans="1:4" ht="14.4">
      <c r="A953" s="93"/>
      <c r="B953" s="90"/>
      <c r="C953" s="90"/>
      <c r="D953" s="92"/>
    </row>
    <row r="954" spans="1:4" ht="14.4">
      <c r="A954" s="93"/>
      <c r="B954" s="90"/>
      <c r="C954" s="90"/>
      <c r="D954" s="92"/>
    </row>
    <row r="955" spans="1:4" ht="14.4">
      <c r="A955" s="93"/>
      <c r="B955" s="90"/>
      <c r="C955" s="90"/>
      <c r="D955" s="92"/>
    </row>
    <row r="956" spans="1:4" ht="14.4">
      <c r="A956" s="93"/>
      <c r="B956" s="90"/>
      <c r="C956" s="90"/>
      <c r="D956" s="92"/>
    </row>
    <row r="957" spans="1:4" ht="14.4">
      <c r="A957" s="93"/>
      <c r="B957" s="90"/>
      <c r="C957" s="90"/>
      <c r="D957" s="92"/>
    </row>
    <row r="958" spans="1:4" ht="14.4">
      <c r="A958" s="93"/>
      <c r="B958" s="90"/>
      <c r="C958" s="90"/>
      <c r="D958" s="92"/>
    </row>
    <row r="959" spans="1:4" ht="14.4">
      <c r="A959" s="93"/>
      <c r="B959" s="90"/>
      <c r="C959" s="90"/>
      <c r="D959" s="92"/>
    </row>
    <row r="960" spans="1:4" ht="14.4">
      <c r="A960" s="93"/>
      <c r="B960" s="90"/>
      <c r="C960" s="90"/>
      <c r="D960" s="92"/>
    </row>
    <row r="961" spans="1:4" ht="14.4">
      <c r="A961" s="93"/>
      <c r="B961" s="90"/>
      <c r="C961" s="90"/>
      <c r="D961" s="92"/>
    </row>
    <row r="962" spans="1:4" ht="14.4">
      <c r="A962" s="93"/>
      <c r="B962" s="90"/>
      <c r="C962" s="90"/>
      <c r="D962" s="92"/>
    </row>
    <row r="963" spans="1:4" ht="14.4">
      <c r="A963" s="93"/>
      <c r="B963" s="90"/>
      <c r="C963" s="90"/>
      <c r="D963" s="92"/>
    </row>
    <row r="964" spans="1:4" ht="14.4">
      <c r="A964" s="93"/>
      <c r="B964" s="90"/>
      <c r="C964" s="90"/>
      <c r="D964" s="92"/>
    </row>
    <row r="965" spans="1:4" ht="14.4">
      <c r="A965" s="93"/>
      <c r="B965" s="90"/>
      <c r="C965" s="90"/>
      <c r="D965" s="92"/>
    </row>
    <row r="966" spans="1:4" ht="14.4">
      <c r="A966" s="93"/>
      <c r="B966" s="90"/>
      <c r="C966" s="90"/>
      <c r="D966" s="92"/>
    </row>
    <row r="967" spans="1:4" ht="14.4">
      <c r="A967" s="93"/>
      <c r="B967" s="90"/>
      <c r="C967" s="90"/>
      <c r="D967" s="92"/>
    </row>
    <row r="968" spans="1:4" ht="14.4">
      <c r="A968" s="93"/>
      <c r="B968" s="90"/>
      <c r="C968" s="90"/>
      <c r="D968" s="92"/>
    </row>
    <row r="969" spans="1:4" ht="14.4">
      <c r="A969" s="93"/>
      <c r="B969" s="90"/>
      <c r="C969" s="90"/>
      <c r="D969" s="92"/>
    </row>
    <row r="970" spans="1:4" ht="14.4">
      <c r="A970" s="93"/>
      <c r="B970" s="90"/>
      <c r="C970" s="90"/>
      <c r="D970" s="92"/>
    </row>
    <row r="971" spans="1:4" ht="14.4">
      <c r="A971" s="93"/>
      <c r="B971" s="90"/>
      <c r="C971" s="90"/>
      <c r="D971" s="92"/>
    </row>
    <row r="972" spans="1:4" ht="14.4">
      <c r="A972" s="93"/>
      <c r="B972" s="90"/>
      <c r="C972" s="90"/>
      <c r="D972" s="92"/>
    </row>
    <row r="973" spans="1:4" ht="14.4">
      <c r="A973" s="93"/>
      <c r="B973" s="90"/>
      <c r="C973" s="90"/>
      <c r="D973" s="92"/>
    </row>
    <row r="974" spans="1:4" ht="14.4">
      <c r="A974" s="93"/>
      <c r="B974" s="90"/>
      <c r="C974" s="90"/>
      <c r="D974" s="92"/>
    </row>
    <row r="975" spans="1:4" ht="14.4">
      <c r="A975" s="93"/>
      <c r="B975" s="90"/>
      <c r="C975" s="90"/>
      <c r="D975" s="92"/>
    </row>
    <row r="976" spans="1:4" ht="14.4">
      <c r="A976" s="93"/>
      <c r="B976" s="90"/>
      <c r="C976" s="90"/>
      <c r="D976" s="92"/>
    </row>
    <row r="977" spans="1:4" ht="14.4">
      <c r="A977" s="93"/>
      <c r="B977" s="90"/>
      <c r="C977" s="90"/>
      <c r="D977" s="92"/>
    </row>
    <row r="978" spans="1:4" ht="14.4">
      <c r="A978" s="93"/>
      <c r="B978" s="90"/>
      <c r="C978" s="90"/>
      <c r="D978" s="92"/>
    </row>
    <row r="979" spans="1:4" ht="14.4">
      <c r="A979" s="93"/>
      <c r="B979" s="90"/>
      <c r="C979" s="90"/>
      <c r="D979" s="92"/>
    </row>
    <row r="980" spans="1:4" ht="14.4">
      <c r="A980" s="93"/>
      <c r="B980" s="90"/>
      <c r="C980" s="90"/>
      <c r="D980" s="92"/>
    </row>
    <row r="981" spans="1:4" ht="14.4">
      <c r="A981" s="93"/>
      <c r="B981" s="90"/>
      <c r="C981" s="90"/>
      <c r="D981" s="92"/>
    </row>
    <row r="982" spans="1:4" ht="14.4">
      <c r="A982" s="93"/>
      <c r="B982" s="90"/>
      <c r="C982" s="90"/>
      <c r="D982" s="92"/>
    </row>
    <row r="983" spans="1:4" ht="14.4">
      <c r="A983" s="93"/>
      <c r="B983" s="90"/>
      <c r="C983" s="90"/>
      <c r="D983" s="92"/>
    </row>
    <row r="984" spans="1:4" ht="14.4">
      <c r="A984" s="93"/>
      <c r="B984" s="90"/>
      <c r="C984" s="90"/>
      <c r="D984" s="92"/>
    </row>
    <row r="985" spans="1:4" ht="14.4">
      <c r="A985" s="93"/>
      <c r="B985" s="90"/>
      <c r="C985" s="90"/>
      <c r="D985" s="92"/>
    </row>
    <row r="986" spans="1:4" ht="14.4">
      <c r="A986" s="93"/>
      <c r="B986" s="90"/>
      <c r="C986" s="90"/>
      <c r="D986" s="92"/>
    </row>
    <row r="987" spans="1:4" ht="14.4">
      <c r="A987" s="93"/>
      <c r="B987" s="90"/>
      <c r="C987" s="90"/>
      <c r="D987" s="92"/>
    </row>
    <row r="988" spans="1:4" ht="14.4">
      <c r="A988" s="93"/>
      <c r="B988" s="90"/>
      <c r="C988" s="90"/>
      <c r="D988" s="92"/>
    </row>
    <row r="989" spans="1:4" ht="14.4">
      <c r="A989" s="93"/>
      <c r="B989" s="90"/>
      <c r="C989" s="90"/>
      <c r="D989" s="92"/>
    </row>
    <row r="990" spans="1:4" ht="14.4">
      <c r="A990" s="93"/>
      <c r="B990" s="90"/>
      <c r="C990" s="90"/>
      <c r="D990" s="92"/>
    </row>
    <row r="991" spans="1:4" ht="14.4">
      <c r="A991" s="93"/>
      <c r="B991" s="90"/>
      <c r="C991" s="90"/>
      <c r="D991" s="92"/>
    </row>
    <row r="992" spans="1:4" ht="14.4">
      <c r="A992" s="93"/>
      <c r="B992" s="90"/>
      <c r="C992" s="90"/>
      <c r="D992" s="92"/>
    </row>
    <row r="993" spans="1:4" ht="14.4">
      <c r="A993" s="93"/>
      <c r="B993" s="90"/>
      <c r="C993" s="90"/>
      <c r="D993" s="92"/>
    </row>
    <row r="994" spans="1:4" ht="14.4">
      <c r="A994" s="93"/>
      <c r="B994" s="90"/>
      <c r="C994" s="90"/>
      <c r="D994" s="92"/>
    </row>
    <row r="995" spans="1:4" ht="14.4">
      <c r="A995" s="93"/>
      <c r="B995" s="90"/>
      <c r="C995" s="90"/>
      <c r="D995" s="92"/>
    </row>
    <row r="996" spans="1:4" ht="14.4">
      <c r="A996" s="93"/>
      <c r="B996" s="90"/>
      <c r="C996" s="90"/>
      <c r="D996" s="92"/>
    </row>
    <row r="997" spans="1:4" ht="14.4">
      <c r="A997" s="93"/>
      <c r="B997" s="90"/>
      <c r="C997" s="90"/>
      <c r="D997" s="92"/>
    </row>
    <row r="998" spans="1:4" ht="14.4">
      <c r="A998" s="93"/>
      <c r="B998" s="90"/>
      <c r="C998" s="90"/>
      <c r="D998" s="92"/>
    </row>
    <row r="999" spans="1:4" ht="14.4">
      <c r="A999" s="93"/>
      <c r="B999" s="90"/>
      <c r="C999" s="90"/>
      <c r="D999" s="92"/>
    </row>
    <row r="1000" spans="1:4" ht="14.4">
      <c r="A1000" s="93"/>
      <c r="B1000" s="90"/>
      <c r="C1000" s="90"/>
      <c r="D1000" s="92"/>
    </row>
    <row r="1001" spans="1:4" ht="14.4">
      <c r="A1001" s="93"/>
      <c r="B1001" s="90"/>
      <c r="C1001" s="90"/>
      <c r="D1001" s="92"/>
    </row>
    <row r="1002" spans="1:4" ht="14.4">
      <c r="A1002" s="93"/>
      <c r="B1002" s="90"/>
      <c r="C1002" s="90"/>
      <c r="D1002" s="92"/>
    </row>
    <row r="1003" spans="1:4" ht="14.4">
      <c r="A1003" s="93"/>
      <c r="B1003" s="90"/>
      <c r="C1003" s="90"/>
      <c r="D1003" s="92"/>
    </row>
    <row r="1004" spans="1:4" ht="14.4">
      <c r="A1004" s="93"/>
      <c r="B1004" s="90"/>
      <c r="C1004" s="90"/>
      <c r="D1004" s="92"/>
    </row>
    <row r="1005" spans="1:4" ht="14.4">
      <c r="A1005" s="93"/>
      <c r="B1005" s="90"/>
      <c r="C1005" s="90"/>
      <c r="D1005" s="92"/>
    </row>
    <row r="1006" spans="1:4" ht="14.4">
      <c r="A1006" s="93"/>
      <c r="B1006" s="90"/>
      <c r="C1006" s="90"/>
      <c r="D1006" s="92"/>
    </row>
    <row r="1007" spans="1:4" ht="14.4">
      <c r="A1007" s="93"/>
      <c r="B1007" s="90"/>
      <c r="C1007" s="90"/>
      <c r="D1007" s="92"/>
    </row>
    <row r="1008" spans="1:4" ht="14.4">
      <c r="A1008" s="93"/>
      <c r="B1008" s="90"/>
      <c r="C1008" s="90"/>
      <c r="D1008" s="92"/>
    </row>
    <row r="1009" spans="1:4" ht="14.4">
      <c r="A1009" s="93"/>
      <c r="B1009" s="90"/>
      <c r="C1009" s="90"/>
      <c r="D1009" s="92"/>
    </row>
    <row r="1010" spans="1:4" ht="14.4">
      <c r="A1010" s="93"/>
      <c r="B1010" s="90"/>
      <c r="C1010" s="90"/>
      <c r="D1010" s="92"/>
    </row>
    <row r="1011" spans="1:4" ht="14.4">
      <c r="A1011" s="93"/>
      <c r="B1011" s="90"/>
      <c r="C1011" s="90"/>
      <c r="D1011" s="92"/>
    </row>
    <row r="1012" spans="1:4" ht="14.4">
      <c r="A1012" s="93"/>
      <c r="B1012" s="90"/>
      <c r="C1012" s="90"/>
      <c r="D1012" s="92"/>
    </row>
    <row r="1013" spans="1:4" ht="14.4">
      <c r="A1013" s="93"/>
      <c r="B1013" s="90"/>
      <c r="C1013" s="90"/>
      <c r="D1013" s="92"/>
    </row>
    <row r="1014" spans="1:4" ht="14.4">
      <c r="A1014" s="93"/>
      <c r="B1014" s="90"/>
      <c r="C1014" s="90"/>
      <c r="D1014" s="92"/>
    </row>
    <row r="1015" spans="1:4" ht="14.4">
      <c r="A1015" s="93"/>
      <c r="B1015" s="90"/>
      <c r="C1015" s="90"/>
      <c r="D1015" s="92"/>
    </row>
    <row r="1016" spans="1:4" ht="14.4">
      <c r="A1016" s="93"/>
      <c r="B1016" s="90"/>
      <c r="C1016" s="90"/>
      <c r="D1016" s="92"/>
    </row>
    <row r="1017" spans="1:4" ht="14.4">
      <c r="A1017" s="93"/>
      <c r="B1017" s="90"/>
      <c r="C1017" s="90"/>
      <c r="D1017" s="92"/>
    </row>
    <row r="1018" spans="1:4" ht="14.4">
      <c r="A1018" s="93"/>
      <c r="B1018" s="90"/>
      <c r="C1018" s="90"/>
      <c r="D1018" s="92"/>
    </row>
    <row r="1019" spans="1:4" ht="14.4">
      <c r="A1019" s="93"/>
      <c r="B1019" s="90"/>
      <c r="C1019" s="90"/>
      <c r="D1019" s="92"/>
    </row>
    <row r="1020" spans="1:4" ht="14.4">
      <c r="A1020" s="93"/>
      <c r="B1020" s="90"/>
      <c r="C1020" s="90"/>
      <c r="D1020" s="92"/>
    </row>
    <row r="1021" spans="1:4" ht="14.4">
      <c r="A1021" s="93"/>
      <c r="B1021" s="90"/>
      <c r="C1021" s="90"/>
      <c r="D1021" s="92"/>
    </row>
    <row r="1022" spans="1:4" ht="14.4">
      <c r="A1022" s="93"/>
      <c r="B1022" s="90"/>
      <c r="C1022" s="90"/>
      <c r="D1022" s="92"/>
    </row>
    <row r="1023" spans="1:4" ht="14.4">
      <c r="A1023" s="93"/>
      <c r="B1023" s="90"/>
      <c r="C1023" s="90"/>
      <c r="D1023" s="92"/>
    </row>
    <row r="1024" spans="1:4" ht="14.4">
      <c r="A1024" s="93"/>
      <c r="B1024" s="90"/>
      <c r="C1024" s="90"/>
      <c r="D1024" s="92"/>
    </row>
    <row r="1025" spans="1:4" ht="14.4">
      <c r="A1025" s="93"/>
      <c r="B1025" s="90"/>
      <c r="C1025" s="90"/>
      <c r="D1025" s="92"/>
    </row>
    <row r="1026" spans="1:4" ht="14.4">
      <c r="A1026" s="93"/>
      <c r="B1026" s="90"/>
      <c r="C1026" s="90"/>
      <c r="D1026" s="92"/>
    </row>
    <row r="1027" spans="1:4" ht="14.4">
      <c r="A1027" s="93"/>
      <c r="B1027" s="90"/>
      <c r="C1027" s="90"/>
      <c r="D1027" s="92"/>
    </row>
    <row r="1028" spans="1:4" ht="14.4">
      <c r="A1028" s="93"/>
      <c r="B1028" s="90"/>
      <c r="C1028" s="90"/>
      <c r="D1028" s="92"/>
    </row>
    <row r="1029" spans="1:4" ht="14.4">
      <c r="A1029" s="93"/>
      <c r="B1029" s="90"/>
      <c r="C1029" s="90"/>
      <c r="D1029" s="92"/>
    </row>
    <row r="1030" spans="1:4" ht="14.4">
      <c r="A1030" s="93"/>
      <c r="B1030" s="90"/>
      <c r="C1030" s="90"/>
      <c r="D1030" s="92"/>
    </row>
    <row r="1031" spans="1:4" ht="14.4">
      <c r="A1031" s="93"/>
      <c r="B1031" s="90"/>
      <c r="C1031" s="90"/>
      <c r="D1031" s="92"/>
    </row>
    <row r="1032" spans="1:4" ht="14.4">
      <c r="A1032" s="93"/>
      <c r="B1032" s="90"/>
      <c r="C1032" s="90"/>
      <c r="D1032" s="92"/>
    </row>
    <row r="1033" spans="1:4" ht="14.4">
      <c r="A1033" s="93"/>
      <c r="B1033" s="90"/>
      <c r="C1033" s="90"/>
      <c r="D1033" s="92"/>
    </row>
    <row r="1034" spans="1:4" ht="14.4">
      <c r="A1034" s="93"/>
      <c r="B1034" s="90"/>
      <c r="C1034" s="90"/>
      <c r="D1034" s="92"/>
    </row>
    <row r="1035" spans="1:4" ht="14.4">
      <c r="A1035" s="93"/>
      <c r="B1035" s="90"/>
      <c r="C1035" s="90"/>
      <c r="D1035" s="92"/>
    </row>
    <row r="1036" spans="1:4" ht="14.4">
      <c r="A1036" s="93"/>
      <c r="B1036" s="90"/>
      <c r="C1036" s="90"/>
      <c r="D1036" s="92"/>
    </row>
    <row r="1037" spans="1:4" ht="14.4">
      <c r="A1037" s="93"/>
      <c r="B1037" s="90"/>
      <c r="C1037" s="90"/>
      <c r="D1037" s="92"/>
    </row>
    <row r="1038" spans="1:4" ht="14.4">
      <c r="A1038" s="93"/>
      <c r="B1038" s="90"/>
      <c r="C1038" s="90"/>
      <c r="D1038" s="92"/>
    </row>
    <row r="1039" spans="1:4" ht="14.4">
      <c r="A1039" s="93"/>
      <c r="B1039" s="90"/>
      <c r="C1039" s="90"/>
      <c r="D1039" s="92"/>
    </row>
    <row r="1040" spans="1:4" ht="14.4">
      <c r="A1040" s="93"/>
      <c r="B1040" s="90"/>
      <c r="C1040" s="90"/>
      <c r="D1040" s="92"/>
    </row>
    <row r="1041" spans="1:22" ht="14.4">
      <c r="A1041" s="93"/>
      <c r="B1041" s="90"/>
      <c r="C1041" s="90"/>
      <c r="D1041" s="92"/>
    </row>
    <row r="1042" spans="1:22" ht="14.4">
      <c r="A1042" s="93"/>
      <c r="B1042" s="90"/>
      <c r="C1042" s="90"/>
      <c r="D1042" s="92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</row>
    <row r="1043" spans="1:22" ht="14.4">
      <c r="A1043" s="93"/>
      <c r="B1043" s="90"/>
      <c r="C1043" s="90"/>
      <c r="D1043" s="92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</row>
    <row r="1044" spans="1:22" ht="14.4">
      <c r="A1044" s="93"/>
      <c r="B1044" s="90"/>
      <c r="C1044" s="90"/>
      <c r="D1044" s="92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</row>
    <row r="1045" spans="1:22" ht="14.4">
      <c r="A1045" s="93"/>
      <c r="B1045" s="90"/>
      <c r="C1045" s="90"/>
      <c r="D1045" s="92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</row>
    <row r="1046" spans="1:22" ht="14.4">
      <c r="A1046" s="93"/>
      <c r="B1046" s="90"/>
      <c r="C1046" s="90"/>
      <c r="D1046" s="92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</row>
    <row r="1047" spans="1:22" ht="14.4">
      <c r="A1047" s="93"/>
      <c r="B1047" s="90"/>
      <c r="C1047" s="90"/>
      <c r="D1047" s="92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</row>
    <row r="1048" spans="1:22" ht="14.4">
      <c r="A1048" s="93"/>
      <c r="B1048" s="90"/>
      <c r="C1048" s="90"/>
      <c r="D1048" s="92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</row>
    <row r="1049" spans="1:22" ht="14.4">
      <c r="A1049" s="93"/>
      <c r="B1049" s="90"/>
      <c r="C1049" s="90"/>
      <c r="D1049" s="92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</row>
    <row r="1050" spans="1:22" ht="14.4">
      <c r="A1050" s="93"/>
      <c r="B1050" s="90"/>
      <c r="C1050" s="90"/>
      <c r="D1050" s="92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</row>
    <row r="1051" spans="1:22" ht="14.4">
      <c r="A1051" s="93"/>
      <c r="B1051" s="90"/>
      <c r="C1051" s="90"/>
      <c r="D1051" s="92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</row>
    <row r="1052" spans="1:22" ht="14.4">
      <c r="A1052" s="93"/>
      <c r="B1052" s="90"/>
      <c r="C1052" s="90"/>
      <c r="D1052" s="92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</row>
    <row r="1053" spans="1:22" ht="14.4">
      <c r="A1053" s="93"/>
      <c r="B1053" s="90"/>
      <c r="C1053" s="90"/>
      <c r="D1053" s="92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</row>
    <row r="1054" spans="1:22" ht="14.4">
      <c r="A1054" s="93"/>
      <c r="B1054" s="90"/>
      <c r="C1054" s="90"/>
      <c r="D1054" s="92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</row>
    <row r="1055" spans="1:22" ht="14.4">
      <c r="A1055" s="93"/>
      <c r="B1055" s="90"/>
      <c r="C1055" s="90"/>
      <c r="D1055" s="92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</row>
    <row r="1056" spans="1:22" ht="14.4">
      <c r="A1056" s="93"/>
      <c r="B1056" s="90"/>
      <c r="C1056" s="90"/>
      <c r="D1056" s="92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</row>
    <row r="1057" spans="1:22" ht="14.4">
      <c r="A1057" s="93"/>
      <c r="B1057" s="90"/>
      <c r="C1057" s="90"/>
      <c r="D1057" s="92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</row>
    <row r="1058" spans="1:22" ht="14.4">
      <c r="A1058" s="93"/>
      <c r="B1058" s="90"/>
      <c r="C1058" s="90"/>
      <c r="D1058" s="92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</row>
    <row r="1059" spans="1:22" ht="14.4">
      <c r="A1059" s="93"/>
      <c r="B1059" s="90"/>
      <c r="C1059" s="90"/>
      <c r="D1059" s="92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</row>
    <row r="1060" spans="1:22" ht="14.4">
      <c r="A1060" s="93"/>
      <c r="B1060" s="90"/>
      <c r="C1060" s="90"/>
      <c r="D1060" s="92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</row>
    <row r="1061" spans="1:22" ht="14.4">
      <c r="A1061" s="93"/>
      <c r="B1061" s="90"/>
      <c r="C1061" s="90"/>
      <c r="D1061" s="92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</row>
    <row r="1062" spans="1:22" ht="14.4">
      <c r="A1062" s="93"/>
      <c r="B1062" s="90"/>
      <c r="C1062" s="90"/>
      <c r="D1062" s="92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</row>
    <row r="1063" spans="1:22" ht="14.4">
      <c r="A1063" s="93"/>
      <c r="B1063" s="90"/>
      <c r="C1063" s="90"/>
      <c r="D1063" s="92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</row>
    <row r="1064" spans="1:22" ht="14.4">
      <c r="A1064" s="93"/>
      <c r="B1064" s="90"/>
      <c r="C1064" s="90"/>
      <c r="D1064" s="92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</row>
    <row r="1065" spans="1:22" ht="14.4">
      <c r="A1065" s="93"/>
      <c r="B1065" s="90"/>
      <c r="C1065" s="90"/>
      <c r="D1065" s="92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</row>
    <row r="1066" spans="1:22" ht="14.4">
      <c r="A1066" s="93"/>
      <c r="B1066" s="90"/>
      <c r="C1066" s="90"/>
      <c r="D1066" s="92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</row>
    <row r="1067" spans="1:22" ht="14.4">
      <c r="A1067" s="93"/>
      <c r="B1067" s="90"/>
      <c r="C1067" s="90"/>
      <c r="D1067" s="92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</row>
    <row r="1068" spans="1:22" ht="14.4">
      <c r="A1068" s="93"/>
      <c r="B1068" s="90"/>
      <c r="C1068" s="90"/>
      <c r="D1068" s="92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</row>
    <row r="1069" spans="1:22" ht="14.4">
      <c r="A1069" s="93"/>
      <c r="B1069" s="90"/>
      <c r="C1069" s="90"/>
      <c r="D1069" s="92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</row>
    <row r="1070" spans="1:22" ht="14.4">
      <c r="A1070" s="93"/>
      <c r="B1070" s="90"/>
      <c r="C1070" s="90"/>
      <c r="D1070" s="92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</row>
    <row r="1071" spans="1:22" ht="14.4">
      <c r="A1071" s="93"/>
      <c r="B1071" s="90"/>
      <c r="C1071" s="90"/>
      <c r="D1071" s="92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</row>
    <row r="1072" spans="1:22" ht="14.4">
      <c r="A1072" s="93"/>
      <c r="B1072" s="90"/>
      <c r="C1072" s="90"/>
      <c r="D1072" s="92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</row>
    <row r="1073" spans="1:22" ht="14.4">
      <c r="A1073" s="93"/>
      <c r="B1073" s="90"/>
      <c r="C1073" s="90"/>
      <c r="D1073" s="92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</row>
    <row r="1074" spans="1:22" ht="14.4">
      <c r="A1074" s="93"/>
      <c r="B1074" s="90"/>
      <c r="C1074" s="90"/>
      <c r="D1074" s="92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</row>
    <row r="1075" spans="1:22" ht="14.4">
      <c r="A1075" s="93"/>
      <c r="B1075" s="90"/>
      <c r="C1075" s="90"/>
      <c r="D1075" s="92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</row>
    <row r="1076" spans="1:22" ht="14.4">
      <c r="A1076" s="93"/>
      <c r="B1076" s="90"/>
      <c r="C1076" s="90"/>
      <c r="D1076" s="92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</row>
    <row r="1077" spans="1:22" ht="14.4">
      <c r="A1077" s="93"/>
      <c r="B1077" s="90"/>
      <c r="C1077" s="90"/>
      <c r="D1077" s="92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</row>
    <row r="1078" spans="1:22" ht="14.4">
      <c r="A1078" s="93"/>
      <c r="B1078" s="90"/>
      <c r="C1078" s="90"/>
      <c r="D1078" s="92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</row>
    <row r="1079" spans="1:22" ht="14.4">
      <c r="A1079" s="93"/>
      <c r="B1079" s="90"/>
      <c r="C1079" s="90"/>
      <c r="D1079" s="92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</row>
    <row r="1080" spans="1:22" ht="14.4">
      <c r="A1080" s="93"/>
      <c r="B1080" s="90"/>
      <c r="C1080" s="90"/>
      <c r="D1080" s="92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</row>
    <row r="1081" spans="1:22" ht="14.4">
      <c r="A1081" s="93"/>
      <c r="B1081" s="90"/>
      <c r="C1081" s="90"/>
      <c r="D1081" s="92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</row>
    <row r="1082" spans="1:22" ht="14.4">
      <c r="A1082" s="93"/>
      <c r="B1082" s="90"/>
      <c r="C1082" s="90"/>
      <c r="D1082" s="92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</row>
    <row r="1083" spans="1:22" ht="14.4">
      <c r="A1083" s="93"/>
      <c r="B1083" s="90"/>
      <c r="C1083" s="90"/>
      <c r="D1083" s="92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</row>
    <row r="1084" spans="1:22" ht="14.4">
      <c r="A1084" s="93"/>
      <c r="B1084" s="90"/>
      <c r="C1084" s="90"/>
      <c r="D1084" s="92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</row>
    <row r="1085" spans="1:22" ht="14.4">
      <c r="A1085" s="93"/>
      <c r="B1085" s="90"/>
      <c r="C1085" s="90"/>
      <c r="D1085" s="92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</row>
    <row r="1086" spans="1:22" ht="14.4">
      <c r="A1086" s="93"/>
      <c r="B1086" s="90"/>
      <c r="C1086" s="90"/>
      <c r="D1086" s="92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</row>
    <row r="1087" spans="1:22" ht="14.4">
      <c r="A1087" s="93"/>
      <c r="B1087" s="90"/>
      <c r="C1087" s="90"/>
      <c r="D1087" s="92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</row>
    <row r="1088" spans="1:22" ht="14.4">
      <c r="A1088" s="93"/>
      <c r="B1088" s="90"/>
      <c r="C1088" s="90"/>
      <c r="D1088" s="92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</row>
    <row r="1089" spans="1:22" ht="14.4">
      <c r="A1089" s="93"/>
      <c r="B1089" s="90"/>
      <c r="C1089" s="90"/>
      <c r="D1089" s="92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</row>
    <row r="1090" spans="1:22" ht="14.4">
      <c r="A1090" s="93"/>
      <c r="B1090" s="90"/>
      <c r="C1090" s="90"/>
      <c r="D1090" s="92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</row>
    <row r="1091" spans="1:22" ht="14.4">
      <c r="A1091" s="93"/>
      <c r="B1091" s="90"/>
      <c r="C1091" s="90"/>
      <c r="D1091" s="92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</row>
    <row r="1092" spans="1:22" ht="14.4">
      <c r="A1092" s="93"/>
      <c r="B1092" s="90"/>
      <c r="C1092" s="90"/>
      <c r="D1092" s="92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</row>
    <row r="1093" spans="1:22" ht="14.4">
      <c r="A1093" s="93"/>
      <c r="B1093" s="90"/>
      <c r="C1093" s="90"/>
      <c r="D1093" s="92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</row>
    <row r="1094" spans="1:22" ht="14.4">
      <c r="A1094" s="93"/>
      <c r="B1094" s="90"/>
      <c r="C1094" s="90"/>
      <c r="D1094" s="92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</row>
    <row r="1095" spans="1:22" ht="14.4">
      <c r="A1095" s="93"/>
      <c r="B1095" s="90"/>
      <c r="C1095" s="90"/>
      <c r="D1095" s="92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</row>
    <row r="1096" spans="1:22" ht="14.4">
      <c r="A1096" s="93"/>
      <c r="B1096" s="90"/>
      <c r="C1096" s="90"/>
      <c r="D1096" s="92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</row>
    <row r="1097" spans="1:22" ht="14.4">
      <c r="A1097" s="93"/>
      <c r="B1097" s="90"/>
      <c r="C1097" s="90"/>
      <c r="D1097" s="92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</row>
    <row r="1098" spans="1:22" ht="14.4">
      <c r="A1098" s="93"/>
      <c r="B1098" s="90"/>
      <c r="C1098" s="90"/>
      <c r="D1098" s="92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</row>
    <row r="1099" spans="1:22" ht="14.4">
      <c r="A1099" s="93"/>
      <c r="B1099" s="90"/>
      <c r="C1099" s="90"/>
      <c r="D1099" s="92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</row>
    <row r="1100" spans="1:22" ht="14.4">
      <c r="A1100" s="93"/>
      <c r="B1100" s="90"/>
      <c r="C1100" s="90"/>
      <c r="D1100" s="92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</row>
    <row r="1101" spans="1:22" ht="14.4">
      <c r="A1101" s="93"/>
      <c r="B1101" s="90"/>
      <c r="C1101" s="90"/>
      <c r="D1101" s="9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</row>
    <row r="1102" spans="1:22" ht="14.4">
      <c r="A1102" s="93"/>
      <c r="B1102" s="90"/>
      <c r="C1102" s="90"/>
      <c r="D1102" s="9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</row>
    <row r="1103" spans="1:22" ht="14.4">
      <c r="A1103" s="93"/>
      <c r="B1103" s="90"/>
      <c r="C1103" s="90"/>
      <c r="D1103" s="9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</row>
    <row r="1104" spans="1:22" ht="14.4">
      <c r="A1104" s="93"/>
      <c r="B1104" s="90"/>
      <c r="C1104" s="90"/>
      <c r="D1104" s="9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</row>
    <row r="1105" spans="1:22" ht="14.4">
      <c r="A1105" s="93"/>
      <c r="B1105" s="90"/>
      <c r="C1105" s="90"/>
      <c r="D1105" s="9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</row>
    <row r="1106" spans="1:22" ht="14.4">
      <c r="A1106" s="93"/>
      <c r="B1106" s="90"/>
      <c r="C1106" s="90"/>
      <c r="D1106" s="9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</row>
    <row r="1107" spans="1:22" ht="14.4">
      <c r="A1107" s="93"/>
      <c r="B1107" s="90"/>
      <c r="C1107" s="90"/>
      <c r="D1107" s="9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</row>
    <row r="1108" spans="1:22" ht="14.4">
      <c r="A1108" s="93"/>
      <c r="B1108" s="90"/>
      <c r="C1108" s="90"/>
      <c r="D1108" s="9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</row>
    <row r="1109" spans="1:22" ht="14.4">
      <c r="A1109" s="93"/>
      <c r="B1109" s="90"/>
      <c r="C1109" s="90"/>
      <c r="D1109" s="9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</row>
    <row r="1110" spans="1:22" ht="14.4">
      <c r="A1110" s="93"/>
      <c r="B1110" s="90"/>
      <c r="C1110" s="90"/>
      <c r="D1110" s="9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</row>
    <row r="1111" spans="1:22" ht="14.4">
      <c r="A1111" s="93"/>
      <c r="B1111" s="90"/>
      <c r="C1111" s="90"/>
      <c r="D1111" s="9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</row>
    <row r="1112" spans="1:22" ht="14.4">
      <c r="A1112" s="93"/>
      <c r="B1112" s="90"/>
      <c r="C1112" s="90"/>
      <c r="D1112" s="9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</row>
    <row r="1113" spans="1:22" ht="14.4">
      <c r="A1113" s="93"/>
      <c r="B1113" s="90"/>
      <c r="C1113" s="90"/>
      <c r="D1113" s="9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</row>
    <row r="1114" spans="1:22" ht="14.4">
      <c r="A1114" s="93"/>
      <c r="B1114" s="90"/>
      <c r="C1114" s="90"/>
      <c r="D1114" s="9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</row>
    <row r="1115" spans="1:22" ht="14.4">
      <c r="A1115" s="93"/>
      <c r="B1115" s="90"/>
      <c r="C1115" s="90"/>
      <c r="D1115" s="9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</row>
    <row r="1116" spans="1:22" ht="14.4">
      <c r="A1116" s="93"/>
      <c r="B1116" s="90"/>
      <c r="C1116" s="90"/>
      <c r="D1116" s="9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</row>
    <row r="1117" spans="1:22" ht="14.4">
      <c r="A1117" s="93"/>
      <c r="B1117" s="90"/>
      <c r="C1117" s="90"/>
      <c r="D1117" s="9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</row>
    <row r="1118" spans="1:22" ht="14.4">
      <c r="A1118" s="93"/>
      <c r="B1118" s="90"/>
      <c r="C1118" s="90"/>
      <c r="D1118" s="9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</row>
    <row r="1119" spans="1:22" ht="14.4">
      <c r="A1119" s="93"/>
      <c r="B1119" s="90"/>
      <c r="C1119" s="90"/>
      <c r="D1119" s="9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</row>
    <row r="1120" spans="1:22" ht="14.4">
      <c r="A1120" s="93"/>
      <c r="B1120" s="90"/>
      <c r="C1120" s="90"/>
      <c r="D1120" s="9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</row>
    <row r="1121" spans="1:22" ht="14.4">
      <c r="A1121" s="93"/>
      <c r="B1121" s="90"/>
      <c r="C1121" s="90"/>
      <c r="D1121" s="9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</row>
    <row r="1122" spans="1:22" ht="14.4">
      <c r="A1122" s="93"/>
      <c r="B1122" s="90"/>
      <c r="C1122" s="90"/>
      <c r="D1122" s="9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</row>
    <row r="1123" spans="1:22" ht="14.4">
      <c r="A1123" s="93"/>
      <c r="B1123" s="90"/>
      <c r="C1123" s="90"/>
      <c r="D1123" s="9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</row>
    <row r="1124" spans="1:22" ht="14.4">
      <c r="A1124" s="93"/>
      <c r="B1124" s="90"/>
      <c r="C1124" s="90"/>
      <c r="D1124" s="9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</row>
    <row r="1125" spans="1:22" ht="14.4">
      <c r="A1125" s="93"/>
      <c r="B1125" s="90"/>
      <c r="C1125" s="90"/>
      <c r="D1125" s="9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</row>
    <row r="1126" spans="1:22" ht="14.4">
      <c r="A1126" s="93"/>
      <c r="B1126" s="90"/>
      <c r="C1126" s="90"/>
      <c r="D1126" s="9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</row>
    <row r="1127" spans="1:22" ht="14.4">
      <c r="A1127" s="93"/>
      <c r="B1127" s="90"/>
      <c r="C1127" s="90"/>
      <c r="D1127" s="9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</row>
    <row r="1128" spans="1:22" ht="14.4">
      <c r="A1128" s="93"/>
      <c r="B1128" s="90"/>
      <c r="C1128" s="90"/>
      <c r="D1128" s="9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</row>
    <row r="1129" spans="1:22" ht="14.4">
      <c r="A1129" s="93"/>
      <c r="B1129" s="90"/>
      <c r="C1129" s="90"/>
      <c r="D1129" s="9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</row>
    <row r="1130" spans="1:22" ht="14.4">
      <c r="A1130" s="93"/>
      <c r="B1130" s="90"/>
      <c r="C1130" s="90"/>
      <c r="D1130" s="9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</row>
    <row r="1131" spans="1:22" ht="14.4">
      <c r="A1131" s="93"/>
      <c r="B1131" s="90"/>
      <c r="C1131" s="90"/>
      <c r="D1131" s="9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</row>
    <row r="1132" spans="1:22" ht="14.4">
      <c r="A1132" s="93"/>
      <c r="B1132" s="90"/>
      <c r="C1132" s="90"/>
      <c r="D1132" s="9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</row>
    <row r="1133" spans="1:22" ht="14.4">
      <c r="A1133" s="93"/>
      <c r="B1133" s="90"/>
      <c r="C1133" s="90"/>
      <c r="D1133" s="9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</row>
    <row r="1134" spans="1:22" ht="14.4">
      <c r="A1134" s="93"/>
      <c r="B1134" s="90"/>
      <c r="C1134" s="90"/>
      <c r="D1134" s="9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</row>
    <row r="1135" spans="1:22" ht="14.4">
      <c r="A1135" s="93"/>
      <c r="B1135" s="90"/>
      <c r="C1135" s="90"/>
      <c r="D1135" s="9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</row>
    <row r="1136" spans="1:22" ht="14.4">
      <c r="A1136" s="93"/>
      <c r="B1136" s="90"/>
      <c r="C1136" s="90"/>
      <c r="D1136" s="9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</row>
    <row r="1137" spans="1:22" ht="14.4">
      <c r="A1137" s="93"/>
      <c r="B1137" s="90"/>
      <c r="C1137" s="90"/>
      <c r="D1137" s="9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</row>
    <row r="1138" spans="1:22" ht="14.4">
      <c r="A1138" s="93"/>
      <c r="B1138" s="90"/>
      <c r="C1138" s="90"/>
      <c r="D1138" s="9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</row>
    <row r="1139" spans="1:22" ht="14.4">
      <c r="A1139" s="93"/>
      <c r="B1139" s="90"/>
      <c r="C1139" s="90"/>
      <c r="D1139" s="9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</row>
    <row r="1140" spans="1:22" ht="14.4">
      <c r="A1140" s="93"/>
      <c r="B1140" s="90"/>
      <c r="C1140" s="90"/>
      <c r="D1140" s="9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</row>
    <row r="1141" spans="1:22" ht="14.4">
      <c r="A1141" s="93"/>
      <c r="B1141" s="90"/>
      <c r="C1141" s="90"/>
      <c r="D1141" s="9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</row>
    <row r="1142" spans="1:22" ht="14.4">
      <c r="A1142" s="93"/>
      <c r="B1142" s="90"/>
      <c r="C1142" s="90"/>
      <c r="D1142" s="9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</row>
    <row r="1143" spans="1:22" ht="14.4">
      <c r="A1143" s="93"/>
      <c r="B1143" s="90"/>
      <c r="C1143" s="90"/>
      <c r="D1143" s="9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</row>
    <row r="1144" spans="1:22" ht="14.4">
      <c r="A1144" s="93"/>
      <c r="B1144" s="90"/>
      <c r="C1144" s="90"/>
      <c r="D1144" s="9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</row>
    <row r="1145" spans="1:22" ht="14.4">
      <c r="A1145" s="93"/>
      <c r="B1145" s="90"/>
      <c r="C1145" s="90"/>
      <c r="D1145" s="9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</row>
    <row r="1146" spans="1:22" ht="14.4">
      <c r="A1146" s="93"/>
      <c r="B1146" s="90"/>
      <c r="C1146" s="90"/>
      <c r="D1146" s="9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</row>
    <row r="1147" spans="1:22" ht="14.4">
      <c r="A1147" s="93"/>
      <c r="B1147" s="90"/>
      <c r="C1147" s="90"/>
      <c r="D1147" s="9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</row>
    <row r="1148" spans="1:22" ht="14.4">
      <c r="A1148" s="93"/>
      <c r="B1148" s="90"/>
      <c r="C1148" s="90"/>
      <c r="D1148" s="9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</row>
    <row r="1149" spans="1:22" ht="14.4">
      <c r="A1149" s="93"/>
      <c r="B1149" s="90"/>
      <c r="C1149" s="90"/>
      <c r="D1149" s="9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</row>
    <row r="1150" spans="1:22" ht="14.4">
      <c r="A1150" s="93"/>
      <c r="B1150" s="90"/>
      <c r="C1150" s="90"/>
      <c r="D1150" s="9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</row>
    <row r="1151" spans="1:22" ht="14.4">
      <c r="A1151" s="93"/>
      <c r="B1151" s="90"/>
      <c r="C1151" s="90"/>
      <c r="D1151" s="9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</row>
    <row r="1152" spans="1:22" ht="14.4">
      <c r="A1152" s="93"/>
      <c r="B1152" s="90"/>
      <c r="C1152" s="90"/>
      <c r="D1152" s="9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</row>
    <row r="1153" spans="1:22" ht="14.4">
      <c r="A1153" s="93"/>
      <c r="B1153" s="90"/>
      <c r="C1153" s="90"/>
      <c r="D1153" s="9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</row>
    <row r="1154" spans="1:22" ht="14.4">
      <c r="A1154" s="93"/>
      <c r="B1154" s="90"/>
      <c r="C1154" s="90"/>
      <c r="D1154" s="9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</row>
    <row r="1155" spans="1:22" ht="14.4">
      <c r="A1155" s="93"/>
      <c r="B1155" s="90"/>
      <c r="C1155" s="90"/>
      <c r="D1155" s="9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</row>
    <row r="1156" spans="1:22" ht="14.4">
      <c r="A1156" s="93"/>
      <c r="B1156" s="90"/>
      <c r="C1156" s="90"/>
      <c r="D1156" s="9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</row>
    <row r="1157" spans="1:22" ht="14.4">
      <c r="A1157" s="93"/>
      <c r="B1157" s="90"/>
      <c r="C1157" s="90"/>
      <c r="D1157" s="9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</row>
    <row r="1158" spans="1:22" ht="14.4">
      <c r="A1158" s="93"/>
      <c r="B1158" s="90"/>
      <c r="C1158" s="90"/>
      <c r="D1158" s="9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</row>
    <row r="1159" spans="1:22" ht="14.4">
      <c r="A1159" s="93"/>
      <c r="B1159" s="90"/>
      <c r="C1159" s="90"/>
      <c r="D1159" s="92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</row>
    <row r="1160" spans="1:22" ht="14.4">
      <c r="A1160" s="93"/>
      <c r="B1160" s="90"/>
      <c r="C1160" s="90"/>
      <c r="D1160" s="92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</row>
    <row r="1161" spans="1:22" ht="14.4">
      <c r="A1161" s="93"/>
      <c r="B1161" s="90"/>
      <c r="C1161" s="90"/>
      <c r="D1161" s="92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</row>
    <row r="1162" spans="1:22" ht="14.4">
      <c r="A1162" s="93"/>
      <c r="B1162" s="90"/>
      <c r="C1162" s="90"/>
      <c r="D1162" s="92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</row>
    <row r="1163" spans="1:22" ht="14.4">
      <c r="A1163" s="93"/>
      <c r="B1163" s="90"/>
      <c r="C1163" s="90"/>
      <c r="D1163" s="92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</row>
    <row r="1164" spans="1:22" ht="14.4">
      <c r="A1164" s="93"/>
      <c r="B1164" s="90"/>
      <c r="C1164" s="90"/>
      <c r="D1164" s="92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</row>
    <row r="1165" spans="1:22" ht="14.4">
      <c r="A1165" s="93"/>
      <c r="B1165" s="90"/>
      <c r="C1165" s="90"/>
      <c r="D1165" s="92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</row>
    <row r="1166" spans="1:22" ht="14.4">
      <c r="A1166" s="93"/>
      <c r="B1166" s="90"/>
      <c r="C1166" s="90"/>
      <c r="D1166" s="92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</row>
    <row r="1167" spans="1:22" ht="14.4">
      <c r="A1167" s="93"/>
      <c r="B1167" s="90"/>
      <c r="C1167" s="90"/>
      <c r="D1167" s="92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</row>
    <row r="1168" spans="1:22" ht="14.4">
      <c r="A1168" s="93"/>
      <c r="B1168" s="90"/>
      <c r="C1168" s="90"/>
      <c r="D1168" s="92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</row>
    <row r="1169" spans="1:22" ht="14.4">
      <c r="A1169" s="93"/>
      <c r="B1169" s="90"/>
      <c r="C1169" s="90"/>
      <c r="D1169" s="92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</row>
    <row r="1170" spans="1:22" ht="14.4">
      <c r="A1170" s="93"/>
      <c r="B1170" s="90"/>
      <c r="C1170" s="90"/>
      <c r="D1170" s="92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</row>
    <row r="1171" spans="1:22" ht="14.4">
      <c r="A1171" s="93"/>
      <c r="B1171" s="90"/>
      <c r="C1171" s="90"/>
      <c r="D1171" s="92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</row>
    <row r="1172" spans="1:22" ht="14.4">
      <c r="A1172" s="93"/>
      <c r="B1172" s="90"/>
      <c r="C1172" s="90"/>
      <c r="D1172" s="92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</row>
    <row r="1173" spans="1:22" ht="14.4">
      <c r="A1173" s="93"/>
      <c r="B1173" s="90"/>
      <c r="C1173" s="90"/>
      <c r="D1173" s="92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</row>
    <row r="1174" spans="1:22" ht="14.4">
      <c r="A1174" s="93"/>
      <c r="B1174" s="90"/>
      <c r="C1174" s="90"/>
      <c r="D1174" s="92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</row>
    <row r="1175" spans="1:22" ht="14.4">
      <c r="A1175" s="93"/>
      <c r="B1175" s="90"/>
      <c r="C1175" s="90"/>
      <c r="D1175" s="92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</row>
    <row r="1176" spans="1:22" ht="14.4">
      <c r="A1176" s="93"/>
      <c r="B1176" s="90"/>
      <c r="C1176" s="90"/>
      <c r="D1176" s="92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</row>
    <row r="1177" spans="1:22" ht="14.4">
      <c r="A1177" s="93"/>
      <c r="B1177" s="90"/>
      <c r="C1177" s="90"/>
      <c r="D1177" s="92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</row>
    <row r="1178" spans="1:22" ht="14.4">
      <c r="A1178" s="93"/>
      <c r="B1178" s="90"/>
      <c r="C1178" s="90"/>
      <c r="D1178" s="92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</row>
    <row r="1179" spans="1:22" ht="14.4">
      <c r="A1179" s="93"/>
      <c r="B1179" s="90"/>
      <c r="C1179" s="90"/>
      <c r="D1179" s="92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</row>
    <row r="1180" spans="1:22" ht="14.4">
      <c r="A1180" s="93"/>
      <c r="B1180" s="90"/>
      <c r="C1180" s="90"/>
      <c r="D1180" s="92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</row>
    <row r="1181" spans="1:22" ht="14.4">
      <c r="A1181" s="93"/>
      <c r="B1181" s="90"/>
      <c r="C1181" s="90"/>
      <c r="D1181" s="92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</row>
    <row r="1182" spans="1:22" ht="14.4">
      <c r="A1182" s="93"/>
      <c r="B1182" s="90"/>
      <c r="C1182" s="90"/>
      <c r="D1182" s="92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</row>
    <row r="1183" spans="1:22" ht="14.4">
      <c r="A1183" s="93"/>
      <c r="B1183" s="90"/>
      <c r="C1183" s="90"/>
      <c r="D1183" s="92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</row>
    <row r="1184" spans="1:22" ht="14.4">
      <c r="A1184" s="93"/>
      <c r="B1184" s="90"/>
      <c r="C1184" s="90"/>
      <c r="D1184" s="92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</row>
    <row r="1185" spans="1:22" ht="14.4">
      <c r="A1185" s="93"/>
      <c r="B1185" s="90"/>
      <c r="C1185" s="90"/>
      <c r="D1185" s="92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</row>
    <row r="1186" spans="1:22" ht="14.4">
      <c r="A1186" s="93"/>
      <c r="B1186" s="90"/>
      <c r="C1186" s="90"/>
      <c r="D1186" s="92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</row>
    <row r="1187" spans="1:22" ht="14.4">
      <c r="A1187" s="93"/>
      <c r="B1187" s="90"/>
      <c r="C1187" s="90"/>
      <c r="D1187" s="92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</row>
    <row r="1188" spans="1:22" ht="14.4">
      <c r="A1188" s="93"/>
      <c r="B1188" s="90"/>
      <c r="C1188" s="90"/>
      <c r="D1188" s="92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</row>
    <row r="1189" spans="1:22" ht="14.4">
      <c r="A1189" s="93"/>
      <c r="B1189" s="90"/>
      <c r="C1189" s="90"/>
      <c r="D1189" s="92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</row>
    <row r="1190" spans="1:22" ht="14.4">
      <c r="A1190" s="93"/>
      <c r="B1190" s="90"/>
      <c r="C1190" s="90"/>
      <c r="D1190" s="92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</row>
    <row r="1191" spans="1:22" ht="14.4">
      <c r="A1191" s="93"/>
      <c r="B1191" s="90"/>
      <c r="C1191" s="90"/>
      <c r="D1191" s="92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</row>
    <row r="1192" spans="1:22" ht="14.4">
      <c r="A1192" s="93"/>
      <c r="B1192" s="90"/>
      <c r="C1192" s="90"/>
      <c r="D1192" s="92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</row>
    <row r="1193" spans="1:22" ht="14.4">
      <c r="A1193" s="93"/>
      <c r="B1193" s="90"/>
      <c r="C1193" s="90"/>
      <c r="D1193" s="92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</row>
    <row r="1194" spans="1:22" ht="14.4">
      <c r="A1194" s="93"/>
      <c r="B1194" s="90"/>
      <c r="C1194" s="90"/>
      <c r="D1194" s="92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</row>
    <row r="1195" spans="1:22" ht="14.4">
      <c r="A1195" s="93"/>
      <c r="B1195" s="90"/>
      <c r="C1195" s="90"/>
      <c r="D1195" s="92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</row>
    <row r="1196" spans="1:22" ht="14.4">
      <c r="A1196" s="93"/>
      <c r="B1196" s="90"/>
      <c r="C1196" s="90"/>
      <c r="D1196" s="92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</row>
    <row r="1197" spans="1:22" ht="14.4">
      <c r="A1197" s="93"/>
      <c r="B1197" s="90"/>
      <c r="C1197" s="90"/>
      <c r="D1197" s="92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</row>
    <row r="1198" spans="1:22" ht="14.4">
      <c r="A1198" s="93"/>
      <c r="B1198" s="90"/>
      <c r="C1198" s="90"/>
      <c r="D1198" s="92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</row>
    <row r="1199" spans="1:22" ht="14.4">
      <c r="A1199" s="93"/>
      <c r="B1199" s="90"/>
      <c r="C1199" s="90"/>
      <c r="D1199" s="92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</row>
    <row r="1200" spans="1:22" ht="14.4">
      <c r="A1200" s="93"/>
      <c r="B1200" s="90"/>
      <c r="C1200" s="90"/>
      <c r="D1200" s="92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</row>
    <row r="1201" spans="1:22" ht="14.4">
      <c r="A1201" s="93"/>
      <c r="B1201" s="90"/>
      <c r="C1201" s="90"/>
      <c r="D1201" s="92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</row>
    <row r="1202" spans="1:22" ht="14.4">
      <c r="A1202" s="93"/>
      <c r="B1202" s="90"/>
      <c r="C1202" s="90"/>
      <c r="D1202" s="92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</row>
    <row r="1203" spans="1:22" ht="14.4">
      <c r="A1203" s="93"/>
      <c r="B1203" s="90"/>
      <c r="C1203" s="90"/>
      <c r="D1203" s="92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</row>
    <row r="1204" spans="1:22" ht="14.4">
      <c r="A1204" s="93"/>
      <c r="B1204" s="90"/>
      <c r="C1204" s="90"/>
      <c r="D1204" s="92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</row>
    <row r="1205" spans="1:22" ht="14.4">
      <c r="A1205" s="93"/>
      <c r="B1205" s="90"/>
      <c r="C1205" s="90"/>
      <c r="D1205" s="92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</row>
    <row r="1206" spans="1:22" ht="14.4">
      <c r="A1206" s="93"/>
      <c r="B1206" s="90"/>
      <c r="C1206" s="90"/>
      <c r="D1206" s="92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</row>
    <row r="1207" spans="1:22" ht="14.4">
      <c r="A1207" s="93"/>
      <c r="B1207" s="90"/>
      <c r="C1207" s="90"/>
      <c r="D1207" s="92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</row>
    <row r="1208" spans="1:22" ht="14.4">
      <c r="A1208" s="93"/>
      <c r="B1208" s="90"/>
      <c r="C1208" s="90"/>
      <c r="D1208" s="92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</row>
    <row r="1209" spans="1:22" ht="14.4">
      <c r="A1209" s="93"/>
      <c r="B1209" s="90"/>
      <c r="C1209" s="90"/>
      <c r="D1209" s="92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</row>
    <row r="1210" spans="1:22" ht="14.4">
      <c r="A1210" s="93"/>
      <c r="B1210" s="90"/>
      <c r="C1210" s="90"/>
      <c r="D1210" s="92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</row>
    <row r="1211" spans="1:22" ht="14.4">
      <c r="A1211" s="93"/>
      <c r="B1211" s="90"/>
      <c r="C1211" s="90"/>
      <c r="D1211" s="92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</row>
    <row r="1212" spans="1:22" ht="14.4">
      <c r="A1212" s="93"/>
      <c r="B1212" s="90"/>
      <c r="C1212" s="90"/>
      <c r="D1212" s="92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</row>
    <row r="1213" spans="1:22" ht="14.4">
      <c r="A1213" s="93"/>
      <c r="B1213" s="90"/>
      <c r="C1213" s="90"/>
      <c r="D1213" s="92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</row>
    <row r="1214" spans="1:22" ht="14.4">
      <c r="A1214" s="93"/>
      <c r="B1214" s="90"/>
      <c r="C1214" s="90"/>
      <c r="D1214" s="92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</row>
    <row r="1215" spans="1:22" ht="14.4">
      <c r="A1215" s="93"/>
      <c r="B1215" s="90"/>
      <c r="C1215" s="90"/>
      <c r="D1215" s="92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</row>
    <row r="1216" spans="1:22" ht="14.4">
      <c r="A1216" s="93"/>
      <c r="B1216" s="90"/>
      <c r="C1216" s="90"/>
      <c r="D1216" s="92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</row>
    <row r="1217" spans="1:22" ht="14.4">
      <c r="A1217" s="93"/>
      <c r="B1217" s="90"/>
      <c r="C1217" s="90"/>
      <c r="D1217" s="92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</row>
    <row r="1218" spans="1:22" ht="14.4">
      <c r="A1218" s="93"/>
      <c r="B1218" s="90"/>
      <c r="C1218" s="90"/>
      <c r="D1218" s="92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</row>
    <row r="1219" spans="1:22" ht="14.4">
      <c r="A1219" s="93"/>
      <c r="B1219" s="90"/>
      <c r="C1219" s="90"/>
      <c r="D1219" s="92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</row>
    <row r="1220" spans="1:22" ht="14.4">
      <c r="A1220" s="93"/>
      <c r="B1220" s="90"/>
      <c r="C1220" s="90"/>
      <c r="D1220" s="92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</row>
    <row r="1221" spans="1:22" ht="14.4">
      <c r="A1221" s="93"/>
      <c r="B1221" s="90"/>
      <c r="C1221" s="90"/>
      <c r="D1221" s="92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</row>
    <row r="1222" spans="1:22" ht="14.4">
      <c r="A1222" s="93"/>
      <c r="B1222" s="90"/>
      <c r="C1222" s="90"/>
      <c r="D1222" s="92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</row>
    <row r="1223" spans="1:22" ht="14.4">
      <c r="A1223" s="93"/>
      <c r="B1223" s="90"/>
      <c r="C1223" s="90"/>
      <c r="D1223" s="92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</row>
    <row r="1224" spans="1:22" ht="14.4">
      <c r="A1224" s="93"/>
      <c r="B1224" s="90"/>
      <c r="C1224" s="90"/>
      <c r="D1224" s="92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</row>
    <row r="1225" spans="1:22" ht="14.4">
      <c r="A1225" s="93"/>
      <c r="B1225" s="90"/>
      <c r="C1225" s="90"/>
      <c r="D1225" s="92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</row>
    <row r="1226" spans="1:22" ht="14.4">
      <c r="A1226" s="93"/>
      <c r="B1226" s="90"/>
      <c r="C1226" s="90"/>
      <c r="D1226" s="92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</row>
    <row r="1227" spans="1:22" ht="14.4">
      <c r="A1227" s="93"/>
      <c r="B1227" s="90"/>
      <c r="C1227" s="90"/>
      <c r="D1227" s="92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</row>
    <row r="1228" spans="1:22" ht="14.4">
      <c r="A1228" s="93"/>
      <c r="B1228" s="90"/>
      <c r="C1228" s="90"/>
      <c r="D1228" s="92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</row>
    <row r="1229" spans="1:22" ht="14.4">
      <c r="A1229" s="93"/>
      <c r="B1229" s="90"/>
      <c r="C1229" s="90"/>
      <c r="D1229" s="92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</row>
    <row r="1230" spans="1:22" ht="14.4">
      <c r="A1230" s="93"/>
      <c r="B1230" s="90"/>
      <c r="C1230" s="90"/>
      <c r="D1230" s="92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</row>
    <row r="1231" spans="1:22" ht="14.4">
      <c r="A1231" s="93"/>
      <c r="B1231" s="90"/>
      <c r="C1231" s="90"/>
      <c r="D1231" s="92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</row>
    <row r="1232" spans="1:22" ht="14.4">
      <c r="A1232" s="93"/>
      <c r="B1232" s="90"/>
      <c r="C1232" s="90"/>
      <c r="D1232" s="92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</row>
    <row r="1233" spans="1:22" ht="14.4">
      <c r="A1233" s="93"/>
      <c r="B1233" s="90"/>
      <c r="C1233" s="90"/>
      <c r="D1233" s="92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</row>
    <row r="1234" spans="1:22" ht="14.4">
      <c r="A1234" s="93"/>
      <c r="B1234" s="90"/>
      <c r="C1234" s="90"/>
      <c r="D1234" s="92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</row>
    <row r="1235" spans="1:22" ht="14.4">
      <c r="A1235" s="93"/>
      <c r="B1235" s="90"/>
      <c r="C1235" s="90"/>
      <c r="D1235" s="92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</row>
    <row r="1236" spans="1:22" ht="14.4">
      <c r="A1236" s="93"/>
      <c r="B1236" s="90"/>
      <c r="C1236" s="90"/>
      <c r="D1236" s="92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</row>
    <row r="1237" spans="1:22" ht="14.4">
      <c r="A1237" s="93"/>
      <c r="B1237" s="90"/>
      <c r="C1237" s="90"/>
      <c r="D1237" s="92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</row>
    <row r="1238" spans="1:22" ht="14.4">
      <c r="A1238" s="93"/>
      <c r="B1238" s="90"/>
      <c r="C1238" s="90"/>
      <c r="D1238" s="92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</row>
    <row r="1239" spans="1:22" ht="14.4">
      <c r="A1239" s="93"/>
      <c r="B1239" s="90"/>
      <c r="C1239" s="90"/>
      <c r="D1239" s="92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</row>
    <row r="1240" spans="1:22" ht="14.4">
      <c r="A1240" s="93"/>
      <c r="B1240" s="90"/>
      <c r="C1240" s="90"/>
      <c r="D1240" s="92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</row>
    <row r="1241" spans="1:22" ht="14.4">
      <c r="A1241" s="93"/>
      <c r="B1241" s="90"/>
      <c r="C1241" s="90"/>
      <c r="D1241" s="92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</row>
    <row r="1242" spans="1:22" ht="14.4">
      <c r="A1242" s="93"/>
      <c r="B1242" s="90"/>
      <c r="C1242" s="90"/>
      <c r="D1242" s="92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</row>
    <row r="1243" spans="1:22" ht="14.4">
      <c r="A1243" s="93"/>
      <c r="B1243" s="90"/>
      <c r="C1243" s="90"/>
      <c r="D1243" s="92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</row>
    <row r="1244" spans="1:22" ht="14.4">
      <c r="A1244" s="93"/>
      <c r="B1244" s="90"/>
      <c r="C1244" s="90"/>
      <c r="D1244" s="92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</row>
    <row r="1245" spans="1:22" ht="14.4">
      <c r="A1245" s="93"/>
      <c r="B1245" s="90"/>
      <c r="C1245" s="90"/>
      <c r="D1245" s="92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</row>
    <row r="1246" spans="1:22" ht="14.4">
      <c r="A1246" s="93"/>
      <c r="B1246" s="90"/>
      <c r="C1246" s="90"/>
      <c r="D1246" s="92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</row>
    <row r="1247" spans="1:22" ht="14.4">
      <c r="A1247" s="93"/>
      <c r="B1247" s="90"/>
      <c r="C1247" s="90"/>
      <c r="D1247" s="92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</row>
    <row r="1248" spans="1:22" ht="14.4">
      <c r="A1248" s="93"/>
      <c r="B1248" s="90"/>
      <c r="C1248" s="90"/>
      <c r="D1248" s="92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</row>
    <row r="1249" spans="1:22" ht="14.4">
      <c r="A1249" s="93"/>
      <c r="B1249" s="90"/>
      <c r="C1249" s="90"/>
      <c r="D1249" s="92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</row>
    <row r="1250" spans="1:22" ht="14.4">
      <c r="A1250" s="93"/>
      <c r="B1250" s="90"/>
      <c r="C1250" s="90"/>
      <c r="D1250" s="92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</row>
    <row r="1251" spans="1:22" ht="14.4">
      <c r="A1251" s="93"/>
      <c r="B1251" s="90"/>
      <c r="C1251" s="90"/>
      <c r="D1251" s="92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</row>
    <row r="1252" spans="1:22" ht="14.4">
      <c r="A1252" s="93"/>
      <c r="B1252" s="90"/>
      <c r="C1252" s="90"/>
      <c r="D1252" s="92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</row>
    <row r="1253" spans="1:22" ht="14.4">
      <c r="A1253" s="93"/>
      <c r="B1253" s="90"/>
      <c r="C1253" s="90"/>
      <c r="D1253" s="92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</row>
    <row r="1254" spans="1:22" ht="14.4">
      <c r="A1254" s="93"/>
      <c r="B1254" s="90"/>
      <c r="C1254" s="90"/>
      <c r="D1254" s="92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</row>
    <row r="1255" spans="1:22" ht="14.4">
      <c r="A1255" s="93"/>
      <c r="B1255" s="90"/>
      <c r="C1255" s="90"/>
      <c r="D1255" s="92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</row>
    <row r="1256" spans="1:22" ht="14.4">
      <c r="A1256" s="93"/>
      <c r="B1256" s="90"/>
      <c r="C1256" s="90"/>
      <c r="D1256" s="92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</row>
    <row r="1257" spans="1:22" ht="14.4">
      <c r="A1257" s="93"/>
      <c r="B1257" s="90"/>
      <c r="C1257" s="90"/>
      <c r="D1257" s="92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</row>
    <row r="1258" spans="1:22" ht="14.4">
      <c r="A1258" s="93"/>
      <c r="B1258" s="90"/>
      <c r="C1258" s="90"/>
      <c r="D1258" s="92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</row>
    <row r="1259" spans="1:22" ht="14.4">
      <c r="A1259" s="93"/>
      <c r="B1259" s="90"/>
      <c r="C1259" s="90"/>
      <c r="D1259" s="92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</row>
    <row r="1260" spans="1:22" ht="14.4">
      <c r="A1260" s="93"/>
      <c r="B1260" s="90"/>
      <c r="C1260" s="90"/>
      <c r="D1260" s="92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</row>
    <row r="1261" spans="1:22" ht="14.4">
      <c r="A1261" s="93"/>
      <c r="B1261" s="90"/>
      <c r="C1261" s="90"/>
      <c r="D1261" s="92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</row>
    <row r="1262" spans="1:22" ht="14.4">
      <c r="A1262" s="93"/>
      <c r="B1262" s="90"/>
      <c r="C1262" s="90"/>
      <c r="D1262" s="92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</row>
    <row r="1263" spans="1:22" ht="14.4">
      <c r="A1263" s="93"/>
      <c r="B1263" s="90"/>
      <c r="C1263" s="90"/>
      <c r="D1263" s="92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</row>
    <row r="1264" spans="1:22" ht="14.4">
      <c r="A1264" s="93"/>
      <c r="B1264" s="90"/>
      <c r="C1264" s="90"/>
      <c r="D1264" s="92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</row>
    <row r="1265" spans="1:22" ht="14.4">
      <c r="A1265" s="93"/>
      <c r="B1265" s="90"/>
      <c r="C1265" s="90"/>
      <c r="D1265" s="92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</row>
    <row r="1266" spans="1:22" ht="14.4">
      <c r="A1266" s="93"/>
      <c r="B1266" s="90"/>
      <c r="C1266" s="90"/>
      <c r="D1266" s="92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</row>
    <row r="1267" spans="1:22" ht="14.4">
      <c r="A1267" s="93"/>
      <c r="B1267" s="90"/>
      <c r="C1267" s="90"/>
      <c r="D1267" s="92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</row>
    <row r="1268" spans="1:22" ht="14.4">
      <c r="A1268" s="93"/>
      <c r="B1268" s="90"/>
      <c r="C1268" s="90"/>
      <c r="D1268" s="92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</row>
    <row r="1269" spans="1:22" ht="14.4">
      <c r="A1269" s="93"/>
      <c r="B1269" s="90"/>
      <c r="C1269" s="90"/>
      <c r="D1269" s="92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</row>
    <row r="1270" spans="1:22" ht="14.4">
      <c r="A1270" s="93"/>
      <c r="B1270" s="90"/>
      <c r="C1270" s="90"/>
      <c r="D1270" s="92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</row>
    <row r="1271" spans="1:22" ht="14.4">
      <c r="A1271" s="93"/>
      <c r="B1271" s="90"/>
      <c r="C1271" s="90"/>
      <c r="D1271" s="92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</row>
    <row r="1272" spans="1:22" ht="14.4">
      <c r="A1272" s="93"/>
      <c r="B1272" s="90"/>
      <c r="C1272" s="90"/>
      <c r="D1272" s="92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</row>
    <row r="1273" spans="1:22" ht="14.4">
      <c r="A1273" s="93"/>
      <c r="B1273" s="90"/>
      <c r="C1273" s="90"/>
      <c r="D1273" s="92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</row>
    <row r="1274" spans="1:22" ht="14.4">
      <c r="A1274" s="93"/>
      <c r="B1274" s="90"/>
      <c r="C1274" s="90"/>
      <c r="D1274" s="92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</row>
    <row r="1275" spans="1:22" ht="14.4">
      <c r="A1275" s="93"/>
      <c r="B1275" s="90"/>
      <c r="C1275" s="90"/>
      <c r="D1275" s="92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</row>
    <row r="1276" spans="1:22" ht="14.4">
      <c r="A1276" s="93"/>
      <c r="B1276" s="90"/>
      <c r="C1276" s="90"/>
      <c r="D1276" s="92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</row>
    <row r="1277" spans="1:22" ht="14.4">
      <c r="A1277" s="93"/>
      <c r="B1277" s="90"/>
      <c r="C1277" s="90"/>
      <c r="D1277" s="92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</row>
    <row r="1278" spans="1:22" ht="14.4">
      <c r="A1278" s="93"/>
      <c r="B1278" s="90"/>
      <c r="C1278" s="90"/>
      <c r="D1278" s="92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</row>
    <row r="1279" spans="1:22" ht="14.4">
      <c r="A1279" s="93"/>
      <c r="B1279" s="90"/>
      <c r="C1279" s="90"/>
      <c r="D1279" s="92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</row>
    <row r="1280" spans="1:22" ht="14.4">
      <c r="A1280" s="93"/>
      <c r="B1280" s="90"/>
      <c r="C1280" s="90"/>
      <c r="D1280" s="92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</row>
    <row r="1281" spans="1:22" ht="14.4">
      <c r="A1281" s="93"/>
      <c r="B1281" s="90"/>
      <c r="C1281" s="90"/>
      <c r="D1281" s="92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</row>
    <row r="1282" spans="1:22" ht="14.4">
      <c r="A1282" s="93"/>
      <c r="B1282" s="90"/>
      <c r="C1282" s="90"/>
      <c r="D1282" s="92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</row>
    <row r="1283" spans="1:22" ht="14.4">
      <c r="A1283" s="93"/>
      <c r="B1283" s="90"/>
      <c r="C1283" s="90"/>
      <c r="D1283" s="92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</row>
    <row r="1284" spans="1:22" ht="14.4">
      <c r="A1284" s="93"/>
      <c r="B1284" s="90"/>
      <c r="C1284" s="90"/>
      <c r="D1284" s="92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</row>
    <row r="1285" spans="1:22" ht="14.4">
      <c r="A1285" s="93"/>
      <c r="B1285" s="90"/>
      <c r="C1285" s="90"/>
      <c r="D1285" s="92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</row>
    <row r="1286" spans="1:22" ht="14.4">
      <c r="A1286" s="93"/>
      <c r="B1286" s="90"/>
      <c r="C1286" s="90"/>
      <c r="D1286" s="92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</row>
    <row r="1287" spans="1:22" ht="14.4">
      <c r="A1287" s="93"/>
      <c r="B1287" s="90"/>
      <c r="C1287" s="90"/>
      <c r="D1287" s="92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</row>
    <row r="1288" spans="1:22" ht="14.4">
      <c r="A1288" s="93"/>
      <c r="B1288" s="90"/>
      <c r="C1288" s="90"/>
      <c r="D1288" s="92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</row>
    <row r="1289" spans="1:22" ht="14.4">
      <c r="A1289" s="93"/>
      <c r="B1289" s="90"/>
      <c r="C1289" s="90"/>
      <c r="D1289" s="92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</row>
    <row r="1290" spans="1:22" ht="14.4">
      <c r="A1290" s="93"/>
      <c r="B1290" s="90"/>
      <c r="C1290" s="90"/>
      <c r="D1290" s="92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</row>
    <row r="1291" spans="1:22" ht="14.4">
      <c r="A1291" s="93"/>
      <c r="B1291" s="90"/>
      <c r="C1291" s="90"/>
      <c r="D1291" s="92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</row>
    <row r="1292" spans="1:22" ht="14.4">
      <c r="A1292" s="93"/>
      <c r="B1292" s="90"/>
      <c r="C1292" s="90"/>
      <c r="D1292" s="92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</row>
    <row r="1293" spans="1:22" ht="14.4">
      <c r="A1293" s="93"/>
      <c r="B1293" s="90"/>
      <c r="C1293" s="90"/>
      <c r="D1293" s="92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</row>
    <row r="1294" spans="1:22" ht="14.4">
      <c r="A1294" s="93"/>
      <c r="B1294" s="90"/>
      <c r="C1294" s="90"/>
      <c r="D1294" s="92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</row>
    <row r="1295" spans="1:22" ht="14.4">
      <c r="A1295" s="93"/>
      <c r="B1295" s="90"/>
      <c r="C1295" s="90"/>
      <c r="D1295" s="92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</row>
    <row r="1296" spans="1:22" ht="14.4">
      <c r="A1296" s="93"/>
      <c r="B1296" s="90"/>
      <c r="C1296" s="90"/>
      <c r="D1296" s="92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</row>
    <row r="1297" spans="1:22" ht="14.4">
      <c r="A1297" s="93"/>
      <c r="B1297" s="90"/>
      <c r="C1297" s="90"/>
      <c r="D1297" s="92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</row>
    <row r="1298" spans="1:22" ht="14.4">
      <c r="A1298" s="93"/>
      <c r="B1298" s="90"/>
      <c r="C1298" s="90"/>
      <c r="D1298" s="92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</row>
    <row r="1299" spans="1:22" ht="14.4">
      <c r="A1299" s="93"/>
      <c r="B1299" s="90"/>
      <c r="C1299" s="90"/>
      <c r="D1299" s="92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</row>
    <row r="1300" spans="1:22" ht="14.4">
      <c r="A1300" s="93"/>
      <c r="B1300" s="90"/>
      <c r="C1300" s="90"/>
      <c r="D1300" s="92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</row>
    <row r="1301" spans="1:22" ht="14.4">
      <c r="A1301" s="93"/>
      <c r="B1301" s="90"/>
      <c r="C1301" s="90"/>
      <c r="D1301" s="92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</row>
    <row r="1302" spans="1:22" ht="14.4">
      <c r="A1302" s="93"/>
      <c r="B1302" s="90"/>
      <c r="C1302" s="90"/>
      <c r="D1302" s="92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</row>
    <row r="1303" spans="1:22" ht="14.4">
      <c r="A1303" s="93"/>
      <c r="B1303" s="90"/>
      <c r="C1303" s="90"/>
      <c r="D1303" s="92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</row>
    <row r="1304" spans="1:22" ht="14.4">
      <c r="A1304" s="93"/>
      <c r="B1304" s="90"/>
      <c r="C1304" s="90"/>
      <c r="D1304" s="92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</row>
    <row r="1305" spans="1:22" ht="14.4">
      <c r="A1305" s="93"/>
      <c r="B1305" s="90"/>
      <c r="C1305" s="90"/>
      <c r="D1305" s="92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</row>
    <row r="1306" spans="1:22" ht="14.4">
      <c r="A1306" s="93"/>
      <c r="B1306" s="90"/>
      <c r="C1306" s="90"/>
      <c r="D1306" s="92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</row>
    <row r="1307" spans="1:22" ht="14.4">
      <c r="A1307" s="93"/>
      <c r="B1307" s="90"/>
      <c r="C1307" s="90"/>
      <c r="D1307" s="92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</row>
    <row r="1308" spans="1:22" ht="14.4">
      <c r="A1308" s="93"/>
      <c r="B1308" s="90"/>
      <c r="C1308" s="90"/>
      <c r="D1308" s="92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</row>
    <row r="1309" spans="1:22" ht="14.4">
      <c r="A1309" s="93"/>
      <c r="B1309" s="90"/>
      <c r="C1309" s="90"/>
      <c r="D1309" s="92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</row>
    <row r="1310" spans="1:22" ht="14.4">
      <c r="A1310" s="93"/>
      <c r="B1310" s="90"/>
      <c r="C1310" s="90"/>
      <c r="D1310" s="92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</row>
    <row r="1311" spans="1:22" ht="14.4">
      <c r="A1311" s="93"/>
      <c r="B1311" s="90"/>
      <c r="C1311" s="90"/>
      <c r="D1311" s="92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</row>
    <row r="1312" spans="1:22" ht="14.4">
      <c r="A1312" s="93"/>
      <c r="B1312" s="90"/>
      <c r="C1312" s="90"/>
      <c r="D1312" s="92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</row>
    <row r="1313" spans="1:22" ht="14.4">
      <c r="A1313" s="93"/>
      <c r="B1313" s="90"/>
      <c r="C1313" s="90"/>
      <c r="D1313" s="92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</row>
    <row r="1314" spans="1:22" ht="14.4">
      <c r="A1314" s="93"/>
      <c r="B1314" s="90"/>
      <c r="C1314" s="90"/>
      <c r="D1314" s="92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</row>
    <row r="1315" spans="1:22" ht="14.4">
      <c r="A1315" s="93"/>
      <c r="B1315" s="90"/>
      <c r="C1315" s="90"/>
      <c r="D1315" s="92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</row>
    <row r="1316" spans="1:22" ht="14.4">
      <c r="A1316" s="93"/>
      <c r="B1316" s="90"/>
      <c r="C1316" s="90"/>
      <c r="D1316" s="92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</row>
    <row r="1317" spans="1:22" ht="14.4">
      <c r="A1317" s="93"/>
      <c r="B1317" s="90"/>
      <c r="C1317" s="90"/>
      <c r="D1317" s="92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</row>
    <row r="1318" spans="1:22" ht="14.4">
      <c r="A1318" s="93"/>
      <c r="B1318" s="90"/>
      <c r="C1318" s="90"/>
      <c r="D1318" s="92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</row>
    <row r="1319" spans="1:22" ht="14.4">
      <c r="A1319" s="93"/>
      <c r="B1319" s="90"/>
      <c r="C1319" s="90"/>
      <c r="D1319" s="92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</row>
    <row r="1320" spans="1:22" ht="14.4">
      <c r="A1320" s="93"/>
      <c r="B1320" s="90"/>
      <c r="C1320" s="90"/>
      <c r="D1320" s="92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</row>
    <row r="1321" spans="1:22" ht="14.4">
      <c r="A1321" s="93"/>
      <c r="B1321" s="90"/>
      <c r="C1321" s="90"/>
      <c r="D1321" s="92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</row>
    <row r="1322" spans="1:22" ht="14.4">
      <c r="A1322" s="93"/>
      <c r="B1322" s="90"/>
      <c r="C1322" s="90"/>
      <c r="D1322" s="92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</row>
    <row r="1323" spans="1:22" ht="14.4">
      <c r="A1323" s="93"/>
      <c r="B1323" s="90"/>
      <c r="C1323" s="90"/>
      <c r="D1323" s="92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</row>
    <row r="1324" spans="1:22" ht="14.4">
      <c r="A1324" s="93"/>
      <c r="B1324" s="90"/>
      <c r="C1324" s="90"/>
      <c r="D1324" s="92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</row>
    <row r="1325" spans="1:22" ht="14.4">
      <c r="A1325" s="93"/>
      <c r="B1325" s="90"/>
      <c r="C1325" s="90"/>
      <c r="D1325" s="92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</row>
    <row r="1326" spans="1:22" ht="14.4">
      <c r="A1326" s="93"/>
      <c r="B1326" s="90"/>
      <c r="C1326" s="90"/>
      <c r="D1326" s="92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</row>
    <row r="1327" spans="1:22" ht="14.4">
      <c r="A1327" s="93"/>
      <c r="B1327" s="90"/>
      <c r="C1327" s="90"/>
      <c r="D1327" s="92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</row>
    <row r="1328" spans="1:22" ht="14.4">
      <c r="A1328" s="93"/>
      <c r="B1328" s="90"/>
      <c r="C1328" s="90"/>
      <c r="D1328" s="92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</row>
    <row r="1329" spans="1:22" ht="14.4">
      <c r="A1329" s="93"/>
      <c r="B1329" s="90"/>
      <c r="C1329" s="90"/>
      <c r="D1329" s="92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</row>
    <row r="1330" spans="1:22" ht="14.4">
      <c r="A1330" s="93"/>
      <c r="B1330" s="90"/>
      <c r="C1330" s="90"/>
      <c r="D1330" s="92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</row>
    <row r="1331" spans="1:22" ht="14.4">
      <c r="A1331" s="93"/>
      <c r="B1331" s="90"/>
      <c r="C1331" s="90"/>
      <c r="D1331" s="92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</row>
    <row r="1332" spans="1:22" ht="14.4">
      <c r="A1332" s="93"/>
      <c r="B1332" s="90"/>
      <c r="C1332" s="90"/>
      <c r="D1332" s="92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</row>
    <row r="1333" spans="1:22" ht="14.4">
      <c r="A1333" s="93"/>
      <c r="B1333" s="90"/>
      <c r="C1333" s="90"/>
      <c r="D1333" s="92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</row>
    <row r="1334" spans="1:22" ht="14.4">
      <c r="A1334" s="93"/>
      <c r="B1334" s="90"/>
      <c r="C1334" s="90"/>
      <c r="D1334" s="92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</row>
    <row r="1335" spans="1:22" ht="14.4">
      <c r="A1335" s="93"/>
      <c r="B1335" s="90"/>
      <c r="C1335" s="90"/>
      <c r="D1335" s="92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</row>
    <row r="1336" spans="1:22" ht="14.4">
      <c r="A1336" s="93"/>
      <c r="B1336" s="90"/>
      <c r="C1336" s="90"/>
      <c r="D1336" s="92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</row>
    <row r="1337" spans="1:22" ht="14.4">
      <c r="A1337" s="93"/>
      <c r="B1337" s="90"/>
      <c r="C1337" s="90"/>
      <c r="D1337" s="92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</row>
    <row r="1338" spans="1:22" ht="14.4">
      <c r="A1338" s="93"/>
      <c r="B1338" s="90"/>
      <c r="C1338" s="90"/>
      <c r="D1338" s="92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</row>
    <row r="1339" spans="1:22" ht="14.4">
      <c r="A1339" s="93"/>
      <c r="B1339" s="90"/>
      <c r="C1339" s="90"/>
      <c r="D1339" s="92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</row>
    <row r="1340" spans="1:22" ht="14.4">
      <c r="A1340" s="93"/>
      <c r="B1340" s="90"/>
      <c r="C1340" s="90"/>
      <c r="D1340" s="92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</row>
    <row r="1341" spans="1:22" ht="14.4">
      <c r="A1341" s="93"/>
      <c r="B1341" s="90"/>
      <c r="C1341" s="90"/>
      <c r="D1341" s="92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</row>
    <row r="1342" spans="1:22" ht="14.4">
      <c r="A1342" s="93"/>
      <c r="B1342" s="90"/>
      <c r="C1342" s="90"/>
      <c r="D1342" s="92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</row>
    <row r="1343" spans="1:22" ht="14.4">
      <c r="A1343" s="93"/>
      <c r="B1343" s="90"/>
      <c r="C1343" s="90"/>
      <c r="D1343" s="92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</row>
    <row r="1344" spans="1:22" ht="14.4">
      <c r="A1344" s="93"/>
      <c r="B1344" s="90"/>
      <c r="C1344" s="90"/>
      <c r="D1344" s="92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</row>
    <row r="1345" spans="1:22" ht="14.4">
      <c r="A1345" s="93"/>
      <c r="B1345" s="90"/>
      <c r="C1345" s="90"/>
      <c r="D1345" s="92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</row>
    <row r="1346" spans="1:22" ht="14.4">
      <c r="A1346" s="93"/>
      <c r="B1346" s="90"/>
      <c r="C1346" s="90"/>
      <c r="D1346" s="92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</row>
    <row r="1347" spans="1:22" ht="14.4">
      <c r="A1347" s="93"/>
      <c r="B1347" s="90"/>
      <c r="C1347" s="90"/>
      <c r="D1347" s="92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</row>
    <row r="1348" spans="1:22" ht="14.4">
      <c r="A1348" s="93"/>
      <c r="B1348" s="90"/>
      <c r="C1348" s="90"/>
      <c r="D1348" s="92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</row>
    <row r="1349" spans="1:22" ht="14.4">
      <c r="A1349" s="93"/>
      <c r="B1349" s="90"/>
      <c r="C1349" s="90"/>
      <c r="D1349" s="92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</row>
    <row r="1350" spans="1:22" ht="14.4">
      <c r="A1350" s="93"/>
      <c r="B1350" s="90"/>
      <c r="C1350" s="90"/>
      <c r="D1350" s="92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</row>
    <row r="1351" spans="1:22" ht="14.4">
      <c r="A1351" s="93"/>
      <c r="B1351" s="90"/>
      <c r="C1351" s="90"/>
      <c r="D1351" s="92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</row>
    <row r="1352" spans="1:22" ht="14.4">
      <c r="A1352" s="93"/>
      <c r="B1352" s="90"/>
      <c r="C1352" s="90"/>
      <c r="D1352" s="92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</row>
    <row r="1353" spans="1:22" ht="14.4">
      <c r="A1353" s="93"/>
      <c r="B1353" s="90"/>
      <c r="C1353" s="90"/>
      <c r="D1353" s="92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</row>
    <row r="1354" spans="1:22" ht="14.4">
      <c r="A1354" s="93"/>
      <c r="B1354" s="90"/>
      <c r="C1354" s="90"/>
      <c r="D1354" s="92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</row>
    <row r="1355" spans="1:22" ht="14.4">
      <c r="A1355" s="93"/>
      <c r="B1355" s="90"/>
      <c r="C1355" s="90"/>
      <c r="D1355" s="92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</row>
    <row r="1356" spans="1:22" ht="14.4">
      <c r="A1356" s="93"/>
      <c r="B1356" s="90"/>
      <c r="C1356" s="90"/>
      <c r="D1356" s="92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</row>
    <row r="1357" spans="1:22" ht="14.4">
      <c r="A1357" s="93"/>
      <c r="B1357" s="90"/>
      <c r="C1357" s="90"/>
      <c r="D1357" s="92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</row>
    <row r="1358" spans="1:22" ht="14.4">
      <c r="A1358" s="93"/>
      <c r="B1358" s="90"/>
      <c r="C1358" s="90"/>
      <c r="D1358" s="92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</row>
    <row r="1359" spans="1:22" ht="14.4">
      <c r="A1359" s="93"/>
      <c r="B1359" s="90"/>
      <c r="C1359" s="90"/>
      <c r="D1359" s="92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</row>
    <row r="1360" spans="1:22" ht="14.4">
      <c r="A1360" s="93"/>
      <c r="B1360" s="90"/>
      <c r="C1360" s="90"/>
      <c r="D1360" s="92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</row>
    <row r="1361" spans="1:22" ht="14.4">
      <c r="A1361" s="93"/>
      <c r="B1361" s="90"/>
      <c r="C1361" s="90"/>
      <c r="D1361" s="92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</row>
    <row r="1362" spans="1:22" ht="14.4">
      <c r="A1362" s="93"/>
      <c r="B1362" s="90"/>
      <c r="C1362" s="90"/>
      <c r="D1362" s="92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</row>
    <row r="1363" spans="1:22" ht="14.4">
      <c r="A1363" s="93"/>
      <c r="B1363" s="90"/>
      <c r="C1363" s="90"/>
      <c r="D1363" s="92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</row>
    <row r="1364" spans="1:22" ht="14.4">
      <c r="A1364" s="93"/>
      <c r="B1364" s="90"/>
      <c r="C1364" s="90"/>
      <c r="D1364" s="92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</row>
    <row r="1365" spans="1:22" ht="14.4">
      <c r="A1365" s="93"/>
      <c r="B1365" s="90"/>
      <c r="C1365" s="90"/>
      <c r="D1365" s="92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</row>
    <row r="1366" spans="1:22" ht="14.4">
      <c r="A1366" s="93"/>
      <c r="B1366" s="90"/>
      <c r="C1366" s="90"/>
      <c r="D1366" s="92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</row>
    <row r="1367" spans="1:22" ht="14.4">
      <c r="A1367" s="93"/>
      <c r="B1367" s="90"/>
      <c r="C1367" s="90"/>
      <c r="D1367" s="92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</row>
    <row r="1368" spans="1:22" ht="14.4">
      <c r="A1368" s="93"/>
      <c r="B1368" s="90"/>
      <c r="C1368" s="90"/>
      <c r="D1368" s="92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</row>
    <row r="1369" spans="1:22" ht="14.4">
      <c r="A1369" s="93"/>
      <c r="B1369" s="90"/>
      <c r="C1369" s="90"/>
      <c r="D1369" s="92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</row>
    <row r="1370" spans="1:22" ht="14.4">
      <c r="A1370" s="93"/>
      <c r="B1370" s="90"/>
      <c r="C1370" s="90"/>
      <c r="D1370" s="92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</row>
    <row r="1371" spans="1:22" ht="14.4">
      <c r="A1371" s="93"/>
      <c r="B1371" s="90"/>
      <c r="C1371" s="90"/>
      <c r="D1371" s="92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</row>
    <row r="1372" spans="1:22" ht="14.4">
      <c r="A1372" s="93"/>
      <c r="B1372" s="90"/>
      <c r="C1372" s="90"/>
      <c r="D1372" s="92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</row>
    <row r="1373" spans="1:22" ht="14.4">
      <c r="A1373" s="93"/>
      <c r="B1373" s="90"/>
      <c r="C1373" s="90"/>
      <c r="D1373" s="92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</row>
    <row r="1374" spans="1:22" ht="14.4">
      <c r="A1374" s="93"/>
      <c r="B1374" s="90"/>
      <c r="C1374" s="90"/>
      <c r="D1374" s="92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</row>
    <row r="1375" spans="1:22" ht="14.4">
      <c r="A1375" s="93"/>
      <c r="B1375" s="90"/>
      <c r="C1375" s="90"/>
      <c r="D1375" s="92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</row>
    <row r="1376" spans="1:22" ht="14.4">
      <c r="A1376" s="93"/>
      <c r="B1376" s="90"/>
      <c r="C1376" s="90"/>
      <c r="D1376" s="92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</row>
    <row r="1377" spans="1:22" ht="14.4">
      <c r="A1377" s="93"/>
      <c r="B1377" s="90"/>
      <c r="C1377" s="90"/>
      <c r="D1377" s="92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</row>
    <row r="1378" spans="1:22" ht="14.4">
      <c r="A1378" s="93"/>
      <c r="B1378" s="90"/>
      <c r="C1378" s="90"/>
      <c r="D1378" s="92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</row>
    <row r="1379" spans="1:22" ht="14.4">
      <c r="A1379" s="93"/>
      <c r="B1379" s="90"/>
      <c r="C1379" s="90"/>
      <c r="D1379" s="92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</row>
    <row r="1380" spans="1:22" ht="14.4">
      <c r="A1380" s="93"/>
      <c r="B1380" s="90"/>
      <c r="C1380" s="90"/>
      <c r="D1380" s="92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</row>
    <row r="1381" spans="1:22" ht="14.4">
      <c r="A1381" s="93"/>
      <c r="B1381" s="90"/>
      <c r="C1381" s="90"/>
      <c r="D1381" s="92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</row>
    <row r="1382" spans="1:22" ht="14.4">
      <c r="A1382" s="93"/>
      <c r="B1382" s="90"/>
      <c r="C1382" s="90"/>
      <c r="D1382" s="92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</row>
    <row r="1383" spans="1:22" ht="14.4">
      <c r="A1383" s="93"/>
      <c r="B1383" s="90"/>
      <c r="C1383" s="90"/>
      <c r="D1383" s="92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</row>
    <row r="1384" spans="1:22" ht="14.4">
      <c r="A1384" s="93"/>
      <c r="B1384" s="90"/>
      <c r="C1384" s="90"/>
      <c r="D1384" s="92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</row>
    <row r="1385" spans="1:22" ht="14.4">
      <c r="A1385" s="93"/>
      <c r="B1385" s="90"/>
      <c r="C1385" s="90"/>
      <c r="D1385" s="92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</row>
    <row r="1386" spans="1:22" ht="14.4">
      <c r="A1386" s="93"/>
      <c r="B1386" s="90"/>
      <c r="C1386" s="90"/>
      <c r="D1386" s="92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</row>
    <row r="1387" spans="1:22" ht="14.4">
      <c r="A1387" s="93"/>
      <c r="B1387" s="90"/>
      <c r="C1387" s="90"/>
      <c r="D1387" s="92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</row>
    <row r="1388" spans="1:22" ht="14.4">
      <c r="A1388" s="93"/>
      <c r="B1388" s="90"/>
      <c r="C1388" s="90"/>
      <c r="D1388" s="92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</row>
    <row r="1389" spans="1:22" ht="14.4">
      <c r="A1389" s="93"/>
      <c r="B1389" s="90"/>
      <c r="C1389" s="90"/>
      <c r="D1389" s="92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</row>
    <row r="1390" spans="1:22" ht="14.4">
      <c r="A1390" s="93"/>
      <c r="B1390" s="90"/>
      <c r="C1390" s="90"/>
      <c r="D1390" s="92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</row>
    <row r="1391" spans="1:22" ht="14.4">
      <c r="A1391" s="93"/>
      <c r="B1391" s="90"/>
      <c r="C1391" s="90"/>
      <c r="D1391" s="92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</row>
    <row r="1392" spans="1:22" ht="14.4">
      <c r="A1392" s="93"/>
      <c r="B1392" s="90"/>
      <c r="C1392" s="90"/>
      <c r="D1392" s="92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</row>
    <row r="1393" spans="1:22" ht="14.4">
      <c r="A1393" s="93"/>
      <c r="B1393" s="90"/>
      <c r="C1393" s="90"/>
      <c r="D1393" s="92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</row>
    <row r="1394" spans="1:22" ht="14.4">
      <c r="A1394" s="93"/>
      <c r="B1394" s="90"/>
      <c r="C1394" s="90"/>
      <c r="D1394" s="92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</row>
    <row r="1395" spans="1:22" ht="14.4">
      <c r="A1395" s="93"/>
      <c r="B1395" s="90"/>
      <c r="C1395" s="90"/>
      <c r="D1395" s="92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</row>
    <row r="1396" spans="1:22" ht="14.4">
      <c r="A1396" s="93"/>
      <c r="B1396" s="90"/>
      <c r="C1396" s="90"/>
      <c r="D1396" s="92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</row>
    <row r="1397" spans="1:22" ht="14.4">
      <c r="A1397" s="93"/>
      <c r="B1397" s="90"/>
      <c r="C1397" s="90"/>
      <c r="D1397" s="92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</row>
    <row r="1398" spans="1:22" ht="14.4">
      <c r="A1398" s="93"/>
      <c r="B1398" s="90"/>
      <c r="C1398" s="90"/>
      <c r="D1398" s="92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</row>
    <row r="1399" spans="1:22" ht="14.4">
      <c r="A1399" s="93"/>
      <c r="B1399" s="90"/>
      <c r="C1399" s="90"/>
      <c r="D1399" s="92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</row>
    <row r="1400" spans="1:22" ht="14.4">
      <c r="A1400" s="93"/>
      <c r="B1400" s="90"/>
      <c r="C1400" s="90"/>
      <c r="D1400" s="92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</row>
    <row r="1401" spans="1:22" ht="14.4">
      <c r="A1401" s="93"/>
      <c r="B1401" s="90"/>
      <c r="C1401" s="90"/>
      <c r="D1401" s="92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</row>
    <row r="1402" spans="1:22" ht="14.4">
      <c r="A1402" s="93"/>
      <c r="B1402" s="90"/>
      <c r="C1402" s="90"/>
      <c r="D1402" s="92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</row>
    <row r="1403" spans="1:22" ht="14.4">
      <c r="A1403" s="93"/>
      <c r="B1403" s="90"/>
      <c r="C1403" s="90"/>
      <c r="D1403" s="92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</row>
    <row r="1404" spans="1:22" ht="14.4">
      <c r="A1404" s="93"/>
      <c r="B1404" s="90"/>
      <c r="C1404" s="90"/>
      <c r="D1404" s="92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</row>
    <row r="1405" spans="1:22" ht="14.4">
      <c r="A1405" s="93"/>
      <c r="B1405" s="90"/>
      <c r="C1405" s="90"/>
      <c r="D1405" s="92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</row>
    <row r="1406" spans="1:22" ht="14.4">
      <c r="A1406" s="93"/>
      <c r="B1406" s="90"/>
      <c r="C1406" s="90"/>
      <c r="D1406" s="92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</row>
    <row r="1407" spans="1:22" ht="14.4">
      <c r="A1407" s="93"/>
      <c r="B1407" s="90"/>
      <c r="C1407" s="90"/>
      <c r="D1407" s="92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</row>
    <row r="1408" spans="1:22" ht="14.4">
      <c r="A1408" s="93"/>
      <c r="B1408" s="90"/>
      <c r="C1408" s="90"/>
      <c r="D1408" s="92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</row>
    <row r="1409" spans="1:22" ht="14.4">
      <c r="A1409" s="93"/>
      <c r="B1409" s="90"/>
      <c r="C1409" s="90"/>
      <c r="D1409" s="92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</row>
    <row r="1410" spans="1:22" ht="14.4">
      <c r="A1410" s="93"/>
      <c r="B1410" s="90"/>
      <c r="C1410" s="90"/>
      <c r="D1410" s="92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</row>
    <row r="1411" spans="1:22" ht="14.4">
      <c r="A1411" s="93"/>
      <c r="B1411" s="90"/>
      <c r="C1411" s="90"/>
      <c r="D1411" s="92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</row>
    <row r="1412" spans="1:22" ht="14.4">
      <c r="A1412" s="93"/>
      <c r="B1412" s="90"/>
      <c r="C1412" s="90"/>
      <c r="D1412" s="92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</row>
    <row r="1413" spans="1:22" ht="14.4">
      <c r="A1413" s="93"/>
      <c r="B1413" s="90"/>
      <c r="C1413" s="90"/>
      <c r="D1413" s="92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</row>
    <row r="1414" spans="1:22" ht="14.4">
      <c r="A1414" s="93"/>
      <c r="B1414" s="90"/>
      <c r="C1414" s="90"/>
      <c r="D1414" s="92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</row>
    <row r="1415" spans="1:22" ht="14.4">
      <c r="A1415" s="93"/>
      <c r="B1415" s="90"/>
      <c r="C1415" s="90"/>
      <c r="D1415" s="92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</row>
    <row r="1416" spans="1:22" ht="14.4">
      <c r="A1416" s="93"/>
      <c r="B1416" s="90"/>
      <c r="C1416" s="90"/>
      <c r="D1416" s="92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</row>
    <row r="1417" spans="1:22" ht="14.4">
      <c r="A1417" s="93"/>
      <c r="B1417" s="90"/>
      <c r="C1417" s="90"/>
      <c r="D1417" s="92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</row>
    <row r="1418" spans="1:22" ht="14.4">
      <c r="A1418" s="93"/>
      <c r="B1418" s="90"/>
      <c r="C1418" s="90"/>
      <c r="D1418" s="92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</row>
    <row r="1419" spans="1:22" ht="14.4">
      <c r="A1419" s="93"/>
      <c r="B1419" s="90"/>
      <c r="C1419" s="90"/>
      <c r="D1419" s="92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</row>
    <row r="1420" spans="1:22" ht="14.4">
      <c r="A1420" s="93"/>
      <c r="B1420" s="90"/>
      <c r="C1420" s="90"/>
      <c r="D1420" s="92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</row>
    <row r="1421" spans="1:22" ht="14.4">
      <c r="A1421" s="93"/>
      <c r="B1421" s="90"/>
      <c r="C1421" s="90"/>
      <c r="D1421" s="92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</row>
    <row r="1422" spans="1:22" ht="14.4">
      <c r="A1422" s="93"/>
      <c r="B1422" s="90"/>
      <c r="C1422" s="90"/>
      <c r="D1422" s="92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</row>
    <row r="1423" spans="1:22" ht="14.4">
      <c r="A1423" s="93"/>
      <c r="B1423" s="90"/>
      <c r="C1423" s="90"/>
      <c r="D1423" s="92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</row>
    <row r="1424" spans="1:22" ht="14.4">
      <c r="A1424" s="93"/>
      <c r="B1424" s="90"/>
      <c r="C1424" s="90"/>
      <c r="D1424" s="92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</row>
    <row r="1425" spans="1:22" ht="14.4">
      <c r="A1425" s="93"/>
      <c r="B1425" s="90"/>
      <c r="C1425" s="90"/>
      <c r="D1425" s="92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</row>
    <row r="1426" spans="1:22" ht="14.4">
      <c r="A1426" s="93"/>
      <c r="B1426" s="90"/>
      <c r="C1426" s="90"/>
      <c r="D1426" s="92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</row>
    <row r="1427" spans="1:22" ht="14.4">
      <c r="A1427" s="93"/>
      <c r="B1427" s="90"/>
      <c r="C1427" s="90"/>
      <c r="D1427" s="92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</row>
    <row r="1428" spans="1:22" ht="14.4">
      <c r="A1428" s="93"/>
      <c r="B1428" s="90"/>
      <c r="C1428" s="90"/>
      <c r="D1428" s="92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</row>
    <row r="1429" spans="1:22" ht="14.4">
      <c r="A1429" s="93"/>
      <c r="B1429" s="90"/>
      <c r="C1429" s="90"/>
      <c r="D1429" s="92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</row>
    <row r="1430" spans="1:22" ht="14.4">
      <c r="A1430" s="93"/>
      <c r="B1430" s="90"/>
      <c r="C1430" s="90"/>
      <c r="D1430" s="92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</row>
    <row r="1431" spans="1:22" ht="14.4">
      <c r="A1431" s="93"/>
      <c r="B1431" s="90"/>
      <c r="C1431" s="90"/>
      <c r="D1431" s="92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</row>
    <row r="1432" spans="1:22" ht="14.4">
      <c r="A1432" s="93"/>
      <c r="B1432" s="90"/>
      <c r="C1432" s="90"/>
      <c r="D1432" s="92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</row>
    <row r="1433" spans="1:22" ht="14.4">
      <c r="A1433" s="93"/>
      <c r="B1433" s="90"/>
      <c r="C1433" s="90"/>
      <c r="D1433" s="92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</row>
    <row r="1434" spans="1:22" ht="14.4">
      <c r="A1434" s="93"/>
      <c r="B1434" s="90"/>
      <c r="C1434" s="90"/>
      <c r="D1434" s="92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</row>
    <row r="1435" spans="1:22" ht="14.4">
      <c r="A1435" s="93"/>
      <c r="B1435" s="90"/>
      <c r="C1435" s="90"/>
      <c r="D1435" s="92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</row>
    <row r="1436" spans="1:22" ht="14.4">
      <c r="A1436" s="93"/>
      <c r="B1436" s="90"/>
      <c r="C1436" s="90"/>
      <c r="D1436" s="92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</row>
    <row r="1437" spans="1:22" ht="14.4">
      <c r="A1437" s="93"/>
      <c r="B1437" s="90"/>
      <c r="C1437" s="90"/>
      <c r="D1437" s="92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</row>
    <row r="1438" spans="1:22" ht="14.4">
      <c r="A1438" s="93"/>
      <c r="B1438" s="90"/>
      <c r="C1438" s="90"/>
      <c r="D1438" s="92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</row>
    <row r="1439" spans="1:22" ht="14.4">
      <c r="A1439" s="93"/>
      <c r="B1439" s="90"/>
      <c r="C1439" s="90"/>
      <c r="D1439" s="92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</row>
    <row r="1440" spans="1:22" ht="14.4">
      <c r="A1440" s="93"/>
      <c r="B1440" s="90"/>
      <c r="C1440" s="90"/>
      <c r="D1440" s="92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</row>
    <row r="1441" spans="1:22" ht="14.4">
      <c r="A1441" s="93"/>
      <c r="B1441" s="90"/>
      <c r="C1441" s="90"/>
      <c r="D1441" s="92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</row>
    <row r="1442" spans="1:22" ht="14.4">
      <c r="A1442" s="93"/>
      <c r="B1442" s="90"/>
      <c r="C1442" s="90"/>
      <c r="D1442" s="92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</row>
    <row r="1443" spans="1:22" ht="14.4">
      <c r="A1443" s="93"/>
      <c r="B1443" s="90"/>
      <c r="C1443" s="90"/>
      <c r="D1443" s="92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</row>
    <row r="1444" spans="1:22" ht="14.4">
      <c r="A1444" s="93"/>
      <c r="B1444" s="90"/>
      <c r="C1444" s="90"/>
      <c r="D1444" s="92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</row>
    <row r="1445" spans="1:22" ht="14.4">
      <c r="A1445" s="93"/>
      <c r="B1445" s="90"/>
      <c r="C1445" s="90"/>
      <c r="D1445" s="92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</row>
    <row r="1446" spans="1:22" ht="14.4">
      <c r="A1446" s="93"/>
      <c r="B1446" s="90"/>
      <c r="C1446" s="90"/>
      <c r="D1446" s="92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</row>
    <row r="1447" spans="1:22" ht="14.4">
      <c r="A1447" s="93"/>
      <c r="B1447" s="90"/>
      <c r="C1447" s="90"/>
      <c r="D1447" s="92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</row>
    <row r="1448" spans="1:22" ht="14.4">
      <c r="A1448" s="93"/>
      <c r="B1448" s="90"/>
      <c r="C1448" s="90"/>
      <c r="D1448" s="92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</row>
    <row r="1449" spans="1:22" ht="14.4">
      <c r="A1449" s="93"/>
      <c r="B1449" s="90"/>
      <c r="C1449" s="90"/>
      <c r="D1449" s="92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</row>
    <row r="1450" spans="1:22" ht="14.4">
      <c r="A1450" s="93"/>
      <c r="B1450" s="90"/>
      <c r="C1450" s="90"/>
      <c r="D1450" s="92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</row>
    <row r="1451" spans="1:22" ht="14.4">
      <c r="A1451" s="93"/>
      <c r="B1451" s="90"/>
      <c r="C1451" s="90"/>
      <c r="D1451" s="92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</row>
    <row r="1452" spans="1:22" ht="14.4">
      <c r="A1452" s="93"/>
      <c r="B1452" s="90"/>
      <c r="C1452" s="90"/>
      <c r="D1452" s="92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</row>
    <row r="1453" spans="1:22" ht="14.4">
      <c r="A1453" s="93"/>
      <c r="B1453" s="90"/>
      <c r="C1453" s="90"/>
      <c r="D1453" s="92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</row>
    <row r="1454" spans="1:22" ht="14.4">
      <c r="A1454" s="93"/>
      <c r="B1454" s="90"/>
      <c r="C1454" s="90"/>
      <c r="D1454" s="92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</row>
    <row r="1455" spans="1:22" ht="14.4">
      <c r="A1455" s="93"/>
      <c r="B1455" s="90"/>
      <c r="C1455" s="90"/>
      <c r="D1455" s="92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</row>
    <row r="1456" spans="1:22" ht="14.4">
      <c r="A1456" s="93"/>
      <c r="B1456" s="90"/>
      <c r="C1456" s="90"/>
      <c r="D1456" s="92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</row>
    <row r="1457" spans="1:22" ht="14.4">
      <c r="A1457" s="93"/>
      <c r="B1457" s="90"/>
      <c r="C1457" s="90"/>
      <c r="D1457" s="92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</row>
    <row r="1458" spans="1:22" ht="14.4">
      <c r="A1458" s="93"/>
      <c r="B1458" s="90"/>
      <c r="C1458" s="90"/>
      <c r="D1458" s="92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</row>
    <row r="1459" spans="1:22" ht="14.4">
      <c r="A1459" s="93"/>
      <c r="B1459" s="90"/>
      <c r="C1459" s="90"/>
      <c r="D1459" s="92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</row>
    <row r="1460" spans="1:22" ht="14.4">
      <c r="A1460" s="93"/>
      <c r="B1460" s="90"/>
      <c r="C1460" s="90"/>
      <c r="D1460" s="92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</row>
    <row r="1461" spans="1:22" ht="14.4">
      <c r="A1461" s="93"/>
      <c r="B1461" s="90"/>
      <c r="C1461" s="90"/>
      <c r="D1461" s="92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</row>
    <row r="1462" spans="1:22" ht="14.4">
      <c r="A1462" s="93"/>
      <c r="B1462" s="90"/>
      <c r="C1462" s="90"/>
      <c r="D1462" s="92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</row>
    <row r="1463" spans="1:22" ht="14.4">
      <c r="A1463" s="93"/>
      <c r="B1463" s="90"/>
      <c r="C1463" s="90"/>
      <c r="D1463" s="92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</row>
    <row r="1464" spans="1:22" ht="14.4">
      <c r="A1464" s="93"/>
      <c r="B1464" s="90"/>
      <c r="C1464" s="90"/>
      <c r="D1464" s="92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</row>
    <row r="1465" spans="1:22" ht="14.4">
      <c r="A1465" s="93"/>
      <c r="B1465" s="90"/>
      <c r="C1465" s="90"/>
      <c r="D1465" s="92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</row>
    <row r="1466" spans="1:22" ht="14.4">
      <c r="A1466" s="93"/>
      <c r="B1466" s="90"/>
      <c r="C1466" s="90"/>
      <c r="D1466" s="92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</row>
    <row r="1467" spans="1:22" ht="14.4">
      <c r="A1467" s="93"/>
      <c r="B1467" s="90"/>
      <c r="C1467" s="90"/>
      <c r="D1467" s="92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</row>
    <row r="1468" spans="1:22" ht="14.4">
      <c r="A1468" s="93"/>
      <c r="B1468" s="90"/>
      <c r="C1468" s="90"/>
      <c r="D1468" s="92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</row>
    <row r="1469" spans="1:22" ht="14.4">
      <c r="A1469" s="93"/>
      <c r="B1469" s="90"/>
      <c r="C1469" s="90"/>
      <c r="D1469" s="92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</row>
    <row r="1470" spans="1:22" ht="14.4">
      <c r="A1470" s="93"/>
      <c r="B1470" s="90"/>
      <c r="C1470" s="90"/>
      <c r="D1470" s="92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</row>
    <row r="1471" spans="1:22" ht="14.4">
      <c r="A1471" s="93"/>
      <c r="B1471" s="90"/>
      <c r="C1471" s="90"/>
      <c r="D1471" s="92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</row>
    <row r="1472" spans="1:22" ht="14.4">
      <c r="A1472" s="93"/>
      <c r="B1472" s="90"/>
      <c r="C1472" s="90"/>
      <c r="D1472" s="92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</row>
    <row r="1473" spans="1:22" ht="14.4">
      <c r="A1473" s="93"/>
      <c r="B1473" s="90"/>
      <c r="C1473" s="90"/>
      <c r="D1473" s="92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</row>
    <row r="1474" spans="1:22" ht="14.4">
      <c r="A1474" s="93"/>
      <c r="B1474" s="90"/>
      <c r="C1474" s="90"/>
      <c r="D1474" s="92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</row>
    <row r="1475" spans="1:22" ht="14.4">
      <c r="A1475" s="93"/>
      <c r="B1475" s="90"/>
      <c r="C1475" s="90"/>
      <c r="D1475" s="92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</row>
    <row r="1476" spans="1:22" ht="14.4">
      <c r="A1476" s="93"/>
      <c r="B1476" s="90"/>
      <c r="C1476" s="90"/>
      <c r="D1476" s="92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</row>
    <row r="1477" spans="1:22" ht="14.4">
      <c r="A1477" s="93"/>
      <c r="B1477" s="90"/>
      <c r="C1477" s="90"/>
      <c r="D1477" s="92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</row>
    <row r="1478" spans="1:22" ht="14.4">
      <c r="A1478" s="93"/>
      <c r="B1478" s="90"/>
      <c r="C1478" s="90"/>
      <c r="D1478" s="92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</row>
    <row r="1479" spans="1:22" ht="14.4">
      <c r="A1479" s="93"/>
      <c r="B1479" s="90"/>
      <c r="C1479" s="90"/>
      <c r="D1479" s="92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</row>
    <row r="1480" spans="1:22" ht="14.4">
      <c r="A1480" s="93"/>
      <c r="B1480" s="90"/>
      <c r="C1480" s="90"/>
      <c r="D1480" s="92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</row>
    <row r="1481" spans="1:22" ht="14.4">
      <c r="A1481" s="93"/>
      <c r="B1481" s="90"/>
      <c r="C1481" s="90"/>
      <c r="D1481" s="92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</row>
    <row r="1482" spans="1:22" ht="14.4">
      <c r="A1482" s="93"/>
      <c r="B1482" s="90"/>
      <c r="C1482" s="90"/>
      <c r="D1482" s="92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</row>
    <row r="1483" spans="1:22" ht="14.4">
      <c r="A1483" s="93"/>
      <c r="B1483" s="90"/>
      <c r="C1483" s="90"/>
      <c r="D1483" s="92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</row>
    <row r="1484" spans="1:22" ht="14.4">
      <c r="A1484" s="93"/>
      <c r="B1484" s="90"/>
      <c r="C1484" s="90"/>
      <c r="D1484" s="92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</row>
    <row r="1485" spans="1:22" ht="14.4">
      <c r="A1485" s="93"/>
      <c r="B1485" s="90"/>
      <c r="C1485" s="90"/>
      <c r="D1485" s="92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</row>
    <row r="1486" spans="1:22" ht="14.4">
      <c r="A1486" s="93"/>
      <c r="B1486" s="90"/>
      <c r="C1486" s="90"/>
      <c r="D1486" s="92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</row>
    <row r="1487" spans="1:22" ht="14.4">
      <c r="A1487" s="93"/>
      <c r="B1487" s="90"/>
      <c r="C1487" s="90"/>
      <c r="D1487" s="92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</row>
    <row r="1488" spans="1:22" ht="14.4">
      <c r="A1488" s="93"/>
      <c r="B1488" s="90"/>
      <c r="C1488" s="90"/>
      <c r="D1488" s="92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</row>
    <row r="1489" spans="1:22" ht="14.4">
      <c r="A1489" s="93"/>
      <c r="B1489" s="90"/>
      <c r="C1489" s="90"/>
      <c r="D1489" s="92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</row>
    <row r="1490" spans="1:22" ht="14.4">
      <c r="A1490" s="93"/>
      <c r="B1490" s="90"/>
      <c r="C1490" s="90"/>
      <c r="D1490" s="92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</row>
    <row r="1491" spans="1:22" ht="14.4">
      <c r="A1491" s="93"/>
      <c r="B1491" s="90"/>
      <c r="C1491" s="90"/>
      <c r="D1491" s="92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</row>
    <row r="1492" spans="1:22" ht="14.4">
      <c r="A1492" s="93"/>
      <c r="B1492" s="90"/>
      <c r="C1492" s="90"/>
      <c r="D1492" s="92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</row>
    <row r="1493" spans="1:22" ht="14.4">
      <c r="A1493" s="93"/>
      <c r="B1493" s="90"/>
      <c r="C1493" s="90"/>
      <c r="D1493" s="92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</row>
    <row r="1494" spans="1:22" ht="14.4">
      <c r="A1494" s="93"/>
      <c r="B1494" s="90"/>
      <c r="C1494" s="90"/>
      <c r="D1494" s="92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</row>
    <row r="1495" spans="1:22" ht="14.4">
      <c r="A1495" s="93"/>
      <c r="B1495" s="90"/>
      <c r="C1495" s="90"/>
      <c r="D1495" s="92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</row>
    <row r="1496" spans="1:22" ht="14.4">
      <c r="A1496" s="93"/>
      <c r="B1496" s="90"/>
      <c r="C1496" s="90"/>
      <c r="D1496" s="92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</row>
    <row r="1497" spans="1:22" ht="14.4">
      <c r="A1497" s="93"/>
      <c r="B1497" s="90"/>
      <c r="C1497" s="90"/>
      <c r="D1497" s="92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</row>
    <row r="1498" spans="1:22" ht="14.4">
      <c r="A1498" s="93"/>
      <c r="B1498" s="90"/>
      <c r="C1498" s="90"/>
      <c r="D1498" s="92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</row>
    <row r="1499" spans="1:22" ht="14.4">
      <c r="A1499" s="93"/>
      <c r="B1499" s="90"/>
      <c r="C1499" s="90"/>
      <c r="D1499" s="92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</row>
    <row r="1500" spans="1:22" ht="14.4">
      <c r="A1500" s="93"/>
      <c r="B1500" s="90"/>
      <c r="C1500" s="90"/>
      <c r="D1500" s="92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</row>
    <row r="1501" spans="1:22" ht="14.4">
      <c r="A1501" s="93"/>
      <c r="B1501" s="90"/>
      <c r="C1501" s="90"/>
      <c r="D1501" s="92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</row>
    <row r="1502" spans="1:22" ht="14.4">
      <c r="A1502" s="93"/>
      <c r="B1502" s="90"/>
      <c r="C1502" s="90"/>
      <c r="D1502" s="92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</row>
    <row r="1503" spans="1:22" ht="14.4">
      <c r="A1503" s="93"/>
      <c r="B1503" s="90"/>
      <c r="C1503" s="90"/>
      <c r="D1503" s="92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</row>
    <row r="1504" spans="1:22" ht="14.4">
      <c r="A1504" s="93"/>
      <c r="B1504" s="90"/>
      <c r="C1504" s="90"/>
      <c r="D1504" s="92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</row>
    <row r="1505" spans="1:22" ht="14.4">
      <c r="A1505" s="93"/>
      <c r="B1505" s="90"/>
      <c r="C1505" s="90"/>
      <c r="D1505" s="92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</row>
    <row r="1506" spans="1:22" ht="14.4">
      <c r="A1506" s="93"/>
      <c r="B1506" s="90"/>
      <c r="C1506" s="90"/>
      <c r="D1506" s="92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</row>
    <row r="1507" spans="1:22" ht="14.4">
      <c r="A1507" s="93"/>
      <c r="B1507" s="90"/>
      <c r="C1507" s="90"/>
      <c r="D1507" s="92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</row>
    <row r="1508" spans="1:22" ht="14.4">
      <c r="A1508" s="93"/>
      <c r="B1508" s="90"/>
      <c r="C1508" s="90"/>
      <c r="D1508" s="92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</row>
    <row r="1509" spans="1:22" ht="14.4">
      <c r="A1509" s="93"/>
      <c r="B1509" s="90"/>
      <c r="C1509" s="90"/>
      <c r="D1509" s="92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</row>
    <row r="1510" spans="1:22" ht="14.4">
      <c r="A1510" s="93"/>
      <c r="B1510" s="90"/>
      <c r="C1510" s="90"/>
      <c r="D1510" s="92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</row>
    <row r="1511" spans="1:22" ht="14.4">
      <c r="A1511" s="93"/>
      <c r="B1511" s="90"/>
      <c r="C1511" s="90"/>
      <c r="D1511" s="92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</row>
    <row r="1512" spans="1:22" ht="14.4">
      <c r="A1512" s="93"/>
      <c r="B1512" s="90"/>
      <c r="C1512" s="90"/>
      <c r="D1512" s="92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</row>
    <row r="1513" spans="1:22" ht="14.4">
      <c r="A1513" s="93"/>
      <c r="B1513" s="90"/>
      <c r="C1513" s="90"/>
      <c r="D1513" s="92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</row>
    <row r="1514" spans="1:22" ht="14.4">
      <c r="A1514" s="93"/>
      <c r="B1514" s="90"/>
      <c r="C1514" s="90"/>
      <c r="D1514" s="92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</row>
    <row r="1515" spans="1:22" ht="14.4">
      <c r="A1515" s="93"/>
      <c r="B1515" s="90"/>
      <c r="C1515" s="90"/>
      <c r="D1515" s="92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</row>
    <row r="1516" spans="1:22" ht="14.4">
      <c r="A1516" s="93"/>
      <c r="B1516" s="90"/>
      <c r="C1516" s="90"/>
      <c r="D1516" s="92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</row>
    <row r="1517" spans="1:22" ht="14.4">
      <c r="A1517" s="93"/>
      <c r="B1517" s="90"/>
      <c r="C1517" s="90"/>
      <c r="D1517" s="92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</row>
    <row r="1518" spans="1:22" ht="14.4">
      <c r="A1518" s="93"/>
      <c r="B1518" s="90"/>
      <c r="C1518" s="90"/>
      <c r="D1518" s="92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</row>
    <row r="1519" spans="1:22" ht="14.4">
      <c r="A1519" s="93"/>
      <c r="B1519" s="90"/>
      <c r="C1519" s="90"/>
      <c r="D1519" s="92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</row>
    <row r="1520" spans="1:22" ht="14.4">
      <c r="A1520" s="93"/>
      <c r="B1520" s="90"/>
      <c r="C1520" s="90"/>
      <c r="D1520" s="92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</row>
    <row r="1521" spans="1:22" ht="14.4">
      <c r="A1521" s="93"/>
      <c r="B1521" s="90"/>
      <c r="C1521" s="90"/>
      <c r="D1521" s="92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</row>
    <row r="1522" spans="1:22" ht="14.4">
      <c r="A1522" s="93"/>
      <c r="B1522" s="90"/>
      <c r="C1522" s="90"/>
      <c r="D1522" s="92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</row>
    <row r="1523" spans="1:22" ht="14.4">
      <c r="A1523" s="93"/>
      <c r="B1523" s="90"/>
      <c r="C1523" s="90"/>
      <c r="D1523" s="92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</row>
    <row r="1524" spans="1:22" ht="14.4">
      <c r="A1524" s="93"/>
      <c r="B1524" s="90"/>
      <c r="C1524" s="90"/>
      <c r="D1524" s="92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</row>
    <row r="1525" spans="1:22" ht="14.4">
      <c r="A1525" s="93"/>
      <c r="B1525" s="90"/>
      <c r="C1525" s="90"/>
      <c r="D1525" s="92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</row>
    <row r="1526" spans="1:22" ht="14.4">
      <c r="A1526" s="93"/>
      <c r="B1526" s="90"/>
      <c r="C1526" s="90"/>
      <c r="D1526" s="92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</row>
    <row r="1527" spans="1:22" ht="14.4">
      <c r="A1527" s="93"/>
      <c r="B1527" s="90"/>
      <c r="C1527" s="90"/>
      <c r="D1527" s="92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</row>
    <row r="1528" spans="1:22" ht="14.4">
      <c r="A1528" s="93"/>
      <c r="B1528" s="90"/>
      <c r="C1528" s="90"/>
      <c r="D1528" s="92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</row>
    <row r="1529" spans="1:22" ht="14.4">
      <c r="A1529" s="93"/>
      <c r="B1529" s="90"/>
      <c r="C1529" s="90"/>
      <c r="D1529" s="92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</row>
    <row r="1530" spans="1:22" ht="14.4">
      <c r="A1530" s="93"/>
      <c r="B1530" s="90"/>
      <c r="C1530" s="90"/>
      <c r="D1530" s="92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</row>
    <row r="1531" spans="1:22" ht="14.4">
      <c r="A1531" s="93"/>
      <c r="B1531" s="90"/>
      <c r="C1531" s="90"/>
      <c r="D1531" s="92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</row>
    <row r="1532" spans="1:22" ht="14.4">
      <c r="A1532" s="93"/>
      <c r="B1532" s="90"/>
      <c r="C1532" s="90"/>
      <c r="D1532" s="92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</row>
    <row r="1533" spans="1:22" ht="14.4">
      <c r="A1533" s="93"/>
      <c r="B1533" s="90"/>
      <c r="C1533" s="90"/>
      <c r="D1533" s="92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</row>
    <row r="1534" spans="1:22" ht="14.4">
      <c r="A1534" s="93"/>
      <c r="B1534" s="90"/>
      <c r="C1534" s="90"/>
      <c r="D1534" s="92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</row>
    <row r="1535" spans="1:22" ht="14.4">
      <c r="A1535" s="93"/>
      <c r="B1535" s="90"/>
      <c r="C1535" s="90"/>
      <c r="D1535" s="92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</row>
    <row r="1536" spans="1:22" ht="14.4">
      <c r="A1536" s="93"/>
      <c r="B1536" s="90"/>
      <c r="C1536" s="90"/>
      <c r="D1536" s="92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</row>
    <row r="1537" spans="1:22" ht="14.4">
      <c r="A1537" s="93"/>
      <c r="B1537" s="90"/>
      <c r="C1537" s="90"/>
      <c r="D1537" s="92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</row>
    <row r="1538" spans="1:22" ht="14.4">
      <c r="A1538" s="93"/>
      <c r="B1538" s="90"/>
      <c r="C1538" s="90"/>
      <c r="D1538" s="92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</row>
    <row r="1539" spans="1:22" ht="14.4">
      <c r="A1539" s="93"/>
      <c r="B1539" s="90"/>
      <c r="C1539" s="90"/>
      <c r="D1539" s="92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</row>
    <row r="1540" spans="1:22" ht="14.4">
      <c r="A1540" s="93"/>
      <c r="B1540" s="90"/>
      <c r="C1540" s="90"/>
      <c r="D1540" s="92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</row>
    <row r="1541" spans="1:22" ht="14.4">
      <c r="A1541" s="93"/>
      <c r="B1541" s="90"/>
      <c r="C1541" s="90"/>
      <c r="D1541" s="92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</row>
    <row r="1542" spans="1:22" ht="14.4">
      <c r="A1542" s="93"/>
      <c r="B1542" s="90"/>
      <c r="C1542" s="90"/>
      <c r="D1542" s="92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</row>
    <row r="1543" spans="1:22" ht="14.4">
      <c r="A1543" s="93"/>
      <c r="B1543" s="90"/>
      <c r="C1543" s="90"/>
      <c r="D1543" s="92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</row>
    <row r="1544" spans="1:22" ht="14.4">
      <c r="A1544" s="93"/>
      <c r="B1544" s="90"/>
      <c r="C1544" s="90"/>
      <c r="D1544" s="92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</row>
    <row r="1545" spans="1:22" ht="14.4">
      <c r="A1545" s="93"/>
      <c r="B1545" s="90"/>
      <c r="C1545" s="90"/>
      <c r="D1545" s="92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</row>
    <row r="1546" spans="1:22" ht="14.4">
      <c r="A1546" s="93"/>
      <c r="B1546" s="90"/>
      <c r="C1546" s="90"/>
      <c r="D1546" s="92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</row>
    <row r="1547" spans="1:22" ht="14.4">
      <c r="A1547" s="93"/>
      <c r="B1547" s="90"/>
      <c r="C1547" s="90"/>
      <c r="D1547" s="92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</row>
    <row r="1548" spans="1:22" ht="14.4">
      <c r="A1548" s="93"/>
      <c r="B1548" s="90"/>
      <c r="C1548" s="90"/>
      <c r="D1548" s="92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</row>
    <row r="1549" spans="1:22" ht="14.4">
      <c r="A1549" s="93"/>
      <c r="B1549" s="90"/>
      <c r="C1549" s="90"/>
      <c r="D1549" s="92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</row>
    <row r="1550" spans="1:22" ht="14.4">
      <c r="A1550" s="93"/>
      <c r="B1550" s="90"/>
      <c r="C1550" s="90"/>
      <c r="D1550" s="92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</row>
    <row r="1551" spans="1:22" ht="14.4">
      <c r="A1551" s="93"/>
      <c r="B1551" s="90"/>
      <c r="C1551" s="90"/>
      <c r="D1551" s="92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</row>
    <row r="1552" spans="1:22" ht="14.4">
      <c r="A1552" s="93"/>
      <c r="B1552" s="90"/>
      <c r="C1552" s="90"/>
      <c r="D1552" s="92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</row>
    <row r="1553" spans="1:22" ht="14.4">
      <c r="A1553" s="93"/>
      <c r="B1553" s="90"/>
      <c r="C1553" s="90"/>
      <c r="D1553" s="92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</row>
    <row r="1554" spans="1:22" ht="14.4">
      <c r="A1554" s="93"/>
      <c r="B1554" s="90"/>
      <c r="C1554" s="90"/>
      <c r="D1554" s="92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</row>
    <row r="1555" spans="1:22" ht="14.4">
      <c r="A1555" s="93"/>
      <c r="B1555" s="90"/>
      <c r="C1555" s="90"/>
      <c r="D1555" s="92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</row>
    <row r="1556" spans="1:22" ht="14.4">
      <c r="A1556" s="93"/>
      <c r="B1556" s="90"/>
      <c r="C1556" s="90"/>
      <c r="D1556" s="92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</row>
    <row r="1557" spans="1:22" ht="14.4">
      <c r="A1557" s="93"/>
      <c r="B1557" s="90"/>
      <c r="C1557" s="90"/>
      <c r="D1557" s="92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</row>
    <row r="1558" spans="1:22" ht="14.4">
      <c r="A1558" s="93"/>
      <c r="B1558" s="90"/>
      <c r="C1558" s="90"/>
      <c r="D1558" s="92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</row>
    <row r="1559" spans="1:22" ht="14.4">
      <c r="A1559" s="93"/>
      <c r="B1559" s="90"/>
      <c r="C1559" s="90"/>
      <c r="D1559" s="92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</row>
    <row r="1560" spans="1:22" ht="14.4">
      <c r="A1560" s="93"/>
      <c r="B1560" s="90"/>
      <c r="C1560" s="90"/>
      <c r="D1560" s="92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</row>
    <row r="1561" spans="1:22" ht="14.4">
      <c r="A1561" s="93"/>
      <c r="B1561" s="90"/>
      <c r="C1561" s="90"/>
      <c r="D1561" s="92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</row>
    <row r="1562" spans="1:22" ht="14.4">
      <c r="A1562" s="93"/>
      <c r="B1562" s="90"/>
      <c r="C1562" s="90"/>
      <c r="D1562" s="92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</row>
    <row r="1563" spans="1:22" ht="14.4">
      <c r="A1563" s="93"/>
      <c r="B1563" s="90"/>
      <c r="C1563" s="90"/>
      <c r="D1563" s="92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</row>
    <row r="1564" spans="1:22" ht="14.4">
      <c r="A1564" s="93"/>
      <c r="B1564" s="90"/>
      <c r="C1564" s="90"/>
      <c r="D1564" s="92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</row>
    <row r="1565" spans="1:22" ht="14.4">
      <c r="A1565" s="93"/>
      <c r="B1565" s="90"/>
      <c r="C1565" s="90"/>
      <c r="D1565" s="92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</row>
    <row r="1566" spans="1:22" ht="14.4">
      <c r="A1566" s="93"/>
      <c r="B1566" s="90"/>
      <c r="C1566" s="90"/>
      <c r="D1566" s="92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</row>
    <row r="1567" spans="1:22" ht="14.4">
      <c r="A1567" s="93"/>
      <c r="B1567" s="90"/>
      <c r="C1567" s="90"/>
      <c r="D1567" s="92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</row>
    <row r="1568" spans="1:22" ht="14.4">
      <c r="A1568" s="93"/>
      <c r="B1568" s="90"/>
      <c r="C1568" s="90"/>
      <c r="D1568" s="92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</row>
    <row r="1569" spans="1:22" ht="14.4">
      <c r="A1569" s="93"/>
      <c r="B1569" s="90"/>
      <c r="C1569" s="90"/>
      <c r="D1569" s="92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</row>
    <row r="1570" spans="1:22" ht="14.4">
      <c r="A1570" s="93"/>
      <c r="B1570" s="90"/>
      <c r="C1570" s="90"/>
      <c r="D1570" s="92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</row>
    <row r="1571" spans="1:22" ht="14.4">
      <c r="A1571" s="93"/>
      <c r="B1571" s="90"/>
      <c r="C1571" s="90"/>
      <c r="D1571" s="92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</row>
    <row r="1572" spans="1:22" ht="14.4">
      <c r="A1572" s="93"/>
      <c r="B1572" s="90"/>
      <c r="C1572" s="90"/>
      <c r="D1572" s="92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</row>
    <row r="1573" spans="1:22" ht="14.4">
      <c r="A1573" s="93"/>
      <c r="B1573" s="90"/>
      <c r="C1573" s="90"/>
      <c r="D1573" s="92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</row>
    <row r="1574" spans="1:22" ht="14.4">
      <c r="A1574" s="93"/>
      <c r="B1574" s="90"/>
      <c r="C1574" s="90"/>
      <c r="D1574" s="92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</row>
    <row r="1575" spans="1:22" ht="14.4">
      <c r="A1575" s="93"/>
      <c r="B1575" s="90"/>
      <c r="C1575" s="90"/>
      <c r="D1575" s="92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</row>
    <row r="1576" spans="1:22" ht="14.4">
      <c r="A1576" s="93"/>
      <c r="B1576" s="90"/>
      <c r="C1576" s="90"/>
      <c r="D1576" s="92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</row>
    <row r="1577" spans="1:22" ht="14.4">
      <c r="A1577" s="93"/>
      <c r="B1577" s="90"/>
      <c r="C1577" s="90"/>
      <c r="D1577" s="92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</row>
    <row r="1578" spans="1:22" ht="14.4">
      <c r="A1578" s="93"/>
      <c r="B1578" s="90"/>
      <c r="C1578" s="90"/>
      <c r="D1578" s="92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</row>
    <row r="1579" spans="1:22" ht="14.4">
      <c r="A1579" s="93"/>
      <c r="B1579" s="90"/>
      <c r="C1579" s="90"/>
      <c r="D1579" s="92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</row>
    <row r="1580" spans="1:22" ht="14.4">
      <c r="A1580" s="93"/>
      <c r="B1580" s="90"/>
      <c r="C1580" s="90"/>
      <c r="D1580" s="92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</row>
    <row r="1581" spans="1:22" ht="14.4">
      <c r="A1581" s="93"/>
      <c r="B1581" s="90"/>
      <c r="C1581" s="90"/>
      <c r="D1581" s="92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</row>
    <row r="1582" spans="1:22" ht="14.4">
      <c r="A1582" s="93"/>
      <c r="B1582" s="90"/>
      <c r="C1582" s="90"/>
      <c r="D1582" s="92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</row>
    <row r="1583" spans="1:22" ht="14.4">
      <c r="A1583" s="93"/>
      <c r="B1583" s="90"/>
      <c r="C1583" s="90"/>
      <c r="D1583" s="92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</row>
    <row r="1584" spans="1:22" ht="14.4">
      <c r="A1584" s="93"/>
      <c r="B1584" s="90"/>
      <c r="C1584" s="90"/>
      <c r="D1584" s="92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</row>
    <row r="1585" spans="1:22" ht="14.4">
      <c r="A1585" s="93"/>
      <c r="B1585" s="90"/>
      <c r="C1585" s="90"/>
      <c r="D1585" s="92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</row>
    <row r="1586" spans="1:22" ht="14.4">
      <c r="A1586" s="93"/>
      <c r="B1586" s="90"/>
      <c r="C1586" s="90"/>
      <c r="D1586" s="92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</row>
    <row r="1587" spans="1:22" ht="14.4">
      <c r="A1587" s="93"/>
      <c r="B1587" s="90"/>
      <c r="C1587" s="90"/>
      <c r="D1587" s="92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</row>
    <row r="1588" spans="1:22" ht="14.4">
      <c r="A1588" s="93"/>
      <c r="B1588" s="90"/>
      <c r="C1588" s="90"/>
      <c r="D1588" s="92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</row>
    <row r="1589" spans="1:22" ht="14.4">
      <c r="A1589" s="93"/>
      <c r="B1589" s="90"/>
      <c r="C1589" s="90"/>
      <c r="D1589" s="92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</row>
    <row r="1590" spans="1:22" ht="14.4">
      <c r="A1590" s="93"/>
      <c r="B1590" s="90"/>
      <c r="C1590" s="90"/>
      <c r="D1590" s="92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</row>
    <row r="1591" spans="1:22" ht="14.4">
      <c r="A1591" s="93"/>
      <c r="B1591" s="90"/>
      <c r="C1591" s="90"/>
      <c r="D1591" s="92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</row>
    <row r="1592" spans="1:22" ht="14.4">
      <c r="A1592" s="93"/>
      <c r="B1592" s="90"/>
      <c r="C1592" s="90"/>
      <c r="D1592" s="92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</row>
    <row r="1593" spans="1:22" ht="14.4">
      <c r="A1593" s="93"/>
      <c r="B1593" s="90"/>
      <c r="C1593" s="90"/>
      <c r="D1593" s="92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</row>
    <row r="1594" spans="1:22" ht="14.4">
      <c r="A1594" s="93"/>
      <c r="B1594" s="90"/>
      <c r="C1594" s="90"/>
      <c r="D1594" s="92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</row>
    <row r="1595" spans="1:22" ht="14.4">
      <c r="A1595" s="93"/>
      <c r="B1595" s="90"/>
      <c r="C1595" s="90"/>
      <c r="D1595" s="92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</row>
    <row r="1596" spans="1:22" ht="14.4">
      <c r="A1596" s="93"/>
      <c r="B1596" s="90"/>
      <c r="C1596" s="90"/>
      <c r="D1596" s="92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</row>
    <row r="1597" spans="1:22" ht="14.4">
      <c r="A1597" s="93"/>
      <c r="B1597" s="90"/>
      <c r="C1597" s="90"/>
      <c r="D1597" s="92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</row>
    <row r="1598" spans="1:22" ht="14.4">
      <c r="A1598" s="93"/>
      <c r="B1598" s="90"/>
      <c r="C1598" s="90"/>
      <c r="D1598" s="92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</row>
    <row r="1599" spans="1:22" ht="14.4">
      <c r="A1599" s="93"/>
      <c r="B1599" s="90"/>
      <c r="C1599" s="90"/>
      <c r="D1599" s="92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</row>
    <row r="1600" spans="1:22" ht="14.4">
      <c r="A1600" s="93"/>
      <c r="B1600" s="90"/>
      <c r="C1600" s="90"/>
      <c r="D1600" s="92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</row>
    <row r="1601" spans="1:22" ht="14.4">
      <c r="A1601" s="93"/>
      <c r="B1601" s="90"/>
      <c r="C1601" s="90"/>
      <c r="D1601" s="92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</row>
    <row r="1602" spans="1:22" ht="14.4">
      <c r="A1602" s="93"/>
      <c r="B1602" s="90"/>
      <c r="C1602" s="90"/>
      <c r="D1602" s="92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</row>
    <row r="1603" spans="1:22" ht="14.4">
      <c r="A1603" s="93"/>
      <c r="B1603" s="90"/>
      <c r="C1603" s="90"/>
      <c r="D1603" s="92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</row>
    <row r="1604" spans="1:22" ht="14.4">
      <c r="A1604" s="93"/>
      <c r="B1604" s="90"/>
      <c r="C1604" s="90"/>
      <c r="D1604" s="92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</row>
    <row r="1605" spans="1:22" ht="14.4">
      <c r="A1605" s="93"/>
      <c r="B1605" s="90"/>
      <c r="C1605" s="90"/>
      <c r="D1605" s="92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</row>
    <row r="1606" spans="1:22" ht="14.4">
      <c r="A1606" s="93"/>
      <c r="B1606" s="90"/>
      <c r="C1606" s="90"/>
      <c r="D1606" s="92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</row>
    <row r="1607" spans="1:22" ht="14.4">
      <c r="A1607" s="93"/>
      <c r="B1607" s="90"/>
      <c r="C1607" s="90"/>
      <c r="D1607" s="92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</row>
    <row r="1608" spans="1:22" ht="14.4">
      <c r="A1608" s="93"/>
      <c r="B1608" s="90"/>
      <c r="C1608" s="90"/>
      <c r="D1608" s="92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</row>
    <row r="1609" spans="1:22" ht="14.4">
      <c r="A1609" s="93"/>
      <c r="B1609" s="90"/>
      <c r="C1609" s="90"/>
      <c r="D1609" s="92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</row>
    <row r="1610" spans="1:22" ht="14.4">
      <c r="A1610" s="93"/>
      <c r="B1610" s="90"/>
      <c r="C1610" s="90"/>
      <c r="D1610" s="92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</row>
    <row r="1611" spans="1:22" ht="14.4">
      <c r="A1611" s="93"/>
      <c r="B1611" s="90"/>
      <c r="C1611" s="90"/>
      <c r="D1611" s="92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</row>
    <row r="1612" spans="1:22" ht="14.4">
      <c r="A1612" s="93"/>
      <c r="B1612" s="90"/>
      <c r="C1612" s="90"/>
      <c r="D1612" s="92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</row>
    <row r="1613" spans="1:22" ht="14.4">
      <c r="A1613" s="93"/>
      <c r="B1613" s="90"/>
      <c r="C1613" s="90"/>
      <c r="D1613" s="92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</row>
    <row r="1614" spans="1:22" ht="14.4">
      <c r="A1614" s="93"/>
      <c r="B1614" s="90"/>
      <c r="C1614" s="90"/>
      <c r="D1614" s="92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</row>
    <row r="1615" spans="1:22" ht="14.4">
      <c r="A1615" s="93"/>
      <c r="B1615" s="90"/>
      <c r="C1615" s="90"/>
      <c r="D1615" s="92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</row>
    <row r="1616" spans="1:22" ht="14.4">
      <c r="A1616" s="93"/>
      <c r="B1616" s="90"/>
      <c r="C1616" s="90"/>
      <c r="D1616" s="92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</row>
    <row r="1617" spans="1:22" ht="14.4">
      <c r="A1617" s="93"/>
      <c r="B1617" s="90"/>
      <c r="C1617" s="90"/>
      <c r="D1617" s="92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</row>
    <row r="1618" spans="1:22" ht="14.4">
      <c r="A1618" s="93"/>
      <c r="B1618" s="90"/>
      <c r="C1618" s="90"/>
      <c r="D1618" s="92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</row>
    <row r="1619" spans="1:22" ht="14.4">
      <c r="A1619" s="93"/>
      <c r="B1619" s="90"/>
      <c r="C1619" s="90"/>
      <c r="D1619" s="92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</row>
    <row r="1620" spans="1:22" ht="14.4">
      <c r="A1620" s="93"/>
      <c r="B1620" s="90"/>
      <c r="C1620" s="90"/>
      <c r="D1620" s="92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</row>
    <row r="1621" spans="1:22" ht="14.4">
      <c r="A1621" s="93"/>
      <c r="B1621" s="90"/>
      <c r="C1621" s="90"/>
      <c r="D1621" s="92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</row>
    <row r="1622" spans="1:22" ht="14.4">
      <c r="A1622" s="93"/>
      <c r="B1622" s="90"/>
      <c r="C1622" s="90"/>
      <c r="D1622" s="92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</row>
    <row r="1623" spans="1:22" ht="14.4">
      <c r="A1623" s="93"/>
      <c r="B1623" s="90"/>
      <c r="C1623" s="90"/>
      <c r="D1623" s="92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</row>
    <row r="1624" spans="1:22" ht="14.4">
      <c r="A1624" s="93"/>
      <c r="B1624" s="90"/>
      <c r="C1624" s="90"/>
      <c r="D1624" s="92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</row>
    <row r="1625" spans="1:22" ht="14.4">
      <c r="A1625" s="93"/>
      <c r="B1625" s="90"/>
      <c r="C1625" s="90"/>
      <c r="D1625" s="92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</row>
    <row r="1626" spans="1:22" ht="14.4">
      <c r="A1626" s="93"/>
      <c r="B1626" s="90"/>
      <c r="C1626" s="90"/>
      <c r="D1626" s="92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</row>
    <row r="1627" spans="1:22" ht="14.4">
      <c r="A1627" s="93"/>
      <c r="B1627" s="90"/>
      <c r="C1627" s="90"/>
      <c r="D1627" s="92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</row>
    <row r="1628" spans="1:22" ht="14.4">
      <c r="A1628" s="93"/>
      <c r="B1628" s="90"/>
      <c r="C1628" s="90"/>
      <c r="D1628" s="92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</row>
    <row r="1629" spans="1:22" ht="14.4">
      <c r="A1629" s="93"/>
      <c r="B1629" s="90"/>
      <c r="C1629" s="90"/>
      <c r="D1629" s="92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</row>
    <row r="1630" spans="1:22" ht="14.4">
      <c r="A1630" s="93"/>
      <c r="B1630" s="90"/>
      <c r="C1630" s="90"/>
      <c r="D1630" s="92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</row>
    <row r="1631" spans="1:22" ht="14.4">
      <c r="A1631" s="93"/>
      <c r="B1631" s="90"/>
      <c r="C1631" s="90"/>
      <c r="D1631" s="92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</row>
    <row r="1632" spans="1:22" ht="14.4">
      <c r="A1632" s="93"/>
      <c r="B1632" s="90"/>
      <c r="C1632" s="90"/>
      <c r="D1632" s="92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</row>
    <row r="1633" spans="1:22" ht="14.4">
      <c r="A1633" s="93"/>
      <c r="B1633" s="90"/>
      <c r="C1633" s="90"/>
      <c r="D1633" s="92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</row>
    <row r="1634" spans="1:22" ht="14.4">
      <c r="A1634" s="93"/>
      <c r="B1634" s="90"/>
      <c r="C1634" s="90"/>
      <c r="D1634" s="92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</row>
    <row r="1635" spans="1:22" ht="14.4">
      <c r="A1635" s="93"/>
      <c r="B1635" s="90"/>
      <c r="C1635" s="90"/>
      <c r="D1635" s="92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</row>
    <row r="1636" spans="1:22" ht="14.4">
      <c r="A1636" s="93"/>
      <c r="B1636" s="90"/>
      <c r="C1636" s="90"/>
      <c r="D1636" s="92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</row>
    <row r="1637" spans="1:22" ht="14.4">
      <c r="A1637" s="93"/>
      <c r="B1637" s="90"/>
      <c r="C1637" s="90"/>
      <c r="D1637" s="92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</row>
    <row r="1638" spans="1:22" ht="14.4">
      <c r="A1638" s="93"/>
      <c r="B1638" s="90"/>
      <c r="C1638" s="90"/>
      <c r="D1638" s="92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</row>
    <row r="1639" spans="1:22" ht="14.4">
      <c r="A1639" s="93"/>
      <c r="B1639" s="90"/>
      <c r="C1639" s="90"/>
      <c r="D1639" s="92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</row>
    <row r="1640" spans="1:22" ht="14.4">
      <c r="A1640" s="93"/>
      <c r="B1640" s="90"/>
      <c r="C1640" s="90"/>
      <c r="D1640" s="92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</row>
    <row r="1641" spans="1:22" ht="14.4">
      <c r="A1641" s="93"/>
      <c r="B1641" s="90"/>
      <c r="C1641" s="90"/>
      <c r="D1641" s="92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</row>
    <row r="1642" spans="1:22" ht="14.4">
      <c r="A1642" s="93"/>
      <c r="B1642" s="90"/>
      <c r="C1642" s="90"/>
      <c r="D1642" s="92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</row>
    <row r="1643" spans="1:22" ht="14.4">
      <c r="A1643" s="93"/>
      <c r="B1643" s="90"/>
      <c r="C1643" s="90"/>
      <c r="D1643" s="92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</row>
    <row r="1644" spans="1:22" ht="14.4">
      <c r="A1644" s="93"/>
      <c r="B1644" s="90"/>
      <c r="C1644" s="90"/>
      <c r="D1644" s="92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</row>
    <row r="1645" spans="1:22" ht="14.4">
      <c r="A1645" s="93"/>
      <c r="B1645" s="90"/>
      <c r="C1645" s="90"/>
      <c r="D1645" s="92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</row>
    <row r="1646" spans="1:22" ht="14.4">
      <c r="A1646" s="93"/>
      <c r="B1646" s="90"/>
      <c r="C1646" s="90"/>
      <c r="D1646" s="92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</row>
    <row r="1647" spans="1:22" ht="14.4">
      <c r="A1647" s="93"/>
      <c r="B1647" s="90"/>
      <c r="C1647" s="90"/>
      <c r="D1647" s="92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</row>
    <row r="1648" spans="1:22" ht="14.4">
      <c r="A1648" s="93"/>
      <c r="B1648" s="90"/>
      <c r="C1648" s="90"/>
      <c r="D1648" s="92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</row>
    <row r="1649" spans="1:22" ht="14.4">
      <c r="A1649" s="93"/>
      <c r="B1649" s="90"/>
      <c r="C1649" s="90"/>
      <c r="D1649" s="92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</row>
    <row r="1650" spans="1:22" ht="14.4">
      <c r="A1650" s="93"/>
      <c r="B1650" s="90"/>
      <c r="C1650" s="90"/>
      <c r="D1650" s="92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</row>
    <row r="1651" spans="1:22" ht="14.4">
      <c r="A1651" s="93"/>
      <c r="B1651" s="90"/>
      <c r="C1651" s="90"/>
      <c r="D1651" s="92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</row>
    <row r="1652" spans="1:22" ht="14.4">
      <c r="A1652" s="93"/>
      <c r="B1652" s="90"/>
      <c r="C1652" s="90"/>
      <c r="D1652" s="92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</row>
    <row r="1653" spans="1:22" ht="14.4">
      <c r="A1653" s="93"/>
      <c r="B1653" s="90"/>
      <c r="C1653" s="90"/>
      <c r="D1653" s="92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</row>
    <row r="1654" spans="1:22" ht="14.4">
      <c r="A1654" s="93"/>
      <c r="B1654" s="90"/>
      <c r="C1654" s="90"/>
      <c r="D1654" s="92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</row>
    <row r="1655" spans="1:22" ht="14.4">
      <c r="A1655" s="93"/>
      <c r="B1655" s="90"/>
      <c r="C1655" s="90"/>
      <c r="D1655" s="92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</row>
    <row r="1656" spans="1:22" ht="14.4">
      <c r="A1656" s="93"/>
      <c r="B1656" s="90"/>
      <c r="C1656" s="90"/>
      <c r="D1656" s="92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</row>
    <row r="1657" spans="1:22" ht="14.4">
      <c r="A1657" s="93"/>
      <c r="B1657" s="90"/>
      <c r="C1657" s="90"/>
      <c r="D1657" s="92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</row>
    <row r="1658" spans="1:22" ht="14.4">
      <c r="A1658" s="93"/>
      <c r="B1658" s="90"/>
      <c r="C1658" s="90"/>
      <c r="D1658" s="92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</row>
    <row r="1659" spans="1:22" ht="14.4">
      <c r="A1659" s="93"/>
      <c r="B1659" s="90"/>
      <c r="C1659" s="90"/>
      <c r="D1659" s="92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</row>
    <row r="1660" spans="1:22" ht="14.4">
      <c r="A1660" s="93"/>
      <c r="B1660" s="90"/>
      <c r="C1660" s="90"/>
      <c r="D1660" s="92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</row>
    <row r="1661" spans="1:22" ht="14.4">
      <c r="A1661" s="93"/>
      <c r="B1661" s="90"/>
      <c r="C1661" s="90"/>
      <c r="D1661" s="92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</row>
    <row r="1662" spans="1:22" ht="14.4">
      <c r="A1662" s="93"/>
      <c r="B1662" s="90"/>
      <c r="C1662" s="90"/>
      <c r="D1662" s="92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</row>
    <row r="1663" spans="1:22" ht="14.4">
      <c r="A1663" s="93"/>
      <c r="B1663" s="90"/>
      <c r="C1663" s="90"/>
      <c r="D1663" s="92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</row>
    <row r="1664" spans="1:22" ht="14.4">
      <c r="A1664" s="93"/>
      <c r="B1664" s="90"/>
      <c r="C1664" s="90"/>
      <c r="D1664" s="92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</row>
    <row r="1665" spans="1:22" ht="14.4">
      <c r="A1665" s="93"/>
      <c r="B1665" s="90"/>
      <c r="C1665" s="90"/>
      <c r="D1665" s="92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</row>
    <row r="1666" spans="1:22" ht="14.4">
      <c r="A1666" s="93"/>
      <c r="B1666" s="90"/>
      <c r="C1666" s="90"/>
      <c r="D1666" s="92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</row>
    <row r="1667" spans="1:22" ht="14.4">
      <c r="A1667" s="93"/>
      <c r="B1667" s="90"/>
      <c r="C1667" s="90"/>
      <c r="D1667" s="92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</row>
    <row r="1668" spans="1:22" ht="14.4">
      <c r="A1668" s="93"/>
      <c r="B1668" s="90"/>
      <c r="C1668" s="90"/>
      <c r="D1668" s="92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</row>
    <row r="1669" spans="1:22" ht="14.4">
      <c r="A1669" s="93"/>
      <c r="B1669" s="90"/>
      <c r="C1669" s="90"/>
      <c r="D1669" s="92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</row>
    <row r="1670" spans="1:22" ht="14.4">
      <c r="A1670" s="93"/>
      <c r="B1670" s="90"/>
      <c r="C1670" s="90"/>
      <c r="D1670" s="92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</row>
    <row r="1671" spans="1:22" ht="14.4">
      <c r="A1671" s="93"/>
      <c r="B1671" s="90"/>
      <c r="C1671" s="90"/>
      <c r="D1671" s="92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</row>
    <row r="1672" spans="1:22" ht="14.4">
      <c r="A1672" s="93"/>
      <c r="B1672" s="90"/>
      <c r="C1672" s="90"/>
      <c r="D1672" s="92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</row>
    <row r="1673" spans="1:22" ht="14.4">
      <c r="A1673" s="93"/>
      <c r="B1673" s="90"/>
      <c r="C1673" s="90"/>
      <c r="D1673" s="92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</row>
    <row r="1674" spans="1:22" ht="14.4">
      <c r="A1674" s="93"/>
      <c r="B1674" s="90"/>
      <c r="C1674" s="90"/>
      <c r="D1674" s="92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</row>
    <row r="1675" spans="1:22" ht="14.4">
      <c r="A1675" s="93"/>
      <c r="B1675" s="90"/>
      <c r="C1675" s="90"/>
      <c r="D1675" s="92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</row>
    <row r="1676" spans="1:22" ht="14.4">
      <c r="A1676" s="93"/>
      <c r="B1676" s="90"/>
      <c r="C1676" s="90"/>
      <c r="D1676" s="92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</row>
    <row r="1677" spans="1:22" ht="14.4">
      <c r="A1677" s="93"/>
      <c r="B1677" s="90"/>
      <c r="C1677" s="90"/>
      <c r="D1677" s="92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</row>
    <row r="1678" spans="1:22" ht="14.4">
      <c r="A1678" s="93"/>
      <c r="B1678" s="90"/>
      <c r="C1678" s="90"/>
      <c r="D1678" s="92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</row>
    <row r="1679" spans="1:22" ht="14.4">
      <c r="A1679" s="93"/>
      <c r="B1679" s="90"/>
      <c r="C1679" s="90"/>
      <c r="D1679" s="92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</row>
    <row r="1680" spans="1:22" ht="14.4">
      <c r="A1680" s="93"/>
      <c r="B1680" s="90"/>
      <c r="C1680" s="90"/>
      <c r="D1680" s="92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</row>
    <row r="1681" spans="1:22" ht="14.4">
      <c r="A1681" s="93"/>
      <c r="B1681" s="90"/>
      <c r="C1681" s="90"/>
      <c r="D1681" s="92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</row>
    <row r="1682" spans="1:22" ht="14.4">
      <c r="A1682" s="93"/>
      <c r="B1682" s="90"/>
      <c r="C1682" s="90"/>
      <c r="D1682" s="92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</row>
    <row r="1683" spans="1:22" ht="14.4">
      <c r="A1683" s="93"/>
      <c r="B1683" s="90"/>
      <c r="C1683" s="90"/>
      <c r="D1683" s="92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</row>
    <row r="1684" spans="1:22" ht="14.4">
      <c r="A1684" s="93"/>
      <c r="B1684" s="90"/>
      <c r="C1684" s="90"/>
      <c r="D1684" s="92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</row>
    <row r="1685" spans="1:22" ht="14.4">
      <c r="A1685" s="93"/>
      <c r="B1685" s="90"/>
      <c r="C1685" s="90"/>
      <c r="D1685" s="92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</row>
    <row r="1686" spans="1:22" ht="14.4">
      <c r="A1686" s="93"/>
      <c r="B1686" s="90"/>
      <c r="C1686" s="90"/>
      <c r="D1686" s="92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</row>
    <row r="1687" spans="1:22" ht="14.4">
      <c r="A1687" s="93"/>
      <c r="B1687" s="90"/>
      <c r="C1687" s="90"/>
      <c r="D1687" s="92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</row>
    <row r="1688" spans="1:22" ht="14.4">
      <c r="A1688" s="93"/>
      <c r="B1688" s="90"/>
      <c r="C1688" s="90"/>
      <c r="D1688" s="92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</row>
    <row r="1689" spans="1:22" ht="14.4">
      <c r="A1689" s="93"/>
      <c r="B1689" s="90"/>
      <c r="C1689" s="90"/>
      <c r="D1689" s="92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</row>
    <row r="1690" spans="1:22" ht="14.4">
      <c r="A1690" s="93"/>
      <c r="B1690" s="90"/>
      <c r="C1690" s="90"/>
      <c r="D1690" s="92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</row>
    <row r="1691" spans="1:22" ht="14.4">
      <c r="A1691" s="93"/>
      <c r="B1691" s="90"/>
      <c r="C1691" s="90"/>
      <c r="D1691" s="92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</row>
    <row r="1692" spans="1:22" ht="14.4">
      <c r="A1692" s="93"/>
      <c r="B1692" s="90"/>
      <c r="C1692" s="90"/>
      <c r="D1692" s="92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</row>
    <row r="1693" spans="1:22" ht="14.4">
      <c r="A1693" s="93"/>
      <c r="B1693" s="90"/>
      <c r="C1693" s="90"/>
      <c r="D1693" s="92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</row>
    <row r="1694" spans="1:22" ht="14.4">
      <c r="A1694" s="93"/>
      <c r="B1694" s="90"/>
      <c r="C1694" s="90"/>
      <c r="D1694" s="92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</row>
    <row r="1695" spans="1:22" ht="14.4">
      <c r="A1695" s="93"/>
      <c r="B1695" s="90"/>
      <c r="C1695" s="90"/>
      <c r="D1695" s="92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</row>
    <row r="1696" spans="1:22" ht="14.4">
      <c r="A1696" s="93"/>
      <c r="B1696" s="90"/>
      <c r="C1696" s="90"/>
      <c r="D1696" s="92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</row>
    <row r="1697" spans="1:22" ht="14.4">
      <c r="A1697" s="93"/>
      <c r="B1697" s="90"/>
      <c r="C1697" s="90"/>
      <c r="D1697" s="92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</row>
    <row r="1698" spans="1:22" ht="14.4">
      <c r="A1698" s="93"/>
      <c r="B1698" s="90"/>
      <c r="C1698" s="90"/>
      <c r="D1698" s="92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</row>
    <row r="1699" spans="1:22" ht="14.4">
      <c r="A1699" s="93"/>
      <c r="B1699" s="90"/>
      <c r="C1699" s="90"/>
      <c r="D1699" s="92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</row>
    <row r="1700" spans="1:22" ht="14.4">
      <c r="A1700" s="93"/>
      <c r="B1700" s="90"/>
      <c r="C1700" s="90"/>
      <c r="D1700" s="92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</row>
    <row r="1701" spans="1:22" ht="14.4">
      <c r="A1701" s="93"/>
      <c r="B1701" s="90"/>
      <c r="C1701" s="90"/>
      <c r="D1701" s="92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</row>
    <row r="1702" spans="1:22" ht="14.4">
      <c r="A1702" s="93"/>
      <c r="B1702" s="90"/>
      <c r="C1702" s="90"/>
      <c r="D1702" s="92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</row>
    <row r="1703" spans="1:22" ht="14.4">
      <c r="A1703" s="93"/>
      <c r="B1703" s="90"/>
      <c r="C1703" s="90"/>
      <c r="D1703" s="92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</row>
    <row r="1704" spans="1:22" ht="14.4">
      <c r="A1704" s="93"/>
      <c r="B1704" s="90"/>
      <c r="C1704" s="90"/>
      <c r="D1704" s="92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</row>
    <row r="1705" spans="1:22" ht="14.4">
      <c r="A1705" s="93"/>
      <c r="B1705" s="90"/>
      <c r="C1705" s="90"/>
      <c r="D1705" s="92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</row>
    <row r="1706" spans="1:22" ht="14.4">
      <c r="A1706" s="93"/>
      <c r="B1706" s="90"/>
      <c r="C1706" s="90"/>
      <c r="D1706" s="92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</row>
    <row r="1707" spans="1:22" ht="14.4">
      <c r="A1707" s="93"/>
      <c r="B1707" s="90"/>
      <c r="C1707" s="90"/>
      <c r="D1707" s="92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</row>
    <row r="1708" spans="1:22" ht="14.4">
      <c r="A1708" s="93"/>
      <c r="B1708" s="90"/>
      <c r="C1708" s="90"/>
      <c r="D1708" s="92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</row>
    <row r="1709" spans="1:22" ht="14.4">
      <c r="A1709" s="93"/>
      <c r="B1709" s="90"/>
      <c r="C1709" s="90"/>
      <c r="D1709" s="92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</row>
    <row r="1710" spans="1:22" ht="14.4">
      <c r="A1710" s="93"/>
      <c r="B1710" s="90"/>
      <c r="C1710" s="90"/>
      <c r="D1710" s="92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</row>
    <row r="1711" spans="1:22" ht="14.4">
      <c r="A1711" s="93"/>
      <c r="B1711" s="90"/>
      <c r="C1711" s="90"/>
      <c r="D1711" s="92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</row>
    <row r="1712" spans="1:22" ht="14.4">
      <c r="A1712" s="93"/>
      <c r="B1712" s="90"/>
      <c r="C1712" s="90"/>
      <c r="D1712" s="92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</row>
    <row r="1713" spans="1:22" ht="14.4">
      <c r="A1713" s="93"/>
      <c r="B1713" s="90"/>
      <c r="C1713" s="90"/>
      <c r="D1713" s="92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</row>
    <row r="1714" spans="1:22" ht="14.4">
      <c r="A1714" s="93"/>
      <c r="B1714" s="90"/>
      <c r="C1714" s="90"/>
      <c r="D1714" s="92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</row>
    <row r="1715" spans="1:22" ht="14.4">
      <c r="A1715" s="93"/>
      <c r="B1715" s="90"/>
      <c r="C1715" s="90"/>
      <c r="D1715" s="92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</row>
    <row r="1716" spans="1:22" ht="14.4">
      <c r="A1716" s="93"/>
      <c r="B1716" s="90"/>
      <c r="C1716" s="90"/>
      <c r="D1716" s="92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</row>
    <row r="1717" spans="1:22" ht="14.4">
      <c r="A1717" s="93"/>
      <c r="B1717" s="90"/>
      <c r="C1717" s="90"/>
      <c r="D1717" s="92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</row>
    <row r="1718" spans="1:22" ht="14.4">
      <c r="A1718" s="93"/>
      <c r="B1718" s="90"/>
      <c r="C1718" s="90"/>
      <c r="D1718" s="92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</row>
    <row r="1719" spans="1:22" ht="14.4">
      <c r="A1719" s="93"/>
      <c r="B1719" s="90"/>
      <c r="C1719" s="90"/>
      <c r="D1719" s="92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</row>
    <row r="1720" spans="1:22" ht="14.4">
      <c r="A1720" s="93"/>
      <c r="B1720" s="90"/>
      <c r="C1720" s="90"/>
      <c r="D1720" s="92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</row>
    <row r="1721" spans="1:22" ht="14.4">
      <c r="A1721" s="93"/>
      <c r="B1721" s="90"/>
      <c r="C1721" s="90"/>
      <c r="D1721" s="92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</row>
    <row r="1722" spans="1:22" ht="14.4">
      <c r="A1722" s="93"/>
      <c r="B1722" s="90"/>
      <c r="C1722" s="90"/>
      <c r="D1722" s="92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</row>
    <row r="1723" spans="1:22" ht="14.4">
      <c r="A1723" s="93"/>
      <c r="B1723" s="90"/>
      <c r="C1723" s="90"/>
      <c r="D1723" s="92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</row>
    <row r="1724" spans="1:22" ht="14.4">
      <c r="A1724" s="93"/>
      <c r="B1724" s="90"/>
      <c r="C1724" s="90"/>
      <c r="D1724" s="92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</row>
    <row r="1725" spans="1:22" ht="14.4">
      <c r="A1725" s="93"/>
      <c r="B1725" s="90"/>
      <c r="C1725" s="90"/>
      <c r="D1725" s="92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</row>
    <row r="1726" spans="1:22" ht="14.4">
      <c r="A1726" s="93"/>
      <c r="B1726" s="90"/>
      <c r="C1726" s="90"/>
      <c r="D1726" s="92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</row>
    <row r="1727" spans="1:22" ht="14.4">
      <c r="A1727" s="93"/>
      <c r="B1727" s="90"/>
      <c r="C1727" s="90"/>
      <c r="D1727" s="92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</row>
    <row r="1728" spans="1:22" ht="14.4">
      <c r="A1728" s="93"/>
      <c r="B1728" s="90"/>
      <c r="C1728" s="90"/>
      <c r="D1728" s="92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</row>
    <row r="1729" spans="1:22" ht="14.4">
      <c r="A1729" s="93"/>
      <c r="B1729" s="90"/>
      <c r="C1729" s="90"/>
      <c r="D1729" s="92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</row>
    <row r="1730" spans="1:22" ht="14.4">
      <c r="A1730" s="93"/>
      <c r="B1730" s="90"/>
      <c r="C1730" s="90"/>
      <c r="D1730" s="92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</row>
    <row r="1731" spans="1:22" ht="14.4">
      <c r="A1731" s="93"/>
      <c r="B1731" s="90"/>
      <c r="C1731" s="90"/>
      <c r="D1731" s="92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</row>
    <row r="1732" spans="1:22" ht="14.4">
      <c r="A1732" s="93"/>
      <c r="B1732" s="90"/>
      <c r="C1732" s="90"/>
      <c r="D1732" s="92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</row>
    <row r="1733" spans="1:22" ht="14.4">
      <c r="A1733" s="93"/>
      <c r="B1733" s="90"/>
      <c r="C1733" s="90"/>
      <c r="D1733" s="92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</row>
    <row r="1734" spans="1:22" ht="14.4">
      <c r="A1734" s="93"/>
      <c r="B1734" s="90"/>
      <c r="C1734" s="90"/>
      <c r="D1734" s="92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</row>
    <row r="1735" spans="1:22" ht="14.4">
      <c r="A1735" s="93"/>
      <c r="B1735" s="90"/>
      <c r="C1735" s="90"/>
      <c r="D1735" s="92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</row>
    <row r="1736" spans="1:22" ht="14.4">
      <c r="A1736" s="93"/>
      <c r="B1736" s="90"/>
      <c r="C1736" s="90"/>
      <c r="D1736" s="92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</row>
    <row r="1737" spans="1:22" ht="14.4">
      <c r="A1737" s="93"/>
      <c r="B1737" s="90"/>
      <c r="C1737" s="90"/>
      <c r="D1737" s="92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</row>
    <row r="1738" spans="1:22" ht="14.4">
      <c r="A1738" s="93"/>
      <c r="B1738" s="90"/>
      <c r="C1738" s="90"/>
      <c r="D1738" s="92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</row>
    <row r="1739" spans="1:22" ht="14.4">
      <c r="A1739" s="93"/>
      <c r="B1739" s="90"/>
      <c r="C1739" s="90"/>
      <c r="D1739" s="92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</row>
    <row r="1740" spans="1:22" ht="14.4">
      <c r="A1740" s="93"/>
      <c r="B1740" s="90"/>
      <c r="C1740" s="90"/>
      <c r="D1740" s="92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</row>
    <row r="1741" spans="1:22" ht="14.4">
      <c r="A1741" s="93"/>
      <c r="B1741" s="90"/>
      <c r="C1741" s="90"/>
      <c r="D1741" s="92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</row>
    <row r="1742" spans="1:22" ht="14.4">
      <c r="A1742" s="93"/>
      <c r="B1742" s="90"/>
      <c r="C1742" s="90"/>
      <c r="D1742" s="92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</row>
    <row r="1743" spans="1:22" ht="14.4">
      <c r="A1743" s="93"/>
      <c r="B1743" s="90"/>
      <c r="C1743" s="90"/>
      <c r="D1743" s="92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</row>
    <row r="1744" spans="1:22" ht="14.4">
      <c r="A1744" s="93"/>
      <c r="B1744" s="90"/>
      <c r="C1744" s="90"/>
      <c r="D1744" s="92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</row>
    <row r="1745" spans="1:22" ht="14.4">
      <c r="A1745" s="93"/>
      <c r="B1745" s="90"/>
      <c r="C1745" s="90"/>
      <c r="D1745" s="92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</row>
    <row r="1746" spans="1:22" ht="14.4">
      <c r="A1746" s="93"/>
      <c r="B1746" s="90"/>
      <c r="C1746" s="90"/>
      <c r="D1746" s="92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</row>
    <row r="1747" spans="1:22" ht="14.4">
      <c r="A1747" s="93"/>
      <c r="B1747" s="90"/>
      <c r="C1747" s="90"/>
      <c r="D1747" s="92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</row>
    <row r="1748" spans="1:22" ht="14.4">
      <c r="A1748" s="93"/>
      <c r="B1748" s="90"/>
      <c r="C1748" s="90"/>
      <c r="D1748" s="92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</row>
    <row r="1749" spans="1:22" ht="14.4">
      <c r="A1749" s="93"/>
      <c r="B1749" s="90"/>
      <c r="C1749" s="90"/>
      <c r="D1749" s="92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</row>
    <row r="1750" spans="1:22" ht="14.4">
      <c r="A1750" s="93"/>
      <c r="B1750" s="90"/>
      <c r="C1750" s="90"/>
      <c r="D1750" s="92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</row>
    <row r="1751" spans="1:22" ht="14.4">
      <c r="A1751" s="93"/>
      <c r="B1751" s="90"/>
      <c r="C1751" s="90"/>
      <c r="D1751" s="92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</row>
    <row r="1752" spans="1:22" ht="14.4">
      <c r="A1752" s="93"/>
      <c r="B1752" s="90"/>
      <c r="C1752" s="90"/>
      <c r="D1752" s="92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</row>
    <row r="1753" spans="1:22" ht="14.4">
      <c r="A1753" s="93"/>
      <c r="B1753" s="90"/>
      <c r="C1753" s="90"/>
      <c r="D1753" s="92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</row>
    <row r="1754" spans="1:22" ht="14.4">
      <c r="A1754" s="93"/>
      <c r="B1754" s="90"/>
      <c r="C1754" s="90"/>
      <c r="D1754" s="92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</row>
    <row r="1755" spans="1:22" ht="14.4">
      <c r="A1755" s="93"/>
      <c r="B1755" s="90"/>
      <c r="C1755" s="90"/>
      <c r="D1755" s="92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</row>
    <row r="1756" spans="1:22" ht="14.4">
      <c r="A1756" s="93"/>
      <c r="B1756" s="90"/>
      <c r="C1756" s="90"/>
      <c r="D1756" s="92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</row>
    <row r="1757" spans="1:22" ht="14.4">
      <c r="A1757" s="93"/>
      <c r="B1757" s="90"/>
      <c r="C1757" s="90"/>
      <c r="D1757" s="92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</row>
    <row r="1758" spans="1:22" ht="14.4">
      <c r="A1758" s="93"/>
      <c r="B1758" s="90"/>
      <c r="C1758" s="90"/>
      <c r="D1758" s="92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</row>
    <row r="1759" spans="1:22" ht="14.4">
      <c r="A1759" s="93"/>
      <c r="B1759" s="90"/>
      <c r="C1759" s="90"/>
      <c r="D1759" s="92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</row>
    <row r="1760" spans="1:22" ht="14.4">
      <c r="A1760" s="93"/>
      <c r="B1760" s="90"/>
      <c r="C1760" s="90"/>
      <c r="D1760" s="92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</row>
    <row r="1761" spans="1:22" ht="14.4">
      <c r="A1761" s="93"/>
      <c r="B1761" s="90"/>
      <c r="C1761" s="90"/>
      <c r="D1761" s="92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</row>
    <row r="1762" spans="1:22" ht="14.4">
      <c r="A1762" s="93"/>
      <c r="B1762" s="90"/>
      <c r="C1762" s="90"/>
      <c r="D1762" s="92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</row>
    <row r="1763" spans="1:22" ht="14.4">
      <c r="A1763" s="93"/>
      <c r="B1763" s="90"/>
      <c r="C1763" s="90"/>
      <c r="D1763" s="92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</row>
    <row r="1764" spans="1:22" ht="14.4">
      <c r="A1764" s="93"/>
      <c r="B1764" s="90"/>
      <c r="C1764" s="90"/>
      <c r="D1764" s="92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</row>
    <row r="1765" spans="1:22" ht="14.4">
      <c r="A1765" s="93"/>
      <c r="B1765" s="90"/>
      <c r="C1765" s="90"/>
      <c r="D1765" s="92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</row>
    <row r="1766" spans="1:22" ht="14.4">
      <c r="A1766" s="93"/>
      <c r="B1766" s="90"/>
      <c r="C1766" s="90"/>
      <c r="D1766" s="92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</row>
    <row r="1767" spans="1:22" ht="14.4">
      <c r="A1767" s="93"/>
      <c r="B1767" s="90"/>
      <c r="C1767" s="90"/>
      <c r="D1767" s="92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</row>
    <row r="1768" spans="1:22" ht="14.4">
      <c r="A1768" s="93"/>
      <c r="B1768" s="90"/>
      <c r="C1768" s="90"/>
      <c r="D1768" s="92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</row>
    <row r="1769" spans="1:22" ht="14.4">
      <c r="A1769" s="93"/>
      <c r="B1769" s="90"/>
      <c r="C1769" s="90"/>
      <c r="D1769" s="92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</row>
    <row r="1770" spans="1:22" ht="14.4">
      <c r="A1770" s="93"/>
      <c r="B1770" s="90"/>
      <c r="C1770" s="90"/>
      <c r="D1770" s="92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</row>
    <row r="1771" spans="1:22" ht="14.4">
      <c r="A1771" s="93"/>
      <c r="B1771" s="90"/>
      <c r="C1771" s="90"/>
      <c r="D1771" s="92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</row>
    <row r="1772" spans="1:22" ht="14.4">
      <c r="A1772" s="93"/>
      <c r="B1772" s="90"/>
      <c r="C1772" s="90"/>
      <c r="D1772" s="92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</row>
    <row r="1773" spans="1:22" ht="14.4">
      <c r="A1773" s="93"/>
      <c r="B1773" s="90"/>
      <c r="C1773" s="90"/>
      <c r="D1773" s="92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</row>
    <row r="1774" spans="1:22" ht="14.4">
      <c r="A1774" s="93"/>
      <c r="B1774" s="90"/>
      <c r="C1774" s="90"/>
      <c r="D1774" s="92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</row>
    <row r="1775" spans="1:22" ht="14.4">
      <c r="A1775" s="93"/>
      <c r="B1775" s="90"/>
      <c r="C1775" s="90"/>
      <c r="D1775" s="92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</row>
    <row r="1776" spans="1:22" ht="14.4">
      <c r="A1776" s="93"/>
      <c r="B1776" s="90"/>
      <c r="C1776" s="90"/>
      <c r="D1776" s="92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</row>
    <row r="1777" spans="1:22" ht="14.4">
      <c r="A1777" s="93"/>
      <c r="B1777" s="90"/>
      <c r="C1777" s="90"/>
      <c r="D1777" s="92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</row>
    <row r="1778" spans="1:22" ht="14.4">
      <c r="A1778" s="93"/>
      <c r="B1778" s="90"/>
      <c r="C1778" s="90"/>
      <c r="D1778" s="92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</row>
    <row r="1779" spans="1:22" ht="14.4">
      <c r="A1779" s="93"/>
      <c r="B1779" s="90"/>
      <c r="C1779" s="90"/>
      <c r="D1779" s="92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</row>
    <row r="1780" spans="1:22" ht="14.4">
      <c r="A1780" s="93"/>
      <c r="B1780" s="90"/>
      <c r="C1780" s="90"/>
      <c r="D1780" s="92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</row>
    <row r="1781" spans="1:22" ht="14.4">
      <c r="A1781" s="93"/>
      <c r="B1781" s="90"/>
      <c r="C1781" s="90"/>
      <c r="D1781" s="92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</row>
    <row r="1782" spans="1:22" ht="14.4">
      <c r="A1782" s="93"/>
      <c r="B1782" s="90"/>
      <c r="C1782" s="90"/>
      <c r="D1782" s="92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</row>
    <row r="1783" spans="1:22" ht="14.4">
      <c r="A1783" s="93"/>
      <c r="B1783" s="90"/>
      <c r="C1783" s="90"/>
      <c r="D1783" s="92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</row>
    <row r="1784" spans="1:22" ht="14.4">
      <c r="A1784" s="93"/>
      <c r="B1784" s="90"/>
      <c r="C1784" s="90"/>
      <c r="D1784" s="92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</row>
    <row r="1785" spans="1:22" ht="14.4">
      <c r="A1785" s="93"/>
      <c r="B1785" s="90"/>
      <c r="C1785" s="90"/>
      <c r="D1785" s="92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</row>
    <row r="1786" spans="1:22" ht="14.4">
      <c r="A1786" s="93"/>
      <c r="B1786" s="90"/>
      <c r="C1786" s="90"/>
      <c r="D1786" s="92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</row>
    <row r="1787" spans="1:22" ht="14.4">
      <c r="A1787" s="93"/>
      <c r="B1787" s="90"/>
      <c r="C1787" s="90"/>
      <c r="D1787" s="92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</row>
    <row r="1788" spans="1:22" ht="14.4">
      <c r="A1788" s="93"/>
      <c r="B1788" s="90"/>
      <c r="C1788" s="90"/>
      <c r="D1788" s="92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</row>
    <row r="1789" spans="1:22" ht="14.4">
      <c r="A1789" s="93"/>
      <c r="B1789" s="90"/>
      <c r="C1789" s="90"/>
      <c r="D1789" s="92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</row>
    <row r="1790" spans="1:22" ht="14.4">
      <c r="A1790" s="93"/>
      <c r="B1790" s="90"/>
      <c r="C1790" s="90"/>
      <c r="D1790" s="92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</row>
    <row r="1791" spans="1:22" ht="14.4">
      <c r="A1791" s="93"/>
      <c r="B1791" s="90"/>
      <c r="C1791" s="90"/>
      <c r="D1791" s="92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</row>
    <row r="1792" spans="1:22" ht="14.4">
      <c r="A1792" s="93"/>
      <c r="B1792" s="90"/>
      <c r="C1792" s="90"/>
      <c r="D1792" s="92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</row>
    <row r="1793" spans="1:22" ht="14.4">
      <c r="A1793" s="93"/>
      <c r="B1793" s="90"/>
      <c r="C1793" s="90"/>
      <c r="D1793" s="92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</row>
    <row r="1794" spans="1:22" ht="14.4">
      <c r="A1794" s="93"/>
      <c r="B1794" s="90"/>
      <c r="C1794" s="90"/>
      <c r="D1794" s="92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</row>
    <row r="1795" spans="1:22" ht="14.4">
      <c r="A1795" s="93"/>
      <c r="B1795" s="90"/>
      <c r="C1795" s="90"/>
      <c r="D1795" s="92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</row>
    <row r="1796" spans="1:22" ht="14.4">
      <c r="A1796" s="93"/>
      <c r="B1796" s="90"/>
      <c r="C1796" s="90"/>
      <c r="D1796" s="92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</row>
    <row r="1797" spans="1:22" ht="14.4">
      <c r="A1797" s="93"/>
      <c r="B1797" s="90"/>
      <c r="C1797" s="90"/>
      <c r="D1797" s="92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</row>
    <row r="1798" spans="1:22" ht="14.4">
      <c r="A1798" s="93"/>
      <c r="B1798" s="90"/>
      <c r="C1798" s="90"/>
      <c r="D1798" s="92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</row>
    <row r="1799" spans="1:22" ht="14.4">
      <c r="A1799" s="93"/>
      <c r="B1799" s="90"/>
      <c r="C1799" s="90"/>
      <c r="D1799" s="92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</row>
    <row r="1800" spans="1:22" ht="14.4">
      <c r="A1800" s="93"/>
      <c r="B1800" s="90"/>
      <c r="C1800" s="90"/>
      <c r="D1800" s="92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</row>
    <row r="1801" spans="1:22" ht="14.4">
      <c r="A1801" s="93"/>
      <c r="B1801" s="90"/>
      <c r="C1801" s="90"/>
      <c r="D1801" s="92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</row>
    <row r="1802" spans="1:22" ht="14.4">
      <c r="A1802" s="93"/>
      <c r="B1802" s="90"/>
      <c r="C1802" s="90"/>
      <c r="D1802" s="92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</row>
    <row r="1803" spans="1:22" ht="14.4">
      <c r="A1803" s="93"/>
      <c r="B1803" s="90"/>
      <c r="C1803" s="90"/>
      <c r="D1803" s="92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</row>
    <row r="1804" spans="1:22" ht="14.4">
      <c r="A1804" s="93"/>
      <c r="B1804" s="90"/>
      <c r="C1804" s="90"/>
      <c r="D1804" s="92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</row>
    <row r="1805" spans="1:22" ht="14.4">
      <c r="A1805" s="93"/>
      <c r="B1805" s="90"/>
      <c r="C1805" s="90"/>
      <c r="D1805" s="92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</row>
    <row r="1806" spans="1:22" ht="14.4">
      <c r="A1806" s="93"/>
      <c r="B1806" s="90"/>
      <c r="C1806" s="90"/>
      <c r="D1806" s="92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</row>
    <row r="1807" spans="1:22" ht="14.4">
      <c r="A1807" s="93"/>
      <c r="B1807" s="90"/>
      <c r="C1807" s="90"/>
      <c r="D1807" s="92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</row>
    <row r="1808" spans="1:22" ht="14.4">
      <c r="A1808" s="93"/>
      <c r="B1808" s="90"/>
      <c r="C1808" s="90"/>
      <c r="D1808" s="92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</row>
    <row r="1809" spans="1:22" ht="14.4">
      <c r="A1809" s="93"/>
      <c r="B1809" s="90"/>
      <c r="C1809" s="90"/>
      <c r="D1809" s="92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</row>
    <row r="1810" spans="1:22" ht="14.4">
      <c r="A1810" s="93"/>
      <c r="B1810" s="90"/>
      <c r="C1810" s="90"/>
      <c r="D1810" s="92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</row>
    <row r="1811" spans="1:22" ht="14.4">
      <c r="A1811" s="93"/>
      <c r="B1811" s="90"/>
      <c r="C1811" s="90"/>
      <c r="D1811" s="92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</row>
    <row r="1812" spans="1:22" ht="14.4">
      <c r="A1812" s="93"/>
      <c r="B1812" s="90"/>
      <c r="C1812" s="90"/>
      <c r="D1812" s="92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</row>
    <row r="1813" spans="1:22" ht="14.4">
      <c r="A1813" s="93"/>
      <c r="B1813" s="90"/>
      <c r="C1813" s="90"/>
      <c r="D1813" s="92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</row>
    <row r="1814" spans="1:22" ht="14.4">
      <c r="A1814" s="93"/>
      <c r="B1814" s="90"/>
      <c r="C1814" s="90"/>
      <c r="D1814" s="92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</row>
    <row r="1815" spans="1:22" ht="14.4">
      <c r="A1815" s="93"/>
      <c r="B1815" s="90"/>
      <c r="C1815" s="90"/>
      <c r="D1815" s="92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</row>
    <row r="1816" spans="1:22" ht="14.4">
      <c r="A1816" s="93"/>
      <c r="B1816" s="90"/>
      <c r="C1816" s="90"/>
      <c r="D1816" s="92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</row>
    <row r="1817" spans="1:22" ht="14.4">
      <c r="A1817" s="93"/>
      <c r="B1817" s="90"/>
      <c r="C1817" s="90"/>
      <c r="D1817" s="92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</row>
    <row r="1818" spans="1:22" ht="14.4">
      <c r="A1818" s="93"/>
      <c r="B1818" s="90"/>
      <c r="C1818" s="90"/>
      <c r="D1818" s="92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</row>
    <row r="1819" spans="1:22" ht="14.4">
      <c r="A1819" s="93"/>
      <c r="B1819" s="90"/>
      <c r="C1819" s="90"/>
      <c r="D1819" s="92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</row>
    <row r="1820" spans="1:22" ht="14.4">
      <c r="A1820" s="93"/>
      <c r="B1820" s="90"/>
      <c r="C1820" s="90"/>
      <c r="D1820" s="92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</row>
    <row r="1821" spans="1:22" ht="14.4">
      <c r="A1821" s="93"/>
      <c r="B1821" s="90"/>
      <c r="C1821" s="90"/>
      <c r="D1821" s="92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</row>
    <row r="1822" spans="1:22" ht="14.4">
      <c r="A1822" s="93"/>
      <c r="B1822" s="90"/>
      <c r="C1822" s="90"/>
      <c r="D1822" s="92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</row>
    <row r="1823" spans="1:22" ht="14.4">
      <c r="A1823" s="93"/>
      <c r="B1823" s="90"/>
      <c r="C1823" s="90"/>
      <c r="D1823" s="92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</row>
    <row r="1824" spans="1:22" ht="14.4">
      <c r="A1824" s="93"/>
      <c r="B1824" s="90"/>
      <c r="C1824" s="90"/>
      <c r="D1824" s="92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</row>
    <row r="1825" spans="1:22" ht="14.4">
      <c r="A1825" s="93"/>
      <c r="B1825" s="90"/>
      <c r="C1825" s="90"/>
      <c r="D1825" s="92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</row>
    <row r="1826" spans="1:22" ht="14.4">
      <c r="A1826" s="93"/>
      <c r="B1826" s="90"/>
      <c r="C1826" s="90"/>
      <c r="D1826" s="92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</row>
    <row r="1827" spans="1:22" ht="14.4">
      <c r="A1827" s="93"/>
      <c r="B1827" s="90"/>
      <c r="C1827" s="90"/>
      <c r="D1827" s="92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</row>
    <row r="1828" spans="1:22" ht="14.4">
      <c r="A1828" s="93"/>
      <c r="B1828" s="90"/>
      <c r="C1828" s="90"/>
      <c r="D1828" s="92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</row>
    <row r="1829" spans="1:22" ht="14.4">
      <c r="A1829" s="93"/>
      <c r="B1829" s="90"/>
      <c r="C1829" s="90"/>
      <c r="D1829" s="92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</row>
    <row r="1830" spans="1:22" ht="14.4">
      <c r="A1830" s="93"/>
      <c r="B1830" s="90"/>
      <c r="C1830" s="90"/>
      <c r="D1830" s="92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</row>
    <row r="1831" spans="1:22" ht="14.4">
      <c r="A1831" s="93"/>
      <c r="B1831" s="90"/>
      <c r="C1831" s="90"/>
      <c r="D1831" s="92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</row>
    <row r="1832" spans="1:22" ht="14.4">
      <c r="A1832" s="93"/>
      <c r="B1832" s="90"/>
      <c r="C1832" s="90"/>
      <c r="D1832" s="92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</row>
    <row r="1833" spans="1:22" ht="14.4">
      <c r="A1833" s="93"/>
      <c r="B1833" s="90"/>
      <c r="C1833" s="90"/>
      <c r="D1833" s="92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</row>
    <row r="1834" spans="1:22" ht="14.4">
      <c r="A1834" s="93"/>
      <c r="B1834" s="90"/>
      <c r="C1834" s="90"/>
      <c r="D1834" s="92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</row>
    <row r="1835" spans="1:22" ht="14.4">
      <c r="A1835" s="93"/>
      <c r="B1835" s="90"/>
      <c r="C1835" s="90"/>
      <c r="D1835" s="92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</row>
    <row r="1836" spans="1:22" ht="14.4">
      <c r="A1836" s="93"/>
      <c r="B1836" s="90"/>
      <c r="C1836" s="90"/>
      <c r="D1836" s="92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</row>
    <row r="1837" spans="1:22" ht="14.4">
      <c r="A1837" s="93"/>
      <c r="B1837" s="90"/>
      <c r="C1837" s="90"/>
      <c r="D1837" s="92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</row>
    <row r="1838" spans="1:22" ht="14.4">
      <c r="A1838" s="93"/>
      <c r="B1838" s="90"/>
      <c r="C1838" s="90"/>
      <c r="D1838" s="92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</row>
    <row r="1839" spans="1:22" ht="14.4">
      <c r="A1839" s="93"/>
      <c r="B1839" s="90"/>
      <c r="C1839" s="90"/>
      <c r="D1839" s="92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</row>
    <row r="1840" spans="1:22" ht="14.4">
      <c r="A1840" s="93"/>
      <c r="B1840" s="90"/>
      <c r="C1840" s="90"/>
      <c r="D1840" s="92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</row>
    <row r="1841" spans="1:22" ht="14.4">
      <c r="A1841" s="93"/>
      <c r="B1841" s="90"/>
      <c r="C1841" s="90"/>
      <c r="D1841" s="92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</row>
    <row r="1842" spans="1:22" ht="14.4">
      <c r="A1842" s="93"/>
      <c r="B1842" s="90"/>
      <c r="C1842" s="90"/>
      <c r="D1842" s="92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</row>
    <row r="1843" spans="1:22" ht="14.4">
      <c r="A1843" s="93"/>
      <c r="B1843" s="90"/>
      <c r="C1843" s="90"/>
      <c r="D1843" s="92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</row>
    <row r="1844" spans="1:22" ht="14.4">
      <c r="A1844" s="93"/>
      <c r="B1844" s="90"/>
      <c r="C1844" s="90"/>
      <c r="D1844" s="92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</row>
    <row r="1845" spans="1:22" ht="14.4">
      <c r="A1845" s="93"/>
      <c r="B1845" s="90"/>
      <c r="C1845" s="90"/>
      <c r="D1845" s="92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</row>
    <row r="1846" spans="1:22" ht="14.4">
      <c r="A1846" s="93"/>
      <c r="B1846" s="90"/>
      <c r="C1846" s="90"/>
      <c r="D1846" s="92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</row>
    <row r="1847" spans="1:22" ht="14.4">
      <c r="A1847" s="93"/>
      <c r="B1847" s="90"/>
      <c r="C1847" s="90"/>
      <c r="D1847" s="92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</row>
    <row r="1848" spans="1:22" ht="14.4">
      <c r="A1848" s="93"/>
      <c r="B1848" s="90"/>
      <c r="C1848" s="90"/>
      <c r="D1848" s="92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</row>
    <row r="1849" spans="1:22" ht="14.4">
      <c r="A1849" s="93"/>
      <c r="B1849" s="90"/>
      <c r="C1849" s="90"/>
      <c r="D1849" s="92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</row>
    <row r="1850" spans="1:22" ht="14.4">
      <c r="A1850" s="93"/>
      <c r="B1850" s="90"/>
      <c r="C1850" s="90"/>
      <c r="D1850" s="92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</row>
    <row r="1851" spans="1:22" ht="14.4">
      <c r="A1851" s="93"/>
      <c r="B1851" s="90"/>
      <c r="C1851" s="90"/>
      <c r="D1851" s="92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</row>
    <row r="1852" spans="1:22" ht="14.4">
      <c r="A1852" s="93"/>
      <c r="B1852" s="90"/>
      <c r="C1852" s="90"/>
      <c r="D1852" s="92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</row>
    <row r="1853" spans="1:22" ht="14.4">
      <c r="A1853" s="93"/>
      <c r="B1853" s="90"/>
      <c r="C1853" s="90"/>
      <c r="D1853" s="92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</row>
    <row r="1854" spans="1:22" ht="14.4">
      <c r="A1854" s="93"/>
      <c r="B1854" s="90"/>
      <c r="C1854" s="90"/>
      <c r="D1854" s="92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</row>
    <row r="1855" spans="1:22" ht="14.4">
      <c r="A1855" s="93"/>
      <c r="B1855" s="90"/>
      <c r="C1855" s="90"/>
      <c r="D1855" s="92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</row>
    <row r="1856" spans="1:22" ht="14.4">
      <c r="A1856" s="93"/>
      <c r="B1856" s="90"/>
      <c r="C1856" s="90"/>
      <c r="D1856" s="92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</row>
    <row r="1857" spans="1:22" ht="14.4">
      <c r="A1857" s="93"/>
      <c r="B1857" s="90"/>
      <c r="C1857" s="90"/>
      <c r="D1857" s="92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</row>
    <row r="1858" spans="1:22" ht="14.4">
      <c r="A1858" s="93"/>
      <c r="B1858" s="90"/>
      <c r="C1858" s="90"/>
      <c r="D1858" s="92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</row>
    <row r="1859" spans="1:22" ht="14.4">
      <c r="A1859" s="93"/>
      <c r="B1859" s="90"/>
      <c r="C1859" s="90"/>
      <c r="D1859" s="92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</row>
    <row r="1860" spans="1:22" ht="14.4">
      <c r="A1860" s="93"/>
      <c r="B1860" s="90"/>
      <c r="C1860" s="90"/>
      <c r="D1860" s="92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</row>
    <row r="1861" spans="1:22" ht="14.4">
      <c r="A1861" s="93"/>
      <c r="B1861" s="90"/>
      <c r="C1861" s="90"/>
      <c r="D1861" s="92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</row>
    <row r="1862" spans="1:22" ht="14.4">
      <c r="A1862" s="93"/>
      <c r="B1862" s="90"/>
      <c r="C1862" s="90"/>
      <c r="D1862" s="92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</row>
    <row r="1863" spans="1:22" ht="14.4">
      <c r="A1863" s="93"/>
      <c r="B1863" s="90"/>
      <c r="C1863" s="90"/>
      <c r="D1863" s="92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</row>
    <row r="1864" spans="1:22" ht="14.4">
      <c r="A1864" s="93"/>
      <c r="B1864" s="90"/>
      <c r="C1864" s="90"/>
      <c r="D1864" s="92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</row>
    <row r="1865" spans="1:22" ht="14.4">
      <c r="A1865" s="93"/>
      <c r="B1865" s="90"/>
      <c r="C1865" s="90"/>
      <c r="D1865" s="92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</row>
    <row r="1866" spans="1:22" ht="14.4">
      <c r="A1866" s="93"/>
      <c r="B1866" s="90"/>
      <c r="C1866" s="90"/>
      <c r="D1866" s="92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</row>
    <row r="1867" spans="1:22" ht="14.4">
      <c r="A1867" s="93"/>
      <c r="B1867" s="90"/>
      <c r="C1867" s="90"/>
      <c r="D1867" s="92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</row>
    <row r="1868" spans="1:22" ht="14.4">
      <c r="A1868" s="93"/>
      <c r="B1868" s="90"/>
      <c r="C1868" s="90"/>
      <c r="D1868" s="92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</row>
    <row r="1869" spans="1:22" ht="14.4">
      <c r="A1869" s="93"/>
      <c r="B1869" s="90"/>
      <c r="C1869" s="90"/>
      <c r="D1869" s="92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</row>
    <row r="1870" spans="1:22" ht="14.4">
      <c r="A1870" s="93"/>
      <c r="B1870" s="90"/>
      <c r="C1870" s="90"/>
      <c r="D1870" s="92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</row>
    <row r="1871" spans="1:22" ht="14.4">
      <c r="A1871" s="93"/>
      <c r="B1871" s="90"/>
      <c r="C1871" s="90"/>
      <c r="D1871" s="92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</row>
    <row r="1872" spans="1:22" ht="14.4">
      <c r="A1872" s="93"/>
      <c r="B1872" s="90"/>
      <c r="C1872" s="90"/>
      <c r="D1872" s="92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</row>
    <row r="1873" spans="1:22" ht="14.4">
      <c r="A1873" s="93"/>
      <c r="B1873" s="90"/>
      <c r="C1873" s="90"/>
      <c r="D1873" s="92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</row>
    <row r="1874" spans="1:22" ht="14.4">
      <c r="A1874" s="93"/>
      <c r="B1874" s="90"/>
      <c r="C1874" s="90"/>
      <c r="D1874" s="92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</row>
    <row r="1875" spans="1:22" ht="14.4">
      <c r="A1875" s="93"/>
      <c r="B1875" s="90"/>
      <c r="C1875" s="90"/>
      <c r="D1875" s="92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</row>
    <row r="1876" spans="1:22" ht="14.4">
      <c r="A1876" s="93"/>
      <c r="B1876" s="90"/>
      <c r="C1876" s="90"/>
      <c r="D1876" s="92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</row>
    <row r="1877" spans="1:22" ht="14.4">
      <c r="A1877" s="93"/>
      <c r="B1877" s="90"/>
      <c r="C1877" s="90"/>
      <c r="D1877" s="92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</row>
    <row r="1878" spans="1:22" ht="14.4">
      <c r="A1878" s="93"/>
      <c r="B1878" s="90"/>
      <c r="C1878" s="90"/>
      <c r="D1878" s="92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</row>
    <row r="1879" spans="1:22" ht="14.4">
      <c r="A1879" s="93"/>
      <c r="B1879" s="90"/>
      <c r="C1879" s="90"/>
      <c r="D1879" s="92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</row>
    <row r="1880" spans="1:22" ht="14.4">
      <c r="A1880" s="93"/>
      <c r="B1880" s="90"/>
      <c r="C1880" s="90"/>
      <c r="D1880" s="92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</row>
    <row r="1881" spans="1:22" ht="14.4">
      <c r="A1881" s="93"/>
      <c r="B1881" s="90"/>
      <c r="C1881" s="90"/>
      <c r="D1881" s="92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</row>
    <row r="1882" spans="1:22" ht="14.4">
      <c r="A1882" s="93"/>
      <c r="B1882" s="90"/>
      <c r="C1882" s="90"/>
      <c r="D1882" s="92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</row>
    <row r="1883" spans="1:22" ht="14.4">
      <c r="A1883" s="93"/>
      <c r="B1883" s="90"/>
      <c r="C1883" s="90"/>
      <c r="D1883" s="92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</row>
    <row r="1884" spans="1:22" ht="14.4">
      <c r="A1884" s="93"/>
      <c r="B1884" s="90"/>
      <c r="C1884" s="90"/>
      <c r="D1884" s="92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</row>
    <row r="1885" spans="1:22" ht="14.4">
      <c r="A1885" s="93"/>
      <c r="B1885" s="90"/>
      <c r="C1885" s="90"/>
      <c r="D1885" s="92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</row>
    <row r="1886" spans="1:22" ht="14.4">
      <c r="A1886" s="93"/>
      <c r="B1886" s="90"/>
      <c r="C1886" s="90"/>
      <c r="D1886" s="92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</row>
    <row r="1887" spans="1:22" ht="14.4">
      <c r="A1887" s="93"/>
      <c r="B1887" s="90"/>
      <c r="C1887" s="90"/>
      <c r="D1887" s="92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</row>
    <row r="1888" spans="1:22" ht="14.4">
      <c r="A1888" s="93"/>
      <c r="B1888" s="90"/>
      <c r="C1888" s="90"/>
      <c r="D1888" s="92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</row>
    <row r="1889" spans="1:22" ht="14.4">
      <c r="A1889" s="93"/>
      <c r="B1889" s="90"/>
      <c r="C1889" s="90"/>
      <c r="D1889" s="92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</row>
    <row r="1890" spans="1:22" ht="14.4">
      <c r="A1890" s="93"/>
      <c r="B1890" s="90"/>
      <c r="C1890" s="90"/>
      <c r="D1890" s="92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</row>
    <row r="1891" spans="1:22" ht="14.4">
      <c r="A1891" s="93"/>
      <c r="B1891" s="90"/>
      <c r="C1891" s="90"/>
      <c r="D1891" s="92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</row>
    <row r="1892" spans="1:22" ht="14.4">
      <c r="A1892" s="93"/>
      <c r="B1892" s="90"/>
      <c r="C1892" s="90"/>
      <c r="D1892" s="92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</row>
    <row r="1893" spans="1:22" ht="14.4">
      <c r="A1893" s="93"/>
      <c r="B1893" s="90"/>
      <c r="C1893" s="90"/>
      <c r="D1893" s="92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</row>
    <row r="1894" spans="1:22" ht="14.4">
      <c r="A1894" s="93"/>
      <c r="B1894" s="90"/>
      <c r="C1894" s="90"/>
      <c r="D1894" s="92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</row>
    <row r="1895" spans="1:22" ht="14.4">
      <c r="A1895" s="93"/>
      <c r="B1895" s="90"/>
      <c r="C1895" s="90"/>
      <c r="D1895" s="92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</row>
    <row r="1896" spans="1:22" ht="14.4">
      <c r="A1896" s="93"/>
      <c r="B1896" s="90"/>
      <c r="C1896" s="90"/>
      <c r="D1896" s="92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</row>
    <row r="1897" spans="1:22" ht="14.4">
      <c r="A1897" s="93"/>
      <c r="B1897" s="90"/>
      <c r="C1897" s="90"/>
      <c r="D1897" s="92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</row>
    <row r="1898" spans="1:22" ht="14.4">
      <c r="A1898" s="93"/>
      <c r="B1898" s="90"/>
      <c r="C1898" s="90"/>
      <c r="D1898" s="92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</row>
    <row r="1899" spans="1:22" ht="14.4">
      <c r="A1899" s="93"/>
      <c r="B1899" s="90"/>
      <c r="C1899" s="90"/>
      <c r="D1899" s="92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</row>
    <row r="1900" spans="1:22" ht="14.4">
      <c r="A1900" s="93"/>
      <c r="B1900" s="90"/>
      <c r="C1900" s="90"/>
      <c r="D1900" s="92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</row>
    <row r="1901" spans="1:22" ht="14.4">
      <c r="A1901" s="93"/>
      <c r="B1901" s="90"/>
      <c r="C1901" s="90"/>
      <c r="D1901" s="92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</row>
    <row r="1902" spans="1:22" ht="14.4">
      <c r="A1902" s="93"/>
      <c r="B1902" s="90"/>
      <c r="C1902" s="90"/>
      <c r="D1902" s="92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</row>
    <row r="1903" spans="1:22" ht="14.4">
      <c r="A1903" s="93"/>
      <c r="B1903" s="90"/>
      <c r="C1903" s="90"/>
      <c r="D1903" s="92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</row>
    <row r="1904" spans="1:22" ht="14.4">
      <c r="A1904" s="93"/>
      <c r="B1904" s="90"/>
      <c r="C1904" s="90"/>
      <c r="D1904" s="92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</row>
    <row r="1905" spans="1:22" ht="14.4">
      <c r="A1905" s="93"/>
      <c r="B1905" s="90"/>
      <c r="C1905" s="90"/>
      <c r="D1905" s="92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</row>
    <row r="1906" spans="1:22" ht="14.4">
      <c r="A1906" s="93"/>
      <c r="B1906" s="90"/>
      <c r="C1906" s="90"/>
      <c r="D1906" s="92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</row>
    <row r="1907" spans="1:22" ht="14.4">
      <c r="A1907" s="93"/>
      <c r="B1907" s="90"/>
      <c r="C1907" s="90"/>
      <c r="D1907" s="92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</row>
    <row r="1908" spans="1:22" ht="14.4">
      <c r="A1908" s="93"/>
      <c r="B1908" s="90"/>
      <c r="C1908" s="90"/>
      <c r="D1908" s="92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</row>
    <row r="1909" spans="1:22" ht="14.4">
      <c r="A1909" s="93"/>
      <c r="B1909" s="90"/>
      <c r="C1909" s="90"/>
      <c r="D1909" s="92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</row>
    <row r="1910" spans="1:22" ht="14.4">
      <c r="A1910" s="93"/>
      <c r="B1910" s="90"/>
      <c r="C1910" s="90"/>
      <c r="D1910" s="92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</row>
    <row r="1911" spans="1:22" ht="14.4">
      <c r="A1911" s="93"/>
      <c r="B1911" s="90"/>
      <c r="C1911" s="90"/>
      <c r="D1911" s="92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</row>
    <row r="1912" spans="1:22" ht="14.4">
      <c r="A1912" s="93"/>
      <c r="B1912" s="90"/>
      <c r="C1912" s="90"/>
      <c r="D1912" s="92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</row>
    <row r="1913" spans="1:22" ht="14.4">
      <c r="A1913" s="93"/>
      <c r="B1913" s="90"/>
      <c r="C1913" s="90"/>
      <c r="D1913" s="92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</row>
    <row r="1914" spans="1:22" ht="14.4">
      <c r="A1914" s="93"/>
      <c r="B1914" s="90"/>
      <c r="C1914" s="90"/>
      <c r="D1914" s="92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</row>
    <row r="1915" spans="1:22" ht="14.4">
      <c r="A1915" s="93"/>
      <c r="B1915" s="90"/>
      <c r="C1915" s="90"/>
      <c r="D1915" s="92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</row>
    <row r="1916" spans="1:22" ht="14.4">
      <c r="A1916" s="93"/>
      <c r="B1916" s="90"/>
      <c r="C1916" s="90"/>
      <c r="D1916" s="92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</row>
    <row r="1917" spans="1:22" ht="14.4">
      <c r="A1917" s="93"/>
      <c r="B1917" s="90"/>
      <c r="C1917" s="90"/>
      <c r="D1917" s="92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</row>
    <row r="1918" spans="1:22" ht="14.4">
      <c r="A1918" s="93"/>
      <c r="B1918" s="90"/>
      <c r="C1918" s="90"/>
      <c r="D1918" s="92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</row>
    <row r="1919" spans="1:22" ht="14.4">
      <c r="A1919" s="93"/>
      <c r="B1919" s="90"/>
      <c r="C1919" s="90"/>
      <c r="D1919" s="92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</row>
    <row r="1920" spans="1:22" ht="14.4">
      <c r="A1920" s="93"/>
      <c r="B1920" s="90"/>
      <c r="C1920" s="90"/>
      <c r="D1920" s="92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</row>
    <row r="1921" spans="1:22" ht="14.4">
      <c r="A1921" s="93"/>
      <c r="B1921" s="90"/>
      <c r="C1921" s="90"/>
      <c r="D1921" s="92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</row>
    <row r="1922" spans="1:22" ht="14.4">
      <c r="A1922" s="93"/>
      <c r="B1922" s="90"/>
      <c r="C1922" s="90"/>
      <c r="D1922" s="92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</row>
    <row r="1923" spans="1:22" ht="14.4">
      <c r="A1923" s="93"/>
      <c r="B1923" s="90"/>
      <c r="C1923" s="90"/>
      <c r="D1923" s="92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</row>
    <row r="1924" spans="1:22" ht="14.4">
      <c r="A1924" s="93"/>
      <c r="B1924" s="90"/>
      <c r="C1924" s="90"/>
      <c r="D1924" s="92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</row>
    <row r="1925" spans="1:22" ht="14.4">
      <c r="A1925" s="93"/>
      <c r="B1925" s="90"/>
      <c r="C1925" s="90"/>
      <c r="D1925" s="92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</row>
    <row r="1926" spans="1:22" ht="14.4">
      <c r="A1926" s="93"/>
      <c r="B1926" s="90"/>
      <c r="C1926" s="90"/>
      <c r="D1926" s="92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</row>
    <row r="1927" spans="1:22" ht="14.4">
      <c r="A1927" s="93"/>
      <c r="B1927" s="90"/>
      <c r="C1927" s="90"/>
      <c r="D1927" s="92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</row>
    <row r="1928" spans="1:22" ht="14.4">
      <c r="A1928" s="93"/>
      <c r="B1928" s="90"/>
      <c r="C1928" s="90"/>
      <c r="D1928" s="92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</row>
    <row r="1929" spans="1:22" ht="14.4">
      <c r="A1929" s="93"/>
      <c r="B1929" s="90"/>
      <c r="C1929" s="90"/>
      <c r="D1929" s="92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</row>
    <row r="1930" spans="1:22" ht="14.4">
      <c r="A1930" s="93"/>
      <c r="B1930" s="90"/>
      <c r="C1930" s="90"/>
      <c r="D1930" s="92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</row>
    <row r="1931" spans="1:22" ht="14.4">
      <c r="A1931" s="93"/>
      <c r="B1931" s="90"/>
      <c r="C1931" s="90"/>
      <c r="D1931" s="92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</row>
    <row r="1932" spans="1:22" ht="14.4">
      <c r="A1932" s="93"/>
      <c r="B1932" s="90"/>
      <c r="C1932" s="90"/>
      <c r="D1932" s="92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</row>
    <row r="1933" spans="1:22" ht="14.4">
      <c r="A1933" s="93"/>
      <c r="B1933" s="90"/>
      <c r="C1933" s="90"/>
      <c r="D1933" s="92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</row>
    <row r="1934" spans="1:22" ht="14.4">
      <c r="A1934" s="93"/>
      <c r="B1934" s="90"/>
      <c r="C1934" s="90"/>
      <c r="D1934" s="92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</row>
    <row r="1935" spans="1:22" ht="14.4">
      <c r="A1935" s="93"/>
      <c r="B1935" s="90"/>
      <c r="C1935" s="90"/>
      <c r="D1935" s="92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</row>
    <row r="1936" spans="1:22" ht="14.4">
      <c r="A1936" s="93"/>
      <c r="B1936" s="90"/>
      <c r="C1936" s="90"/>
      <c r="D1936" s="92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</row>
    <row r="1937" spans="1:22" ht="14.4">
      <c r="A1937" s="93"/>
      <c r="B1937" s="90"/>
      <c r="C1937" s="90"/>
      <c r="D1937" s="92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</row>
    <row r="1938" spans="1:22" ht="14.4">
      <c r="A1938" s="93"/>
      <c r="B1938" s="90"/>
      <c r="C1938" s="90"/>
      <c r="D1938" s="92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</row>
    <row r="1939" spans="1:22" ht="14.4">
      <c r="A1939" s="93"/>
      <c r="B1939" s="90"/>
      <c r="C1939" s="90"/>
      <c r="D1939" s="92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</row>
    <row r="1940" spans="1:22" ht="14.4">
      <c r="A1940" s="93"/>
      <c r="B1940" s="90"/>
      <c r="C1940" s="90"/>
      <c r="D1940" s="92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</row>
    <row r="1941" spans="1:22" ht="14.4">
      <c r="A1941" s="93"/>
      <c r="B1941" s="90"/>
      <c r="C1941" s="90"/>
      <c r="D1941" s="92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</row>
    <row r="1942" spans="1:22" ht="14.4">
      <c r="A1942" s="93"/>
      <c r="B1942" s="90"/>
      <c r="C1942" s="90"/>
      <c r="D1942" s="92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</row>
    <row r="1943" spans="1:22" ht="14.4">
      <c r="A1943" s="93"/>
      <c r="B1943" s="90"/>
      <c r="C1943" s="90"/>
      <c r="D1943" s="92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</row>
    <row r="1944" spans="1:22" ht="14.4">
      <c r="A1944" s="93"/>
      <c r="B1944" s="90"/>
      <c r="C1944" s="90"/>
      <c r="D1944" s="92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</row>
    <row r="1945" spans="1:22" ht="14.4">
      <c r="A1945" s="93"/>
      <c r="B1945" s="90"/>
      <c r="C1945" s="90"/>
      <c r="D1945" s="92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</row>
    <row r="1946" spans="1:22" ht="14.4">
      <c r="A1946" s="93"/>
      <c r="B1946" s="90"/>
      <c r="C1946" s="90"/>
      <c r="D1946" s="92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</row>
    <row r="1947" spans="1:22" ht="14.4">
      <c r="A1947" s="93"/>
      <c r="B1947" s="90"/>
      <c r="C1947" s="90"/>
      <c r="D1947" s="92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</row>
    <row r="1948" spans="1:22" ht="14.4">
      <c r="A1948" s="93"/>
      <c r="B1948" s="90"/>
      <c r="C1948" s="90"/>
      <c r="D1948" s="92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</row>
    <row r="1949" spans="1:22" ht="14.4">
      <c r="A1949" s="93"/>
      <c r="B1949" s="90"/>
      <c r="C1949" s="90"/>
      <c r="D1949" s="92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</row>
    <row r="1950" spans="1:22" ht="14.4">
      <c r="A1950" s="93"/>
      <c r="B1950" s="90"/>
      <c r="C1950" s="90"/>
      <c r="D1950" s="92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</row>
    <row r="1951" spans="1:22" ht="14.4">
      <c r="A1951" s="93"/>
      <c r="B1951" s="90"/>
      <c r="C1951" s="90"/>
      <c r="D1951" s="92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</row>
    <row r="1952" spans="1:22" ht="14.4">
      <c r="A1952" s="93"/>
      <c r="B1952" s="90"/>
      <c r="C1952" s="90"/>
      <c r="D1952" s="92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</row>
    <row r="1953" spans="1:22" ht="14.4">
      <c r="A1953" s="93"/>
      <c r="B1953" s="90"/>
      <c r="C1953" s="90"/>
      <c r="D1953" s="92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</row>
    <row r="1954" spans="1:22" ht="14.4">
      <c r="A1954" s="93"/>
      <c r="B1954" s="90"/>
      <c r="C1954" s="90"/>
      <c r="D1954" s="92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</row>
    <row r="1955" spans="1:22" ht="14.4">
      <c r="A1955" s="93"/>
      <c r="B1955" s="90"/>
      <c r="C1955" s="90"/>
      <c r="D1955" s="92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</row>
    <row r="1956" spans="1:22" ht="14.4">
      <c r="A1956" s="93"/>
      <c r="B1956" s="90"/>
      <c r="C1956" s="90"/>
      <c r="D1956" s="92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</row>
    <row r="1957" spans="1:22" ht="14.4">
      <c r="A1957" s="93"/>
      <c r="B1957" s="90"/>
      <c r="C1957" s="90"/>
      <c r="D1957" s="92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</row>
    <row r="1958" spans="1:22" ht="14.4">
      <c r="A1958" s="93"/>
      <c r="B1958" s="90"/>
      <c r="C1958" s="90"/>
      <c r="D1958" s="92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</row>
    <row r="1959" spans="1:22" ht="14.4">
      <c r="A1959" s="93"/>
      <c r="B1959" s="90"/>
      <c r="C1959" s="90"/>
      <c r="D1959" s="92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</row>
    <row r="1960" spans="1:22" ht="14.4">
      <c r="A1960" s="93"/>
      <c r="B1960" s="90"/>
      <c r="C1960" s="90"/>
      <c r="D1960" s="92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</row>
    <row r="1961" spans="1:22" ht="14.4">
      <c r="A1961" s="93"/>
      <c r="B1961" s="90"/>
      <c r="C1961" s="90"/>
      <c r="D1961" s="92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</row>
    <row r="1962" spans="1:22" ht="14.4">
      <c r="A1962" s="93"/>
      <c r="B1962" s="90"/>
      <c r="C1962" s="90"/>
      <c r="D1962" s="92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</row>
    <row r="1963" spans="1:22" ht="14.4">
      <c r="A1963" s="93"/>
      <c r="B1963" s="90"/>
      <c r="C1963" s="90"/>
      <c r="D1963" s="92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</row>
    <row r="1964" spans="1:22" ht="14.4">
      <c r="A1964" s="93"/>
      <c r="B1964" s="90"/>
      <c r="C1964" s="90"/>
      <c r="D1964" s="92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</row>
    <row r="1965" spans="1:22" ht="14.4">
      <c r="A1965" s="93"/>
      <c r="B1965" s="90"/>
      <c r="C1965" s="90"/>
      <c r="D1965" s="92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</row>
    <row r="1966" spans="1:22" ht="14.4">
      <c r="A1966" s="93"/>
      <c r="B1966" s="90"/>
      <c r="C1966" s="90"/>
      <c r="D1966" s="92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</row>
    <row r="1967" spans="1:22" ht="14.4">
      <c r="A1967" s="93"/>
      <c r="B1967" s="90"/>
      <c r="C1967" s="90"/>
      <c r="D1967" s="92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</row>
    <row r="1968" spans="1:22" ht="14.4">
      <c r="A1968" s="93"/>
      <c r="B1968" s="90"/>
      <c r="C1968" s="90"/>
      <c r="D1968" s="92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</row>
    <row r="1969" spans="1:22" ht="14.4">
      <c r="A1969" s="93"/>
      <c r="B1969" s="90"/>
      <c r="C1969" s="90"/>
      <c r="D1969" s="92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</row>
    <row r="1970" spans="1:22" ht="14.4">
      <c r="A1970" s="93"/>
      <c r="B1970" s="90"/>
      <c r="C1970" s="90"/>
      <c r="D1970" s="92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</row>
    <row r="1971" spans="1:22" ht="14.4">
      <c r="A1971" s="93"/>
      <c r="B1971" s="90"/>
      <c r="C1971" s="90"/>
      <c r="D1971" s="92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</row>
    <row r="1972" spans="1:22" ht="14.4">
      <c r="A1972" s="93"/>
      <c r="B1972" s="90"/>
      <c r="C1972" s="90"/>
      <c r="D1972" s="92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</row>
    <row r="1973" spans="1:22" ht="14.4">
      <c r="A1973" s="93"/>
      <c r="B1973" s="90"/>
      <c r="C1973" s="90"/>
      <c r="D1973" s="92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</row>
    <row r="1974" spans="1:22" ht="14.4">
      <c r="A1974" s="93"/>
      <c r="B1974" s="90"/>
      <c r="C1974" s="90"/>
      <c r="D1974" s="92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</row>
    <row r="1975" spans="1:22" ht="14.4">
      <c r="A1975" s="93"/>
      <c r="B1975" s="90"/>
      <c r="C1975" s="90"/>
      <c r="D1975" s="92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</row>
    <row r="1976" spans="1:22" ht="14.4">
      <c r="A1976" s="93"/>
      <c r="B1976" s="90"/>
      <c r="C1976" s="90"/>
      <c r="D1976" s="92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</row>
    <row r="1977" spans="1:22" ht="14.4">
      <c r="A1977" s="93"/>
      <c r="B1977" s="90"/>
      <c r="C1977" s="90"/>
      <c r="D1977" s="92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</row>
    <row r="1978" spans="1:22" ht="14.4">
      <c r="A1978" s="93"/>
      <c r="B1978" s="90"/>
      <c r="C1978" s="90"/>
      <c r="D1978" s="92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</row>
    <row r="1979" spans="1:22" ht="14.4">
      <c r="A1979" s="93"/>
      <c r="B1979" s="90"/>
      <c r="C1979" s="90"/>
      <c r="D1979" s="92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</row>
    <row r="1980" spans="1:22" ht="14.4">
      <c r="A1980" s="93"/>
      <c r="B1980" s="90"/>
      <c r="C1980" s="90"/>
      <c r="D1980" s="92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</row>
    <row r="1981" spans="1:22" ht="14.4">
      <c r="A1981" s="93"/>
      <c r="B1981" s="90"/>
      <c r="C1981" s="90"/>
      <c r="D1981" s="92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</row>
    <row r="1982" spans="1:22" ht="14.4">
      <c r="A1982" s="93"/>
      <c r="B1982" s="90"/>
      <c r="C1982" s="90"/>
      <c r="D1982" s="92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</row>
    <row r="1983" spans="1:22" ht="14.4">
      <c r="A1983" s="93"/>
      <c r="B1983" s="90"/>
      <c r="C1983" s="90"/>
      <c r="D1983" s="92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</row>
    <row r="1984" spans="1:22" ht="14.4">
      <c r="A1984" s="93"/>
      <c r="B1984" s="90"/>
      <c r="C1984" s="90"/>
      <c r="D1984" s="92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</row>
    <row r="1985" spans="1:22" ht="14.4">
      <c r="A1985" s="93"/>
      <c r="B1985" s="90"/>
      <c r="C1985" s="90"/>
      <c r="D1985" s="92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</row>
    <row r="1986" spans="1:22" ht="14.4">
      <c r="A1986" s="93"/>
      <c r="B1986" s="90"/>
      <c r="C1986" s="90"/>
      <c r="D1986" s="92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</row>
    <row r="1987" spans="1:22" ht="14.4">
      <c r="A1987" s="93"/>
      <c r="B1987" s="90"/>
      <c r="C1987" s="90"/>
      <c r="D1987" s="92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</row>
    <row r="1988" spans="1:22" ht="14.4">
      <c r="A1988" s="93"/>
      <c r="B1988" s="90"/>
      <c r="C1988" s="90"/>
      <c r="D1988" s="92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</row>
    <row r="1989" spans="1:22" ht="14.4">
      <c r="A1989" s="93"/>
      <c r="B1989" s="90"/>
      <c r="C1989" s="90"/>
      <c r="D1989" s="92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</row>
    <row r="1990" spans="1:22" ht="14.4">
      <c r="A1990" s="93"/>
      <c r="B1990" s="90"/>
      <c r="C1990" s="90"/>
      <c r="D1990" s="92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</row>
    <row r="1991" spans="1:22" ht="14.4">
      <c r="A1991" s="93"/>
      <c r="B1991" s="90"/>
      <c r="C1991" s="90"/>
      <c r="D1991" s="92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</row>
    <row r="1992" spans="1:22" ht="14.4">
      <c r="A1992" s="93"/>
      <c r="B1992" s="90"/>
      <c r="C1992" s="90"/>
      <c r="D1992" s="92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</row>
    <row r="1993" spans="1:22" ht="14.4">
      <c r="A1993" s="93"/>
      <c r="B1993" s="90"/>
      <c r="C1993" s="90"/>
      <c r="D1993" s="92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</row>
    <row r="1994" spans="1:22" ht="14.4">
      <c r="A1994" s="93"/>
      <c r="B1994" s="90"/>
      <c r="C1994" s="90"/>
      <c r="D1994" s="92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</row>
    <row r="1995" spans="1:22" ht="14.4">
      <c r="A1995" s="93"/>
      <c r="B1995" s="90"/>
      <c r="C1995" s="90"/>
      <c r="D1995" s="92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</row>
    <row r="1996" spans="1:22" ht="14.4">
      <c r="A1996" s="93"/>
      <c r="B1996" s="90"/>
      <c r="C1996" s="90"/>
      <c r="D1996" s="92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</row>
    <row r="1997" spans="1:22" ht="14.4">
      <c r="A1997" s="93"/>
      <c r="B1997" s="90"/>
      <c r="C1997" s="90"/>
      <c r="D1997" s="92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</row>
    <row r="1998" spans="1:22" ht="14.4">
      <c r="A1998" s="93"/>
      <c r="B1998" s="90"/>
      <c r="C1998" s="90"/>
      <c r="D1998" s="92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</row>
    <row r="1999" spans="1:22" ht="14.4">
      <c r="A1999" s="93"/>
      <c r="B1999" s="90"/>
      <c r="C1999" s="90"/>
      <c r="D1999" s="92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</row>
    <row r="2000" spans="1:22" ht="14.4">
      <c r="A2000" s="93"/>
      <c r="B2000" s="90"/>
      <c r="C2000" s="90"/>
      <c r="D2000" s="92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</row>
    <row r="2001" spans="1:22" ht="14.4">
      <c r="A2001" s="93"/>
      <c r="B2001" s="90"/>
      <c r="C2001" s="90"/>
      <c r="D2001" s="92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</row>
    <row r="2002" spans="1:22" ht="14.4">
      <c r="A2002" s="93"/>
      <c r="B2002" s="90"/>
      <c r="C2002" s="90"/>
      <c r="D2002" s="92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</row>
    <row r="2003" spans="1:22" ht="14.4">
      <c r="A2003" s="93"/>
      <c r="B2003" s="90"/>
      <c r="C2003" s="90"/>
      <c r="D2003" s="92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</row>
    <row r="2004" spans="1:22" ht="14.4">
      <c r="A2004" s="93"/>
      <c r="B2004" s="90"/>
      <c r="C2004" s="90"/>
      <c r="D2004" s="92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</row>
    <row r="2005" spans="1:22" ht="14.4">
      <c r="A2005" s="93"/>
      <c r="B2005" s="90"/>
      <c r="C2005" s="90"/>
      <c r="D2005" s="92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</row>
    <row r="2006" spans="1:22" ht="14.4">
      <c r="A2006" s="93"/>
      <c r="B2006" s="90"/>
      <c r="C2006" s="90"/>
      <c r="D2006" s="92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</row>
    <row r="2007" spans="1:22" ht="14.4">
      <c r="A2007" s="93"/>
      <c r="B2007" s="90"/>
      <c r="C2007" s="90"/>
      <c r="D2007" s="92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</row>
    <row r="2008" spans="1:22" ht="14.4">
      <c r="A2008" s="93"/>
      <c r="B2008" s="90"/>
      <c r="C2008" s="90"/>
      <c r="D2008" s="92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</row>
    <row r="2009" spans="1:22" ht="14.4">
      <c r="A2009" s="93"/>
      <c r="B2009" s="90"/>
      <c r="C2009" s="90"/>
      <c r="D2009" s="92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</row>
    <row r="2010" spans="1:22" ht="14.4">
      <c r="A2010" s="93"/>
      <c r="B2010" s="90"/>
      <c r="C2010" s="90"/>
      <c r="D2010" s="92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</row>
    <row r="2011" spans="1:22" ht="14.4">
      <c r="A2011" s="93"/>
      <c r="B2011" s="90"/>
      <c r="C2011" s="90"/>
      <c r="D2011" s="92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</row>
    <row r="2012" spans="1:22" ht="14.4">
      <c r="A2012" s="93"/>
      <c r="B2012" s="90"/>
      <c r="C2012" s="90"/>
      <c r="D2012" s="92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</row>
    <row r="2013" spans="1:22" ht="14.4">
      <c r="A2013" s="93"/>
      <c r="B2013" s="90"/>
      <c r="C2013" s="90"/>
      <c r="D2013" s="92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</row>
    <row r="2014" spans="1:22" ht="14.4">
      <c r="A2014" s="93"/>
      <c r="B2014" s="90"/>
      <c r="C2014" s="90"/>
      <c r="D2014" s="92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</row>
    <row r="2015" spans="1:22" ht="14.4">
      <c r="A2015" s="93"/>
      <c r="B2015" s="90"/>
      <c r="C2015" s="90"/>
      <c r="D2015" s="92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</row>
    <row r="2016" spans="1:22" ht="14.4">
      <c r="A2016" s="93"/>
      <c r="B2016" s="90"/>
      <c r="C2016" s="90"/>
      <c r="D2016" s="92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</row>
    <row r="2017" spans="1:22" ht="14.4">
      <c r="A2017" s="93"/>
      <c r="B2017" s="90"/>
      <c r="C2017" s="90"/>
      <c r="D2017" s="92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</row>
    <row r="2018" spans="1:22" ht="14.4">
      <c r="A2018" s="93"/>
      <c r="B2018" s="90"/>
      <c r="C2018" s="90"/>
      <c r="D2018" s="92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</row>
    <row r="2019" spans="1:22" ht="14.4">
      <c r="A2019" s="93"/>
      <c r="B2019" s="90"/>
      <c r="C2019" s="90"/>
      <c r="D2019" s="92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</row>
    <row r="2020" spans="1:22" ht="14.4">
      <c r="A2020" s="93"/>
      <c r="B2020" s="90"/>
      <c r="C2020" s="90"/>
      <c r="D2020" s="92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</row>
    <row r="2021" spans="1:22" ht="14.4">
      <c r="A2021" s="93"/>
      <c r="B2021" s="90"/>
      <c r="C2021" s="90"/>
      <c r="D2021" s="92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</row>
    <row r="2022" spans="1:22" ht="14.4">
      <c r="A2022" s="93"/>
      <c r="B2022" s="90"/>
      <c r="C2022" s="90"/>
      <c r="D2022" s="92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</row>
    <row r="2023" spans="1:22" ht="14.4">
      <c r="A2023" s="93"/>
      <c r="B2023" s="90"/>
      <c r="C2023" s="90"/>
      <c r="D2023" s="92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</row>
    <row r="2024" spans="1:22" ht="14.4">
      <c r="A2024" s="93"/>
      <c r="B2024" s="90"/>
      <c r="C2024" s="90"/>
      <c r="D2024" s="92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</row>
    <row r="2025" spans="1:22" ht="14.4">
      <c r="A2025" s="93"/>
      <c r="B2025" s="90"/>
      <c r="C2025" s="90"/>
      <c r="D2025" s="92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</row>
    <row r="2026" spans="1:22" ht="14.4">
      <c r="A2026" s="93"/>
      <c r="B2026" s="90"/>
      <c r="C2026" s="90"/>
      <c r="D2026" s="92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</row>
    <row r="2027" spans="1:22" ht="14.4">
      <c r="A2027" s="93"/>
      <c r="B2027" s="90"/>
      <c r="C2027" s="90"/>
      <c r="D2027" s="92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</row>
    <row r="2028" spans="1:22" ht="14.4">
      <c r="A2028" s="93"/>
      <c r="B2028" s="90"/>
      <c r="C2028" s="90"/>
      <c r="D2028" s="92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</row>
    <row r="2029" spans="1:22" ht="14.4">
      <c r="A2029" s="93"/>
      <c r="B2029" s="90"/>
      <c r="C2029" s="90"/>
      <c r="D2029" s="92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</row>
    <row r="2030" spans="1:22" ht="14.4">
      <c r="A2030" s="93"/>
      <c r="B2030" s="90"/>
      <c r="C2030" s="90"/>
      <c r="D2030" s="92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</row>
    <row r="2031" spans="1:22" ht="14.4">
      <c r="A2031" s="93"/>
      <c r="B2031" s="90"/>
      <c r="C2031" s="90"/>
      <c r="D2031" s="92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</row>
    <row r="2032" spans="1:22" ht="14.4">
      <c r="A2032" s="93"/>
      <c r="B2032" s="90"/>
      <c r="C2032" s="90"/>
      <c r="D2032" s="92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</row>
    <row r="2033" spans="1:22" ht="14.4">
      <c r="A2033" s="93"/>
      <c r="B2033" s="90"/>
      <c r="C2033" s="90"/>
      <c r="D2033" s="92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</row>
    <row r="2034" spans="1:22" ht="14.4">
      <c r="A2034" s="93"/>
      <c r="B2034" s="90"/>
      <c r="C2034" s="90"/>
      <c r="D2034" s="92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</row>
    <row r="2035" spans="1:22" ht="14.4">
      <c r="A2035" s="93"/>
      <c r="B2035" s="90"/>
      <c r="C2035" s="90"/>
      <c r="D2035" s="92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</row>
    <row r="2036" spans="1:22" ht="14.4">
      <c r="A2036" s="93"/>
      <c r="B2036" s="90"/>
      <c r="C2036" s="90"/>
      <c r="D2036" s="92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</row>
    <row r="2037" spans="1:22" ht="14.4">
      <c r="A2037" s="93"/>
      <c r="B2037" s="90"/>
      <c r="C2037" s="90"/>
      <c r="D2037" s="92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</row>
    <row r="2038" spans="1:22" ht="14.4">
      <c r="A2038" s="93"/>
      <c r="B2038" s="90"/>
      <c r="C2038" s="90"/>
      <c r="D2038" s="92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</row>
    <row r="2039" spans="1:22" ht="14.4">
      <c r="A2039" s="93"/>
      <c r="B2039" s="90"/>
      <c r="C2039" s="90"/>
      <c r="D2039" s="92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</row>
    <row r="2040" spans="1:22" ht="14.4">
      <c r="A2040" s="93"/>
      <c r="B2040" s="90"/>
      <c r="C2040" s="90"/>
      <c r="D2040" s="92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</row>
    <row r="2041" spans="1:22" ht="14.4">
      <c r="A2041" s="93"/>
      <c r="B2041" s="90"/>
      <c r="C2041" s="90"/>
      <c r="D2041" s="92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</row>
    <row r="2042" spans="1:22" ht="14.4">
      <c r="A2042" s="93"/>
      <c r="B2042" s="90"/>
      <c r="C2042" s="90"/>
      <c r="D2042" s="92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</row>
    <row r="2043" spans="1:22" ht="14.4">
      <c r="A2043" s="93"/>
      <c r="B2043" s="90"/>
      <c r="C2043" s="90"/>
      <c r="D2043" s="92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</row>
    <row r="2044" spans="1:22" ht="14.4">
      <c r="A2044" s="93"/>
      <c r="B2044" s="90"/>
      <c r="C2044" s="90"/>
      <c r="D2044" s="92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</row>
    <row r="2045" spans="1:22" ht="14.4">
      <c r="A2045" s="93"/>
      <c r="B2045" s="90"/>
      <c r="C2045" s="90"/>
      <c r="D2045" s="92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</row>
    <row r="2046" spans="1:22" ht="14.4">
      <c r="A2046" s="93"/>
      <c r="B2046" s="90"/>
      <c r="C2046" s="90"/>
      <c r="D2046" s="92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</row>
    <row r="2047" spans="1:22" ht="14.4">
      <c r="A2047" s="93"/>
      <c r="B2047" s="90"/>
      <c r="C2047" s="90"/>
      <c r="D2047" s="92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</row>
    <row r="2048" spans="1:22" ht="14.4">
      <c r="A2048" s="93"/>
      <c r="B2048" s="90"/>
      <c r="C2048" s="90"/>
      <c r="D2048" s="92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</row>
    <row r="2049" spans="1:22" ht="14.4">
      <c r="A2049" s="93"/>
      <c r="B2049" s="90"/>
      <c r="C2049" s="90"/>
      <c r="D2049" s="92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</row>
    <row r="2050" spans="1:22" ht="14.4">
      <c r="A2050" s="93"/>
      <c r="B2050" s="90"/>
      <c r="C2050" s="90"/>
      <c r="D2050" s="92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</row>
    <row r="2051" spans="1:22" ht="14.4">
      <c r="A2051" s="93"/>
      <c r="B2051" s="90"/>
      <c r="C2051" s="90"/>
      <c r="D2051" s="92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</row>
    <row r="2052" spans="1:22" ht="14.4">
      <c r="A2052" s="93"/>
      <c r="B2052" s="90"/>
      <c r="C2052" s="90"/>
      <c r="D2052" s="92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</row>
    <row r="2053" spans="1:22" ht="14.4">
      <c r="A2053" s="93"/>
      <c r="B2053" s="90"/>
      <c r="C2053" s="90"/>
      <c r="D2053" s="92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</row>
    <row r="2054" spans="1:22" ht="14.4">
      <c r="A2054" s="93"/>
      <c r="B2054" s="90"/>
      <c r="C2054" s="90"/>
      <c r="D2054" s="92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</row>
    <row r="2055" spans="1:22" ht="14.4">
      <c r="A2055" s="93"/>
      <c r="B2055" s="90"/>
      <c r="C2055" s="90"/>
      <c r="D2055" s="92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</row>
    <row r="2056" spans="1:22" ht="14.4">
      <c r="A2056" s="93"/>
      <c r="B2056" s="90"/>
      <c r="C2056" s="90"/>
      <c r="D2056" s="92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</row>
    <row r="2057" spans="1:22" ht="14.4">
      <c r="A2057" s="93"/>
      <c r="B2057" s="90"/>
      <c r="C2057" s="90"/>
      <c r="D2057" s="92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</row>
    <row r="2058" spans="1:22" ht="14.4">
      <c r="A2058" s="93"/>
      <c r="B2058" s="90"/>
      <c r="C2058" s="90"/>
      <c r="D2058" s="92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</row>
    <row r="2059" spans="1:22" ht="14.4">
      <c r="A2059" s="93"/>
      <c r="B2059" s="90"/>
      <c r="C2059" s="90"/>
      <c r="D2059" s="92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</row>
    <row r="2060" spans="1:22" ht="14.4">
      <c r="A2060" s="93"/>
      <c r="B2060" s="90"/>
      <c r="C2060" s="90"/>
      <c r="D2060" s="92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</row>
    <row r="2061" spans="1:22" ht="14.4">
      <c r="A2061" s="93"/>
      <c r="B2061" s="90"/>
      <c r="C2061" s="90"/>
      <c r="D2061" s="92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</row>
    <row r="2062" spans="1:22" ht="14.4">
      <c r="A2062" s="93"/>
      <c r="B2062" s="90"/>
      <c r="C2062" s="90"/>
      <c r="D2062" s="92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</row>
    <row r="2063" spans="1:22" ht="14.4">
      <c r="A2063" s="93"/>
      <c r="B2063" s="90"/>
      <c r="C2063" s="90"/>
      <c r="D2063" s="92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</row>
    <row r="2064" spans="1:22" ht="14.4">
      <c r="A2064" s="93"/>
      <c r="B2064" s="90"/>
      <c r="C2064" s="90"/>
      <c r="D2064" s="92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</row>
    <row r="2065" spans="1:22" ht="14.4">
      <c r="A2065" s="93"/>
      <c r="B2065" s="90"/>
      <c r="C2065" s="90"/>
      <c r="D2065" s="92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</row>
    <row r="2066" spans="1:22" ht="14.4">
      <c r="A2066" s="93"/>
      <c r="B2066" s="90"/>
      <c r="C2066" s="90"/>
      <c r="D2066" s="92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</row>
    <row r="2067" spans="1:22" ht="14.4">
      <c r="A2067" s="93"/>
      <c r="B2067" s="90"/>
      <c r="C2067" s="90"/>
      <c r="D2067" s="92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</row>
    <row r="2068" spans="1:22" ht="14.4">
      <c r="A2068" s="93"/>
      <c r="B2068" s="90"/>
      <c r="C2068" s="90"/>
      <c r="D2068" s="92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</row>
    <row r="2069" spans="1:22" ht="14.4">
      <c r="A2069" s="93"/>
      <c r="B2069" s="90"/>
      <c r="C2069" s="90"/>
      <c r="D2069" s="92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</row>
    <row r="2070" spans="1:22" ht="14.4">
      <c r="A2070" s="93"/>
      <c r="B2070" s="90"/>
      <c r="C2070" s="90"/>
      <c r="D2070" s="92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</row>
    <row r="2071" spans="1:22" ht="14.4">
      <c r="A2071" s="93"/>
      <c r="B2071" s="90"/>
      <c r="C2071" s="90"/>
      <c r="D2071" s="92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</row>
    <row r="2072" spans="1:22" ht="14.4">
      <c r="A2072" s="93"/>
      <c r="B2072" s="90"/>
      <c r="C2072" s="90"/>
      <c r="D2072" s="92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</row>
    <row r="2073" spans="1:22" ht="14.4">
      <c r="A2073" s="93"/>
      <c r="B2073" s="90"/>
      <c r="C2073" s="90"/>
      <c r="D2073" s="92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</row>
    <row r="2074" spans="1:22" ht="14.4">
      <c r="A2074" s="93"/>
      <c r="B2074" s="90"/>
      <c r="C2074" s="90"/>
      <c r="D2074" s="92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</row>
    <row r="2075" spans="1:22" ht="14.4">
      <c r="A2075" s="93"/>
      <c r="B2075" s="90"/>
      <c r="C2075" s="90"/>
      <c r="D2075" s="92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</row>
    <row r="2076" spans="1:22" ht="14.4">
      <c r="A2076" s="93"/>
      <c r="B2076" s="90"/>
      <c r="C2076" s="90"/>
      <c r="D2076" s="92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</row>
    <row r="2077" spans="1:22" ht="14.4">
      <c r="A2077" s="93"/>
      <c r="B2077" s="90"/>
      <c r="C2077" s="90"/>
      <c r="D2077" s="92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</row>
    <row r="2078" spans="1:22" ht="14.4">
      <c r="A2078" s="93"/>
      <c r="B2078" s="90"/>
      <c r="C2078" s="90"/>
      <c r="D2078" s="92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</row>
    <row r="2079" spans="1:22" ht="14.4">
      <c r="A2079" s="93"/>
      <c r="B2079" s="90"/>
      <c r="C2079" s="90"/>
      <c r="D2079" s="92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</row>
    <row r="2080" spans="1:22" ht="14.4">
      <c r="A2080" s="93"/>
      <c r="B2080" s="90"/>
      <c r="C2080" s="90"/>
      <c r="D2080" s="92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</row>
    <row r="2081" spans="1:22" ht="14.4">
      <c r="A2081" s="93"/>
      <c r="B2081" s="90"/>
      <c r="C2081" s="90"/>
      <c r="D2081" s="92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</row>
    <row r="2082" spans="1:22" ht="14.4">
      <c r="A2082" s="93"/>
      <c r="B2082" s="90"/>
      <c r="C2082" s="90"/>
      <c r="D2082" s="92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</row>
    <row r="2083" spans="1:22" ht="14.4">
      <c r="A2083" s="93"/>
      <c r="B2083" s="90"/>
      <c r="C2083" s="90"/>
      <c r="D2083" s="92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</row>
    <row r="2084" spans="1:22" ht="14.4">
      <c r="A2084" s="93"/>
      <c r="B2084" s="90"/>
      <c r="C2084" s="90"/>
      <c r="D2084" s="92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</row>
    <row r="2085" spans="1:22" ht="14.4">
      <c r="A2085" s="93"/>
      <c r="B2085" s="90"/>
      <c r="C2085" s="90"/>
      <c r="D2085" s="92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</row>
    <row r="2086" spans="1:22" ht="14.4">
      <c r="A2086" s="93"/>
      <c r="B2086" s="90"/>
      <c r="C2086" s="90"/>
      <c r="D2086" s="92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</row>
    <row r="2087" spans="1:22" ht="14.4">
      <c r="A2087" s="93"/>
      <c r="B2087" s="90"/>
      <c r="C2087" s="90"/>
      <c r="D2087" s="92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</row>
    <row r="2088" spans="1:22" ht="14.4">
      <c r="A2088" s="93"/>
      <c r="B2088" s="90"/>
      <c r="C2088" s="90"/>
      <c r="D2088" s="92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</row>
    <row r="2089" spans="1:22" ht="14.4">
      <c r="A2089" s="93"/>
      <c r="B2089" s="90"/>
      <c r="C2089" s="90"/>
      <c r="D2089" s="92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</row>
    <row r="2090" spans="1:22" ht="14.4">
      <c r="A2090" s="93"/>
      <c r="B2090" s="90"/>
      <c r="C2090" s="90"/>
      <c r="D2090" s="92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</row>
    <row r="2091" spans="1:22" ht="14.4">
      <c r="A2091" s="93"/>
      <c r="B2091" s="90"/>
      <c r="C2091" s="90"/>
      <c r="D2091" s="92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</row>
    <row r="2092" spans="1:22" ht="14.4">
      <c r="A2092" s="93"/>
      <c r="B2092" s="90"/>
      <c r="C2092" s="90"/>
      <c r="D2092" s="92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</row>
    <row r="2093" spans="1:22" ht="14.4">
      <c r="A2093" s="93"/>
      <c r="B2093" s="90"/>
      <c r="C2093" s="90"/>
      <c r="D2093" s="92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</row>
    <row r="2094" spans="1:22" ht="14.4">
      <c r="A2094" s="93"/>
      <c r="B2094" s="90"/>
      <c r="C2094" s="90"/>
      <c r="D2094" s="92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</row>
    <row r="2095" spans="1:22" ht="14.4">
      <c r="A2095" s="93"/>
      <c r="B2095" s="90"/>
      <c r="C2095" s="90"/>
      <c r="D2095" s="92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</row>
    <row r="2096" spans="1:22" ht="14.4">
      <c r="A2096" s="93"/>
      <c r="B2096" s="90"/>
      <c r="C2096" s="90"/>
      <c r="D2096" s="92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</row>
    <row r="2097" spans="1:22" ht="14.4">
      <c r="A2097" s="93"/>
      <c r="B2097" s="90"/>
      <c r="C2097" s="90"/>
      <c r="D2097" s="92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</row>
    <row r="2098" spans="1:22" ht="14.4">
      <c r="A2098" s="93"/>
      <c r="B2098" s="90"/>
      <c r="C2098" s="90"/>
      <c r="D2098" s="92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</row>
    <row r="2099" spans="1:22" ht="14.4">
      <c r="A2099" s="93"/>
      <c r="B2099" s="90"/>
      <c r="C2099" s="90"/>
      <c r="D2099" s="92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</row>
    <row r="2100" spans="1:22" ht="14.4">
      <c r="A2100" s="93"/>
      <c r="B2100" s="90"/>
      <c r="C2100" s="90"/>
      <c r="D2100" s="92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</row>
    <row r="2101" spans="1:22" ht="14.4">
      <c r="A2101" s="93"/>
      <c r="B2101" s="90"/>
      <c r="C2101" s="90"/>
      <c r="D2101" s="92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</row>
    <row r="2102" spans="1:22" ht="14.4">
      <c r="A2102" s="93"/>
      <c r="B2102" s="90"/>
      <c r="C2102" s="90"/>
      <c r="D2102" s="92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</row>
    <row r="2103" spans="1:22" ht="14.4">
      <c r="A2103" s="93"/>
      <c r="B2103" s="90"/>
      <c r="C2103" s="90"/>
      <c r="D2103" s="92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</row>
    <row r="2104" spans="1:22" ht="14.4">
      <c r="A2104" s="93"/>
      <c r="B2104" s="90"/>
      <c r="C2104" s="90"/>
      <c r="D2104" s="92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</row>
    <row r="2105" spans="1:22" ht="14.4">
      <c r="A2105" s="93"/>
      <c r="B2105" s="90"/>
      <c r="C2105" s="90"/>
      <c r="D2105" s="92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</row>
    <row r="2106" spans="1:22" ht="14.4">
      <c r="A2106" s="93"/>
      <c r="B2106" s="90"/>
      <c r="C2106" s="90"/>
      <c r="D2106" s="92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</row>
    <row r="2107" spans="1:22" ht="14.4">
      <c r="A2107" s="93"/>
      <c r="B2107" s="90"/>
      <c r="C2107" s="90"/>
      <c r="D2107" s="92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</row>
    <row r="2108" spans="1:22" ht="14.4">
      <c r="A2108" s="93"/>
      <c r="B2108" s="90"/>
      <c r="C2108" s="90"/>
      <c r="D2108" s="92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</row>
    <row r="2109" spans="1:22" ht="14.4">
      <c r="A2109" s="93"/>
      <c r="B2109" s="90"/>
      <c r="C2109" s="90"/>
      <c r="D2109" s="92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</row>
    <row r="2110" spans="1:22" ht="14.4">
      <c r="A2110" s="93"/>
      <c r="B2110" s="90"/>
      <c r="C2110" s="90"/>
      <c r="D2110" s="92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</row>
    <row r="2111" spans="1:22" ht="14.4">
      <c r="A2111" s="93"/>
      <c r="B2111" s="90"/>
      <c r="C2111" s="90"/>
      <c r="D2111" s="92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</row>
    <row r="2112" spans="1:22" ht="14.4">
      <c r="A2112" s="93"/>
      <c r="B2112" s="90"/>
      <c r="C2112" s="90"/>
      <c r="D2112" s="92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</row>
    <row r="2113" spans="1:22" ht="14.4">
      <c r="A2113" s="93"/>
      <c r="B2113" s="90"/>
      <c r="C2113" s="90"/>
      <c r="D2113" s="92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</row>
    <row r="2114" spans="1:22" ht="14.4">
      <c r="A2114" s="93"/>
      <c r="B2114" s="90"/>
      <c r="C2114" s="90"/>
      <c r="D2114" s="92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</row>
    <row r="2115" spans="1:22" ht="14.4">
      <c r="A2115" s="93"/>
      <c r="B2115" s="90"/>
      <c r="C2115" s="90"/>
      <c r="D2115" s="92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</row>
    <row r="2116" spans="1:22" ht="14.4">
      <c r="A2116" s="93"/>
      <c r="B2116" s="90"/>
      <c r="C2116" s="90"/>
      <c r="D2116" s="92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</row>
    <row r="2117" spans="1:22" ht="14.4">
      <c r="A2117" s="93"/>
      <c r="B2117" s="90"/>
      <c r="C2117" s="90"/>
      <c r="D2117" s="92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</row>
    <row r="2118" spans="1:22" ht="14.4">
      <c r="A2118" s="93"/>
      <c r="B2118" s="90"/>
      <c r="C2118" s="90"/>
      <c r="D2118" s="92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</row>
    <row r="2119" spans="1:22" ht="14.4">
      <c r="A2119" s="93"/>
      <c r="B2119" s="90"/>
      <c r="C2119" s="90"/>
      <c r="D2119" s="92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</row>
    <row r="2120" spans="1:22" ht="14.4">
      <c r="A2120" s="93"/>
      <c r="B2120" s="90"/>
      <c r="C2120" s="90"/>
      <c r="D2120" s="92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</row>
    <row r="2121" spans="1:22" ht="14.4">
      <c r="A2121" s="93"/>
      <c r="B2121" s="90"/>
      <c r="C2121" s="90"/>
      <c r="D2121" s="92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</row>
    <row r="2122" spans="1:22" ht="14.4">
      <c r="A2122" s="93"/>
      <c r="B2122" s="90"/>
      <c r="C2122" s="90"/>
      <c r="D2122" s="92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</row>
    <row r="2123" spans="1:22" ht="14.4">
      <c r="A2123" s="93"/>
      <c r="B2123" s="90"/>
      <c r="C2123" s="90"/>
      <c r="D2123" s="92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</row>
    <row r="2124" spans="1:22" ht="14.4">
      <c r="A2124" s="93"/>
      <c r="B2124" s="90"/>
      <c r="C2124" s="90"/>
      <c r="D2124" s="92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</row>
    <row r="2125" spans="1:22" ht="14.4">
      <c r="A2125" s="93"/>
      <c r="B2125" s="90"/>
      <c r="C2125" s="90"/>
      <c r="D2125" s="92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</row>
    <row r="2126" spans="1:22" ht="14.4">
      <c r="A2126" s="93"/>
      <c r="B2126" s="90"/>
      <c r="C2126" s="90"/>
      <c r="D2126" s="92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</row>
    <row r="2127" spans="1:22" ht="14.4">
      <c r="A2127" s="93"/>
      <c r="B2127" s="90"/>
      <c r="C2127" s="90"/>
      <c r="D2127" s="92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</row>
    <row r="2128" spans="1:22" ht="14.4">
      <c r="A2128" s="93"/>
      <c r="B2128" s="90"/>
      <c r="C2128" s="90"/>
      <c r="D2128" s="92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</row>
    <row r="2129" spans="1:22" ht="14.4">
      <c r="A2129" s="93"/>
      <c r="B2129" s="90"/>
      <c r="C2129" s="90"/>
      <c r="D2129" s="92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</row>
    <row r="2130" spans="1:22" ht="14.4">
      <c r="A2130" s="93"/>
      <c r="B2130" s="90"/>
      <c r="C2130" s="90"/>
      <c r="D2130" s="92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</row>
    <row r="2131" spans="1:22" ht="14.4">
      <c r="A2131" s="93"/>
      <c r="B2131" s="90"/>
      <c r="C2131" s="90"/>
      <c r="D2131" s="92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</row>
    <row r="2132" spans="1:22" ht="14.4">
      <c r="A2132" s="93"/>
      <c r="B2132" s="90"/>
      <c r="C2132" s="90"/>
      <c r="D2132" s="92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</row>
    <row r="2133" spans="1:22" ht="14.4">
      <c r="A2133" s="93"/>
      <c r="B2133" s="90"/>
      <c r="C2133" s="90"/>
      <c r="D2133" s="92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</row>
    <row r="2134" spans="1:22" ht="14.4">
      <c r="A2134" s="93"/>
      <c r="B2134" s="90"/>
      <c r="C2134" s="90"/>
      <c r="D2134" s="92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</row>
    <row r="2135" spans="1:22" ht="14.4">
      <c r="A2135" s="93"/>
      <c r="B2135" s="90"/>
      <c r="C2135" s="90"/>
      <c r="D2135" s="92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</row>
    <row r="2136" spans="1:22" ht="14.4">
      <c r="A2136" s="93"/>
      <c r="B2136" s="90"/>
      <c r="C2136" s="90"/>
      <c r="D2136" s="92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</row>
    <row r="2137" spans="1:22" ht="14.4">
      <c r="A2137" s="93"/>
      <c r="B2137" s="90"/>
      <c r="C2137" s="90"/>
      <c r="D2137" s="92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</row>
    <row r="2138" spans="1:22" ht="14.4">
      <c r="A2138" s="93"/>
      <c r="B2138" s="90"/>
      <c r="C2138" s="90"/>
      <c r="D2138" s="92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</row>
    <row r="2139" spans="1:22" ht="14.4">
      <c r="A2139" s="93"/>
      <c r="B2139" s="90"/>
      <c r="C2139" s="90"/>
      <c r="D2139" s="92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</row>
    <row r="2140" spans="1:22" ht="14.4">
      <c r="A2140" s="93"/>
      <c r="B2140" s="90"/>
      <c r="C2140" s="90"/>
      <c r="D2140" s="92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</row>
    <row r="2141" spans="1:22" ht="14.4">
      <c r="A2141" s="93"/>
      <c r="B2141" s="90"/>
      <c r="C2141" s="90"/>
      <c r="D2141" s="92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</row>
    <row r="2142" spans="1:22" ht="14.4">
      <c r="A2142" s="93"/>
      <c r="B2142" s="90"/>
      <c r="C2142" s="90"/>
      <c r="D2142" s="92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</row>
    <row r="2143" spans="1:22" ht="14.4">
      <c r="A2143" s="93"/>
      <c r="B2143" s="90"/>
      <c r="C2143" s="90"/>
      <c r="D2143" s="92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</row>
    <row r="2144" spans="1:22" ht="14.4">
      <c r="A2144" s="93"/>
      <c r="B2144" s="90"/>
      <c r="C2144" s="90"/>
      <c r="D2144" s="92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</row>
    <row r="2145" spans="1:22" ht="14.4">
      <c r="A2145" s="93"/>
      <c r="B2145" s="90"/>
      <c r="C2145" s="90"/>
      <c r="D2145" s="92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</row>
    <row r="2146" spans="1:22" ht="14.4">
      <c r="A2146" s="93"/>
      <c r="B2146" s="90"/>
      <c r="C2146" s="90"/>
      <c r="D2146" s="92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</row>
    <row r="2147" spans="1:22" ht="14.4">
      <c r="A2147" s="93"/>
      <c r="B2147" s="90"/>
      <c r="C2147" s="90"/>
      <c r="D2147" s="92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</row>
    <row r="2148" spans="1:22" ht="14.4">
      <c r="A2148" s="93"/>
      <c r="B2148" s="90"/>
      <c r="C2148" s="90"/>
      <c r="D2148" s="92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</row>
    <row r="2149" spans="1:22" ht="14.4">
      <c r="A2149" s="93"/>
      <c r="B2149" s="90"/>
      <c r="C2149" s="90"/>
      <c r="D2149" s="92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</row>
    <row r="2150" spans="1:22" ht="14.4">
      <c r="A2150" s="93"/>
      <c r="B2150" s="90"/>
      <c r="C2150" s="90"/>
      <c r="D2150" s="92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</row>
    <row r="2151" spans="1:22" ht="14.4">
      <c r="A2151" s="93"/>
      <c r="B2151" s="90"/>
      <c r="C2151" s="90"/>
      <c r="D2151" s="92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</row>
    <row r="2152" spans="1:22" ht="14.4">
      <c r="A2152" s="93"/>
      <c r="B2152" s="90"/>
      <c r="C2152" s="90"/>
      <c r="D2152" s="92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</row>
    <row r="2153" spans="1:22" ht="14.4">
      <c r="A2153" s="93"/>
      <c r="B2153" s="90"/>
      <c r="C2153" s="90"/>
      <c r="D2153" s="92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</row>
    <row r="2154" spans="1:22" ht="14.4">
      <c r="A2154" s="93"/>
      <c r="B2154" s="90"/>
      <c r="C2154" s="90"/>
      <c r="D2154" s="92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</row>
    <row r="2155" spans="1:22" ht="14.4">
      <c r="A2155" s="93"/>
      <c r="B2155" s="90"/>
      <c r="C2155" s="90"/>
      <c r="D2155" s="92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</row>
    <row r="2156" spans="1:22" ht="14.4">
      <c r="A2156" s="93"/>
      <c r="B2156" s="90"/>
      <c r="C2156" s="90"/>
      <c r="D2156" s="92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</row>
    <row r="2157" spans="1:22" ht="14.4">
      <c r="A2157" s="93"/>
      <c r="B2157" s="90"/>
      <c r="C2157" s="90"/>
      <c r="D2157" s="92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</row>
    <row r="2158" spans="1:22" ht="14.4">
      <c r="A2158" s="93"/>
      <c r="B2158" s="90"/>
      <c r="C2158" s="90"/>
      <c r="D2158" s="92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</row>
    <row r="2159" spans="1:22" ht="14.4">
      <c r="A2159" s="93"/>
      <c r="B2159" s="90"/>
      <c r="C2159" s="90"/>
      <c r="D2159" s="92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</row>
    <row r="2160" spans="1:22" ht="14.4">
      <c r="A2160" s="93"/>
      <c r="B2160" s="90"/>
      <c r="C2160" s="90"/>
      <c r="D2160" s="92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</row>
    <row r="2161" spans="1:22" ht="14.4">
      <c r="A2161" s="93"/>
      <c r="B2161" s="90"/>
      <c r="C2161" s="90"/>
      <c r="D2161" s="92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</row>
    <row r="2162" spans="1:22" ht="14.4">
      <c r="A2162" s="93"/>
      <c r="B2162" s="90"/>
      <c r="C2162" s="90"/>
      <c r="D2162" s="92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</row>
    <row r="2163" spans="1:22" ht="14.4">
      <c r="A2163" s="93"/>
      <c r="B2163" s="90"/>
      <c r="C2163" s="90"/>
      <c r="D2163" s="92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</row>
    <row r="2164" spans="1:22" ht="14.4">
      <c r="A2164" s="93"/>
      <c r="B2164" s="90"/>
      <c r="C2164" s="90"/>
      <c r="D2164" s="92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</row>
    <row r="2165" spans="1:22" ht="14.4">
      <c r="A2165" s="93"/>
      <c r="B2165" s="90"/>
      <c r="C2165" s="90"/>
      <c r="D2165" s="92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</row>
    <row r="2166" spans="1:22" ht="14.4">
      <c r="A2166" s="93"/>
      <c r="B2166" s="90"/>
      <c r="C2166" s="90"/>
      <c r="D2166" s="92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</row>
    <row r="2167" spans="1:22" ht="14.4">
      <c r="A2167" s="93"/>
      <c r="B2167" s="90"/>
      <c r="C2167" s="90"/>
      <c r="D2167" s="92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</row>
    <row r="2168" spans="1:22" ht="14.4">
      <c r="A2168" s="93"/>
      <c r="B2168" s="90"/>
      <c r="C2168" s="90"/>
      <c r="D2168" s="92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</row>
    <row r="2169" spans="1:22" ht="14.4">
      <c r="A2169" s="93"/>
      <c r="B2169" s="90"/>
      <c r="C2169" s="90"/>
      <c r="D2169" s="92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</row>
    <row r="2170" spans="1:22" ht="14.4">
      <c r="A2170" s="93"/>
      <c r="B2170" s="90"/>
      <c r="C2170" s="90"/>
      <c r="D2170" s="92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</row>
    <row r="2171" spans="1:22" ht="14.4">
      <c r="A2171" s="93"/>
      <c r="B2171" s="90"/>
      <c r="C2171" s="90"/>
      <c r="D2171" s="92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</row>
    <row r="2172" spans="1:22" ht="14.4">
      <c r="A2172" s="93"/>
      <c r="B2172" s="90"/>
      <c r="C2172" s="90"/>
      <c r="D2172" s="92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</row>
    <row r="2173" spans="1:22" ht="14.4">
      <c r="A2173" s="93"/>
      <c r="B2173" s="90"/>
      <c r="C2173" s="90"/>
      <c r="D2173" s="92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</row>
    <row r="2174" spans="1:22" ht="14.4">
      <c r="A2174" s="93"/>
      <c r="B2174" s="90"/>
      <c r="C2174" s="90"/>
      <c r="D2174" s="92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</row>
    <row r="2175" spans="1:22" ht="14.4">
      <c r="A2175" s="93"/>
      <c r="B2175" s="90"/>
      <c r="C2175" s="90"/>
      <c r="D2175" s="92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</row>
    <row r="2176" spans="1:22" ht="14.4">
      <c r="A2176" s="93"/>
      <c r="B2176" s="90"/>
      <c r="C2176" s="90"/>
      <c r="D2176" s="92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</row>
    <row r="2177" spans="1:22" ht="14.4">
      <c r="A2177" s="93"/>
      <c r="B2177" s="90"/>
      <c r="C2177" s="90"/>
      <c r="D2177" s="92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</row>
    <row r="2178" spans="1:22" ht="14.4">
      <c r="A2178" s="93"/>
      <c r="B2178" s="90"/>
      <c r="C2178" s="90"/>
      <c r="D2178" s="92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</row>
    <row r="2179" spans="1:22" ht="14.4">
      <c r="A2179" s="93"/>
      <c r="B2179" s="90"/>
      <c r="C2179" s="90"/>
      <c r="D2179" s="92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</row>
    <row r="2180" spans="1:22" ht="14.4">
      <c r="A2180" s="93"/>
      <c r="B2180" s="90"/>
      <c r="C2180" s="90"/>
      <c r="D2180" s="92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</row>
    <row r="2181" spans="1:22" ht="14.4">
      <c r="A2181" s="93"/>
      <c r="B2181" s="90"/>
      <c r="C2181" s="90"/>
      <c r="D2181" s="92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</row>
    <row r="2182" spans="1:22" ht="14.4">
      <c r="A2182" s="93"/>
      <c r="B2182" s="90"/>
      <c r="C2182" s="90"/>
      <c r="D2182" s="92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</row>
    <row r="2183" spans="1:22" ht="14.4">
      <c r="A2183" s="93"/>
      <c r="B2183" s="90"/>
      <c r="C2183" s="90"/>
      <c r="D2183" s="92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</row>
    <row r="2184" spans="1:22" ht="14.4">
      <c r="A2184" s="93"/>
      <c r="B2184" s="90"/>
      <c r="C2184" s="90"/>
      <c r="D2184" s="92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</row>
    <row r="2185" spans="1:22" ht="14.4">
      <c r="A2185" s="93"/>
      <c r="B2185" s="90"/>
      <c r="C2185" s="90"/>
      <c r="D2185" s="92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</row>
    <row r="2186" spans="1:22" ht="14.4">
      <c r="A2186" s="93"/>
      <c r="B2186" s="90"/>
      <c r="C2186" s="90"/>
      <c r="D2186" s="92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</row>
    <row r="2187" spans="1:22" ht="14.4">
      <c r="A2187" s="93"/>
      <c r="B2187" s="90"/>
      <c r="C2187" s="90"/>
      <c r="D2187" s="92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</row>
    <row r="2188" spans="1:22" ht="14.4">
      <c r="A2188" s="93"/>
      <c r="B2188" s="90"/>
      <c r="C2188" s="90"/>
      <c r="D2188" s="92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</row>
    <row r="2189" spans="1:22" ht="14.4">
      <c r="A2189" s="93"/>
      <c r="B2189" s="90"/>
      <c r="C2189" s="90"/>
      <c r="D2189" s="92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</row>
    <row r="2190" spans="1:22" ht="14.4">
      <c r="A2190" s="93"/>
      <c r="B2190" s="90"/>
      <c r="C2190" s="90"/>
      <c r="D2190" s="92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</row>
    <row r="2191" spans="1:22" ht="14.4">
      <c r="A2191" s="93"/>
      <c r="B2191" s="90"/>
      <c r="C2191" s="90"/>
      <c r="D2191" s="92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</row>
    <row r="2192" spans="1:22" ht="14.4">
      <c r="A2192" s="93"/>
      <c r="B2192" s="90"/>
      <c r="C2192" s="90"/>
      <c r="D2192" s="92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</row>
    <row r="2193" spans="1:22" ht="14.4">
      <c r="A2193" s="93"/>
      <c r="B2193" s="90"/>
      <c r="C2193" s="90"/>
      <c r="D2193" s="92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</row>
    <row r="2194" spans="1:22" ht="14.4">
      <c r="A2194" s="93"/>
      <c r="B2194" s="90"/>
      <c r="C2194" s="90"/>
      <c r="D2194" s="92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</row>
    <row r="2195" spans="1:22" ht="14.4">
      <c r="A2195" s="93"/>
      <c r="B2195" s="90"/>
      <c r="C2195" s="90"/>
      <c r="D2195" s="92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</row>
    <row r="2196" spans="1:22" ht="14.4">
      <c r="A2196" s="93"/>
      <c r="B2196" s="90"/>
      <c r="C2196" s="90"/>
      <c r="D2196" s="92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</row>
    <row r="2197" spans="1:22" ht="14.4">
      <c r="A2197" s="93"/>
      <c r="B2197" s="90"/>
      <c r="C2197" s="90"/>
      <c r="D2197" s="92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</row>
    <row r="2198" spans="1:22" ht="14.4">
      <c r="A2198" s="93"/>
      <c r="B2198" s="90"/>
      <c r="C2198" s="90"/>
      <c r="D2198" s="92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</row>
    <row r="2199" spans="1:22" ht="14.4">
      <c r="A2199" s="93"/>
      <c r="B2199" s="90"/>
      <c r="C2199" s="90"/>
      <c r="D2199" s="92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</row>
    <row r="2200" spans="1:22" ht="14.4">
      <c r="A2200" s="93"/>
      <c r="B2200" s="90"/>
      <c r="C2200" s="90"/>
      <c r="D2200" s="92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</row>
    <row r="2201" spans="1:22" ht="14.4">
      <c r="A2201" s="93"/>
      <c r="B2201" s="90"/>
      <c r="C2201" s="90"/>
      <c r="D2201" s="92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</row>
    <row r="2202" spans="1:22" ht="14.4">
      <c r="A2202" s="93"/>
      <c r="B2202" s="90"/>
      <c r="C2202" s="90"/>
      <c r="D2202" s="92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</row>
    <row r="2203" spans="1:22" ht="14.4">
      <c r="A2203" s="93"/>
      <c r="B2203" s="90"/>
      <c r="C2203" s="90"/>
      <c r="D2203" s="92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</row>
    <row r="2204" spans="1:22" ht="14.4">
      <c r="A2204" s="93"/>
      <c r="B2204" s="90"/>
      <c r="C2204" s="90"/>
      <c r="D2204" s="92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</row>
    <row r="2205" spans="1:22" ht="14.4">
      <c r="A2205" s="93"/>
      <c r="B2205" s="90"/>
      <c r="C2205" s="90"/>
      <c r="D2205" s="92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</row>
    <row r="2206" spans="1:22" ht="14.4">
      <c r="A2206" s="93"/>
      <c r="B2206" s="90"/>
      <c r="C2206" s="90"/>
      <c r="D2206" s="92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</row>
    <row r="2207" spans="1:22" ht="14.4">
      <c r="A2207" s="93"/>
      <c r="B2207" s="90"/>
      <c r="C2207" s="90"/>
      <c r="D2207" s="92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</row>
    <row r="2208" spans="1:22" ht="14.4">
      <c r="A2208" s="93"/>
      <c r="B2208" s="90"/>
      <c r="C2208" s="90"/>
      <c r="D2208" s="92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</row>
    <row r="2209" spans="1:22" ht="14.4">
      <c r="A2209" s="93"/>
      <c r="B2209" s="90"/>
      <c r="C2209" s="90"/>
      <c r="D2209" s="92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</row>
    <row r="2210" spans="1:22" ht="14.4">
      <c r="A2210" s="93"/>
      <c r="B2210" s="90"/>
      <c r="C2210" s="90"/>
      <c r="D2210" s="92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</row>
    <row r="2211" spans="1:22" ht="14.4">
      <c r="A2211" s="93"/>
      <c r="B2211" s="90"/>
      <c r="C2211" s="90"/>
      <c r="D2211" s="92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</row>
    <row r="2212" spans="1:22" ht="14.4">
      <c r="A2212" s="93"/>
      <c r="B2212" s="90"/>
      <c r="C2212" s="90"/>
      <c r="D2212" s="92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</row>
    <row r="2213" spans="1:22" ht="14.4">
      <c r="A2213" s="93"/>
      <c r="B2213" s="90"/>
      <c r="C2213" s="90"/>
      <c r="D2213" s="92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</row>
    <row r="2214" spans="1:22" ht="14.4">
      <c r="A2214" s="93"/>
      <c r="B2214" s="90"/>
      <c r="C2214" s="90"/>
      <c r="D2214" s="92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</row>
    <row r="2215" spans="1:22" ht="14.4">
      <c r="A2215" s="93"/>
      <c r="B2215" s="90"/>
      <c r="C2215" s="90"/>
      <c r="D2215" s="92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</row>
    <row r="2216" spans="1:22" ht="14.4">
      <c r="A2216" s="93"/>
      <c r="B2216" s="90"/>
      <c r="C2216" s="90"/>
      <c r="D2216" s="92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</row>
    <row r="2217" spans="1:22" ht="14.4">
      <c r="A2217" s="93"/>
      <c r="B2217" s="90"/>
      <c r="C2217" s="90"/>
      <c r="D2217" s="92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</row>
    <row r="2218" spans="1:22" ht="14.4">
      <c r="A2218" s="93"/>
      <c r="B2218" s="90"/>
      <c r="C2218" s="90"/>
      <c r="D2218" s="92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</row>
    <row r="2219" spans="1:22" ht="14.4">
      <c r="A2219" s="93"/>
      <c r="B2219" s="90"/>
      <c r="C2219" s="90"/>
      <c r="D2219" s="92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</row>
    <row r="2220" spans="1:22" ht="13.2"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</row>
    <row r="2221" spans="1:22" ht="13.2"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</row>
    <row r="2222" spans="1:22" ht="13.2"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</row>
    <row r="2223" spans="1:22" ht="13.2"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</row>
    <row r="2224" spans="1:22" ht="13.2"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</row>
    <row r="2225" spans="5:22" ht="13.2"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</row>
    <row r="2226" spans="5:22" ht="13.2"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</row>
    <row r="2227" spans="5:22" ht="13.2"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</row>
    <row r="2228" spans="5:22" ht="13.2"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</row>
    <row r="2229" spans="5:22" ht="13.2"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</row>
    <row r="2230" spans="5:22" ht="13.2"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</row>
    <row r="2231" spans="5:22" ht="13.2"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</row>
    <row r="2232" spans="5:22" ht="13.2"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</row>
    <row r="2233" spans="5:22" ht="13.2"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</row>
    <row r="2234" spans="5:22" ht="13.2"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</row>
    <row r="2235" spans="5:22" ht="13.2"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</row>
    <row r="2236" spans="5:22" ht="13.2"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</row>
    <row r="2237" spans="5:22" ht="13.2"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</row>
    <row r="2238" spans="5:22" ht="13.2"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</row>
    <row r="2239" spans="5:22" ht="13.2"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</row>
    <row r="2240" spans="5:22" ht="13.2"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</row>
    <row r="2241" spans="5:22" ht="13.2"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</row>
    <row r="2242" spans="5:22" ht="13.2"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</row>
    <row r="2243" spans="5:22" ht="13.2"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</row>
    <row r="2244" spans="5:22" ht="13.2"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</row>
    <row r="2245" spans="5:22" ht="13.2"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</row>
    <row r="2246" spans="5:22" ht="13.2"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</row>
    <row r="2247" spans="5:22" ht="13.2"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</row>
    <row r="2248" spans="5:22" ht="13.2"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</row>
    <row r="2249" spans="5:22" ht="13.2"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</row>
    <row r="2250" spans="5:22" ht="13.2"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</row>
    <row r="2251" spans="5:22" ht="13.2"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</row>
    <row r="2252" spans="5:22" ht="13.2"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</row>
    <row r="2253" spans="5:22" ht="13.2"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</row>
    <row r="2254" spans="5:22" ht="13.2"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</row>
    <row r="2255" spans="5:22" ht="13.2"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</row>
    <row r="2256" spans="5:22" ht="13.2"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</row>
    <row r="2257" spans="5:22" ht="13.2"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</row>
    <row r="2258" spans="5:22" ht="13.2"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</row>
    <row r="2259" spans="5:22" ht="13.2"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</row>
    <row r="2260" spans="5:22" ht="13.2"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</row>
    <row r="2261" spans="5:22" ht="13.2"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</row>
    <row r="2262" spans="5:22" ht="13.2"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</row>
    <row r="2263" spans="5:22" ht="13.2"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</row>
    <row r="2264" spans="5:22" ht="13.2"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</row>
    <row r="2265" spans="5:22" ht="13.2"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</row>
    <row r="2266" spans="5:22" ht="13.2"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</row>
    <row r="2267" spans="5:22" ht="13.2"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</row>
    <row r="2268" spans="5:22" ht="13.2"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</row>
    <row r="2269" spans="5:22" ht="13.2"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</row>
    <row r="2270" spans="5:22" ht="13.2"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</row>
    <row r="2271" spans="5:22" ht="13.2"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</row>
    <row r="2272" spans="5:22" ht="13.2"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</row>
    <row r="2273" spans="5:22" ht="13.2"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</row>
    <row r="2274" spans="5:22" ht="13.2"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</row>
    <row r="2275" spans="5:22" ht="13.2"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</row>
    <row r="2276" spans="5:22" ht="13.2"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</row>
    <row r="2277" spans="5:22" ht="13.2"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</row>
    <row r="2278" spans="5:22" ht="13.2"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</row>
    <row r="2279" spans="5:22" ht="13.2"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</row>
    <row r="2280" spans="5:22" ht="13.2"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</row>
    <row r="2281" spans="5:22" ht="13.2"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</row>
    <row r="2282" spans="5:22" ht="13.2"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</row>
    <row r="2283" spans="5:22" ht="13.2"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</row>
    <row r="2284" spans="5:22" ht="13.2"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</row>
    <row r="2285" spans="5:22" ht="13.2"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</row>
    <row r="2286" spans="5:22" ht="13.2"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</row>
    <row r="2287" spans="5:22" ht="13.2"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</row>
    <row r="2288" spans="5:22" ht="13.2"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</row>
    <row r="2289" spans="5:22" ht="13.2"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</row>
    <row r="2290" spans="5:22" ht="13.2"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</row>
    <row r="2291" spans="5:22" ht="13.2"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</row>
    <row r="2292" spans="5:22" ht="13.2"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</row>
    <row r="2293" spans="5:22" ht="13.2"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</row>
    <row r="2294" spans="5:22" ht="13.2"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</row>
    <row r="2295" spans="5:22" ht="13.2"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</row>
    <row r="2296" spans="5:22" ht="13.2"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</row>
    <row r="2297" spans="5:22" ht="13.2"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</row>
    <row r="2298" spans="5:22" ht="13.2"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</row>
    <row r="2299" spans="5:22" ht="13.2"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</row>
    <row r="2300" spans="5:22" ht="13.2"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</row>
    <row r="2301" spans="5:22" ht="13.2"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</row>
    <row r="2302" spans="5:22" ht="13.2"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</row>
    <row r="2303" spans="5:22" ht="13.2"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</row>
    <row r="2304" spans="5:22" ht="13.2"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</row>
    <row r="2305" spans="5:22" ht="13.2"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</row>
    <row r="2306" spans="5:22" ht="13.2"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</row>
    <row r="2307" spans="5:22" ht="13.2"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</row>
    <row r="2308" spans="5:22" ht="13.2"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</row>
    <row r="2309" spans="5:22" ht="13.2"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</row>
    <row r="2310" spans="5:22" ht="13.2"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</row>
    <row r="2311" spans="5:22" ht="13.2"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</row>
    <row r="2312" spans="5:22" ht="13.2"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</row>
    <row r="2313" spans="5:22" ht="13.2"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</row>
    <row r="2314" spans="5:22" ht="13.2"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</row>
    <row r="2315" spans="5:22" ht="13.2"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</row>
    <row r="2316" spans="5:22" ht="13.2"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</row>
    <row r="2317" spans="5:22" ht="13.2"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</row>
    <row r="2318" spans="5:22" ht="13.2"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</row>
    <row r="2319" spans="5:22" ht="13.2"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</row>
    <row r="2320" spans="5:22" ht="13.2"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</row>
    <row r="2321" spans="5:22" ht="13.2"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</row>
    <row r="2322" spans="5:22" ht="13.2"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</row>
    <row r="2323" spans="5:22" ht="13.2"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</row>
    <row r="2324" spans="5:22" ht="13.2"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</row>
    <row r="2325" spans="5:22" ht="13.2"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</row>
    <row r="2326" spans="5:22" ht="13.2"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</row>
    <row r="2327" spans="5:22" ht="13.2"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</row>
    <row r="2328" spans="5:22" ht="13.2"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</row>
    <row r="2329" spans="5:22" ht="13.2"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</row>
    <row r="2330" spans="5:22" ht="13.2"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</row>
    <row r="2331" spans="5:22" ht="13.2"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</row>
    <row r="2332" spans="5:22" ht="13.2"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</row>
    <row r="2333" spans="5:22" ht="13.2"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</row>
    <row r="2334" spans="5:22" ht="13.2"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</row>
    <row r="2335" spans="5:22" ht="13.2"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</row>
    <row r="2336" spans="5:22" ht="13.2"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</row>
    <row r="2337" spans="5:22" ht="13.2"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</row>
    <row r="2338" spans="5:22" ht="13.2"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</row>
    <row r="2339" spans="5:22" ht="13.2"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</row>
    <row r="2340" spans="5:22" ht="13.2"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</row>
    <row r="2341" spans="5:22" ht="13.2"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</row>
    <row r="2342" spans="5:22" ht="13.2"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</row>
    <row r="2343" spans="5:22" ht="13.2"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</row>
    <row r="2344" spans="5:22" ht="13.2"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</row>
    <row r="2345" spans="5:22" ht="13.2"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</row>
    <row r="2346" spans="5:22" ht="13.2"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</row>
    <row r="2347" spans="5:22" ht="13.2"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</row>
    <row r="2348" spans="5:22" ht="13.2"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</row>
    <row r="2349" spans="5:22" ht="13.2"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</row>
    <row r="2350" spans="5:22" ht="13.2"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</row>
    <row r="2351" spans="5:22" ht="13.2"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</row>
    <row r="2352" spans="5:22" ht="13.2"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</row>
    <row r="2353" spans="5:22" ht="13.2"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</row>
    <row r="2354" spans="5:22" ht="13.2"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</row>
    <row r="2355" spans="5:22" ht="13.2"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</row>
    <row r="2356" spans="5:22" ht="13.2"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</row>
    <row r="2357" spans="5:22" ht="13.2"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</row>
    <row r="2358" spans="5:22" ht="13.2"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</row>
    <row r="2359" spans="5:22" ht="13.2"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</row>
    <row r="2360" spans="5:22" ht="13.2"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</row>
    <row r="2361" spans="5:22" ht="13.2"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</row>
    <row r="2362" spans="5:22" ht="13.2"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</row>
    <row r="2363" spans="5:22" ht="13.2"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</row>
    <row r="2364" spans="5:22" ht="13.2"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</row>
    <row r="2365" spans="5:22" ht="13.2"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</row>
    <row r="2366" spans="5:22" ht="13.2"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</row>
    <row r="2367" spans="5:22" ht="13.2"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</row>
    <row r="2368" spans="5:22" ht="13.2"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</row>
    <row r="2369" spans="5:22" ht="13.2"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</row>
    <row r="2370" spans="5:22" ht="13.2"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</row>
    <row r="2371" spans="5:22" ht="13.2"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</row>
    <row r="2372" spans="5:22" ht="13.2"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</row>
    <row r="2373" spans="5:22" ht="13.2"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</row>
    <row r="2374" spans="5:22" ht="13.2"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</row>
    <row r="2375" spans="5:22" ht="13.2"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</row>
    <row r="2376" spans="5:22" ht="13.2"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</row>
    <row r="2377" spans="5:22" ht="13.2"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</row>
    <row r="2378" spans="5:22" ht="13.2"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</row>
    <row r="2379" spans="5:22" ht="13.2"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</row>
    <row r="2380" spans="5:22" ht="13.2"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</row>
    <row r="2381" spans="5:22" ht="13.2"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</row>
    <row r="2382" spans="5:22" ht="13.2"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</row>
    <row r="2383" spans="5:22" ht="13.2"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</row>
    <row r="2384" spans="5:22" ht="13.2"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</row>
    <row r="2385" spans="5:22" ht="13.2"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</row>
    <row r="2386" spans="5:22" ht="13.2"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</row>
    <row r="2387" spans="5:22" ht="13.2"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</row>
    <row r="2388" spans="5:22" ht="13.2"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</row>
    <row r="2389" spans="5:22" ht="13.2"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</row>
    <row r="2390" spans="5:22" ht="13.2"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</row>
    <row r="2391" spans="5:22" ht="13.2"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</row>
    <row r="2392" spans="5:22" ht="13.2"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</row>
    <row r="2393" spans="5:22" ht="13.2"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</row>
    <row r="2394" spans="5:22" ht="13.2"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</row>
    <row r="2395" spans="5:22" ht="13.2"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</row>
    <row r="2396" spans="5:22" ht="13.2"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</row>
    <row r="2397" spans="5:22" ht="13.2"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</row>
    <row r="2398" spans="5:22" ht="13.2"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</row>
    <row r="2399" spans="5:22" ht="13.2"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</row>
    <row r="2400" spans="5:22" ht="13.2"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</row>
    <row r="2401" spans="5:22" ht="13.2"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</row>
    <row r="2402" spans="5:22" ht="13.2"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</row>
    <row r="2403" spans="5:22" ht="13.2"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</row>
    <row r="2404" spans="5:22" ht="13.2"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</row>
    <row r="2405" spans="5:22" ht="13.2"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</row>
    <row r="2406" spans="5:22" ht="13.2"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</row>
    <row r="2407" spans="5:22" ht="13.2"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</row>
    <row r="2408" spans="5:22" ht="13.2"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</row>
    <row r="2409" spans="5:22" ht="13.2"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</row>
    <row r="2410" spans="5:22" ht="13.2"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</row>
    <row r="2411" spans="5:22" ht="13.2"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</row>
    <row r="2412" spans="5:22" ht="13.2"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</row>
    <row r="2413" spans="5:22" ht="13.2"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</row>
    <row r="2414" spans="5:22" ht="13.2"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</row>
    <row r="2415" spans="5:22" ht="13.2"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</row>
    <row r="2416" spans="5:22" ht="13.2"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</row>
    <row r="2417" spans="5:22" ht="13.2"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</row>
    <row r="2418" spans="5:22" ht="13.2"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</row>
    <row r="2419" spans="5:22" ht="13.2"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</row>
    <row r="2420" spans="5:22" ht="13.2"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</row>
    <row r="2421" spans="5:22" ht="13.2"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</row>
    <row r="2422" spans="5:22" ht="13.2"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</row>
    <row r="2423" spans="5:22" ht="13.2"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</row>
    <row r="2424" spans="5:22" ht="13.2"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</row>
    <row r="2425" spans="5:22" ht="13.2"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</row>
    <row r="2426" spans="5:22" ht="13.2"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</row>
    <row r="2427" spans="5:22" ht="13.2"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</row>
    <row r="2428" spans="5:22" ht="13.2"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</row>
    <row r="2429" spans="5:22" ht="13.2"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</row>
    <row r="2430" spans="5:22" ht="13.2"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</row>
    <row r="2431" spans="5:22" ht="13.2"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</row>
    <row r="2432" spans="5:22" ht="13.2"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</row>
    <row r="2433" spans="5:22" ht="13.2"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</row>
    <row r="2434" spans="5:22" ht="13.2"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</row>
    <row r="2435" spans="5:22" ht="13.2"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</row>
    <row r="2436" spans="5:22" ht="13.2"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</row>
    <row r="2437" spans="5:22" ht="13.2"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</row>
    <row r="2438" spans="5:22" ht="13.2"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</row>
    <row r="2439" spans="5:22" ht="13.2"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</row>
    <row r="2440" spans="5:22" ht="13.2"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</row>
    <row r="2441" spans="5:22" ht="13.2"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</row>
    <row r="2442" spans="5:22" ht="13.2"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</row>
    <row r="2443" spans="5:22" ht="13.2"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</row>
    <row r="2444" spans="5:22" ht="13.2"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</row>
    <row r="2445" spans="5:22" ht="13.2"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</row>
    <row r="2446" spans="5:22" ht="13.2"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</row>
    <row r="2447" spans="5:22" ht="13.2"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</row>
    <row r="2448" spans="5:22" ht="13.2"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</row>
    <row r="2449" spans="5:22" ht="13.2"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</row>
    <row r="2450" spans="5:22" ht="13.2"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</row>
    <row r="2451" spans="5:22" ht="13.2"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</row>
    <row r="2452" spans="5:22" ht="13.2"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</row>
    <row r="2453" spans="5:22" ht="13.2"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</row>
    <row r="2454" spans="5:22" ht="13.2"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</row>
    <row r="2455" spans="5:22" ht="13.2"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</row>
    <row r="2456" spans="5:22" ht="13.2"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</row>
    <row r="2457" spans="5:22" ht="13.2"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</row>
    <row r="2458" spans="5:22" ht="13.2"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</row>
    <row r="2459" spans="5:22" ht="13.2"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</row>
    <row r="2460" spans="5:22" ht="13.2"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</row>
    <row r="2461" spans="5:22" ht="13.2"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</row>
    <row r="2462" spans="5:22" ht="13.2"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</row>
    <row r="2463" spans="5:22" ht="13.2"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</row>
    <row r="2464" spans="5:22" ht="13.2"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</row>
    <row r="2465" spans="5:22" ht="13.2"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</row>
    <row r="2466" spans="5:22" ht="13.2"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</row>
    <row r="2467" spans="5:22" ht="13.2"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</row>
    <row r="2468" spans="5:22" ht="13.2"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</row>
    <row r="2469" spans="5:22" ht="13.2"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</row>
    <row r="2470" spans="5:22" ht="13.2"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</row>
    <row r="2471" spans="5:22" ht="13.2"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</row>
    <row r="2472" spans="5:22" ht="13.2"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</row>
    <row r="2473" spans="5:22" ht="13.2"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</row>
    <row r="2474" spans="5:22" ht="13.2"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</row>
    <row r="2475" spans="5:22" ht="13.2"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</row>
    <row r="2476" spans="5:22" ht="13.2"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</row>
    <row r="2477" spans="5:22" ht="13.2"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</row>
  </sheetData>
  <autoFilter ref="I19:M25" xr:uid="{00000000-0009-0000-0000-000000000000}"/>
  <conditionalFormatting sqref="C12:H12">
    <cfRule type="colorScale" priority="1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C13:H13">
    <cfRule type="colorScale" priority="2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J20:J25">
    <cfRule type="colorScale" priority="3">
      <colorScale>
        <cfvo type="min"/>
        <cfvo type="max"/>
        <color rgb="FFFFFFFF"/>
        <color rgb="FF57BB8A"/>
      </colorScale>
    </cfRule>
  </conditionalFormatting>
  <conditionalFormatting sqref="K20:K25">
    <cfRule type="colorScale" priority="4">
      <colorScale>
        <cfvo type="min"/>
        <cfvo type="max"/>
        <color rgb="FFFFFFFF"/>
        <color rgb="FF57BB8A"/>
      </colorScale>
    </cfRule>
  </conditionalFormatting>
  <conditionalFormatting sqref="L20:L25">
    <cfRule type="colorScale" priority="5">
      <colorScale>
        <cfvo type="min"/>
        <cfvo type="max"/>
        <color rgb="FFFFFFFF"/>
        <color rgb="FF57BB8A"/>
      </colorScale>
    </cfRule>
  </conditionalFormatting>
  <conditionalFormatting sqref="M20:M25">
    <cfRule type="colorScale" priority="6">
      <colorScale>
        <cfvo type="min"/>
        <cfvo type="percentile" val="50"/>
        <cfvo type="max"/>
        <color rgb="FFE67C73"/>
        <color rgb="FFFFFFFF"/>
        <color rgb="FF57BB8A"/>
      </colorScale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544435</v>
      </c>
      <c r="B2" s="98" t="s">
        <v>1527</v>
      </c>
      <c r="C2" s="334" t="e">
        <f>VLOOKUP(A2,'BSE ALL CAP'!$B$4:$Y$1038,2,)</f>
        <v>#N/A</v>
      </c>
      <c r="D2" s="334" t="e">
        <f>VLOOKUP(A2,'BSE ALL CAP'!$B$4:$Y$1038,3,)</f>
        <v>#N/A</v>
      </c>
      <c r="E2" s="101">
        <f ca="1">IFERROR(__xludf.DUMMYFUNCTION("GOOGLEFINANCE(""BOM:""&amp;A2,""PRICE"")"),116.5)</f>
        <v>116.5</v>
      </c>
      <c r="F2" s="112">
        <f ca="1">IFERROR(__xludf.DUMMYFUNCTION("GOOGLEFINANCE(""BOM:""&amp;A2,""MARKETCAP"")/10000000"),262.1388635)</f>
        <v>262.13886350000001</v>
      </c>
      <c r="G2" s="95">
        <f t="shared" ref="G2:G3" ca="1" si="0">F2/$F$5</f>
        <v>0.3685108685648486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.75" customHeight="1">
      <c r="A3" s="99">
        <v>532944</v>
      </c>
      <c r="B3" s="98" t="s">
        <v>1528</v>
      </c>
      <c r="C3" s="334" t="e">
        <f>VLOOKUP(A3,'BSE ALL CAP'!$B$4:$Y$1038,2,)</f>
        <v>#N/A</v>
      </c>
      <c r="D3" s="334" t="e">
        <f>VLOOKUP(A3,'BSE ALL CAP'!$B$4:$Y$1038,3,)</f>
        <v>#N/A</v>
      </c>
      <c r="E3" s="101">
        <f ca="1">IFERROR(__xludf.DUMMYFUNCTION("GOOGLEFINANCE(""BOM:""&amp;A3,""PRICE"")"),42.54)</f>
        <v>42.54</v>
      </c>
      <c r="F3" s="112">
        <f ca="1">IFERROR(__xludf.DUMMYFUNCTION("GOOGLEFINANCE(""BOM:""&amp;A3,""MARKETCAP"")/10000000"),449.2074925)</f>
        <v>449.2074925</v>
      </c>
      <c r="G3" s="95">
        <f t="shared" ca="1" si="0"/>
        <v>0.6314891314351514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>
      <c r="A4" s="101"/>
      <c r="B4" s="101"/>
      <c r="C4" s="101"/>
      <c r="D4" s="101"/>
      <c r="E4" s="101"/>
      <c r="F4" s="112"/>
      <c r="G4" s="95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101"/>
      <c r="B5" s="101"/>
      <c r="C5" s="101"/>
      <c r="D5" s="101"/>
      <c r="E5" s="101"/>
      <c r="F5" s="112">
        <f ca="1">SUM(F2:F3)</f>
        <v>711.34635600000001</v>
      </c>
      <c r="G5" s="95">
        <f ca="1">F5/$F$5</f>
        <v>1</v>
      </c>
      <c r="H5" s="101"/>
      <c r="I5" s="101"/>
      <c r="J5" s="101"/>
      <c r="K5" s="101"/>
      <c r="L5" s="101"/>
      <c r="M5" s="101"/>
      <c r="N5" s="101"/>
      <c r="O5" s="101"/>
      <c r="P5" s="95" t="e">
        <f t="shared" ref="P5:Q5" si="1">J5/H5</f>
        <v>#DIV/0!</v>
      </c>
      <c r="Q5" s="95" t="e">
        <f t="shared" si="1"/>
        <v>#DIV/0!</v>
      </c>
      <c r="R5" s="101" t="e">
        <f>P5-Q5</f>
        <v>#DIV/0!</v>
      </c>
      <c r="S5" s="95" t="e">
        <f t="shared" ref="S5:T5" si="2">N5/L5</f>
        <v>#DIV/0!</v>
      </c>
      <c r="T5" s="95" t="e">
        <f t="shared" si="2"/>
        <v>#DIV/0!</v>
      </c>
      <c r="U5" s="101" t="e">
        <f>S5-T5</f>
        <v>#DIV/0!</v>
      </c>
      <c r="V5" s="95" t="e">
        <f>(H5/I5)-1</f>
        <v>#DIV/0!</v>
      </c>
      <c r="W5" s="95" t="e">
        <f>(J5/K5)-1</f>
        <v>#DIV/0!</v>
      </c>
      <c r="X5" s="95" t="e">
        <f>(L5/M5)-1</f>
        <v>#DIV/0!</v>
      </c>
      <c r="Y5" s="95" t="e">
        <f>(N5/O5)-1</f>
        <v>#DIV/0!</v>
      </c>
    </row>
    <row r="6" spans="1:25">
      <c r="F6" s="94"/>
    </row>
    <row r="7" spans="1:25">
      <c r="F7" s="94"/>
    </row>
    <row r="8" spans="1:25">
      <c r="F8" s="94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3" xr:uid="{00000000-0009-0000-0000-000012000000}"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outlinePr summaryBelow="0" summaryRight="0"/>
  </sheetPr>
  <dimension ref="A1:Y17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500228</v>
      </c>
      <c r="B2" s="98" t="s">
        <v>3803</v>
      </c>
      <c r="C2" s="101" t="str">
        <f>VLOOKUP(A2,'BSE ALL CAP'!$B$4:$Y$1038,2,)</f>
        <v>Commodities</v>
      </c>
      <c r="D2" s="101" t="str">
        <f>VLOOKUP(A2,'BSE ALL CAP'!$B$4:$Y$1038,3,)</f>
        <v>Iron &amp; Steel</v>
      </c>
      <c r="E2" s="101">
        <f ca="1">IFERROR(__xludf.DUMMYFUNCTION("GOOGLEFINANCE(""BOM:""&amp;A2,""PRICE"")"),1130.5)</f>
        <v>1130.5</v>
      </c>
      <c r="F2" s="112">
        <f ca="1">IFERROR(__xludf.DUMMYFUNCTION("GOOGLEFINANCE(""BOM:""&amp;A2,""MARKETCAP"")/10000000"),275539.4226)</f>
        <v>275539.42259999999</v>
      </c>
      <c r="G2" s="95">
        <f t="shared" ref="G2:G15" ca="1" si="0">F2/$F$17</f>
        <v>0.34392050809539637</v>
      </c>
      <c r="H2" s="101">
        <f>VLOOKUP(A2,'BSE ALL CAP'!$B$4:$Y$1038,7,)</f>
        <v>134290</v>
      </c>
      <c r="I2" s="101">
        <f>VLOOKUP(A2,'BSE ALL CAP'!$B$4:$Y$1038,8,)</f>
        <v>124005</v>
      </c>
      <c r="J2" s="101">
        <f>VLOOKUP(A2,'BSE ALL CAP'!$B$4:$Y$1038,9,)</f>
        <v>6265</v>
      </c>
      <c r="K2" s="101">
        <f>VLOOKUP(A2,'BSE ALL CAP'!$B$4:$Y$1038,10,)</f>
        <v>1990</v>
      </c>
      <c r="L2" s="101">
        <f>VLOOKUP(A2,'BSE ALL CAP'!$B$4:$Y$1038,11,)</f>
        <v>45991</v>
      </c>
      <c r="M2" s="101">
        <f>VLOOKUP(A2,'BSE ALL CAP'!$B$4:$Y$1038,12,)</f>
        <v>41378</v>
      </c>
      <c r="N2" s="101">
        <f>VLOOKUP(A2,'BSE ALL CAP'!$B$4:$Y$1038,13,)</f>
        <v>2410</v>
      </c>
      <c r="O2" s="101">
        <f>VLOOKUP(A2,'BSE ALL CAP'!$B$4:$Y$1038,14,)</f>
        <v>719</v>
      </c>
      <c r="P2" s="95">
        <f>VLOOKUP(A2,'BSE ALL CAP'!$B$4:$Y$1038,15,)</f>
        <v>4.6652766401072306E-2</v>
      </c>
      <c r="Q2" s="95">
        <f>VLOOKUP(A2,'BSE ALL CAP'!$B$4:$Y$1038,16,)</f>
        <v>1.6047740010483449E-2</v>
      </c>
      <c r="R2" s="95">
        <f>VLOOKUP(A2,'BSE ALL CAP'!$B$4:$Y$1038,17,)</f>
        <v>3.0605026390588857E-2</v>
      </c>
      <c r="S2" s="95">
        <f>VLOOKUP(A2,'BSE ALL CAP'!$B$4:$Y$1038,18,)</f>
        <v>5.2401556826335585E-2</v>
      </c>
      <c r="T2" s="95">
        <f>VLOOKUP(A2,'BSE ALL CAP'!$B$4:$Y$1038,19,)</f>
        <v>1.7376383585480208E-2</v>
      </c>
      <c r="U2" s="95">
        <f>VLOOKUP(A2,'BSE ALL CAP'!$B$4:$Y$1038,20,)</f>
        <v>3.5025173240855377E-2</v>
      </c>
      <c r="V2" s="95">
        <f>VLOOKUP(A2,'BSE ALL CAP'!$B$4:$Y$1038,21,)</f>
        <v>8.2940204024031239E-2</v>
      </c>
      <c r="W2" s="95">
        <f>VLOOKUP(A2,'BSE ALL CAP'!$B$4:$Y$1038,22,)</f>
        <v>2.1482412060301508</v>
      </c>
      <c r="X2" s="95">
        <f>VLOOKUP(A2,'BSE ALL CAP'!$B$4:$Y$1038,23,)</f>
        <v>0.11148436367151637</v>
      </c>
      <c r="Y2" s="95">
        <f>VLOOKUP(A2,'BSE ALL CAP'!$B$4:$Y$1038,24,)</f>
        <v>2.3518776077885954</v>
      </c>
    </row>
    <row r="3" spans="1:25" ht="15.75" customHeight="1">
      <c r="A3" s="99">
        <v>500470</v>
      </c>
      <c r="B3" s="98" t="s">
        <v>3804</v>
      </c>
      <c r="C3" s="101" t="str">
        <f>VLOOKUP(A3,'BSE ALL CAP'!$B$4:$Y$1038,2,)</f>
        <v>Commodities</v>
      </c>
      <c r="D3" s="101" t="str">
        <f>VLOOKUP(A3,'BSE ALL CAP'!$B$4:$Y$1038,3,)</f>
        <v>Iron &amp; Steel</v>
      </c>
      <c r="E3" s="101">
        <f ca="1">IFERROR(__xludf.DUMMYFUNCTION("GOOGLEFINANCE(""BOM:""&amp;A3,""PRICE"")"),196)</f>
        <v>196</v>
      </c>
      <c r="F3" s="112">
        <f ca="1">IFERROR(__xludf.DUMMYFUNCTION("GOOGLEFINANCE(""BOM:""&amp;A3,""MARKETCAP"")/10000000"),244482.0169828)</f>
        <v>244482.01698280001</v>
      </c>
      <c r="G3" s="95">
        <f t="shared" ca="1" si="0"/>
        <v>0.30515553348957297</v>
      </c>
      <c r="H3" s="101">
        <f>VLOOKUP(A3,'BSE ALL CAP'!$B$4:$Y$1038,7,)</f>
        <v>168869</v>
      </c>
      <c r="I3" s="101">
        <f>VLOOKUP(A3,'BSE ALL CAP'!$B$4:$Y$1038,8,)</f>
        <v>162324</v>
      </c>
      <c r="J3" s="101">
        <f>VLOOKUP(A3,'BSE ALL CAP'!$B$4:$Y$1038,9,)</f>
        <v>7921</v>
      </c>
      <c r="K3" s="101">
        <f>VLOOKUP(A3,'BSE ALL CAP'!$B$4:$Y$1038,10,)</f>
        <v>1973</v>
      </c>
      <c r="L3" s="101">
        <f>VLOOKUP(A3,'BSE ALL CAP'!$B$4:$Y$1038,11,)</f>
        <v>57002</v>
      </c>
      <c r="M3" s="101">
        <f>VLOOKUP(A3,'BSE ALL CAP'!$B$4:$Y$1038,12,)</f>
        <v>53648</v>
      </c>
      <c r="N3" s="101">
        <f>VLOOKUP(A3,'BSE ALL CAP'!$B$4:$Y$1038,13,)</f>
        <v>2730</v>
      </c>
      <c r="O3" s="101">
        <f>VLOOKUP(A3,'BSE ALL CAP'!$B$4:$Y$1038,14,)</f>
        <v>295</v>
      </c>
      <c r="P3" s="95">
        <f>VLOOKUP(A3,'BSE ALL CAP'!$B$4:$Y$1038,15,)</f>
        <v>4.6906181714820361E-2</v>
      </c>
      <c r="Q3" s="95">
        <f>VLOOKUP(A3,'BSE ALL CAP'!$B$4:$Y$1038,16,)</f>
        <v>1.2154702939799414E-2</v>
      </c>
      <c r="R3" s="95">
        <f>VLOOKUP(A3,'BSE ALL CAP'!$B$4:$Y$1038,17,)</f>
        <v>3.4751478775020946E-2</v>
      </c>
      <c r="S3" s="95">
        <f>VLOOKUP(A3,'BSE ALL CAP'!$B$4:$Y$1038,18,)</f>
        <v>4.7893056383986526E-2</v>
      </c>
      <c r="T3" s="95">
        <f>VLOOKUP(A3,'BSE ALL CAP'!$B$4:$Y$1038,19,)</f>
        <v>5.4988070384730092E-3</v>
      </c>
      <c r="U3" s="95">
        <f>VLOOKUP(A3,'BSE ALL CAP'!$B$4:$Y$1038,20,)</f>
        <v>4.2394249345513516E-2</v>
      </c>
      <c r="V3" s="95">
        <f>VLOOKUP(A3,'BSE ALL CAP'!$B$4:$Y$1038,21,)</f>
        <v>4.0320593381139025E-2</v>
      </c>
      <c r="W3" s="95">
        <f>VLOOKUP(A3,'BSE ALL CAP'!$B$4:$Y$1038,22,)</f>
        <v>3.0146984287886465</v>
      </c>
      <c r="X3" s="95">
        <f>VLOOKUP(A3,'BSE ALL CAP'!$B$4:$Y$1038,23,)</f>
        <v>6.2518640023859318E-2</v>
      </c>
      <c r="Y3" s="95">
        <f>VLOOKUP(A3,'BSE ALL CAP'!$B$4:$Y$1038,24,)</f>
        <v>8.2542372881355934</v>
      </c>
    </row>
    <row r="4" spans="1:25" ht="15.75" customHeight="1">
      <c r="A4" s="99">
        <v>532286</v>
      </c>
      <c r="B4" s="98" t="s">
        <v>3805</v>
      </c>
      <c r="C4" s="101" t="str">
        <f>VLOOKUP(A4,'BSE ALL CAP'!$B$4:$Y$1038,2,)</f>
        <v>Commodities</v>
      </c>
      <c r="D4" s="101" t="str">
        <f>VLOOKUP(A4,'BSE ALL CAP'!$B$4:$Y$1038,3,)</f>
        <v>Iron &amp; Steel</v>
      </c>
      <c r="E4" s="101">
        <f ca="1">IFERROR(__xludf.DUMMYFUNCTION("GOOGLEFINANCE(""BOM:""&amp;A4,""PRICE"")"),1139.7)</f>
        <v>1139.7</v>
      </c>
      <c r="F4" s="112">
        <f ca="1">IFERROR(__xludf.DUMMYFUNCTION("GOOGLEFINANCE(""BOM:""&amp;A4,""MARKETCAP"")/10000000"),115942.7576)</f>
        <v>115942.7576</v>
      </c>
      <c r="G4" s="95">
        <f t="shared" ca="1" si="0"/>
        <v>0.14471646825528833</v>
      </c>
      <c r="H4" s="101">
        <f>VLOOKUP(A4,'BSE ALL CAP'!$B$4:$Y$1038,7,)</f>
        <v>37008</v>
      </c>
      <c r="I4" s="101">
        <f>VLOOKUP(A4,'BSE ALL CAP'!$B$4:$Y$1038,8,)</f>
        <v>36582</v>
      </c>
      <c r="J4" s="101">
        <f>VLOOKUP(A4,'BSE ALL CAP'!$B$4:$Y$1038,9,)</f>
        <v>2320</v>
      </c>
      <c r="K4" s="101">
        <f>VLOOKUP(A4,'BSE ALL CAP'!$B$4:$Y$1038,10,)</f>
        <v>3150</v>
      </c>
      <c r="L4" s="101">
        <f>VLOOKUP(A4,'BSE ALL CAP'!$B$4:$Y$1038,11,)</f>
        <v>13027</v>
      </c>
      <c r="M4" s="101">
        <f>VLOOKUP(A4,'BSE ALL CAP'!$B$4:$Y$1038,12,)</f>
        <v>11751</v>
      </c>
      <c r="N4" s="101">
        <f>VLOOKUP(A4,'BSE ALL CAP'!$B$4:$Y$1038,13,)</f>
        <v>189</v>
      </c>
      <c r="O4" s="101">
        <f>VLOOKUP(A4,'BSE ALL CAP'!$B$4:$Y$1038,14,)</f>
        <v>951</v>
      </c>
      <c r="P4" s="95">
        <f>VLOOKUP(A4,'BSE ALL CAP'!$B$4:$Y$1038,15,)</f>
        <v>6.2689148292261132E-2</v>
      </c>
      <c r="Q4" s="95">
        <f>VLOOKUP(A4,'BSE ALL CAP'!$B$4:$Y$1038,16,)</f>
        <v>8.6107921928817457E-2</v>
      </c>
      <c r="R4" s="95">
        <f>VLOOKUP(A4,'BSE ALL CAP'!$B$4:$Y$1038,17,)</f>
        <v>-2.3418773636556325E-2</v>
      </c>
      <c r="S4" s="95">
        <f>VLOOKUP(A4,'BSE ALL CAP'!$B$4:$Y$1038,18,)</f>
        <v>1.4508328855454057E-2</v>
      </c>
      <c r="T4" s="95">
        <f>VLOOKUP(A4,'BSE ALL CAP'!$B$4:$Y$1038,19,)</f>
        <v>8.092928261424559E-2</v>
      </c>
      <c r="U4" s="95">
        <f>VLOOKUP(A4,'BSE ALL CAP'!$B$4:$Y$1038,20,)</f>
        <v>-6.6420953758791534E-2</v>
      </c>
      <c r="V4" s="95">
        <f>VLOOKUP(A4,'BSE ALL CAP'!$B$4:$Y$1038,21,)</f>
        <v>1.1645071346563896E-2</v>
      </c>
      <c r="W4" s="95">
        <f>VLOOKUP(A4,'BSE ALL CAP'!$B$4:$Y$1038,22,)</f>
        <v>-0.26349206349206344</v>
      </c>
      <c r="X4" s="95">
        <f>VLOOKUP(A4,'BSE ALL CAP'!$B$4:$Y$1038,23,)</f>
        <v>0.10858650327631691</v>
      </c>
      <c r="Y4" s="95">
        <f>VLOOKUP(A4,'BSE ALL CAP'!$B$4:$Y$1038,24,)</f>
        <v>-0.80126182965299686</v>
      </c>
    </row>
    <row r="5" spans="1:25" ht="15.75" customHeight="1">
      <c r="A5" s="99">
        <v>500113</v>
      </c>
      <c r="B5" s="98" t="s">
        <v>3806</v>
      </c>
      <c r="C5" s="101" t="str">
        <f>VLOOKUP(A5,'BSE ALL CAP'!$B$4:$Y$1038,2,)</f>
        <v>Commodities</v>
      </c>
      <c r="D5" s="101" t="str">
        <f>VLOOKUP(A5,'BSE ALL CAP'!$B$4:$Y$1038,3,)</f>
        <v>Iron &amp; Steel</v>
      </c>
      <c r="E5" s="101">
        <f ca="1">IFERROR(__xludf.DUMMYFUNCTION("GOOGLEFINANCE(""BOM:""&amp;A5,""PRICE"")"),160.85)</f>
        <v>160.85</v>
      </c>
      <c r="F5" s="112">
        <f ca="1">IFERROR(__xludf.DUMMYFUNCTION("GOOGLEFINANCE(""BOM:""&amp;A5,""MARKETCAP"")/10000000"),66418.8432605)</f>
        <v>66418.843260499998</v>
      </c>
      <c r="G5" s="95">
        <f t="shared" ca="1" si="0"/>
        <v>8.290212016020844E-2</v>
      </c>
      <c r="H5" s="101">
        <f>VLOOKUP(A5,'BSE ALL CAP'!$B$4:$Y$1038,7,)</f>
        <v>79997</v>
      </c>
      <c r="I5" s="101">
        <f>VLOOKUP(A5,'BSE ALL CAP'!$B$4:$Y$1038,8,)</f>
        <v>73163</v>
      </c>
      <c r="J5" s="101">
        <f>VLOOKUP(A5,'BSE ALL CAP'!$B$4:$Y$1038,9,)</f>
        <v>1537</v>
      </c>
      <c r="K5" s="101">
        <f>VLOOKUP(A5,'BSE ALL CAP'!$B$4:$Y$1038,10,)</f>
        <v>1121</v>
      </c>
      <c r="L5" s="101">
        <f>VLOOKUP(A5,'BSE ALL CAP'!$B$4:$Y$1038,11,)</f>
        <v>27371</v>
      </c>
      <c r="M5" s="101">
        <f>VLOOKUP(A5,'BSE ALL CAP'!$B$4:$Y$1038,12,)</f>
        <v>24490</v>
      </c>
      <c r="N5" s="101">
        <f>VLOOKUP(A5,'BSE ALL CAP'!$B$4:$Y$1038,13,)</f>
        <v>374</v>
      </c>
      <c r="O5" s="101">
        <f>VLOOKUP(A5,'BSE ALL CAP'!$B$4:$Y$1038,14,)</f>
        <v>142</v>
      </c>
      <c r="P5" s="95">
        <f>VLOOKUP(A5,'BSE ALL CAP'!$B$4:$Y$1038,15,)</f>
        <v>1.9213220495768592E-2</v>
      </c>
      <c r="Q5" s="95">
        <f>VLOOKUP(A5,'BSE ALL CAP'!$B$4:$Y$1038,16,)</f>
        <v>1.5321952352965297E-2</v>
      </c>
      <c r="R5" s="95">
        <f>VLOOKUP(A5,'BSE ALL CAP'!$B$4:$Y$1038,17,)</f>
        <v>3.891268142803295E-3</v>
      </c>
      <c r="S5" s="95">
        <f>VLOOKUP(A5,'BSE ALL CAP'!$B$4:$Y$1038,18,)</f>
        <v>1.3664097037009973E-2</v>
      </c>
      <c r="T5" s="95">
        <f>VLOOKUP(A5,'BSE ALL CAP'!$B$4:$Y$1038,19,)</f>
        <v>5.7982850142915474E-3</v>
      </c>
      <c r="U5" s="95">
        <f>VLOOKUP(A5,'BSE ALL CAP'!$B$4:$Y$1038,20,)</f>
        <v>7.8658120227184259E-3</v>
      </c>
      <c r="V5" s="95">
        <f>VLOOKUP(A5,'BSE ALL CAP'!$B$4:$Y$1038,21,)</f>
        <v>9.3407870098273671E-2</v>
      </c>
      <c r="W5" s="95">
        <f>VLOOKUP(A5,'BSE ALL CAP'!$B$4:$Y$1038,22,)</f>
        <v>0.37109723461195365</v>
      </c>
      <c r="X5" s="95">
        <f>VLOOKUP(A5,'BSE ALL CAP'!$B$4:$Y$1038,23,)</f>
        <v>0.11763985300122504</v>
      </c>
      <c r="Y5" s="95">
        <f>VLOOKUP(A5,'BSE ALL CAP'!$B$4:$Y$1038,24,)</f>
        <v>1.6338028169014085</v>
      </c>
    </row>
    <row r="6" spans="1:25" ht="15.75" customHeight="1">
      <c r="A6" s="99">
        <v>532508</v>
      </c>
      <c r="B6" s="98" t="s">
        <v>3807</v>
      </c>
      <c r="C6" s="101" t="str">
        <f>VLOOKUP(A6,'BSE ALL CAP'!$B$4:$Y$1038,2,)</f>
        <v>Commodities</v>
      </c>
      <c r="D6" s="101" t="str">
        <f>VLOOKUP(A6,'BSE ALL CAP'!$B$4:$Y$1038,3,)</f>
        <v>Iron &amp; Steel</v>
      </c>
      <c r="E6" s="101">
        <f ca="1">IFERROR(__xludf.DUMMYFUNCTION("GOOGLEFINANCE(""BOM:""&amp;A6,""PRICE"")"),723.05)</f>
        <v>723.05</v>
      </c>
      <c r="F6" s="112">
        <f ca="1">IFERROR(__xludf.DUMMYFUNCTION("GOOGLEFINANCE(""BOM:""&amp;A6,""MARKETCAP"")/10000000"),59570.4623175)</f>
        <v>59570.462317500002</v>
      </c>
      <c r="G6" s="95">
        <f t="shared" ca="1" si="0"/>
        <v>7.4354164911835247E-2</v>
      </c>
      <c r="H6" s="101">
        <f>VLOOKUP(A6,'BSE ALL CAP'!$B$4:$Y$1038,7,)</f>
        <v>31617</v>
      </c>
      <c r="I6" s="101">
        <f>VLOOKUP(A6,'BSE ALL CAP'!$B$4:$Y$1038,8,)</f>
        <v>29113</v>
      </c>
      <c r="J6" s="101">
        <f>VLOOKUP(A6,'BSE ALL CAP'!$B$4:$Y$1038,9,)</f>
        <v>2350</v>
      </c>
      <c r="K6" s="101">
        <f>VLOOKUP(A6,'BSE ALL CAP'!$B$4:$Y$1038,10,)</f>
        <v>1909</v>
      </c>
      <c r="L6" s="101">
        <f>VLOOKUP(A6,'BSE ALL CAP'!$B$4:$Y$1038,11,)</f>
        <v>10517</v>
      </c>
      <c r="M6" s="101">
        <f>VLOOKUP(A6,'BSE ALL CAP'!$B$4:$Y$1038,12,)</f>
        <v>9907</v>
      </c>
      <c r="N6" s="101">
        <f>VLOOKUP(A6,'BSE ALL CAP'!$B$4:$Y$1038,13,)</f>
        <v>827</v>
      </c>
      <c r="O6" s="101">
        <f>VLOOKUP(A6,'BSE ALL CAP'!$B$4:$Y$1038,14,)</f>
        <v>654</v>
      </c>
      <c r="P6" s="95">
        <f>VLOOKUP(A6,'BSE ALL CAP'!$B$4:$Y$1038,15,)</f>
        <v>7.4327102508144352E-2</v>
      </c>
      <c r="Q6" s="95">
        <f>VLOOKUP(A6,'BSE ALL CAP'!$B$4:$Y$1038,16,)</f>
        <v>6.5572081200838114E-2</v>
      </c>
      <c r="R6" s="95">
        <f>VLOOKUP(A6,'BSE ALL CAP'!$B$4:$Y$1038,17,)</f>
        <v>8.7550213073062377E-3</v>
      </c>
      <c r="S6" s="95">
        <f>VLOOKUP(A6,'BSE ALL CAP'!$B$4:$Y$1038,18,)</f>
        <v>7.8634591613578012E-2</v>
      </c>
      <c r="T6" s="95">
        <f>VLOOKUP(A6,'BSE ALL CAP'!$B$4:$Y$1038,19,)</f>
        <v>6.6013929544766328E-2</v>
      </c>
      <c r="U6" s="95">
        <f>VLOOKUP(A6,'BSE ALL CAP'!$B$4:$Y$1038,20,)</f>
        <v>1.2620662068811683E-2</v>
      </c>
      <c r="V6" s="95">
        <f>VLOOKUP(A6,'BSE ALL CAP'!$B$4:$Y$1038,21,)</f>
        <v>8.6009686394394214E-2</v>
      </c>
      <c r="W6" s="95">
        <f>VLOOKUP(A6,'BSE ALL CAP'!$B$4:$Y$1038,22,)</f>
        <v>0.23101100052383439</v>
      </c>
      <c r="X6" s="95">
        <f>VLOOKUP(A6,'BSE ALL CAP'!$B$4:$Y$1038,23,)</f>
        <v>6.1572625416372206E-2</v>
      </c>
      <c r="Y6" s="95">
        <f>VLOOKUP(A6,'BSE ALL CAP'!$B$4:$Y$1038,24,)</f>
        <v>0.26452599388379205</v>
      </c>
    </row>
    <row r="7" spans="1:25" ht="15.75" customHeight="1">
      <c r="A7" s="99">
        <v>504614</v>
      </c>
      <c r="B7" s="98" t="s">
        <v>3808</v>
      </c>
      <c r="C7" s="101" t="str">
        <f>VLOOKUP(A7,'BSE ALL CAP'!$B$4:$Y$1038,2,)</f>
        <v>Commodities</v>
      </c>
      <c r="D7" s="101" t="str">
        <f>VLOOKUP(A7,'BSE ALL CAP'!$B$4:$Y$1038,3,)</f>
        <v>Iron &amp; Steel</v>
      </c>
      <c r="E7" s="101">
        <f ca="1">IFERROR(__xludf.DUMMYFUNCTION("GOOGLEFINANCE(""BOM:""&amp;A7,""PRICE"")"),522.6)</f>
        <v>522.6</v>
      </c>
      <c r="F7" s="112">
        <f ca="1">IFERROR(__xludf.DUMMYFUNCTION("GOOGLEFINANCE(""BOM:""&amp;A7,""MARKETCAP"")/10000000"),18411.922925)</f>
        <v>18411.922924999999</v>
      </c>
      <c r="G7" s="95">
        <f t="shared" ca="1" si="0"/>
        <v>2.2981241042127655E-2</v>
      </c>
      <c r="H7" s="101">
        <f>VLOOKUP(A7,'BSE ALL CAP'!$B$4:$Y$1038,7,)</f>
        <v>4437</v>
      </c>
      <c r="I7" s="101">
        <f>VLOOKUP(A7,'BSE ALL CAP'!$B$4:$Y$1038,8,)</f>
        <v>3404</v>
      </c>
      <c r="J7" s="101">
        <f>VLOOKUP(A7,'BSE ALL CAP'!$B$4:$Y$1038,9,)</f>
        <v>922</v>
      </c>
      <c r="K7" s="101">
        <f>VLOOKUP(A7,'BSE ALL CAP'!$B$4:$Y$1038,10,)</f>
        <v>587</v>
      </c>
      <c r="L7" s="101">
        <f>VLOOKUP(A7,'BSE ALL CAP'!$B$4:$Y$1038,11,)</f>
        <v>1276</v>
      </c>
      <c r="M7" s="101">
        <f>VLOOKUP(A7,'BSE ALL CAP'!$B$4:$Y$1038,12,)</f>
        <v>1319</v>
      </c>
      <c r="N7" s="101">
        <f>VLOOKUP(A7,'BSE ALL CAP'!$B$4:$Y$1038,13,)</f>
        <v>184</v>
      </c>
      <c r="O7" s="101">
        <f>VLOOKUP(A7,'BSE ALL CAP'!$B$4:$Y$1038,14,)</f>
        <v>188</v>
      </c>
      <c r="P7" s="95">
        <f>VLOOKUP(A7,'BSE ALL CAP'!$B$4:$Y$1038,15,)</f>
        <v>0.20779806175343701</v>
      </c>
      <c r="Q7" s="95">
        <f>VLOOKUP(A7,'BSE ALL CAP'!$B$4:$Y$1038,16,)</f>
        <v>0.17244418331374853</v>
      </c>
      <c r="R7" s="95">
        <f>VLOOKUP(A7,'BSE ALL CAP'!$B$4:$Y$1038,17,)</f>
        <v>3.5353878439688485E-2</v>
      </c>
      <c r="S7" s="95">
        <f>VLOOKUP(A7,'BSE ALL CAP'!$B$4:$Y$1038,18,)</f>
        <v>0.14420062695924765</v>
      </c>
      <c r="T7" s="95">
        <f>VLOOKUP(A7,'BSE ALL CAP'!$B$4:$Y$1038,19,)</f>
        <v>0.14253222137983321</v>
      </c>
      <c r="U7" s="95">
        <f>VLOOKUP(A7,'BSE ALL CAP'!$B$4:$Y$1038,20,)</f>
        <v>1.6684055794144448E-3</v>
      </c>
      <c r="V7" s="95">
        <f>VLOOKUP(A7,'BSE ALL CAP'!$B$4:$Y$1038,21,)</f>
        <v>0.3034665099882492</v>
      </c>
      <c r="W7" s="95">
        <f>VLOOKUP(A7,'BSE ALL CAP'!$B$4:$Y$1038,22,)</f>
        <v>0.57069846678023861</v>
      </c>
      <c r="X7" s="95">
        <f>VLOOKUP(A7,'BSE ALL CAP'!$B$4:$Y$1038,23,)</f>
        <v>-3.2600454890068242E-2</v>
      </c>
      <c r="Y7" s="95">
        <f>VLOOKUP(A7,'BSE ALL CAP'!$B$4:$Y$1038,24,)</f>
        <v>-2.1276595744680882E-2</v>
      </c>
    </row>
    <row r="8" spans="1:25" ht="15.75" customHeight="1">
      <c r="A8" s="99">
        <v>543768</v>
      </c>
      <c r="B8" s="98" t="s">
        <v>3809</v>
      </c>
      <c r="C8" s="101" t="str">
        <f>VLOOKUP(A8,'BSE ALL CAP'!$B$4:$Y$1038,2,)</f>
        <v>Commodities</v>
      </c>
      <c r="D8" s="101" t="str">
        <f>VLOOKUP(A8,'BSE ALL CAP'!$B$4:$Y$1038,3,)</f>
        <v>Iron &amp; Steel</v>
      </c>
      <c r="E8" s="101">
        <f ca="1">IFERROR(__xludf.DUMMYFUNCTION("GOOGLEFINANCE(""BOM:""&amp;A8,""PRICE"")"),37.08)</f>
        <v>37.08</v>
      </c>
      <c r="F8" s="112">
        <f ca="1">IFERROR(__xludf.DUMMYFUNCTION("GOOGLEFINANCE(""BOM:""&amp;A8,""MARKETCAP"")/10000000"),10886.9881152)</f>
        <v>10886.9881152</v>
      </c>
      <c r="G8" s="95">
        <f t="shared" ca="1" si="0"/>
        <v>1.3588830407196061E-2</v>
      </c>
      <c r="H8" s="101">
        <f>VLOOKUP(A8,'BSE ALL CAP'!$B$4:$Y$1038,7,)</f>
        <v>9763</v>
      </c>
      <c r="I8" s="101">
        <f>VLOOKUP(A8,'BSE ALL CAP'!$B$4:$Y$1038,8,)</f>
        <v>5665</v>
      </c>
      <c r="J8" s="101">
        <f>VLOOKUP(A8,'BSE ALL CAP'!$B$4:$Y$1038,9,)</f>
        <v>-333</v>
      </c>
      <c r="K8" s="101">
        <f>VLOOKUP(A8,'BSE ALL CAP'!$B$4:$Y$1038,10,)</f>
        <v>-1900</v>
      </c>
      <c r="L8" s="101">
        <f>VLOOKUP(A8,'BSE ALL CAP'!$B$4:$Y$1038,11,)</f>
        <v>3008</v>
      </c>
      <c r="M8" s="101">
        <f>VLOOKUP(A8,'BSE ALL CAP'!$B$4:$Y$1038,12,)</f>
        <v>2120</v>
      </c>
      <c r="N8" s="101">
        <f>VLOOKUP(A8,'BSE ALL CAP'!$B$4:$Y$1038,13,)</f>
        <v>-244</v>
      </c>
      <c r="O8" s="101">
        <f>VLOOKUP(A8,'BSE ALL CAP'!$B$4:$Y$1038,14,)</f>
        <v>-758</v>
      </c>
      <c r="P8" s="95">
        <f>VLOOKUP(A8,'BSE ALL CAP'!$B$4:$Y$1038,15,)</f>
        <v>-3.4108368329406946E-2</v>
      </c>
      <c r="Q8" s="95">
        <f>VLOOKUP(A8,'BSE ALL CAP'!$B$4:$Y$1038,16,)</f>
        <v>-0.33539276257722861</v>
      </c>
      <c r="R8" s="95">
        <f>VLOOKUP(A8,'BSE ALL CAP'!$B$4:$Y$1038,17,)</f>
        <v>0.30128439424782166</v>
      </c>
      <c r="S8" s="95">
        <f>VLOOKUP(A8,'BSE ALL CAP'!$B$4:$Y$1038,18,)</f>
        <v>-8.1117021276595744E-2</v>
      </c>
      <c r="T8" s="95">
        <f>VLOOKUP(A8,'BSE ALL CAP'!$B$4:$Y$1038,19,)</f>
        <v>-0.35754716981132073</v>
      </c>
      <c r="U8" s="95">
        <f>VLOOKUP(A8,'BSE ALL CAP'!$B$4:$Y$1038,20,)</f>
        <v>0.27643014853472497</v>
      </c>
      <c r="V8" s="95">
        <f>VLOOKUP(A8,'BSE ALL CAP'!$B$4:$Y$1038,21,)</f>
        <v>0.72338923212709627</v>
      </c>
      <c r="W8" s="95">
        <f>VLOOKUP(A8,'BSE ALL CAP'!$B$4:$Y$1038,22,)</f>
        <v>-0.82473684210526321</v>
      </c>
      <c r="X8" s="95">
        <f>VLOOKUP(A8,'BSE ALL CAP'!$B$4:$Y$1038,23,)</f>
        <v>0.41886792452830179</v>
      </c>
      <c r="Y8" s="95">
        <f>VLOOKUP(A8,'BSE ALL CAP'!$B$4:$Y$1038,24,)</f>
        <v>-0.67810026385224276</v>
      </c>
    </row>
    <row r="9" spans="1:25" ht="15.75" customHeight="1">
      <c r="A9" s="99">
        <v>532976</v>
      </c>
      <c r="B9" s="98" t="s">
        <v>3810</v>
      </c>
      <c r="C9" s="101" t="str">
        <f>VLOOKUP(A9,'BSE ALL CAP'!$B$4:$Y$1038,2,)</f>
        <v>Commodities</v>
      </c>
      <c r="D9" s="101" t="str">
        <f>VLOOKUP(A9,'BSE ALL CAP'!$B$4:$Y$1038,3,)</f>
        <v>Iron &amp; Steel</v>
      </c>
      <c r="E9" s="101">
        <f ca="1">IFERROR(__xludf.DUMMYFUNCTION("GOOGLEFINANCE(""BOM:""&amp;A9,""PRICE"")"),56.87)</f>
        <v>56.87</v>
      </c>
      <c r="F9" s="112">
        <f ca="1">IFERROR(__xludf.DUMMYFUNCTION("GOOGLEFINANCE(""BOM:""&amp;A9,""MARKETCAP"")/10000000"),5195.271223)</f>
        <v>5195.2712229999997</v>
      </c>
      <c r="G9" s="95">
        <f t="shared" ca="1" si="0"/>
        <v>6.4845904874431979E-3</v>
      </c>
      <c r="H9" s="101">
        <f>VLOOKUP(A9,'BSE ALL CAP'!$B$4:$Y$1038,7,)</f>
        <v>4039</v>
      </c>
      <c r="I9" s="101">
        <f>VLOOKUP(A9,'BSE ALL CAP'!$B$4:$Y$1038,8,)</f>
        <v>4761</v>
      </c>
      <c r="J9" s="101">
        <f>VLOOKUP(A9,'BSE ALL CAP'!$B$4:$Y$1038,9,)</f>
        <v>108</v>
      </c>
      <c r="K9" s="101">
        <f>VLOOKUP(A9,'BSE ALL CAP'!$B$4:$Y$1038,10,)</f>
        <v>482</v>
      </c>
      <c r="L9" s="101">
        <f>VLOOKUP(A9,'BSE ALL CAP'!$B$4:$Y$1038,11,)</f>
        <v>1328</v>
      </c>
      <c r="M9" s="101">
        <f>VLOOKUP(A9,'BSE ALL CAP'!$B$4:$Y$1038,12,)</f>
        <v>1486</v>
      </c>
      <c r="N9" s="101">
        <f>VLOOKUP(A9,'BSE ALL CAP'!$B$4:$Y$1038,13,)</f>
        <v>12</v>
      </c>
      <c r="O9" s="101">
        <f>VLOOKUP(A9,'BSE ALL CAP'!$B$4:$Y$1038,14,)</f>
        <v>120</v>
      </c>
      <c r="P9" s="95">
        <f>VLOOKUP(A9,'BSE ALL CAP'!$B$4:$Y$1038,15,)</f>
        <v>2.6739291903936618E-2</v>
      </c>
      <c r="Q9" s="95">
        <f>VLOOKUP(A9,'BSE ALL CAP'!$B$4:$Y$1038,16,)</f>
        <v>0.1012392354547364</v>
      </c>
      <c r="R9" s="95">
        <f>VLOOKUP(A9,'BSE ALL CAP'!$B$4:$Y$1038,17,)</f>
        <v>-7.449994355079978E-2</v>
      </c>
      <c r="S9" s="95">
        <f>VLOOKUP(A9,'BSE ALL CAP'!$B$4:$Y$1038,18,)</f>
        <v>9.0361445783132526E-3</v>
      </c>
      <c r="T9" s="95">
        <f>VLOOKUP(A9,'BSE ALL CAP'!$B$4:$Y$1038,19,)</f>
        <v>8.0753701211305512E-2</v>
      </c>
      <c r="U9" s="95">
        <f>VLOOKUP(A9,'BSE ALL CAP'!$B$4:$Y$1038,20,)</f>
        <v>-7.1717556632992258E-2</v>
      </c>
      <c r="V9" s="95">
        <f>VLOOKUP(A9,'BSE ALL CAP'!$B$4:$Y$1038,21,)</f>
        <v>-0.15164881327452218</v>
      </c>
      <c r="W9" s="95">
        <f>VLOOKUP(A9,'BSE ALL CAP'!$B$4:$Y$1038,22,)</f>
        <v>-0.77593360995850624</v>
      </c>
      <c r="X9" s="95">
        <f>VLOOKUP(A9,'BSE ALL CAP'!$B$4:$Y$1038,23,)</f>
        <v>-0.10632570659488561</v>
      </c>
      <c r="Y9" s="95">
        <f>VLOOKUP(A9,'BSE ALL CAP'!$B$4:$Y$1038,24,)</f>
        <v>-0.9</v>
      </c>
    </row>
    <row r="10" spans="1:25" ht="15.75" customHeight="1">
      <c r="A10" s="99">
        <v>506022</v>
      </c>
      <c r="B10" s="98" t="s">
        <v>3811</v>
      </c>
      <c r="C10" s="101" t="str">
        <f>VLOOKUP(A10,'BSE ALL CAP'!$B$4:$Y$1038,2,)</f>
        <v>Commodities</v>
      </c>
      <c r="D10" s="101" t="str">
        <f>VLOOKUP(A10,'BSE ALL CAP'!$B$4:$Y$1038,3,)</f>
        <v>Iron &amp; Steel</v>
      </c>
      <c r="E10" s="101">
        <f ca="1">IFERROR(__xludf.DUMMYFUNCTION("GOOGLEFINANCE(""BOM:""&amp;A10,""PRICE"")"),126.05)</f>
        <v>126.05</v>
      </c>
      <c r="F10" s="112">
        <f ca="1">IFERROR(__xludf.DUMMYFUNCTION("GOOGLEFINANCE(""BOM:""&amp;A10,""MARKETCAP"")/10000000"),2252.6699785)</f>
        <v>2252.6699785000001</v>
      </c>
      <c r="G10" s="95">
        <f t="shared" ca="1" si="0"/>
        <v>2.8117189049265494E-3</v>
      </c>
      <c r="H10" s="101">
        <f>VLOOKUP(A10,'BSE ALL CAP'!$B$4:$Y$1038,7,)</f>
        <v>2558</v>
      </c>
      <c r="I10" s="101">
        <f>VLOOKUP(A10,'BSE ALL CAP'!$B$4:$Y$1038,8,)</f>
        <v>3169</v>
      </c>
      <c r="J10" s="101">
        <f>VLOOKUP(A10,'BSE ALL CAP'!$B$4:$Y$1038,9,)</f>
        <v>239</v>
      </c>
      <c r="K10" s="101">
        <f>VLOOKUP(A10,'BSE ALL CAP'!$B$4:$Y$1038,10,)</f>
        <v>264</v>
      </c>
      <c r="L10" s="101">
        <f>VLOOKUP(A10,'BSE ALL CAP'!$B$4:$Y$1038,11,)</f>
        <v>798</v>
      </c>
      <c r="M10" s="101">
        <f>VLOOKUP(A10,'BSE ALL CAP'!$B$4:$Y$1038,12,)</f>
        <v>925</v>
      </c>
      <c r="N10" s="101">
        <f>VLOOKUP(A10,'BSE ALL CAP'!$B$4:$Y$1038,13,)</f>
        <v>86</v>
      </c>
      <c r="O10" s="101">
        <f>VLOOKUP(A10,'BSE ALL CAP'!$B$4:$Y$1038,14,)</f>
        <v>83</v>
      </c>
      <c r="P10" s="95">
        <f>VLOOKUP(A10,'BSE ALL CAP'!$B$4:$Y$1038,15,)</f>
        <v>9.3432369038311175E-2</v>
      </c>
      <c r="Q10" s="95">
        <f>VLOOKUP(A10,'BSE ALL CAP'!$B$4:$Y$1038,16,)</f>
        <v>8.3307036920164085E-2</v>
      </c>
      <c r="R10" s="95">
        <f>VLOOKUP(A10,'BSE ALL CAP'!$B$4:$Y$1038,17,)</f>
        <v>1.012533211814709E-2</v>
      </c>
      <c r="S10" s="95">
        <f>VLOOKUP(A10,'BSE ALL CAP'!$B$4:$Y$1038,18,)</f>
        <v>0.10776942355889724</v>
      </c>
      <c r="T10" s="95">
        <f>VLOOKUP(A10,'BSE ALL CAP'!$B$4:$Y$1038,19,)</f>
        <v>8.9729729729729729E-2</v>
      </c>
      <c r="U10" s="95">
        <f>VLOOKUP(A10,'BSE ALL CAP'!$B$4:$Y$1038,20,)</f>
        <v>1.8039693829167508E-2</v>
      </c>
      <c r="V10" s="95">
        <f>VLOOKUP(A10,'BSE ALL CAP'!$B$4:$Y$1038,21,)</f>
        <v>-0.19280530135689489</v>
      </c>
      <c r="W10" s="95">
        <f>VLOOKUP(A10,'BSE ALL CAP'!$B$4:$Y$1038,22,)</f>
        <v>-9.4696969696969724E-2</v>
      </c>
      <c r="X10" s="95">
        <f>VLOOKUP(A10,'BSE ALL CAP'!$B$4:$Y$1038,23,)</f>
        <v>-0.13729729729729734</v>
      </c>
      <c r="Y10" s="95">
        <f>VLOOKUP(A10,'BSE ALL CAP'!$B$4:$Y$1038,24,)</f>
        <v>3.6144578313253017E-2</v>
      </c>
    </row>
    <row r="11" spans="1:25" ht="15.75" customHeight="1">
      <c r="A11" s="99">
        <v>500460</v>
      </c>
      <c r="B11" s="98" t="s">
        <v>3812</v>
      </c>
      <c r="C11" s="101"/>
      <c r="D11" s="101"/>
      <c r="E11" s="101">
        <f ca="1">IFERROR(__xludf.DUMMYFUNCTION("GOOGLEFINANCE(""BOM:""&amp;A11,""PRICE"")"),126.85)</f>
        <v>126.85</v>
      </c>
      <c r="F11" s="112">
        <f ca="1">IFERROR(__xludf.DUMMYFUNCTION("GOOGLEFINANCE(""BOM:""&amp;A11,""MARKETCAP"")/10000000"),1838.7052375)</f>
        <v>1838.7052375000001</v>
      </c>
      <c r="G11" s="95">
        <f t="shared" ca="1" si="0"/>
        <v>2.2950198325583141E-3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539044</v>
      </c>
      <c r="B12" s="98" t="s">
        <v>3813</v>
      </c>
      <c r="C12" s="101"/>
      <c r="D12" s="101"/>
      <c r="E12" s="101">
        <f ca="1">IFERROR(__xludf.DUMMYFUNCTION("GOOGLEFINANCE(""BOM:""&amp;A12,""PRICE"")"),52)</f>
        <v>52</v>
      </c>
      <c r="F12" s="112">
        <f ca="1">IFERROR(__xludf.DUMMYFUNCTION("GOOGLEFINANCE(""BOM:""&amp;A12,""MARKETCAP"")/10000000"),340.777008)</f>
        <v>340.77700800000002</v>
      </c>
      <c r="G12" s="95">
        <f t="shared" ca="1" si="0"/>
        <v>4.253482156298493E-4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511672</v>
      </c>
      <c r="B13" s="98" t="s">
        <v>3814</v>
      </c>
      <c r="C13" s="101"/>
      <c r="D13" s="101"/>
      <c r="E13" s="101">
        <f ca="1">IFERROR(__xludf.DUMMYFUNCTION("GOOGLEFINANCE(""BOM:""&amp;A13,""PRICE"")"),30.38)</f>
        <v>30.38</v>
      </c>
      <c r="F13" s="112">
        <f ca="1">IFERROR(__xludf.DUMMYFUNCTION("GOOGLEFINANCE(""BOM:""&amp;A13,""MARKETCAP"")/10000000"),178.0337217)</f>
        <v>178.0337217</v>
      </c>
      <c r="G13" s="95">
        <f t="shared" ca="1" si="0"/>
        <v>2.2221665214877459E-4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513693</v>
      </c>
      <c r="B14" s="98" t="s">
        <v>3815</v>
      </c>
      <c r="C14" s="101"/>
      <c r="D14" s="101"/>
      <c r="E14" s="101">
        <f ca="1">IFERROR(__xludf.DUMMYFUNCTION("GOOGLEFINANCE(""BOM:""&amp;A14,""PRICE"")"),26.38)</f>
        <v>26.38</v>
      </c>
      <c r="F14" s="112">
        <f ca="1">IFERROR(__xludf.DUMMYFUNCTION("GOOGLEFINANCE(""BOM:""&amp;A14,""MARKETCAP"")/10000000"),93.6384186)</f>
        <v>93.638418599999994</v>
      </c>
      <c r="G14" s="95">
        <f t="shared" ca="1" si="0"/>
        <v>1.1687682364389702E-4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532870</v>
      </c>
      <c r="B15" s="98" t="s">
        <v>3816</v>
      </c>
      <c r="C15" s="101"/>
      <c r="D15" s="101"/>
      <c r="E15" s="101">
        <f ca="1">IFERROR(__xludf.DUMMYFUNCTION("GOOGLEFINANCE(""BOM:""&amp;A15,""PRICE"")"),1.47)</f>
        <v>1.47</v>
      </c>
      <c r="F15" s="112">
        <f ca="1">IFERROR(__xludf.DUMMYFUNCTION("GOOGLEFINANCE(""BOM:""&amp;A15,""MARKETCAP"")/10000000"),20.3198984)</f>
        <v>20.3198984</v>
      </c>
      <c r="G15" s="95">
        <f t="shared" ca="1" si="0"/>
        <v>2.5362722024426686E-5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>
      <c r="A16" s="101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>
      <c r="A17" s="101"/>
      <c r="B17" s="101"/>
      <c r="C17" s="101"/>
      <c r="D17" s="101"/>
      <c r="E17" s="101"/>
      <c r="F17" s="112">
        <f t="shared" ref="F17:G17" ca="1" si="1">SUM(F1:F15)</f>
        <v>801171.82928669988</v>
      </c>
      <c r="G17" s="95">
        <f t="shared" ca="1" si="1"/>
        <v>1</v>
      </c>
      <c r="H17" s="101">
        <f t="shared" ref="H17:O17" si="2">SUM(H2:H15)</f>
        <v>472578</v>
      </c>
      <c r="I17" s="101">
        <f t="shared" si="2"/>
        <v>442186</v>
      </c>
      <c r="J17" s="101">
        <f t="shared" si="2"/>
        <v>21329</v>
      </c>
      <c r="K17" s="101">
        <f t="shared" si="2"/>
        <v>9576</v>
      </c>
      <c r="L17" s="101">
        <f t="shared" si="2"/>
        <v>160318</v>
      </c>
      <c r="M17" s="101">
        <f t="shared" si="2"/>
        <v>147024</v>
      </c>
      <c r="N17" s="101">
        <f t="shared" si="2"/>
        <v>6568</v>
      </c>
      <c r="O17" s="101">
        <f t="shared" si="2"/>
        <v>2394</v>
      </c>
      <c r="P17" s="95">
        <f t="shared" ref="P17:Q17" si="3">J17/H17</f>
        <v>4.5133290165856217E-2</v>
      </c>
      <c r="Q17" s="95">
        <f t="shared" si="3"/>
        <v>2.1656045193651541E-2</v>
      </c>
      <c r="R17" s="95">
        <f>P17-Q17</f>
        <v>2.3477244972204676E-2</v>
      </c>
      <c r="S17" s="95">
        <f t="shared" ref="S17:T17" si="4">N17/L17</f>
        <v>4.0968574957272422E-2</v>
      </c>
      <c r="T17" s="95">
        <f t="shared" si="4"/>
        <v>1.6283055827619981E-2</v>
      </c>
      <c r="U17" s="95">
        <f>S17-T17</f>
        <v>2.4685519129652441E-2</v>
      </c>
      <c r="V17" s="95">
        <f>(H17/I17)-1</f>
        <v>6.8731257886952557E-2</v>
      </c>
      <c r="W17" s="95">
        <f>(J17/K17)-1</f>
        <v>1.2273391812865495</v>
      </c>
      <c r="X17" s="95">
        <f>(L17/M17)-1</f>
        <v>9.0420611600827039E-2</v>
      </c>
      <c r="Y17" s="95">
        <f>(N17/O17)-1</f>
        <v>1.7435254803675857</v>
      </c>
    </row>
  </sheetData>
  <autoFilter ref="A1:Y15" xr:uid="{00000000-0009-0000-0000-00006C000000}"/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543940</v>
      </c>
      <c r="B2" s="98" t="s">
        <v>3817</v>
      </c>
      <c r="C2" s="101" t="str">
        <f>VLOOKUP(A2,'BSE ALL CAP'!$B$4:$Y$1038,2,)</f>
        <v>Financial Services</v>
      </c>
      <c r="D2" s="101" t="str">
        <f>VLOOKUP(A2,'BSE ALL CAP'!$B$4:$Y$1038,3,)</f>
        <v>Investment Company</v>
      </c>
      <c r="E2" s="101">
        <f ca="1">IFERROR(__xludf.DUMMYFUNCTION("GOOGLEFINANCE(""BOM:""&amp;A2,""PRICE"")"),233.7)</f>
        <v>233.7</v>
      </c>
      <c r="F2" s="112">
        <f ca="1">IFERROR(__xludf.DUMMYFUNCTION("GOOGLEFINANCE(""BOM:""&amp;A2,""MARKETCAP"")/10000000"),148853.1564962)</f>
        <v>148853.15649620001</v>
      </c>
      <c r="G2" s="95">
        <f t="shared" ref="G2:G68" ca="1" si="0">F2/$F$70</f>
        <v>0.39939386744462901</v>
      </c>
      <c r="H2" s="101">
        <f>VLOOKUP(A2,'BSE ALL CAP'!$B$4:$Y$1038,7,)</f>
        <v>2522</v>
      </c>
      <c r="I2" s="101">
        <f>VLOOKUP(A2,'BSE ALL CAP'!$B$4:$Y$1038,8,)</f>
        <v>1560</v>
      </c>
      <c r="J2" s="101">
        <f>VLOOKUP(A2,'BSE ALL CAP'!$B$4:$Y$1038,9,)</f>
        <v>1288</v>
      </c>
      <c r="K2" s="101">
        <f>VLOOKUP(A2,'BSE ALL CAP'!$B$4:$Y$1038,10,)</f>
        <v>1296</v>
      </c>
      <c r="L2" s="101">
        <f>VLOOKUP(A2,'BSE ALL CAP'!$B$4:$Y$1038,11,)</f>
        <v>901</v>
      </c>
      <c r="M2" s="101">
        <f>VLOOKUP(A2,'BSE ALL CAP'!$B$4:$Y$1038,12,)</f>
        <v>448</v>
      </c>
      <c r="N2" s="101">
        <f>VLOOKUP(A2,'BSE ALL CAP'!$B$4:$Y$1038,13,)</f>
        <v>268</v>
      </c>
      <c r="O2" s="101">
        <f>VLOOKUP(A2,'BSE ALL CAP'!$B$4:$Y$1038,14,)</f>
        <v>294</v>
      </c>
      <c r="P2" s="95">
        <f>VLOOKUP(A2,'BSE ALL CAP'!$B$4:$Y$1038,15,)</f>
        <v>0.51070578905630448</v>
      </c>
      <c r="Q2" s="95">
        <f>VLOOKUP(A2,'BSE ALL CAP'!$B$4:$Y$1038,16,)</f>
        <v>0.83076923076923082</v>
      </c>
      <c r="R2" s="95">
        <f>VLOOKUP(A2,'BSE ALL CAP'!$B$4:$Y$1038,17,)</f>
        <v>-0.32006344171292633</v>
      </c>
      <c r="S2" s="95">
        <f>VLOOKUP(A2,'BSE ALL CAP'!$B$4:$Y$1038,18,)</f>
        <v>0.29744728079911209</v>
      </c>
      <c r="T2" s="95">
        <f>VLOOKUP(A2,'BSE ALL CAP'!$B$4:$Y$1038,19,)</f>
        <v>0.65625</v>
      </c>
      <c r="U2" s="95">
        <f>VLOOKUP(A2,'BSE ALL CAP'!$B$4:$Y$1038,20,)</f>
        <v>-0.35880271920088791</v>
      </c>
      <c r="V2" s="95">
        <f>VLOOKUP(A2,'BSE ALL CAP'!$B$4:$Y$1038,21,)</f>
        <v>0.6166666666666667</v>
      </c>
      <c r="W2" s="95">
        <f>VLOOKUP(A2,'BSE ALL CAP'!$B$4:$Y$1038,22,)</f>
        <v>-6.1728395061728669E-3</v>
      </c>
      <c r="X2" s="95">
        <f>VLOOKUP(A2,'BSE ALL CAP'!$B$4:$Y$1038,23,)</f>
        <v>1.0111607142857144</v>
      </c>
      <c r="Y2" s="95">
        <f>VLOOKUP(A2,'BSE ALL CAP'!$B$4:$Y$1038,24,)</f>
        <v>-8.8435374149659851E-2</v>
      </c>
    </row>
    <row r="3" spans="1:25" ht="15.75" customHeight="1">
      <c r="A3" s="99">
        <v>540691</v>
      </c>
      <c r="B3" s="98" t="s">
        <v>3818</v>
      </c>
      <c r="C3" s="101" t="str">
        <f>VLOOKUP(A3,'BSE ALL CAP'!$B$4:$Y$1038,2,)</f>
        <v>Financial Services</v>
      </c>
      <c r="D3" s="101" t="str">
        <f>VLOOKUP(A3,'BSE ALL CAP'!$B$4:$Y$1038,3,)</f>
        <v>Investment Company</v>
      </c>
      <c r="E3" s="101">
        <f ca="1">IFERROR(__xludf.DUMMYFUNCTION("GOOGLEFINANCE(""BOM:""&amp;A3,""PRICE"")"),310.4)</f>
        <v>310.39999999999998</v>
      </c>
      <c r="F3" s="112">
        <f ca="1">IFERROR(__xludf.DUMMYFUNCTION("GOOGLEFINANCE(""BOM:""&amp;A3,""MARKETCAP"")/10000000"),80974.7361)</f>
        <v>80974.736099999995</v>
      </c>
      <c r="G3" s="95">
        <f t="shared" ca="1" si="0"/>
        <v>0.21726655838240705</v>
      </c>
      <c r="H3" s="101">
        <f>VLOOKUP(A3,'BSE ALL CAP'!$B$4:$Y$1038,7,)</f>
        <v>32142</v>
      </c>
      <c r="I3" s="101">
        <f>VLOOKUP(A3,'BSE ALL CAP'!$B$4:$Y$1038,8,)</f>
        <v>28485</v>
      </c>
      <c r="J3" s="101">
        <f>VLOOKUP(A3,'BSE ALL CAP'!$B$4:$Y$1038,9,)</f>
        <v>2635</v>
      </c>
      <c r="K3" s="101">
        <f>VLOOKUP(A3,'BSE ALL CAP'!$B$4:$Y$1038,10,)</f>
        <v>2468</v>
      </c>
      <c r="L3" s="101">
        <f>VLOOKUP(A3,'BSE ALL CAP'!$B$4:$Y$1038,11,)</f>
        <v>12001</v>
      </c>
      <c r="M3" s="101">
        <f>VLOOKUP(A3,'BSE ALL CAP'!$B$4:$Y$1038,12,)</f>
        <v>9404</v>
      </c>
      <c r="N3" s="101">
        <f>VLOOKUP(A3,'BSE ALL CAP'!$B$4:$Y$1038,13,)</f>
        <v>945</v>
      </c>
      <c r="O3" s="101">
        <f>VLOOKUP(A3,'BSE ALL CAP'!$B$4:$Y$1038,14,)</f>
        <v>708</v>
      </c>
      <c r="P3" s="95">
        <f>VLOOKUP(A3,'BSE ALL CAP'!$B$4:$Y$1038,15,)</f>
        <v>8.1979963910148709E-2</v>
      </c>
      <c r="Q3" s="95">
        <f>VLOOKUP(A3,'BSE ALL CAP'!$B$4:$Y$1038,16,)</f>
        <v>8.6642092329296122E-2</v>
      </c>
      <c r="R3" s="95">
        <f>VLOOKUP(A3,'BSE ALL CAP'!$B$4:$Y$1038,17,)</f>
        <v>-4.6621284191474127E-3</v>
      </c>
      <c r="S3" s="95">
        <f>VLOOKUP(A3,'BSE ALL CAP'!$B$4:$Y$1038,18,)</f>
        <v>7.8743438046829428E-2</v>
      </c>
      <c r="T3" s="95">
        <f>VLOOKUP(A3,'BSE ALL CAP'!$B$4:$Y$1038,19,)</f>
        <v>7.5287111867290521E-2</v>
      </c>
      <c r="U3" s="95">
        <f>VLOOKUP(A3,'BSE ALL CAP'!$B$4:$Y$1038,20,)</f>
        <v>3.4563261795389072E-3</v>
      </c>
      <c r="V3" s="95">
        <f>VLOOKUP(A3,'BSE ALL CAP'!$B$4:$Y$1038,21,)</f>
        <v>0.12838335966298042</v>
      </c>
      <c r="W3" s="95">
        <f>VLOOKUP(A3,'BSE ALL CAP'!$B$4:$Y$1038,22,)</f>
        <v>6.7666126418152395E-2</v>
      </c>
      <c r="X3" s="95">
        <f>VLOOKUP(A3,'BSE ALL CAP'!$B$4:$Y$1038,23,)</f>
        <v>0.27615908124202471</v>
      </c>
      <c r="Y3" s="95">
        <f>VLOOKUP(A3,'BSE ALL CAP'!$B$4:$Y$1038,24,)</f>
        <v>0.3347457627118644</v>
      </c>
    </row>
    <row r="4" spans="1:25" ht="15.75" customHeight="1">
      <c r="A4" s="99">
        <v>520056</v>
      </c>
      <c r="B4" s="98" t="s">
        <v>3819</v>
      </c>
      <c r="C4" s="101" t="str">
        <f>VLOOKUP(A4,'BSE ALL CAP'!$B$4:$Y$1038,2,)</f>
        <v>Financial Services</v>
      </c>
      <c r="D4" s="101" t="str">
        <f>VLOOKUP(A4,'BSE ALL CAP'!$B$4:$Y$1038,3,)</f>
        <v>Investment Company</v>
      </c>
      <c r="E4" s="101">
        <f ca="1">IFERROR(__xludf.DUMMYFUNCTION("GOOGLEFINANCE(""BOM:""&amp;A4,""PRICE"")"),13965)</f>
        <v>13965</v>
      </c>
      <c r="F4" s="112">
        <f ca="1">IFERROR(__xludf.DUMMYFUNCTION("GOOGLEFINANCE(""BOM:""&amp;A4,""MARKETCAP"")/10000000"),28290.55)</f>
        <v>28290.55</v>
      </c>
      <c r="G4" s="95">
        <f t="shared" ca="1" si="0"/>
        <v>7.5907508060966758E-2</v>
      </c>
      <c r="H4" s="101">
        <f>VLOOKUP(A4,'BSE ALL CAP'!$B$4:$Y$1038,7,)</f>
        <v>42607</v>
      </c>
      <c r="I4" s="101">
        <f>VLOOKUP(A4,'BSE ALL CAP'!$B$4:$Y$1038,8,)</f>
        <v>33225</v>
      </c>
      <c r="J4" s="101">
        <f>VLOOKUP(A4,'BSE ALL CAP'!$B$4:$Y$1038,9,)</f>
        <v>2525</v>
      </c>
      <c r="K4" s="101">
        <f>VLOOKUP(A4,'BSE ALL CAP'!$B$4:$Y$1038,10,)</f>
        <v>1746</v>
      </c>
      <c r="L4" s="101">
        <f>VLOOKUP(A4,'BSE ALL CAP'!$B$4:$Y$1038,11,)</f>
        <v>15291</v>
      </c>
      <c r="M4" s="101">
        <f>VLOOKUP(A4,'BSE ALL CAP'!$B$4:$Y$1038,12,)</f>
        <v>11377</v>
      </c>
      <c r="N4" s="101">
        <f>VLOOKUP(A4,'BSE ALL CAP'!$B$4:$Y$1038,13,)</f>
        <v>969</v>
      </c>
      <c r="O4" s="101">
        <f>VLOOKUP(A4,'BSE ALL CAP'!$B$4:$Y$1038,14,)</f>
        <v>681</v>
      </c>
      <c r="P4" s="95">
        <f>VLOOKUP(A4,'BSE ALL CAP'!$B$4:$Y$1038,15,)</f>
        <v>5.9262562489731732E-2</v>
      </c>
      <c r="Q4" s="95">
        <f>VLOOKUP(A4,'BSE ALL CAP'!$B$4:$Y$1038,16,)</f>
        <v>5.2550790067720093E-2</v>
      </c>
      <c r="R4" s="95">
        <f>VLOOKUP(A4,'BSE ALL CAP'!$B$4:$Y$1038,17,)</f>
        <v>6.7117724220116387E-3</v>
      </c>
      <c r="S4" s="95">
        <f>VLOOKUP(A4,'BSE ALL CAP'!$B$4:$Y$1038,18,)</f>
        <v>6.3370610162840887E-2</v>
      </c>
      <c r="T4" s="95">
        <f>VLOOKUP(A4,'BSE ALL CAP'!$B$4:$Y$1038,19,)</f>
        <v>5.9857607453634526E-2</v>
      </c>
      <c r="U4" s="95">
        <f>VLOOKUP(A4,'BSE ALL CAP'!$B$4:$Y$1038,20,)</f>
        <v>3.5130027092063615E-3</v>
      </c>
      <c r="V4" s="95">
        <f>VLOOKUP(A4,'BSE ALL CAP'!$B$4:$Y$1038,21,)</f>
        <v>0.28237772761474789</v>
      </c>
      <c r="W4" s="95">
        <f>VLOOKUP(A4,'BSE ALL CAP'!$B$4:$Y$1038,22,)</f>
        <v>0.44616265750286366</v>
      </c>
      <c r="X4" s="95">
        <f>VLOOKUP(A4,'BSE ALL CAP'!$B$4:$Y$1038,23,)</f>
        <v>0.34402742374967032</v>
      </c>
      <c r="Y4" s="95">
        <f>VLOOKUP(A4,'BSE ALL CAP'!$B$4:$Y$1038,24,)</f>
        <v>0.4229074889867841</v>
      </c>
    </row>
    <row r="5" spans="1:25" ht="15.75" customHeight="1">
      <c r="A5" s="99">
        <v>504973</v>
      </c>
      <c r="B5" s="98" t="s">
        <v>3820</v>
      </c>
      <c r="C5" s="101" t="str">
        <f>VLOOKUP(A5,'BSE ALL CAP'!$B$4:$Y$1038,2,)</f>
        <v>Financial Services</v>
      </c>
      <c r="D5" s="101" t="str">
        <f>VLOOKUP(A5,'BSE ALL CAP'!$B$4:$Y$1038,3,)</f>
        <v>Investment Company</v>
      </c>
      <c r="E5" s="101">
        <f ca="1">IFERROR(__xludf.DUMMYFUNCTION("GOOGLEFINANCE(""BOM:""&amp;A5,""PRICE"")"),1416.9)</f>
        <v>1416.9</v>
      </c>
      <c r="F5" s="112">
        <f ca="1">IFERROR(__xludf.DUMMYFUNCTION("GOOGLEFINANCE(""BOM:""&amp;A5,""MARKETCAP"")/10000000"),26660.6361688)</f>
        <v>26660.6361688</v>
      </c>
      <c r="G5" s="95">
        <f t="shared" ca="1" si="0"/>
        <v>7.1534220964021122E-2</v>
      </c>
      <c r="H5" s="101">
        <f>VLOOKUP(A5,'BSE ALL CAP'!$B$4:$Y$1038,7,)</f>
        <v>21695</v>
      </c>
      <c r="I5" s="101">
        <f>VLOOKUP(A5,'BSE ALL CAP'!$B$4:$Y$1038,8,)</f>
        <v>18146</v>
      </c>
      <c r="J5" s="101">
        <f>VLOOKUP(A5,'BSE ALL CAP'!$B$4:$Y$1038,9,)</f>
        <v>3860</v>
      </c>
      <c r="K5" s="101">
        <f>VLOOKUP(A5,'BSE ALL CAP'!$B$4:$Y$1038,10,)</f>
        <v>3378</v>
      </c>
      <c r="L5" s="101">
        <f>VLOOKUP(A5,'BSE ALL CAP'!$B$4:$Y$1038,11,)</f>
        <v>7539</v>
      </c>
      <c r="M5" s="101">
        <f>VLOOKUP(A5,'BSE ALL CAP'!$B$4:$Y$1038,12,)</f>
        <v>6451</v>
      </c>
      <c r="N5" s="101">
        <f>VLOOKUP(A5,'BSE ALL CAP'!$B$4:$Y$1038,13,)</f>
        <v>1386</v>
      </c>
      <c r="O5" s="101">
        <f>VLOOKUP(A5,'BSE ALL CAP'!$B$4:$Y$1038,14,)</f>
        <v>1093</v>
      </c>
      <c r="P5" s="95">
        <f>VLOOKUP(A5,'BSE ALL CAP'!$B$4:$Y$1038,15,)</f>
        <v>0.17792117999539064</v>
      </c>
      <c r="Q5" s="95">
        <f>VLOOKUP(A5,'BSE ALL CAP'!$B$4:$Y$1038,16,)</f>
        <v>0.18615672875564862</v>
      </c>
      <c r="R5" s="95">
        <f>VLOOKUP(A5,'BSE ALL CAP'!$B$4:$Y$1038,17,)</f>
        <v>-8.2355487602579769E-3</v>
      </c>
      <c r="S5" s="95">
        <f>VLOOKUP(A5,'BSE ALL CAP'!$B$4:$Y$1038,18,)</f>
        <v>0.18384401114206128</v>
      </c>
      <c r="T5" s="95">
        <f>VLOOKUP(A5,'BSE ALL CAP'!$B$4:$Y$1038,19,)</f>
        <v>0.16943109595411565</v>
      </c>
      <c r="U5" s="95">
        <f>VLOOKUP(A5,'BSE ALL CAP'!$B$4:$Y$1038,20,)</f>
        <v>1.441291518794563E-2</v>
      </c>
      <c r="V5" s="95">
        <f>VLOOKUP(A5,'BSE ALL CAP'!$B$4:$Y$1038,21,)</f>
        <v>0.19558029317755987</v>
      </c>
      <c r="W5" s="95">
        <f>VLOOKUP(A5,'BSE ALL CAP'!$B$4:$Y$1038,22,)</f>
        <v>0.14268798105387814</v>
      </c>
      <c r="X5" s="95">
        <f>VLOOKUP(A5,'BSE ALL CAP'!$B$4:$Y$1038,23,)</f>
        <v>0.16865602232212051</v>
      </c>
      <c r="Y5" s="95">
        <f>VLOOKUP(A5,'BSE ALL CAP'!$B$4:$Y$1038,24,)</f>
        <v>0.26806953339432749</v>
      </c>
    </row>
    <row r="6" spans="1:25" ht="15.75" customHeight="1">
      <c r="A6" s="99">
        <v>532642</v>
      </c>
      <c r="B6" s="98" t="s">
        <v>3821</v>
      </c>
      <c r="C6" s="101" t="str">
        <f>VLOOKUP(A6,'BSE ALL CAP'!$B$4:$Y$1038,2,)</f>
        <v>Financial Services</v>
      </c>
      <c r="D6" s="101" t="str">
        <f>VLOOKUP(A6,'BSE ALL CAP'!$B$4:$Y$1038,3,)</f>
        <v>Investment Company</v>
      </c>
      <c r="E6" s="101">
        <f ca="1">IFERROR(__xludf.DUMMYFUNCTION("GOOGLEFINANCE(""BOM:""&amp;A6,""PRICE"")"),11938)</f>
        <v>11938</v>
      </c>
      <c r="F6" s="112">
        <f ca="1">IFERROR(__xludf.DUMMYFUNCTION("GOOGLEFINANCE(""BOM:""&amp;A6,""MARKETCAP"")/10000000"),13256.155896)</f>
        <v>13256.155896</v>
      </c>
      <c r="G6" s="95">
        <f t="shared" ca="1" si="0"/>
        <v>3.5568122943281488E-2</v>
      </c>
      <c r="H6" s="101">
        <f>VLOOKUP(A6,'BSE ALL CAP'!$B$4:$Y$1038,7,)</f>
        <v>146</v>
      </c>
      <c r="I6" s="101">
        <f>VLOOKUP(A6,'BSE ALL CAP'!$B$4:$Y$1038,8,)</f>
        <v>218</v>
      </c>
      <c r="J6" s="101">
        <f>VLOOKUP(A6,'BSE ALL CAP'!$B$4:$Y$1038,9,)</f>
        <v>133</v>
      </c>
      <c r="K6" s="101">
        <f>VLOOKUP(A6,'BSE ALL CAP'!$B$4:$Y$1038,10,)</f>
        <v>186</v>
      </c>
      <c r="L6" s="101">
        <f>VLOOKUP(A6,'BSE ALL CAP'!$B$4:$Y$1038,11,)</f>
        <v>32</v>
      </c>
      <c r="M6" s="101">
        <f>VLOOKUP(A6,'BSE ALL CAP'!$B$4:$Y$1038,12,)</f>
        <v>29</v>
      </c>
      <c r="N6" s="101">
        <f>VLOOKUP(A6,'BSE ALL CAP'!$B$4:$Y$1038,13,)</f>
        <v>32</v>
      </c>
      <c r="O6" s="101">
        <f>VLOOKUP(A6,'BSE ALL CAP'!$B$4:$Y$1038,14,)</f>
        <v>13</v>
      </c>
      <c r="P6" s="95">
        <f>VLOOKUP(A6,'BSE ALL CAP'!$B$4:$Y$1038,15,)</f>
        <v>0.91095890410958902</v>
      </c>
      <c r="Q6" s="95">
        <f>VLOOKUP(A6,'BSE ALL CAP'!$B$4:$Y$1038,16,)</f>
        <v>0.85321100917431192</v>
      </c>
      <c r="R6" s="95">
        <f>VLOOKUP(A6,'BSE ALL CAP'!$B$4:$Y$1038,17,)</f>
        <v>5.77478949352771E-2</v>
      </c>
      <c r="S6" s="95">
        <f>VLOOKUP(A6,'BSE ALL CAP'!$B$4:$Y$1038,18,)</f>
        <v>1</v>
      </c>
      <c r="T6" s="95">
        <f>VLOOKUP(A6,'BSE ALL CAP'!$B$4:$Y$1038,19,)</f>
        <v>0.44827586206896552</v>
      </c>
      <c r="U6" s="95">
        <f>VLOOKUP(A6,'BSE ALL CAP'!$B$4:$Y$1038,20,)</f>
        <v>0.55172413793103448</v>
      </c>
      <c r="V6" s="95">
        <f>VLOOKUP(A6,'BSE ALL CAP'!$B$4:$Y$1038,21,)</f>
        <v>-0.33027522935779818</v>
      </c>
      <c r="W6" s="95">
        <f>VLOOKUP(A6,'BSE ALL CAP'!$B$4:$Y$1038,22,)</f>
        <v>-0.28494623655913975</v>
      </c>
      <c r="X6" s="95">
        <f>VLOOKUP(A6,'BSE ALL CAP'!$B$4:$Y$1038,23,)</f>
        <v>0.10344827586206895</v>
      </c>
      <c r="Y6" s="95">
        <f>VLOOKUP(A6,'BSE ALL CAP'!$B$4:$Y$1038,24,)</f>
        <v>1.4615384615384617</v>
      </c>
    </row>
    <row r="7" spans="1:25" ht="15.75" customHeight="1">
      <c r="A7" s="99">
        <v>500266</v>
      </c>
      <c r="B7" s="98" t="s">
        <v>3822</v>
      </c>
      <c r="C7" s="101" t="str">
        <f>VLOOKUP(A7,'BSE ALL CAP'!$B$4:$Y$1038,2,)</f>
        <v>Financial Services</v>
      </c>
      <c r="D7" s="101" t="str">
        <f>VLOOKUP(A7,'BSE ALL CAP'!$B$4:$Y$1038,3,)</f>
        <v>Investment Company</v>
      </c>
      <c r="E7" s="101">
        <f ca="1">IFERROR(__xludf.DUMMYFUNCTION("GOOGLEFINANCE(""BOM:""&amp;A7,""PRICE"")"),11743.35)</f>
        <v>11743.35</v>
      </c>
      <c r="F7" s="112">
        <f ca="1">IFERROR(__xludf.DUMMYFUNCTION("GOOGLEFINANCE(""BOM:""&amp;A7,""MARKETCAP"")/10000000"),13428.558)</f>
        <v>13428.558000000001</v>
      </c>
      <c r="G7" s="95">
        <f t="shared" ca="1" si="0"/>
        <v>3.6030701935174811E-2</v>
      </c>
      <c r="H7" s="101">
        <f>VLOOKUP(A7,'BSE ALL CAP'!$B$4:$Y$1038,7,)</f>
        <v>306</v>
      </c>
      <c r="I7" s="101">
        <f>VLOOKUP(A7,'BSE ALL CAP'!$B$4:$Y$1038,8,)</f>
        <v>176</v>
      </c>
      <c r="J7" s="101">
        <f>VLOOKUP(A7,'BSE ALL CAP'!$B$4:$Y$1038,9,)</f>
        <v>306</v>
      </c>
      <c r="K7" s="101">
        <f>VLOOKUP(A7,'BSE ALL CAP'!$B$4:$Y$1038,10,)</f>
        <v>162</v>
      </c>
      <c r="L7" s="101">
        <f>VLOOKUP(A7,'BSE ALL CAP'!$B$4:$Y$1038,11,)</f>
        <v>6</v>
      </c>
      <c r="M7" s="101">
        <f>VLOOKUP(A7,'BSE ALL CAP'!$B$4:$Y$1038,12,)</f>
        <v>6</v>
      </c>
      <c r="N7" s="101">
        <f>VLOOKUP(A7,'BSE ALL CAP'!$B$4:$Y$1038,13,)</f>
        <v>4</v>
      </c>
      <c r="O7" s="101">
        <f>VLOOKUP(A7,'BSE ALL CAP'!$B$4:$Y$1038,14,)</f>
        <v>3</v>
      </c>
      <c r="P7" s="95">
        <f>VLOOKUP(A7,'BSE ALL CAP'!$B$4:$Y$1038,15,)</f>
        <v>1</v>
      </c>
      <c r="Q7" s="95">
        <f>VLOOKUP(A7,'BSE ALL CAP'!$B$4:$Y$1038,16,)</f>
        <v>0.92045454545454541</v>
      </c>
      <c r="R7" s="95">
        <f>VLOOKUP(A7,'BSE ALL CAP'!$B$4:$Y$1038,17,)</f>
        <v>7.9545454545454586E-2</v>
      </c>
      <c r="S7" s="95">
        <f>VLOOKUP(A7,'BSE ALL CAP'!$B$4:$Y$1038,18,)</f>
        <v>0.66666666666666663</v>
      </c>
      <c r="T7" s="95">
        <f>VLOOKUP(A7,'BSE ALL CAP'!$B$4:$Y$1038,19,)</f>
        <v>0.5</v>
      </c>
      <c r="U7" s="95">
        <f>VLOOKUP(A7,'BSE ALL CAP'!$B$4:$Y$1038,20,)</f>
        <v>0.16666666666666663</v>
      </c>
      <c r="V7" s="95">
        <f>VLOOKUP(A7,'BSE ALL CAP'!$B$4:$Y$1038,21,)</f>
        <v>0.73863636363636354</v>
      </c>
      <c r="W7" s="95">
        <f>VLOOKUP(A7,'BSE ALL CAP'!$B$4:$Y$1038,22,)</f>
        <v>0.88888888888888884</v>
      </c>
      <c r="X7" s="95">
        <f>VLOOKUP(A7,'BSE ALL CAP'!$B$4:$Y$1038,23,)</f>
        <v>0</v>
      </c>
      <c r="Y7" s="95">
        <f>VLOOKUP(A7,'BSE ALL CAP'!$B$4:$Y$1038,24,)</f>
        <v>0.33333333333333326</v>
      </c>
    </row>
    <row r="8" spans="1:25" ht="15.75" customHeight="1">
      <c r="A8" s="99">
        <v>532915</v>
      </c>
      <c r="B8" s="98" t="s">
        <v>3823</v>
      </c>
      <c r="C8" s="101" t="str">
        <f>VLOOKUP(A8,'BSE ALL CAP'!$B$4:$Y$1038,2,)</f>
        <v>Financial Services</v>
      </c>
      <c r="D8" s="101" t="str">
        <f>VLOOKUP(A8,'BSE ALL CAP'!$B$4:$Y$1038,3,)</f>
        <v>Investment Company</v>
      </c>
      <c r="E8" s="101">
        <f ca="1">IFERROR(__xludf.DUMMYFUNCTION("GOOGLEFINANCE(""BOM:""&amp;A8,""PRICE"")"),219.55)</f>
        <v>219.55</v>
      </c>
      <c r="F8" s="112">
        <f ca="1">IFERROR(__xludf.DUMMYFUNCTION("GOOGLEFINANCE(""BOM:""&amp;A8,""MARKETCAP"")/10000000"),7308.6088335)</f>
        <v>7308.6088335000004</v>
      </c>
      <c r="G8" s="95">
        <f t="shared" ca="1" si="0"/>
        <v>1.961002115347189E-2</v>
      </c>
      <c r="H8" s="101">
        <f>VLOOKUP(A8,'BSE ALL CAP'!$B$4:$Y$1038,7,)</f>
        <v>6033</v>
      </c>
      <c r="I8" s="101">
        <f>VLOOKUP(A8,'BSE ALL CAP'!$B$4:$Y$1038,8,)</f>
        <v>5355</v>
      </c>
      <c r="J8" s="101">
        <f>VLOOKUP(A8,'BSE ALL CAP'!$B$4:$Y$1038,9,)</f>
        <v>-22</v>
      </c>
      <c r="K8" s="101">
        <f>VLOOKUP(A8,'BSE ALL CAP'!$B$4:$Y$1038,10,)</f>
        <v>32</v>
      </c>
      <c r="L8" s="101">
        <f>VLOOKUP(A8,'BSE ALL CAP'!$B$4:$Y$1038,11,)</f>
        <v>2067</v>
      </c>
      <c r="M8" s="101">
        <f>VLOOKUP(A8,'BSE ALL CAP'!$B$4:$Y$1038,12,)</f>
        <v>1670</v>
      </c>
      <c r="N8" s="101">
        <f>VLOOKUP(A8,'BSE ALL CAP'!$B$4:$Y$1038,13,)</f>
        <v>-76</v>
      </c>
      <c r="O8" s="101">
        <f>VLOOKUP(A8,'BSE ALL CAP'!$B$4:$Y$1038,14,)</f>
        <v>-63</v>
      </c>
      <c r="P8" s="95">
        <f>VLOOKUP(A8,'BSE ALL CAP'!$B$4:$Y$1038,15,)</f>
        <v>-3.6466103099618763E-3</v>
      </c>
      <c r="Q8" s="95">
        <f>VLOOKUP(A8,'BSE ALL CAP'!$B$4:$Y$1038,16,)</f>
        <v>5.9757236227824459E-3</v>
      </c>
      <c r="R8" s="95">
        <f>VLOOKUP(A8,'BSE ALL CAP'!$B$4:$Y$1038,17,)</f>
        <v>-9.622333932744323E-3</v>
      </c>
      <c r="S8" s="95">
        <f>VLOOKUP(A8,'BSE ALL CAP'!$B$4:$Y$1038,18,)</f>
        <v>-3.6768263183357526E-2</v>
      </c>
      <c r="T8" s="95">
        <f>VLOOKUP(A8,'BSE ALL CAP'!$B$4:$Y$1038,19,)</f>
        <v>-3.772455089820359E-2</v>
      </c>
      <c r="U8" s="95">
        <f>VLOOKUP(A8,'BSE ALL CAP'!$B$4:$Y$1038,20,)</f>
        <v>9.562877148460644E-4</v>
      </c>
      <c r="V8" s="95">
        <f>VLOOKUP(A8,'BSE ALL CAP'!$B$4:$Y$1038,21,)</f>
        <v>0.12661064425770308</v>
      </c>
      <c r="W8" s="95">
        <f>VLOOKUP(A8,'BSE ALL CAP'!$B$4:$Y$1038,22,)</f>
        <v>-1.6875</v>
      </c>
      <c r="X8" s="95">
        <f>VLOOKUP(A8,'BSE ALL CAP'!$B$4:$Y$1038,23,)</f>
        <v>0.23772455089820355</v>
      </c>
      <c r="Y8" s="95">
        <f>VLOOKUP(A8,'BSE ALL CAP'!$B$4:$Y$1038,24,)</f>
        <v>0.20634920634920628</v>
      </c>
    </row>
    <row r="9" spans="1:25" ht="15.75" customHeight="1">
      <c r="A9" s="99">
        <v>501301</v>
      </c>
      <c r="B9" s="98" t="s">
        <v>3824</v>
      </c>
      <c r="C9" s="101" t="str">
        <f>VLOOKUP(A9,'BSE ALL CAP'!$B$4:$Y$1038,2,)</f>
        <v>Financial Services</v>
      </c>
      <c r="D9" s="101" t="str">
        <f>VLOOKUP(A9,'BSE ALL CAP'!$B$4:$Y$1038,3,)</f>
        <v>Investment Company</v>
      </c>
      <c r="E9" s="101">
        <f ca="1">IFERROR(__xludf.DUMMYFUNCTION("GOOGLEFINANCE(""BOM:""&amp;A9,""PRICE"")"),588.45)</f>
        <v>588.45000000000005</v>
      </c>
      <c r="F9" s="112">
        <f ca="1">IFERROR(__xludf.DUMMYFUNCTION("GOOGLEFINANCE(""BOM:""&amp;A9,""MARKETCAP"")/10000000"),29787.982875)</f>
        <v>29787.982875000002</v>
      </c>
      <c r="G9" s="95">
        <f t="shared" ca="1" si="0"/>
        <v>7.9925330196973982E-2</v>
      </c>
      <c r="H9" s="101">
        <f>VLOOKUP(A9,'BSE ALL CAP'!$B$4:$Y$1038,7,)</f>
        <v>360</v>
      </c>
      <c r="I9" s="101">
        <f>VLOOKUP(A9,'BSE ALL CAP'!$B$4:$Y$1038,8,)</f>
        <v>290</v>
      </c>
      <c r="J9" s="101">
        <f>VLOOKUP(A9,'BSE ALL CAP'!$B$4:$Y$1038,9,)</f>
        <v>370</v>
      </c>
      <c r="K9" s="101">
        <f>VLOOKUP(A9,'BSE ALL CAP'!$B$4:$Y$1038,10,)</f>
        <v>274</v>
      </c>
      <c r="L9" s="101">
        <f>VLOOKUP(A9,'BSE ALL CAP'!$B$4:$Y$1038,11,)</f>
        <v>61</v>
      </c>
      <c r="M9" s="101">
        <f>VLOOKUP(A9,'BSE ALL CAP'!$B$4:$Y$1038,12,)</f>
        <v>4</v>
      </c>
      <c r="N9" s="101">
        <f>VLOOKUP(A9,'BSE ALL CAP'!$B$4:$Y$1038,13,)</f>
        <v>75</v>
      </c>
      <c r="O9" s="101">
        <f>VLOOKUP(A9,'BSE ALL CAP'!$B$4:$Y$1038,14,)</f>
        <v>20</v>
      </c>
      <c r="P9" s="95">
        <f>VLOOKUP(A9,'BSE ALL CAP'!$B$4:$Y$1038,15,)</f>
        <v>1.0277777777777777</v>
      </c>
      <c r="Q9" s="95">
        <f>VLOOKUP(A9,'BSE ALL CAP'!$B$4:$Y$1038,16,)</f>
        <v>0.94482758620689655</v>
      </c>
      <c r="R9" s="95">
        <f>VLOOKUP(A9,'BSE ALL CAP'!$B$4:$Y$1038,17,)</f>
        <v>8.2950191570881127E-2</v>
      </c>
      <c r="S9" s="95">
        <f>VLOOKUP(A9,'BSE ALL CAP'!$B$4:$Y$1038,18,)</f>
        <v>1.2295081967213115</v>
      </c>
      <c r="T9" s="95">
        <f>VLOOKUP(A9,'BSE ALL CAP'!$B$4:$Y$1038,19,)</f>
        <v>5</v>
      </c>
      <c r="U9" s="95">
        <f>VLOOKUP(A9,'BSE ALL CAP'!$B$4:$Y$1038,20,)</f>
        <v>-3.7704918032786887</v>
      </c>
      <c r="V9" s="95">
        <f>VLOOKUP(A9,'BSE ALL CAP'!$B$4:$Y$1038,21,)</f>
        <v>0.24137931034482762</v>
      </c>
      <c r="W9" s="95">
        <f>VLOOKUP(A9,'BSE ALL CAP'!$B$4:$Y$1038,22,)</f>
        <v>0.35036496350364965</v>
      </c>
      <c r="X9" s="95">
        <f>VLOOKUP(A9,'BSE ALL CAP'!$B$4:$Y$1038,23,)</f>
        <v>14.25</v>
      </c>
      <c r="Y9" s="95">
        <f>VLOOKUP(A9,'BSE ALL CAP'!$B$4:$Y$1038,24,)</f>
        <v>2.75</v>
      </c>
    </row>
    <row r="10" spans="1:25" ht="15.75" customHeight="1">
      <c r="A10" s="99">
        <v>532256</v>
      </c>
      <c r="B10" s="98" t="s">
        <v>3825</v>
      </c>
      <c r="C10" s="101" t="str">
        <f>VLOOKUP(A10,'BSE ALL CAP'!$B$4:$Y$1038,2,)</f>
        <v>Financial Services</v>
      </c>
      <c r="D10" s="101" t="str">
        <f>VLOOKUP(A10,'BSE ALL CAP'!$B$4:$Y$1038,3,)</f>
        <v>Investment Company</v>
      </c>
      <c r="E10" s="101">
        <f ca="1">IFERROR(__xludf.DUMMYFUNCTION("GOOGLEFINANCE(""BOM:""&amp;A10,""PRICE"")"),5270)</f>
        <v>5270</v>
      </c>
      <c r="F10" s="112">
        <f ca="1">IFERROR(__xludf.DUMMYFUNCTION("GOOGLEFINANCE(""BOM:""&amp;A10,""MARKETCAP"")/10000000"),2716.043641)</f>
        <v>2716.0436410000002</v>
      </c>
      <c r="G10" s="95">
        <f t="shared" ca="1" si="0"/>
        <v>7.2875255013827951E-3</v>
      </c>
      <c r="H10" s="101">
        <f>VLOOKUP(A10,'BSE ALL CAP'!$B$4:$Y$1038,7,)</f>
        <v>59</v>
      </c>
      <c r="I10" s="101">
        <f>VLOOKUP(A10,'BSE ALL CAP'!$B$4:$Y$1038,8,)</f>
        <v>80</v>
      </c>
      <c r="J10" s="101">
        <f>VLOOKUP(A10,'BSE ALL CAP'!$B$4:$Y$1038,9,)</f>
        <v>42</v>
      </c>
      <c r="K10" s="101">
        <f>VLOOKUP(A10,'BSE ALL CAP'!$B$4:$Y$1038,10,)</f>
        <v>59</v>
      </c>
      <c r="L10" s="101">
        <f>VLOOKUP(A10,'BSE ALL CAP'!$B$4:$Y$1038,11,)</f>
        <v>8</v>
      </c>
      <c r="M10" s="101">
        <f>VLOOKUP(A10,'BSE ALL CAP'!$B$4:$Y$1038,12,)</f>
        <v>8</v>
      </c>
      <c r="N10" s="101">
        <f>VLOOKUP(A10,'BSE ALL CAP'!$B$4:$Y$1038,13,)</f>
        <v>5</v>
      </c>
      <c r="O10" s="101">
        <f>VLOOKUP(A10,'BSE ALL CAP'!$B$4:$Y$1038,14,)</f>
        <v>5</v>
      </c>
      <c r="P10" s="95">
        <f>VLOOKUP(A10,'BSE ALL CAP'!$B$4:$Y$1038,15,)</f>
        <v>0.71186440677966101</v>
      </c>
      <c r="Q10" s="95">
        <f>VLOOKUP(A10,'BSE ALL CAP'!$B$4:$Y$1038,16,)</f>
        <v>0.73750000000000004</v>
      </c>
      <c r="R10" s="95">
        <f>VLOOKUP(A10,'BSE ALL CAP'!$B$4:$Y$1038,17,)</f>
        <v>-2.5635593220339037E-2</v>
      </c>
      <c r="S10" s="95">
        <f>VLOOKUP(A10,'BSE ALL CAP'!$B$4:$Y$1038,18,)</f>
        <v>0.625</v>
      </c>
      <c r="T10" s="95">
        <f>VLOOKUP(A10,'BSE ALL CAP'!$B$4:$Y$1038,19,)</f>
        <v>0.625</v>
      </c>
      <c r="U10" s="95">
        <f>VLOOKUP(A10,'BSE ALL CAP'!$B$4:$Y$1038,20,)</f>
        <v>0</v>
      </c>
      <c r="V10" s="95">
        <f>VLOOKUP(A10,'BSE ALL CAP'!$B$4:$Y$1038,21,)</f>
        <v>-0.26249999999999996</v>
      </c>
      <c r="W10" s="95">
        <f>VLOOKUP(A10,'BSE ALL CAP'!$B$4:$Y$1038,22,)</f>
        <v>-0.28813559322033899</v>
      </c>
      <c r="X10" s="95">
        <f>VLOOKUP(A10,'BSE ALL CAP'!$B$4:$Y$1038,23,)</f>
        <v>0</v>
      </c>
      <c r="Y10" s="95">
        <f>VLOOKUP(A10,'BSE ALL CAP'!$B$4:$Y$1038,24,)</f>
        <v>0</v>
      </c>
    </row>
    <row r="11" spans="1:25" ht="15.75" customHeight="1">
      <c r="A11" s="99">
        <v>503681</v>
      </c>
      <c r="B11" s="98" t="s">
        <v>3826</v>
      </c>
      <c r="C11" s="101"/>
      <c r="D11" s="101"/>
      <c r="E11" s="101">
        <f ca="1">IFERROR(__xludf.DUMMYFUNCTION("GOOGLEFINANCE(""BOM:""&amp;A11,""PRICE"")"),91500)</f>
        <v>91500</v>
      </c>
      <c r="F11" s="112">
        <f ca="1">IFERROR(__xludf.DUMMYFUNCTION("GOOGLEFINANCE(""BOM:""&amp;A11,""MARKETCAP"")/10000000"),1830)</f>
        <v>1830</v>
      </c>
      <c r="G11" s="95">
        <f t="shared" ca="1" si="0"/>
        <v>4.9101463121632195E-3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544142</v>
      </c>
      <c r="B12" s="98" t="s">
        <v>3827</v>
      </c>
      <c r="C12" s="101"/>
      <c r="D12" s="101"/>
      <c r="E12" s="101">
        <f ca="1">IFERROR(__xludf.DUMMYFUNCTION("GOOGLEFINANCE(""BOM:""&amp;A12,""PRICE"")"),40.1)</f>
        <v>40.1</v>
      </c>
      <c r="F12" s="112">
        <f ca="1">IFERROR(__xludf.DUMMYFUNCTION("GOOGLEFINANCE(""BOM:""&amp;A12,""MARKETCAP"")/10000000"),1861.7986598)</f>
        <v>1861.7986598</v>
      </c>
      <c r="G12" s="95">
        <f t="shared" ca="1" si="0"/>
        <v>4.995466570167975E-3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533302</v>
      </c>
      <c r="B13" s="98" t="s">
        <v>3828</v>
      </c>
      <c r="C13" s="101"/>
      <c r="D13" s="101"/>
      <c r="E13" s="101">
        <f ca="1">IFERROR(__xludf.DUMMYFUNCTION("GOOGLEFINANCE(""BOM:""&amp;A13,""PRICE"")"),4332.95)</f>
        <v>4332.95</v>
      </c>
      <c r="F13" s="112">
        <f ca="1">IFERROR(__xludf.DUMMYFUNCTION("GOOGLEFINANCE(""BOM:""&amp;A13,""MARKETCAP"")/10000000"),1891.6175303)</f>
        <v>1891.6175303</v>
      </c>
      <c r="G13" s="95">
        <f t="shared" ca="1" si="0"/>
        <v>5.0754747761889846E-3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533306</v>
      </c>
      <c r="B14" s="98" t="s">
        <v>3829</v>
      </c>
      <c r="C14" s="101"/>
      <c r="D14" s="101"/>
      <c r="E14" s="101">
        <f ca="1">IFERROR(__xludf.DUMMYFUNCTION("GOOGLEFINANCE(""BOM:""&amp;A14,""PRICE"")"),1544.15)</f>
        <v>1544.15</v>
      </c>
      <c r="F14" s="112">
        <f ca="1">IFERROR(__xludf.DUMMYFUNCTION("GOOGLEFINANCE(""BOM:""&amp;A14,""MARKETCAP"")/10000000"),1666.2534216)</f>
        <v>1666.2534215999999</v>
      </c>
      <c r="G14" s="95">
        <f t="shared" ca="1" si="0"/>
        <v>4.4707913077587898E-3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532366</v>
      </c>
      <c r="B15" s="98" t="s">
        <v>3830</v>
      </c>
      <c r="C15" s="101"/>
      <c r="D15" s="101"/>
      <c r="E15" s="101">
        <f ca="1">IFERROR(__xludf.DUMMYFUNCTION("GOOGLEFINANCE(""BOM:""&amp;A15,""PRICE"")"),65.75)</f>
        <v>65.75</v>
      </c>
      <c r="F15" s="112">
        <f ca="1">IFERROR(__xludf.DUMMYFUNCTION("GOOGLEFINANCE(""BOM:""&amp;A15,""MARKETCAP"")/10000000"),1182.666302)</f>
        <v>1182.6663020000001</v>
      </c>
      <c r="G15" s="95">
        <f t="shared" ca="1" si="0"/>
        <v>3.1732593340355261E-3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532624</v>
      </c>
      <c r="B16" s="98" t="s">
        <v>3831</v>
      </c>
      <c r="C16" s="101"/>
      <c r="D16" s="101"/>
      <c r="E16" s="101">
        <f ca="1">IFERROR(__xludf.DUMMYFUNCTION("GOOGLEFINANCE(""BOM:""&amp;A16,""PRICE"")"),1058.2)</f>
        <v>1058.2</v>
      </c>
      <c r="F16" s="112">
        <f ca="1">IFERROR(__xludf.DUMMYFUNCTION("GOOGLEFINANCE(""BOM:""&amp;A16,""MARKETCAP"")/10000000"),1087.3305783)</f>
        <v>1087.3305783000001</v>
      </c>
      <c r="G16" s="95">
        <f t="shared" ca="1" si="0"/>
        <v>2.9174602345038506E-3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536773</v>
      </c>
      <c r="B17" s="98" t="s">
        <v>3832</v>
      </c>
      <c r="C17" s="101"/>
      <c r="D17" s="101"/>
      <c r="E17" s="101">
        <f ca="1">IFERROR(__xludf.DUMMYFUNCTION("GOOGLEFINANCE(""BOM:""&amp;A17,""PRICE"")"),1074.7)</f>
        <v>1074.7</v>
      </c>
      <c r="F17" s="112">
        <f ca="1">IFERROR(__xludf.DUMMYFUNCTION("GOOGLEFINANCE(""BOM:""&amp;A17,""MARKETCAP"")/10000000"),1128.4556855)</f>
        <v>1128.4556855000001</v>
      </c>
      <c r="G17" s="95">
        <f t="shared" ca="1" si="0"/>
        <v>3.0278046571570729E-3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500439</v>
      </c>
      <c r="B18" s="98" t="s">
        <v>3833</v>
      </c>
      <c r="C18" s="101"/>
      <c r="D18" s="101"/>
      <c r="E18" s="101">
        <f ca="1">IFERROR(__xludf.DUMMYFUNCTION("GOOGLEFINANCE(""BOM:""&amp;A18,""PRICE"")"),3228)</f>
        <v>3228</v>
      </c>
      <c r="F18" s="112">
        <f ca="1">IFERROR(__xludf.DUMMYFUNCTION("GOOGLEFINANCE(""BOM:""&amp;A18,""MARKETCAP"")/10000000"),1028.9828305)</f>
        <v>1028.9828305000001</v>
      </c>
      <c r="G18" s="95">
        <f t="shared" ca="1" si="0"/>
        <v>2.7609050548955448E-3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533316</v>
      </c>
      <c r="B19" s="98" t="s">
        <v>3834</v>
      </c>
      <c r="C19" s="101"/>
      <c r="D19" s="101"/>
      <c r="E19" s="101">
        <f ca="1">IFERROR(__xludf.DUMMYFUNCTION("GOOGLEFINANCE(""BOM:""&amp;A19,""PRICE"")"),447.8)</f>
        <v>447.8</v>
      </c>
      <c r="F19" s="112">
        <f ca="1">IFERROR(__xludf.DUMMYFUNCTION("GOOGLEFINANCE(""BOM:""&amp;A19,""MARKETCAP"")/10000000"),826.7096655)</f>
        <v>826.70966550000003</v>
      </c>
      <c r="G19" s="95">
        <f t="shared" ca="1" si="0"/>
        <v>2.2181778225598436E-3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534328</v>
      </c>
      <c r="B20" s="98" t="s">
        <v>3835</v>
      </c>
      <c r="C20" s="101"/>
      <c r="D20" s="101"/>
      <c r="E20" s="101">
        <f ca="1">IFERROR(__xludf.DUMMYFUNCTION("GOOGLEFINANCE(""BOM:""&amp;A20,""PRICE"")"),170)</f>
        <v>170</v>
      </c>
      <c r="F20" s="112">
        <f ca="1">IFERROR(__xludf.DUMMYFUNCTION("GOOGLEFINANCE(""BOM:""&amp;A20,""MARKETCAP"")/10000000"),889.43967)</f>
        <v>889.43966999999998</v>
      </c>
      <c r="G20" s="95">
        <f t="shared" ca="1" si="0"/>
        <v>2.3864912106787818E-3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501298</v>
      </c>
      <c r="B21" s="98" t="s">
        <v>3836</v>
      </c>
      <c r="C21" s="101"/>
      <c r="D21" s="101"/>
      <c r="E21" s="101">
        <f ca="1">IFERROR(__xludf.DUMMYFUNCTION("GOOGLEFINANCE(""BOM:""&amp;A21,""PRICE"")"),5475.25)</f>
        <v>5475.25</v>
      </c>
      <c r="F21" s="112">
        <f ca="1">IFERROR(__xludf.DUMMYFUNCTION("GOOGLEFINANCE(""BOM:""&amp;A21,""MARKETCAP"")/10000000"),917.564296)</f>
        <v>917.56429600000001</v>
      </c>
      <c r="G21" s="95">
        <f t="shared" ca="1" si="0"/>
        <v>2.4619535214082189E-3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511333</v>
      </c>
      <c r="B22" s="98" t="s">
        <v>3837</v>
      </c>
      <c r="C22" s="101"/>
      <c r="D22" s="101"/>
      <c r="E22" s="101">
        <f ca="1">IFERROR(__xludf.DUMMYFUNCTION("GOOGLEFINANCE(""BOM:""&amp;A22,""PRICE"")"),217.55)</f>
        <v>217.55</v>
      </c>
      <c r="F22" s="112">
        <f ca="1">IFERROR(__xludf.DUMMYFUNCTION("GOOGLEFINANCE(""BOM:""&amp;A22,""MARKETCAP"")/10000000"),687.7574468)</f>
        <v>687.75744680000003</v>
      </c>
      <c r="G22" s="95">
        <f t="shared" ca="1" si="0"/>
        <v>1.845349557960553E-3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543898</v>
      </c>
      <c r="B23" s="98" t="s">
        <v>3838</v>
      </c>
      <c r="C23" s="101"/>
      <c r="D23" s="101"/>
      <c r="E23" s="101">
        <f ca="1">IFERROR(__xludf.DUMMYFUNCTION("GOOGLEFINANCE(""BOM:""&amp;A23,""PRICE"")"),166.15)</f>
        <v>166.15</v>
      </c>
      <c r="F23" s="112">
        <f ca="1">IFERROR(__xludf.DUMMYFUNCTION("GOOGLEFINANCE(""BOM:""&amp;A23,""MARKETCAP"")/10000000"),689.9244238)</f>
        <v>689.9244238</v>
      </c>
      <c r="G23" s="95">
        <f t="shared" ca="1" si="0"/>
        <v>1.8511638607611499E-3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539290</v>
      </c>
      <c r="B24" s="98" t="s">
        <v>3839</v>
      </c>
      <c r="C24" s="101"/>
      <c r="D24" s="101"/>
      <c r="E24" s="101">
        <f ca="1">IFERROR(__xludf.DUMMYFUNCTION("GOOGLEFINANCE(""BOM:""&amp;A24,""PRICE"")"),24.35)</f>
        <v>24.35</v>
      </c>
      <c r="F24" s="112">
        <f ca="1">IFERROR(__xludf.DUMMYFUNCTION("GOOGLEFINANCE(""BOM:""&amp;A24,""MARKETCAP"")/10000000"),589.8906)</f>
        <v>589.89059999999995</v>
      </c>
      <c r="G24" s="95">
        <f t="shared" ca="1" si="0"/>
        <v>1.5827591006392068E-3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538716</v>
      </c>
      <c r="B25" s="98" t="s">
        <v>3840</v>
      </c>
      <c r="C25" s="101"/>
      <c r="D25" s="101"/>
      <c r="E25" s="101">
        <f ca="1">IFERROR(__xludf.DUMMYFUNCTION("GOOGLEFINANCE(""BOM:""&amp;A25,""PRICE"")"),450)</f>
        <v>450</v>
      </c>
      <c r="F25" s="112">
        <f ca="1">IFERROR(__xludf.DUMMYFUNCTION("GOOGLEFINANCE(""BOM:""&amp;A25,""MARKETCAP"")/10000000"),538.9704)</f>
        <v>538.97040000000004</v>
      </c>
      <c r="G25" s="95">
        <f t="shared" ca="1" si="0"/>
        <v>1.4461330720902379E-3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533315</v>
      </c>
      <c r="B26" s="98" t="s">
        <v>3841</v>
      </c>
      <c r="C26" s="101"/>
      <c r="D26" s="101"/>
      <c r="E26" s="101">
        <f ca="1">IFERROR(__xludf.DUMMYFUNCTION("GOOGLEFINANCE(""BOM:""&amp;A26,""PRICE"")"),74)</f>
        <v>74</v>
      </c>
      <c r="F26" s="112">
        <f ca="1">IFERROR(__xludf.DUMMYFUNCTION("GOOGLEFINANCE(""BOM:""&amp;A26,""MARKETCAP"")/10000000"),569.642366)</f>
        <v>569.64236600000004</v>
      </c>
      <c r="G26" s="95">
        <f t="shared" ca="1" si="0"/>
        <v>1.5284302528234051E-3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521194</v>
      </c>
      <c r="B27" s="98" t="s">
        <v>3842</v>
      </c>
      <c r="C27" s="101"/>
      <c r="D27" s="101"/>
      <c r="E27" s="101">
        <f ca="1">IFERROR(__xludf.DUMMYFUNCTION("GOOGLEFINANCE(""BOM:""&amp;A27,""PRICE"")"),398)</f>
        <v>398</v>
      </c>
      <c r="F27" s="112">
        <f ca="1">IFERROR(__xludf.DUMMYFUNCTION("GOOGLEFINANCE(""BOM:""&amp;A27,""MARKETCAP"")/10000000"),426.2714348)</f>
        <v>426.27143480000001</v>
      </c>
      <c r="G27" s="95">
        <f t="shared" ca="1" si="0"/>
        <v>1.1437459636960351E-3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533252</v>
      </c>
      <c r="B28" s="98" t="s">
        <v>3843</v>
      </c>
      <c r="C28" s="101"/>
      <c r="D28" s="101"/>
      <c r="E28" s="101">
        <f ca="1">IFERROR(__xludf.DUMMYFUNCTION("GOOGLEFINANCE(""BOM:""&amp;A28,""PRICE"")"),1253.7)</f>
        <v>1253.7</v>
      </c>
      <c r="F28" s="112">
        <f ca="1">IFERROR(__xludf.DUMMYFUNCTION("GOOGLEFINANCE(""BOM:""&amp;A28,""MARKETCAP"")/10000000"),469.2532016)</f>
        <v>469.25320160000001</v>
      </c>
      <c r="G28" s="95">
        <f t="shared" ca="1" si="0"/>
        <v>1.2590720641021988E-3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532952</v>
      </c>
      <c r="B29" s="98" t="s">
        <v>3844</v>
      </c>
      <c r="C29" s="101"/>
      <c r="D29" s="101"/>
      <c r="E29" s="101">
        <f ca="1">IFERROR(__xludf.DUMMYFUNCTION("GOOGLEFINANCE(""BOM:""&amp;A29,""PRICE"")"),221)</f>
        <v>221</v>
      </c>
      <c r="F29" s="112">
        <f ca="1">IFERROR(__xludf.DUMMYFUNCTION("GOOGLEFINANCE(""BOM:""&amp;A29,""MARKETCAP"")/10000000"),371.5135698)</f>
        <v>371.51356980000003</v>
      </c>
      <c r="G29" s="95">
        <f t="shared" ca="1" si="0"/>
        <v>9.9682294244375028E-4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514238</v>
      </c>
      <c r="B30" s="98" t="s">
        <v>3845</v>
      </c>
      <c r="C30" s="101"/>
      <c r="D30" s="101"/>
      <c r="E30" s="101">
        <f ca="1">IFERROR(__xludf.DUMMYFUNCTION("GOOGLEFINANCE(""BOM:""&amp;A30,""PRICE"")"),830)</f>
        <v>830</v>
      </c>
      <c r="F30" s="112">
        <f ca="1">IFERROR(__xludf.DUMMYFUNCTION("GOOGLEFINANCE(""BOM:""&amp;A30,""MARKETCAP"")/10000000"),310.7622)</f>
        <v>310.76220000000001</v>
      </c>
      <c r="G30" s="95">
        <f t="shared" ca="1" si="0"/>
        <v>8.3381850835504312E-4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500298</v>
      </c>
      <c r="B31" s="98" t="s">
        <v>3846</v>
      </c>
      <c r="C31" s="101"/>
      <c r="D31" s="101"/>
      <c r="E31" s="101">
        <f ca="1">IFERROR(__xludf.DUMMYFUNCTION("GOOGLEFINANCE(""BOM:""&amp;A31,""PRICE"")"),560.05)</f>
        <v>560.04999999999995</v>
      </c>
      <c r="F31" s="112">
        <f ca="1">IFERROR(__xludf.DUMMYFUNCTION("GOOGLEFINANCE(""BOM:""&amp;A31,""MARKETCAP"")/10000000"),321.8606719)</f>
        <v>321.8606719</v>
      </c>
      <c r="G31" s="95">
        <f t="shared" ca="1" si="0"/>
        <v>8.6359726292904975E-4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501295</v>
      </c>
      <c r="B32" s="98" t="s">
        <v>3847</v>
      </c>
      <c r="C32" s="101"/>
      <c r="D32" s="101"/>
      <c r="E32" s="101">
        <f ca="1">IFERROR(__xludf.DUMMYFUNCTION("GOOGLEFINANCE(""BOM:""&amp;A32,""PRICE"")"),132.35)</f>
        <v>132.35</v>
      </c>
      <c r="F32" s="112">
        <f ca="1">IFERROR(__xludf.DUMMYFUNCTION("GOOGLEFINANCE(""BOM:""&amp;A32,""MARKETCAP"")/10000000"),298.5068806)</f>
        <v>298.50688059999999</v>
      </c>
      <c r="G32" s="95">
        <f t="shared" ca="1" si="0"/>
        <v>8.0093576990898164E-4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500143</v>
      </c>
      <c r="B33" s="98" t="s">
        <v>3848</v>
      </c>
      <c r="C33" s="101"/>
      <c r="D33" s="101"/>
      <c r="E33" s="101">
        <f ca="1">IFERROR(__xludf.DUMMYFUNCTION("GOOGLEFINANCE(""BOM:""&amp;A33,""PRICE"")"),620)</f>
        <v>620</v>
      </c>
      <c r="F33" s="112">
        <f ca="1">IFERROR(__xludf.DUMMYFUNCTION("GOOGLEFINANCE(""BOM:""&amp;A33,""MARKETCAP"")/10000000"),186.006138)</f>
        <v>186.00613799999999</v>
      </c>
      <c r="G33" s="95">
        <f t="shared" ca="1" si="0"/>
        <v>4.9908052051389224E-4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530197</v>
      </c>
      <c r="B34" s="98" t="s">
        <v>3849</v>
      </c>
      <c r="C34" s="101"/>
      <c r="D34" s="101"/>
      <c r="E34" s="101">
        <f ca="1">IFERROR(__xludf.DUMMYFUNCTION("GOOGLEFINANCE(""BOM:""&amp;A34,""PRICE"")"),406.6)</f>
        <v>406.6</v>
      </c>
      <c r="F34" s="112">
        <f ca="1">IFERROR(__xludf.DUMMYFUNCTION("GOOGLEFINANCE(""BOM:""&amp;A34,""MARKETCAP"")/10000000"),305.9275)</f>
        <v>305.92750000000001</v>
      </c>
      <c r="G34" s="95">
        <f t="shared" ca="1" si="0"/>
        <v>8.2084633110071767E-4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538451</v>
      </c>
      <c r="B35" s="98" t="s">
        <v>3850</v>
      </c>
      <c r="C35" s="101"/>
      <c r="D35" s="101"/>
      <c r="E35" s="101">
        <f ca="1">IFERROR(__xludf.DUMMYFUNCTION("GOOGLEFINANCE(""BOM:""&amp;A35,""PRICE"")"),2.44)</f>
        <v>2.44</v>
      </c>
      <c r="F35" s="112">
        <f ca="1">IFERROR(__xludf.DUMMYFUNCTION("GOOGLEFINANCE(""BOM:""&amp;A35,""MARKETCAP"")/10000000"),90.4549257)</f>
        <v>90.454925700000004</v>
      </c>
      <c r="G35" s="95">
        <f t="shared" ca="1" si="0"/>
        <v>2.4270323488680495E-4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512493</v>
      </c>
      <c r="B36" s="98" t="s">
        <v>3851</v>
      </c>
      <c r="C36" s="101"/>
      <c r="D36" s="101"/>
      <c r="E36" s="101">
        <f ca="1">IFERROR(__xludf.DUMMYFUNCTION("GOOGLEFINANCE(""BOM:""&amp;A36,""PRICE"")"),47)</f>
        <v>47</v>
      </c>
      <c r="F36" s="112">
        <f ca="1">IFERROR(__xludf.DUMMYFUNCTION("GOOGLEFINANCE(""BOM:""&amp;A36,""MARKETCAP"")/10000000"),92.284453)</f>
        <v>92.284452999999999</v>
      </c>
      <c r="G36" s="95">
        <f t="shared" ca="1" si="0"/>
        <v>2.476121128786612E-4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503663</v>
      </c>
      <c r="B37" s="98" t="s">
        <v>3852</v>
      </c>
      <c r="C37" s="101"/>
      <c r="D37" s="101"/>
      <c r="E37" s="101">
        <f ca="1">IFERROR(__xludf.DUMMYFUNCTION("GOOGLEFINANCE(""BOM:""&amp;A37,""PRICE"")"),0.91)</f>
        <v>0.91</v>
      </c>
      <c r="F37" s="112">
        <f ca="1">IFERROR(__xludf.DUMMYFUNCTION("GOOGLEFINANCE(""BOM:""&amp;A37,""MARKETCAP"")/10000000"),121.6751025)</f>
        <v>121.67510249999999</v>
      </c>
      <c r="G37" s="95">
        <f t="shared" ca="1" si="0"/>
        <v>3.2647134197948455E-4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532056</v>
      </c>
      <c r="B38" s="98" t="s">
        <v>3853</v>
      </c>
      <c r="C38" s="101"/>
      <c r="D38" s="101"/>
      <c r="E38" s="101">
        <f ca="1">IFERROR(__xludf.DUMMYFUNCTION("GOOGLEFINANCE(""BOM:""&amp;A38,""PRICE"")"),151.05)</f>
        <v>151.05000000000001</v>
      </c>
      <c r="F38" s="112">
        <f ca="1">IFERROR(__xludf.DUMMYFUNCTION("GOOGLEFINANCE(""BOM:""&amp;A38,""MARKETCAP"")/10000000"),137.8206)</f>
        <v>137.82060000000001</v>
      </c>
      <c r="G38" s="95">
        <f t="shared" ca="1" si="0"/>
        <v>3.6979197313121435E-4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509051</v>
      </c>
      <c r="B39" s="98" t="s">
        <v>3854</v>
      </c>
      <c r="C39" s="101"/>
      <c r="D39" s="101"/>
      <c r="E39" s="101">
        <f ca="1">IFERROR(__xludf.DUMMYFUNCTION("GOOGLEFINANCE(""BOM:""&amp;A39,""PRICE"")"),0.59)</f>
        <v>0.59</v>
      </c>
      <c r="F39" s="112">
        <f ca="1">IFERROR(__xludf.DUMMYFUNCTION("GOOGLEFINANCE(""BOM:""&amp;A39,""MARKETCAP"")/10000000"),98.7903036)</f>
        <v>98.790303600000001</v>
      </c>
      <c r="G39" s="95">
        <f t="shared" ca="1" si="0"/>
        <v>2.6506822125629771E-4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532855</v>
      </c>
      <c r="B40" s="98" t="s">
        <v>3855</v>
      </c>
      <c r="C40" s="101"/>
      <c r="D40" s="101"/>
      <c r="E40" s="101">
        <f ca="1">IFERROR(__xludf.DUMMYFUNCTION("GOOGLEFINANCE(""BOM:""&amp;A40,""PRICE"")"),137.95)</f>
        <v>137.94999999999999</v>
      </c>
      <c r="F40" s="112">
        <f ca="1">IFERROR(__xludf.DUMMYFUNCTION("GOOGLEFINANCE(""BOM:""&amp;A40,""MARKETCAP"")/10000000"),71.8537528)</f>
        <v>71.853752799999995</v>
      </c>
      <c r="G40" s="95">
        <f t="shared" ca="1" si="0"/>
        <v>1.9279368269180743E-4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521246</v>
      </c>
      <c r="B41" s="98" t="s">
        <v>3856</v>
      </c>
      <c r="C41" s="101"/>
      <c r="D41" s="101"/>
      <c r="E41" s="101">
        <f ca="1">IFERROR(__xludf.DUMMYFUNCTION("GOOGLEFINANCE(""BOM:""&amp;A41,""PRICE"")"),2.44)</f>
        <v>2.44</v>
      </c>
      <c r="F41" s="112">
        <f ca="1">IFERROR(__xludf.DUMMYFUNCTION("GOOGLEFINANCE(""BOM:""&amp;A41,""MARKETCAP"")/10000000"),80.5472397)</f>
        <v>80.547239700000006</v>
      </c>
      <c r="G41" s="95">
        <f t="shared" ca="1" si="0"/>
        <v>2.1611952566550924E-4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532290</v>
      </c>
      <c r="B42" s="98" t="s">
        <v>3857</v>
      </c>
      <c r="C42" s="101"/>
      <c r="D42" s="101"/>
      <c r="E42" s="101">
        <f ca="1">IFERROR(__xludf.DUMMYFUNCTION("GOOGLEFINANCE(""BOM:""&amp;A42,""PRICE"")"),16.8)</f>
        <v>16.8</v>
      </c>
      <c r="F42" s="112">
        <f ca="1">IFERROR(__xludf.DUMMYFUNCTION("GOOGLEFINANCE(""BOM:""&amp;A42,""MARKETCAP"")/10000000"),87.7589624)</f>
        <v>87.758962400000001</v>
      </c>
      <c r="G42" s="95">
        <f t="shared" ca="1" si="0"/>
        <v>2.3546958775280363E-4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4.4">
      <c r="A43" s="99">
        <v>509053</v>
      </c>
      <c r="B43" s="98" t="s">
        <v>3858</v>
      </c>
      <c r="C43" s="101"/>
      <c r="D43" s="101"/>
      <c r="E43" s="101">
        <f ca="1">IFERROR(__xludf.DUMMYFUNCTION("GOOGLEFINANCE(""BOM:""&amp;A43,""PRICE"")"),5.53)</f>
        <v>5.53</v>
      </c>
      <c r="F43" s="112">
        <f ca="1">IFERROR(__xludf.DUMMYFUNCTION("GOOGLEFINANCE(""BOM:""&amp;A43,""MARKETCAP"")/10000000"),49.5364533)</f>
        <v>49.536453299999998</v>
      </c>
      <c r="G43" s="95">
        <f t="shared" ca="1" si="0"/>
        <v>1.3291324234351943E-4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4.4">
      <c r="A44" s="99">
        <v>516092</v>
      </c>
      <c r="B44" s="98" t="s">
        <v>3859</v>
      </c>
      <c r="C44" s="101"/>
      <c r="D44" s="101"/>
      <c r="E44" s="101">
        <f ca="1">IFERROR(__xludf.DUMMYFUNCTION("GOOGLEFINANCE(""BOM:""&amp;A44,""PRICE"")"),31.06)</f>
        <v>31.06</v>
      </c>
      <c r="F44" s="112">
        <f ca="1">IFERROR(__xludf.DUMMYFUNCTION("GOOGLEFINANCE(""BOM:""&amp;A44,""MARKETCAP"")/10000000"),59.2019989)</f>
        <v>59.2019989</v>
      </c>
      <c r="G44" s="95">
        <f t="shared" ca="1" si="0"/>
        <v>1.5884725495711802E-4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4.4">
      <c r="A45" s="99">
        <v>539697</v>
      </c>
      <c r="B45" s="98" t="s">
        <v>3860</v>
      </c>
      <c r="C45" s="101"/>
      <c r="D45" s="101"/>
      <c r="E45" s="101">
        <f ca="1">IFERROR(__xludf.DUMMYFUNCTION("GOOGLEFINANCE(""BOM:""&amp;A45,""PRICE"")"),49.98)</f>
        <v>49.98</v>
      </c>
      <c r="F45" s="112">
        <f ca="1">IFERROR(__xludf.DUMMYFUNCTION("GOOGLEFINANCE(""BOM:""&amp;A45,""MARKETCAP"")/10000000"),50.2025)</f>
        <v>50.202500000000001</v>
      </c>
      <c r="G45" s="95">
        <f t="shared" ca="1" si="0"/>
        <v>1.3470033892698033E-4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538556</v>
      </c>
      <c r="B46" s="98" t="s">
        <v>3861</v>
      </c>
      <c r="C46" s="101"/>
      <c r="D46" s="101"/>
      <c r="E46" s="101">
        <f ca="1">IFERROR(__xludf.DUMMYFUNCTION("GOOGLEFINANCE(""BOM:""&amp;A46,""PRICE"")"),107.5)</f>
        <v>107.5</v>
      </c>
      <c r="F46" s="112">
        <f ca="1">IFERROR(__xludf.DUMMYFUNCTION("GOOGLEFINANCE(""BOM:""&amp;A46,""MARKETCAP"")/10000000"),56.0128642)</f>
        <v>56.012864200000003</v>
      </c>
      <c r="G46" s="95">
        <f t="shared" ca="1" si="0"/>
        <v>1.5029035988269358E-4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4.4">
      <c r="A47" s="99">
        <v>539217</v>
      </c>
      <c r="B47" s="98" t="s">
        <v>3862</v>
      </c>
      <c r="C47" s="101"/>
      <c r="D47" s="101"/>
      <c r="E47" s="101">
        <f ca="1">IFERROR(__xludf.DUMMYFUNCTION("GOOGLEFINANCE(""BOM:""&amp;A47,""PRICE"")"),0.23)</f>
        <v>0.23</v>
      </c>
      <c r="F47" s="112">
        <f ca="1">IFERROR(__xludf.DUMMYFUNCTION("GOOGLEFINANCE(""BOM:""&amp;A47,""MARKETCAP"")/10000000"),37.7200006)</f>
        <v>37.720000599999999</v>
      </c>
      <c r="G47" s="95">
        <f t="shared" ca="1" si="0"/>
        <v>1.0120804472179477E-4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4.4">
      <c r="A48" s="99">
        <v>511525</v>
      </c>
      <c r="B48" s="98" t="s">
        <v>3863</v>
      </c>
      <c r="C48" s="101"/>
      <c r="D48" s="101"/>
      <c r="E48" s="101">
        <f ca="1">IFERROR(__xludf.DUMMYFUNCTION("GOOGLEFINANCE(""BOM:""&amp;A48,""PRICE"")"),1.7)</f>
        <v>1.7</v>
      </c>
      <c r="F48" s="112">
        <f ca="1">IFERROR(__xludf.DUMMYFUNCTION("GOOGLEFINANCE(""BOM:""&amp;A48,""MARKETCAP"")/10000000"),36.423589)</f>
        <v>36.423589</v>
      </c>
      <c r="G48" s="95">
        <f t="shared" ca="1" si="0"/>
        <v>9.7729590821911915E-5</v>
      </c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ht="14.4">
      <c r="A49" s="99">
        <v>532123</v>
      </c>
      <c r="B49" s="98" t="s">
        <v>3864</v>
      </c>
      <c r="C49" s="101"/>
      <c r="D49" s="101"/>
      <c r="E49" s="101">
        <f ca="1">IFERROR(__xludf.DUMMYFUNCTION("GOOGLEFINANCE(""BOM:""&amp;A49,""PRICE"")"),4.06)</f>
        <v>4.0599999999999996</v>
      </c>
      <c r="F49" s="112">
        <f ca="1">IFERROR(__xludf.DUMMYFUNCTION("GOOGLEFINANCE(""BOM:""&amp;A49,""MARKETCAP"")/10000000"),35.1664284)</f>
        <v>35.166428400000001</v>
      </c>
      <c r="G49" s="95">
        <f t="shared" ca="1" si="0"/>
        <v>9.4356452852574819E-5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4.4">
      <c r="A50" s="99">
        <v>511012</v>
      </c>
      <c r="B50" s="98" t="s">
        <v>3865</v>
      </c>
      <c r="C50" s="101"/>
      <c r="D50" s="101"/>
      <c r="E50" s="101">
        <f ca="1">IFERROR(__xludf.DUMMYFUNCTION("GOOGLEFINANCE(""BOM:""&amp;A50,""PRICE"")"),0.68)</f>
        <v>0.68</v>
      </c>
      <c r="F50" s="112">
        <f ca="1">IFERROR(__xludf.DUMMYFUNCTION("GOOGLEFINANCE(""BOM:""&amp;A50,""MARKETCAP"")/10000000"),35.7493955)</f>
        <v>35.749395499999999</v>
      </c>
      <c r="G50" s="95">
        <f t="shared" ca="1" si="0"/>
        <v>9.5920635232999668E-5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4.4">
      <c r="A51" s="99">
        <v>532895</v>
      </c>
      <c r="B51" s="98" t="s">
        <v>3866</v>
      </c>
      <c r="C51" s="101"/>
      <c r="D51" s="101"/>
      <c r="E51" s="101">
        <f ca="1">IFERROR(__xludf.DUMMYFUNCTION("GOOGLEFINANCE(""BOM:""&amp;A51,""PRICE"")"),22.99)</f>
        <v>22.99</v>
      </c>
      <c r="F51" s="112">
        <f ca="1">IFERROR(__xludf.DUMMYFUNCTION("GOOGLEFINANCE(""BOM:""&amp;A51,""MARKETCAP"")/10000000"),28.5484002)</f>
        <v>28.5484002</v>
      </c>
      <c r="G51" s="95">
        <f t="shared" ca="1" si="0"/>
        <v>7.6599356262398749E-5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4.4">
      <c r="A52" s="99">
        <v>519224</v>
      </c>
      <c r="B52" s="98" t="s">
        <v>3867</v>
      </c>
      <c r="C52" s="101"/>
      <c r="D52" s="101"/>
      <c r="E52" s="101">
        <f ca="1">IFERROR(__xludf.DUMMYFUNCTION("GOOGLEFINANCE(""BOM:""&amp;A52,""PRICE"")"),23.76)</f>
        <v>23.76</v>
      </c>
      <c r="F52" s="112">
        <f ca="1">IFERROR(__xludf.DUMMYFUNCTION("GOOGLEFINANCE(""BOM:""&amp;A52,""MARKETCAP"")/10000000"),26.788301)</f>
        <v>26.788301000000001</v>
      </c>
      <c r="G52" s="95">
        <f t="shared" ca="1" si="0"/>
        <v>7.1876763587031849E-5</v>
      </c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ht="14.4">
      <c r="A53" s="99">
        <v>506105</v>
      </c>
      <c r="B53" s="98" t="s">
        <v>3868</v>
      </c>
      <c r="C53" s="101"/>
      <c r="D53" s="101"/>
      <c r="E53" s="101">
        <f ca="1">IFERROR(__xludf.DUMMYFUNCTION("GOOGLEFINANCE(""BOM:""&amp;A53,""PRICE"")"),61.6)</f>
        <v>61.6</v>
      </c>
      <c r="F53" s="112">
        <f ca="1">IFERROR(__xludf.DUMMYFUNCTION("GOOGLEFINANCE(""BOM:""&amp;A53,""MARKETCAP"")/10000000"),24.4423865)</f>
        <v>24.442386500000001</v>
      </c>
      <c r="G53" s="95">
        <f t="shared" ca="1" si="0"/>
        <v>6.5582346411717531E-5</v>
      </c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ht="14.4">
      <c r="A54" s="99">
        <v>511074</v>
      </c>
      <c r="B54" s="98" t="s">
        <v>3869</v>
      </c>
      <c r="C54" s="101"/>
      <c r="D54" s="101"/>
      <c r="E54" s="101">
        <f ca="1">IFERROR(__xludf.DUMMYFUNCTION("GOOGLEFINANCE(""BOM:""&amp;A54,""PRICE"")"),990)</f>
        <v>990</v>
      </c>
      <c r="F54" s="112">
        <f ca="1">IFERROR(__xludf.DUMMYFUNCTION("GOOGLEFINANCE(""BOM:""&amp;A54,""MARKETCAP"")/10000000"),24.255)</f>
        <v>24.254999999999999</v>
      </c>
      <c r="G54" s="95">
        <f t="shared" ca="1" si="0"/>
        <v>6.5079562186622347E-5</v>
      </c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ht="14.4">
      <c r="A55" s="99">
        <v>507968</v>
      </c>
      <c r="B55" s="98" t="s">
        <v>3870</v>
      </c>
      <c r="C55" s="101"/>
      <c r="D55" s="101"/>
      <c r="E55" s="101">
        <f ca="1">IFERROR(__xludf.DUMMYFUNCTION("GOOGLEFINANCE(""BOM:""&amp;A55,""PRICE"")"),21.68)</f>
        <v>21.68</v>
      </c>
      <c r="F55" s="112">
        <f ca="1">IFERROR(__xludf.DUMMYFUNCTION("GOOGLEFINANCE(""BOM:""&amp;A55,""MARKETCAP"")/10000000"),14.47444)</f>
        <v>14.47444</v>
      </c>
      <c r="G55" s="95">
        <f t="shared" ca="1" si="0"/>
        <v>3.8836949828758355E-5</v>
      </c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ht="14.4">
      <c r="A56" s="99">
        <v>539091</v>
      </c>
      <c r="B56" s="98" t="s">
        <v>3871</v>
      </c>
      <c r="C56" s="101"/>
      <c r="D56" s="101"/>
      <c r="E56" s="101">
        <f ca="1">IFERROR(__xludf.DUMMYFUNCTION("GOOGLEFINANCE(""BOM:""&amp;A56,""PRICE"")"),0.76)</f>
        <v>0.76</v>
      </c>
      <c r="F56" s="112">
        <f ca="1">IFERROR(__xludf.DUMMYFUNCTION("GOOGLEFINANCE(""BOM:""&amp;A56,""MARKETCAP"")/10000000"),12.1713998)</f>
        <v>12.1713998</v>
      </c>
      <c r="G56" s="95">
        <f t="shared" ca="1" si="0"/>
        <v>3.265757040537385E-5</v>
      </c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ht="14.4">
      <c r="A57" s="99">
        <v>538422</v>
      </c>
      <c r="B57" s="98" t="s">
        <v>3872</v>
      </c>
      <c r="C57" s="101"/>
      <c r="D57" s="101"/>
      <c r="E57" s="101">
        <f ca="1">IFERROR(__xludf.DUMMYFUNCTION("GOOGLEFINANCE(""BOM:""&amp;A57,""PRICE"")"),0.42)</f>
        <v>0.42</v>
      </c>
      <c r="F57" s="112">
        <f ca="1">IFERROR(__xludf.DUMMYFUNCTION("GOOGLEFINANCE(""BOM:""&amp;A57,""MARKETCAP"")/10000000"),12.2097356)</f>
        <v>12.2097356</v>
      </c>
      <c r="G57" s="95">
        <f t="shared" ca="1" si="0"/>
        <v>3.2760430726135509E-5</v>
      </c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ht="14.4">
      <c r="A58" s="99">
        <v>531936</v>
      </c>
      <c r="B58" s="98" t="s">
        <v>3873</v>
      </c>
      <c r="C58" s="101"/>
      <c r="D58" s="101"/>
      <c r="E58" s="101">
        <f ca="1">IFERROR(__xludf.DUMMYFUNCTION("GOOGLEFINANCE(""BOM:""&amp;A58,""PRICE"")"),3.2)</f>
        <v>3.2</v>
      </c>
      <c r="F58" s="112">
        <f ca="1">IFERROR(__xludf.DUMMYFUNCTION("GOOGLEFINANCE(""BOM:""&amp;A58,""MARKETCAP"")/10000000"),13.3836507)</f>
        <v>13.3836507</v>
      </c>
      <c r="G58" s="95">
        <f t="shared" ca="1" si="0"/>
        <v>3.5910209359500378E-5</v>
      </c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ht="14.4">
      <c r="A59" s="99">
        <v>539947</v>
      </c>
      <c r="B59" s="98" t="s">
        <v>3874</v>
      </c>
      <c r="C59" s="101"/>
      <c r="D59" s="101"/>
      <c r="E59" s="101">
        <f ca="1">IFERROR(__xludf.DUMMYFUNCTION("GOOGLEFINANCE(""BOM:""&amp;A59,""PRICE"")"),62.69)</f>
        <v>62.69</v>
      </c>
      <c r="F59" s="112">
        <f ca="1">IFERROR(__xludf.DUMMYFUNCTION("GOOGLEFINANCE(""BOM:""&amp;A59,""MARKETCAP"")/10000000"),18.86279)</f>
        <v>18.86279</v>
      </c>
      <c r="G59" s="95">
        <f t="shared" ca="1" si="0"/>
        <v>5.0611507516726372E-5</v>
      </c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ht="14.4">
      <c r="A60" s="99">
        <v>501148</v>
      </c>
      <c r="B60" s="98" t="s">
        <v>3875</v>
      </c>
      <c r="C60" s="101"/>
      <c r="D60" s="101"/>
      <c r="E60" s="101">
        <f ca="1">IFERROR(__xludf.DUMMYFUNCTION("GOOGLEFINANCE(""BOM:""&amp;A60,""PRICE"")"),324.5)</f>
        <v>324.5</v>
      </c>
      <c r="F60" s="112">
        <f ca="1">IFERROR(__xludf.DUMMYFUNCTION("GOOGLEFINANCE(""BOM:""&amp;A60,""MARKETCAP"")/10000000"),10.224148)</f>
        <v>10.224148</v>
      </c>
      <c r="G60" s="95">
        <f t="shared" ca="1" si="0"/>
        <v>2.7432821091372107E-5</v>
      </c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ht="14.4">
      <c r="A61" s="99">
        <v>511611</v>
      </c>
      <c r="B61" s="98" t="s">
        <v>3876</v>
      </c>
      <c r="C61" s="101"/>
      <c r="D61" s="101"/>
      <c r="E61" s="101">
        <f ca="1">IFERROR(__xludf.DUMMYFUNCTION("GOOGLEFINANCE(""BOM:""&amp;A61,""PRICE"")"),4.93)</f>
        <v>4.93</v>
      </c>
      <c r="F61" s="112">
        <f ca="1">IFERROR(__xludf.DUMMYFUNCTION("GOOGLEFINANCE(""BOM:""&amp;A61,""MARKETCAP"")/10000000"),10.8612283)</f>
        <v>10.861228300000001</v>
      </c>
      <c r="G61" s="95">
        <f t="shared" ca="1" si="0"/>
        <v>2.9142196766561639E-5</v>
      </c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</row>
    <row r="62" spans="1:25" ht="14.4">
      <c r="A62" s="99">
        <v>539123</v>
      </c>
      <c r="B62" s="98" t="s">
        <v>3877</v>
      </c>
      <c r="C62" s="101"/>
      <c r="D62" s="101"/>
      <c r="E62" s="101">
        <f ca="1">IFERROR(__xludf.DUMMYFUNCTION("GOOGLEFINANCE(""BOM:""&amp;A62,""PRICE"")"),5.11)</f>
        <v>5.1100000000000003</v>
      </c>
      <c r="F62" s="112">
        <f ca="1">IFERROR(__xludf.DUMMYFUNCTION("GOOGLEFINANCE(""BOM:""&amp;A62,""MARKETCAP"")/10000000"),6.6981575)</f>
        <v>6.6981574999999998</v>
      </c>
      <c r="G62" s="95">
        <f t="shared" ca="1" si="0"/>
        <v>1.7972094725089294E-5</v>
      </c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</row>
    <row r="63" spans="1:25" ht="14.4">
      <c r="A63" s="99">
        <v>539265</v>
      </c>
      <c r="B63" s="98" t="s">
        <v>3878</v>
      </c>
      <c r="C63" s="101"/>
      <c r="D63" s="101"/>
      <c r="E63" s="101">
        <f ca="1">IFERROR(__xludf.DUMMYFUNCTION("GOOGLEFINANCE(""BOM:""&amp;A63,""PRICE"")"),12.72)</f>
        <v>12.72</v>
      </c>
      <c r="F63" s="112"/>
      <c r="G63" s="95">
        <f t="shared" ca="1" si="0"/>
        <v>0</v>
      </c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</row>
    <row r="64" spans="1:25" ht="14.4">
      <c r="A64" s="99">
        <v>503689</v>
      </c>
      <c r="B64" s="98" t="s">
        <v>3879</v>
      </c>
      <c r="C64" s="101"/>
      <c r="D64" s="101"/>
      <c r="E64" s="101">
        <f ca="1">IFERROR(__xludf.DUMMYFUNCTION("GOOGLEFINANCE(""BOM:""&amp;A64,""PRICE"")"),3.2)</f>
        <v>3.2</v>
      </c>
      <c r="F64" s="112"/>
      <c r="G64" s="95">
        <f t="shared" ca="1" si="0"/>
        <v>0</v>
      </c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</row>
    <row r="65" spans="1:25" ht="14.4">
      <c r="A65" s="99">
        <v>511066</v>
      </c>
      <c r="B65" s="98" t="s">
        <v>3880</v>
      </c>
      <c r="C65" s="101"/>
      <c r="D65" s="101"/>
      <c r="E65" s="101">
        <f ca="1">IFERROR(__xludf.DUMMYFUNCTION("GOOGLEFINANCE(""BOM:""&amp;A65,""PRICE"")"),23.47)</f>
        <v>23.47</v>
      </c>
      <c r="F65" s="112"/>
      <c r="G65" s="95">
        <f t="shared" ca="1" si="0"/>
        <v>0</v>
      </c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</row>
    <row r="66" spans="1:25" ht="14.4">
      <c r="A66" s="99">
        <v>539488</v>
      </c>
      <c r="B66" s="98" t="s">
        <v>3881</v>
      </c>
      <c r="C66" s="101"/>
      <c r="D66" s="101"/>
      <c r="E66" s="101">
        <f ca="1">IFERROR(__xludf.DUMMYFUNCTION("GOOGLEFINANCE(""BOM:""&amp;A66,""PRICE"")"),0)</f>
        <v>0</v>
      </c>
      <c r="F66" s="112"/>
      <c r="G66" s="95">
        <f t="shared" ca="1" si="0"/>
        <v>0</v>
      </c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</row>
    <row r="67" spans="1:25" ht="14.4">
      <c r="A67" s="99">
        <v>503671</v>
      </c>
      <c r="B67" s="98" t="s">
        <v>3882</v>
      </c>
      <c r="C67" s="101"/>
      <c r="D67" s="101"/>
      <c r="E67" s="101">
        <f ca="1">IFERROR(__xludf.DUMMYFUNCTION("GOOGLEFINANCE(""BOM:""&amp;A67,""PRICE"")"),4.55)</f>
        <v>4.55</v>
      </c>
      <c r="F67" s="112"/>
      <c r="G67" s="95">
        <f t="shared" ca="1" si="0"/>
        <v>0</v>
      </c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</row>
    <row r="68" spans="1:25" ht="14.4">
      <c r="A68" s="99">
        <v>539543</v>
      </c>
      <c r="B68" s="98" t="s">
        <v>3883</v>
      </c>
      <c r="C68" s="101"/>
      <c r="D68" s="101"/>
      <c r="E68" s="101">
        <f ca="1">IFERROR(__xludf.DUMMYFUNCTION("GOOGLEFINANCE(""BOM:""&amp;A68,""PRICE"")"),13.12)</f>
        <v>13.12</v>
      </c>
      <c r="F68" s="112"/>
      <c r="G68" s="95">
        <f t="shared" ca="1" si="0"/>
        <v>0</v>
      </c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</row>
    <row r="69" spans="1:25" ht="13.2">
      <c r="A69" s="101"/>
      <c r="B69" s="101"/>
      <c r="C69" s="101"/>
      <c r="D69" s="101"/>
      <c r="E69" s="101"/>
      <c r="F69" s="112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</row>
    <row r="70" spans="1:25" ht="13.2">
      <c r="A70" s="101"/>
      <c r="B70" s="101"/>
      <c r="C70" s="101"/>
      <c r="D70" s="101"/>
      <c r="E70" s="101"/>
      <c r="F70" s="112">
        <f t="shared" ref="F70:O70" ca="1" si="1">SUM(F2:F68)</f>
        <v>372697.65169049986</v>
      </c>
      <c r="G70" s="95">
        <f t="shared" ca="1" si="1"/>
        <v>1.0000000000000002</v>
      </c>
      <c r="H70" s="101">
        <f t="shared" si="1"/>
        <v>105870</v>
      </c>
      <c r="I70" s="101">
        <f t="shared" si="1"/>
        <v>87535</v>
      </c>
      <c r="J70" s="101">
        <f t="shared" si="1"/>
        <v>11137</v>
      </c>
      <c r="K70" s="101">
        <f t="shared" si="1"/>
        <v>9601</v>
      </c>
      <c r="L70" s="101">
        <f t="shared" si="1"/>
        <v>37906</v>
      </c>
      <c r="M70" s="101">
        <f t="shared" si="1"/>
        <v>29397</v>
      </c>
      <c r="N70" s="101">
        <f t="shared" si="1"/>
        <v>3608</v>
      </c>
      <c r="O70" s="101">
        <f t="shared" si="1"/>
        <v>2754</v>
      </c>
      <c r="P70" s="95">
        <f t="shared" ref="P70:Q70" si="2">J70/H70</f>
        <v>0.10519505053367337</v>
      </c>
      <c r="Q70" s="95">
        <f t="shared" si="2"/>
        <v>0.10968184154909465</v>
      </c>
      <c r="R70" s="95">
        <f>P70-Q70</f>
        <v>-4.4867910154212792E-3</v>
      </c>
      <c r="S70" s="95">
        <f t="shared" ref="S70:T70" si="3">N70/L70</f>
        <v>9.5182820661636677E-2</v>
      </c>
      <c r="T70" s="95">
        <f t="shared" si="3"/>
        <v>9.3683028880498009E-2</v>
      </c>
      <c r="U70" s="95">
        <f>S70-T70</f>
        <v>1.499791781138668E-3</v>
      </c>
      <c r="V70" s="95">
        <f>(H70/I70)-1</f>
        <v>0.20945907351345183</v>
      </c>
      <c r="W70" s="95">
        <f>(J70/K70)-1</f>
        <v>0.15998333506926365</v>
      </c>
      <c r="X70" s="95">
        <f>(L70/M70)-1</f>
        <v>0.28945130455488655</v>
      </c>
      <c r="Y70" s="95">
        <f>(N70/O70)-1</f>
        <v>0.31009440813362388</v>
      </c>
    </row>
    <row r="71" spans="1:25" ht="13.2">
      <c r="F71" s="94"/>
    </row>
    <row r="72" spans="1:25" ht="13.2">
      <c r="F72" s="94"/>
    </row>
    <row r="73" spans="1:25" ht="13.2">
      <c r="F73" s="94"/>
    </row>
    <row r="74" spans="1:25" ht="13.2">
      <c r="F74" s="94"/>
    </row>
    <row r="75" spans="1:25" ht="13.2">
      <c r="F75" s="94"/>
    </row>
    <row r="76" spans="1:25" ht="13.2">
      <c r="F76" s="94"/>
    </row>
    <row r="77" spans="1:25" ht="13.2">
      <c r="F77" s="94"/>
    </row>
    <row r="78" spans="1:25" ht="13.2">
      <c r="F78" s="94"/>
    </row>
    <row r="79" spans="1:25" ht="13.2">
      <c r="F79" s="94"/>
    </row>
    <row r="80" spans="1:25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68" xr:uid="{00000000-0009-0000-0000-00006D000000}"/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outlinePr summaryBelow="0" summaryRight="0"/>
  </sheetPr>
  <dimension ref="A1:Y11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532777</v>
      </c>
      <c r="B2" s="98" t="s">
        <v>123</v>
      </c>
      <c r="C2" s="101" t="str">
        <f>VLOOKUP(A2,'BSE ALL CAP'!$B$4:$Y$1038,2,)</f>
        <v>Consumer Discretionary</v>
      </c>
      <c r="D2" s="101" t="str">
        <f>VLOOKUP(A2,'BSE ALL CAP'!$B$4:$Y$1038,3,)</f>
        <v>Internet &amp; Catalogue Retail</v>
      </c>
      <c r="E2" s="101">
        <f ca="1">IFERROR(__xludf.DUMMYFUNCTION("GOOGLEFINANCE(""BOM:""&amp;A2,""PRICE"")"),988.65)</f>
        <v>988.65</v>
      </c>
      <c r="F2" s="112">
        <f ca="1">IFERROR(__xludf.DUMMYFUNCTION("GOOGLEFINANCE(""BOM:""&amp;A2,""MARKETCAP"")/10000000"),64015.1286268)</f>
        <v>64015.128626799997</v>
      </c>
      <c r="G2" s="95">
        <f t="shared" ref="G2:G9" ca="1" si="0">F2/$F$11</f>
        <v>0.75190843159823162</v>
      </c>
      <c r="H2" s="101">
        <f>VLOOKUP(A2,'BSE ALL CAP'!$B$4:$Y$1038,7,)</f>
        <v>2415</v>
      </c>
      <c r="I2" s="101">
        <f>VLOOKUP(A2,'BSE ALL CAP'!$B$4:$Y$1038,8,)</f>
        <v>2099</v>
      </c>
      <c r="J2" s="101">
        <f>VLOOKUP(A2,'BSE ALL CAP'!$B$4:$Y$1038,9,)</f>
        <v>1007</v>
      </c>
      <c r="K2" s="101">
        <f>VLOOKUP(A2,'BSE ALL CAP'!$B$4:$Y$1038,10,)</f>
        <v>632</v>
      </c>
      <c r="L2" s="101">
        <f>VLOOKUP(A2,'BSE ALL CAP'!$B$4:$Y$1038,11,)</f>
        <v>819</v>
      </c>
      <c r="M2" s="101">
        <f>VLOOKUP(A2,'BSE ALL CAP'!$B$4:$Y$1038,12,)</f>
        <v>722</v>
      </c>
      <c r="N2" s="101">
        <f>VLOOKUP(A2,'BSE ALL CAP'!$B$4:$Y$1038,13,)</f>
        <v>316</v>
      </c>
      <c r="O2" s="101">
        <f>VLOOKUP(A2,'BSE ALL CAP'!$B$4:$Y$1038,14,)</f>
        <v>288</v>
      </c>
      <c r="P2" s="95">
        <f>VLOOKUP(A2,'BSE ALL CAP'!$B$4:$Y$1038,15,)</f>
        <v>0.41697722567287787</v>
      </c>
      <c r="Q2" s="95">
        <f>VLOOKUP(A2,'BSE ALL CAP'!$B$4:$Y$1038,16,)</f>
        <v>0.30109575988565984</v>
      </c>
      <c r="R2" s="95">
        <f>VLOOKUP(A2,'BSE ALL CAP'!$B$4:$Y$1038,17,)</f>
        <v>0.11588146578721803</v>
      </c>
      <c r="S2" s="95">
        <f>VLOOKUP(A2,'BSE ALL CAP'!$B$4:$Y$1038,18,)</f>
        <v>0.38583638583638585</v>
      </c>
      <c r="T2" s="95">
        <f>VLOOKUP(A2,'BSE ALL CAP'!$B$4:$Y$1038,19,)</f>
        <v>0.39889196675900279</v>
      </c>
      <c r="U2" s="95">
        <f>VLOOKUP(A2,'BSE ALL CAP'!$B$4:$Y$1038,20,)</f>
        <v>-1.3055580922616938E-2</v>
      </c>
      <c r="V2" s="95">
        <f>VLOOKUP(A2,'BSE ALL CAP'!$B$4:$Y$1038,21,)</f>
        <v>0.15054787994282992</v>
      </c>
      <c r="W2" s="95">
        <f>VLOOKUP(A2,'BSE ALL CAP'!$B$4:$Y$1038,22,)</f>
        <v>0.59335443037974689</v>
      </c>
      <c r="X2" s="95">
        <f>VLOOKUP(A2,'BSE ALL CAP'!$B$4:$Y$1038,23,)</f>
        <v>0.13434903047091407</v>
      </c>
      <c r="Y2" s="95">
        <f>VLOOKUP(A2,'BSE ALL CAP'!$B$4:$Y$1038,24,)</f>
        <v>9.7222222222222321E-2</v>
      </c>
    </row>
    <row r="3" spans="1:25" ht="15.75" customHeight="1">
      <c r="A3" s="99">
        <v>542726</v>
      </c>
      <c r="B3" s="98" t="s">
        <v>3884</v>
      </c>
      <c r="C3" s="101" t="str">
        <f>VLOOKUP(A3,'BSE ALL CAP'!$B$4:$Y$1038,2,)</f>
        <v>Consumer Discretionary</v>
      </c>
      <c r="D3" s="101" t="str">
        <f>VLOOKUP(A3,'BSE ALL CAP'!$B$4:$Y$1038,3,)</f>
        <v>Internet &amp; Catalogue Retail</v>
      </c>
      <c r="E3" s="101">
        <f ca="1">IFERROR(__xludf.DUMMYFUNCTION("GOOGLEFINANCE(""BOM:""&amp;A3,""PRICE"")"),2060.1)</f>
        <v>2060.1</v>
      </c>
      <c r="F3" s="112">
        <f ca="1">IFERROR(__xludf.DUMMYFUNCTION("GOOGLEFINANCE(""BOM:""&amp;A3,""MARKETCAP"")/10000000"),12371.58956)</f>
        <v>12371.58956</v>
      </c>
      <c r="G3" s="95">
        <f t="shared" ca="1" si="0"/>
        <v>0.14531412655073911</v>
      </c>
      <c r="H3" s="101">
        <f>VLOOKUP(A3,'BSE ALL CAP'!$B$4:$Y$1038,7,)</f>
        <v>1164</v>
      </c>
      <c r="I3" s="101">
        <f>VLOOKUP(A3,'BSE ALL CAP'!$B$4:$Y$1038,8,)</f>
        <v>1033</v>
      </c>
      <c r="J3" s="101">
        <f>VLOOKUP(A3,'BSE ALL CAP'!$B$4:$Y$1038,9,)</f>
        <v>424</v>
      </c>
      <c r="K3" s="101">
        <f>VLOOKUP(A3,'BSE ALL CAP'!$B$4:$Y$1038,10,)</f>
        <v>370</v>
      </c>
      <c r="L3" s="101">
        <f>VLOOKUP(A3,'BSE ALL CAP'!$B$4:$Y$1038,11,)</f>
        <v>401</v>
      </c>
      <c r="M3" s="101">
        <f>VLOOKUP(A3,'BSE ALL CAP'!$B$4:$Y$1038,12,)</f>
        <v>354</v>
      </c>
      <c r="N3" s="101">
        <f>VLOOKUP(A3,'BSE ALL CAP'!$B$4:$Y$1038,13,)</f>
        <v>188</v>
      </c>
      <c r="O3" s="101">
        <f>VLOOKUP(A3,'BSE ALL CAP'!$B$4:$Y$1038,14,)</f>
        <v>121</v>
      </c>
      <c r="P3" s="95">
        <f>VLOOKUP(A3,'BSE ALL CAP'!$B$4:$Y$1038,15,)</f>
        <v>0.36426116838487971</v>
      </c>
      <c r="Q3" s="95">
        <f>VLOOKUP(A3,'BSE ALL CAP'!$B$4:$Y$1038,16,)</f>
        <v>0.35818005808325265</v>
      </c>
      <c r="R3" s="95">
        <f>VLOOKUP(A3,'BSE ALL CAP'!$B$4:$Y$1038,17,)</f>
        <v>6.0811103016270573E-3</v>
      </c>
      <c r="S3" s="95">
        <f>VLOOKUP(A3,'BSE ALL CAP'!$B$4:$Y$1038,18,)</f>
        <v>0.46882793017456359</v>
      </c>
      <c r="T3" s="95">
        <f>VLOOKUP(A3,'BSE ALL CAP'!$B$4:$Y$1038,19,)</f>
        <v>0.34180790960451979</v>
      </c>
      <c r="U3" s="95">
        <f>VLOOKUP(A3,'BSE ALL CAP'!$B$4:$Y$1038,20,)</f>
        <v>0.1270200205700438</v>
      </c>
      <c r="V3" s="95">
        <f>VLOOKUP(A3,'BSE ALL CAP'!$B$4:$Y$1038,21,)</f>
        <v>0.12681510164569221</v>
      </c>
      <c r="W3" s="95">
        <f>VLOOKUP(A3,'BSE ALL CAP'!$B$4:$Y$1038,22,)</f>
        <v>0.14594594594594601</v>
      </c>
      <c r="X3" s="95">
        <f>VLOOKUP(A3,'BSE ALL CAP'!$B$4:$Y$1038,23,)</f>
        <v>0.13276836158192085</v>
      </c>
      <c r="Y3" s="95">
        <f>VLOOKUP(A3,'BSE ALL CAP'!$B$4:$Y$1038,24,)</f>
        <v>0.55371900826446274</v>
      </c>
    </row>
    <row r="4" spans="1:25" ht="15.75" customHeight="1">
      <c r="A4" s="99">
        <v>535648</v>
      </c>
      <c r="B4" s="98" t="s">
        <v>3885</v>
      </c>
      <c r="C4" s="101" t="str">
        <f>VLOOKUP(A4,'BSE ALL CAP'!$B$4:$Y$1038,2,)</f>
        <v>Consumer Discretionary</v>
      </c>
      <c r="D4" s="101" t="str">
        <f>VLOOKUP(A4,'BSE ALL CAP'!$B$4:$Y$1038,3,)</f>
        <v>Internet &amp; Catalogue Retail</v>
      </c>
      <c r="E4" s="101">
        <f ca="1">IFERROR(__xludf.DUMMYFUNCTION("GOOGLEFINANCE(""BOM:""&amp;A4,""PRICE"")"),517.3)</f>
        <v>517.29999999999995</v>
      </c>
      <c r="F4" s="112">
        <f ca="1">IFERROR(__xludf.DUMMYFUNCTION("GOOGLEFINANCE(""BOM:""&amp;A4,""MARKETCAP"")/10000000"),4402.3501519)</f>
        <v>4402.3501519000001</v>
      </c>
      <c r="G4" s="95">
        <f t="shared" ca="1" si="0"/>
        <v>5.1709092351578313E-2</v>
      </c>
      <c r="H4" s="101">
        <f>VLOOKUP(A4,'BSE ALL CAP'!$B$4:$Y$1038,7,)</f>
        <v>906</v>
      </c>
      <c r="I4" s="101">
        <f>VLOOKUP(A4,'BSE ALL CAP'!$B$4:$Y$1038,8,)</f>
        <v>852</v>
      </c>
      <c r="J4" s="101">
        <f>VLOOKUP(A4,'BSE ALL CAP'!$B$4:$Y$1038,9,)</f>
        <v>397</v>
      </c>
      <c r="K4" s="101">
        <f>VLOOKUP(A4,'BSE ALL CAP'!$B$4:$Y$1038,10,)</f>
        <v>426</v>
      </c>
      <c r="L4" s="101">
        <f>VLOOKUP(A4,'BSE ALL CAP'!$B$4:$Y$1038,11,)</f>
        <v>305</v>
      </c>
      <c r="M4" s="101">
        <f>VLOOKUP(A4,'BSE ALL CAP'!$B$4:$Y$1038,12,)</f>
        <v>287</v>
      </c>
      <c r="N4" s="101">
        <f>VLOOKUP(A4,'BSE ALL CAP'!$B$4:$Y$1038,13,)</f>
        <v>117</v>
      </c>
      <c r="O4" s="101">
        <f>VLOOKUP(A4,'BSE ALL CAP'!$B$4:$Y$1038,14,)</f>
        <v>131</v>
      </c>
      <c r="P4" s="95">
        <f>VLOOKUP(A4,'BSE ALL CAP'!$B$4:$Y$1038,15,)</f>
        <v>0.4381898454746137</v>
      </c>
      <c r="Q4" s="95">
        <f>VLOOKUP(A4,'BSE ALL CAP'!$B$4:$Y$1038,16,)</f>
        <v>0.5</v>
      </c>
      <c r="R4" s="95">
        <f>VLOOKUP(A4,'BSE ALL CAP'!$B$4:$Y$1038,17,)</f>
        <v>-6.1810154525386296E-2</v>
      </c>
      <c r="S4" s="95">
        <f>VLOOKUP(A4,'BSE ALL CAP'!$B$4:$Y$1038,18,)</f>
        <v>0.38360655737704918</v>
      </c>
      <c r="T4" s="95">
        <f>VLOOKUP(A4,'BSE ALL CAP'!$B$4:$Y$1038,19,)</f>
        <v>0.45644599303135891</v>
      </c>
      <c r="U4" s="95">
        <f>VLOOKUP(A4,'BSE ALL CAP'!$B$4:$Y$1038,20,)</f>
        <v>-7.2839435654309725E-2</v>
      </c>
      <c r="V4" s="95">
        <f>VLOOKUP(A4,'BSE ALL CAP'!$B$4:$Y$1038,21,)</f>
        <v>6.3380281690140761E-2</v>
      </c>
      <c r="W4" s="95">
        <f>VLOOKUP(A4,'BSE ALL CAP'!$B$4:$Y$1038,22,)</f>
        <v>-6.8075117370892002E-2</v>
      </c>
      <c r="X4" s="95">
        <f>VLOOKUP(A4,'BSE ALL CAP'!$B$4:$Y$1038,23,)</f>
        <v>6.2717770034843134E-2</v>
      </c>
      <c r="Y4" s="95">
        <f>VLOOKUP(A4,'BSE ALL CAP'!$B$4:$Y$1038,24,)</f>
        <v>-0.10687022900763354</v>
      </c>
    </row>
    <row r="5" spans="1:25" ht="15.75" customHeight="1">
      <c r="A5" s="99">
        <v>544439</v>
      </c>
      <c r="B5" s="98" t="s">
        <v>3886</v>
      </c>
      <c r="C5" s="101"/>
      <c r="D5" s="101"/>
      <c r="E5" s="101">
        <f ca="1">IFERROR(__xludf.DUMMYFUNCTION("GOOGLEFINANCE(""BOM:""&amp;A5,""PRICE"")"),194.85)</f>
        <v>194.85</v>
      </c>
      <c r="F5" s="112">
        <f ca="1">IFERROR(__xludf.DUMMYFUNCTION("GOOGLEFINANCE(""BOM:""&amp;A5,""MARKETCAP"")/10000000"),3388.3591829)</f>
        <v>3388.3591829000002</v>
      </c>
      <c r="G5" s="95">
        <f t="shared" ca="1" si="0"/>
        <v>3.9798964612861726E-2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540704</v>
      </c>
      <c r="B6" s="98" t="s">
        <v>3887</v>
      </c>
      <c r="C6" s="101"/>
      <c r="D6" s="101"/>
      <c r="E6" s="101">
        <f ca="1">IFERROR(__xludf.DUMMYFUNCTION("GOOGLEFINANCE(""BOM:""&amp;A6,""PRICE"")"),424.65)</f>
        <v>424.65</v>
      </c>
      <c r="F6" s="112">
        <f ca="1">IFERROR(__xludf.DUMMYFUNCTION("GOOGLEFINANCE(""BOM:""&amp;A6,""MARKETCAP"")/10000000"),879.5208395)</f>
        <v>879.52083949999997</v>
      </c>
      <c r="G6" s="95">
        <f t="shared" ca="1" si="0"/>
        <v>1.0330669470990379E-2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534623</v>
      </c>
      <c r="B7" s="98" t="s">
        <v>3888</v>
      </c>
      <c r="C7" s="101"/>
      <c r="D7" s="101"/>
      <c r="E7" s="101">
        <f ca="1">IFERROR(__xludf.DUMMYFUNCTION("GOOGLEFINANCE(""BOM:""&amp;A7,""PRICE"")"),57.7)</f>
        <v>57.7</v>
      </c>
      <c r="F7" s="112">
        <f ca="1">IFERROR(__xludf.DUMMYFUNCTION("GOOGLEFINANCE(""BOM:""&amp;A7,""MARKETCAP"")/10000000"),57.8154007)</f>
        <v>57.815400699999998</v>
      </c>
      <c r="G7" s="95">
        <f t="shared" ca="1" si="0"/>
        <v>6.790877124686547E-4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521105</v>
      </c>
      <c r="B8" s="98" t="s">
        <v>3889</v>
      </c>
      <c r="C8" s="101"/>
      <c r="D8" s="101"/>
      <c r="E8" s="101">
        <f ca="1">IFERROR(__xludf.DUMMYFUNCTION("GOOGLEFINANCE(""BOM:""&amp;A8,""PRICE"")"),27.99)</f>
        <v>27.99</v>
      </c>
      <c r="F8" s="112">
        <f ca="1">IFERROR(__xludf.DUMMYFUNCTION("GOOGLEFINANCE(""BOM:""&amp;A8,""MARKETCAP"")/10000000"),16.8599694)</f>
        <v>16.859969400000001</v>
      </c>
      <c r="G8" s="95">
        <f t="shared" ca="1" si="0"/>
        <v>1.9803370578624246E-4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538765</v>
      </c>
      <c r="B9" s="98" t="s">
        <v>3890</v>
      </c>
      <c r="C9" s="101"/>
      <c r="D9" s="101"/>
      <c r="E9" s="101">
        <f ca="1">IFERROR(__xludf.DUMMYFUNCTION("GOOGLEFINANCE(""BOM:""&amp;A9,""PRICE"")"),8)</f>
        <v>8</v>
      </c>
      <c r="F9" s="112">
        <f ca="1">IFERROR(__xludf.DUMMYFUNCTION("GOOGLEFINANCE(""BOM:""&amp;A9,""MARKETCAP"")/10000000"),5.24392)</f>
        <v>5.2439200000000001</v>
      </c>
      <c r="G9" s="95">
        <f t="shared" ca="1" si="0"/>
        <v>6.1593997344182167E-5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>
      <c r="A10" s="101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>
      <c r="A11" s="101"/>
      <c r="B11" s="101"/>
      <c r="C11" s="101"/>
      <c r="D11" s="101"/>
      <c r="E11" s="101"/>
      <c r="F11" s="112">
        <f t="shared" ref="F11:O11" ca="1" si="1">SUM(F2:F9)</f>
        <v>85136.86765119998</v>
      </c>
      <c r="G11" s="95">
        <f t="shared" ca="1" si="1"/>
        <v>1.0000000000000002</v>
      </c>
      <c r="H11" s="101">
        <f t="shared" si="1"/>
        <v>4485</v>
      </c>
      <c r="I11" s="101">
        <f t="shared" si="1"/>
        <v>3984</v>
      </c>
      <c r="J11" s="101">
        <f t="shared" si="1"/>
        <v>1828</v>
      </c>
      <c r="K11" s="101">
        <f t="shared" si="1"/>
        <v>1428</v>
      </c>
      <c r="L11" s="101">
        <f t="shared" si="1"/>
        <v>1525</v>
      </c>
      <c r="M11" s="101">
        <f t="shared" si="1"/>
        <v>1363</v>
      </c>
      <c r="N11" s="101">
        <f t="shared" si="1"/>
        <v>621</v>
      </c>
      <c r="O11" s="101">
        <f t="shared" si="1"/>
        <v>540</v>
      </c>
      <c r="P11" s="95">
        <f t="shared" ref="P11:Q11" si="2">J11/H11</f>
        <v>0.40758082497212933</v>
      </c>
      <c r="Q11" s="95">
        <f t="shared" si="2"/>
        <v>0.35843373493975905</v>
      </c>
      <c r="R11" s="95">
        <f>P11-Q11</f>
        <v>4.9147090032370278E-2</v>
      </c>
      <c r="S11" s="95">
        <f t="shared" ref="S11:T11" si="3">N11/L11</f>
        <v>0.40721311475409838</v>
      </c>
      <c r="T11" s="95">
        <f t="shared" si="3"/>
        <v>0.3961848862802641</v>
      </c>
      <c r="U11" s="95">
        <f>S11-T11</f>
        <v>1.1028228473834278E-2</v>
      </c>
      <c r="V11" s="95">
        <f>(H11/I11)-1</f>
        <v>0.12575301204819267</v>
      </c>
      <c r="W11" s="95">
        <f>(J11/K11)-1</f>
        <v>0.28011204481792706</v>
      </c>
      <c r="X11" s="95">
        <f>(L11/M11)-1</f>
        <v>0.11885546588407925</v>
      </c>
      <c r="Y11" s="95">
        <f>(N11/O11)-1</f>
        <v>0.14999999999999991</v>
      </c>
    </row>
  </sheetData>
  <autoFilter ref="A1:Y9" xr:uid="{00000000-0009-0000-0000-00006E000000}"/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outlinePr summaryBelow="0" summaryRight="0"/>
  </sheetPr>
  <dimension ref="A1:Y8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500400</v>
      </c>
      <c r="B2" s="98" t="s">
        <v>1419</v>
      </c>
      <c r="C2" s="101" t="str">
        <f>VLOOKUP(A2,'BSE ALL CAP'!$B$4:$Y$1038,2,)</f>
        <v>Utilities</v>
      </c>
      <c r="D2" s="101" t="str">
        <f>VLOOKUP(A2,'BSE ALL CAP'!$B$4:$Y$1038,3,)</f>
        <v>Integrated Power Utilities</v>
      </c>
      <c r="E2" s="101">
        <f ca="1">IFERROR(__xludf.DUMMYFUNCTION("GOOGLEFINANCE(""BOM:""&amp;A2,""PRICE"")"),385.05)</f>
        <v>385.05</v>
      </c>
      <c r="F2" s="112">
        <f ca="1">IFERROR(__xludf.DUMMYFUNCTION("GOOGLEFINANCE(""BOM:""&amp;A2,""MARKETCAP"")/10000000"),123052.5453502)</f>
        <v>123052.5453502</v>
      </c>
      <c r="G2" s="95">
        <f t="shared" ref="G2:G6" ca="1" si="0">F2/$F$8</f>
        <v>0.2308441872513799</v>
      </c>
      <c r="H2" s="101">
        <f>VLOOKUP(A2,'BSE ALL CAP'!$B$4:$Y$1038,7,)</f>
        <v>47528</v>
      </c>
      <c r="I2" s="101">
        <f>VLOOKUP(A2,'BSE ALL CAP'!$B$4:$Y$1038,8,)</f>
        <v>48382</v>
      </c>
      <c r="J2" s="101">
        <f>VLOOKUP(A2,'BSE ALL CAP'!$B$4:$Y$1038,9,)</f>
        <v>3702</v>
      </c>
      <c r="K2" s="101">
        <f>VLOOKUP(A2,'BSE ALL CAP'!$B$4:$Y$1038,10,)</f>
        <v>3469</v>
      </c>
      <c r="L2" s="101">
        <f>VLOOKUP(A2,'BSE ALL CAP'!$B$4:$Y$1038,11,)</f>
        <v>13948</v>
      </c>
      <c r="M2" s="101">
        <f>VLOOKUP(A2,'BSE ALL CAP'!$B$4:$Y$1038,12,)</f>
        <v>15391</v>
      </c>
      <c r="N2" s="101">
        <f>VLOOKUP(A2,'BSE ALL CAP'!$B$4:$Y$1038,13,)</f>
        <v>1194</v>
      </c>
      <c r="O2" s="101">
        <f>VLOOKUP(A2,'BSE ALL CAP'!$B$4:$Y$1038,14,)</f>
        <v>1188</v>
      </c>
      <c r="P2" s="95">
        <f>VLOOKUP(A2,'BSE ALL CAP'!$B$4:$Y$1038,15,)</f>
        <v>7.7890927453290695E-2</v>
      </c>
      <c r="Q2" s="95">
        <f>VLOOKUP(A2,'BSE ALL CAP'!$B$4:$Y$1038,16,)</f>
        <v>7.1700219089744124E-2</v>
      </c>
      <c r="R2" s="95">
        <f>VLOOKUP(A2,'BSE ALL CAP'!$B$4:$Y$1038,17,)</f>
        <v>6.1907083635465709E-3</v>
      </c>
      <c r="S2" s="95">
        <f>VLOOKUP(A2,'BSE ALL CAP'!$B$4:$Y$1038,18,)</f>
        <v>8.5603670777172361E-2</v>
      </c>
      <c r="T2" s="95">
        <f>VLOOKUP(A2,'BSE ALL CAP'!$B$4:$Y$1038,19,)</f>
        <v>7.7187966993697621E-2</v>
      </c>
      <c r="U2" s="95">
        <f>VLOOKUP(A2,'BSE ALL CAP'!$B$4:$Y$1038,20,)</f>
        <v>8.41570378347474E-3</v>
      </c>
      <c r="V2" s="95">
        <f>VLOOKUP(A2,'BSE ALL CAP'!$B$4:$Y$1038,21,)</f>
        <v>-1.7651192592286424E-2</v>
      </c>
      <c r="W2" s="95">
        <f>VLOOKUP(A2,'BSE ALL CAP'!$B$4:$Y$1038,22,)</f>
        <v>6.7166330354569093E-2</v>
      </c>
      <c r="X2" s="95">
        <f>VLOOKUP(A2,'BSE ALL CAP'!$B$4:$Y$1038,23,)</f>
        <v>-9.375609122214279E-2</v>
      </c>
      <c r="Y2" s="95">
        <f>VLOOKUP(A2,'BSE ALL CAP'!$B$4:$Y$1038,24,)</f>
        <v>5.050505050504972E-3</v>
      </c>
    </row>
    <row r="3" spans="1:25" ht="15.75" customHeight="1">
      <c r="A3" s="99">
        <v>532779</v>
      </c>
      <c r="B3" s="98" t="s">
        <v>3891</v>
      </c>
      <c r="C3" s="101" t="str">
        <f>VLOOKUP(A3,'BSE ALL CAP'!$B$4:$Y$1038,2,)</f>
        <v>Utilities</v>
      </c>
      <c r="D3" s="101" t="str">
        <f>VLOOKUP(A3,'BSE ALL CAP'!$B$4:$Y$1038,3,)</f>
        <v>Integrated Power Utilities</v>
      </c>
      <c r="E3" s="101">
        <f ca="1">IFERROR(__xludf.DUMMYFUNCTION("GOOGLEFINANCE(""BOM:""&amp;A3,""PRICE"")"),1383.6)</f>
        <v>1383.6</v>
      </c>
      <c r="F3" s="112">
        <f ca="1">IFERROR(__xludf.DUMMYFUNCTION("GOOGLEFINANCE(""BOM:""&amp;A3,""MARKETCAP"")/10000000"),69810.7921202)</f>
        <v>69810.7921202</v>
      </c>
      <c r="G3" s="95">
        <f t="shared" ca="1" si="0"/>
        <v>0.13096369134420682</v>
      </c>
      <c r="H3" s="101">
        <f>VLOOKUP(A3,'BSE ALL CAP'!$B$4:$Y$1038,7,)</f>
        <v>22560</v>
      </c>
      <c r="I3" s="101">
        <f>VLOOKUP(A3,'BSE ALL CAP'!$B$4:$Y$1038,8,)</f>
        <v>22709</v>
      </c>
      <c r="J3" s="101">
        <f>VLOOKUP(A3,'BSE ALL CAP'!$B$4:$Y$1038,9,)</f>
        <v>2138</v>
      </c>
      <c r="K3" s="101">
        <f>VLOOKUP(A3,'BSE ALL CAP'!$B$4:$Y$1038,10,)</f>
        <v>1981</v>
      </c>
      <c r="L3" s="101">
        <f>VLOOKUP(A3,'BSE ALL CAP'!$B$4:$Y$1038,11,)</f>
        <v>6778</v>
      </c>
      <c r="M3" s="101">
        <f>VLOOKUP(A3,'BSE ALL CAP'!$B$4:$Y$1038,12,)</f>
        <v>6499</v>
      </c>
      <c r="N3" s="101">
        <f>VLOOKUP(A3,'BSE ALL CAP'!$B$4:$Y$1038,13,)</f>
        <v>655</v>
      </c>
      <c r="O3" s="101">
        <f>VLOOKUP(A3,'BSE ALL CAP'!$B$4:$Y$1038,14,)</f>
        <v>489</v>
      </c>
      <c r="P3" s="95">
        <f>VLOOKUP(A3,'BSE ALL CAP'!$B$4:$Y$1038,15,)</f>
        <v>9.4769503546099296E-2</v>
      </c>
      <c r="Q3" s="95">
        <f>VLOOKUP(A3,'BSE ALL CAP'!$B$4:$Y$1038,16,)</f>
        <v>8.723413624554141E-2</v>
      </c>
      <c r="R3" s="95">
        <f>VLOOKUP(A3,'BSE ALL CAP'!$B$4:$Y$1038,17,)</f>
        <v>7.5353673005578853E-3</v>
      </c>
      <c r="S3" s="95">
        <f>VLOOKUP(A3,'BSE ALL CAP'!$B$4:$Y$1038,18,)</f>
        <v>9.6636175863086454E-2</v>
      </c>
      <c r="T3" s="95">
        <f>VLOOKUP(A3,'BSE ALL CAP'!$B$4:$Y$1038,19,)</f>
        <v>7.5242344976150177E-2</v>
      </c>
      <c r="U3" s="95">
        <f>VLOOKUP(A3,'BSE ALL CAP'!$B$4:$Y$1038,20,)</f>
        <v>2.1393830886936277E-2</v>
      </c>
      <c r="V3" s="95">
        <f>VLOOKUP(A3,'BSE ALL CAP'!$B$4:$Y$1038,21,)</f>
        <v>-6.5612752653133599E-3</v>
      </c>
      <c r="W3" s="95">
        <f>VLOOKUP(A3,'BSE ALL CAP'!$B$4:$Y$1038,22,)</f>
        <v>7.9252902574457273E-2</v>
      </c>
      <c r="X3" s="95">
        <f>VLOOKUP(A3,'BSE ALL CAP'!$B$4:$Y$1038,23,)</f>
        <v>4.292968148945997E-2</v>
      </c>
      <c r="Y3" s="95">
        <f>VLOOKUP(A3,'BSE ALL CAP'!$B$4:$Y$1038,24,)</f>
        <v>0.3394683026584866</v>
      </c>
    </row>
    <row r="4" spans="1:25" ht="15.75" customHeight="1">
      <c r="A4" s="99">
        <v>533096</v>
      </c>
      <c r="B4" s="98" t="s">
        <v>3892</v>
      </c>
      <c r="C4" s="101" t="str">
        <f>VLOOKUP(A4,'BSE ALL CAP'!$B$4:$Y$1038,2,)</f>
        <v>Utilities</v>
      </c>
      <c r="D4" s="101" t="str">
        <f>VLOOKUP(A4,'BSE ALL CAP'!$B$4:$Y$1038,3,)</f>
        <v>Integrated Power Utilities</v>
      </c>
      <c r="E4" s="101">
        <f ca="1">IFERROR(__xludf.DUMMYFUNCTION("GOOGLEFINANCE(""BOM:""&amp;A4,""PRICE"")"),164.15)</f>
        <v>164.15</v>
      </c>
      <c r="F4" s="112">
        <f ca="1">IFERROR(__xludf.DUMMYFUNCTION("GOOGLEFINANCE(""BOM:""&amp;A4,""MARKETCAP"")/10000000"),316751.03325)</f>
        <v>316751.03324999998</v>
      </c>
      <c r="G4" s="95">
        <f t="shared" ca="1" si="0"/>
        <v>0.59421879184648829</v>
      </c>
      <c r="H4" s="101">
        <f>VLOOKUP(A4,'BSE ALL CAP'!$B$4:$Y$1038,7,)</f>
        <v>40017</v>
      </c>
      <c r="I4" s="101">
        <f>VLOOKUP(A4,'BSE ALL CAP'!$B$4:$Y$1038,8,)</f>
        <v>41965</v>
      </c>
      <c r="J4" s="101">
        <f>VLOOKUP(A4,'BSE ALL CAP'!$B$4:$Y$1038,9,)</f>
        <v>8700</v>
      </c>
      <c r="K4" s="101">
        <f>VLOOKUP(A4,'BSE ALL CAP'!$B$4:$Y$1038,10,)</f>
        <v>10150</v>
      </c>
      <c r="L4" s="101">
        <f>VLOOKUP(A4,'BSE ALL CAP'!$B$4:$Y$1038,11,)</f>
        <v>12451</v>
      </c>
      <c r="M4" s="101">
        <f>VLOOKUP(A4,'BSE ALL CAP'!$B$4:$Y$1038,12,)</f>
        <v>13671</v>
      </c>
      <c r="N4" s="101">
        <f>VLOOKUP(A4,'BSE ALL CAP'!$B$4:$Y$1038,13,)</f>
        <v>2488</v>
      </c>
      <c r="O4" s="101">
        <f>VLOOKUP(A4,'BSE ALL CAP'!$B$4:$Y$1038,14,)</f>
        <v>2940</v>
      </c>
      <c r="P4" s="95">
        <f>VLOOKUP(A4,'BSE ALL CAP'!$B$4:$Y$1038,15,)</f>
        <v>0.21740760176924806</v>
      </c>
      <c r="Q4" s="95">
        <f>VLOOKUP(A4,'BSE ALL CAP'!$B$4:$Y$1038,16,)</f>
        <v>0.24186822351959966</v>
      </c>
      <c r="R4" s="95">
        <f>VLOOKUP(A4,'BSE ALL CAP'!$B$4:$Y$1038,17,)</f>
        <v>-2.4460621750351602E-2</v>
      </c>
      <c r="S4" s="95">
        <f>VLOOKUP(A4,'BSE ALL CAP'!$B$4:$Y$1038,18,)</f>
        <v>0.19982330736487028</v>
      </c>
      <c r="T4" s="95">
        <f>VLOOKUP(A4,'BSE ALL CAP'!$B$4:$Y$1038,19,)</f>
        <v>0.21505376344086022</v>
      </c>
      <c r="U4" s="95">
        <f>VLOOKUP(A4,'BSE ALL CAP'!$B$4:$Y$1038,20,)</f>
        <v>-1.523045607598994E-2</v>
      </c>
      <c r="V4" s="95">
        <f>VLOOKUP(A4,'BSE ALL CAP'!$B$4:$Y$1038,21,)</f>
        <v>-4.6419635410461124E-2</v>
      </c>
      <c r="W4" s="95">
        <f>VLOOKUP(A4,'BSE ALL CAP'!$B$4:$Y$1038,22,)</f>
        <v>-0.1428571428571429</v>
      </c>
      <c r="X4" s="95">
        <f>VLOOKUP(A4,'BSE ALL CAP'!$B$4:$Y$1038,23,)</f>
        <v>-8.9239997074098465E-2</v>
      </c>
      <c r="Y4" s="95">
        <f>VLOOKUP(A4,'BSE ALL CAP'!$B$4:$Y$1038,24,)</f>
        <v>-0.15374149659863945</v>
      </c>
    </row>
    <row r="5" spans="1:25" ht="15.75" customHeight="1">
      <c r="A5" s="99">
        <v>500084</v>
      </c>
      <c r="B5" s="98" t="s">
        <v>3893</v>
      </c>
      <c r="C5" s="101" t="str">
        <f>VLOOKUP(A5,'BSE ALL CAP'!$B$4:$Y$1038,2,)</f>
        <v>Utilities</v>
      </c>
      <c r="D5" s="101" t="str">
        <f>VLOOKUP(A5,'BSE ALL CAP'!$B$4:$Y$1038,3,)</f>
        <v>Integrated Power Utilities</v>
      </c>
      <c r="E5" s="101">
        <f ca="1">IFERROR(__xludf.DUMMYFUNCTION("GOOGLEFINANCE(""BOM:""&amp;A5,""PRICE"")"),153.35)</f>
        <v>153.35</v>
      </c>
      <c r="F5" s="112">
        <f ca="1">IFERROR(__xludf.DUMMYFUNCTION("GOOGLEFINANCE(""BOM:""&amp;A5,""MARKETCAP"")/10000000"),20298.4540572)</f>
        <v>20298.454057200001</v>
      </c>
      <c r="G5" s="95">
        <f t="shared" ca="1" si="0"/>
        <v>3.8079505921298627E-2</v>
      </c>
      <c r="H5" s="101">
        <f>VLOOKUP(A5,'BSE ALL CAP'!$B$4:$Y$1038,7,)</f>
        <v>14474</v>
      </c>
      <c r="I5" s="101">
        <f>VLOOKUP(A5,'BSE ALL CAP'!$B$4:$Y$1038,8,)</f>
        <v>13124</v>
      </c>
      <c r="J5" s="101">
        <f>VLOOKUP(A5,'BSE ALL CAP'!$B$4:$Y$1038,9,)</f>
        <v>1159</v>
      </c>
      <c r="K5" s="101">
        <f>VLOOKUP(A5,'BSE ALL CAP'!$B$4:$Y$1038,10,)</f>
        <v>1043</v>
      </c>
      <c r="L5" s="101">
        <f>VLOOKUP(A5,'BSE ALL CAP'!$B$4:$Y$1038,11,)</f>
        <v>4005</v>
      </c>
      <c r="M5" s="101">
        <f>VLOOKUP(A5,'BSE ALL CAP'!$B$4:$Y$1038,12,)</f>
        <v>3561</v>
      </c>
      <c r="N5" s="101">
        <f>VLOOKUP(A5,'BSE ALL CAP'!$B$4:$Y$1038,13,)</f>
        <v>304</v>
      </c>
      <c r="O5" s="101">
        <f>VLOOKUP(A5,'BSE ALL CAP'!$B$4:$Y$1038,14,)</f>
        <v>282</v>
      </c>
      <c r="P5" s="95">
        <f>VLOOKUP(A5,'BSE ALL CAP'!$B$4:$Y$1038,15,)</f>
        <v>8.0074616553820643E-2</v>
      </c>
      <c r="Q5" s="95">
        <f>VLOOKUP(A5,'BSE ALL CAP'!$B$4:$Y$1038,16,)</f>
        <v>7.9472721731179516E-2</v>
      </c>
      <c r="R5" s="95">
        <f>VLOOKUP(A5,'BSE ALL CAP'!$B$4:$Y$1038,17,)</f>
        <v>6.0189482264112748E-4</v>
      </c>
      <c r="S5" s="95">
        <f>VLOOKUP(A5,'BSE ALL CAP'!$B$4:$Y$1038,18,)</f>
        <v>7.5905118601747812E-2</v>
      </c>
      <c r="T5" s="95">
        <f>VLOOKUP(A5,'BSE ALL CAP'!$B$4:$Y$1038,19,)</f>
        <v>7.919123841617523E-2</v>
      </c>
      <c r="U5" s="95">
        <f>VLOOKUP(A5,'BSE ALL CAP'!$B$4:$Y$1038,20,)</f>
        <v>-3.2861198144274184E-3</v>
      </c>
      <c r="V5" s="95">
        <f>VLOOKUP(A5,'BSE ALL CAP'!$B$4:$Y$1038,21,)</f>
        <v>0.10286498018896673</v>
      </c>
      <c r="W5" s="95">
        <f>VLOOKUP(A5,'BSE ALL CAP'!$B$4:$Y$1038,22,)</f>
        <v>0.1112176414189836</v>
      </c>
      <c r="X5" s="95">
        <f>VLOOKUP(A5,'BSE ALL CAP'!$B$4:$Y$1038,23,)</f>
        <v>0.12468407750631849</v>
      </c>
      <c r="Y5" s="95">
        <f>VLOOKUP(A5,'BSE ALL CAP'!$B$4:$Y$1038,24,)</f>
        <v>7.8014184397163122E-2</v>
      </c>
    </row>
    <row r="6" spans="1:25" ht="15.75" customHeight="1">
      <c r="A6" s="99">
        <v>500390</v>
      </c>
      <c r="B6" s="98" t="s">
        <v>3894</v>
      </c>
      <c r="C6" s="101" t="str">
        <f>VLOOKUP(A6,'BSE ALL CAP'!$B$4:$Y$1038,2,)</f>
        <v>Utilities</v>
      </c>
      <c r="D6" s="101" t="str">
        <f>VLOOKUP(A6,'BSE ALL CAP'!$B$4:$Y$1038,3,)</f>
        <v>Integrated Power Utilities</v>
      </c>
      <c r="E6" s="101">
        <f ca="1">IFERROR(__xludf.DUMMYFUNCTION("GOOGLEFINANCE(""BOM:""&amp;A6,""PRICE"")"),77.2)</f>
        <v>77.2</v>
      </c>
      <c r="F6" s="112">
        <f ca="1">IFERROR(__xludf.DUMMYFUNCTION("GOOGLEFINANCE(""BOM:""&amp;A6,""MARKETCAP"")/10000000"),3141.7295318)</f>
        <v>3141.7295318000001</v>
      </c>
      <c r="G6" s="95">
        <f t="shared" ca="1" si="0"/>
        <v>5.893823636626226E-3</v>
      </c>
      <c r="H6" s="101">
        <f>VLOOKUP(A6,'BSE ALL CAP'!$B$4:$Y$1038,7,)</f>
        <v>16439</v>
      </c>
      <c r="I6" s="101">
        <f>VLOOKUP(A6,'BSE ALL CAP'!$B$4:$Y$1038,8,)</f>
        <v>19484</v>
      </c>
      <c r="J6" s="101">
        <f>VLOOKUP(A6,'BSE ALL CAP'!$B$4:$Y$1038,9,)</f>
        <v>1982</v>
      </c>
      <c r="K6" s="101">
        <f>VLOOKUP(A6,'BSE ALL CAP'!$B$4:$Y$1038,10,)</f>
        <v>550</v>
      </c>
      <c r="L6" s="101">
        <f>VLOOKUP(A6,'BSE ALL CAP'!$B$4:$Y$1038,11,)</f>
        <v>4297</v>
      </c>
      <c r="M6" s="101">
        <f>VLOOKUP(A6,'BSE ALL CAP'!$B$4:$Y$1038,12,)</f>
        <v>5033</v>
      </c>
      <c r="N6" s="101">
        <f>VLOOKUP(A6,'BSE ALL CAP'!$B$4:$Y$1038,13,)</f>
        <v>11</v>
      </c>
      <c r="O6" s="101">
        <f>VLOOKUP(A6,'BSE ALL CAP'!$B$4:$Y$1038,14,)</f>
        <v>-3298</v>
      </c>
      <c r="P6" s="95">
        <f>VLOOKUP(A6,'BSE ALL CAP'!$B$4:$Y$1038,15,)</f>
        <v>0.12056694446134193</v>
      </c>
      <c r="Q6" s="95">
        <f>VLOOKUP(A6,'BSE ALL CAP'!$B$4:$Y$1038,16,)</f>
        <v>2.8228289878874973E-2</v>
      </c>
      <c r="R6" s="95">
        <f>VLOOKUP(A6,'BSE ALL CAP'!$B$4:$Y$1038,17,)</f>
        <v>9.2338654582466956E-2</v>
      </c>
      <c r="S6" s="95">
        <f>VLOOKUP(A6,'BSE ALL CAP'!$B$4:$Y$1038,18,)</f>
        <v>2.5599255294391438E-3</v>
      </c>
      <c r="T6" s="95">
        <f>VLOOKUP(A6,'BSE ALL CAP'!$B$4:$Y$1038,19,)</f>
        <v>-0.65527518378700578</v>
      </c>
      <c r="U6" s="95">
        <f>VLOOKUP(A6,'BSE ALL CAP'!$B$4:$Y$1038,20,)</f>
        <v>0.65783510931644495</v>
      </c>
      <c r="V6" s="95">
        <f>VLOOKUP(A6,'BSE ALL CAP'!$B$4:$Y$1038,21,)</f>
        <v>-0.15628207760213508</v>
      </c>
      <c r="W6" s="95">
        <f>VLOOKUP(A6,'BSE ALL CAP'!$B$4:$Y$1038,22,)</f>
        <v>2.6036363636363635</v>
      </c>
      <c r="X6" s="95">
        <f>VLOOKUP(A6,'BSE ALL CAP'!$B$4:$Y$1038,23,)</f>
        <v>-0.14623484999006553</v>
      </c>
      <c r="Y6" s="95">
        <f>VLOOKUP(A6,'BSE ALL CAP'!$B$4:$Y$1038,24,)</f>
        <v>-1.0033353547604609</v>
      </c>
    </row>
    <row r="7" spans="1:25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12">
        <f t="shared" ref="F8:O8" ca="1" si="1">SUM(F2:F6)</f>
        <v>533054.55430940003</v>
      </c>
      <c r="G8" s="95">
        <f t="shared" ca="1" si="1"/>
        <v>0.99999999999999989</v>
      </c>
      <c r="H8" s="101">
        <f t="shared" si="1"/>
        <v>141018</v>
      </c>
      <c r="I8" s="101">
        <f t="shared" si="1"/>
        <v>145664</v>
      </c>
      <c r="J8" s="101">
        <f t="shared" si="1"/>
        <v>17681</v>
      </c>
      <c r="K8" s="101">
        <f t="shared" si="1"/>
        <v>17193</v>
      </c>
      <c r="L8" s="101">
        <f t="shared" si="1"/>
        <v>41479</v>
      </c>
      <c r="M8" s="101">
        <f t="shared" si="1"/>
        <v>44155</v>
      </c>
      <c r="N8" s="101">
        <f t="shared" si="1"/>
        <v>4652</v>
      </c>
      <c r="O8" s="101">
        <f t="shared" si="1"/>
        <v>1601</v>
      </c>
      <c r="P8" s="95">
        <f t="shared" ref="P8:Q8" si="2">J8/H8</f>
        <v>0.12538115701541647</v>
      </c>
      <c r="Q8" s="95">
        <f t="shared" si="2"/>
        <v>0.11803190905096661</v>
      </c>
      <c r="R8" s="95">
        <f>P8-Q8</f>
        <v>7.3492479644498565E-3</v>
      </c>
      <c r="S8" s="95">
        <f t="shared" ref="S8:T8" si="3">N8/L8</f>
        <v>0.11215313773234649</v>
      </c>
      <c r="T8" s="95">
        <f t="shared" si="3"/>
        <v>3.6258634356245045E-2</v>
      </c>
      <c r="U8" s="95">
        <f>S8-T8</f>
        <v>7.5894503376101444E-2</v>
      </c>
      <c r="V8" s="95">
        <f>(H8/I8)-1</f>
        <v>-3.1895320738137056E-2</v>
      </c>
      <c r="W8" s="95">
        <f>(J8/K8)-1</f>
        <v>2.8383644506485117E-2</v>
      </c>
      <c r="X8" s="95">
        <f>(L8/M8)-1</f>
        <v>-6.0604688030800546E-2</v>
      </c>
      <c r="Y8" s="95">
        <f>(N8/O8)-1</f>
        <v>1.905683947532792</v>
      </c>
    </row>
  </sheetData>
  <autoFilter ref="A1:Y6" xr:uid="{00000000-0009-0000-0000-00006F000000}"/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517174</v>
      </c>
      <c r="B2" s="98" t="s">
        <v>3895</v>
      </c>
      <c r="C2" s="101" t="str">
        <f>VLOOKUP(A2,'BSE ALL CAP'!$B$4:$Y$1038,2,)</f>
        <v>Industrials</v>
      </c>
      <c r="D2" s="101" t="str">
        <f>VLOOKUP(A2,'BSE ALL CAP'!$B$4:$Y$1038,3,)</f>
        <v>Industrial Products</v>
      </c>
      <c r="E2" s="101">
        <f ca="1">IFERROR(__xludf.DUMMYFUNCTION("GOOGLEFINANCE(""BOM:""&amp;A2,""PRICE"")"),27346.7)</f>
        <v>27346.7</v>
      </c>
      <c r="F2" s="112">
        <f ca="1">IFERROR(__xludf.DUMMYFUNCTION("GOOGLEFINANCE(""BOM:""&amp;A2,""MARKETCAP"")/10000000"),24216.926019)</f>
        <v>24216.926018999999</v>
      </c>
      <c r="G2" s="95">
        <f t="shared" ref="G2:G153" ca="1" si="0">F2/$F$156</f>
        <v>9.6997333849864073E-2</v>
      </c>
      <c r="H2" s="101">
        <f>VLOOKUP(A2,'BSE ALL CAP'!$B$4:$Y$1038,7,)</f>
        <v>3501</v>
      </c>
      <c r="I2" s="101">
        <f>VLOOKUP(A2,'BSE ALL CAP'!$B$4:$Y$1038,8,)</f>
        <v>3075</v>
      </c>
      <c r="J2" s="101">
        <f>VLOOKUP(A2,'BSE ALL CAP'!$B$4:$Y$1038,9,)</f>
        <v>365</v>
      </c>
      <c r="K2" s="101">
        <f>VLOOKUP(A2,'BSE ALL CAP'!$B$4:$Y$1038,10,)</f>
        <v>383</v>
      </c>
      <c r="L2" s="101">
        <f>VLOOKUP(A2,'BSE ALL CAP'!$B$4:$Y$1038,11,)</f>
        <v>1168</v>
      </c>
      <c r="M2" s="101">
        <f>VLOOKUP(A2,'BSE ALL CAP'!$B$4:$Y$1038,12,)</f>
        <v>1090</v>
      </c>
      <c r="N2" s="101">
        <f>VLOOKUP(A2,'BSE ALL CAP'!$B$4:$Y$1038,13,)</f>
        <v>121</v>
      </c>
      <c r="O2" s="101">
        <f>VLOOKUP(A2,'BSE ALL CAP'!$B$4:$Y$1038,14,)</f>
        <v>132</v>
      </c>
      <c r="P2" s="95">
        <f>VLOOKUP(A2,'BSE ALL CAP'!$B$4:$Y$1038,15,)</f>
        <v>0.10425592687803485</v>
      </c>
      <c r="Q2" s="95">
        <f>VLOOKUP(A2,'BSE ALL CAP'!$B$4:$Y$1038,16,)</f>
        <v>0.12455284552845529</v>
      </c>
      <c r="R2" s="95">
        <f>VLOOKUP(A2,'BSE ALL CAP'!$B$4:$Y$1038,17,)</f>
        <v>-2.0296918650420437E-2</v>
      </c>
      <c r="S2" s="95">
        <f>VLOOKUP(A2,'BSE ALL CAP'!$B$4:$Y$1038,18,)</f>
        <v>0.1035958904109589</v>
      </c>
      <c r="T2" s="95">
        <f>VLOOKUP(A2,'BSE ALL CAP'!$B$4:$Y$1038,19,)</f>
        <v>0.12110091743119267</v>
      </c>
      <c r="U2" s="95">
        <f>VLOOKUP(A2,'BSE ALL CAP'!$B$4:$Y$1038,20,)</f>
        <v>-1.7505027020233765E-2</v>
      </c>
      <c r="V2" s="95">
        <f>VLOOKUP(A2,'BSE ALL CAP'!$B$4:$Y$1038,21,)</f>
        <v>0.13853658536585356</v>
      </c>
      <c r="W2" s="95">
        <f>VLOOKUP(A2,'BSE ALL CAP'!$B$4:$Y$1038,22,)</f>
        <v>-4.6997389033942572E-2</v>
      </c>
      <c r="X2" s="95">
        <f>VLOOKUP(A2,'BSE ALL CAP'!$B$4:$Y$1038,23,)</f>
        <v>7.1559633027522995E-2</v>
      </c>
      <c r="Y2" s="95">
        <f>VLOOKUP(A2,'BSE ALL CAP'!$B$4:$Y$1038,24,)</f>
        <v>-8.333333333333337E-2</v>
      </c>
    </row>
    <row r="3" spans="1:25" ht="15.75" customHeight="1">
      <c r="A3" s="99">
        <v>543664</v>
      </c>
      <c r="B3" s="98" t="s">
        <v>1405</v>
      </c>
      <c r="C3" s="101" t="str">
        <f>VLOOKUP(A3,'BSE ALL CAP'!$B$4:$Y$1038,2,)</f>
        <v>Industrials</v>
      </c>
      <c r="D3" s="101" t="str">
        <f>VLOOKUP(A3,'BSE ALL CAP'!$B$4:$Y$1038,3,)</f>
        <v>Industrial Products</v>
      </c>
      <c r="E3" s="101">
        <f ca="1">IFERROR(__xludf.DUMMYFUNCTION("GOOGLEFINANCE(""BOM:""&amp;A3,""PRICE"")"),3675)</f>
        <v>3675</v>
      </c>
      <c r="F3" s="112">
        <f ca="1">IFERROR(__xludf.DUMMYFUNCTION("GOOGLEFINANCE(""BOM:""&amp;A3,""MARKETCAP"")/10000000"),23543.26275)</f>
        <v>23543.262750000002</v>
      </c>
      <c r="G3" s="95">
        <f t="shared" ca="1" si="0"/>
        <v>9.4299074749831457E-2</v>
      </c>
      <c r="H3" s="101">
        <f>VLOOKUP(A3,'BSE ALL CAP'!$B$4:$Y$1038,7,)</f>
        <v>2383</v>
      </c>
      <c r="I3" s="101">
        <f>VLOOKUP(A3,'BSE ALL CAP'!$B$4:$Y$1038,8,)</f>
        <v>1737</v>
      </c>
      <c r="J3" s="101">
        <f>VLOOKUP(A3,'BSE ALL CAP'!$B$4:$Y$1038,9,)</f>
        <v>272</v>
      </c>
      <c r="K3" s="101">
        <f>VLOOKUP(A3,'BSE ALL CAP'!$B$4:$Y$1038,10,)</f>
        <v>177</v>
      </c>
      <c r="L3" s="101">
        <f>VLOOKUP(A3,'BSE ALL CAP'!$B$4:$Y$1038,11,)</f>
        <v>804</v>
      </c>
      <c r="M3" s="101">
        <f>VLOOKUP(A3,'BSE ALL CAP'!$B$4:$Y$1038,12,)</f>
        <v>661</v>
      </c>
      <c r="N3" s="101">
        <f>VLOOKUP(A3,'BSE ALL CAP'!$B$4:$Y$1038,13,)</f>
        <v>76</v>
      </c>
      <c r="O3" s="101">
        <f>VLOOKUP(A3,'BSE ALL CAP'!$B$4:$Y$1038,14,)</f>
        <v>66</v>
      </c>
      <c r="P3" s="95">
        <f>VLOOKUP(A3,'BSE ALL CAP'!$B$4:$Y$1038,15,)</f>
        <v>0.1141418380193034</v>
      </c>
      <c r="Q3" s="95">
        <f>VLOOKUP(A3,'BSE ALL CAP'!$B$4:$Y$1038,16,)</f>
        <v>0.10189982728842832</v>
      </c>
      <c r="R3" s="95">
        <f>VLOOKUP(A3,'BSE ALL CAP'!$B$4:$Y$1038,17,)</f>
        <v>1.224201073087508E-2</v>
      </c>
      <c r="S3" s="95">
        <f>VLOOKUP(A3,'BSE ALL CAP'!$B$4:$Y$1038,18,)</f>
        <v>9.4527363184079602E-2</v>
      </c>
      <c r="T3" s="95">
        <f>VLOOKUP(A3,'BSE ALL CAP'!$B$4:$Y$1038,19,)</f>
        <v>9.9848714069591532E-2</v>
      </c>
      <c r="U3" s="95">
        <f>VLOOKUP(A3,'BSE ALL CAP'!$B$4:$Y$1038,20,)</f>
        <v>-5.3213508855119301E-3</v>
      </c>
      <c r="V3" s="95">
        <f>VLOOKUP(A3,'BSE ALL CAP'!$B$4:$Y$1038,21,)</f>
        <v>0.37190558434081744</v>
      </c>
      <c r="W3" s="95">
        <f>VLOOKUP(A3,'BSE ALL CAP'!$B$4:$Y$1038,22,)</f>
        <v>0.53672316384180796</v>
      </c>
      <c r="X3" s="95">
        <f>VLOOKUP(A3,'BSE ALL CAP'!$B$4:$Y$1038,23,)</f>
        <v>0.21633888048411487</v>
      </c>
      <c r="Y3" s="95">
        <f>VLOOKUP(A3,'BSE ALL CAP'!$B$4:$Y$1038,24,)</f>
        <v>0.1515151515151516</v>
      </c>
    </row>
    <row r="4" spans="1:25" ht="15.75" customHeight="1">
      <c r="A4" s="99">
        <v>544466</v>
      </c>
      <c r="B4" s="98" t="s">
        <v>3896</v>
      </c>
      <c r="C4" s="101" t="e">
        <f>VLOOKUP(A4,'BSE ALL CAP'!$B$4:$Y$1038,2,)</f>
        <v>#N/A</v>
      </c>
      <c r="D4" s="101" t="e">
        <f>VLOOKUP(A4,'BSE ALL CAP'!$B$4:$Y$1038,3,)</f>
        <v>#N/A</v>
      </c>
      <c r="E4" s="101">
        <f ca="1">IFERROR(__xludf.DUMMYFUNCTION("GOOGLEFINANCE(""BOM:""&amp;A4,""PRICE"")"),1817.95)</f>
        <v>1817.95</v>
      </c>
      <c r="F4" s="112">
        <f ca="1">IFERROR(__xludf.DUMMYFUNCTION("GOOGLEFINANCE(""BOM:""&amp;A4,""MARKETCAP"")/10000000"),21350.02428)</f>
        <v>21350.024280000001</v>
      </c>
      <c r="G4" s="95">
        <f t="shared" ca="1" si="0"/>
        <v>8.551438077504514E-2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544081</v>
      </c>
      <c r="B5" s="98" t="s">
        <v>3897</v>
      </c>
      <c r="C5" s="101" t="str">
        <f>VLOOKUP(A5,'BSE ALL CAP'!$B$4:$Y$1038,2,)</f>
        <v>Industrials</v>
      </c>
      <c r="D5" s="101" t="str">
        <f>VLOOKUP(A5,'BSE ALL CAP'!$B$4:$Y$1038,3,)</f>
        <v>Industrial Products</v>
      </c>
      <c r="E5" s="101">
        <f ca="1">IFERROR(__xludf.DUMMYFUNCTION("GOOGLEFINANCE(""BOM:""&amp;A5,""PRICE"")"),768.7)</f>
        <v>768.7</v>
      </c>
      <c r="F5" s="112">
        <f ca="1">IFERROR(__xludf.DUMMYFUNCTION("GOOGLEFINANCE(""BOM:""&amp;A5,""MARKETCAP"")/10000000"),17471.771975)</f>
        <v>17471.771975</v>
      </c>
      <c r="G5" s="95">
        <f t="shared" ca="1" si="0"/>
        <v>6.9980611819937116E-2</v>
      </c>
      <c r="H5" s="101">
        <f>VLOOKUP(A5,'BSE ALL CAP'!$B$4:$Y$1038,7,)</f>
        <v>1494</v>
      </c>
      <c r="I5" s="101">
        <f>VLOOKUP(A5,'BSE ALL CAP'!$B$4:$Y$1038,8,)</f>
        <v>1242</v>
      </c>
      <c r="J5" s="101">
        <f>VLOOKUP(A5,'BSE ALL CAP'!$B$4:$Y$1038,9,)</f>
        <v>245</v>
      </c>
      <c r="K5" s="101">
        <f>VLOOKUP(A5,'BSE ALL CAP'!$B$4:$Y$1038,10,)</f>
        <v>207</v>
      </c>
      <c r="L5" s="101">
        <f>VLOOKUP(A5,'BSE ALL CAP'!$B$4:$Y$1038,11,)</f>
        <v>576</v>
      </c>
      <c r="M5" s="101">
        <f>VLOOKUP(A5,'BSE ALL CAP'!$B$4:$Y$1038,12,)</f>
        <v>450</v>
      </c>
      <c r="N5" s="101">
        <f>VLOOKUP(A5,'BSE ALL CAP'!$B$4:$Y$1038,13,)</f>
        <v>88.5</v>
      </c>
      <c r="O5" s="101">
        <f>VLOOKUP(A5,'BSE ALL CAP'!$B$4:$Y$1038,14,)</f>
        <v>80</v>
      </c>
      <c r="P5" s="95">
        <f>VLOOKUP(A5,'BSE ALL CAP'!$B$4:$Y$1038,15,)</f>
        <v>0.1639892904953146</v>
      </c>
      <c r="Q5" s="95">
        <f>VLOOKUP(A5,'BSE ALL CAP'!$B$4:$Y$1038,16,)</f>
        <v>0.16666666666666666</v>
      </c>
      <c r="R5" s="95">
        <f>VLOOKUP(A5,'BSE ALL CAP'!$B$4:$Y$1038,17,)</f>
        <v>-2.6773761713520527E-3</v>
      </c>
      <c r="S5" s="95">
        <f>VLOOKUP(A5,'BSE ALL CAP'!$B$4:$Y$1038,18,)</f>
        <v>0.15364583333333334</v>
      </c>
      <c r="T5" s="95">
        <f>VLOOKUP(A5,'BSE ALL CAP'!$B$4:$Y$1038,19,)</f>
        <v>0.17777777777777778</v>
      </c>
      <c r="U5" s="95">
        <f>VLOOKUP(A5,'BSE ALL CAP'!$B$4:$Y$1038,20,)</f>
        <v>-2.4131944444444442E-2</v>
      </c>
      <c r="V5" s="95">
        <f>VLOOKUP(A5,'BSE ALL CAP'!$B$4:$Y$1038,21,)</f>
        <v>0.20289855072463769</v>
      </c>
      <c r="W5" s="95">
        <f>VLOOKUP(A5,'BSE ALL CAP'!$B$4:$Y$1038,22,)</f>
        <v>0.18357487922705307</v>
      </c>
      <c r="X5" s="95">
        <f>VLOOKUP(A5,'BSE ALL CAP'!$B$4:$Y$1038,23,)</f>
        <v>0.28000000000000003</v>
      </c>
      <c r="Y5" s="95">
        <f>VLOOKUP(A5,'BSE ALL CAP'!$B$4:$Y$1038,24,)</f>
        <v>0.10624999999999996</v>
      </c>
    </row>
    <row r="6" spans="1:25" ht="15.75" customHeight="1">
      <c r="A6" s="99">
        <v>543573</v>
      </c>
      <c r="B6" s="98" t="s">
        <v>3898</v>
      </c>
      <c r="C6" s="101" t="str">
        <f>VLOOKUP(A6,'BSE ALL CAP'!$B$4:$Y$1038,2,)</f>
        <v>Industrials</v>
      </c>
      <c r="D6" s="101" t="str">
        <f>VLOOKUP(A6,'BSE ALL CAP'!$B$4:$Y$1038,3,)</f>
        <v>Industrial Products</v>
      </c>
      <c r="E6" s="101">
        <f ca="1">IFERROR(__xludf.DUMMYFUNCTION("GOOGLEFINANCE(""BOM:""&amp;A6,""PRICE"")"),811.6)</f>
        <v>811.6</v>
      </c>
      <c r="F6" s="112">
        <f ca="1">IFERROR(__xludf.DUMMYFUNCTION("GOOGLEFINANCE(""BOM:""&amp;A6,""MARKETCAP"")/10000000"),15631.3973736)</f>
        <v>15631.397373600001</v>
      </c>
      <c r="G6" s="95">
        <f t="shared" ca="1" si="0"/>
        <v>6.2609262149844774E-2</v>
      </c>
      <c r="H6" s="101">
        <f>VLOOKUP(A6,'BSE ALL CAP'!$B$4:$Y$1038,7,)</f>
        <v>3354</v>
      </c>
      <c r="I6" s="101">
        <f>VLOOKUP(A6,'BSE ALL CAP'!$B$4:$Y$1038,8,)</f>
        <v>2862</v>
      </c>
      <c r="J6" s="101">
        <f>VLOOKUP(A6,'BSE ALL CAP'!$B$4:$Y$1038,9,)</f>
        <v>226</v>
      </c>
      <c r="K6" s="101">
        <f>VLOOKUP(A6,'BSE ALL CAP'!$B$4:$Y$1038,10,)</f>
        <v>113</v>
      </c>
      <c r="L6" s="101">
        <f>VLOOKUP(A6,'BSE ALL CAP'!$B$4:$Y$1038,11,)</f>
        <v>1264</v>
      </c>
      <c r="M6" s="101">
        <f>VLOOKUP(A6,'BSE ALL CAP'!$B$4:$Y$1038,12,)</f>
        <v>869</v>
      </c>
      <c r="N6" s="101">
        <f>VLOOKUP(A6,'BSE ALL CAP'!$B$4:$Y$1038,13,)</f>
        <v>110</v>
      </c>
      <c r="O6" s="101">
        <f>VLOOKUP(A6,'BSE ALL CAP'!$B$4:$Y$1038,14,)</f>
        <v>53</v>
      </c>
      <c r="P6" s="95">
        <f>VLOOKUP(A6,'BSE ALL CAP'!$B$4:$Y$1038,15,)</f>
        <v>6.7382230172927854E-2</v>
      </c>
      <c r="Q6" s="95">
        <f>VLOOKUP(A6,'BSE ALL CAP'!$B$4:$Y$1038,16,)</f>
        <v>3.9482879105520612E-2</v>
      </c>
      <c r="R6" s="95">
        <f>VLOOKUP(A6,'BSE ALL CAP'!$B$4:$Y$1038,17,)</f>
        <v>2.7899351067407242E-2</v>
      </c>
      <c r="S6" s="95">
        <f>VLOOKUP(A6,'BSE ALL CAP'!$B$4:$Y$1038,18,)</f>
        <v>8.7025316455696208E-2</v>
      </c>
      <c r="T6" s="95">
        <f>VLOOKUP(A6,'BSE ALL CAP'!$B$4:$Y$1038,19,)</f>
        <v>6.0989643268124283E-2</v>
      </c>
      <c r="U6" s="95">
        <f>VLOOKUP(A6,'BSE ALL CAP'!$B$4:$Y$1038,20,)</f>
        <v>2.6035673187571926E-2</v>
      </c>
      <c r="V6" s="95">
        <f>VLOOKUP(A6,'BSE ALL CAP'!$B$4:$Y$1038,21,)</f>
        <v>0.1719077568134173</v>
      </c>
      <c r="W6" s="95">
        <f>VLOOKUP(A6,'BSE ALL CAP'!$B$4:$Y$1038,22,)</f>
        <v>1</v>
      </c>
      <c r="X6" s="95">
        <f>VLOOKUP(A6,'BSE ALL CAP'!$B$4:$Y$1038,23,)</f>
        <v>0.45454545454545459</v>
      </c>
      <c r="Y6" s="95">
        <f>VLOOKUP(A6,'BSE ALL CAP'!$B$4:$Y$1038,24,)</f>
        <v>1.0754716981132075</v>
      </c>
    </row>
    <row r="7" spans="1:25" ht="15.75" customHeight="1">
      <c r="A7" s="99">
        <v>500252</v>
      </c>
      <c r="B7" s="98" t="s">
        <v>3899</v>
      </c>
      <c r="C7" s="101" t="str">
        <f>VLOOKUP(A7,'BSE ALL CAP'!$B$4:$Y$1038,2,)</f>
        <v>Industrials</v>
      </c>
      <c r="D7" s="101" t="str">
        <f>VLOOKUP(A7,'BSE ALL CAP'!$B$4:$Y$1038,3,)</f>
        <v>Industrial Products</v>
      </c>
      <c r="E7" s="101">
        <f ca="1">IFERROR(__xludf.DUMMYFUNCTION("GOOGLEFINANCE(""BOM:""&amp;A7,""PRICE"")"),13215)</f>
        <v>13215</v>
      </c>
      <c r="F7" s="112">
        <f ca="1">IFERROR(__xludf.DUMMYFUNCTION("GOOGLEFINANCE(""BOM:""&amp;A7,""MARKETCAP"")/10000000"),13151.84)</f>
        <v>13151.84</v>
      </c>
      <c r="G7" s="95">
        <f t="shared" ca="1" si="0"/>
        <v>5.2677759936133883E-2</v>
      </c>
      <c r="H7" s="101">
        <f>VLOOKUP(A7,'BSE ALL CAP'!$B$4:$Y$1038,7,)</f>
        <v>2381</v>
      </c>
      <c r="I7" s="101">
        <f>VLOOKUP(A7,'BSE ALL CAP'!$B$4:$Y$1038,8,)</f>
        <v>2300</v>
      </c>
      <c r="J7" s="101">
        <f>VLOOKUP(A7,'BSE ALL CAP'!$B$4:$Y$1038,9,)</f>
        <v>67</v>
      </c>
      <c r="K7" s="101">
        <f>VLOOKUP(A7,'BSE ALL CAP'!$B$4:$Y$1038,10,)</f>
        <v>55</v>
      </c>
      <c r="L7" s="101">
        <f>VLOOKUP(A7,'BSE ALL CAP'!$B$4:$Y$1038,11,)</f>
        <v>788</v>
      </c>
      <c r="M7" s="101">
        <f>VLOOKUP(A7,'BSE ALL CAP'!$B$4:$Y$1038,12,)</f>
        <v>799</v>
      </c>
      <c r="N7" s="101">
        <f>VLOOKUP(A7,'BSE ALL CAP'!$B$4:$Y$1038,13,)</f>
        <v>15</v>
      </c>
      <c r="O7" s="101">
        <f>VLOOKUP(A7,'BSE ALL CAP'!$B$4:$Y$1038,14,)</f>
        <v>19</v>
      </c>
      <c r="P7" s="95">
        <f>VLOOKUP(A7,'BSE ALL CAP'!$B$4:$Y$1038,15,)</f>
        <v>2.8139437211255777E-2</v>
      </c>
      <c r="Q7" s="95">
        <f>VLOOKUP(A7,'BSE ALL CAP'!$B$4:$Y$1038,16,)</f>
        <v>2.391304347826087E-2</v>
      </c>
      <c r="R7" s="95">
        <f>VLOOKUP(A7,'BSE ALL CAP'!$B$4:$Y$1038,17,)</f>
        <v>4.2263937329949063E-3</v>
      </c>
      <c r="S7" s="95">
        <f>VLOOKUP(A7,'BSE ALL CAP'!$B$4:$Y$1038,18,)</f>
        <v>1.9035532994923859E-2</v>
      </c>
      <c r="T7" s="95">
        <f>VLOOKUP(A7,'BSE ALL CAP'!$B$4:$Y$1038,19,)</f>
        <v>2.3779724655819776E-2</v>
      </c>
      <c r="U7" s="95">
        <f>VLOOKUP(A7,'BSE ALL CAP'!$B$4:$Y$1038,20,)</f>
        <v>-4.7441916608959162E-3</v>
      </c>
      <c r="V7" s="95">
        <f>VLOOKUP(A7,'BSE ALL CAP'!$B$4:$Y$1038,21,)</f>
        <v>3.5217391304347867E-2</v>
      </c>
      <c r="W7" s="95">
        <f>VLOOKUP(A7,'BSE ALL CAP'!$B$4:$Y$1038,22,)</f>
        <v>0.21818181818181825</v>
      </c>
      <c r="X7" s="95">
        <f>VLOOKUP(A7,'BSE ALL CAP'!$B$4:$Y$1038,23,)</f>
        <v>-1.3767209011264048E-2</v>
      </c>
      <c r="Y7" s="95">
        <f>VLOOKUP(A7,'BSE ALL CAP'!$B$4:$Y$1038,24,)</f>
        <v>-0.21052631578947367</v>
      </c>
    </row>
    <row r="8" spans="1:25" ht="15.75" customHeight="1">
      <c r="A8" s="99">
        <v>543413</v>
      </c>
      <c r="B8" s="98" t="s">
        <v>3900</v>
      </c>
      <c r="C8" s="101" t="str">
        <f>VLOOKUP(A8,'BSE ALL CAP'!$B$4:$Y$1038,2,)</f>
        <v>Industrials</v>
      </c>
      <c r="D8" s="101" t="str">
        <f>VLOOKUP(A8,'BSE ALL CAP'!$B$4:$Y$1038,3,)</f>
        <v>Industrial Products</v>
      </c>
      <c r="E8" s="101">
        <f ca="1">IFERROR(__xludf.DUMMYFUNCTION("GOOGLEFINANCE(""BOM:""&amp;A8,""PRICE"")"),1720.95)</f>
        <v>1720.95</v>
      </c>
      <c r="F8" s="112">
        <f ca="1">IFERROR(__xludf.DUMMYFUNCTION("GOOGLEFINANCE(""BOM:""&amp;A8,""MARKETCAP"")/10000000"),12907.6865173)</f>
        <v>12907.686517300001</v>
      </c>
      <c r="G8" s="95">
        <f t="shared" ca="1" si="0"/>
        <v>5.1699839086333278E-2</v>
      </c>
      <c r="H8" s="101">
        <f>VLOOKUP(A8,'BSE ALL CAP'!$B$4:$Y$1038,7,)</f>
        <v>1165</v>
      </c>
      <c r="I8" s="101">
        <f>VLOOKUP(A8,'BSE ALL CAP'!$B$4:$Y$1038,8,)</f>
        <v>1102</v>
      </c>
      <c r="J8" s="101">
        <f>VLOOKUP(A8,'BSE ALL CAP'!$B$4:$Y$1038,9,)</f>
        <v>99</v>
      </c>
      <c r="K8" s="101">
        <f>VLOOKUP(A8,'BSE ALL CAP'!$B$4:$Y$1038,10,)</f>
        <v>98</v>
      </c>
      <c r="L8" s="101">
        <f>VLOOKUP(A8,'BSE ALL CAP'!$B$4:$Y$1038,11,)</f>
        <v>403</v>
      </c>
      <c r="M8" s="101">
        <f>VLOOKUP(A8,'BSE ALL CAP'!$B$4:$Y$1038,12,)</f>
        <v>409</v>
      </c>
      <c r="N8" s="101">
        <f>VLOOKUP(A8,'BSE ALL CAP'!$B$4:$Y$1038,13,)</f>
        <v>19</v>
      </c>
      <c r="O8" s="101">
        <f>VLOOKUP(A8,'BSE ALL CAP'!$B$4:$Y$1038,14,)</f>
        <v>54</v>
      </c>
      <c r="P8" s="95">
        <f>VLOOKUP(A8,'BSE ALL CAP'!$B$4:$Y$1038,15,)</f>
        <v>8.4978540772532182E-2</v>
      </c>
      <c r="Q8" s="95">
        <f>VLOOKUP(A8,'BSE ALL CAP'!$B$4:$Y$1038,16,)</f>
        <v>8.8929219600725959E-2</v>
      </c>
      <c r="R8" s="95">
        <f>VLOOKUP(A8,'BSE ALL CAP'!$B$4:$Y$1038,17,)</f>
        <v>-3.9506788281937766E-3</v>
      </c>
      <c r="S8" s="95">
        <f>VLOOKUP(A8,'BSE ALL CAP'!$B$4:$Y$1038,18,)</f>
        <v>4.7146401985111663E-2</v>
      </c>
      <c r="T8" s="95">
        <f>VLOOKUP(A8,'BSE ALL CAP'!$B$4:$Y$1038,19,)</f>
        <v>0.13202933985330073</v>
      </c>
      <c r="U8" s="95">
        <f>VLOOKUP(A8,'BSE ALL CAP'!$B$4:$Y$1038,20,)</f>
        <v>-8.4882937868189068E-2</v>
      </c>
      <c r="V8" s="95">
        <f>VLOOKUP(A8,'BSE ALL CAP'!$B$4:$Y$1038,21,)</f>
        <v>5.7168784029038022E-2</v>
      </c>
      <c r="W8" s="95">
        <f>VLOOKUP(A8,'BSE ALL CAP'!$B$4:$Y$1038,22,)</f>
        <v>1.0204081632652962E-2</v>
      </c>
      <c r="X8" s="95">
        <f>VLOOKUP(A8,'BSE ALL CAP'!$B$4:$Y$1038,23,)</f>
        <v>-1.4669926650366705E-2</v>
      </c>
      <c r="Y8" s="95">
        <f>VLOOKUP(A8,'BSE ALL CAP'!$B$4:$Y$1038,24,)</f>
        <v>-0.64814814814814814</v>
      </c>
    </row>
    <row r="9" spans="1:25" ht="15.75" customHeight="1">
      <c r="A9" s="99">
        <v>500191</v>
      </c>
      <c r="B9" s="98" t="s">
        <v>3901</v>
      </c>
      <c r="C9" s="101" t="e">
        <f>VLOOKUP(A9,'BSE ALL CAP'!$B$4:$Y$1038,2,)</f>
        <v>#N/A</v>
      </c>
      <c r="D9" s="101" t="e">
        <f>VLOOKUP(A9,'BSE ALL CAP'!$B$4:$Y$1038,3,)</f>
        <v>#N/A</v>
      </c>
      <c r="E9" s="101">
        <f ca="1">IFERROR(__xludf.DUMMYFUNCTION("GOOGLEFINANCE(""BOM:""&amp;A9,""PRICE"")"),61.42)</f>
        <v>61.42</v>
      </c>
      <c r="F9" s="112">
        <f ca="1">IFERROR(__xludf.DUMMYFUNCTION("GOOGLEFINANCE(""BOM:""&amp;A9,""MARKETCAP"")/10000000"),7524.8895016)</f>
        <v>7524.8895015999997</v>
      </c>
      <c r="G9" s="95">
        <f t="shared" ca="1" si="0"/>
        <v>3.0139837673756595E-2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505242</v>
      </c>
      <c r="B10" s="98" t="s">
        <v>3902</v>
      </c>
      <c r="C10" s="101" t="str">
        <f>VLOOKUP(A10,'BSE ALL CAP'!$B$4:$Y$1038,2,)</f>
        <v>Industrials</v>
      </c>
      <c r="D10" s="101" t="str">
        <f>VLOOKUP(A10,'BSE ALL CAP'!$B$4:$Y$1038,3,)</f>
        <v>Industrial Products</v>
      </c>
      <c r="E10" s="101">
        <f ca="1">IFERROR(__xludf.DUMMYFUNCTION("GOOGLEFINANCE(""BOM:""&amp;A10,""PRICE"")"),9282.3)</f>
        <v>9282.2999999999993</v>
      </c>
      <c r="F10" s="112">
        <f ca="1">IFERROR(__xludf.DUMMYFUNCTION("GOOGLEFINANCE(""BOM:""&amp;A10,""MARKETCAP"")/10000000"),6306.8726133)</f>
        <v>6306.8726133</v>
      </c>
      <c r="G10" s="95">
        <f t="shared" ca="1" si="0"/>
        <v>2.5261250248725255E-2</v>
      </c>
      <c r="H10" s="101">
        <f>VLOOKUP(A10,'BSE ALL CAP'!$B$4:$Y$1038,7,)</f>
        <v>1188</v>
      </c>
      <c r="I10" s="101">
        <f>VLOOKUP(A10,'BSE ALL CAP'!$B$4:$Y$1038,8,)</f>
        <v>1023</v>
      </c>
      <c r="J10" s="101">
        <f>VLOOKUP(A10,'BSE ALL CAP'!$B$4:$Y$1038,9,)</f>
        <v>19</v>
      </c>
      <c r="K10" s="101">
        <f>VLOOKUP(A10,'BSE ALL CAP'!$B$4:$Y$1038,10,)</f>
        <v>26</v>
      </c>
      <c r="L10" s="101">
        <f>VLOOKUP(A10,'BSE ALL CAP'!$B$4:$Y$1038,11,)</f>
        <v>424</v>
      </c>
      <c r="M10" s="101">
        <f>VLOOKUP(A10,'BSE ALL CAP'!$B$4:$Y$1038,12,)</f>
        <v>315</v>
      </c>
      <c r="N10" s="101">
        <f>VLOOKUP(A10,'BSE ALL CAP'!$B$4:$Y$1038,13,)</f>
        <v>5</v>
      </c>
      <c r="O10" s="101">
        <f>VLOOKUP(A10,'BSE ALL CAP'!$B$4:$Y$1038,14,)</f>
        <v>3</v>
      </c>
      <c r="P10" s="95">
        <f>VLOOKUP(A10,'BSE ALL CAP'!$B$4:$Y$1038,15,)</f>
        <v>1.5993265993265993E-2</v>
      </c>
      <c r="Q10" s="95">
        <f>VLOOKUP(A10,'BSE ALL CAP'!$B$4:$Y$1038,16,)</f>
        <v>2.5415444770283482E-2</v>
      </c>
      <c r="R10" s="95">
        <f>VLOOKUP(A10,'BSE ALL CAP'!$B$4:$Y$1038,17,)</f>
        <v>-9.4221787770174883E-3</v>
      </c>
      <c r="S10" s="95">
        <f>VLOOKUP(A10,'BSE ALL CAP'!$B$4:$Y$1038,18,)</f>
        <v>1.179245283018868E-2</v>
      </c>
      <c r="T10" s="95">
        <f>VLOOKUP(A10,'BSE ALL CAP'!$B$4:$Y$1038,19,)</f>
        <v>9.5238095238095247E-3</v>
      </c>
      <c r="U10" s="95">
        <f>VLOOKUP(A10,'BSE ALL CAP'!$B$4:$Y$1038,20,)</f>
        <v>2.2686433063791554E-3</v>
      </c>
      <c r="V10" s="95">
        <f>VLOOKUP(A10,'BSE ALL CAP'!$B$4:$Y$1038,21,)</f>
        <v>0.16129032258064524</v>
      </c>
      <c r="W10" s="95">
        <f>VLOOKUP(A10,'BSE ALL CAP'!$B$4:$Y$1038,22,)</f>
        <v>-0.26923076923076927</v>
      </c>
      <c r="X10" s="95">
        <f>VLOOKUP(A10,'BSE ALL CAP'!$B$4:$Y$1038,23,)</f>
        <v>0.34603174603174613</v>
      </c>
      <c r="Y10" s="95">
        <f>VLOOKUP(A10,'BSE ALL CAP'!$B$4:$Y$1038,24,)</f>
        <v>0.66666666666666674</v>
      </c>
    </row>
    <row r="11" spans="1:25" ht="15.75" customHeight="1">
      <c r="A11" s="99">
        <v>522205</v>
      </c>
      <c r="B11" s="98" t="s">
        <v>3903</v>
      </c>
      <c r="C11" s="101" t="str">
        <f>VLOOKUP(A11,'BSE ALL CAP'!$B$4:$Y$1038,2,)</f>
        <v>Industrials</v>
      </c>
      <c r="D11" s="101" t="str">
        <f>VLOOKUP(A11,'BSE ALL CAP'!$B$4:$Y$1038,3,)</f>
        <v>Industrial Products</v>
      </c>
      <c r="E11" s="101">
        <f ca="1">IFERROR(__xludf.DUMMYFUNCTION("GOOGLEFINANCE(""BOM:""&amp;A11,""PRICE"")"),340)</f>
        <v>340</v>
      </c>
      <c r="F11" s="112">
        <f ca="1">IFERROR(__xludf.DUMMYFUNCTION("GOOGLEFINANCE(""BOM:""&amp;A11,""MARKETCAP"")/10000000"),6252.3990828)</f>
        <v>6252.3990827999996</v>
      </c>
      <c r="G11" s="95">
        <f t="shared" ca="1" si="0"/>
        <v>2.5043064537634434E-2</v>
      </c>
      <c r="H11" s="101">
        <f>VLOOKUP(A11,'BSE ALL CAP'!$B$4:$Y$1038,7,)</f>
        <v>2323</v>
      </c>
      <c r="I11" s="101">
        <f>VLOOKUP(A11,'BSE ALL CAP'!$B$4:$Y$1038,8,)</f>
        <v>2368</v>
      </c>
      <c r="J11" s="101">
        <f>VLOOKUP(A11,'BSE ALL CAP'!$B$4:$Y$1038,9,)</f>
        <v>12</v>
      </c>
      <c r="K11" s="101">
        <f>VLOOKUP(A11,'BSE ALL CAP'!$B$4:$Y$1038,10,)</f>
        <v>179</v>
      </c>
      <c r="L11" s="101">
        <f>VLOOKUP(A11,'BSE ALL CAP'!$B$4:$Y$1038,11,)</f>
        <v>841</v>
      </c>
      <c r="M11" s="101">
        <f>VLOOKUP(A11,'BSE ALL CAP'!$B$4:$Y$1038,12,)</f>
        <v>853</v>
      </c>
      <c r="N11" s="101">
        <f>VLOOKUP(A11,'BSE ALL CAP'!$B$4:$Y$1038,13,)</f>
        <v>-12</v>
      </c>
      <c r="O11" s="101">
        <f>VLOOKUP(A11,'BSE ALL CAP'!$B$4:$Y$1038,14,)</f>
        <v>41</v>
      </c>
      <c r="P11" s="95">
        <f>VLOOKUP(A11,'BSE ALL CAP'!$B$4:$Y$1038,15,)</f>
        <v>5.165733964700818E-3</v>
      </c>
      <c r="Q11" s="95">
        <f>VLOOKUP(A11,'BSE ALL CAP'!$B$4:$Y$1038,16,)</f>
        <v>7.5591216216216214E-2</v>
      </c>
      <c r="R11" s="95">
        <f>VLOOKUP(A11,'BSE ALL CAP'!$B$4:$Y$1038,17,)</f>
        <v>-7.0425482251515403E-2</v>
      </c>
      <c r="S11" s="95">
        <f>VLOOKUP(A11,'BSE ALL CAP'!$B$4:$Y$1038,18,)</f>
        <v>-1.4268727705112961E-2</v>
      </c>
      <c r="T11" s="95">
        <f>VLOOKUP(A11,'BSE ALL CAP'!$B$4:$Y$1038,19,)</f>
        <v>4.8065650644783117E-2</v>
      </c>
      <c r="U11" s="95">
        <f>VLOOKUP(A11,'BSE ALL CAP'!$B$4:$Y$1038,20,)</f>
        <v>-6.233437834989608E-2</v>
      </c>
      <c r="V11" s="95">
        <f>VLOOKUP(A11,'BSE ALL CAP'!$B$4:$Y$1038,21,)</f>
        <v>-1.9003378378378399E-2</v>
      </c>
      <c r="W11" s="95">
        <f>VLOOKUP(A11,'BSE ALL CAP'!$B$4:$Y$1038,22,)</f>
        <v>-0.93296089385474856</v>
      </c>
      <c r="X11" s="95">
        <f>VLOOKUP(A11,'BSE ALL CAP'!$B$4:$Y$1038,23,)</f>
        <v>-1.4067995310668269E-2</v>
      </c>
      <c r="Y11" s="95">
        <f>VLOOKUP(A11,'BSE ALL CAP'!$B$4:$Y$1038,24,)</f>
        <v>-1.2926829268292683</v>
      </c>
    </row>
    <row r="12" spans="1:25" ht="15.75" customHeight="1">
      <c r="A12" s="99">
        <v>539992</v>
      </c>
      <c r="B12" s="98" t="s">
        <v>3904</v>
      </c>
      <c r="C12" s="101" t="str">
        <f>VLOOKUP(A12,'BSE ALL CAP'!$B$4:$Y$1038,2,)</f>
        <v>Industrials</v>
      </c>
      <c r="D12" s="101" t="str">
        <f>VLOOKUP(A12,'BSE ALL CAP'!$B$4:$Y$1038,3,)</f>
        <v>Industrial Products</v>
      </c>
      <c r="E12" s="101">
        <f ca="1">IFERROR(__xludf.DUMMYFUNCTION("GOOGLEFINANCE(""BOM:""&amp;A12,""PRICE"")"),43.51)</f>
        <v>43.51</v>
      </c>
      <c r="F12" s="112">
        <f ca="1">IFERROR(__xludf.DUMMYFUNCTION("GOOGLEFINANCE(""BOM:""&amp;A12,""MARKETCAP"")/10000000"),6279.6451659)</f>
        <v>6279.6451659000004</v>
      </c>
      <c r="G12" s="95">
        <f t="shared" ca="1" si="0"/>
        <v>2.5152194714456979E-2</v>
      </c>
      <c r="H12" s="101">
        <f>VLOOKUP(A12,'BSE ALL CAP'!$B$4:$Y$1038,7,)</f>
        <v>806</v>
      </c>
      <c r="I12" s="101">
        <f>VLOOKUP(A12,'BSE ALL CAP'!$B$4:$Y$1038,8,)</f>
        <v>614</v>
      </c>
      <c r="J12" s="101">
        <f>VLOOKUP(A12,'BSE ALL CAP'!$B$4:$Y$1038,9,)</f>
        <v>117</v>
      </c>
      <c r="K12" s="101">
        <f>VLOOKUP(A12,'BSE ALL CAP'!$B$4:$Y$1038,10,)</f>
        <v>85</v>
      </c>
      <c r="L12" s="101">
        <f>VLOOKUP(A12,'BSE ALL CAP'!$B$4:$Y$1038,11,)</f>
        <v>272</v>
      </c>
      <c r="M12" s="101">
        <f>VLOOKUP(A12,'BSE ALL CAP'!$B$4:$Y$1038,12,)</f>
        <v>266</v>
      </c>
      <c r="N12" s="101">
        <f>VLOOKUP(A12,'BSE ALL CAP'!$B$4:$Y$1038,13,)</f>
        <v>56</v>
      </c>
      <c r="O12" s="101">
        <f>VLOOKUP(A12,'BSE ALL CAP'!$B$4:$Y$1038,14,)</f>
        <v>36</v>
      </c>
      <c r="P12" s="95">
        <f>VLOOKUP(A12,'BSE ALL CAP'!$B$4:$Y$1038,15,)</f>
        <v>0.14516129032258066</v>
      </c>
      <c r="Q12" s="95">
        <f>VLOOKUP(A12,'BSE ALL CAP'!$B$4:$Y$1038,16,)</f>
        <v>0.13843648208469056</v>
      </c>
      <c r="R12" s="95">
        <f>VLOOKUP(A12,'BSE ALL CAP'!$B$4:$Y$1038,17,)</f>
        <v>6.7248082378900953E-3</v>
      </c>
      <c r="S12" s="95">
        <f>VLOOKUP(A12,'BSE ALL CAP'!$B$4:$Y$1038,18,)</f>
        <v>0.20588235294117646</v>
      </c>
      <c r="T12" s="95">
        <f>VLOOKUP(A12,'BSE ALL CAP'!$B$4:$Y$1038,19,)</f>
        <v>0.13533834586466165</v>
      </c>
      <c r="U12" s="95">
        <f>VLOOKUP(A12,'BSE ALL CAP'!$B$4:$Y$1038,20,)</f>
        <v>7.0544007076514814E-2</v>
      </c>
      <c r="V12" s="95">
        <f>VLOOKUP(A12,'BSE ALL CAP'!$B$4:$Y$1038,21,)</f>
        <v>0.31270358306188917</v>
      </c>
      <c r="W12" s="95">
        <f>VLOOKUP(A12,'BSE ALL CAP'!$B$4:$Y$1038,22,)</f>
        <v>0.37647058823529411</v>
      </c>
      <c r="X12" s="95">
        <f>VLOOKUP(A12,'BSE ALL CAP'!$B$4:$Y$1038,23,)</f>
        <v>2.2556390977443552E-2</v>
      </c>
      <c r="Y12" s="95">
        <f>VLOOKUP(A12,'BSE ALL CAP'!$B$4:$Y$1038,24,)</f>
        <v>0.55555555555555558</v>
      </c>
    </row>
    <row r="13" spans="1:25" ht="15.75" customHeight="1">
      <c r="A13" s="99">
        <v>505890</v>
      </c>
      <c r="B13" s="98" t="s">
        <v>3905</v>
      </c>
      <c r="C13" s="101" t="str">
        <f>VLOOKUP(A13,'BSE ALL CAP'!$B$4:$Y$1038,2,)</f>
        <v>Industrials</v>
      </c>
      <c r="D13" s="101" t="str">
        <f>VLOOKUP(A13,'BSE ALL CAP'!$B$4:$Y$1038,3,)</f>
        <v>Industrial Products</v>
      </c>
      <c r="E13" s="101">
        <f ca="1">IFERROR(__xludf.DUMMYFUNCTION("GOOGLEFINANCE(""BOM:""&amp;A13,""PRICE"")"),2210)</f>
        <v>2210</v>
      </c>
      <c r="F13" s="112">
        <f ca="1">IFERROR(__xludf.DUMMYFUNCTION("GOOGLEFINANCE(""BOM:""&amp;A13,""MARKETCAP"")/10000000"),4857.18883)</f>
        <v>4857.1888300000001</v>
      </c>
      <c r="G13" s="95">
        <f t="shared" ca="1" si="0"/>
        <v>1.9454755163628133E-2</v>
      </c>
      <c r="H13" s="101">
        <f>VLOOKUP(A13,'BSE ALL CAP'!$B$4:$Y$1038,7,)</f>
        <v>630</v>
      </c>
      <c r="I13" s="101">
        <f>VLOOKUP(A13,'BSE ALL CAP'!$B$4:$Y$1038,8,)</f>
        <v>557</v>
      </c>
      <c r="J13" s="101">
        <f>VLOOKUP(A13,'BSE ALL CAP'!$B$4:$Y$1038,9,)</f>
        <v>55</v>
      </c>
      <c r="K13" s="101">
        <f>VLOOKUP(A13,'BSE ALL CAP'!$B$4:$Y$1038,10,)</f>
        <v>47</v>
      </c>
      <c r="L13" s="101">
        <f>VLOOKUP(A13,'BSE ALL CAP'!$B$4:$Y$1038,11,)</f>
        <v>33</v>
      </c>
      <c r="M13" s="101">
        <f>VLOOKUP(A13,'BSE ALL CAP'!$B$4:$Y$1038,12,)</f>
        <v>28</v>
      </c>
      <c r="N13" s="101">
        <f>VLOOKUP(A13,'BSE ALL CAP'!$B$4:$Y$1038,13,)</f>
        <v>24</v>
      </c>
      <c r="O13" s="101">
        <f>VLOOKUP(A13,'BSE ALL CAP'!$B$4:$Y$1038,14,)</f>
        <v>22</v>
      </c>
      <c r="P13" s="95">
        <f>VLOOKUP(A13,'BSE ALL CAP'!$B$4:$Y$1038,15,)</f>
        <v>8.7301587301587297E-2</v>
      </c>
      <c r="Q13" s="95">
        <f>VLOOKUP(A13,'BSE ALL CAP'!$B$4:$Y$1038,16,)</f>
        <v>8.4380610412926396E-2</v>
      </c>
      <c r="R13" s="95">
        <f>VLOOKUP(A13,'BSE ALL CAP'!$B$4:$Y$1038,17,)</f>
        <v>2.9209768886609006E-3</v>
      </c>
      <c r="S13" s="95">
        <f>VLOOKUP(A13,'BSE ALL CAP'!$B$4:$Y$1038,18,)</f>
        <v>0.72727272727272729</v>
      </c>
      <c r="T13" s="95">
        <f>VLOOKUP(A13,'BSE ALL CAP'!$B$4:$Y$1038,19,)</f>
        <v>0.7857142857142857</v>
      </c>
      <c r="U13" s="95">
        <f>VLOOKUP(A13,'BSE ALL CAP'!$B$4:$Y$1038,20,)</f>
        <v>-5.8441558441558406E-2</v>
      </c>
      <c r="V13" s="95">
        <f>VLOOKUP(A13,'BSE ALL CAP'!$B$4:$Y$1038,21,)</f>
        <v>0.13105924596050267</v>
      </c>
      <c r="W13" s="95">
        <f>VLOOKUP(A13,'BSE ALL CAP'!$B$4:$Y$1038,22,)</f>
        <v>0.17021276595744683</v>
      </c>
      <c r="X13" s="95">
        <f>VLOOKUP(A13,'BSE ALL CAP'!$B$4:$Y$1038,23,)</f>
        <v>0.1785714285714286</v>
      </c>
      <c r="Y13" s="95">
        <f>VLOOKUP(A13,'BSE ALL CAP'!$B$4:$Y$1038,24,)</f>
        <v>9.0909090909090828E-2</v>
      </c>
    </row>
    <row r="14" spans="1:25" ht="15.75" customHeight="1">
      <c r="A14" s="99">
        <v>517544</v>
      </c>
      <c r="B14" s="98" t="s">
        <v>3906</v>
      </c>
      <c r="C14" s="101" t="str">
        <f>VLOOKUP(A14,'BSE ALL CAP'!$B$4:$Y$1038,2,)</f>
        <v>Industrials</v>
      </c>
      <c r="D14" s="101" t="str">
        <f>VLOOKUP(A14,'BSE ALL CAP'!$B$4:$Y$1038,3,)</f>
        <v>Industrial Products</v>
      </c>
      <c r="E14" s="101">
        <f ca="1">IFERROR(__xludf.DUMMYFUNCTION("GOOGLEFINANCE(""BOM:""&amp;A14,""PRICE"")"),2786.6)</f>
        <v>2786.6</v>
      </c>
      <c r="F14" s="112">
        <f ca="1">IFERROR(__xludf.DUMMYFUNCTION("GOOGLEFINANCE(""BOM:""&amp;A14,""MARKETCAP"")/10000000"),4114.207518)</f>
        <v>4114.2075180000002</v>
      </c>
      <c r="G14" s="95">
        <f t="shared" ca="1" si="0"/>
        <v>1.6478852841932477E-2</v>
      </c>
      <c r="H14" s="101">
        <f>VLOOKUP(A14,'BSE ALL CAP'!$B$4:$Y$1038,7,)</f>
        <v>8519</v>
      </c>
      <c r="I14" s="101">
        <f>VLOOKUP(A14,'BSE ALL CAP'!$B$4:$Y$1038,8,)</f>
        <v>7372</v>
      </c>
      <c r="J14" s="101">
        <f>VLOOKUP(A14,'BSE ALL CAP'!$B$4:$Y$1038,9,)</f>
        <v>-53</v>
      </c>
      <c r="K14" s="101">
        <f>VLOOKUP(A14,'BSE ALL CAP'!$B$4:$Y$1038,10,)</f>
        <v>-23</v>
      </c>
      <c r="L14" s="101">
        <f>VLOOKUP(A14,'BSE ALL CAP'!$B$4:$Y$1038,11,)</f>
        <v>232</v>
      </c>
      <c r="M14" s="101">
        <f>VLOOKUP(A14,'BSE ALL CAP'!$B$4:$Y$1038,12,)</f>
        <v>267</v>
      </c>
      <c r="N14" s="101">
        <f>VLOOKUP(A14,'BSE ALL CAP'!$B$4:$Y$1038,13,)</f>
        <v>-61</v>
      </c>
      <c r="O14" s="101">
        <f>VLOOKUP(A14,'BSE ALL CAP'!$B$4:$Y$1038,14,)</f>
        <v>-19</v>
      </c>
      <c r="P14" s="95">
        <f>VLOOKUP(A14,'BSE ALL CAP'!$B$4:$Y$1038,15,)</f>
        <v>-6.2213874867942248E-3</v>
      </c>
      <c r="Q14" s="95">
        <f>VLOOKUP(A14,'BSE ALL CAP'!$B$4:$Y$1038,16,)</f>
        <v>-3.1199131850244166E-3</v>
      </c>
      <c r="R14" s="95">
        <f>VLOOKUP(A14,'BSE ALL CAP'!$B$4:$Y$1038,17,)</f>
        <v>-3.1014743017698083E-3</v>
      </c>
      <c r="S14" s="95">
        <f>VLOOKUP(A14,'BSE ALL CAP'!$B$4:$Y$1038,18,)</f>
        <v>-0.26293103448275862</v>
      </c>
      <c r="T14" s="95">
        <f>VLOOKUP(A14,'BSE ALL CAP'!$B$4:$Y$1038,19,)</f>
        <v>-7.116104868913857E-2</v>
      </c>
      <c r="U14" s="95">
        <f>VLOOKUP(A14,'BSE ALL CAP'!$B$4:$Y$1038,20,)</f>
        <v>-0.19176998579362003</v>
      </c>
      <c r="V14" s="95">
        <f>VLOOKUP(A14,'BSE ALL CAP'!$B$4:$Y$1038,21,)</f>
        <v>0.1555887140531742</v>
      </c>
      <c r="W14" s="95">
        <f>VLOOKUP(A14,'BSE ALL CAP'!$B$4:$Y$1038,22,)</f>
        <v>1.3043478260869565</v>
      </c>
      <c r="X14" s="95">
        <f>VLOOKUP(A14,'BSE ALL CAP'!$B$4:$Y$1038,23,)</f>
        <v>-0.13108614232209737</v>
      </c>
      <c r="Y14" s="95">
        <f>VLOOKUP(A14,'BSE ALL CAP'!$B$4:$Y$1038,24,)</f>
        <v>2.2105263157894739</v>
      </c>
    </row>
    <row r="15" spans="1:25" ht="15.75" customHeight="1">
      <c r="A15" s="99">
        <v>505255</v>
      </c>
      <c r="B15" s="98" t="s">
        <v>3907</v>
      </c>
      <c r="C15" s="101" t="str">
        <f>VLOOKUP(A15,'BSE ALL CAP'!$B$4:$Y$1038,2,)</f>
        <v>Industrials</v>
      </c>
      <c r="D15" s="101" t="str">
        <f>VLOOKUP(A15,'BSE ALL CAP'!$B$4:$Y$1038,3,)</f>
        <v>Industrial Products</v>
      </c>
      <c r="E15" s="101">
        <f ca="1">IFERROR(__xludf.DUMMYFUNCTION("GOOGLEFINANCE(""BOM:""&amp;A15,""PRICE"")"),865.85)</f>
        <v>865.85</v>
      </c>
      <c r="F15" s="112">
        <f ca="1">IFERROR(__xludf.DUMMYFUNCTION("GOOGLEFINANCE(""BOM:""&amp;A15,""MARKETCAP"")/10000000"),3890.3729229)</f>
        <v>3890.3729229</v>
      </c>
      <c r="G15" s="95">
        <f t="shared" ca="1" si="0"/>
        <v>1.5582316306658361E-2</v>
      </c>
      <c r="H15" s="101">
        <f>VLOOKUP(A15,'BSE ALL CAP'!$B$4:$Y$1038,7,)</f>
        <v>2580</v>
      </c>
      <c r="I15" s="101">
        <f>VLOOKUP(A15,'BSE ALL CAP'!$B$4:$Y$1038,8,)</f>
        <v>2392</v>
      </c>
      <c r="J15" s="101">
        <f>VLOOKUP(A15,'BSE ALL CAP'!$B$4:$Y$1038,9,)</f>
        <v>41</v>
      </c>
      <c r="K15" s="101">
        <f>VLOOKUP(A15,'BSE ALL CAP'!$B$4:$Y$1038,10,)</f>
        <v>77</v>
      </c>
      <c r="L15" s="101">
        <f>VLOOKUP(A15,'BSE ALL CAP'!$B$4:$Y$1038,11,)</f>
        <v>883</v>
      </c>
      <c r="M15" s="101">
        <f>VLOOKUP(A15,'BSE ALL CAP'!$B$4:$Y$1038,12,)</f>
        <v>801</v>
      </c>
      <c r="N15" s="101">
        <f>VLOOKUP(A15,'BSE ALL CAP'!$B$4:$Y$1038,13,)</f>
        <v>-9</v>
      </c>
      <c r="O15" s="101">
        <f>VLOOKUP(A15,'BSE ALL CAP'!$B$4:$Y$1038,14,)</f>
        <v>40</v>
      </c>
      <c r="P15" s="95">
        <f>VLOOKUP(A15,'BSE ALL CAP'!$B$4:$Y$1038,15,)</f>
        <v>1.5891472868217054E-2</v>
      </c>
      <c r="Q15" s="95">
        <f>VLOOKUP(A15,'BSE ALL CAP'!$B$4:$Y$1038,16,)</f>
        <v>3.2190635451505016E-2</v>
      </c>
      <c r="R15" s="95">
        <f>VLOOKUP(A15,'BSE ALL CAP'!$B$4:$Y$1038,17,)</f>
        <v>-1.6299162583287962E-2</v>
      </c>
      <c r="S15" s="95">
        <f>VLOOKUP(A15,'BSE ALL CAP'!$B$4:$Y$1038,18,)</f>
        <v>-1.0192525481313703E-2</v>
      </c>
      <c r="T15" s="95">
        <f>VLOOKUP(A15,'BSE ALL CAP'!$B$4:$Y$1038,19,)</f>
        <v>4.9937578027465665E-2</v>
      </c>
      <c r="U15" s="95">
        <f>VLOOKUP(A15,'BSE ALL CAP'!$B$4:$Y$1038,20,)</f>
        <v>-6.013010350877937E-2</v>
      </c>
      <c r="V15" s="95">
        <f>VLOOKUP(A15,'BSE ALL CAP'!$B$4:$Y$1038,21,)</f>
        <v>7.8595317725752567E-2</v>
      </c>
      <c r="W15" s="95">
        <f>VLOOKUP(A15,'BSE ALL CAP'!$B$4:$Y$1038,22,)</f>
        <v>-0.46753246753246758</v>
      </c>
      <c r="X15" s="95">
        <f>VLOOKUP(A15,'BSE ALL CAP'!$B$4:$Y$1038,23,)</f>
        <v>0.10237203495630465</v>
      </c>
      <c r="Y15" s="95">
        <f>VLOOKUP(A15,'BSE ALL CAP'!$B$4:$Y$1038,24,)</f>
        <v>-1.2250000000000001</v>
      </c>
    </row>
    <row r="16" spans="1:25" ht="15.75" customHeight="1">
      <c r="A16" s="99">
        <v>505872</v>
      </c>
      <c r="B16" s="98" t="s">
        <v>3908</v>
      </c>
      <c r="C16" s="101" t="str">
        <f>VLOOKUP(A16,'BSE ALL CAP'!$B$4:$Y$1038,2,)</f>
        <v>Industrials</v>
      </c>
      <c r="D16" s="101" t="str">
        <f>VLOOKUP(A16,'BSE ALL CAP'!$B$4:$Y$1038,3,)</f>
        <v>Industrial Products</v>
      </c>
      <c r="E16" s="101">
        <f ca="1">IFERROR(__xludf.DUMMYFUNCTION("GOOGLEFINANCE(""BOM:""&amp;A16,""PRICE"")"),394.75)</f>
        <v>394.75</v>
      </c>
      <c r="F16" s="112">
        <f ca="1">IFERROR(__xludf.DUMMYFUNCTION("GOOGLEFINANCE(""BOM:""&amp;A16,""MARKETCAP"")/10000000"),3855.5552247)</f>
        <v>3855.5552247000001</v>
      </c>
      <c r="G16" s="95">
        <f t="shared" ca="1" si="0"/>
        <v>1.5442859139652956E-2</v>
      </c>
      <c r="H16" s="101">
        <f>VLOOKUP(A16,'BSE ALL CAP'!$B$4:$Y$1038,7,)</f>
        <v>1343</v>
      </c>
      <c r="I16" s="101">
        <f>VLOOKUP(A16,'BSE ALL CAP'!$B$4:$Y$1038,8,)</f>
        <v>1235</v>
      </c>
      <c r="J16" s="101">
        <f>VLOOKUP(A16,'BSE ALL CAP'!$B$4:$Y$1038,9,)</f>
        <v>153</v>
      </c>
      <c r="K16" s="101">
        <f>VLOOKUP(A16,'BSE ALL CAP'!$B$4:$Y$1038,10,)</f>
        <v>150</v>
      </c>
      <c r="L16" s="101">
        <f>VLOOKUP(A16,'BSE ALL CAP'!$B$4:$Y$1038,11,)</f>
        <v>538</v>
      </c>
      <c r="M16" s="101">
        <f>VLOOKUP(A16,'BSE ALL CAP'!$B$4:$Y$1038,12,)</f>
        <v>381</v>
      </c>
      <c r="N16" s="101">
        <f>VLOOKUP(A16,'BSE ALL CAP'!$B$4:$Y$1038,13,)</f>
        <v>75</v>
      </c>
      <c r="O16" s="101">
        <f>VLOOKUP(A16,'BSE ALL CAP'!$B$4:$Y$1038,14,)</f>
        <v>37</v>
      </c>
      <c r="P16" s="95">
        <f>VLOOKUP(A16,'BSE ALL CAP'!$B$4:$Y$1038,15,)</f>
        <v>0.11392405063291139</v>
      </c>
      <c r="Q16" s="95">
        <f>VLOOKUP(A16,'BSE ALL CAP'!$B$4:$Y$1038,16,)</f>
        <v>0.1214574898785425</v>
      </c>
      <c r="R16" s="95">
        <f>VLOOKUP(A16,'BSE ALL CAP'!$B$4:$Y$1038,17,)</f>
        <v>-7.5334392456311156E-3</v>
      </c>
      <c r="S16" s="95">
        <f>VLOOKUP(A16,'BSE ALL CAP'!$B$4:$Y$1038,18,)</f>
        <v>0.13940520446096655</v>
      </c>
      <c r="T16" s="95">
        <f>VLOOKUP(A16,'BSE ALL CAP'!$B$4:$Y$1038,19,)</f>
        <v>9.711286089238845E-2</v>
      </c>
      <c r="U16" s="95">
        <f>VLOOKUP(A16,'BSE ALL CAP'!$B$4:$Y$1038,20,)</f>
        <v>4.2292343568578097E-2</v>
      </c>
      <c r="V16" s="95">
        <f>VLOOKUP(A16,'BSE ALL CAP'!$B$4:$Y$1038,21,)</f>
        <v>8.7449392712550589E-2</v>
      </c>
      <c r="W16" s="95">
        <f>VLOOKUP(A16,'BSE ALL CAP'!$B$4:$Y$1038,22,)</f>
        <v>2.0000000000000018E-2</v>
      </c>
      <c r="X16" s="95">
        <f>VLOOKUP(A16,'BSE ALL CAP'!$B$4:$Y$1038,23,)</f>
        <v>0.4120734908136483</v>
      </c>
      <c r="Y16" s="95">
        <f>VLOOKUP(A16,'BSE ALL CAP'!$B$4:$Y$1038,24,)</f>
        <v>1.0270270270270272</v>
      </c>
    </row>
    <row r="17" spans="1:25" ht="15.75" customHeight="1">
      <c r="A17" s="99">
        <v>533326</v>
      </c>
      <c r="B17" s="98" t="s">
        <v>3909</v>
      </c>
      <c r="C17" s="101" t="str">
        <f>VLOOKUP(A17,'BSE ALL CAP'!$B$4:$Y$1038,2,)</f>
        <v>Industrials</v>
      </c>
      <c r="D17" s="101" t="str">
        <f>VLOOKUP(A17,'BSE ALL CAP'!$B$4:$Y$1038,3,)</f>
        <v>Industrial Products</v>
      </c>
      <c r="E17" s="101">
        <f ca="1">IFERROR(__xludf.DUMMYFUNCTION("GOOGLEFINANCE(""BOM:""&amp;A17,""PRICE"")"),89.95)</f>
        <v>89.95</v>
      </c>
      <c r="F17" s="112">
        <f ca="1">IFERROR(__xludf.DUMMYFUNCTION("GOOGLEFINANCE(""BOM:""&amp;A17,""MARKETCAP"")/10000000"),3656.4913732)</f>
        <v>3656.4913732</v>
      </c>
      <c r="G17" s="95">
        <f t="shared" ca="1" si="0"/>
        <v>1.4645538173059748E-2</v>
      </c>
      <c r="H17" s="101">
        <f>VLOOKUP(A17,'BSE ALL CAP'!$B$4:$Y$1038,7,)</f>
        <v>3210</v>
      </c>
      <c r="I17" s="101">
        <f>VLOOKUP(A17,'BSE ALL CAP'!$B$4:$Y$1038,8,)</f>
        <v>3760</v>
      </c>
      <c r="J17" s="101">
        <f>VLOOKUP(A17,'BSE ALL CAP'!$B$4:$Y$1038,9,)</f>
        <v>135</v>
      </c>
      <c r="K17" s="101">
        <f>VLOOKUP(A17,'BSE ALL CAP'!$B$4:$Y$1038,10,)</f>
        <v>209</v>
      </c>
      <c r="L17" s="101">
        <f>VLOOKUP(A17,'BSE ALL CAP'!$B$4:$Y$1038,11,)</f>
        <v>1041</v>
      </c>
      <c r="M17" s="101">
        <f>VLOOKUP(A17,'BSE ALL CAP'!$B$4:$Y$1038,12,)</f>
        <v>1326</v>
      </c>
      <c r="N17" s="101">
        <f>VLOOKUP(A17,'BSE ALL CAP'!$B$4:$Y$1038,13,)</f>
        <v>42</v>
      </c>
      <c r="O17" s="101">
        <f>VLOOKUP(A17,'BSE ALL CAP'!$B$4:$Y$1038,14,)</f>
        <v>76</v>
      </c>
      <c r="P17" s="95">
        <f>VLOOKUP(A17,'BSE ALL CAP'!$B$4:$Y$1038,15,)</f>
        <v>4.2056074766355138E-2</v>
      </c>
      <c r="Q17" s="95">
        <f>VLOOKUP(A17,'BSE ALL CAP'!$B$4:$Y$1038,16,)</f>
        <v>5.558510638297872E-2</v>
      </c>
      <c r="R17" s="95">
        <f>VLOOKUP(A17,'BSE ALL CAP'!$B$4:$Y$1038,17,)</f>
        <v>-1.3529031616623582E-2</v>
      </c>
      <c r="S17" s="95">
        <f>VLOOKUP(A17,'BSE ALL CAP'!$B$4:$Y$1038,18,)</f>
        <v>4.0345821325648415E-2</v>
      </c>
      <c r="T17" s="95">
        <f>VLOOKUP(A17,'BSE ALL CAP'!$B$4:$Y$1038,19,)</f>
        <v>5.7315233785822019E-2</v>
      </c>
      <c r="U17" s="95">
        <f>VLOOKUP(A17,'BSE ALL CAP'!$B$4:$Y$1038,20,)</f>
        <v>-1.6969412460173604E-2</v>
      </c>
      <c r="V17" s="95">
        <f>VLOOKUP(A17,'BSE ALL CAP'!$B$4:$Y$1038,21,)</f>
        <v>-0.14627659574468088</v>
      </c>
      <c r="W17" s="95">
        <f>VLOOKUP(A17,'BSE ALL CAP'!$B$4:$Y$1038,22,)</f>
        <v>-0.35406698564593297</v>
      </c>
      <c r="X17" s="95">
        <f>VLOOKUP(A17,'BSE ALL CAP'!$B$4:$Y$1038,23,)</f>
        <v>-0.21493212669683259</v>
      </c>
      <c r="Y17" s="95">
        <f>VLOOKUP(A17,'BSE ALL CAP'!$B$4:$Y$1038,24,)</f>
        <v>-0.44736842105263153</v>
      </c>
    </row>
    <row r="18" spans="1:25" ht="15.75" customHeight="1">
      <c r="A18" s="99">
        <v>522034</v>
      </c>
      <c r="B18" s="98" t="s">
        <v>3910</v>
      </c>
      <c r="C18" s="101" t="str">
        <f>VLOOKUP(A18,'BSE ALL CAP'!$B$4:$Y$1038,2,)</f>
        <v>Industrials</v>
      </c>
      <c r="D18" s="101" t="str">
        <f>VLOOKUP(A18,'BSE ALL CAP'!$B$4:$Y$1038,3,)</f>
        <v>Industrial Products</v>
      </c>
      <c r="E18" s="101">
        <f ca="1">IFERROR(__xludf.DUMMYFUNCTION("GOOGLEFINANCE(""BOM:""&amp;A18,""PRICE"")"),458.3)</f>
        <v>458.3</v>
      </c>
      <c r="F18" s="112">
        <f ca="1">IFERROR(__xludf.DUMMYFUNCTION("GOOGLEFINANCE(""BOM:""&amp;A18,""MARKETCAP"")/10000000"),3501.6955233)</f>
        <v>3501.6955232999999</v>
      </c>
      <c r="G18" s="95">
        <f t="shared" ca="1" si="0"/>
        <v>1.4025526173207103E-2</v>
      </c>
      <c r="H18" s="101">
        <f>VLOOKUP(A18,'BSE ALL CAP'!$B$4:$Y$1038,7,)</f>
        <v>383</v>
      </c>
      <c r="I18" s="101">
        <f>VLOOKUP(A18,'BSE ALL CAP'!$B$4:$Y$1038,8,)</f>
        <v>451</v>
      </c>
      <c r="J18" s="101">
        <f>VLOOKUP(A18,'BSE ALL CAP'!$B$4:$Y$1038,9,)</f>
        <v>60</v>
      </c>
      <c r="K18" s="101">
        <f>VLOOKUP(A18,'BSE ALL CAP'!$B$4:$Y$1038,10,)</f>
        <v>73</v>
      </c>
      <c r="L18" s="101">
        <f>VLOOKUP(A18,'BSE ALL CAP'!$B$4:$Y$1038,11,)</f>
        <v>116</v>
      </c>
      <c r="M18" s="101">
        <f>VLOOKUP(A18,'BSE ALL CAP'!$B$4:$Y$1038,12,)</f>
        <v>157</v>
      </c>
      <c r="N18" s="101">
        <f>VLOOKUP(A18,'BSE ALL CAP'!$B$4:$Y$1038,13,)</f>
        <v>16</v>
      </c>
      <c r="O18" s="101">
        <f>VLOOKUP(A18,'BSE ALL CAP'!$B$4:$Y$1038,14,)</f>
        <v>26</v>
      </c>
      <c r="P18" s="95">
        <f>VLOOKUP(A18,'BSE ALL CAP'!$B$4:$Y$1038,15,)</f>
        <v>0.1566579634464752</v>
      </c>
      <c r="Q18" s="95">
        <f>VLOOKUP(A18,'BSE ALL CAP'!$B$4:$Y$1038,16,)</f>
        <v>0.16186252771618626</v>
      </c>
      <c r="R18" s="95">
        <f>VLOOKUP(A18,'BSE ALL CAP'!$B$4:$Y$1038,17,)</f>
        <v>-5.2045642697110539E-3</v>
      </c>
      <c r="S18" s="95">
        <f>VLOOKUP(A18,'BSE ALL CAP'!$B$4:$Y$1038,18,)</f>
        <v>0.13793103448275862</v>
      </c>
      <c r="T18" s="95">
        <f>VLOOKUP(A18,'BSE ALL CAP'!$B$4:$Y$1038,19,)</f>
        <v>0.16560509554140126</v>
      </c>
      <c r="U18" s="95">
        <f>VLOOKUP(A18,'BSE ALL CAP'!$B$4:$Y$1038,20,)</f>
        <v>-2.7674061058642646E-2</v>
      </c>
      <c r="V18" s="95">
        <f>VLOOKUP(A18,'BSE ALL CAP'!$B$4:$Y$1038,21,)</f>
        <v>-0.15077605321507759</v>
      </c>
      <c r="W18" s="95">
        <f>VLOOKUP(A18,'BSE ALL CAP'!$B$4:$Y$1038,22,)</f>
        <v>-0.17808219178082196</v>
      </c>
      <c r="X18" s="95">
        <f>VLOOKUP(A18,'BSE ALL CAP'!$B$4:$Y$1038,23,)</f>
        <v>-0.26114649681528668</v>
      </c>
      <c r="Y18" s="95">
        <f>VLOOKUP(A18,'BSE ALL CAP'!$B$4:$Y$1038,24,)</f>
        <v>-0.38461538461538458</v>
      </c>
    </row>
    <row r="19" spans="1:25" ht="15.75" customHeight="1">
      <c r="A19" s="99">
        <v>542460</v>
      </c>
      <c r="B19" s="98" t="s">
        <v>3911</v>
      </c>
      <c r="C19" s="101" t="str">
        <f>VLOOKUP(A19,'BSE ALL CAP'!$B$4:$Y$1038,2,)</f>
        <v>Industrials</v>
      </c>
      <c r="D19" s="101" t="str">
        <f>VLOOKUP(A19,'BSE ALL CAP'!$B$4:$Y$1038,3,)</f>
        <v>Industrial Products</v>
      </c>
      <c r="E19" s="101">
        <f ca="1">IFERROR(__xludf.DUMMYFUNCTION("GOOGLEFINANCE(""BOM:""&amp;A19,""PRICE"")"),1710.95)</f>
        <v>1710.95</v>
      </c>
      <c r="F19" s="112">
        <f ca="1">IFERROR(__xludf.DUMMYFUNCTION("GOOGLEFINANCE(""BOM:""&amp;A19,""MARKETCAP"")/10000000"),3431.9901396)</f>
        <v>3431.9901396</v>
      </c>
      <c r="G19" s="95">
        <f t="shared" ca="1" si="0"/>
        <v>1.3746331515364193E-2</v>
      </c>
      <c r="H19" s="101">
        <f>VLOOKUP(A19,'BSE ALL CAP'!$B$4:$Y$1038,7,)</f>
        <v>614</v>
      </c>
      <c r="I19" s="101">
        <f>VLOOKUP(A19,'BSE ALL CAP'!$B$4:$Y$1038,8,)</f>
        <v>511</v>
      </c>
      <c r="J19" s="101">
        <f>VLOOKUP(A19,'BSE ALL CAP'!$B$4:$Y$1038,9,)</f>
        <v>83</v>
      </c>
      <c r="K19" s="101">
        <f>VLOOKUP(A19,'BSE ALL CAP'!$B$4:$Y$1038,10,)</f>
        <v>86</v>
      </c>
      <c r="L19" s="101">
        <f>VLOOKUP(A19,'BSE ALL CAP'!$B$4:$Y$1038,11,)</f>
        <v>206</v>
      </c>
      <c r="M19" s="101">
        <f>VLOOKUP(A19,'BSE ALL CAP'!$B$4:$Y$1038,12,)</f>
        <v>171</v>
      </c>
      <c r="N19" s="101">
        <f>VLOOKUP(A19,'BSE ALL CAP'!$B$4:$Y$1038,13,)</f>
        <v>25</v>
      </c>
      <c r="O19" s="101">
        <f>VLOOKUP(A19,'BSE ALL CAP'!$B$4:$Y$1038,14,)</f>
        <v>30</v>
      </c>
      <c r="P19" s="95">
        <f>VLOOKUP(A19,'BSE ALL CAP'!$B$4:$Y$1038,15,)</f>
        <v>0.13517915309446255</v>
      </c>
      <c r="Q19" s="95">
        <f>VLOOKUP(A19,'BSE ALL CAP'!$B$4:$Y$1038,16,)</f>
        <v>0.16829745596868884</v>
      </c>
      <c r="R19" s="95">
        <f>VLOOKUP(A19,'BSE ALL CAP'!$B$4:$Y$1038,17,)</f>
        <v>-3.3118302874226291E-2</v>
      </c>
      <c r="S19" s="95">
        <f>VLOOKUP(A19,'BSE ALL CAP'!$B$4:$Y$1038,18,)</f>
        <v>0.12135922330097088</v>
      </c>
      <c r="T19" s="95">
        <f>VLOOKUP(A19,'BSE ALL CAP'!$B$4:$Y$1038,19,)</f>
        <v>0.17543859649122806</v>
      </c>
      <c r="U19" s="95">
        <f>VLOOKUP(A19,'BSE ALL CAP'!$B$4:$Y$1038,20,)</f>
        <v>-5.4079373190257185E-2</v>
      </c>
      <c r="V19" s="95">
        <f>VLOOKUP(A19,'BSE ALL CAP'!$B$4:$Y$1038,21,)</f>
        <v>0.20156555772994134</v>
      </c>
      <c r="W19" s="95">
        <f>VLOOKUP(A19,'BSE ALL CAP'!$B$4:$Y$1038,22,)</f>
        <v>-3.4883720930232509E-2</v>
      </c>
      <c r="X19" s="95">
        <f>VLOOKUP(A19,'BSE ALL CAP'!$B$4:$Y$1038,23,)</f>
        <v>0.20467836257309946</v>
      </c>
      <c r="Y19" s="95">
        <f>VLOOKUP(A19,'BSE ALL CAP'!$B$4:$Y$1038,24,)</f>
        <v>-0.16666666666666663</v>
      </c>
    </row>
    <row r="20" spans="1:25" ht="15.75" customHeight="1">
      <c r="A20" s="99">
        <v>513519</v>
      </c>
      <c r="B20" s="98" t="s">
        <v>3912</v>
      </c>
      <c r="C20" s="101" t="str">
        <f>VLOOKUP(A20,'BSE ALL CAP'!$B$4:$Y$1038,2,)</f>
        <v>Industrials</v>
      </c>
      <c r="D20" s="101" t="str">
        <f>VLOOKUP(A20,'BSE ALL CAP'!$B$4:$Y$1038,3,)</f>
        <v>Industrial Products</v>
      </c>
      <c r="E20" s="101">
        <f ca="1">IFERROR(__xludf.DUMMYFUNCTION("GOOGLEFINANCE(""BOM:""&amp;A20,""PRICE"")"),761.1)</f>
        <v>761.1</v>
      </c>
      <c r="F20" s="112">
        <f ca="1">IFERROR(__xludf.DUMMYFUNCTION("GOOGLEFINANCE(""BOM:""&amp;A20,""MARKETCAP"")/10000000"),2810.7845941)</f>
        <v>2810.7845941</v>
      </c>
      <c r="G20" s="95">
        <f t="shared" ca="1" si="0"/>
        <v>1.1258184108093114E-2</v>
      </c>
      <c r="H20" s="101">
        <f>VLOOKUP(A20,'BSE ALL CAP'!$B$4:$Y$1038,7,)</f>
        <v>1411</v>
      </c>
      <c r="I20" s="101">
        <f>VLOOKUP(A20,'BSE ALL CAP'!$B$4:$Y$1038,8,)</f>
        <v>1235</v>
      </c>
      <c r="J20" s="101">
        <f>VLOOKUP(A20,'BSE ALL CAP'!$B$4:$Y$1038,9,)</f>
        <v>91</v>
      </c>
      <c r="K20" s="101">
        <f>VLOOKUP(A20,'BSE ALL CAP'!$B$4:$Y$1038,10,)</f>
        <v>86</v>
      </c>
      <c r="L20" s="101">
        <f>VLOOKUP(A20,'BSE ALL CAP'!$B$4:$Y$1038,11,)</f>
        <v>477</v>
      </c>
      <c r="M20" s="101">
        <f>VLOOKUP(A20,'BSE ALL CAP'!$B$4:$Y$1038,12,)</f>
        <v>414</v>
      </c>
      <c r="N20" s="101">
        <f>VLOOKUP(A20,'BSE ALL CAP'!$B$4:$Y$1038,13,)</f>
        <v>28</v>
      </c>
      <c r="O20" s="101">
        <f>VLOOKUP(A20,'BSE ALL CAP'!$B$4:$Y$1038,14,)</f>
        <v>28</v>
      </c>
      <c r="P20" s="95">
        <f>VLOOKUP(A20,'BSE ALL CAP'!$B$4:$Y$1038,15,)</f>
        <v>6.449326718639263E-2</v>
      </c>
      <c r="Q20" s="95">
        <f>VLOOKUP(A20,'BSE ALL CAP'!$B$4:$Y$1038,16,)</f>
        <v>6.9635627530364369E-2</v>
      </c>
      <c r="R20" s="95">
        <f>VLOOKUP(A20,'BSE ALL CAP'!$B$4:$Y$1038,17,)</f>
        <v>-5.1423603439717386E-3</v>
      </c>
      <c r="S20" s="95">
        <f>VLOOKUP(A20,'BSE ALL CAP'!$B$4:$Y$1038,18,)</f>
        <v>5.8700209643605873E-2</v>
      </c>
      <c r="T20" s="95">
        <f>VLOOKUP(A20,'BSE ALL CAP'!$B$4:$Y$1038,19,)</f>
        <v>6.7632850241545889E-2</v>
      </c>
      <c r="U20" s="95">
        <f>VLOOKUP(A20,'BSE ALL CAP'!$B$4:$Y$1038,20,)</f>
        <v>-8.9326405979400156E-3</v>
      </c>
      <c r="V20" s="95">
        <f>VLOOKUP(A20,'BSE ALL CAP'!$B$4:$Y$1038,21,)</f>
        <v>0.14251012145748998</v>
      </c>
      <c r="W20" s="95">
        <f>VLOOKUP(A20,'BSE ALL CAP'!$B$4:$Y$1038,22,)</f>
        <v>5.8139534883721034E-2</v>
      </c>
      <c r="X20" s="95">
        <f>VLOOKUP(A20,'BSE ALL CAP'!$B$4:$Y$1038,23,)</f>
        <v>0.15217391304347827</v>
      </c>
      <c r="Y20" s="95">
        <f>VLOOKUP(A20,'BSE ALL CAP'!$B$4:$Y$1038,24,)</f>
        <v>0</v>
      </c>
    </row>
    <row r="21" spans="1:25" ht="15.75" customHeight="1">
      <c r="A21" s="99">
        <v>522101</v>
      </c>
      <c r="B21" s="98" t="s">
        <v>3913</v>
      </c>
      <c r="C21" s="101" t="str">
        <f>VLOOKUP(A21,'BSE ALL CAP'!$B$4:$Y$1038,2,)</f>
        <v>Industrials</v>
      </c>
      <c r="D21" s="101" t="str">
        <f>VLOOKUP(A21,'BSE ALL CAP'!$B$4:$Y$1038,3,)</f>
        <v>Industrial Products</v>
      </c>
      <c r="E21" s="101">
        <f ca="1">IFERROR(__xludf.DUMMYFUNCTION("GOOGLEFINANCE(""BOM:""&amp;A21,""PRICE"")"),479.8)</f>
        <v>479.8</v>
      </c>
      <c r="F21" s="112">
        <f ca="1">IFERROR(__xludf.DUMMYFUNCTION("GOOGLEFINANCE(""BOM:""&amp;A21,""MARKETCAP"")/10000000"),2541.1569985)</f>
        <v>2541.1569985000001</v>
      </c>
      <c r="G21" s="95">
        <f t="shared" ca="1" si="0"/>
        <v>1.0178230447375388E-2</v>
      </c>
      <c r="H21" s="101">
        <f>VLOOKUP(A21,'BSE ALL CAP'!$B$4:$Y$1038,7,)</f>
        <v>439</v>
      </c>
      <c r="I21" s="101">
        <f>VLOOKUP(A21,'BSE ALL CAP'!$B$4:$Y$1038,8,)</f>
        <v>297</v>
      </c>
      <c r="J21" s="101">
        <f>VLOOKUP(A21,'BSE ALL CAP'!$B$4:$Y$1038,9,)</f>
        <v>71</v>
      </c>
      <c r="K21" s="101">
        <f>VLOOKUP(A21,'BSE ALL CAP'!$B$4:$Y$1038,10,)</f>
        <v>41</v>
      </c>
      <c r="L21" s="101">
        <f>VLOOKUP(A21,'BSE ALL CAP'!$B$4:$Y$1038,11,)</f>
        <v>156</v>
      </c>
      <c r="M21" s="101">
        <f>VLOOKUP(A21,'BSE ALL CAP'!$B$4:$Y$1038,12,)</f>
        <v>108</v>
      </c>
      <c r="N21" s="101">
        <f>VLOOKUP(A21,'BSE ALL CAP'!$B$4:$Y$1038,13,)</f>
        <v>23</v>
      </c>
      <c r="O21" s="101">
        <f>VLOOKUP(A21,'BSE ALL CAP'!$B$4:$Y$1038,14,)</f>
        <v>15</v>
      </c>
      <c r="P21" s="95">
        <f>VLOOKUP(A21,'BSE ALL CAP'!$B$4:$Y$1038,15,)</f>
        <v>0.16173120728929385</v>
      </c>
      <c r="Q21" s="95">
        <f>VLOOKUP(A21,'BSE ALL CAP'!$B$4:$Y$1038,16,)</f>
        <v>0.13804713804713806</v>
      </c>
      <c r="R21" s="95">
        <f>VLOOKUP(A21,'BSE ALL CAP'!$B$4:$Y$1038,17,)</f>
        <v>2.3684069242155797E-2</v>
      </c>
      <c r="S21" s="95">
        <f>VLOOKUP(A21,'BSE ALL CAP'!$B$4:$Y$1038,18,)</f>
        <v>0.14743589743589744</v>
      </c>
      <c r="T21" s="95">
        <f>VLOOKUP(A21,'BSE ALL CAP'!$B$4:$Y$1038,19,)</f>
        <v>0.1388888888888889</v>
      </c>
      <c r="U21" s="95">
        <f>VLOOKUP(A21,'BSE ALL CAP'!$B$4:$Y$1038,20,)</f>
        <v>8.5470085470085444E-3</v>
      </c>
      <c r="V21" s="95">
        <f>VLOOKUP(A21,'BSE ALL CAP'!$B$4:$Y$1038,21,)</f>
        <v>0.47811447811447816</v>
      </c>
      <c r="W21" s="95">
        <f>VLOOKUP(A21,'BSE ALL CAP'!$B$4:$Y$1038,22,)</f>
        <v>0.73170731707317072</v>
      </c>
      <c r="X21" s="95">
        <f>VLOOKUP(A21,'BSE ALL CAP'!$B$4:$Y$1038,23,)</f>
        <v>0.44444444444444442</v>
      </c>
      <c r="Y21" s="95">
        <f>VLOOKUP(A21,'BSE ALL CAP'!$B$4:$Y$1038,24,)</f>
        <v>0.53333333333333344</v>
      </c>
    </row>
    <row r="22" spans="1:25" ht="15.75" customHeight="1">
      <c r="A22" s="99">
        <v>504036</v>
      </c>
      <c r="B22" s="98" t="s">
        <v>3914</v>
      </c>
      <c r="C22" s="101" t="str">
        <f>VLOOKUP(A22,'BSE ALL CAP'!$B$4:$Y$1038,2,)</f>
        <v>Industrials</v>
      </c>
      <c r="D22" s="101" t="str">
        <f>VLOOKUP(A22,'BSE ALL CAP'!$B$4:$Y$1038,3,)</f>
        <v>Industrial Products</v>
      </c>
      <c r="E22" s="101">
        <f ca="1">IFERROR(__xludf.DUMMYFUNCTION("GOOGLEFINANCE(""BOM:""&amp;A22,""PRICE"")"),684.7)</f>
        <v>684.7</v>
      </c>
      <c r="F22" s="112">
        <f ca="1">IFERROR(__xludf.DUMMYFUNCTION("GOOGLEFINANCE(""BOM:""&amp;A22,""MARKETCAP"")/10000000"),2342.2818266)</f>
        <v>2342.2818265999999</v>
      </c>
      <c r="G22" s="95">
        <f t="shared" ca="1" si="0"/>
        <v>9.3816652091573468E-3</v>
      </c>
      <c r="H22" s="101">
        <f>VLOOKUP(A22,'BSE ALL CAP'!$B$4:$Y$1038,7,)</f>
        <v>719</v>
      </c>
      <c r="I22" s="101">
        <f>VLOOKUP(A22,'BSE ALL CAP'!$B$4:$Y$1038,8,)</f>
        <v>470</v>
      </c>
      <c r="J22" s="101">
        <f>VLOOKUP(A22,'BSE ALL CAP'!$B$4:$Y$1038,9,)</f>
        <v>40</v>
      </c>
      <c r="K22" s="101">
        <f>VLOOKUP(A22,'BSE ALL CAP'!$B$4:$Y$1038,10,)</f>
        <v>27</v>
      </c>
      <c r="L22" s="101">
        <f>VLOOKUP(A22,'BSE ALL CAP'!$B$4:$Y$1038,11,)</f>
        <v>277</v>
      </c>
      <c r="M22" s="101">
        <f>VLOOKUP(A22,'BSE ALL CAP'!$B$4:$Y$1038,12,)</f>
        <v>168</v>
      </c>
      <c r="N22" s="101">
        <f>VLOOKUP(A22,'BSE ALL CAP'!$B$4:$Y$1038,13,)</f>
        <v>12</v>
      </c>
      <c r="O22" s="101">
        <f>VLOOKUP(A22,'BSE ALL CAP'!$B$4:$Y$1038,14,)</f>
        <v>10</v>
      </c>
      <c r="P22" s="95">
        <f>VLOOKUP(A22,'BSE ALL CAP'!$B$4:$Y$1038,15,)</f>
        <v>5.5632823365785816E-2</v>
      </c>
      <c r="Q22" s="95">
        <f>VLOOKUP(A22,'BSE ALL CAP'!$B$4:$Y$1038,16,)</f>
        <v>5.7446808510638298E-2</v>
      </c>
      <c r="R22" s="95">
        <f>VLOOKUP(A22,'BSE ALL CAP'!$B$4:$Y$1038,17,)</f>
        <v>-1.8139851448524813E-3</v>
      </c>
      <c r="S22" s="95">
        <f>VLOOKUP(A22,'BSE ALL CAP'!$B$4:$Y$1038,18,)</f>
        <v>4.3321299638989168E-2</v>
      </c>
      <c r="T22" s="95">
        <f>VLOOKUP(A22,'BSE ALL CAP'!$B$4:$Y$1038,19,)</f>
        <v>5.9523809523809521E-2</v>
      </c>
      <c r="U22" s="95">
        <f>VLOOKUP(A22,'BSE ALL CAP'!$B$4:$Y$1038,20,)</f>
        <v>-1.6202509884820353E-2</v>
      </c>
      <c r="V22" s="95">
        <f>VLOOKUP(A22,'BSE ALL CAP'!$B$4:$Y$1038,21,)</f>
        <v>0.52978723404255312</v>
      </c>
      <c r="W22" s="95">
        <f>VLOOKUP(A22,'BSE ALL CAP'!$B$4:$Y$1038,22,)</f>
        <v>0.4814814814814814</v>
      </c>
      <c r="X22" s="95">
        <f>VLOOKUP(A22,'BSE ALL CAP'!$B$4:$Y$1038,23,)</f>
        <v>0.64880952380952372</v>
      </c>
      <c r="Y22" s="95">
        <f>VLOOKUP(A22,'BSE ALL CAP'!$B$4:$Y$1038,24,)</f>
        <v>0.19999999999999996</v>
      </c>
    </row>
    <row r="23" spans="1:25" ht="15.75" customHeight="1">
      <c r="A23" s="99">
        <v>544386</v>
      </c>
      <c r="B23" s="98" t="s">
        <v>3915</v>
      </c>
      <c r="C23" s="101" t="e">
        <f>VLOOKUP(A23,'BSE ALL CAP'!$B$4:$Y$1038,2,)</f>
        <v>#N/A</v>
      </c>
      <c r="D23" s="101" t="e">
        <f>VLOOKUP(A23,'BSE ALL CAP'!$B$4:$Y$1038,3,)</f>
        <v>#N/A</v>
      </c>
      <c r="E23" s="101">
        <f ca="1">IFERROR(__xludf.DUMMYFUNCTION("GOOGLEFINANCE(""BOM:""&amp;A23,""PRICE"")"),1362.35)</f>
        <v>1362.35</v>
      </c>
      <c r="F23" s="112">
        <f ca="1">IFERROR(__xludf.DUMMYFUNCTION("GOOGLEFINANCE(""BOM:""&amp;A23,""MARKETCAP"")/10000000"),2147.1391359)</f>
        <v>2147.1391358999999</v>
      </c>
      <c r="G23" s="95">
        <f t="shared" ca="1" si="0"/>
        <v>8.6000498751823435E-3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544333</v>
      </c>
      <c r="B24" s="98" t="s">
        <v>3916</v>
      </c>
      <c r="C24" s="101" t="str">
        <f>VLOOKUP(A24,'BSE ALL CAP'!$B$4:$Y$1038,2,)</f>
        <v>Industrials</v>
      </c>
      <c r="D24" s="101" t="str">
        <f>VLOOKUP(A24,'BSE ALL CAP'!$B$4:$Y$1038,3,)</f>
        <v>Industrial Products</v>
      </c>
      <c r="E24" s="101">
        <f ca="1">IFERROR(__xludf.DUMMYFUNCTION("GOOGLEFINANCE(""BOM:""&amp;A24,""PRICE"")"),125.05)</f>
        <v>125.05</v>
      </c>
      <c r="F24" s="112">
        <f ca="1">IFERROR(__xludf.DUMMYFUNCTION("GOOGLEFINANCE(""BOM:""&amp;A24,""MARKETCAP"")/10000000"),2511.5992744)</f>
        <v>2511.5992744</v>
      </c>
      <c r="G24" s="95">
        <f t="shared" ca="1" si="0"/>
        <v>1.0059841332666094E-2</v>
      </c>
      <c r="H24" s="101">
        <f>VLOOKUP(A24,'BSE ALL CAP'!$B$4:$Y$1038,7,)</f>
        <v>547</v>
      </c>
      <c r="I24" s="101">
        <f>VLOOKUP(A24,'BSE ALL CAP'!$B$4:$Y$1038,8,)</f>
        <v>447</v>
      </c>
      <c r="J24" s="101">
        <f>VLOOKUP(A24,'BSE ALL CAP'!$B$4:$Y$1038,9,)</f>
        <v>61</v>
      </c>
      <c r="K24" s="101">
        <f>VLOOKUP(A24,'BSE ALL CAP'!$B$4:$Y$1038,10,)</f>
        <v>52</v>
      </c>
      <c r="L24" s="101">
        <f>VLOOKUP(A24,'BSE ALL CAP'!$B$4:$Y$1038,11,)</f>
        <v>191</v>
      </c>
      <c r="M24" s="101">
        <f>VLOOKUP(A24,'BSE ALL CAP'!$B$4:$Y$1038,12,)</f>
        <v>140</v>
      </c>
      <c r="N24" s="101">
        <f>VLOOKUP(A24,'BSE ALL CAP'!$B$4:$Y$1038,13,)</f>
        <v>20</v>
      </c>
      <c r="O24" s="101">
        <f>VLOOKUP(A24,'BSE ALL CAP'!$B$4:$Y$1038,14,)</f>
        <v>15</v>
      </c>
      <c r="P24" s="95">
        <f>VLOOKUP(A24,'BSE ALL CAP'!$B$4:$Y$1038,15,)</f>
        <v>0.11151736745886655</v>
      </c>
      <c r="Q24" s="95">
        <f>VLOOKUP(A24,'BSE ALL CAP'!$B$4:$Y$1038,16,)</f>
        <v>0.116331096196868</v>
      </c>
      <c r="R24" s="95">
        <f>VLOOKUP(A24,'BSE ALL CAP'!$B$4:$Y$1038,17,)</f>
        <v>-4.8137287380014548E-3</v>
      </c>
      <c r="S24" s="95">
        <f>VLOOKUP(A24,'BSE ALL CAP'!$B$4:$Y$1038,18,)</f>
        <v>0.10471204188481675</v>
      </c>
      <c r="T24" s="95">
        <f>VLOOKUP(A24,'BSE ALL CAP'!$B$4:$Y$1038,19,)</f>
        <v>0.10714285714285714</v>
      </c>
      <c r="U24" s="95">
        <f>VLOOKUP(A24,'BSE ALL CAP'!$B$4:$Y$1038,20,)</f>
        <v>-2.4308152580403836E-3</v>
      </c>
      <c r="V24" s="95">
        <f>VLOOKUP(A24,'BSE ALL CAP'!$B$4:$Y$1038,21,)</f>
        <v>0.22371364653243853</v>
      </c>
      <c r="W24" s="95">
        <f>VLOOKUP(A24,'BSE ALL CAP'!$B$4:$Y$1038,22,)</f>
        <v>0.17307692307692313</v>
      </c>
      <c r="X24" s="95">
        <f>VLOOKUP(A24,'BSE ALL CAP'!$B$4:$Y$1038,23,)</f>
        <v>0.36428571428571432</v>
      </c>
      <c r="Y24" s="95">
        <f>VLOOKUP(A24,'BSE ALL CAP'!$B$4:$Y$1038,24,)</f>
        <v>0.33333333333333326</v>
      </c>
    </row>
    <row r="25" spans="1:25" ht="14.4">
      <c r="A25" s="99">
        <v>544402</v>
      </c>
      <c r="B25" s="98" t="s">
        <v>3917</v>
      </c>
      <c r="C25" s="101" t="str">
        <f>VLOOKUP(A25,'BSE ALL CAP'!$B$4:$Y$1038,2,)</f>
        <v>Industrials</v>
      </c>
      <c r="D25" s="101" t="str">
        <f>VLOOKUP(A25,'BSE ALL CAP'!$B$4:$Y$1038,3,)</f>
        <v>Industrial Products</v>
      </c>
      <c r="E25" s="101">
        <f ca="1">IFERROR(__xludf.DUMMYFUNCTION("GOOGLEFINANCE(""BOM:""&amp;A25,""PRICE"")"),374.2)</f>
        <v>374.2</v>
      </c>
      <c r="F25" s="112">
        <f ca="1">IFERROR(__xludf.DUMMYFUNCTION("GOOGLEFINANCE(""BOM:""&amp;A25,""MARKETCAP"")/10000000"),2359.3375747)</f>
        <v>2359.3375747</v>
      </c>
      <c r="G25" s="95">
        <f t="shared" ca="1" si="0"/>
        <v>9.4499794985604246E-3</v>
      </c>
      <c r="H25" s="101">
        <f>VLOOKUP(A25,'BSE ALL CAP'!$B$4:$Y$1038,7,)</f>
        <v>445</v>
      </c>
      <c r="I25" s="101">
        <f>VLOOKUP(A25,'BSE ALL CAP'!$B$4:$Y$1038,8,)</f>
        <v>434</v>
      </c>
      <c r="J25" s="101">
        <f>VLOOKUP(A25,'BSE ALL CAP'!$B$4:$Y$1038,9,)</f>
        <v>18</v>
      </c>
      <c r="K25" s="101">
        <f>VLOOKUP(A25,'BSE ALL CAP'!$B$4:$Y$1038,10,)</f>
        <v>51</v>
      </c>
      <c r="L25" s="101">
        <f>VLOOKUP(A25,'BSE ALL CAP'!$B$4:$Y$1038,11,)</f>
        <v>160</v>
      </c>
      <c r="M25" s="101">
        <f>VLOOKUP(A25,'BSE ALL CAP'!$B$4:$Y$1038,12,)</f>
        <v>180</v>
      </c>
      <c r="N25" s="101">
        <f>VLOOKUP(A25,'BSE ALL CAP'!$B$4:$Y$1038,13,)</f>
        <v>13</v>
      </c>
      <c r="O25" s="101">
        <f>VLOOKUP(A25,'BSE ALL CAP'!$B$4:$Y$1038,14,)</f>
        <v>34</v>
      </c>
      <c r="P25" s="95">
        <f>VLOOKUP(A25,'BSE ALL CAP'!$B$4:$Y$1038,15,)</f>
        <v>4.0449438202247189E-2</v>
      </c>
      <c r="Q25" s="95">
        <f>VLOOKUP(A25,'BSE ALL CAP'!$B$4:$Y$1038,16,)</f>
        <v>0.11751152073732719</v>
      </c>
      <c r="R25" s="95">
        <f>VLOOKUP(A25,'BSE ALL CAP'!$B$4:$Y$1038,17,)</f>
        <v>-7.7062082535080012E-2</v>
      </c>
      <c r="S25" s="95">
        <f>VLOOKUP(A25,'BSE ALL CAP'!$B$4:$Y$1038,18,)</f>
        <v>8.1250000000000003E-2</v>
      </c>
      <c r="T25" s="95">
        <f>VLOOKUP(A25,'BSE ALL CAP'!$B$4:$Y$1038,19,)</f>
        <v>0.18888888888888888</v>
      </c>
      <c r="U25" s="95">
        <f>VLOOKUP(A25,'BSE ALL CAP'!$B$4:$Y$1038,20,)</f>
        <v>-0.10763888888888888</v>
      </c>
      <c r="V25" s="95">
        <f>VLOOKUP(A25,'BSE ALL CAP'!$B$4:$Y$1038,21,)</f>
        <v>2.5345622119815614E-2</v>
      </c>
      <c r="W25" s="95">
        <f>VLOOKUP(A25,'BSE ALL CAP'!$B$4:$Y$1038,22,)</f>
        <v>-0.64705882352941169</v>
      </c>
      <c r="X25" s="95">
        <f>VLOOKUP(A25,'BSE ALL CAP'!$B$4:$Y$1038,23,)</f>
        <v>-0.11111111111111116</v>
      </c>
      <c r="Y25" s="95">
        <f>VLOOKUP(A25,'BSE ALL CAP'!$B$4:$Y$1038,24,)</f>
        <v>-0.61764705882352944</v>
      </c>
    </row>
    <row r="26" spans="1:25" ht="14.4">
      <c r="A26" s="99">
        <v>543933</v>
      </c>
      <c r="B26" s="98" t="s">
        <v>3918</v>
      </c>
      <c r="C26" s="101" t="str">
        <f>VLOOKUP(A26,'BSE ALL CAP'!$B$4:$Y$1038,2,)</f>
        <v>Industrials</v>
      </c>
      <c r="D26" s="101" t="str">
        <f>VLOOKUP(A26,'BSE ALL CAP'!$B$4:$Y$1038,3,)</f>
        <v>Industrial Products</v>
      </c>
      <c r="E26" s="101">
        <f ca="1">IFERROR(__xludf.DUMMYFUNCTION("GOOGLEFINANCE(""BOM:""&amp;A26,""PRICE"")"),288.45)</f>
        <v>288.45</v>
      </c>
      <c r="F26" s="112">
        <f ca="1">IFERROR(__xludf.DUMMYFUNCTION("GOOGLEFINANCE(""BOM:""&amp;A26,""MARKETCAP"")/10000000"),2287.3738649)</f>
        <v>2287.3738649000002</v>
      </c>
      <c r="G26" s="95">
        <f t="shared" ca="1" si="0"/>
        <v>9.1617394478178682E-3</v>
      </c>
      <c r="H26" s="101">
        <f>VLOOKUP(A26,'BSE ALL CAP'!$B$4:$Y$1038,7,)</f>
        <v>892</v>
      </c>
      <c r="I26" s="101">
        <f>VLOOKUP(A26,'BSE ALL CAP'!$B$4:$Y$1038,8,)</f>
        <v>1091</v>
      </c>
      <c r="J26" s="101">
        <f>VLOOKUP(A26,'BSE ALL CAP'!$B$4:$Y$1038,9,)</f>
        <v>50</v>
      </c>
      <c r="K26" s="101">
        <f>VLOOKUP(A26,'BSE ALL CAP'!$B$4:$Y$1038,10,)</f>
        <v>37</v>
      </c>
      <c r="L26" s="101">
        <f>VLOOKUP(A26,'BSE ALL CAP'!$B$4:$Y$1038,11,)</f>
        <v>303</v>
      </c>
      <c r="M26" s="101">
        <f>VLOOKUP(A26,'BSE ALL CAP'!$B$4:$Y$1038,12,)</f>
        <v>444</v>
      </c>
      <c r="N26" s="101">
        <f>VLOOKUP(A26,'BSE ALL CAP'!$B$4:$Y$1038,13,)</f>
        <v>11</v>
      </c>
      <c r="O26" s="101">
        <f>VLOOKUP(A26,'BSE ALL CAP'!$B$4:$Y$1038,14,)</f>
        <v>10</v>
      </c>
      <c r="P26" s="95">
        <f>VLOOKUP(A26,'BSE ALL CAP'!$B$4:$Y$1038,15,)</f>
        <v>5.6053811659192827E-2</v>
      </c>
      <c r="Q26" s="95">
        <f>VLOOKUP(A26,'BSE ALL CAP'!$B$4:$Y$1038,16,)</f>
        <v>3.3913840513290557E-2</v>
      </c>
      <c r="R26" s="95">
        <f>VLOOKUP(A26,'BSE ALL CAP'!$B$4:$Y$1038,17,)</f>
        <v>2.2139971145902271E-2</v>
      </c>
      <c r="S26" s="95">
        <f>VLOOKUP(A26,'BSE ALL CAP'!$B$4:$Y$1038,18,)</f>
        <v>3.6303630363036306E-2</v>
      </c>
      <c r="T26" s="95">
        <f>VLOOKUP(A26,'BSE ALL CAP'!$B$4:$Y$1038,19,)</f>
        <v>2.2522522522522521E-2</v>
      </c>
      <c r="U26" s="95">
        <f>VLOOKUP(A26,'BSE ALL CAP'!$B$4:$Y$1038,20,)</f>
        <v>1.3781107840513784E-2</v>
      </c>
      <c r="V26" s="95">
        <f>VLOOKUP(A26,'BSE ALL CAP'!$B$4:$Y$1038,21,)</f>
        <v>-0.18240146654445466</v>
      </c>
      <c r="W26" s="95">
        <f>VLOOKUP(A26,'BSE ALL CAP'!$B$4:$Y$1038,22,)</f>
        <v>0.35135135135135132</v>
      </c>
      <c r="X26" s="95">
        <f>VLOOKUP(A26,'BSE ALL CAP'!$B$4:$Y$1038,23,)</f>
        <v>-0.31756756756756754</v>
      </c>
      <c r="Y26" s="95">
        <f>VLOOKUP(A26,'BSE ALL CAP'!$B$4:$Y$1038,24,)</f>
        <v>0.10000000000000009</v>
      </c>
    </row>
    <row r="27" spans="1:25" ht="14.4">
      <c r="A27" s="99">
        <v>543619</v>
      </c>
      <c r="B27" s="98" t="s">
        <v>3919</v>
      </c>
      <c r="C27" s="101" t="e">
        <f>VLOOKUP(A27,'BSE ALL CAP'!$B$4:$Y$1038,2,)</f>
        <v>#N/A</v>
      </c>
      <c r="D27" s="101" t="e">
        <f>VLOOKUP(A27,'BSE ALL CAP'!$B$4:$Y$1038,3,)</f>
        <v>#N/A</v>
      </c>
      <c r="E27" s="101">
        <f ca="1">IFERROR(__xludf.DUMMYFUNCTION("GOOGLEFINANCE(""BOM:""&amp;A27,""PRICE"")"),2000)</f>
        <v>2000</v>
      </c>
      <c r="F27" s="112">
        <f ca="1">IFERROR(__xludf.DUMMYFUNCTION("GOOGLEFINANCE(""BOM:""&amp;A27,""MARKETCAP"")/10000000"),2076.68)</f>
        <v>2076.6799999999998</v>
      </c>
      <c r="G27" s="95">
        <f t="shared" ca="1" si="0"/>
        <v>8.3178361738106988E-3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500147</v>
      </c>
      <c r="B28" s="98" t="s">
        <v>3920</v>
      </c>
      <c r="C28" s="101" t="e">
        <f>VLOOKUP(A28,'BSE ALL CAP'!$B$4:$Y$1038,2,)</f>
        <v>#N/A</v>
      </c>
      <c r="D28" s="101" t="e">
        <f>VLOOKUP(A28,'BSE ALL CAP'!$B$4:$Y$1038,3,)</f>
        <v>#N/A</v>
      </c>
      <c r="E28" s="101">
        <f ca="1">IFERROR(__xludf.DUMMYFUNCTION("GOOGLEFINANCE(""BOM:""&amp;A28,""PRICE"")"),4549.15)</f>
        <v>4549.1499999999996</v>
      </c>
      <c r="F28" s="112">
        <f ca="1">IFERROR(__xludf.DUMMYFUNCTION("GOOGLEFINANCE(""BOM:""&amp;A28,""MARKETCAP"")/10000000"),2207.326)</f>
        <v>2207.326</v>
      </c>
      <c r="G28" s="95">
        <f t="shared" ca="1" si="0"/>
        <v>8.8411195033384418E-3</v>
      </c>
      <c r="H28" s="101" t="e">
        <f>VLOOKUP(A28,'BSE ALL CAP'!$B$4:$Y$1038,7,)</f>
        <v>#N/A</v>
      </c>
      <c r="I28" s="101" t="e">
        <f>VLOOKUP(A28,'BSE ALL CAP'!$B$4:$Y$1038,8,)</f>
        <v>#N/A</v>
      </c>
      <c r="J28" s="101" t="e">
        <f>VLOOKUP(A28,'BSE ALL CAP'!$B$4:$Y$1038,9,)</f>
        <v>#N/A</v>
      </c>
      <c r="K28" s="101" t="e">
        <f>VLOOKUP(A28,'BSE ALL CAP'!$B$4:$Y$1038,10,)</f>
        <v>#N/A</v>
      </c>
      <c r="L28" s="101" t="e">
        <f>VLOOKUP(A28,'BSE ALL CAP'!$B$4:$Y$1038,11,)</f>
        <v>#N/A</v>
      </c>
      <c r="M28" s="101" t="e">
        <f>VLOOKUP(A28,'BSE ALL CAP'!$B$4:$Y$1038,12,)</f>
        <v>#N/A</v>
      </c>
      <c r="N28" s="101" t="e">
        <f>VLOOKUP(A28,'BSE ALL CAP'!$B$4:$Y$1038,13,)</f>
        <v>#N/A</v>
      </c>
      <c r="O28" s="101" t="e">
        <f>VLOOKUP(A28,'BSE ALL CAP'!$B$4:$Y$1038,14,)</f>
        <v>#N/A</v>
      </c>
      <c r="P28" s="95" t="e">
        <f>VLOOKUP(A28,'BSE ALL CAP'!$B$4:$Y$1038,15,)</f>
        <v>#N/A</v>
      </c>
      <c r="Q28" s="95" t="e">
        <f>VLOOKUP(A28,'BSE ALL CAP'!$B$4:$Y$1038,16,)</f>
        <v>#N/A</v>
      </c>
      <c r="R28" s="95" t="e">
        <f>VLOOKUP(A28,'BSE ALL CAP'!$B$4:$Y$1038,17,)</f>
        <v>#N/A</v>
      </c>
      <c r="S28" s="95" t="e">
        <f>VLOOKUP(A28,'BSE ALL CAP'!$B$4:$Y$1038,18,)</f>
        <v>#N/A</v>
      </c>
      <c r="T28" s="95" t="e">
        <f>VLOOKUP(A28,'BSE ALL CAP'!$B$4:$Y$1038,19,)</f>
        <v>#N/A</v>
      </c>
      <c r="U28" s="95" t="e">
        <f>VLOOKUP(A28,'BSE ALL CAP'!$B$4:$Y$1038,20,)</f>
        <v>#N/A</v>
      </c>
      <c r="V28" s="95" t="e">
        <f>VLOOKUP(A28,'BSE ALL CAP'!$B$4:$Y$1038,21,)</f>
        <v>#N/A</v>
      </c>
      <c r="W28" s="95" t="e">
        <f>VLOOKUP(A28,'BSE ALL CAP'!$B$4:$Y$1038,22,)</f>
        <v>#N/A</v>
      </c>
      <c r="X28" s="95" t="e">
        <f>VLOOKUP(A28,'BSE ALL CAP'!$B$4:$Y$1038,23,)</f>
        <v>#N/A</v>
      </c>
      <c r="Y28" s="95" t="e">
        <f>VLOOKUP(A28,'BSE ALL CAP'!$B$4:$Y$1038,24,)</f>
        <v>#N/A</v>
      </c>
    </row>
    <row r="29" spans="1:25" ht="14.4">
      <c r="A29" s="99">
        <v>544198</v>
      </c>
      <c r="B29" s="98" t="s">
        <v>3921</v>
      </c>
      <c r="C29" s="101" t="e">
        <f>VLOOKUP(A29,'BSE ALL CAP'!$B$4:$Y$1038,2,)</f>
        <v>#N/A</v>
      </c>
      <c r="D29" s="101" t="e">
        <f>VLOOKUP(A29,'BSE ALL CAP'!$B$4:$Y$1038,3,)</f>
        <v>#N/A</v>
      </c>
      <c r="E29" s="101">
        <f ca="1">IFERROR(__xludf.DUMMYFUNCTION("GOOGLEFINANCE(""BOM:""&amp;A29,""PRICE"")"),301.05)</f>
        <v>301.05</v>
      </c>
      <c r="F29" s="112">
        <f ca="1">IFERROR(__xludf.DUMMYFUNCTION("GOOGLEFINANCE(""BOM:""&amp;A29,""MARKETCAP"")/10000000"),2085.5189085)</f>
        <v>2085.5189085000002</v>
      </c>
      <c r="G29" s="95">
        <f t="shared" ca="1" si="0"/>
        <v>8.3532391212355825E-3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522064</v>
      </c>
      <c r="B30" s="98" t="s">
        <v>3922</v>
      </c>
      <c r="C30" s="101" t="str">
        <f>VLOOKUP(A30,'BSE ALL CAP'!$B$4:$Y$1038,2,)</f>
        <v>Industrials</v>
      </c>
      <c r="D30" s="101" t="str">
        <f>VLOOKUP(A30,'BSE ALL CAP'!$B$4:$Y$1038,3,)</f>
        <v>Industrial Products</v>
      </c>
      <c r="E30" s="101">
        <f ca="1">IFERROR(__xludf.DUMMYFUNCTION("GOOGLEFINANCE(""BOM:""&amp;A30,""PRICE"")"),2012.3)</f>
        <v>2012.3</v>
      </c>
      <c r="F30" s="112">
        <f ca="1">IFERROR(__xludf.DUMMYFUNCTION("GOOGLEFINANCE(""BOM:""&amp;A30,""MARKETCAP"")/10000000"),2054.7811443)</f>
        <v>2054.7811443000001</v>
      </c>
      <c r="G30" s="95">
        <f t="shared" ca="1" si="0"/>
        <v>8.2301235295388232E-3</v>
      </c>
      <c r="H30" s="101">
        <f>VLOOKUP(A30,'BSE ALL CAP'!$B$4:$Y$1038,7,)</f>
        <v>600</v>
      </c>
      <c r="I30" s="101">
        <f>VLOOKUP(A30,'BSE ALL CAP'!$B$4:$Y$1038,8,)</f>
        <v>525</v>
      </c>
      <c r="J30" s="101">
        <f>VLOOKUP(A30,'BSE ALL CAP'!$B$4:$Y$1038,9,)</f>
        <v>37</v>
      </c>
      <c r="K30" s="101">
        <f>VLOOKUP(A30,'BSE ALL CAP'!$B$4:$Y$1038,10,)</f>
        <v>43</v>
      </c>
      <c r="L30" s="101">
        <f>VLOOKUP(A30,'BSE ALL CAP'!$B$4:$Y$1038,11,)</f>
        <v>270</v>
      </c>
      <c r="M30" s="101">
        <f>VLOOKUP(A30,'BSE ALL CAP'!$B$4:$Y$1038,12,)</f>
        <v>204</v>
      </c>
      <c r="N30" s="101">
        <f>VLOOKUP(A30,'BSE ALL CAP'!$B$4:$Y$1038,13,)</f>
        <v>16</v>
      </c>
      <c r="O30" s="101">
        <f>VLOOKUP(A30,'BSE ALL CAP'!$B$4:$Y$1038,14,)</f>
        <v>19</v>
      </c>
      <c r="P30" s="95">
        <f>VLOOKUP(A30,'BSE ALL CAP'!$B$4:$Y$1038,15,)</f>
        <v>6.1666666666666668E-2</v>
      </c>
      <c r="Q30" s="95">
        <f>VLOOKUP(A30,'BSE ALL CAP'!$B$4:$Y$1038,16,)</f>
        <v>8.1904761904761911E-2</v>
      </c>
      <c r="R30" s="95">
        <f>VLOOKUP(A30,'BSE ALL CAP'!$B$4:$Y$1038,17,)</f>
        <v>-2.0238095238095243E-2</v>
      </c>
      <c r="S30" s="95">
        <f>VLOOKUP(A30,'BSE ALL CAP'!$B$4:$Y$1038,18,)</f>
        <v>5.9259259259259262E-2</v>
      </c>
      <c r="T30" s="95">
        <f>VLOOKUP(A30,'BSE ALL CAP'!$B$4:$Y$1038,19,)</f>
        <v>9.3137254901960786E-2</v>
      </c>
      <c r="U30" s="95">
        <f>VLOOKUP(A30,'BSE ALL CAP'!$B$4:$Y$1038,20,)</f>
        <v>-3.3877995642701525E-2</v>
      </c>
      <c r="V30" s="95">
        <f>VLOOKUP(A30,'BSE ALL CAP'!$B$4:$Y$1038,21,)</f>
        <v>0.14285714285714279</v>
      </c>
      <c r="W30" s="95">
        <f>VLOOKUP(A30,'BSE ALL CAP'!$B$4:$Y$1038,22,)</f>
        <v>-0.13953488372093026</v>
      </c>
      <c r="X30" s="95">
        <f>VLOOKUP(A30,'BSE ALL CAP'!$B$4:$Y$1038,23,)</f>
        <v>0.32352941176470584</v>
      </c>
      <c r="Y30" s="95">
        <f>VLOOKUP(A30,'BSE ALL CAP'!$B$4:$Y$1038,24,)</f>
        <v>-0.15789473684210531</v>
      </c>
    </row>
    <row r="31" spans="1:25" ht="14.4">
      <c r="A31" s="99">
        <v>522029</v>
      </c>
      <c r="B31" s="98" t="s">
        <v>3923</v>
      </c>
      <c r="C31" s="101" t="str">
        <f>VLOOKUP(A31,'BSE ALL CAP'!$B$4:$Y$1038,2,)</f>
        <v>Industrials</v>
      </c>
      <c r="D31" s="101" t="str">
        <f>VLOOKUP(A31,'BSE ALL CAP'!$B$4:$Y$1038,3,)</f>
        <v>Industrial Products</v>
      </c>
      <c r="E31" s="101">
        <f ca="1">IFERROR(__xludf.DUMMYFUNCTION("GOOGLEFINANCE(""BOM:""&amp;A31,""PRICE"")"),232.6)</f>
        <v>232.6</v>
      </c>
      <c r="F31" s="112">
        <f ca="1">IFERROR(__xludf.DUMMYFUNCTION("GOOGLEFINANCE(""BOM:""&amp;A31,""MARKETCAP"")/10000000"),2062.4790194)</f>
        <v>2062.4790194000002</v>
      </c>
      <c r="G31" s="95">
        <f t="shared" ca="1" si="0"/>
        <v>8.2609562355735796E-3</v>
      </c>
      <c r="H31" s="101">
        <f>VLOOKUP(A31,'BSE ALL CAP'!$B$4:$Y$1038,7,)</f>
        <v>385</v>
      </c>
      <c r="I31" s="101">
        <f>VLOOKUP(A31,'BSE ALL CAP'!$B$4:$Y$1038,8,)</f>
        <v>247</v>
      </c>
      <c r="J31" s="101">
        <f>VLOOKUP(A31,'BSE ALL CAP'!$B$4:$Y$1038,9,)</f>
        <v>-10</v>
      </c>
      <c r="K31" s="101">
        <f>VLOOKUP(A31,'BSE ALL CAP'!$B$4:$Y$1038,10,)</f>
        <v>0.79</v>
      </c>
      <c r="L31" s="101">
        <f>VLOOKUP(A31,'BSE ALL CAP'!$B$4:$Y$1038,11,)</f>
        <v>135</v>
      </c>
      <c r="M31" s="101">
        <f>VLOOKUP(A31,'BSE ALL CAP'!$B$4:$Y$1038,12,)</f>
        <v>107</v>
      </c>
      <c r="N31" s="101">
        <f>VLOOKUP(A31,'BSE ALL CAP'!$B$4:$Y$1038,13,)</f>
        <v>-3</v>
      </c>
      <c r="O31" s="101">
        <f>VLOOKUP(A31,'BSE ALL CAP'!$B$4:$Y$1038,14,)</f>
        <v>41</v>
      </c>
      <c r="P31" s="95">
        <f>VLOOKUP(A31,'BSE ALL CAP'!$B$4:$Y$1038,15,)</f>
        <v>-2.5974025974025976E-2</v>
      </c>
      <c r="Q31" s="95">
        <f>VLOOKUP(A31,'BSE ALL CAP'!$B$4:$Y$1038,16,)</f>
        <v>3.1983805668016198E-3</v>
      </c>
      <c r="R31" s="95">
        <f>VLOOKUP(A31,'BSE ALL CAP'!$B$4:$Y$1038,17,)</f>
        <v>-2.9172406540827596E-2</v>
      </c>
      <c r="S31" s="95">
        <f>VLOOKUP(A31,'BSE ALL CAP'!$B$4:$Y$1038,18,)</f>
        <v>-2.2222222222222223E-2</v>
      </c>
      <c r="T31" s="95">
        <f>VLOOKUP(A31,'BSE ALL CAP'!$B$4:$Y$1038,19,)</f>
        <v>0.38317757009345793</v>
      </c>
      <c r="U31" s="95">
        <f>VLOOKUP(A31,'BSE ALL CAP'!$B$4:$Y$1038,20,)</f>
        <v>-0.40539979231568013</v>
      </c>
      <c r="V31" s="95">
        <f>VLOOKUP(A31,'BSE ALL CAP'!$B$4:$Y$1038,21,)</f>
        <v>0.55870445344129549</v>
      </c>
      <c r="W31" s="95">
        <f>VLOOKUP(A31,'BSE ALL CAP'!$B$4:$Y$1038,22,)</f>
        <v>-13.658227848101266</v>
      </c>
      <c r="X31" s="95">
        <f>VLOOKUP(A31,'BSE ALL CAP'!$B$4:$Y$1038,23,)</f>
        <v>0.26168224299065423</v>
      </c>
      <c r="Y31" s="95">
        <f>VLOOKUP(A31,'BSE ALL CAP'!$B$4:$Y$1038,24,)</f>
        <v>-1.0731707317073171</v>
      </c>
    </row>
    <row r="32" spans="1:25" ht="14.4">
      <c r="A32" s="99">
        <v>513228</v>
      </c>
      <c r="B32" s="98" t="s">
        <v>3924</v>
      </c>
      <c r="C32" s="101" t="str">
        <f>VLOOKUP(A32,'BSE ALL CAP'!$B$4:$Y$1038,2,)</f>
        <v>Industrials</v>
      </c>
      <c r="D32" s="101" t="str">
        <f>VLOOKUP(A32,'BSE ALL CAP'!$B$4:$Y$1038,3,)</f>
        <v>Industrial Products</v>
      </c>
      <c r="E32" s="101">
        <f ca="1">IFERROR(__xludf.DUMMYFUNCTION("GOOGLEFINANCE(""BOM:""&amp;A32,""PRICE"")"),147.1)</f>
        <v>147.1</v>
      </c>
      <c r="F32" s="112">
        <f ca="1">IFERROR(__xludf.DUMMYFUNCTION("GOOGLEFINANCE(""BOM:""&amp;A32,""MARKETCAP"")/10000000"),1983.0343678)</f>
        <v>1983.0343677999999</v>
      </c>
      <c r="G32" s="95">
        <f t="shared" ca="1" si="0"/>
        <v>7.9427523732094833E-3</v>
      </c>
      <c r="H32" s="101">
        <f>VLOOKUP(A32,'BSE ALL CAP'!$B$4:$Y$1038,7,)</f>
        <v>2733</v>
      </c>
      <c r="I32" s="101">
        <f>VLOOKUP(A32,'BSE ALL CAP'!$B$4:$Y$1038,8,)</f>
        <v>2341</v>
      </c>
      <c r="J32" s="101">
        <f>VLOOKUP(A32,'BSE ALL CAP'!$B$4:$Y$1038,9,)</f>
        <v>98</v>
      </c>
      <c r="K32" s="101">
        <f>VLOOKUP(A32,'BSE ALL CAP'!$B$4:$Y$1038,10,)</f>
        <v>84</v>
      </c>
      <c r="L32" s="101">
        <f>VLOOKUP(A32,'BSE ALL CAP'!$B$4:$Y$1038,11,)</f>
        <v>943</v>
      </c>
      <c r="M32" s="101">
        <f>VLOOKUP(A32,'BSE ALL CAP'!$B$4:$Y$1038,12,)</f>
        <v>840</v>
      </c>
      <c r="N32" s="101">
        <f>VLOOKUP(A32,'BSE ALL CAP'!$B$4:$Y$1038,13,)</f>
        <v>33</v>
      </c>
      <c r="O32" s="101">
        <f>VLOOKUP(A32,'BSE ALL CAP'!$B$4:$Y$1038,14,)</f>
        <v>30</v>
      </c>
      <c r="P32" s="95">
        <f>VLOOKUP(A32,'BSE ALL CAP'!$B$4:$Y$1038,15,)</f>
        <v>3.5858031467252104E-2</v>
      </c>
      <c r="Q32" s="95">
        <f>VLOOKUP(A32,'BSE ALL CAP'!$B$4:$Y$1038,16,)</f>
        <v>3.5882101665954722E-2</v>
      </c>
      <c r="R32" s="95">
        <f>VLOOKUP(A32,'BSE ALL CAP'!$B$4:$Y$1038,17,)</f>
        <v>-2.4070198702617895E-5</v>
      </c>
      <c r="S32" s="95">
        <f>VLOOKUP(A32,'BSE ALL CAP'!$B$4:$Y$1038,18,)</f>
        <v>3.4994697773064687E-2</v>
      </c>
      <c r="T32" s="95">
        <f>VLOOKUP(A32,'BSE ALL CAP'!$B$4:$Y$1038,19,)</f>
        <v>3.5714285714285712E-2</v>
      </c>
      <c r="U32" s="95">
        <f>VLOOKUP(A32,'BSE ALL CAP'!$B$4:$Y$1038,20,)</f>
        <v>-7.1958794122102543E-4</v>
      </c>
      <c r="V32" s="95">
        <f>VLOOKUP(A32,'BSE ALL CAP'!$B$4:$Y$1038,21,)</f>
        <v>0.16744980777445528</v>
      </c>
      <c r="W32" s="95">
        <f>VLOOKUP(A32,'BSE ALL CAP'!$B$4:$Y$1038,22,)</f>
        <v>0.16666666666666674</v>
      </c>
      <c r="X32" s="95">
        <f>VLOOKUP(A32,'BSE ALL CAP'!$B$4:$Y$1038,23,)</f>
        <v>0.12261904761904763</v>
      </c>
      <c r="Y32" s="95">
        <f>VLOOKUP(A32,'BSE ALL CAP'!$B$4:$Y$1038,24,)</f>
        <v>0.10000000000000009</v>
      </c>
    </row>
    <row r="33" spans="1:25" ht="14.4">
      <c r="A33" s="99">
        <v>522215</v>
      </c>
      <c r="B33" s="98" t="s">
        <v>3925</v>
      </c>
      <c r="C33" s="101" t="str">
        <f>VLOOKUP(A33,'BSE ALL CAP'!$B$4:$Y$1038,2,)</f>
        <v>Industrials</v>
      </c>
      <c r="D33" s="101" t="str">
        <f>VLOOKUP(A33,'BSE ALL CAP'!$B$4:$Y$1038,3,)</f>
        <v>Industrial Products</v>
      </c>
      <c r="E33" s="101">
        <f ca="1">IFERROR(__xludf.DUMMYFUNCTION("GOOGLEFINANCE(""BOM:""&amp;A33,""PRICE"")"),270.55)</f>
        <v>270.55</v>
      </c>
      <c r="F33" s="112">
        <f ca="1">IFERROR(__xludf.DUMMYFUNCTION("GOOGLEFINANCE(""BOM:""&amp;A33,""MARKETCAP"")/10000000"),1879.0981764)</f>
        <v>1879.0981764000001</v>
      </c>
      <c r="G33" s="95">
        <f t="shared" ca="1" si="0"/>
        <v>7.526451251902864E-3</v>
      </c>
      <c r="H33" s="101">
        <f>VLOOKUP(A33,'BSE ALL CAP'!$B$4:$Y$1038,7,)</f>
        <v>961</v>
      </c>
      <c r="I33" s="101">
        <f>VLOOKUP(A33,'BSE ALL CAP'!$B$4:$Y$1038,8,)</f>
        <v>693</v>
      </c>
      <c r="J33" s="101">
        <f>VLOOKUP(A33,'BSE ALL CAP'!$B$4:$Y$1038,9,)</f>
        <v>36</v>
      </c>
      <c r="K33" s="101">
        <f>VLOOKUP(A33,'BSE ALL CAP'!$B$4:$Y$1038,10,)</f>
        <v>30</v>
      </c>
      <c r="L33" s="101">
        <f>VLOOKUP(A33,'BSE ALL CAP'!$B$4:$Y$1038,11,)</f>
        <v>326</v>
      </c>
      <c r="M33" s="101">
        <f>VLOOKUP(A33,'BSE ALL CAP'!$B$4:$Y$1038,12,)</f>
        <v>231</v>
      </c>
      <c r="N33" s="101">
        <f>VLOOKUP(A33,'BSE ALL CAP'!$B$4:$Y$1038,13,)</f>
        <v>4</v>
      </c>
      <c r="O33" s="101">
        <f>VLOOKUP(A33,'BSE ALL CAP'!$B$4:$Y$1038,14,)</f>
        <v>10</v>
      </c>
      <c r="P33" s="95">
        <f>VLOOKUP(A33,'BSE ALL CAP'!$B$4:$Y$1038,15,)</f>
        <v>3.7460978147762745E-2</v>
      </c>
      <c r="Q33" s="95">
        <f>VLOOKUP(A33,'BSE ALL CAP'!$B$4:$Y$1038,16,)</f>
        <v>4.3290043290043288E-2</v>
      </c>
      <c r="R33" s="95">
        <f>VLOOKUP(A33,'BSE ALL CAP'!$B$4:$Y$1038,17,)</f>
        <v>-5.8290651422805428E-3</v>
      </c>
      <c r="S33" s="95">
        <f>VLOOKUP(A33,'BSE ALL CAP'!$B$4:$Y$1038,18,)</f>
        <v>1.2269938650306749E-2</v>
      </c>
      <c r="T33" s="95">
        <f>VLOOKUP(A33,'BSE ALL CAP'!$B$4:$Y$1038,19,)</f>
        <v>4.3290043290043288E-2</v>
      </c>
      <c r="U33" s="95">
        <f>VLOOKUP(A33,'BSE ALL CAP'!$B$4:$Y$1038,20,)</f>
        <v>-3.1020104639736541E-2</v>
      </c>
      <c r="V33" s="95">
        <f>VLOOKUP(A33,'BSE ALL CAP'!$B$4:$Y$1038,21,)</f>
        <v>0.3867243867243868</v>
      </c>
      <c r="W33" s="95">
        <f>VLOOKUP(A33,'BSE ALL CAP'!$B$4:$Y$1038,22,)</f>
        <v>0.19999999999999996</v>
      </c>
      <c r="X33" s="95">
        <f>VLOOKUP(A33,'BSE ALL CAP'!$B$4:$Y$1038,23,)</f>
        <v>0.41125541125541121</v>
      </c>
      <c r="Y33" s="95">
        <f>VLOOKUP(A33,'BSE ALL CAP'!$B$4:$Y$1038,24,)</f>
        <v>-0.6</v>
      </c>
    </row>
    <row r="34" spans="1:25" ht="14.4">
      <c r="A34" s="99">
        <v>540136</v>
      </c>
      <c r="B34" s="98" t="s">
        <v>3926</v>
      </c>
      <c r="C34" s="101" t="str">
        <f>VLOOKUP(A34,'BSE ALL CAP'!$B$4:$Y$1038,2,)</f>
        <v>Industrials</v>
      </c>
      <c r="D34" s="101" t="str">
        <f>VLOOKUP(A34,'BSE ALL CAP'!$B$4:$Y$1038,3,)</f>
        <v>Industrial Products</v>
      </c>
      <c r="E34" s="101">
        <f ca="1">IFERROR(__xludf.DUMMYFUNCTION("GOOGLEFINANCE(""BOM:""&amp;A34,""PRICE"")"),297)</f>
        <v>297</v>
      </c>
      <c r="F34" s="112">
        <f ca="1">IFERROR(__xludf.DUMMYFUNCTION("GOOGLEFINANCE(""BOM:""&amp;A34,""MARKETCAP"")/10000000"),1911.0100468)</f>
        <v>1911.0100468000001</v>
      </c>
      <c r="G34" s="95">
        <f t="shared" ca="1" si="0"/>
        <v>7.6542695532237602E-3</v>
      </c>
      <c r="H34" s="101">
        <f>VLOOKUP(A34,'BSE ALL CAP'!$B$4:$Y$1038,7,)</f>
        <v>1291</v>
      </c>
      <c r="I34" s="101">
        <f>VLOOKUP(A34,'BSE ALL CAP'!$B$4:$Y$1038,8,)</f>
        <v>1207</v>
      </c>
      <c r="J34" s="101">
        <f>VLOOKUP(A34,'BSE ALL CAP'!$B$4:$Y$1038,9,)</f>
        <v>60</v>
      </c>
      <c r="K34" s="101">
        <f>VLOOKUP(A34,'BSE ALL CAP'!$B$4:$Y$1038,10,)</f>
        <v>56</v>
      </c>
      <c r="L34" s="101">
        <f>VLOOKUP(A34,'BSE ALL CAP'!$B$4:$Y$1038,11,)</f>
        <v>473</v>
      </c>
      <c r="M34" s="101">
        <f>VLOOKUP(A34,'BSE ALL CAP'!$B$4:$Y$1038,12,)</f>
        <v>392</v>
      </c>
      <c r="N34" s="101">
        <f>VLOOKUP(A34,'BSE ALL CAP'!$B$4:$Y$1038,13,)</f>
        <v>19</v>
      </c>
      <c r="O34" s="101">
        <f>VLOOKUP(A34,'BSE ALL CAP'!$B$4:$Y$1038,14,)</f>
        <v>18</v>
      </c>
      <c r="P34" s="95">
        <f>VLOOKUP(A34,'BSE ALL CAP'!$B$4:$Y$1038,15,)</f>
        <v>4.6475600309837335E-2</v>
      </c>
      <c r="Q34" s="95">
        <f>VLOOKUP(A34,'BSE ALL CAP'!$B$4:$Y$1038,16,)</f>
        <v>4.6396023198011602E-2</v>
      </c>
      <c r="R34" s="95">
        <f>VLOOKUP(A34,'BSE ALL CAP'!$B$4:$Y$1038,17,)</f>
        <v>7.9577111825733515E-5</v>
      </c>
      <c r="S34" s="95">
        <f>VLOOKUP(A34,'BSE ALL CAP'!$B$4:$Y$1038,18,)</f>
        <v>4.0169133192389003E-2</v>
      </c>
      <c r="T34" s="95">
        <f>VLOOKUP(A34,'BSE ALL CAP'!$B$4:$Y$1038,19,)</f>
        <v>4.5918367346938778E-2</v>
      </c>
      <c r="U34" s="95">
        <f>VLOOKUP(A34,'BSE ALL CAP'!$B$4:$Y$1038,20,)</f>
        <v>-5.7492341545497747E-3</v>
      </c>
      <c r="V34" s="95">
        <f>VLOOKUP(A34,'BSE ALL CAP'!$B$4:$Y$1038,21,)</f>
        <v>6.9594034797017423E-2</v>
      </c>
      <c r="W34" s="95">
        <f>VLOOKUP(A34,'BSE ALL CAP'!$B$4:$Y$1038,22,)</f>
        <v>7.1428571428571397E-2</v>
      </c>
      <c r="X34" s="95">
        <f>VLOOKUP(A34,'BSE ALL CAP'!$B$4:$Y$1038,23,)</f>
        <v>0.20663265306122458</v>
      </c>
      <c r="Y34" s="95">
        <f>VLOOKUP(A34,'BSE ALL CAP'!$B$4:$Y$1038,24,)</f>
        <v>5.555555555555558E-2</v>
      </c>
    </row>
    <row r="35" spans="1:25" ht="14.4">
      <c r="A35" s="99">
        <v>504741</v>
      </c>
      <c r="B35" s="98" t="s">
        <v>3927</v>
      </c>
      <c r="C35" s="101" t="str">
        <f>VLOOKUP(A35,'BSE ALL CAP'!$B$4:$Y$1038,2,)</f>
        <v>Industrials</v>
      </c>
      <c r="D35" s="101" t="str">
        <f>VLOOKUP(A35,'BSE ALL CAP'!$B$4:$Y$1038,3,)</f>
        <v>Industrial Products</v>
      </c>
      <c r="E35" s="101">
        <f ca="1">IFERROR(__xludf.DUMMYFUNCTION("GOOGLEFINANCE(""BOM:""&amp;A35,""PRICE"")"),320.05)</f>
        <v>320.05</v>
      </c>
      <c r="F35" s="112">
        <f ca="1">IFERROR(__xludf.DUMMYFUNCTION("GOOGLEFINANCE(""BOM:""&amp;A35,""MARKETCAP"")/10000000"),1688.315089)</f>
        <v>1688.3150889999999</v>
      </c>
      <c r="G35" s="95">
        <f t="shared" ca="1" si="0"/>
        <v>6.762297667466644E-3</v>
      </c>
      <c r="H35" s="101">
        <f>VLOOKUP(A35,'BSE ALL CAP'!$B$4:$Y$1038,7,)</f>
        <v>954</v>
      </c>
      <c r="I35" s="101">
        <f>VLOOKUP(A35,'BSE ALL CAP'!$B$4:$Y$1038,8,)</f>
        <v>1099</v>
      </c>
      <c r="J35" s="101">
        <f>VLOOKUP(A35,'BSE ALL CAP'!$B$4:$Y$1038,9,)</f>
        <v>118</v>
      </c>
      <c r="K35" s="101">
        <f>VLOOKUP(A35,'BSE ALL CAP'!$B$4:$Y$1038,10,)</f>
        <v>58</v>
      </c>
      <c r="L35" s="101">
        <f>VLOOKUP(A35,'BSE ALL CAP'!$B$4:$Y$1038,11,)</f>
        <v>282</v>
      </c>
      <c r="M35" s="101">
        <f>VLOOKUP(A35,'BSE ALL CAP'!$B$4:$Y$1038,12,)</f>
        <v>380</v>
      </c>
      <c r="N35" s="101">
        <f>VLOOKUP(A35,'BSE ALL CAP'!$B$4:$Y$1038,13,)</f>
        <v>61</v>
      </c>
      <c r="O35" s="101">
        <f>VLOOKUP(A35,'BSE ALL CAP'!$B$4:$Y$1038,14,)</f>
        <v>14</v>
      </c>
      <c r="P35" s="95">
        <f>VLOOKUP(A35,'BSE ALL CAP'!$B$4:$Y$1038,15,)</f>
        <v>0.12368972746331237</v>
      </c>
      <c r="Q35" s="95">
        <f>VLOOKUP(A35,'BSE ALL CAP'!$B$4:$Y$1038,16,)</f>
        <v>5.2775250227479524E-2</v>
      </c>
      <c r="R35" s="95">
        <f>VLOOKUP(A35,'BSE ALL CAP'!$B$4:$Y$1038,17,)</f>
        <v>7.0914477235832857E-2</v>
      </c>
      <c r="S35" s="95">
        <f>VLOOKUP(A35,'BSE ALL CAP'!$B$4:$Y$1038,18,)</f>
        <v>0.21631205673758866</v>
      </c>
      <c r="T35" s="95">
        <f>VLOOKUP(A35,'BSE ALL CAP'!$B$4:$Y$1038,19,)</f>
        <v>3.6842105263157891E-2</v>
      </c>
      <c r="U35" s="95">
        <f>VLOOKUP(A35,'BSE ALL CAP'!$B$4:$Y$1038,20,)</f>
        <v>0.17946995147443076</v>
      </c>
      <c r="V35" s="95">
        <f>VLOOKUP(A35,'BSE ALL CAP'!$B$4:$Y$1038,21,)</f>
        <v>-0.13193812556869877</v>
      </c>
      <c r="W35" s="95">
        <f>VLOOKUP(A35,'BSE ALL CAP'!$B$4:$Y$1038,22,)</f>
        <v>1.0344827586206895</v>
      </c>
      <c r="X35" s="95">
        <f>VLOOKUP(A35,'BSE ALL CAP'!$B$4:$Y$1038,23,)</f>
        <v>-0.25789473684210529</v>
      </c>
      <c r="Y35" s="95">
        <f>VLOOKUP(A35,'BSE ALL CAP'!$B$4:$Y$1038,24,)</f>
        <v>3.3571428571428568</v>
      </c>
    </row>
    <row r="36" spans="1:25" ht="14.4">
      <c r="A36" s="99">
        <v>500068</v>
      </c>
      <c r="B36" s="98" t="s">
        <v>3928</v>
      </c>
      <c r="C36" s="101" t="e">
        <f>VLOOKUP(A36,'BSE ALL CAP'!$B$4:$Y$1038,2,)</f>
        <v>#N/A</v>
      </c>
      <c r="D36" s="101" t="e">
        <f>VLOOKUP(A36,'BSE ALL CAP'!$B$4:$Y$1038,3,)</f>
        <v>#N/A</v>
      </c>
      <c r="E36" s="101">
        <f ca="1">IFERROR(__xludf.DUMMYFUNCTION("GOOGLEFINANCE(""BOM:""&amp;A36,""PRICE"")"),11600)</f>
        <v>11600</v>
      </c>
      <c r="F36" s="112">
        <f ca="1">IFERROR(__xludf.DUMMYFUNCTION("GOOGLEFINANCE(""BOM:""&amp;A36,""MARKETCAP"")/10000000"),1686.8778)</f>
        <v>1686.8778</v>
      </c>
      <c r="G36" s="95">
        <f t="shared" ca="1" si="0"/>
        <v>6.7565408178622659E-3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544540</v>
      </c>
      <c r="B37" s="98" t="s">
        <v>3929</v>
      </c>
      <c r="C37" s="101" t="e">
        <f>VLOOKUP(A37,'BSE ALL CAP'!$B$4:$Y$1038,2,)</f>
        <v>#N/A</v>
      </c>
      <c r="D37" s="101" t="e">
        <f>VLOOKUP(A37,'BSE ALL CAP'!$B$4:$Y$1038,3,)</f>
        <v>#N/A</v>
      </c>
      <c r="E37" s="101">
        <f ca="1">IFERROR(__xludf.DUMMYFUNCTION("GOOGLEFINANCE(""BOM:""&amp;A37,""PRICE"")"),149.65)</f>
        <v>149.65</v>
      </c>
      <c r="F37" s="112">
        <f ca="1">IFERROR(__xludf.DUMMYFUNCTION("GOOGLEFINANCE(""BOM:""&amp;A37,""MARKETCAP"")/10000000"),1505.4045732)</f>
        <v>1505.4045732</v>
      </c>
      <c r="G37" s="95">
        <f t="shared" ca="1" si="0"/>
        <v>6.0296765101907936E-3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544167</v>
      </c>
      <c r="B38" s="98" t="s">
        <v>3930</v>
      </c>
      <c r="C38" s="101" t="e">
        <f>VLOOKUP(A38,'BSE ALL CAP'!$B$4:$Y$1038,2,)</f>
        <v>#N/A</v>
      </c>
      <c r="D38" s="101" t="e">
        <f>VLOOKUP(A38,'BSE ALL CAP'!$B$4:$Y$1038,3,)</f>
        <v>#N/A</v>
      </c>
      <c r="E38" s="101">
        <f ca="1">IFERROR(__xludf.DUMMYFUNCTION("GOOGLEFINANCE(""BOM:""&amp;A38,""PRICE"")"),259.3)</f>
        <v>259.3</v>
      </c>
      <c r="F38" s="112">
        <f ca="1">IFERROR(__xludf.DUMMYFUNCTION("GOOGLEFINANCE(""BOM:""&amp;A38,""MARKETCAP"")/10000000"),1444.1803575)</f>
        <v>1444.1803574999999</v>
      </c>
      <c r="G38" s="95">
        <f t="shared" ca="1" si="0"/>
        <v>5.7844519228385533E-3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532684</v>
      </c>
      <c r="B39" s="98" t="s">
        <v>3931</v>
      </c>
      <c r="C39" s="101" t="e">
        <f>VLOOKUP(A39,'BSE ALL CAP'!$B$4:$Y$1038,2,)</f>
        <v>#N/A</v>
      </c>
      <c r="D39" s="101" t="e">
        <f>VLOOKUP(A39,'BSE ALL CAP'!$B$4:$Y$1038,3,)</f>
        <v>#N/A</v>
      </c>
      <c r="E39" s="101">
        <f ca="1">IFERROR(__xludf.DUMMYFUNCTION("GOOGLEFINANCE(""BOM:""&amp;A39,""PRICE"")"),107.46)</f>
        <v>107.46</v>
      </c>
      <c r="F39" s="112">
        <f ca="1">IFERROR(__xludf.DUMMYFUNCTION("GOOGLEFINANCE(""BOM:""&amp;A39,""MARKETCAP"")/10000000"),1197.4795208)</f>
        <v>1197.4795208</v>
      </c>
      <c r="G39" s="95">
        <f t="shared" ca="1" si="0"/>
        <v>4.7963280214129008E-3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540642</v>
      </c>
      <c r="B40" s="98" t="s">
        <v>3932</v>
      </c>
      <c r="C40" s="101" t="e">
        <f>VLOOKUP(A40,'BSE ALL CAP'!$B$4:$Y$1038,2,)</f>
        <v>#N/A</v>
      </c>
      <c r="D40" s="101" t="e">
        <f>VLOOKUP(A40,'BSE ALL CAP'!$B$4:$Y$1038,3,)</f>
        <v>#N/A</v>
      </c>
      <c r="E40" s="101">
        <f ca="1">IFERROR(__xludf.DUMMYFUNCTION("GOOGLEFINANCE(""BOM:""&amp;A40,""PRICE"")"),6.57)</f>
        <v>6.57</v>
      </c>
      <c r="F40" s="112">
        <f ca="1">IFERROR(__xludf.DUMMYFUNCTION("GOOGLEFINANCE(""BOM:""&amp;A40,""MARKETCAP"")/10000000"),1144.9066283)</f>
        <v>1144.9066283</v>
      </c>
      <c r="G40" s="95">
        <f t="shared" ca="1" si="0"/>
        <v>4.5857550361680091E-3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511144</v>
      </c>
      <c r="B41" s="98" t="s">
        <v>3933</v>
      </c>
      <c r="C41" s="101" t="e">
        <f>VLOOKUP(A41,'BSE ALL CAP'!$B$4:$Y$1038,2,)</f>
        <v>#N/A</v>
      </c>
      <c r="D41" s="101" t="e">
        <f>VLOOKUP(A41,'BSE ALL CAP'!$B$4:$Y$1038,3,)</f>
        <v>#N/A</v>
      </c>
      <c r="E41" s="101">
        <f ca="1">IFERROR(__xludf.DUMMYFUNCTION("GOOGLEFINANCE(""BOM:""&amp;A41,""PRICE"")"),240.05)</f>
        <v>240.05</v>
      </c>
      <c r="F41" s="112">
        <f ca="1">IFERROR(__xludf.DUMMYFUNCTION("GOOGLEFINANCE(""BOM:""&amp;A41,""MARKETCAP"")/10000000"),1080.606)</f>
        <v>1080.606</v>
      </c>
      <c r="G41" s="95">
        <f t="shared" ca="1" si="0"/>
        <v>4.3282083308149952E-3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507410</v>
      </c>
      <c r="B42" s="98" t="s">
        <v>3934</v>
      </c>
      <c r="C42" s="101" t="e">
        <f>VLOOKUP(A42,'BSE ALL CAP'!$B$4:$Y$1038,2,)</f>
        <v>#N/A</v>
      </c>
      <c r="D42" s="101" t="e">
        <f>VLOOKUP(A42,'BSE ALL CAP'!$B$4:$Y$1038,3,)</f>
        <v>#N/A</v>
      </c>
      <c r="E42" s="101">
        <f ca="1">IFERROR(__xludf.DUMMYFUNCTION("GOOGLEFINANCE(""BOM:""&amp;A42,""PRICE"")"),145.3)</f>
        <v>145.30000000000001</v>
      </c>
      <c r="F42" s="112">
        <f ca="1">IFERROR(__xludf.DUMMYFUNCTION("GOOGLEFINANCE(""BOM:""&amp;A42,""MARKETCAP"")/10000000"),986.5590786)</f>
        <v>986.55907860000002</v>
      </c>
      <c r="G42" s="95">
        <f t="shared" ca="1" si="0"/>
        <v>3.9515172253695484E-3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4.4">
      <c r="A43" s="99">
        <v>522257</v>
      </c>
      <c r="B43" s="98" t="s">
        <v>3935</v>
      </c>
      <c r="C43" s="101" t="e">
        <f>VLOOKUP(A43,'BSE ALL CAP'!$B$4:$Y$1038,2,)</f>
        <v>#N/A</v>
      </c>
      <c r="D43" s="101" t="e">
        <f>VLOOKUP(A43,'BSE ALL CAP'!$B$4:$Y$1038,3,)</f>
        <v>#N/A</v>
      </c>
      <c r="E43" s="101">
        <f ca="1">IFERROR(__xludf.DUMMYFUNCTION("GOOGLEFINANCE(""BOM:""&amp;A43,""PRICE"")"),55.95)</f>
        <v>55.95</v>
      </c>
      <c r="F43" s="112">
        <f ca="1">IFERROR(__xludf.DUMMYFUNCTION("GOOGLEFINANCE(""BOM:""&amp;A43,""MARKETCAP"")/10000000"),1000.4024747)</f>
        <v>1000.4024747</v>
      </c>
      <c r="G43" s="95">
        <f t="shared" ca="1" si="0"/>
        <v>4.006964911507504E-3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4.4">
      <c r="A44" s="99">
        <v>544244</v>
      </c>
      <c r="B44" s="98" t="s">
        <v>3936</v>
      </c>
      <c r="C44" s="101" t="e">
        <f>VLOOKUP(A44,'BSE ALL CAP'!$B$4:$Y$1038,2,)</f>
        <v>#N/A</v>
      </c>
      <c r="D44" s="101" t="e">
        <f>VLOOKUP(A44,'BSE ALL CAP'!$B$4:$Y$1038,3,)</f>
        <v>#N/A</v>
      </c>
      <c r="E44" s="101">
        <f ca="1">IFERROR(__xludf.DUMMYFUNCTION("GOOGLEFINANCE(""BOM:""&amp;A44,""PRICE"")"),725)</f>
        <v>725</v>
      </c>
      <c r="F44" s="112">
        <f ca="1">IFERROR(__xludf.DUMMYFUNCTION("GOOGLEFINANCE(""BOM:""&amp;A44,""MARKETCAP"")/10000000"),927.126375)</f>
        <v>927.12637500000005</v>
      </c>
      <c r="G44" s="95">
        <f t="shared" ca="1" si="0"/>
        <v>3.7134682761277541E-3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4.4">
      <c r="A45" s="99">
        <v>523708</v>
      </c>
      <c r="B45" s="98" t="s">
        <v>3937</v>
      </c>
      <c r="C45" s="101" t="e">
        <f>VLOOKUP(A45,'BSE ALL CAP'!$B$4:$Y$1038,2,)</f>
        <v>#N/A</v>
      </c>
      <c r="D45" s="101" t="e">
        <f>VLOOKUP(A45,'BSE ALL CAP'!$B$4:$Y$1038,3,)</f>
        <v>#N/A</v>
      </c>
      <c r="E45" s="101">
        <f ca="1">IFERROR(__xludf.DUMMYFUNCTION("GOOGLEFINANCE(""BOM:""&amp;A45,""PRICE"")"),1580.9)</f>
        <v>1580.9</v>
      </c>
      <c r="F45" s="112">
        <f ca="1">IFERROR(__xludf.DUMMYFUNCTION("GOOGLEFINANCE(""BOM:""&amp;A45,""MARKETCAP"")/10000000"),909.270398)</f>
        <v>909.270398</v>
      </c>
      <c r="G45" s="95">
        <f t="shared" ca="1" si="0"/>
        <v>3.6419487876127531E-3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544318</v>
      </c>
      <c r="B46" s="98" t="s">
        <v>3938</v>
      </c>
      <c r="C46" s="101" t="e">
        <f>VLOOKUP(A46,'BSE ALL CAP'!$B$4:$Y$1038,2,)</f>
        <v>#N/A</v>
      </c>
      <c r="D46" s="101" t="e">
        <f>VLOOKUP(A46,'BSE ALL CAP'!$B$4:$Y$1038,3,)</f>
        <v>#N/A</v>
      </c>
      <c r="E46" s="101">
        <f ca="1">IFERROR(__xludf.DUMMYFUNCTION("GOOGLEFINANCE(""BOM:""&amp;A46,""PRICE"")"),342)</f>
        <v>342</v>
      </c>
      <c r="F46" s="112">
        <f ca="1">IFERROR(__xludf.DUMMYFUNCTION("GOOGLEFINANCE(""BOM:""&amp;A46,""MARKETCAP"")/10000000"),842.201955)</f>
        <v>842.201955</v>
      </c>
      <c r="G46" s="95">
        <f t="shared" ca="1" si="0"/>
        <v>3.3733160077398018E-3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4.4">
      <c r="A47" s="99">
        <v>544364</v>
      </c>
      <c r="B47" s="98" t="s">
        <v>3939</v>
      </c>
      <c r="C47" s="101" t="e">
        <f>VLOOKUP(A47,'BSE ALL CAP'!$B$4:$Y$1038,2,)</f>
        <v>#N/A</v>
      </c>
      <c r="D47" s="101" t="e">
        <f>VLOOKUP(A47,'BSE ALL CAP'!$B$4:$Y$1038,3,)</f>
        <v>#N/A</v>
      </c>
      <c r="E47" s="101">
        <f ca="1">IFERROR(__xludf.DUMMYFUNCTION("GOOGLEFINANCE(""BOM:""&amp;A47,""PRICE"")"),246.05)</f>
        <v>246.05</v>
      </c>
      <c r="F47" s="112">
        <f ca="1">IFERROR(__xludf.DUMMYFUNCTION("GOOGLEFINANCE(""BOM:""&amp;A47,""MARKETCAP"")/10000000"),784)</f>
        <v>784</v>
      </c>
      <c r="G47" s="95">
        <f t="shared" ca="1" si="0"/>
        <v>3.1401966409208876E-3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4.4">
      <c r="A48" s="99">
        <v>507944</v>
      </c>
      <c r="B48" s="98" t="s">
        <v>3940</v>
      </c>
      <c r="C48" s="101" t="e">
        <f>VLOOKUP(A48,'BSE ALL CAP'!$B$4:$Y$1038,2,)</f>
        <v>#N/A</v>
      </c>
      <c r="D48" s="101" t="e">
        <f>VLOOKUP(A48,'BSE ALL CAP'!$B$4:$Y$1038,3,)</f>
        <v>#N/A</v>
      </c>
      <c r="E48" s="101">
        <f ca="1">IFERROR(__xludf.DUMMYFUNCTION("GOOGLEFINANCE(""BOM:""&amp;A48,""PRICE"")"),447.5)</f>
        <v>447.5</v>
      </c>
      <c r="F48" s="112">
        <f ca="1">IFERROR(__xludf.DUMMYFUNCTION("GOOGLEFINANCE(""BOM:""&amp;A48,""MARKETCAP"")/10000000"),930.6960253)</f>
        <v>930.69602529999997</v>
      </c>
      <c r="G48" s="95">
        <f t="shared" ca="1" si="0"/>
        <v>3.7277659851600526E-3</v>
      </c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ht="14.4">
      <c r="A49" s="99">
        <v>524109</v>
      </c>
      <c r="B49" s="98" t="s">
        <v>3941</v>
      </c>
      <c r="C49" s="101" t="e">
        <f>VLOOKUP(A49,'BSE ALL CAP'!$B$4:$Y$1038,2,)</f>
        <v>#N/A</v>
      </c>
      <c r="D49" s="101" t="e">
        <f>VLOOKUP(A49,'BSE ALL CAP'!$B$4:$Y$1038,3,)</f>
        <v>#N/A</v>
      </c>
      <c r="E49" s="101">
        <f ca="1">IFERROR(__xludf.DUMMYFUNCTION("GOOGLEFINANCE(""BOM:""&amp;A49,""PRICE"")"),210)</f>
        <v>210</v>
      </c>
      <c r="F49" s="112">
        <f ca="1">IFERROR(__xludf.DUMMYFUNCTION("GOOGLEFINANCE(""BOM:""&amp;A49,""MARKETCAP"")/10000000"),722.7485175)</f>
        <v>722.74851750000005</v>
      </c>
      <c r="G49" s="95">
        <f t="shared" ca="1" si="0"/>
        <v>2.8948628404133307E-3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4.4">
      <c r="A50" s="99">
        <v>544516</v>
      </c>
      <c r="B50" s="98" t="s">
        <v>3942</v>
      </c>
      <c r="C50" s="101" t="e">
        <f>VLOOKUP(A50,'BSE ALL CAP'!$B$4:$Y$1038,2,)</f>
        <v>#N/A</v>
      </c>
      <c r="D50" s="101" t="e">
        <f>VLOOKUP(A50,'BSE ALL CAP'!$B$4:$Y$1038,3,)</f>
        <v>#N/A</v>
      </c>
      <c r="E50" s="101">
        <f ca="1">IFERROR(__xludf.DUMMYFUNCTION("GOOGLEFINANCE(""BOM:""&amp;A50,""PRICE"")"),294)</f>
        <v>294</v>
      </c>
      <c r="F50" s="112">
        <f ca="1">IFERROR(__xludf.DUMMYFUNCTION("GOOGLEFINANCE(""BOM:""&amp;A50,""MARKETCAP"")/10000000"),704.71653)</f>
        <v>704.71653000000003</v>
      </c>
      <c r="G50" s="95">
        <f t="shared" ca="1" si="0"/>
        <v>2.8226383677390611E-3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4.4">
      <c r="A51" s="99">
        <v>544458</v>
      </c>
      <c r="B51" s="98" t="s">
        <v>3943</v>
      </c>
      <c r="C51" s="101" t="e">
        <f>VLOOKUP(A51,'BSE ALL CAP'!$B$4:$Y$1038,2,)</f>
        <v>#N/A</v>
      </c>
      <c r="D51" s="101" t="e">
        <f>VLOOKUP(A51,'BSE ALL CAP'!$B$4:$Y$1038,3,)</f>
        <v>#N/A</v>
      </c>
      <c r="E51" s="101">
        <f ca="1">IFERROR(__xludf.DUMMYFUNCTION("GOOGLEFINANCE(""BOM:""&amp;A51,""PRICE"")"),193)</f>
        <v>193</v>
      </c>
      <c r="F51" s="112">
        <f ca="1">IFERROR(__xludf.DUMMYFUNCTION("GOOGLEFINANCE(""BOM:""&amp;A51,""MARKETCAP"")/10000000"),687.66672)</f>
        <v>687.66672000000005</v>
      </c>
      <c r="G51" s="95">
        <f t="shared" ca="1" si="0"/>
        <v>2.7543478625217917E-3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4.4">
      <c r="A52" s="99">
        <v>523850</v>
      </c>
      <c r="B52" s="98" t="s">
        <v>3944</v>
      </c>
      <c r="C52" s="101" t="e">
        <f>VLOOKUP(A52,'BSE ALL CAP'!$B$4:$Y$1038,2,)</f>
        <v>#N/A</v>
      </c>
      <c r="D52" s="101" t="e">
        <f>VLOOKUP(A52,'BSE ALL CAP'!$B$4:$Y$1038,3,)</f>
        <v>#N/A</v>
      </c>
      <c r="E52" s="101">
        <f ca="1">IFERROR(__xludf.DUMMYFUNCTION("GOOGLEFINANCE(""BOM:""&amp;A52,""PRICE"")"),386.15)</f>
        <v>386.15</v>
      </c>
      <c r="F52" s="112">
        <f ca="1">IFERROR(__xludf.DUMMYFUNCTION("GOOGLEFINANCE(""BOM:""&amp;A52,""MARKETCAP"")/10000000"),623.8172059)</f>
        <v>623.81720589999998</v>
      </c>
      <c r="G52" s="95">
        <f t="shared" ca="1" si="0"/>
        <v>2.4986080287191753E-3</v>
      </c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ht="14.4">
      <c r="A53" s="99">
        <v>544001</v>
      </c>
      <c r="B53" s="98" t="s">
        <v>3945</v>
      </c>
      <c r="C53" s="101" t="e">
        <f>VLOOKUP(A53,'BSE ALL CAP'!$B$4:$Y$1038,2,)</f>
        <v>#N/A</v>
      </c>
      <c r="D53" s="101" t="e">
        <f>VLOOKUP(A53,'BSE ALL CAP'!$B$4:$Y$1038,3,)</f>
        <v>#N/A</v>
      </c>
      <c r="E53" s="101">
        <f ca="1">IFERROR(__xludf.DUMMYFUNCTION("GOOGLEFINANCE(""BOM:""&amp;A53,""PRICE"")"),900)</f>
        <v>900</v>
      </c>
      <c r="F53" s="112">
        <f ca="1">IFERROR(__xludf.DUMMYFUNCTION("GOOGLEFINANCE(""BOM:""&amp;A53,""MARKETCAP"")/10000000"),565.2414)</f>
        <v>565.2414</v>
      </c>
      <c r="G53" s="95">
        <f t="shared" ca="1" si="0"/>
        <v>2.263991257129362E-3</v>
      </c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ht="14.4">
      <c r="A54" s="99">
        <v>544186</v>
      </c>
      <c r="B54" s="98" t="s">
        <v>3946</v>
      </c>
      <c r="C54" s="101" t="e">
        <f>VLOOKUP(A54,'BSE ALL CAP'!$B$4:$Y$1038,2,)</f>
        <v>#N/A</v>
      </c>
      <c r="D54" s="101" t="e">
        <f>VLOOKUP(A54,'BSE ALL CAP'!$B$4:$Y$1038,3,)</f>
        <v>#N/A</v>
      </c>
      <c r="E54" s="101">
        <f ca="1">IFERROR(__xludf.DUMMYFUNCTION("GOOGLEFINANCE(""BOM:""&amp;A54,""PRICE"")"),125)</f>
        <v>125</v>
      </c>
      <c r="F54" s="112">
        <f ca="1">IFERROR(__xludf.DUMMYFUNCTION("GOOGLEFINANCE(""BOM:""&amp;A54,""MARKETCAP"")/10000000"),644.93075)</f>
        <v>644.93074999999999</v>
      </c>
      <c r="G54" s="95">
        <f t="shared" ca="1" si="0"/>
        <v>2.5831752229293222E-3</v>
      </c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ht="14.4">
      <c r="A55" s="99">
        <v>522134</v>
      </c>
      <c r="B55" s="98" t="s">
        <v>3947</v>
      </c>
      <c r="C55" s="101" t="e">
        <f>VLOOKUP(A55,'BSE ALL CAP'!$B$4:$Y$1038,2,)</f>
        <v>#N/A</v>
      </c>
      <c r="D55" s="101" t="e">
        <f>VLOOKUP(A55,'BSE ALL CAP'!$B$4:$Y$1038,3,)</f>
        <v>#N/A</v>
      </c>
      <c r="E55" s="101">
        <f ca="1">IFERROR(__xludf.DUMMYFUNCTION("GOOGLEFINANCE(""BOM:""&amp;A55,""PRICE"")"),143.55)</f>
        <v>143.55000000000001</v>
      </c>
      <c r="F55" s="112">
        <f ca="1">IFERROR(__xludf.DUMMYFUNCTION("GOOGLEFINANCE(""BOM:""&amp;A55,""MARKETCAP"")/10000000"),529.9866112)</f>
        <v>529.98661119999997</v>
      </c>
      <c r="G55" s="95">
        <f t="shared" ca="1" si="0"/>
        <v>2.1227833880399036E-3</v>
      </c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ht="14.4">
      <c r="A56" s="99">
        <v>522217</v>
      </c>
      <c r="B56" s="98" t="s">
        <v>3948</v>
      </c>
      <c r="C56" s="101" t="e">
        <f>VLOOKUP(A56,'BSE ALL CAP'!$B$4:$Y$1038,2,)</f>
        <v>#N/A</v>
      </c>
      <c r="D56" s="101" t="e">
        <f>VLOOKUP(A56,'BSE ALL CAP'!$B$4:$Y$1038,3,)</f>
        <v>#N/A</v>
      </c>
      <c r="E56" s="101">
        <f ca="1">IFERROR(__xludf.DUMMYFUNCTION("GOOGLEFINANCE(""BOM:""&amp;A56,""PRICE"")"),445.55)</f>
        <v>445.55</v>
      </c>
      <c r="F56" s="112">
        <f ca="1">IFERROR(__xludf.DUMMYFUNCTION("GOOGLEFINANCE(""BOM:""&amp;A56,""MARKETCAP"")/10000000"),578.2674579)</f>
        <v>578.26745789999995</v>
      </c>
      <c r="G56" s="95">
        <f t="shared" ca="1" si="0"/>
        <v>2.3161652153717354E-3</v>
      </c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ht="14.4">
      <c r="A57" s="99">
        <v>544656</v>
      </c>
      <c r="B57" s="98" t="s">
        <v>3949</v>
      </c>
      <c r="C57" s="101" t="e">
        <f>VLOOKUP(A57,'BSE ALL CAP'!$B$4:$Y$1038,2,)</f>
        <v>#N/A</v>
      </c>
      <c r="D57" s="101" t="e">
        <f>VLOOKUP(A57,'BSE ALL CAP'!$B$4:$Y$1038,3,)</f>
        <v>#N/A</v>
      </c>
      <c r="E57" s="101">
        <f ca="1">IFERROR(__xludf.DUMMYFUNCTION("GOOGLEFINANCE(""BOM:""&amp;A57,""PRICE"")"),228.15)</f>
        <v>228.15</v>
      </c>
      <c r="F57" s="112">
        <f ca="1">IFERROR(__xludf.DUMMYFUNCTION("GOOGLEFINANCE(""BOM:""&amp;A57,""MARKETCAP"")/10000000"),439.921556)</f>
        <v>439.92155600000001</v>
      </c>
      <c r="G57" s="95">
        <f t="shared" ca="1" si="0"/>
        <v>1.7620410617600639E-3</v>
      </c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ht="14.4">
      <c r="A58" s="99">
        <v>505358</v>
      </c>
      <c r="B58" s="98" t="s">
        <v>3950</v>
      </c>
      <c r="C58" s="101" t="e">
        <f>VLOOKUP(A58,'BSE ALL CAP'!$B$4:$Y$1038,2,)</f>
        <v>#N/A</v>
      </c>
      <c r="D58" s="101" t="e">
        <f>VLOOKUP(A58,'BSE ALL CAP'!$B$4:$Y$1038,3,)</f>
        <v>#N/A</v>
      </c>
      <c r="E58" s="101">
        <f ca="1">IFERROR(__xludf.DUMMYFUNCTION("GOOGLEFINANCE(""BOM:""&amp;A58,""PRICE"")"),142)</f>
        <v>142</v>
      </c>
      <c r="F58" s="112">
        <f ca="1">IFERROR(__xludf.DUMMYFUNCTION("GOOGLEFINANCE(""BOM:""&amp;A58,""MARKETCAP"")/10000000"),488.837698)</f>
        <v>488.83769799999999</v>
      </c>
      <c r="G58" s="95">
        <f t="shared" ca="1" si="0"/>
        <v>1.9579674709376267E-3</v>
      </c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ht="14.4">
      <c r="A59" s="99">
        <v>532740</v>
      </c>
      <c r="B59" s="98" t="s">
        <v>3951</v>
      </c>
      <c r="C59" s="101" t="e">
        <f>VLOOKUP(A59,'BSE ALL CAP'!$B$4:$Y$1038,2,)</f>
        <v>#N/A</v>
      </c>
      <c r="D59" s="101" t="e">
        <f>VLOOKUP(A59,'BSE ALL CAP'!$B$4:$Y$1038,3,)</f>
        <v>#N/A</v>
      </c>
      <c r="E59" s="101">
        <f ca="1">IFERROR(__xludf.DUMMYFUNCTION("GOOGLEFINANCE(""BOM:""&amp;A59,""PRICE"")"),218)</f>
        <v>218</v>
      </c>
      <c r="F59" s="112">
        <f ca="1">IFERROR(__xludf.DUMMYFUNCTION("GOOGLEFINANCE(""BOM:""&amp;A59,""MARKETCAP"")/10000000"),436.7492424)</f>
        <v>436.74924240000001</v>
      </c>
      <c r="G59" s="95">
        <f t="shared" ca="1" si="0"/>
        <v>1.7493348264148246E-3</v>
      </c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ht="14.4">
      <c r="A60" s="99">
        <v>509709</v>
      </c>
      <c r="B60" s="98" t="s">
        <v>3952</v>
      </c>
      <c r="C60" s="101" t="e">
        <f>VLOOKUP(A60,'BSE ALL CAP'!$B$4:$Y$1038,2,)</f>
        <v>#N/A</v>
      </c>
      <c r="D60" s="101" t="e">
        <f>VLOOKUP(A60,'BSE ALL CAP'!$B$4:$Y$1038,3,)</f>
        <v>#N/A</v>
      </c>
      <c r="E60" s="101">
        <f ca="1">IFERROR(__xludf.DUMMYFUNCTION("GOOGLEFINANCE(""BOM:""&amp;A60,""PRICE"")"),70.05)</f>
        <v>70.05</v>
      </c>
      <c r="F60" s="112">
        <f ca="1">IFERROR(__xludf.DUMMYFUNCTION("GOOGLEFINANCE(""BOM:""&amp;A60,""MARKETCAP"")/10000000"),445.31894)</f>
        <v>445.31894</v>
      </c>
      <c r="G60" s="95">
        <f t="shared" ca="1" si="0"/>
        <v>1.7836594891919009E-3</v>
      </c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ht="14.4">
      <c r="A61" s="99">
        <v>540652</v>
      </c>
      <c r="B61" s="98" t="s">
        <v>3953</v>
      </c>
      <c r="C61" s="101" t="e">
        <f>VLOOKUP(A61,'BSE ALL CAP'!$B$4:$Y$1038,2,)</f>
        <v>#N/A</v>
      </c>
      <c r="D61" s="101" t="e">
        <f>VLOOKUP(A61,'BSE ALL CAP'!$B$4:$Y$1038,3,)</f>
        <v>#N/A</v>
      </c>
      <c r="E61" s="101">
        <f ca="1">IFERROR(__xludf.DUMMYFUNCTION("GOOGLEFINANCE(""BOM:""&amp;A61,""PRICE"")"),171)</f>
        <v>171</v>
      </c>
      <c r="F61" s="112">
        <f ca="1">IFERROR(__xludf.DUMMYFUNCTION("GOOGLEFINANCE(""BOM:""&amp;A61,""MARKETCAP"")/10000000"),397.0637)</f>
        <v>397.06369999999998</v>
      </c>
      <c r="G61" s="95">
        <f t="shared" ca="1" si="0"/>
        <v>1.5903802257291057E-3</v>
      </c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</row>
    <row r="62" spans="1:25" ht="14.4">
      <c r="A62" s="99">
        <v>544023</v>
      </c>
      <c r="B62" s="98" t="s">
        <v>3954</v>
      </c>
      <c r="C62" s="101" t="e">
        <f>VLOOKUP(A62,'BSE ALL CAP'!$B$4:$Y$1038,2,)</f>
        <v>#N/A</v>
      </c>
      <c r="D62" s="101" t="e">
        <f>VLOOKUP(A62,'BSE ALL CAP'!$B$4:$Y$1038,3,)</f>
        <v>#N/A</v>
      </c>
      <c r="E62" s="101">
        <f ca="1">IFERROR(__xludf.DUMMYFUNCTION("GOOGLEFINANCE(""BOM:""&amp;A62,""PRICE"")"),541)</f>
        <v>541</v>
      </c>
      <c r="F62" s="112">
        <f ca="1">IFERROR(__xludf.DUMMYFUNCTION("GOOGLEFINANCE(""BOM:""&amp;A62,""MARKETCAP"")/10000000"),388.4649959)</f>
        <v>388.46499590000002</v>
      </c>
      <c r="G62" s="95">
        <f t="shared" ca="1" si="0"/>
        <v>1.5559393816843448E-3</v>
      </c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</row>
    <row r="63" spans="1:25" ht="14.4">
      <c r="A63" s="99">
        <v>523792</v>
      </c>
      <c r="B63" s="98" t="s">
        <v>3955</v>
      </c>
      <c r="C63" s="101" t="e">
        <f>VLOOKUP(A63,'BSE ALL CAP'!$B$4:$Y$1038,2,)</f>
        <v>#N/A</v>
      </c>
      <c r="D63" s="101" t="e">
        <f>VLOOKUP(A63,'BSE ALL CAP'!$B$4:$Y$1038,3,)</f>
        <v>#N/A</v>
      </c>
      <c r="E63" s="101">
        <f ca="1">IFERROR(__xludf.DUMMYFUNCTION("GOOGLEFINANCE(""BOM:""&amp;A63,""PRICE"")"),182.3)</f>
        <v>182.3</v>
      </c>
      <c r="F63" s="112">
        <f ca="1">IFERROR(__xludf.DUMMYFUNCTION("GOOGLEFINANCE(""BOM:""&amp;A63,""MARKETCAP"")/10000000"),364.2747823)</f>
        <v>364.27478230000003</v>
      </c>
      <c r="G63" s="95">
        <f t="shared" ca="1" si="0"/>
        <v>1.4590490404982751E-3</v>
      </c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</row>
    <row r="64" spans="1:25" ht="14.4">
      <c r="A64" s="99">
        <v>544531</v>
      </c>
      <c r="B64" s="98" t="s">
        <v>3956</v>
      </c>
      <c r="C64" s="101" t="e">
        <f>VLOOKUP(A64,'BSE ALL CAP'!$B$4:$Y$1038,2,)</f>
        <v>#N/A</v>
      </c>
      <c r="D64" s="101" t="e">
        <f>VLOOKUP(A64,'BSE ALL CAP'!$B$4:$Y$1038,3,)</f>
        <v>#N/A</v>
      </c>
      <c r="E64" s="101">
        <f ca="1">IFERROR(__xludf.DUMMYFUNCTION("GOOGLEFINANCE(""BOM:""&amp;A64,""PRICE"")"),155.15)</f>
        <v>155.15</v>
      </c>
      <c r="F64" s="112">
        <f ca="1">IFERROR(__xludf.DUMMYFUNCTION("GOOGLEFINANCE(""BOM:""&amp;A64,""MARKETCAP"")/10000000"),382.5161039)</f>
        <v>382.51610390000002</v>
      </c>
      <c r="G64" s="95">
        <f t="shared" ca="1" si="0"/>
        <v>1.5321119701083229E-3</v>
      </c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</row>
    <row r="65" spans="1:25" ht="14.4">
      <c r="A65" s="99">
        <v>522004</v>
      </c>
      <c r="B65" s="98" t="s">
        <v>3957</v>
      </c>
      <c r="C65" s="101" t="e">
        <f>VLOOKUP(A65,'BSE ALL CAP'!$B$4:$Y$1038,2,)</f>
        <v>#N/A</v>
      </c>
      <c r="D65" s="101" t="e">
        <f>VLOOKUP(A65,'BSE ALL CAP'!$B$4:$Y$1038,3,)</f>
        <v>#N/A</v>
      </c>
      <c r="E65" s="101">
        <f ca="1">IFERROR(__xludf.DUMMYFUNCTION("GOOGLEFINANCE(""BOM:""&amp;A65,""PRICE"")"),75.99)</f>
        <v>75.989999999999995</v>
      </c>
      <c r="F65" s="112">
        <f ca="1">IFERROR(__xludf.DUMMYFUNCTION("GOOGLEFINANCE(""BOM:""&amp;A65,""MARKETCAP"")/10000000"),358.1599334)</f>
        <v>358.1599334</v>
      </c>
      <c r="G65" s="95">
        <f t="shared" ca="1" si="0"/>
        <v>1.4345569129784806E-3</v>
      </c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</row>
    <row r="66" spans="1:25" ht="14.4">
      <c r="A66" s="99">
        <v>522014</v>
      </c>
      <c r="B66" s="98" t="s">
        <v>3958</v>
      </c>
      <c r="C66" s="101" t="e">
        <f>VLOOKUP(A66,'BSE ALL CAP'!$B$4:$Y$1038,2,)</f>
        <v>#N/A</v>
      </c>
      <c r="D66" s="101" t="e">
        <f>VLOOKUP(A66,'BSE ALL CAP'!$B$4:$Y$1038,3,)</f>
        <v>#N/A</v>
      </c>
      <c r="E66" s="101">
        <f ca="1">IFERROR(__xludf.DUMMYFUNCTION("GOOGLEFINANCE(""BOM:""&amp;A66,""PRICE"")"),158.9)</f>
        <v>158.9</v>
      </c>
      <c r="F66" s="112">
        <f ca="1">IFERROR(__xludf.DUMMYFUNCTION("GOOGLEFINANCE(""BOM:""&amp;A66,""MARKETCAP"")/10000000"),321.7232531)</f>
        <v>321.72325310000002</v>
      </c>
      <c r="G66" s="95">
        <f t="shared" ca="1" si="0"/>
        <v>1.2886151513912762E-3</v>
      </c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</row>
    <row r="67" spans="1:25" ht="14.4">
      <c r="A67" s="99">
        <v>504959</v>
      </c>
      <c r="B67" s="98" t="s">
        <v>3959</v>
      </c>
      <c r="C67" s="101" t="e">
        <f>VLOOKUP(A67,'BSE ALL CAP'!$B$4:$Y$1038,2,)</f>
        <v>#N/A</v>
      </c>
      <c r="D67" s="101" t="e">
        <f>VLOOKUP(A67,'BSE ALL CAP'!$B$4:$Y$1038,3,)</f>
        <v>#N/A</v>
      </c>
      <c r="E67" s="101">
        <f ca="1">IFERROR(__xludf.DUMMYFUNCTION("GOOGLEFINANCE(""BOM:""&amp;A67,""PRICE"")"),1550.15)</f>
        <v>1550.15</v>
      </c>
      <c r="F67" s="112">
        <f ca="1">IFERROR(__xludf.DUMMYFUNCTION("GOOGLEFINANCE(""BOM:""&amp;A67,""MARKETCAP"")/10000000"),323.6738053)</f>
        <v>323.67380530000003</v>
      </c>
      <c r="G67" s="95">
        <f t="shared" ca="1" si="0"/>
        <v>1.2964278012208437E-3</v>
      </c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</row>
    <row r="68" spans="1:25" ht="14.4">
      <c r="A68" s="99">
        <v>505720</v>
      </c>
      <c r="B68" s="98" t="s">
        <v>3960</v>
      </c>
      <c r="C68" s="101" t="e">
        <f>VLOOKUP(A68,'BSE ALL CAP'!$B$4:$Y$1038,2,)</f>
        <v>#N/A</v>
      </c>
      <c r="D68" s="101" t="e">
        <f>VLOOKUP(A68,'BSE ALL CAP'!$B$4:$Y$1038,3,)</f>
        <v>#N/A</v>
      </c>
      <c r="E68" s="101">
        <f ca="1">IFERROR(__xludf.DUMMYFUNCTION("GOOGLEFINANCE(""BOM:""&amp;A68,""PRICE"")"),100.9)</f>
        <v>100.9</v>
      </c>
      <c r="F68" s="112">
        <f ca="1">IFERROR(__xludf.DUMMYFUNCTION("GOOGLEFINANCE(""BOM:""&amp;A68,""MARKETCAP"")/10000000"),320.6649396)</f>
        <v>320.66493960000003</v>
      </c>
      <c r="G68" s="95">
        <f t="shared" ca="1" si="0"/>
        <v>1.2843762323890553E-3</v>
      </c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</row>
    <row r="69" spans="1:25" ht="14.4">
      <c r="A69" s="99">
        <v>522017</v>
      </c>
      <c r="B69" s="98" t="s">
        <v>3961</v>
      </c>
      <c r="C69" s="101" t="e">
        <f>VLOOKUP(A69,'BSE ALL CAP'!$B$4:$Y$1038,2,)</f>
        <v>#N/A</v>
      </c>
      <c r="D69" s="101" t="e">
        <f>VLOOKUP(A69,'BSE ALL CAP'!$B$4:$Y$1038,3,)</f>
        <v>#N/A</v>
      </c>
      <c r="E69" s="101">
        <f ca="1">IFERROR(__xludf.DUMMYFUNCTION("GOOGLEFINANCE(""BOM:""&amp;A69,""PRICE"")"),610.95)</f>
        <v>610.95000000000005</v>
      </c>
      <c r="F69" s="112">
        <f ca="1">IFERROR(__xludf.DUMMYFUNCTION("GOOGLEFINANCE(""BOM:""&amp;A69,""MARKETCAP"")/10000000"),301.015071)</f>
        <v>301.01507099999998</v>
      </c>
      <c r="G69" s="95">
        <f t="shared" ca="1" si="0"/>
        <v>1.2056715750264825E-3</v>
      </c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</row>
    <row r="70" spans="1:25" ht="14.4">
      <c r="A70" s="99">
        <v>544518</v>
      </c>
      <c r="B70" s="98" t="s">
        <v>3962</v>
      </c>
      <c r="C70" s="101" t="e">
        <f>VLOOKUP(A70,'BSE ALL CAP'!$B$4:$Y$1038,2,)</f>
        <v>#N/A</v>
      </c>
      <c r="D70" s="101" t="e">
        <f>VLOOKUP(A70,'BSE ALL CAP'!$B$4:$Y$1038,3,)</f>
        <v>#N/A</v>
      </c>
      <c r="E70" s="101">
        <f ca="1">IFERROR(__xludf.DUMMYFUNCTION("GOOGLEFINANCE(""BOM:""&amp;A70,""PRICE"")"),162.9)</f>
        <v>162.9</v>
      </c>
      <c r="F70" s="112">
        <f ca="1">IFERROR(__xludf.DUMMYFUNCTION("GOOGLEFINANCE(""BOM:""&amp;A70,""MARKETCAP"")/10000000"),312.1660728)</f>
        <v>312.16607279999999</v>
      </c>
      <c r="G70" s="95">
        <f t="shared" ca="1" si="0"/>
        <v>1.2503352719592158E-3</v>
      </c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</row>
    <row r="71" spans="1:25" ht="14.4">
      <c r="A71" s="99">
        <v>522650</v>
      </c>
      <c r="B71" s="98" t="s">
        <v>3963</v>
      </c>
      <c r="C71" s="101" t="e">
        <f>VLOOKUP(A71,'BSE ALL CAP'!$B$4:$Y$1038,2,)</f>
        <v>#N/A</v>
      </c>
      <c r="D71" s="101" t="e">
        <f>VLOOKUP(A71,'BSE ALL CAP'!$B$4:$Y$1038,3,)</f>
        <v>#N/A</v>
      </c>
      <c r="E71" s="101">
        <f ca="1">IFERROR(__xludf.DUMMYFUNCTION("GOOGLEFINANCE(""BOM:""&amp;A71,""PRICE"")"),71.95)</f>
        <v>71.95</v>
      </c>
      <c r="F71" s="112">
        <f ca="1">IFERROR(__xludf.DUMMYFUNCTION("GOOGLEFINANCE(""BOM:""&amp;A71,""MARKETCAP"")/10000000"),314.6660447)</f>
        <v>314.66604469999999</v>
      </c>
      <c r="G71" s="95">
        <f t="shared" ca="1" si="0"/>
        <v>1.260348541554594E-3</v>
      </c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</row>
    <row r="72" spans="1:25" ht="14.4">
      <c r="A72" s="99">
        <v>544332</v>
      </c>
      <c r="B72" s="98" t="s">
        <v>3964</v>
      </c>
      <c r="C72" s="101" t="e">
        <f>VLOOKUP(A72,'BSE ALL CAP'!$B$4:$Y$1038,2,)</f>
        <v>#N/A</v>
      </c>
      <c r="D72" s="101" t="e">
        <f>VLOOKUP(A72,'BSE ALL CAP'!$B$4:$Y$1038,3,)</f>
        <v>#N/A</v>
      </c>
      <c r="E72" s="101">
        <f ca="1">IFERROR(__xludf.DUMMYFUNCTION("GOOGLEFINANCE(""BOM:""&amp;A72,""PRICE"")"),240.5)</f>
        <v>240.5</v>
      </c>
      <c r="F72" s="112">
        <f ca="1">IFERROR(__xludf.DUMMYFUNCTION("GOOGLEFINANCE(""BOM:""&amp;A72,""MARKETCAP"")/10000000"),296.280608)</f>
        <v>296.28060799999997</v>
      </c>
      <c r="G72" s="95">
        <f t="shared" ca="1" si="0"/>
        <v>1.1867083801168344E-3</v>
      </c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</row>
    <row r="73" spans="1:25" ht="14.4">
      <c r="A73" s="99">
        <v>517514</v>
      </c>
      <c r="B73" s="98" t="s">
        <v>3965</v>
      </c>
      <c r="C73" s="101" t="e">
        <f>VLOOKUP(A73,'BSE ALL CAP'!$B$4:$Y$1038,2,)</f>
        <v>#N/A</v>
      </c>
      <c r="D73" s="101" t="e">
        <f>VLOOKUP(A73,'BSE ALL CAP'!$B$4:$Y$1038,3,)</f>
        <v>#N/A</v>
      </c>
      <c r="E73" s="101">
        <f ca="1">IFERROR(__xludf.DUMMYFUNCTION("GOOGLEFINANCE(""BOM:""&amp;A73,""PRICE"")"),279.5)</f>
        <v>279.5</v>
      </c>
      <c r="F73" s="112">
        <f ca="1">IFERROR(__xludf.DUMMYFUNCTION("GOOGLEFINANCE(""BOM:""&amp;A73,""MARKETCAP"")/10000000"),286.0679705)</f>
        <v>286.0679705</v>
      </c>
      <c r="G73" s="95">
        <f t="shared" ca="1" si="0"/>
        <v>1.1458031633152495E-3</v>
      </c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</row>
    <row r="74" spans="1:25" ht="14.4">
      <c r="A74" s="99">
        <v>523754</v>
      </c>
      <c r="B74" s="98" t="s">
        <v>3966</v>
      </c>
      <c r="C74" s="101" t="e">
        <f>VLOOKUP(A74,'BSE ALL CAP'!$B$4:$Y$1038,2,)</f>
        <v>#N/A</v>
      </c>
      <c r="D74" s="101" t="e">
        <f>VLOOKUP(A74,'BSE ALL CAP'!$B$4:$Y$1038,3,)</f>
        <v>#N/A</v>
      </c>
      <c r="E74" s="101">
        <f ca="1">IFERROR(__xludf.DUMMYFUNCTION("GOOGLEFINANCE(""BOM:""&amp;A74,""PRICE"")"),103.5)</f>
        <v>103.5</v>
      </c>
      <c r="F74" s="112">
        <f ca="1">IFERROR(__xludf.DUMMYFUNCTION("GOOGLEFINANCE(""BOM:""&amp;A74,""MARKETCAP"")/10000000"),289.6237058)</f>
        <v>289.62370579999998</v>
      </c>
      <c r="G74" s="95">
        <f t="shared" ca="1" si="0"/>
        <v>1.1600451378625245E-3</v>
      </c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</row>
    <row r="75" spans="1:25" ht="14.4">
      <c r="A75" s="99">
        <v>539479</v>
      </c>
      <c r="B75" s="98" t="s">
        <v>3967</v>
      </c>
      <c r="C75" s="101" t="e">
        <f>VLOOKUP(A75,'BSE ALL CAP'!$B$4:$Y$1038,2,)</f>
        <v>#N/A</v>
      </c>
      <c r="D75" s="101" t="e">
        <f>VLOOKUP(A75,'BSE ALL CAP'!$B$4:$Y$1038,3,)</f>
        <v>#N/A</v>
      </c>
      <c r="E75" s="101">
        <f ca="1">IFERROR(__xludf.DUMMYFUNCTION("GOOGLEFINANCE(""BOM:""&amp;A75,""PRICE"")"),55.89)</f>
        <v>55.89</v>
      </c>
      <c r="F75" s="112">
        <f ca="1">IFERROR(__xludf.DUMMYFUNCTION("GOOGLEFINANCE(""BOM:""&amp;A75,""MARKETCAP"")/10000000"),261.8911476)</f>
        <v>261.89114760000001</v>
      </c>
      <c r="G75" s="95">
        <f t="shared" ca="1" si="0"/>
        <v>1.0489664566076995E-3</v>
      </c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</row>
    <row r="76" spans="1:25" ht="14.4">
      <c r="A76" s="99">
        <v>506525</v>
      </c>
      <c r="B76" s="98" t="s">
        <v>3968</v>
      </c>
      <c r="C76" s="101" t="e">
        <f>VLOOKUP(A76,'BSE ALL CAP'!$B$4:$Y$1038,2,)</f>
        <v>#N/A</v>
      </c>
      <c r="D76" s="101" t="e">
        <f>VLOOKUP(A76,'BSE ALL CAP'!$B$4:$Y$1038,3,)</f>
        <v>#N/A</v>
      </c>
      <c r="E76" s="101">
        <f ca="1">IFERROR(__xludf.DUMMYFUNCTION("GOOGLEFINANCE(""BOM:""&amp;A76,""PRICE"")"),66)</f>
        <v>66</v>
      </c>
      <c r="F76" s="112">
        <f ca="1">IFERROR(__xludf.DUMMYFUNCTION("GOOGLEFINANCE(""BOM:""&amp;A76,""MARKETCAP"")/10000000"),288.157432)</f>
        <v>288.15743199999997</v>
      </c>
      <c r="G76" s="95">
        <f t="shared" ca="1" si="0"/>
        <v>1.1541721939066186E-3</v>
      </c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</row>
    <row r="77" spans="1:25" ht="14.4">
      <c r="A77" s="99">
        <v>532329</v>
      </c>
      <c r="B77" s="98" t="s">
        <v>3969</v>
      </c>
      <c r="C77" s="101" t="e">
        <f>VLOOKUP(A77,'BSE ALL CAP'!$B$4:$Y$1038,2,)</f>
        <v>#N/A</v>
      </c>
      <c r="D77" s="101" t="e">
        <f>VLOOKUP(A77,'BSE ALL CAP'!$B$4:$Y$1038,3,)</f>
        <v>#N/A</v>
      </c>
      <c r="E77" s="101">
        <f ca="1">IFERROR(__xludf.DUMMYFUNCTION("GOOGLEFINANCE(""BOM:""&amp;A77,""PRICE"")"),712.2)</f>
        <v>712.2</v>
      </c>
      <c r="F77" s="112">
        <f ca="1">IFERROR(__xludf.DUMMYFUNCTION("GOOGLEFINANCE(""BOM:""&amp;A77,""MARKETCAP"")/10000000"),345.817357)</f>
        <v>345.81735700000002</v>
      </c>
      <c r="G77" s="95">
        <f t="shared" ca="1" si="0"/>
        <v>1.3851205393157391E-3</v>
      </c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ht="14.4">
      <c r="A78" s="99">
        <v>505854</v>
      </c>
      <c r="B78" s="98" t="s">
        <v>3970</v>
      </c>
      <c r="C78" s="101" t="e">
        <f>VLOOKUP(A78,'BSE ALL CAP'!$B$4:$Y$1038,2,)</f>
        <v>#N/A</v>
      </c>
      <c r="D78" s="101" t="e">
        <f>VLOOKUP(A78,'BSE ALL CAP'!$B$4:$Y$1038,3,)</f>
        <v>#N/A</v>
      </c>
      <c r="E78" s="101">
        <f ca="1">IFERROR(__xludf.DUMMYFUNCTION("GOOGLEFINANCE(""BOM:""&amp;A78,""PRICE"")"),243)</f>
        <v>243</v>
      </c>
      <c r="F78" s="112">
        <f ca="1">IFERROR(__xludf.DUMMYFUNCTION("GOOGLEFINANCE(""BOM:""&amp;A78,""MARKETCAP"")/10000000"),268.9257769)</f>
        <v>268.92577690000002</v>
      </c>
      <c r="G78" s="95">
        <f t="shared" ca="1" si="0"/>
        <v>1.0771426291816583E-3</v>
      </c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ht="14.4">
      <c r="A79" s="99">
        <v>505750</v>
      </c>
      <c r="B79" s="98" t="s">
        <v>3971</v>
      </c>
      <c r="C79" s="101" t="e">
        <f>VLOOKUP(A79,'BSE ALL CAP'!$B$4:$Y$1038,2,)</f>
        <v>#N/A</v>
      </c>
      <c r="D79" s="101" t="e">
        <f>VLOOKUP(A79,'BSE ALL CAP'!$B$4:$Y$1038,3,)</f>
        <v>#N/A</v>
      </c>
      <c r="E79" s="101">
        <f ca="1">IFERROR(__xludf.DUMMYFUNCTION("GOOGLEFINANCE(""BOM:""&amp;A79,""PRICE"")"),235.4)</f>
        <v>235.4</v>
      </c>
      <c r="F79" s="112">
        <f ca="1">IFERROR(__xludf.DUMMYFUNCTION("GOOGLEFINANCE(""BOM:""&amp;A79,""MARKETCAP"")/10000000"),278.3990983)</f>
        <v>278.39909829999999</v>
      </c>
      <c r="G79" s="95">
        <f t="shared" ca="1" si="0"/>
        <v>1.115086624128908E-3</v>
      </c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</row>
    <row r="80" spans="1:25" ht="14.4">
      <c r="A80" s="99">
        <v>544440</v>
      </c>
      <c r="B80" s="98" t="s">
        <v>3972</v>
      </c>
      <c r="C80" s="101" t="e">
        <f>VLOOKUP(A80,'BSE ALL CAP'!$B$4:$Y$1038,2,)</f>
        <v>#N/A</v>
      </c>
      <c r="D80" s="101" t="e">
        <f>VLOOKUP(A80,'BSE ALL CAP'!$B$4:$Y$1038,3,)</f>
        <v>#N/A</v>
      </c>
      <c r="E80" s="101">
        <f ca="1">IFERROR(__xludf.DUMMYFUNCTION("GOOGLEFINANCE(""BOM:""&amp;A80,""PRICE"")"),165.45)</f>
        <v>165.45</v>
      </c>
      <c r="F80" s="112">
        <f ca="1">IFERROR(__xludf.DUMMYFUNCTION("GOOGLEFINANCE(""BOM:""&amp;A80,""MARKETCAP"")/10000000"),236.2625956)</f>
        <v>236.2625956</v>
      </c>
      <c r="G80" s="95">
        <f t="shared" ca="1" si="0"/>
        <v>9.4631506259996176E-4</v>
      </c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5" ht="14.4">
      <c r="A81" s="99">
        <v>544112</v>
      </c>
      <c r="B81" s="98" t="s">
        <v>3973</v>
      </c>
      <c r="C81" s="101" t="e">
        <f>VLOOKUP(A81,'BSE ALL CAP'!$B$4:$Y$1038,2,)</f>
        <v>#N/A</v>
      </c>
      <c r="D81" s="101" t="e">
        <f>VLOOKUP(A81,'BSE ALL CAP'!$B$4:$Y$1038,3,)</f>
        <v>#N/A</v>
      </c>
      <c r="E81" s="101">
        <f ca="1">IFERROR(__xludf.DUMMYFUNCTION("GOOGLEFINANCE(""BOM:""&amp;A81,""PRICE"")"),461.3)</f>
        <v>461.3</v>
      </c>
      <c r="F81" s="112">
        <f ca="1">IFERROR(__xludf.DUMMYFUNCTION("GOOGLEFINANCE(""BOM:""&amp;A81,""MARKETCAP"")/10000000"),209.0611544)</f>
        <v>209.06115439999999</v>
      </c>
      <c r="G81" s="95">
        <f t="shared" ca="1" si="0"/>
        <v>8.3736369233918754E-4</v>
      </c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5" ht="14.4">
      <c r="A82" s="99">
        <v>541353</v>
      </c>
      <c r="B82" s="98" t="s">
        <v>3974</v>
      </c>
      <c r="C82" s="101" t="e">
        <f>VLOOKUP(A82,'BSE ALL CAP'!$B$4:$Y$1038,2,)</f>
        <v>#N/A</v>
      </c>
      <c r="D82" s="101" t="e">
        <f>VLOOKUP(A82,'BSE ALL CAP'!$B$4:$Y$1038,3,)</f>
        <v>#N/A</v>
      </c>
      <c r="E82" s="101">
        <f ca="1">IFERROR(__xludf.DUMMYFUNCTION("GOOGLEFINANCE(""BOM:""&amp;A82,""PRICE"")"),116.6)</f>
        <v>116.6</v>
      </c>
      <c r="F82" s="112">
        <f ca="1">IFERROR(__xludf.DUMMYFUNCTION("GOOGLEFINANCE(""BOM:""&amp;A82,""MARKETCAP"")/10000000"),219.9986617)</f>
        <v>219.99866170000001</v>
      </c>
      <c r="G82" s="95">
        <f t="shared" ca="1" si="0"/>
        <v>8.8117226846611062E-4</v>
      </c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</row>
    <row r="83" spans="1:25" ht="14.4">
      <c r="A83" s="99">
        <v>522105</v>
      </c>
      <c r="B83" s="98" t="s">
        <v>3975</v>
      </c>
      <c r="C83" s="101" t="e">
        <f>VLOOKUP(A83,'BSE ALL CAP'!$B$4:$Y$1038,2,)</f>
        <v>#N/A</v>
      </c>
      <c r="D83" s="101" t="e">
        <f>VLOOKUP(A83,'BSE ALL CAP'!$B$4:$Y$1038,3,)</f>
        <v>#N/A</v>
      </c>
      <c r="E83" s="101">
        <f ca="1">IFERROR(__xludf.DUMMYFUNCTION("GOOGLEFINANCE(""BOM:""&amp;A83,""PRICE"")"),30.18)</f>
        <v>30.18</v>
      </c>
      <c r="F83" s="112">
        <f ca="1">IFERROR(__xludf.DUMMYFUNCTION("GOOGLEFINANCE(""BOM:""&amp;A83,""MARKETCAP"")/10000000"),206.3938694)</f>
        <v>206.3938694</v>
      </c>
      <c r="G83" s="95">
        <f t="shared" ca="1" si="0"/>
        <v>8.2668027474049023E-4</v>
      </c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5" ht="14.4">
      <c r="A84" s="99">
        <v>539227</v>
      </c>
      <c r="B84" s="98" t="s">
        <v>3976</v>
      </c>
      <c r="C84" s="101" t="e">
        <f>VLOOKUP(A84,'BSE ALL CAP'!$B$4:$Y$1038,2,)</f>
        <v>#N/A</v>
      </c>
      <c r="D84" s="101" t="e">
        <f>VLOOKUP(A84,'BSE ALL CAP'!$B$4:$Y$1038,3,)</f>
        <v>#N/A</v>
      </c>
      <c r="E84" s="101">
        <f ca="1">IFERROR(__xludf.DUMMYFUNCTION("GOOGLEFINANCE(""BOM:""&amp;A84,""PRICE"")"),175.75)</f>
        <v>175.75</v>
      </c>
      <c r="F84" s="112">
        <f ca="1">IFERROR(__xludf.DUMMYFUNCTION("GOOGLEFINANCE(""BOM:""&amp;A84,""MARKETCAP"")/10000000"),189.63425)</f>
        <v>189.63425000000001</v>
      </c>
      <c r="G84" s="95">
        <f t="shared" ca="1" si="0"/>
        <v>7.5955208527238749E-4</v>
      </c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</row>
    <row r="85" spans="1:25" ht="14.4">
      <c r="A85" s="99">
        <v>505285</v>
      </c>
      <c r="B85" s="98" t="s">
        <v>3977</v>
      </c>
      <c r="C85" s="101" t="e">
        <f>VLOOKUP(A85,'BSE ALL CAP'!$B$4:$Y$1038,2,)</f>
        <v>#N/A</v>
      </c>
      <c r="D85" s="101" t="e">
        <f>VLOOKUP(A85,'BSE ALL CAP'!$B$4:$Y$1038,3,)</f>
        <v>#N/A</v>
      </c>
      <c r="E85" s="101">
        <f ca="1">IFERROR(__xludf.DUMMYFUNCTION("GOOGLEFINANCE(""BOM:""&amp;A85,""PRICE"")"),764.4)</f>
        <v>764.4</v>
      </c>
      <c r="F85" s="112"/>
      <c r="G85" s="95">
        <f t="shared" ca="1" si="0"/>
        <v>0</v>
      </c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</row>
    <row r="86" spans="1:25" ht="14.4">
      <c r="A86" s="99">
        <v>544246</v>
      </c>
      <c r="B86" s="98" t="s">
        <v>3978</v>
      </c>
      <c r="C86" s="101" t="e">
        <f>VLOOKUP(A86,'BSE ALL CAP'!$B$4:$Y$1038,2,)</f>
        <v>#N/A</v>
      </c>
      <c r="D86" s="101" t="e">
        <f>VLOOKUP(A86,'BSE ALL CAP'!$B$4:$Y$1038,3,)</f>
        <v>#N/A</v>
      </c>
      <c r="E86" s="101">
        <f ca="1">IFERROR(__xludf.DUMMYFUNCTION("GOOGLEFINANCE(""BOM:""&amp;A86,""PRICE"")"),570)</f>
        <v>570</v>
      </c>
      <c r="F86" s="112">
        <f ca="1">IFERROR(__xludf.DUMMYFUNCTION("GOOGLEFINANCE(""BOM:""&amp;A86,""MARKETCAP"")/10000000"),172.9601978)</f>
        <v>172.9601978</v>
      </c>
      <c r="G86" s="95">
        <f t="shared" ca="1" si="0"/>
        <v>6.9276662263338304E-4</v>
      </c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</row>
    <row r="87" spans="1:25" ht="14.4">
      <c r="A87" s="99">
        <v>543172</v>
      </c>
      <c r="B87" s="98" t="s">
        <v>3979</v>
      </c>
      <c r="C87" s="101" t="e">
        <f>VLOOKUP(A87,'BSE ALL CAP'!$B$4:$Y$1038,2,)</f>
        <v>#N/A</v>
      </c>
      <c r="D87" s="101" t="e">
        <f>VLOOKUP(A87,'BSE ALL CAP'!$B$4:$Y$1038,3,)</f>
        <v>#N/A</v>
      </c>
      <c r="E87" s="101">
        <f ca="1">IFERROR(__xludf.DUMMYFUNCTION("GOOGLEFINANCE(""BOM:""&amp;A87,""PRICE"")"),925)</f>
        <v>925</v>
      </c>
      <c r="F87" s="112">
        <f ca="1">IFERROR(__xludf.DUMMYFUNCTION("GOOGLEFINANCE(""BOM:""&amp;A87,""MARKETCAP"")/10000000"),169.87625)</f>
        <v>169.87625</v>
      </c>
      <c r="G87" s="95">
        <f t="shared" ca="1" si="0"/>
        <v>6.8041432349775111E-4</v>
      </c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</row>
    <row r="88" spans="1:25" ht="14.4">
      <c r="A88" s="99">
        <v>517258</v>
      </c>
      <c r="B88" s="98" t="s">
        <v>3980</v>
      </c>
      <c r="C88" s="101" t="e">
        <f>VLOOKUP(A88,'BSE ALL CAP'!$B$4:$Y$1038,2,)</f>
        <v>#N/A</v>
      </c>
      <c r="D88" s="101" t="e">
        <f>VLOOKUP(A88,'BSE ALL CAP'!$B$4:$Y$1038,3,)</f>
        <v>#N/A</v>
      </c>
      <c r="E88" s="101">
        <f ca="1">IFERROR(__xludf.DUMMYFUNCTION("GOOGLEFINANCE(""BOM:""&amp;A88,""PRICE"")"),114)</f>
        <v>114</v>
      </c>
      <c r="F88" s="112">
        <f ca="1">IFERROR(__xludf.DUMMYFUNCTION("GOOGLEFINANCE(""BOM:""&amp;A88,""MARKETCAP"")/10000000"),157.873014)</f>
        <v>157.87301400000001</v>
      </c>
      <c r="G88" s="95">
        <f t="shared" ca="1" si="0"/>
        <v>6.3233712787609216E-4</v>
      </c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</row>
    <row r="89" spans="1:25" ht="14.4">
      <c r="A89" s="99">
        <v>500028</v>
      </c>
      <c r="B89" s="98" t="s">
        <v>3981</v>
      </c>
      <c r="C89" s="101" t="e">
        <f>VLOOKUP(A89,'BSE ALL CAP'!$B$4:$Y$1038,2,)</f>
        <v>#N/A</v>
      </c>
      <c r="D89" s="101" t="e">
        <f>VLOOKUP(A89,'BSE ALL CAP'!$B$4:$Y$1038,3,)</f>
        <v>#N/A</v>
      </c>
      <c r="E89" s="101">
        <f ca="1">IFERROR(__xludf.DUMMYFUNCTION("GOOGLEFINANCE(""BOM:""&amp;A89,""PRICE"")"),35.25)</f>
        <v>35.25</v>
      </c>
      <c r="F89" s="112">
        <f ca="1">IFERROR(__xludf.DUMMYFUNCTION("GOOGLEFINANCE(""BOM:""&amp;A89,""MARKETCAP"")/10000000"),187.2389055)</f>
        <v>187.23890549999999</v>
      </c>
      <c r="G89" s="95">
        <f t="shared" ca="1" si="0"/>
        <v>7.4995788533265743E-4</v>
      </c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</row>
    <row r="90" spans="1:25" ht="14.4">
      <c r="A90" s="99">
        <v>541402</v>
      </c>
      <c r="B90" s="98" t="s">
        <v>3982</v>
      </c>
      <c r="C90" s="101" t="e">
        <f>VLOOKUP(A90,'BSE ALL CAP'!$B$4:$Y$1038,2,)</f>
        <v>#N/A</v>
      </c>
      <c r="D90" s="101" t="e">
        <f>VLOOKUP(A90,'BSE ALL CAP'!$B$4:$Y$1038,3,)</f>
        <v>#N/A</v>
      </c>
      <c r="E90" s="101">
        <f ca="1">IFERROR(__xludf.DUMMYFUNCTION("GOOGLEFINANCE(""BOM:""&amp;A90,""PRICE"")"),158.9)</f>
        <v>158.9</v>
      </c>
      <c r="F90" s="112">
        <f ca="1">IFERROR(__xludf.DUMMYFUNCTION("GOOGLEFINANCE(""BOM:""&amp;A90,""MARKETCAP"")/10000000"),178.8042939)</f>
        <v>178.8042939</v>
      </c>
      <c r="G90" s="95">
        <f t="shared" ca="1" si="0"/>
        <v>7.1617428965179992E-4</v>
      </c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</row>
    <row r="91" spans="1:25" ht="14.4">
      <c r="A91" s="99">
        <v>505302</v>
      </c>
      <c r="B91" s="98" t="s">
        <v>3983</v>
      </c>
      <c r="C91" s="101" t="e">
        <f>VLOOKUP(A91,'BSE ALL CAP'!$B$4:$Y$1038,2,)</f>
        <v>#N/A</v>
      </c>
      <c r="D91" s="101" t="e">
        <f>VLOOKUP(A91,'BSE ALL CAP'!$B$4:$Y$1038,3,)</f>
        <v>#N/A</v>
      </c>
      <c r="E91" s="101">
        <f ca="1">IFERROR(__xludf.DUMMYFUNCTION("GOOGLEFINANCE(""BOM:""&amp;A91,""PRICE"")"),2050)</f>
        <v>2050</v>
      </c>
      <c r="F91" s="112">
        <f ca="1">IFERROR(__xludf.DUMMYFUNCTION("GOOGLEFINANCE(""BOM:""&amp;A91,""MARKETCAP"")/10000000"),137.09375)</f>
        <v>137.09375</v>
      </c>
      <c r="G91" s="95">
        <f t="shared" ca="1" si="0"/>
        <v>5.4910884341995907E-4</v>
      </c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</row>
    <row r="92" spans="1:25" ht="14.4">
      <c r="A92" s="99">
        <v>505299</v>
      </c>
      <c r="B92" s="98" t="s">
        <v>3984</v>
      </c>
      <c r="C92" s="101" t="e">
        <f>VLOOKUP(A92,'BSE ALL CAP'!$B$4:$Y$1038,2,)</f>
        <v>#N/A</v>
      </c>
      <c r="D92" s="101" t="e">
        <f>VLOOKUP(A92,'BSE ALL CAP'!$B$4:$Y$1038,3,)</f>
        <v>#N/A</v>
      </c>
      <c r="E92" s="101">
        <f ca="1">IFERROR(__xludf.DUMMYFUNCTION("GOOGLEFINANCE(""BOM:""&amp;A92,""PRICE"")"),402.05)</f>
        <v>402.05</v>
      </c>
      <c r="F92" s="112">
        <f ca="1">IFERROR(__xludf.DUMMYFUNCTION("GOOGLEFINANCE(""BOM:""&amp;A92,""MARKETCAP"")/10000000"),136.6969958)</f>
        <v>136.6969958</v>
      </c>
      <c r="G92" s="95">
        <f t="shared" ca="1" si="0"/>
        <v>5.4751970285093956E-4</v>
      </c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</row>
    <row r="93" spans="1:25" ht="14.4">
      <c r="A93" s="99">
        <v>523100</v>
      </c>
      <c r="B93" s="98" t="s">
        <v>3985</v>
      </c>
      <c r="C93" s="101" t="e">
        <f>VLOOKUP(A93,'BSE ALL CAP'!$B$4:$Y$1038,2,)</f>
        <v>#N/A</v>
      </c>
      <c r="D93" s="101" t="e">
        <f>VLOOKUP(A93,'BSE ALL CAP'!$B$4:$Y$1038,3,)</f>
        <v>#N/A</v>
      </c>
      <c r="E93" s="101">
        <f ca="1">IFERROR(__xludf.DUMMYFUNCTION("GOOGLEFINANCE(""BOM:""&amp;A93,""PRICE"")"),118)</f>
        <v>118</v>
      </c>
      <c r="F93" s="112">
        <f ca="1">IFERROR(__xludf.DUMMYFUNCTION("GOOGLEFINANCE(""BOM:""&amp;A93,""MARKETCAP"")/10000000"),141.953882)</f>
        <v>141.95388199999999</v>
      </c>
      <c r="G93" s="95">
        <f t="shared" ca="1" si="0"/>
        <v>5.6857538701795922E-4</v>
      </c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</row>
    <row r="94" spans="1:25" ht="14.4">
      <c r="A94" s="99">
        <v>544669</v>
      </c>
      <c r="B94" s="98" t="s">
        <v>3986</v>
      </c>
      <c r="C94" s="101" t="e">
        <f>VLOOKUP(A94,'BSE ALL CAP'!$B$4:$Y$1038,2,)</f>
        <v>#N/A</v>
      </c>
      <c r="D94" s="101" t="e">
        <f>VLOOKUP(A94,'BSE ALL CAP'!$B$4:$Y$1038,3,)</f>
        <v>#N/A</v>
      </c>
      <c r="E94" s="101">
        <f ca="1">IFERROR(__xludf.DUMMYFUNCTION("GOOGLEFINANCE(""BOM:""&amp;A94,""PRICE"")"),186)</f>
        <v>186</v>
      </c>
      <c r="F94" s="112">
        <f ca="1">IFERROR(__xludf.DUMMYFUNCTION("GOOGLEFINANCE(""BOM:""&amp;A94,""MARKETCAP"")/10000000"),125.9740986)</f>
        <v>125.9740986</v>
      </c>
      <c r="G94" s="95">
        <f t="shared" ca="1" si="0"/>
        <v>5.0457071590147534E-4</v>
      </c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</row>
    <row r="95" spans="1:25" ht="14.4">
      <c r="A95" s="99">
        <v>537326</v>
      </c>
      <c r="B95" s="98" t="s">
        <v>3987</v>
      </c>
      <c r="C95" s="101" t="e">
        <f>VLOOKUP(A95,'BSE ALL CAP'!$B$4:$Y$1038,2,)</f>
        <v>#N/A</v>
      </c>
      <c r="D95" s="101" t="e">
        <f>VLOOKUP(A95,'BSE ALL CAP'!$B$4:$Y$1038,3,)</f>
        <v>#N/A</v>
      </c>
      <c r="E95" s="101">
        <f ca="1">IFERROR(__xludf.DUMMYFUNCTION("GOOGLEFINANCE(""BOM:""&amp;A95,""PRICE"")"),69.17)</f>
        <v>69.17</v>
      </c>
      <c r="F95" s="112">
        <f ca="1">IFERROR(__xludf.DUMMYFUNCTION("GOOGLEFINANCE(""BOM:""&amp;A95,""MARKETCAP"")/10000000"),127.5310082)</f>
        <v>127.5310082</v>
      </c>
      <c r="G95" s="95">
        <f t="shared" ca="1" si="0"/>
        <v>5.1080668821797722E-4</v>
      </c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</row>
    <row r="96" spans="1:25" ht="14.4">
      <c r="A96" s="99">
        <v>544671</v>
      </c>
      <c r="B96" s="98" t="s">
        <v>3988</v>
      </c>
      <c r="C96" s="101" t="e">
        <f>VLOOKUP(A96,'BSE ALL CAP'!$B$4:$Y$1038,2,)</f>
        <v>#N/A</v>
      </c>
      <c r="D96" s="101" t="e">
        <f>VLOOKUP(A96,'BSE ALL CAP'!$B$4:$Y$1038,3,)</f>
        <v>#N/A</v>
      </c>
      <c r="E96" s="101">
        <f ca="1">IFERROR(__xludf.DUMMYFUNCTION("GOOGLEFINANCE(""BOM:""&amp;A96,""PRICE"")"),89)</f>
        <v>89</v>
      </c>
      <c r="F96" s="112">
        <f ca="1">IFERROR(__xludf.DUMMYFUNCTION("GOOGLEFINANCE(""BOM:""&amp;A96,""MARKETCAP"")/10000000"),121.8321)</f>
        <v>121.8321</v>
      </c>
      <c r="G96" s="95">
        <f t="shared" ca="1" si="0"/>
        <v>4.8798054996981844E-4</v>
      </c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</row>
    <row r="97" spans="1:25" ht="14.4">
      <c r="A97" s="99">
        <v>541228</v>
      </c>
      <c r="B97" s="98" t="s">
        <v>3989</v>
      </c>
      <c r="C97" s="101" t="e">
        <f>VLOOKUP(A97,'BSE ALL CAP'!$B$4:$Y$1038,2,)</f>
        <v>#N/A</v>
      </c>
      <c r="D97" s="101" t="e">
        <f>VLOOKUP(A97,'BSE ALL CAP'!$B$4:$Y$1038,3,)</f>
        <v>#N/A</v>
      </c>
      <c r="E97" s="101">
        <f ca="1">IFERROR(__xludf.DUMMYFUNCTION("GOOGLEFINANCE(""BOM:""&amp;A97,""PRICE"")"),94.4)</f>
        <v>94.4</v>
      </c>
      <c r="F97" s="112">
        <f ca="1">IFERROR(__xludf.DUMMYFUNCTION("GOOGLEFINANCE(""BOM:""&amp;A97,""MARKETCAP"")/10000000"),117.034573)</f>
        <v>117.03457299999999</v>
      </c>
      <c r="G97" s="95">
        <f t="shared" ca="1" si="0"/>
        <v>4.6876476148751322E-4</v>
      </c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</row>
    <row r="98" spans="1:25" ht="14.4">
      <c r="A98" s="99">
        <v>533001</v>
      </c>
      <c r="B98" s="98" t="s">
        <v>3990</v>
      </c>
      <c r="C98" s="101" t="e">
        <f>VLOOKUP(A98,'BSE ALL CAP'!$B$4:$Y$1038,2,)</f>
        <v>#N/A</v>
      </c>
      <c r="D98" s="101" t="e">
        <f>VLOOKUP(A98,'BSE ALL CAP'!$B$4:$Y$1038,3,)</f>
        <v>#N/A</v>
      </c>
      <c r="E98" s="101">
        <f ca="1">IFERROR(__xludf.DUMMYFUNCTION("GOOGLEFINANCE(""BOM:""&amp;A98,""PRICE"")"),98.51)</f>
        <v>98.51</v>
      </c>
      <c r="F98" s="112">
        <f ca="1">IFERROR(__xludf.DUMMYFUNCTION("GOOGLEFINANCE(""BOM:""&amp;A98,""MARKETCAP"")/10000000"),114.7926856)</f>
        <v>114.7926856</v>
      </c>
      <c r="G98" s="95">
        <f t="shared" ca="1" si="0"/>
        <v>4.5978521138189738E-4</v>
      </c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</row>
    <row r="99" spans="1:25" ht="14.4">
      <c r="A99" s="99">
        <v>517417</v>
      </c>
      <c r="B99" s="98" t="s">
        <v>3991</v>
      </c>
      <c r="C99" s="101" t="e">
        <f>VLOOKUP(A99,'BSE ALL CAP'!$B$4:$Y$1038,2,)</f>
        <v>#N/A</v>
      </c>
      <c r="D99" s="101" t="e">
        <f>VLOOKUP(A99,'BSE ALL CAP'!$B$4:$Y$1038,3,)</f>
        <v>#N/A</v>
      </c>
      <c r="E99" s="101">
        <f ca="1">IFERROR(__xludf.DUMMYFUNCTION("GOOGLEFINANCE(""BOM:""&amp;A99,""PRICE"")"),221)</f>
        <v>221</v>
      </c>
      <c r="F99" s="112">
        <f ca="1">IFERROR(__xludf.DUMMYFUNCTION("GOOGLEFINANCE(""BOM:""&amp;A99,""MARKETCAP"")/10000000"),120.8922819)</f>
        <v>120.8922819</v>
      </c>
      <c r="G99" s="95">
        <f t="shared" ca="1" si="0"/>
        <v>4.8421624685668498E-4</v>
      </c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</row>
    <row r="100" spans="1:25" ht="14.4">
      <c r="A100" s="99">
        <v>526861</v>
      </c>
      <c r="B100" s="98" t="s">
        <v>3992</v>
      </c>
      <c r="C100" s="101" t="e">
        <f>VLOOKUP(A100,'BSE ALL CAP'!$B$4:$Y$1038,2,)</f>
        <v>#N/A</v>
      </c>
      <c r="D100" s="101" t="e">
        <f>VLOOKUP(A100,'BSE ALL CAP'!$B$4:$Y$1038,3,)</f>
        <v>#N/A</v>
      </c>
      <c r="E100" s="101">
        <f ca="1">IFERROR(__xludf.DUMMYFUNCTION("GOOGLEFINANCE(""BOM:""&amp;A100,""PRICE"")"),114.8)</f>
        <v>114.8</v>
      </c>
      <c r="F100" s="112">
        <f ca="1">IFERROR(__xludf.DUMMYFUNCTION("GOOGLEFINANCE(""BOM:""&amp;A100,""MARKETCAP"")/10000000"),105.5310048)</f>
        <v>105.53100480000001</v>
      </c>
      <c r="G100" s="95">
        <f t="shared" ca="1" si="0"/>
        <v>4.2268891171679348E-4</v>
      </c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</row>
    <row r="101" spans="1:25" ht="14.4">
      <c r="A101" s="99">
        <v>544627</v>
      </c>
      <c r="B101" s="98" t="s">
        <v>3993</v>
      </c>
      <c r="C101" s="101" t="e">
        <f>VLOOKUP(A101,'BSE ALL CAP'!$B$4:$Y$1038,2,)</f>
        <v>#N/A</v>
      </c>
      <c r="D101" s="101" t="e">
        <f>VLOOKUP(A101,'BSE ALL CAP'!$B$4:$Y$1038,3,)</f>
        <v>#N/A</v>
      </c>
      <c r="E101" s="101">
        <f ca="1">IFERROR(__xludf.DUMMYFUNCTION("GOOGLEFINANCE(""BOM:""&amp;A101,""PRICE"")"),109.5)</f>
        <v>109.5</v>
      </c>
      <c r="F101" s="112">
        <f ca="1">IFERROR(__xludf.DUMMYFUNCTION("GOOGLEFINANCE(""BOM:""&amp;A101,""MARKETCAP"")/10000000"),101.2437)</f>
        <v>101.2437</v>
      </c>
      <c r="G101" s="95">
        <f t="shared" ca="1" si="0"/>
        <v>4.0551674318163529E-4</v>
      </c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</row>
    <row r="102" spans="1:25" ht="14.4">
      <c r="A102" s="99">
        <v>505737</v>
      </c>
      <c r="B102" s="98" t="s">
        <v>3994</v>
      </c>
      <c r="C102" s="101" t="e">
        <f>VLOOKUP(A102,'BSE ALL CAP'!$B$4:$Y$1038,2,)</f>
        <v>#N/A</v>
      </c>
      <c r="D102" s="101" t="e">
        <f>VLOOKUP(A102,'BSE ALL CAP'!$B$4:$Y$1038,3,)</f>
        <v>#N/A</v>
      </c>
      <c r="E102" s="101">
        <f ca="1">IFERROR(__xludf.DUMMYFUNCTION("GOOGLEFINANCE(""BOM:""&amp;A102,""PRICE"")"),424.45)</f>
        <v>424.45</v>
      </c>
      <c r="F102" s="112">
        <f ca="1">IFERROR(__xludf.DUMMYFUNCTION("GOOGLEFINANCE(""BOM:""&amp;A102,""MARKETCAP"")/10000000"),101.4552252)</f>
        <v>101.4552252</v>
      </c>
      <c r="G102" s="95">
        <f t="shared" ca="1" si="0"/>
        <v>4.0636397624606145E-4</v>
      </c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</row>
    <row r="103" spans="1:25" ht="14.4">
      <c r="A103" s="99">
        <v>540519</v>
      </c>
      <c r="B103" s="98" t="s">
        <v>3995</v>
      </c>
      <c r="C103" s="101" t="e">
        <f>VLOOKUP(A103,'BSE ALL CAP'!$B$4:$Y$1038,2,)</f>
        <v>#N/A</v>
      </c>
      <c r="D103" s="101" t="e">
        <f>VLOOKUP(A103,'BSE ALL CAP'!$B$4:$Y$1038,3,)</f>
        <v>#N/A</v>
      </c>
      <c r="E103" s="101">
        <f ca="1">IFERROR(__xludf.DUMMYFUNCTION("GOOGLEFINANCE(""BOM:""&amp;A103,""PRICE"")"),43)</f>
        <v>43</v>
      </c>
      <c r="F103" s="112">
        <f ca="1">IFERROR(__xludf.DUMMYFUNCTION("GOOGLEFINANCE(""BOM:""&amp;A103,""MARKETCAP"")/10000000"),91.837637)</f>
        <v>91.837637000000001</v>
      </c>
      <c r="G103" s="95">
        <f t="shared" ca="1" si="0"/>
        <v>3.6784214185907121E-4</v>
      </c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</row>
    <row r="104" spans="1:25" ht="14.4">
      <c r="A104" s="99">
        <v>534674</v>
      </c>
      <c r="B104" s="98" t="s">
        <v>3996</v>
      </c>
      <c r="C104" s="101" t="e">
        <f>VLOOKUP(A104,'BSE ALL CAP'!$B$4:$Y$1038,2,)</f>
        <v>#N/A</v>
      </c>
      <c r="D104" s="101" t="e">
        <f>VLOOKUP(A104,'BSE ALL CAP'!$B$4:$Y$1038,3,)</f>
        <v>#N/A</v>
      </c>
      <c r="E104" s="101">
        <f ca="1">IFERROR(__xludf.DUMMYFUNCTION("GOOGLEFINANCE(""BOM:""&amp;A104,""PRICE"")"),3.37)</f>
        <v>3.37</v>
      </c>
      <c r="F104" s="112">
        <f ca="1">IFERROR(__xludf.DUMMYFUNCTION("GOOGLEFINANCE(""BOM:""&amp;A104,""MARKETCAP"")/10000000"),109.1749645)</f>
        <v>109.1749645</v>
      </c>
      <c r="G104" s="95">
        <f t="shared" ca="1" si="0"/>
        <v>4.3728425611678205E-4</v>
      </c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</row>
    <row r="105" spans="1:25" ht="14.4">
      <c r="A105" s="99">
        <v>544675</v>
      </c>
      <c r="B105" s="98" t="s">
        <v>3997</v>
      </c>
      <c r="C105" s="101" t="e">
        <f>VLOOKUP(A105,'BSE ALL CAP'!$B$4:$Y$1038,2,)</f>
        <v>#N/A</v>
      </c>
      <c r="D105" s="101" t="e">
        <f>VLOOKUP(A105,'BSE ALL CAP'!$B$4:$Y$1038,3,)</f>
        <v>#N/A</v>
      </c>
      <c r="E105" s="101">
        <f ca="1">IFERROR(__xludf.DUMMYFUNCTION("GOOGLEFINANCE(""BOM:""&amp;A105,""PRICE"")"),60.1)</f>
        <v>60.1</v>
      </c>
      <c r="F105" s="112">
        <f ca="1">IFERROR(__xludf.DUMMYFUNCTION("GOOGLEFINANCE(""BOM:""&amp;A105,""MARKETCAP"")/10000000"),81.5878514)</f>
        <v>81.587851400000005</v>
      </c>
      <c r="G105" s="95">
        <f t="shared" ca="1" si="0"/>
        <v>3.2678813380897009E-4</v>
      </c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</row>
    <row r="106" spans="1:25" ht="14.4">
      <c r="A106" s="99">
        <v>522183</v>
      </c>
      <c r="B106" s="98" t="s">
        <v>3998</v>
      </c>
      <c r="C106" s="101" t="e">
        <f>VLOOKUP(A106,'BSE ALL CAP'!$B$4:$Y$1038,2,)</f>
        <v>#N/A</v>
      </c>
      <c r="D106" s="101" t="e">
        <f>VLOOKUP(A106,'BSE ALL CAP'!$B$4:$Y$1038,3,)</f>
        <v>#N/A</v>
      </c>
      <c r="E106" s="101">
        <f ca="1">IFERROR(__xludf.DUMMYFUNCTION("GOOGLEFINANCE(""BOM:""&amp;A106,""PRICE"")"),286)</f>
        <v>286</v>
      </c>
      <c r="F106" s="112">
        <f ca="1">IFERROR(__xludf.DUMMYFUNCTION("GOOGLEFINANCE(""BOM:""&amp;A106,""MARKETCAP"")/10000000"),91.6429514)</f>
        <v>91.642951400000001</v>
      </c>
      <c r="G106" s="95">
        <f t="shared" ca="1" si="0"/>
        <v>3.6706235733463793E-4</v>
      </c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</row>
    <row r="107" spans="1:25" ht="14.4">
      <c r="A107" s="99">
        <v>522294</v>
      </c>
      <c r="B107" s="98" t="s">
        <v>3999</v>
      </c>
      <c r="C107" s="101" t="e">
        <f>VLOOKUP(A107,'BSE ALL CAP'!$B$4:$Y$1038,2,)</f>
        <v>#N/A</v>
      </c>
      <c r="D107" s="101" t="e">
        <f>VLOOKUP(A107,'BSE ALL CAP'!$B$4:$Y$1038,3,)</f>
        <v>#N/A</v>
      </c>
      <c r="E107" s="101">
        <f ca="1">IFERROR(__xludf.DUMMYFUNCTION("GOOGLEFINANCE(""BOM:""&amp;A107,""PRICE"")"),180)</f>
        <v>180</v>
      </c>
      <c r="F107" s="112">
        <f ca="1">IFERROR(__xludf.DUMMYFUNCTION("GOOGLEFINANCE(""BOM:""&amp;A107,""MARKETCAP"")/10000000"),91.218582)</f>
        <v>91.218581999999998</v>
      </c>
      <c r="G107" s="95">
        <f t="shared" ca="1" si="0"/>
        <v>3.6536260814536549E-4</v>
      </c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</row>
    <row r="108" spans="1:25" ht="14.4">
      <c r="A108" s="99">
        <v>500360</v>
      </c>
      <c r="B108" s="98" t="s">
        <v>4000</v>
      </c>
      <c r="C108" s="101" t="e">
        <f>VLOOKUP(A108,'BSE ALL CAP'!$B$4:$Y$1038,2,)</f>
        <v>#N/A</v>
      </c>
      <c r="D108" s="101" t="e">
        <f>VLOOKUP(A108,'BSE ALL CAP'!$B$4:$Y$1038,3,)</f>
        <v>#N/A</v>
      </c>
      <c r="E108" s="101">
        <f ca="1">IFERROR(__xludf.DUMMYFUNCTION("GOOGLEFINANCE(""BOM:""&amp;A108,""PRICE"")"),152.3)</f>
        <v>152.30000000000001</v>
      </c>
      <c r="F108" s="112">
        <f ca="1">IFERROR(__xludf.DUMMYFUNCTION("GOOGLEFINANCE(""BOM:""&amp;A108,""MARKETCAP"")/10000000"),81.8040629)</f>
        <v>81.804062900000005</v>
      </c>
      <c r="G108" s="95">
        <f t="shared" ca="1" si="0"/>
        <v>3.2765413715849618E-4</v>
      </c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</row>
    <row r="109" spans="1:25" ht="14.4">
      <c r="A109" s="99">
        <v>531911</v>
      </c>
      <c r="B109" s="98" t="s">
        <v>4001</v>
      </c>
      <c r="C109" s="101" t="e">
        <f>VLOOKUP(A109,'BSE ALL CAP'!$B$4:$Y$1038,2,)</f>
        <v>#N/A</v>
      </c>
      <c r="D109" s="101" t="e">
        <f>VLOOKUP(A109,'BSE ALL CAP'!$B$4:$Y$1038,3,)</f>
        <v>#N/A</v>
      </c>
      <c r="E109" s="101">
        <f ca="1">IFERROR(__xludf.DUMMYFUNCTION("GOOGLEFINANCE(""BOM:""&amp;A109,""PRICE"")"),47.56)</f>
        <v>47.56</v>
      </c>
      <c r="F109" s="112">
        <f ca="1">IFERROR(__xludf.DUMMYFUNCTION("GOOGLEFINANCE(""BOM:""&amp;A109,""MARKETCAP"")/10000000"),84.0495563)</f>
        <v>84.049556300000006</v>
      </c>
      <c r="G109" s="95">
        <f t="shared" ca="1" si="0"/>
        <v>3.3664813056651918E-4</v>
      </c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</row>
    <row r="110" spans="1:25" ht="14.4">
      <c r="A110" s="99">
        <v>522251</v>
      </c>
      <c r="B110" s="98" t="s">
        <v>4002</v>
      </c>
      <c r="C110" s="101" t="e">
        <f>VLOOKUP(A110,'BSE ALL CAP'!$B$4:$Y$1038,2,)</f>
        <v>#N/A</v>
      </c>
      <c r="D110" s="101" t="e">
        <f>VLOOKUP(A110,'BSE ALL CAP'!$B$4:$Y$1038,3,)</f>
        <v>#N/A</v>
      </c>
      <c r="E110" s="101">
        <f ca="1">IFERROR(__xludf.DUMMYFUNCTION("GOOGLEFINANCE(""BOM:""&amp;A110,""PRICE"")"),184.35)</f>
        <v>184.35</v>
      </c>
      <c r="F110" s="112">
        <f ca="1">IFERROR(__xludf.DUMMYFUNCTION("GOOGLEFINANCE(""BOM:""&amp;A110,""MARKETCAP"")/10000000"),85.9605274)</f>
        <v>85.960527400000004</v>
      </c>
      <c r="G110" s="95">
        <f t="shared" ca="1" si="0"/>
        <v>3.4430224412406623E-4</v>
      </c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</row>
    <row r="111" spans="1:25" ht="14.4">
      <c r="A111" s="99">
        <v>538401</v>
      </c>
      <c r="B111" s="98" t="s">
        <v>4003</v>
      </c>
      <c r="C111" s="101" t="e">
        <f>VLOOKUP(A111,'BSE ALL CAP'!$B$4:$Y$1038,2,)</f>
        <v>#N/A</v>
      </c>
      <c r="D111" s="101" t="e">
        <f>VLOOKUP(A111,'BSE ALL CAP'!$B$4:$Y$1038,3,)</f>
        <v>#N/A</v>
      </c>
      <c r="E111" s="101">
        <f ca="1">IFERROR(__xludf.DUMMYFUNCTION("GOOGLEFINANCE(""BOM:""&amp;A111,""PRICE"")"),136)</f>
        <v>136</v>
      </c>
      <c r="F111" s="112">
        <f ca="1">IFERROR(__xludf.DUMMYFUNCTION("GOOGLEFINANCE(""BOM:""&amp;A111,""MARKETCAP"")/10000000"),74.8014537)</f>
        <v>74.801453699999996</v>
      </c>
      <c r="G111" s="95">
        <f t="shared" ca="1" si="0"/>
        <v>2.99606216383596E-4</v>
      </c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ht="14.4">
      <c r="A112" s="99">
        <v>531888</v>
      </c>
      <c r="B112" s="98" t="s">
        <v>4004</v>
      </c>
      <c r="C112" s="101" t="e">
        <f>VLOOKUP(A112,'BSE ALL CAP'!$B$4:$Y$1038,2,)</f>
        <v>#N/A</v>
      </c>
      <c r="D112" s="101" t="e">
        <f>VLOOKUP(A112,'BSE ALL CAP'!$B$4:$Y$1038,3,)</f>
        <v>#N/A</v>
      </c>
      <c r="E112" s="101">
        <f ca="1">IFERROR(__xludf.DUMMYFUNCTION("GOOGLEFINANCE(""BOM:""&amp;A112,""PRICE"")"),53.55)</f>
        <v>53.55</v>
      </c>
      <c r="F112" s="112">
        <f ca="1">IFERROR(__xludf.DUMMYFUNCTION("GOOGLEFINANCE(""BOM:""&amp;A112,""MARKETCAP"")/10000000"),71.0072989)</f>
        <v>71.007298899999995</v>
      </c>
      <c r="G112" s="95">
        <f t="shared" ca="1" si="0"/>
        <v>2.8440928761051712E-4</v>
      </c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</row>
    <row r="113" spans="1:25" ht="14.4">
      <c r="A113" s="99">
        <v>544185</v>
      </c>
      <c r="B113" s="98" t="s">
        <v>4005</v>
      </c>
      <c r="C113" s="101" t="e">
        <f>VLOOKUP(A113,'BSE ALL CAP'!$B$4:$Y$1038,2,)</f>
        <v>#N/A</v>
      </c>
      <c r="D113" s="101" t="e">
        <f>VLOOKUP(A113,'BSE ALL CAP'!$B$4:$Y$1038,3,)</f>
        <v>#N/A</v>
      </c>
      <c r="E113" s="101">
        <f ca="1">IFERROR(__xludf.DUMMYFUNCTION("GOOGLEFINANCE(""BOM:""&amp;A113,""PRICE"")"),49.85)</f>
        <v>49.85</v>
      </c>
      <c r="F113" s="112">
        <f ca="1">IFERROR(__xludf.DUMMYFUNCTION("GOOGLEFINANCE(""BOM:""&amp;A113,""MARKETCAP"")/10000000"),59.3900419)</f>
        <v>59.3900419</v>
      </c>
      <c r="G113" s="95">
        <f t="shared" ca="1" si="0"/>
        <v>2.3787807407975862E-4</v>
      </c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</row>
    <row r="114" spans="1:25" ht="14.4">
      <c r="A114" s="99">
        <v>543236</v>
      </c>
      <c r="B114" s="98" t="s">
        <v>4006</v>
      </c>
      <c r="C114" s="101" t="e">
        <f>VLOOKUP(A114,'BSE ALL CAP'!$B$4:$Y$1038,2,)</f>
        <v>#N/A</v>
      </c>
      <c r="D114" s="101" t="e">
        <f>VLOOKUP(A114,'BSE ALL CAP'!$B$4:$Y$1038,3,)</f>
        <v>#N/A</v>
      </c>
      <c r="E114" s="101">
        <f ca="1">IFERROR(__xludf.DUMMYFUNCTION("GOOGLEFINANCE(""BOM:""&amp;A114,""PRICE"")"),56)</f>
        <v>56</v>
      </c>
      <c r="F114" s="112">
        <f ca="1">IFERROR(__xludf.DUMMYFUNCTION("GOOGLEFINANCE(""BOM:""&amp;A114,""MARKETCAP"")/10000000"),65.3161164)</f>
        <v>65.316116399999999</v>
      </c>
      <c r="G114" s="95">
        <f t="shared" ca="1" si="0"/>
        <v>2.6161409351693581E-4</v>
      </c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</row>
    <row r="115" spans="1:25" ht="14.4">
      <c r="A115" s="99">
        <v>542801</v>
      </c>
      <c r="B115" s="98" t="s">
        <v>4007</v>
      </c>
      <c r="C115" s="101" t="e">
        <f>VLOOKUP(A115,'BSE ALL CAP'!$B$4:$Y$1038,2,)</f>
        <v>#N/A</v>
      </c>
      <c r="D115" s="101" t="e">
        <f>VLOOKUP(A115,'BSE ALL CAP'!$B$4:$Y$1038,3,)</f>
        <v>#N/A</v>
      </c>
      <c r="E115" s="101">
        <f ca="1">IFERROR(__xludf.DUMMYFUNCTION("GOOGLEFINANCE(""BOM:""&amp;A115,""PRICE"")"),117)</f>
        <v>117</v>
      </c>
      <c r="F115" s="112">
        <f ca="1">IFERROR(__xludf.DUMMYFUNCTION("GOOGLEFINANCE(""BOM:""&amp;A115,""MARKETCAP"")/10000000"),54.8496)</f>
        <v>54.849600000000002</v>
      </c>
      <c r="G115" s="95">
        <f t="shared" ca="1" si="0"/>
        <v>2.1969200213756929E-4</v>
      </c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</row>
    <row r="116" spans="1:25" ht="14.4">
      <c r="A116" s="99">
        <v>544074</v>
      </c>
      <c r="B116" s="98" t="s">
        <v>4008</v>
      </c>
      <c r="C116" s="101" t="e">
        <f>VLOOKUP(A116,'BSE ALL CAP'!$B$4:$Y$1038,2,)</f>
        <v>#N/A</v>
      </c>
      <c r="D116" s="101" t="e">
        <f>VLOOKUP(A116,'BSE ALL CAP'!$B$4:$Y$1038,3,)</f>
        <v>#N/A</v>
      </c>
      <c r="E116" s="101">
        <f ca="1">IFERROR(__xludf.DUMMYFUNCTION("GOOGLEFINANCE(""BOM:""&amp;A116,""PRICE"")"),75)</f>
        <v>75</v>
      </c>
      <c r="F116" s="112">
        <f ca="1">IFERROR(__xludf.DUMMYFUNCTION("GOOGLEFINANCE(""BOM:""&amp;A116,""MARKETCAP"")/10000000"),61.2)</f>
        <v>61.2</v>
      </c>
      <c r="G116" s="95">
        <f t="shared" ca="1" si="0"/>
        <v>2.451275949290285E-4</v>
      </c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</row>
    <row r="117" spans="1:25" ht="14.4">
      <c r="A117" s="99">
        <v>544157</v>
      </c>
      <c r="B117" s="98" t="s">
        <v>4009</v>
      </c>
      <c r="C117" s="101" t="e">
        <f>VLOOKUP(A117,'BSE ALL CAP'!$B$4:$Y$1038,2,)</f>
        <v>#N/A</v>
      </c>
      <c r="D117" s="101" t="e">
        <f>VLOOKUP(A117,'BSE ALL CAP'!$B$4:$Y$1038,3,)</f>
        <v>#N/A</v>
      </c>
      <c r="E117" s="101">
        <f ca="1">IFERROR(__xludf.DUMMYFUNCTION("GOOGLEFINANCE(""BOM:""&amp;A117,""PRICE"")"),196.5)</f>
        <v>196.5</v>
      </c>
      <c r="F117" s="112">
        <f ca="1">IFERROR(__xludf.DUMMYFUNCTION("GOOGLEFINANCE(""BOM:""&amp;A117,""MARKETCAP"")/10000000"),49.58842)</f>
        <v>49.588419999999999</v>
      </c>
      <c r="G117" s="95">
        <f t="shared" ca="1" si="0"/>
        <v>1.9861911978644663E-4</v>
      </c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</row>
    <row r="118" spans="1:25" ht="14.4">
      <c r="A118" s="99">
        <v>522001</v>
      </c>
      <c r="B118" s="98" t="s">
        <v>4010</v>
      </c>
      <c r="C118" s="101" t="e">
        <f>VLOOKUP(A118,'BSE ALL CAP'!$B$4:$Y$1038,2,)</f>
        <v>#N/A</v>
      </c>
      <c r="D118" s="101" t="e">
        <f>VLOOKUP(A118,'BSE ALL CAP'!$B$4:$Y$1038,3,)</f>
        <v>#N/A</v>
      </c>
      <c r="E118" s="101">
        <f ca="1">IFERROR(__xludf.DUMMYFUNCTION("GOOGLEFINANCE(""BOM:""&amp;A118,""PRICE"")"),67.78)</f>
        <v>67.78</v>
      </c>
      <c r="F118" s="112">
        <f ca="1">IFERROR(__xludf.DUMMYFUNCTION("GOOGLEFINANCE(""BOM:""&amp;A118,""MARKETCAP"")/10000000"),44.5314591)</f>
        <v>44.531459099999999</v>
      </c>
      <c r="G118" s="95">
        <f t="shared" ca="1" si="0"/>
        <v>1.7836420699123199E-4</v>
      </c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</row>
    <row r="119" spans="1:25" ht="14.4">
      <c r="A119" s="99">
        <v>512297</v>
      </c>
      <c r="B119" s="98" t="s">
        <v>4011</v>
      </c>
      <c r="C119" s="101" t="e">
        <f>VLOOKUP(A119,'BSE ALL CAP'!$B$4:$Y$1038,2,)</f>
        <v>#N/A</v>
      </c>
      <c r="D119" s="101" t="e">
        <f>VLOOKUP(A119,'BSE ALL CAP'!$B$4:$Y$1038,3,)</f>
        <v>#N/A</v>
      </c>
      <c r="E119" s="101">
        <f ca="1">IFERROR(__xludf.DUMMYFUNCTION("GOOGLEFINANCE(""BOM:""&amp;A119,""PRICE"")"),60.18)</f>
        <v>60.18</v>
      </c>
      <c r="F119" s="112">
        <f ca="1">IFERROR(__xludf.DUMMYFUNCTION("GOOGLEFINANCE(""BOM:""&amp;A119,""MARKETCAP"")/10000000"),45.1350002)</f>
        <v>45.1350002</v>
      </c>
      <c r="G119" s="95">
        <f t="shared" ca="1" si="0"/>
        <v>1.8078160206122905E-4</v>
      </c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</row>
    <row r="120" spans="1:25" ht="14.4">
      <c r="A120" s="99">
        <v>544399</v>
      </c>
      <c r="B120" s="98" t="s">
        <v>4012</v>
      </c>
      <c r="C120" s="101" t="e">
        <f>VLOOKUP(A120,'BSE ALL CAP'!$B$4:$Y$1038,2,)</f>
        <v>#N/A</v>
      </c>
      <c r="D120" s="101" t="e">
        <f>VLOOKUP(A120,'BSE ALL CAP'!$B$4:$Y$1038,3,)</f>
        <v>#N/A</v>
      </c>
      <c r="E120" s="101">
        <f ca="1">IFERROR(__xludf.DUMMYFUNCTION("GOOGLEFINANCE(""BOM:""&amp;A120,""PRICE"")"),66)</f>
        <v>66</v>
      </c>
      <c r="F120" s="112">
        <f ca="1">IFERROR(__xludf.DUMMYFUNCTION("GOOGLEFINANCE(""BOM:""&amp;A120,""MARKETCAP"")/10000000"),39.42576)</f>
        <v>39.425759999999997</v>
      </c>
      <c r="G120" s="95">
        <f t="shared" ca="1" si="0"/>
        <v>1.5791408050733812E-4</v>
      </c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</row>
    <row r="121" spans="1:25" ht="14.4">
      <c r="A121" s="99">
        <v>522245</v>
      </c>
      <c r="B121" s="98" t="s">
        <v>4013</v>
      </c>
      <c r="C121" s="101" t="e">
        <f>VLOOKUP(A121,'BSE ALL CAP'!$B$4:$Y$1038,2,)</f>
        <v>#N/A</v>
      </c>
      <c r="D121" s="101" t="e">
        <f>VLOOKUP(A121,'BSE ALL CAP'!$B$4:$Y$1038,3,)</f>
        <v>#N/A</v>
      </c>
      <c r="E121" s="101">
        <f ca="1">IFERROR(__xludf.DUMMYFUNCTION("GOOGLEFINANCE(""BOM:""&amp;A121,""PRICE"")"),18.25)</f>
        <v>18.25</v>
      </c>
      <c r="F121" s="112">
        <f ca="1">IFERROR(__xludf.DUMMYFUNCTION("GOOGLEFINANCE(""BOM:""&amp;A121,""MARKETCAP"")/10000000"),37.011)</f>
        <v>37.011000000000003</v>
      </c>
      <c r="G121" s="95">
        <f t="shared" ca="1" si="0"/>
        <v>1.4824211463918747E-4</v>
      </c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</row>
    <row r="122" spans="1:25" ht="14.4">
      <c r="A122" s="99">
        <v>522005</v>
      </c>
      <c r="B122" s="98" t="s">
        <v>4014</v>
      </c>
      <c r="C122" s="101" t="e">
        <f>VLOOKUP(A122,'BSE ALL CAP'!$B$4:$Y$1038,2,)</f>
        <v>#N/A</v>
      </c>
      <c r="D122" s="101" t="e">
        <f>VLOOKUP(A122,'BSE ALL CAP'!$B$4:$Y$1038,3,)</f>
        <v>#N/A</v>
      </c>
      <c r="E122" s="101">
        <f ca="1">IFERROR(__xludf.DUMMYFUNCTION("GOOGLEFINANCE(""BOM:""&amp;A122,""PRICE"")"),111.01)</f>
        <v>111.01</v>
      </c>
      <c r="F122" s="112">
        <f ca="1">IFERROR(__xludf.DUMMYFUNCTION("GOOGLEFINANCE(""BOM:""&amp;A122,""MARKETCAP"")/10000000"),38.6070585)</f>
        <v>38.607058500000001</v>
      </c>
      <c r="G122" s="95">
        <f t="shared" ca="1" si="0"/>
        <v>1.5463489211420432E-4</v>
      </c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</row>
    <row r="123" spans="1:25" ht="14.4">
      <c r="A123" s="99">
        <v>530267</v>
      </c>
      <c r="B123" s="98" t="s">
        <v>4015</v>
      </c>
      <c r="C123" s="101" t="e">
        <f>VLOOKUP(A123,'BSE ALL CAP'!$B$4:$Y$1038,2,)</f>
        <v>#N/A</v>
      </c>
      <c r="D123" s="101" t="e">
        <f>VLOOKUP(A123,'BSE ALL CAP'!$B$4:$Y$1038,3,)</f>
        <v>#N/A</v>
      </c>
      <c r="E123" s="101">
        <f ca="1">IFERROR(__xludf.DUMMYFUNCTION("GOOGLEFINANCE(""BOM:""&amp;A123,""PRICE"")"),59.99)</f>
        <v>59.99</v>
      </c>
      <c r="F123" s="112">
        <f ca="1">IFERROR(__xludf.DUMMYFUNCTION("GOOGLEFINANCE(""BOM:""&amp;A123,""MARKETCAP"")/10000000"),36.5710988)</f>
        <v>36.571098800000001</v>
      </c>
      <c r="G123" s="95">
        <f t="shared" ca="1" si="0"/>
        <v>1.4648015511039018E-4</v>
      </c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</row>
    <row r="124" spans="1:25" ht="14.4">
      <c r="A124" s="99">
        <v>522152</v>
      </c>
      <c r="B124" s="98" t="s">
        <v>4016</v>
      </c>
      <c r="C124" s="101" t="e">
        <f>VLOOKUP(A124,'BSE ALL CAP'!$B$4:$Y$1038,2,)</f>
        <v>#N/A</v>
      </c>
      <c r="D124" s="101" t="e">
        <f>VLOOKUP(A124,'BSE ALL CAP'!$B$4:$Y$1038,3,)</f>
        <v>#N/A</v>
      </c>
      <c r="E124" s="101">
        <f ca="1">IFERROR(__xludf.DUMMYFUNCTION("GOOGLEFINANCE(""BOM:""&amp;A124,""PRICE"")"),82.85)</f>
        <v>82.85</v>
      </c>
      <c r="F124" s="112">
        <f ca="1">IFERROR(__xludf.DUMMYFUNCTION("GOOGLEFINANCE(""BOM:""&amp;A124,""MARKETCAP"")/10000000"),37.6319191)</f>
        <v>37.631919099999998</v>
      </c>
      <c r="G124" s="95">
        <f t="shared" ca="1" si="0"/>
        <v>1.5072911473115635E-4</v>
      </c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</row>
    <row r="125" spans="1:25" ht="14.4">
      <c r="A125" s="99">
        <v>505336</v>
      </c>
      <c r="B125" s="98" t="s">
        <v>4017</v>
      </c>
      <c r="C125" s="101" t="e">
        <f>VLOOKUP(A125,'BSE ALL CAP'!$B$4:$Y$1038,2,)</f>
        <v>#N/A</v>
      </c>
      <c r="D125" s="101" t="e">
        <f>VLOOKUP(A125,'BSE ALL CAP'!$B$4:$Y$1038,3,)</f>
        <v>#N/A</v>
      </c>
      <c r="E125" s="101">
        <f ca="1">IFERROR(__xludf.DUMMYFUNCTION("GOOGLEFINANCE(""BOM:""&amp;A125,""PRICE"")"),0.4)</f>
        <v>0.4</v>
      </c>
      <c r="F125" s="112">
        <f ca="1">IFERROR(__xludf.DUMMYFUNCTION("GOOGLEFINANCE(""BOM:""&amp;A125,""MARKETCAP"")/10000000"),37.3380005)</f>
        <v>37.3380005</v>
      </c>
      <c r="G125" s="95">
        <f t="shared" ca="1" si="0"/>
        <v>1.495518670265337E-4</v>
      </c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</row>
    <row r="126" spans="1:25" ht="14.4">
      <c r="A126" s="99">
        <v>531233</v>
      </c>
      <c r="B126" s="98" t="s">
        <v>4018</v>
      </c>
      <c r="C126" s="101" t="e">
        <f>VLOOKUP(A126,'BSE ALL CAP'!$B$4:$Y$1038,2,)</f>
        <v>#N/A</v>
      </c>
      <c r="D126" s="101" t="e">
        <f>VLOOKUP(A126,'BSE ALL CAP'!$B$4:$Y$1038,3,)</f>
        <v>#N/A</v>
      </c>
      <c r="E126" s="101">
        <f ca="1">IFERROR(__xludf.DUMMYFUNCTION("GOOGLEFINANCE(""BOM:""&amp;A126,""PRICE"")"),11.78)</f>
        <v>11.78</v>
      </c>
      <c r="F126" s="112">
        <f ca="1">IFERROR(__xludf.DUMMYFUNCTION("GOOGLEFINANCE(""BOM:""&amp;A126,""MARKETCAP"")/10000000"),36.6717281)</f>
        <v>36.671728100000003</v>
      </c>
      <c r="G126" s="95">
        <f t="shared" ca="1" si="0"/>
        <v>1.4688321096477567E-4</v>
      </c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</row>
    <row r="127" spans="1:25" ht="14.4">
      <c r="A127" s="99">
        <v>544164</v>
      </c>
      <c r="B127" s="98" t="s">
        <v>4019</v>
      </c>
      <c r="C127" s="101" t="e">
        <f>VLOOKUP(A127,'BSE ALL CAP'!$B$4:$Y$1038,2,)</f>
        <v>#N/A</v>
      </c>
      <c r="D127" s="101" t="e">
        <f>VLOOKUP(A127,'BSE ALL CAP'!$B$4:$Y$1038,3,)</f>
        <v>#N/A</v>
      </c>
      <c r="E127" s="101">
        <f ca="1">IFERROR(__xludf.DUMMYFUNCTION("GOOGLEFINANCE(""BOM:""&amp;A127,""PRICE"")"),35.78)</f>
        <v>35.78</v>
      </c>
      <c r="F127" s="112">
        <f ca="1">IFERROR(__xludf.DUMMYFUNCTION("GOOGLEFINANCE(""BOM:""&amp;A127,""MARKETCAP"")/10000000"),34.8680381)</f>
        <v>34.8680381</v>
      </c>
      <c r="G127" s="95">
        <f t="shared" ca="1" si="0"/>
        <v>1.3965879606775704E-4</v>
      </c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</row>
    <row r="128" spans="1:25" ht="14.4">
      <c r="A128" s="99">
        <v>505324</v>
      </c>
      <c r="B128" s="98" t="s">
        <v>4020</v>
      </c>
      <c r="C128" s="101" t="e">
        <f>VLOOKUP(A128,'BSE ALL CAP'!$B$4:$Y$1038,2,)</f>
        <v>#N/A</v>
      </c>
      <c r="D128" s="101" t="e">
        <f>VLOOKUP(A128,'BSE ALL CAP'!$B$4:$Y$1038,3,)</f>
        <v>#N/A</v>
      </c>
      <c r="E128" s="101">
        <f ca="1">IFERROR(__xludf.DUMMYFUNCTION("GOOGLEFINANCE(""BOM:""&amp;A128,""PRICE"")"),13.5)</f>
        <v>13.5</v>
      </c>
      <c r="F128" s="112">
        <f ca="1">IFERROR(__xludf.DUMMYFUNCTION("GOOGLEFINANCE(""BOM:""&amp;A128,""MARKETCAP"")/10000000"),41.1515753)</f>
        <v>41.151575299999998</v>
      </c>
      <c r="G128" s="95">
        <f t="shared" ca="1" si="0"/>
        <v>1.6482657975212112E-4</v>
      </c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</row>
    <row r="129" spans="1:25" ht="14.4">
      <c r="A129" s="99">
        <v>526043</v>
      </c>
      <c r="B129" s="98" t="s">
        <v>4021</v>
      </c>
      <c r="C129" s="101" t="e">
        <f>VLOOKUP(A129,'BSE ALL CAP'!$B$4:$Y$1038,2,)</f>
        <v>#N/A</v>
      </c>
      <c r="D129" s="101" t="e">
        <f>VLOOKUP(A129,'BSE ALL CAP'!$B$4:$Y$1038,3,)</f>
        <v>#N/A</v>
      </c>
      <c r="E129" s="101">
        <f ca="1">IFERROR(__xludf.DUMMYFUNCTION("GOOGLEFINANCE(""BOM:""&amp;A129,""PRICE"")"),49.75)</f>
        <v>49.75</v>
      </c>
      <c r="F129" s="112">
        <f ca="1">IFERROR(__xludf.DUMMYFUNCTION("GOOGLEFINANCE(""BOM:""&amp;A129,""MARKETCAP"")/10000000"),27.8685022)</f>
        <v>27.868502199999998</v>
      </c>
      <c r="G129" s="95">
        <f t="shared" ca="1" si="0"/>
        <v>1.1162318494379637E-4</v>
      </c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</row>
    <row r="130" spans="1:25" ht="14.4">
      <c r="A130" s="99">
        <v>539176</v>
      </c>
      <c r="B130" s="98" t="s">
        <v>4022</v>
      </c>
      <c r="C130" s="101" t="e">
        <f>VLOOKUP(A130,'BSE ALL CAP'!$B$4:$Y$1038,2,)</f>
        <v>#N/A</v>
      </c>
      <c r="D130" s="101" t="e">
        <f>VLOOKUP(A130,'BSE ALL CAP'!$B$4:$Y$1038,3,)</f>
        <v>#N/A</v>
      </c>
      <c r="E130" s="101">
        <f ca="1">IFERROR(__xludf.DUMMYFUNCTION("GOOGLEFINANCE(""BOM:""&amp;A130,""PRICE"")"),73.2)</f>
        <v>73.2</v>
      </c>
      <c r="F130" s="112">
        <f ca="1">IFERROR(__xludf.DUMMYFUNCTION("GOOGLEFINANCE(""BOM:""&amp;A130,""MARKETCAP"")/10000000"),25.8132396)</f>
        <v>25.813239599999999</v>
      </c>
      <c r="G130" s="95">
        <f t="shared" ca="1" si="0"/>
        <v>1.0339113301429341E-4</v>
      </c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</row>
    <row r="131" spans="1:25" ht="14.4">
      <c r="A131" s="99">
        <v>523752</v>
      </c>
      <c r="B131" s="98" t="s">
        <v>4023</v>
      </c>
      <c r="C131" s="101" t="e">
        <f>VLOOKUP(A131,'BSE ALL CAP'!$B$4:$Y$1038,2,)</f>
        <v>#N/A</v>
      </c>
      <c r="D131" s="101" t="e">
        <f>VLOOKUP(A131,'BSE ALL CAP'!$B$4:$Y$1038,3,)</f>
        <v>#N/A</v>
      </c>
      <c r="E131" s="101">
        <f ca="1">IFERROR(__xludf.DUMMYFUNCTION("GOOGLEFINANCE(""BOM:""&amp;A131,""PRICE"")"),3.63)</f>
        <v>3.63</v>
      </c>
      <c r="F131" s="112">
        <f ca="1">IFERROR(__xludf.DUMMYFUNCTION("GOOGLEFINANCE(""BOM:""&amp;A131,""MARKETCAP"")/10000000"),25.36556)</f>
        <v>25.365559999999999</v>
      </c>
      <c r="G131" s="95">
        <f t="shared" ca="1" si="0"/>
        <v>1.0159801824882298E-4</v>
      </c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</row>
    <row r="132" spans="1:25" ht="14.4">
      <c r="A132" s="99">
        <v>543065</v>
      </c>
      <c r="B132" s="98" t="s">
        <v>4024</v>
      </c>
      <c r="C132" s="101" t="e">
        <f>VLOOKUP(A132,'BSE ALL CAP'!$B$4:$Y$1038,2,)</f>
        <v>#N/A</v>
      </c>
      <c r="D132" s="101" t="e">
        <f>VLOOKUP(A132,'BSE ALL CAP'!$B$4:$Y$1038,3,)</f>
        <v>#N/A</v>
      </c>
      <c r="E132" s="101">
        <f ca="1">IFERROR(__xludf.DUMMYFUNCTION("GOOGLEFINANCE(""BOM:""&amp;A132,""PRICE"")"),17.25)</f>
        <v>17.25</v>
      </c>
      <c r="F132" s="112">
        <f ca="1">IFERROR(__xludf.DUMMYFUNCTION("GOOGLEFINANCE(""BOM:""&amp;A132,""MARKETCAP"")/10000000"),23.61151)</f>
        <v>23.611509999999999</v>
      </c>
      <c r="G132" s="95">
        <f t="shared" ca="1" si="0"/>
        <v>9.457242906769125E-5</v>
      </c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</row>
    <row r="133" spans="1:25" ht="14.4">
      <c r="A133" s="99">
        <v>526604</v>
      </c>
      <c r="B133" s="98" t="s">
        <v>4025</v>
      </c>
      <c r="C133" s="101" t="e">
        <f>VLOOKUP(A133,'BSE ALL CAP'!$B$4:$Y$1038,2,)</f>
        <v>#N/A</v>
      </c>
      <c r="D133" s="101" t="e">
        <f>VLOOKUP(A133,'BSE ALL CAP'!$B$4:$Y$1038,3,)</f>
        <v>#N/A</v>
      </c>
      <c r="E133" s="101">
        <f ca="1">IFERROR(__xludf.DUMMYFUNCTION("GOOGLEFINANCE(""BOM:""&amp;A133,""PRICE"")"),36)</f>
        <v>36</v>
      </c>
      <c r="F133" s="112">
        <f ca="1">IFERROR(__xludf.DUMMYFUNCTION("GOOGLEFINANCE(""BOM:""&amp;A133,""MARKETCAP"")/10000000"),25.2)</f>
        <v>25.2</v>
      </c>
      <c r="G133" s="95">
        <f t="shared" ca="1" si="0"/>
        <v>1.0093489202959996E-4</v>
      </c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</row>
    <row r="134" spans="1:25" ht="14.4">
      <c r="A134" s="99">
        <v>542682</v>
      </c>
      <c r="B134" s="98" t="s">
        <v>4026</v>
      </c>
      <c r="C134" s="101" t="e">
        <f>VLOOKUP(A134,'BSE ALL CAP'!$B$4:$Y$1038,2,)</f>
        <v>#N/A</v>
      </c>
      <c r="D134" s="101" t="e">
        <f>VLOOKUP(A134,'BSE ALL CAP'!$B$4:$Y$1038,3,)</f>
        <v>#N/A</v>
      </c>
      <c r="E134" s="101">
        <f ca="1">IFERROR(__xludf.DUMMYFUNCTION("GOOGLEFINANCE(""BOM:""&amp;A134,""PRICE"")"),67.1)</f>
        <v>67.099999999999994</v>
      </c>
      <c r="F134" s="112">
        <f ca="1">IFERROR(__xludf.DUMMYFUNCTION("GOOGLEFINANCE(""BOM:""&amp;A134,""MARKETCAP"")/10000000"),22.3845594)</f>
        <v>22.384559400000001</v>
      </c>
      <c r="G134" s="95">
        <f t="shared" ca="1" si="0"/>
        <v>8.9658058974966933E-5</v>
      </c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</row>
    <row r="135" spans="1:25" ht="14.4">
      <c r="A135" s="99">
        <v>505250</v>
      </c>
      <c r="B135" s="98" t="s">
        <v>4027</v>
      </c>
      <c r="C135" s="101" t="e">
        <f>VLOOKUP(A135,'BSE ALL CAP'!$B$4:$Y$1038,2,)</f>
        <v>#N/A</v>
      </c>
      <c r="D135" s="101" t="e">
        <f>VLOOKUP(A135,'BSE ALL CAP'!$B$4:$Y$1038,3,)</f>
        <v>#N/A</v>
      </c>
      <c r="E135" s="101">
        <f ca="1">IFERROR(__xludf.DUMMYFUNCTION("GOOGLEFINANCE(""BOM:""&amp;A135,""PRICE"")"),50.9)</f>
        <v>50.9</v>
      </c>
      <c r="F135" s="112">
        <f ca="1">IFERROR(__xludf.DUMMYFUNCTION("GOOGLEFINANCE(""BOM:""&amp;A135,""MARKETCAP"")/10000000"),24.27831)</f>
        <v>24.278310000000001</v>
      </c>
      <c r="G135" s="95">
        <f t="shared" ca="1" si="0"/>
        <v>9.7243198353617335E-5</v>
      </c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</row>
    <row r="136" spans="1:25" ht="14.4">
      <c r="A136" s="99">
        <v>544607</v>
      </c>
      <c r="B136" s="98" t="s">
        <v>4028</v>
      </c>
      <c r="C136" s="101" t="e">
        <f>VLOOKUP(A136,'BSE ALL CAP'!$B$4:$Y$1038,2,)</f>
        <v>#N/A</v>
      </c>
      <c r="D136" s="101" t="e">
        <f>VLOOKUP(A136,'BSE ALL CAP'!$B$4:$Y$1038,3,)</f>
        <v>#N/A</v>
      </c>
      <c r="E136" s="101">
        <f ca="1">IFERROR(__xludf.DUMMYFUNCTION("GOOGLEFINANCE(""BOM:""&amp;A136,""PRICE"")"),50.75)</f>
        <v>50.75</v>
      </c>
      <c r="F136" s="112">
        <f ca="1">IFERROR(__xludf.DUMMYFUNCTION("GOOGLEFINANCE(""BOM:""&amp;A136,""MARKETCAP"")/10000000"),28.7163749)</f>
        <v>28.716374900000002</v>
      </c>
      <c r="G136" s="95">
        <f t="shared" ca="1" si="0"/>
        <v>1.1501921428623073E-4</v>
      </c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</row>
    <row r="137" spans="1:25" ht="14.4">
      <c r="A137" s="99">
        <v>500246</v>
      </c>
      <c r="B137" s="98" t="s">
        <v>4029</v>
      </c>
      <c r="C137" s="101" t="e">
        <f>VLOOKUP(A137,'BSE ALL CAP'!$B$4:$Y$1038,2,)</f>
        <v>#N/A</v>
      </c>
      <c r="D137" s="101" t="e">
        <f>VLOOKUP(A137,'BSE ALL CAP'!$B$4:$Y$1038,3,)</f>
        <v>#N/A</v>
      </c>
      <c r="E137" s="101">
        <f ca="1">IFERROR(__xludf.DUMMYFUNCTION("GOOGLEFINANCE(""BOM:""&amp;A137,""PRICE"")"),43.74)</f>
        <v>43.74</v>
      </c>
      <c r="F137" s="112">
        <f ca="1">IFERROR(__xludf.DUMMYFUNCTION("GOOGLEFINANCE(""BOM:""&amp;A137,""MARKETCAP"")/10000000"),20.2953607)</f>
        <v>20.2953607</v>
      </c>
      <c r="G137" s="95">
        <f t="shared" ca="1" si="0"/>
        <v>8.1290080990328812E-5</v>
      </c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</row>
    <row r="138" spans="1:25" ht="14.4">
      <c r="A138" s="99">
        <v>509015</v>
      </c>
      <c r="B138" s="98" t="s">
        <v>4030</v>
      </c>
      <c r="C138" s="101" t="e">
        <f>VLOOKUP(A138,'BSE ALL CAP'!$B$4:$Y$1038,2,)</f>
        <v>#N/A</v>
      </c>
      <c r="D138" s="101" t="e">
        <f>VLOOKUP(A138,'BSE ALL CAP'!$B$4:$Y$1038,3,)</f>
        <v>#N/A</v>
      </c>
      <c r="E138" s="101">
        <f ca="1">IFERROR(__xludf.DUMMYFUNCTION("GOOGLEFINANCE(""BOM:""&amp;A138,""PRICE"")"),14.78)</f>
        <v>14.78</v>
      </c>
      <c r="F138" s="112">
        <f ca="1">IFERROR(__xludf.DUMMYFUNCTION("GOOGLEFINANCE(""BOM:""&amp;A138,""MARKETCAP"")/10000000"),17.3444479)</f>
        <v>17.344447899999999</v>
      </c>
      <c r="G138" s="95">
        <f t="shared" ca="1" si="0"/>
        <v>6.9470633972203236E-5</v>
      </c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</row>
    <row r="139" spans="1:25" ht="14.4">
      <c r="A139" s="99">
        <v>522036</v>
      </c>
      <c r="B139" s="98" t="s">
        <v>4031</v>
      </c>
      <c r="C139" s="101" t="e">
        <f>VLOOKUP(A139,'BSE ALL CAP'!$B$4:$Y$1038,2,)</f>
        <v>#N/A</v>
      </c>
      <c r="D139" s="101" t="e">
        <f>VLOOKUP(A139,'BSE ALL CAP'!$B$4:$Y$1038,3,)</f>
        <v>#N/A</v>
      </c>
      <c r="E139" s="101">
        <f ca="1">IFERROR(__xludf.DUMMYFUNCTION("GOOGLEFINANCE(""BOM:""&amp;A139,""PRICE"")"),69.01)</f>
        <v>69.010000000000005</v>
      </c>
      <c r="F139" s="112">
        <f ca="1">IFERROR(__xludf.DUMMYFUNCTION("GOOGLEFINANCE(""BOM:""&amp;A139,""MARKETCAP"")/10000000"),20.72715)</f>
        <v>20.727150000000002</v>
      </c>
      <c r="G139" s="95">
        <f t="shared" ca="1" si="0"/>
        <v>8.3019549497274721E-5</v>
      </c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</row>
    <row r="140" spans="1:25" ht="14.4">
      <c r="A140" s="99">
        <v>517397</v>
      </c>
      <c r="B140" s="98" t="s">
        <v>4032</v>
      </c>
      <c r="C140" s="101" t="e">
        <f>VLOOKUP(A140,'BSE ALL CAP'!$B$4:$Y$1038,2,)</f>
        <v>#N/A</v>
      </c>
      <c r="D140" s="101" t="e">
        <f>VLOOKUP(A140,'BSE ALL CAP'!$B$4:$Y$1038,3,)</f>
        <v>#N/A</v>
      </c>
      <c r="E140" s="101">
        <f ca="1">IFERROR(__xludf.DUMMYFUNCTION("GOOGLEFINANCE(""BOM:""&amp;A140,""PRICE"")"),41.15)</f>
        <v>41.15</v>
      </c>
      <c r="F140" s="112">
        <f ca="1">IFERROR(__xludf.DUMMYFUNCTION("GOOGLEFINANCE(""BOM:""&amp;A140,""MARKETCAP"")/10000000"),16.4600006)</f>
        <v>16.460000600000001</v>
      </c>
      <c r="G140" s="95">
        <f t="shared" ca="1" si="0"/>
        <v>6.592811045111708E-5</v>
      </c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</row>
    <row r="141" spans="1:25" ht="14.4">
      <c r="A141" s="99">
        <v>522267</v>
      </c>
      <c r="B141" s="98" t="s">
        <v>4033</v>
      </c>
      <c r="C141" s="101" t="e">
        <f>VLOOKUP(A141,'BSE ALL CAP'!$B$4:$Y$1038,2,)</f>
        <v>#N/A</v>
      </c>
      <c r="D141" s="101" t="e">
        <f>VLOOKUP(A141,'BSE ALL CAP'!$B$4:$Y$1038,3,)</f>
        <v>#N/A</v>
      </c>
      <c r="E141" s="101">
        <f ca="1">IFERROR(__xludf.DUMMYFUNCTION("GOOGLEFINANCE(""BOM:""&amp;A141,""PRICE"")"),33.9)</f>
        <v>33.9</v>
      </c>
      <c r="F141" s="112">
        <f ca="1">IFERROR(__xludf.DUMMYFUNCTION("GOOGLEFINANCE(""BOM:""&amp;A141,""MARKETCAP"")/10000000"),17.1937349)</f>
        <v>17.193734899999999</v>
      </c>
      <c r="G141" s="95">
        <f t="shared" ca="1" si="0"/>
        <v>6.8866975226867632E-5</v>
      </c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</row>
    <row r="142" spans="1:25" ht="14.4">
      <c r="A142" s="99">
        <v>541178</v>
      </c>
      <c r="B142" s="98" t="s">
        <v>4034</v>
      </c>
      <c r="C142" s="101" t="e">
        <f>VLOOKUP(A142,'BSE ALL CAP'!$B$4:$Y$1038,2,)</f>
        <v>#N/A</v>
      </c>
      <c r="D142" s="101" t="e">
        <f>VLOOKUP(A142,'BSE ALL CAP'!$B$4:$Y$1038,3,)</f>
        <v>#N/A</v>
      </c>
      <c r="E142" s="101">
        <f ca="1">IFERROR(__xludf.DUMMYFUNCTION("GOOGLEFINANCE(""BOM:""&amp;A142,""PRICE"")"),8.4)</f>
        <v>8.4</v>
      </c>
      <c r="F142" s="112">
        <f ca="1">IFERROR(__xludf.DUMMYFUNCTION("GOOGLEFINANCE(""BOM:""&amp;A142,""MARKETCAP"")/10000000"),14.87412)</f>
        <v>14.87412</v>
      </c>
      <c r="G142" s="95">
        <f t="shared" ca="1" si="0"/>
        <v>5.9576099056956871E-5</v>
      </c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</row>
    <row r="143" spans="1:25" ht="14.4">
      <c r="A143" s="99">
        <v>544025</v>
      </c>
      <c r="B143" s="98" t="s">
        <v>4035</v>
      </c>
      <c r="C143" s="101" t="e">
        <f>VLOOKUP(A143,'BSE ALL CAP'!$B$4:$Y$1038,2,)</f>
        <v>#N/A</v>
      </c>
      <c r="D143" s="101" t="e">
        <f>VLOOKUP(A143,'BSE ALL CAP'!$B$4:$Y$1038,3,)</f>
        <v>#N/A</v>
      </c>
      <c r="E143" s="101">
        <f ca="1">IFERROR(__xludf.DUMMYFUNCTION("GOOGLEFINANCE(""BOM:""&amp;A143,""PRICE"")"),70)</f>
        <v>70</v>
      </c>
      <c r="F143" s="112">
        <f ca="1">IFERROR(__xludf.DUMMYFUNCTION("GOOGLEFINANCE(""BOM:""&amp;A143,""MARKETCAP"")/10000000"),13.09928)</f>
        <v>13.09928</v>
      </c>
      <c r="G143" s="95">
        <f t="shared" ca="1" si="0"/>
        <v>5.2467238589900716E-5</v>
      </c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</row>
    <row r="144" spans="1:25" ht="14.4">
      <c r="A144" s="99">
        <v>543460</v>
      </c>
      <c r="B144" s="98" t="s">
        <v>4036</v>
      </c>
      <c r="C144" s="101" t="e">
        <f>VLOOKUP(A144,'BSE ALL CAP'!$B$4:$Y$1038,2,)</f>
        <v>#N/A</v>
      </c>
      <c r="D144" s="101" t="e">
        <f>VLOOKUP(A144,'BSE ALL CAP'!$B$4:$Y$1038,3,)</f>
        <v>#N/A</v>
      </c>
      <c r="E144" s="101">
        <f ca="1">IFERROR(__xludf.DUMMYFUNCTION("GOOGLEFINANCE(""BOM:""&amp;A144,""PRICE"")"),48.45)</f>
        <v>48.45</v>
      </c>
      <c r="F144" s="112">
        <f ca="1">IFERROR(__xludf.DUMMYFUNCTION("GOOGLEFINANCE(""BOM:""&amp;A144,""MARKETCAP"")/10000000"),12.35475)</f>
        <v>12.354749999999999</v>
      </c>
      <c r="G144" s="95">
        <f t="shared" ca="1" si="0"/>
        <v>4.948513322629762E-5</v>
      </c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</row>
    <row r="145" spans="1:25" ht="14.4">
      <c r="A145" s="99">
        <v>513575</v>
      </c>
      <c r="B145" s="98" t="s">
        <v>4037</v>
      </c>
      <c r="C145" s="101" t="e">
        <f>VLOOKUP(A145,'BSE ALL CAP'!$B$4:$Y$1038,2,)</f>
        <v>#N/A</v>
      </c>
      <c r="D145" s="101" t="e">
        <f>VLOOKUP(A145,'BSE ALL CAP'!$B$4:$Y$1038,3,)</f>
        <v>#N/A</v>
      </c>
      <c r="E145" s="101">
        <f ca="1">IFERROR(__xludf.DUMMYFUNCTION("GOOGLEFINANCE(""BOM:""&amp;A145,""PRICE"")"),19.98)</f>
        <v>19.98</v>
      </c>
      <c r="F145" s="112">
        <f ca="1">IFERROR(__xludf.DUMMYFUNCTION("GOOGLEFINANCE(""BOM:""&amp;A145,""MARKETCAP"")/10000000"),10.5147364)</f>
        <v>10.5147364</v>
      </c>
      <c r="G145" s="95">
        <f t="shared" ca="1" si="0"/>
        <v>4.2115229494194623E-5</v>
      </c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</row>
    <row r="146" spans="1:25" ht="14.4">
      <c r="A146" s="99">
        <v>522237</v>
      </c>
      <c r="B146" s="98" t="s">
        <v>4038</v>
      </c>
      <c r="C146" s="101" t="e">
        <f>VLOOKUP(A146,'BSE ALL CAP'!$B$4:$Y$1038,2,)</f>
        <v>#N/A</v>
      </c>
      <c r="D146" s="101" t="e">
        <f>VLOOKUP(A146,'BSE ALL CAP'!$B$4:$Y$1038,3,)</f>
        <v>#N/A</v>
      </c>
      <c r="E146" s="101">
        <f ca="1">IFERROR(__xludf.DUMMYFUNCTION("GOOGLEFINANCE(""BOM:""&amp;A146,""PRICE"")"),20.5)</f>
        <v>20.5</v>
      </c>
      <c r="F146" s="112">
        <f ca="1">IFERROR(__xludf.DUMMYFUNCTION("GOOGLEFINANCE(""BOM:""&amp;A146,""MARKETCAP"")/10000000"),10.2778779)</f>
        <v>10.2778779</v>
      </c>
      <c r="G146" s="95">
        <f t="shared" ca="1" si="0"/>
        <v>4.1166527624202838E-5</v>
      </c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</row>
    <row r="147" spans="1:25" ht="14.4">
      <c r="A147" s="99">
        <v>538707</v>
      </c>
      <c r="B147" s="98" t="s">
        <v>4039</v>
      </c>
      <c r="C147" s="101" t="e">
        <f>VLOOKUP(A147,'BSE ALL CAP'!$B$4:$Y$1038,2,)</f>
        <v>#N/A</v>
      </c>
      <c r="D147" s="101" t="e">
        <f>VLOOKUP(A147,'BSE ALL CAP'!$B$4:$Y$1038,3,)</f>
        <v>#N/A</v>
      </c>
      <c r="E147" s="101">
        <f ca="1">IFERROR(__xludf.DUMMYFUNCTION("GOOGLEFINANCE(""BOM:""&amp;A147,""PRICE"")"),30.6)</f>
        <v>30.6</v>
      </c>
      <c r="F147" s="112">
        <f ca="1">IFERROR(__xludf.DUMMYFUNCTION("GOOGLEFINANCE(""BOM:""&amp;A147,""MARKETCAP"")/10000000"),10.2864808)</f>
        <v>10.2864808</v>
      </c>
      <c r="G147" s="95">
        <f t="shared" ca="1" si="0"/>
        <v>4.1200985274307656E-5</v>
      </c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</row>
    <row r="148" spans="1:25" ht="14.4">
      <c r="A148" s="99">
        <v>500540</v>
      </c>
      <c r="B148" s="98" t="s">
        <v>4040</v>
      </c>
      <c r="C148" s="101" t="e">
        <f>VLOOKUP(A148,'BSE ALL CAP'!$B$4:$Y$1038,2,)</f>
        <v>#N/A</v>
      </c>
      <c r="D148" s="101" t="e">
        <f>VLOOKUP(A148,'BSE ALL CAP'!$B$4:$Y$1038,3,)</f>
        <v>#N/A</v>
      </c>
      <c r="E148" s="101">
        <f ca="1">IFERROR(__xludf.DUMMYFUNCTION("GOOGLEFINANCE(""BOM:""&amp;A148,""PRICE"")"),2.9)</f>
        <v>2.9</v>
      </c>
      <c r="F148" s="112">
        <f ca="1">IFERROR(__xludf.DUMMYFUNCTION("GOOGLEFINANCE(""BOM:""&amp;A148,""MARKETCAP"")/10000000"),8.5976128)</f>
        <v>8.5976128000000003</v>
      </c>
      <c r="G148" s="95">
        <f t="shared" ca="1" si="0"/>
        <v>3.4436473003186769E-5</v>
      </c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</row>
    <row r="149" spans="1:25" ht="14.4">
      <c r="A149" s="99">
        <v>543606</v>
      </c>
      <c r="B149" s="98" t="s">
        <v>4041</v>
      </c>
      <c r="C149" s="101" t="e">
        <f>VLOOKUP(A149,'BSE ALL CAP'!$B$4:$Y$1038,2,)</f>
        <v>#N/A</v>
      </c>
      <c r="D149" s="101" t="e">
        <f>VLOOKUP(A149,'BSE ALL CAP'!$B$4:$Y$1038,3,)</f>
        <v>#N/A</v>
      </c>
      <c r="E149" s="101">
        <f ca="1">IFERROR(__xludf.DUMMYFUNCTION("GOOGLEFINANCE(""BOM:""&amp;A149,""PRICE"")"),14.05)</f>
        <v>14.05</v>
      </c>
      <c r="F149" s="112">
        <f ca="1">IFERROR(__xludf.DUMMYFUNCTION("GOOGLEFINANCE(""BOM:""&amp;A149,""MARKETCAP"")/10000000"),8.7728201)</f>
        <v>8.7728201000000006</v>
      </c>
      <c r="G149" s="95">
        <f t="shared" ca="1" si="0"/>
        <v>3.5138240063039856E-5</v>
      </c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</row>
    <row r="150" spans="1:25" ht="14.4">
      <c r="A150" s="99">
        <v>531661</v>
      </c>
      <c r="B150" s="98" t="s">
        <v>4042</v>
      </c>
      <c r="C150" s="101" t="e">
        <f>VLOOKUP(A150,'BSE ALL CAP'!$B$4:$Y$1038,2,)</f>
        <v>#N/A</v>
      </c>
      <c r="D150" s="101" t="e">
        <f>VLOOKUP(A150,'BSE ALL CAP'!$B$4:$Y$1038,3,)</f>
        <v>#N/A</v>
      </c>
      <c r="E150" s="101">
        <f ca="1">IFERROR(__xludf.DUMMYFUNCTION("GOOGLEFINANCE(""BOM:""&amp;A150,""PRICE"")"),9.94)</f>
        <v>9.94</v>
      </c>
      <c r="F150" s="112">
        <f ca="1">IFERROR(__xludf.DUMMYFUNCTION("GOOGLEFINANCE(""BOM:""&amp;A150,""MARKETCAP"")/10000000"),6.1228866)</f>
        <v>6.1228866000000002</v>
      </c>
      <c r="G150" s="95">
        <f t="shared" ca="1" si="0"/>
        <v>2.4524321344463667E-5</v>
      </c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</row>
    <row r="151" spans="1:25" ht="14.4">
      <c r="A151" s="99">
        <v>531944</v>
      </c>
      <c r="B151" s="98" t="s">
        <v>4043</v>
      </c>
      <c r="C151" s="101" t="e">
        <f>VLOOKUP(A151,'BSE ALL CAP'!$B$4:$Y$1038,2,)</f>
        <v>#N/A</v>
      </c>
      <c r="D151" s="101" t="e">
        <f>VLOOKUP(A151,'BSE ALL CAP'!$B$4:$Y$1038,3,)</f>
        <v>#N/A</v>
      </c>
      <c r="E151" s="101">
        <f ca="1">IFERROR(__xludf.DUMMYFUNCTION("GOOGLEFINANCE(""BOM:""&amp;A151,""PRICE"")"),17.63)</f>
        <v>17.63</v>
      </c>
      <c r="F151" s="112">
        <f ca="1">IFERROR(__xludf.DUMMYFUNCTION("GOOGLEFINANCE(""BOM:""&amp;A151,""MARKETCAP"")/10000000"),6.9268266)</f>
        <v>6.9268266000000001</v>
      </c>
      <c r="G151" s="95">
        <f t="shared" ca="1" si="0"/>
        <v>2.7744384721379402E-5</v>
      </c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</row>
    <row r="152" spans="1:25" ht="14.4">
      <c r="A152" s="99">
        <v>531594</v>
      </c>
      <c r="B152" s="98" t="s">
        <v>4044</v>
      </c>
      <c r="C152" s="101" t="e">
        <f>VLOOKUP(A152,'BSE ALL CAP'!$B$4:$Y$1038,2,)</f>
        <v>#N/A</v>
      </c>
      <c r="D152" s="101" t="e">
        <f>VLOOKUP(A152,'BSE ALL CAP'!$B$4:$Y$1038,3,)</f>
        <v>#N/A</v>
      </c>
      <c r="E152" s="101">
        <f ca="1">IFERROR(__xludf.DUMMYFUNCTION("GOOGLEFINANCE(""BOM:""&amp;A152,""PRICE"")"),15.49)</f>
        <v>15.49</v>
      </c>
      <c r="F152" s="112">
        <f ca="1">IFERROR(__xludf.DUMMYFUNCTION("GOOGLEFINANCE(""BOM:""&amp;A152,""MARKETCAP"")/10000000"),6.7026762)</f>
        <v>6.7026762</v>
      </c>
      <c r="G152" s="95">
        <f t="shared" ca="1" si="0"/>
        <v>2.6846583276046403E-5</v>
      </c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</row>
    <row r="153" spans="1:25" ht="14.4">
      <c r="A153" s="99">
        <v>531997</v>
      </c>
      <c r="B153" s="98" t="s">
        <v>4045</v>
      </c>
      <c r="C153" s="101" t="e">
        <f>VLOOKUP(A153,'BSE ALL CAP'!$B$4:$Y$1038,2,)</f>
        <v>#N/A</v>
      </c>
      <c r="D153" s="101" t="e">
        <f>VLOOKUP(A153,'BSE ALL CAP'!$B$4:$Y$1038,3,)</f>
        <v>#N/A</v>
      </c>
      <c r="E153" s="101">
        <f ca="1">IFERROR(__xludf.DUMMYFUNCTION("GOOGLEFINANCE(""BOM:""&amp;A153,""PRICE"")"),26.4)</f>
        <v>26.4</v>
      </c>
      <c r="F153" s="112"/>
      <c r="G153" s="95">
        <f t="shared" ca="1" si="0"/>
        <v>0</v>
      </c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</row>
    <row r="154" spans="1:25" ht="14.4">
      <c r="A154" s="99">
        <v>513039</v>
      </c>
      <c r="B154" s="98" t="s">
        <v>4046</v>
      </c>
      <c r="C154" s="101" t="e">
        <f>VLOOKUP(A154,'BSE ALL CAP'!$B$4:$Y$1038,2,)</f>
        <v>#N/A</v>
      </c>
      <c r="D154" s="101" t="e">
        <f>VLOOKUP(A154,'BSE ALL CAP'!$B$4:$Y$1038,3,)</f>
        <v>#N/A</v>
      </c>
      <c r="E154" s="101">
        <f ca="1">IFERROR(__xludf.DUMMYFUNCTION("GOOGLEFINANCE(""BOM:""&amp;A154,""PRICE"")"),3.31)</f>
        <v>3.31</v>
      </c>
      <c r="F154" s="112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</row>
    <row r="155" spans="1:25" ht="13.2">
      <c r="A155" s="101"/>
      <c r="B155" s="101"/>
      <c r="C155" s="101"/>
      <c r="D155" s="101"/>
      <c r="E155" s="101"/>
      <c r="F155" s="112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</row>
    <row r="156" spans="1:25" ht="13.2">
      <c r="A156" s="101"/>
      <c r="B156" s="101"/>
      <c r="C156" s="101"/>
      <c r="D156" s="101"/>
      <c r="E156" s="101"/>
      <c r="F156" s="112">
        <f t="shared" ref="F156:O156" ca="1" si="1">SUM(F2:F154)</f>
        <v>249665.89346139986</v>
      </c>
      <c r="G156" s="95">
        <f t="shared" ca="1" si="1"/>
        <v>1.0000000000000004</v>
      </c>
      <c r="H156" s="101" t="e">
        <f t="shared" si="1"/>
        <v>#N/A</v>
      </c>
      <c r="I156" s="101" t="e">
        <f t="shared" si="1"/>
        <v>#N/A</v>
      </c>
      <c r="J156" s="101" t="e">
        <f t="shared" si="1"/>
        <v>#N/A</v>
      </c>
      <c r="K156" s="101" t="e">
        <f t="shared" si="1"/>
        <v>#N/A</v>
      </c>
      <c r="L156" s="101" t="e">
        <f t="shared" si="1"/>
        <v>#N/A</v>
      </c>
      <c r="M156" s="101" t="e">
        <f t="shared" si="1"/>
        <v>#N/A</v>
      </c>
      <c r="N156" s="101" t="e">
        <f t="shared" si="1"/>
        <v>#N/A</v>
      </c>
      <c r="O156" s="101" t="e">
        <f t="shared" si="1"/>
        <v>#N/A</v>
      </c>
      <c r="P156" s="95" t="e">
        <f t="shared" ref="P156:Q156" si="2">J156/H156</f>
        <v>#N/A</v>
      </c>
      <c r="Q156" s="95" t="e">
        <f t="shared" si="2"/>
        <v>#N/A</v>
      </c>
      <c r="R156" s="95" t="e">
        <f>P156-Q156</f>
        <v>#N/A</v>
      </c>
      <c r="S156" s="95" t="e">
        <f t="shared" ref="S156:T156" si="3">N156/L156</f>
        <v>#N/A</v>
      </c>
      <c r="T156" s="95" t="e">
        <f t="shared" si="3"/>
        <v>#N/A</v>
      </c>
      <c r="U156" s="95" t="e">
        <f>S156-T156</f>
        <v>#N/A</v>
      </c>
      <c r="V156" s="95" t="e">
        <f>(H156/I156)-1</f>
        <v>#N/A</v>
      </c>
      <c r="W156" s="95" t="e">
        <f>(J156/K156)-1</f>
        <v>#N/A</v>
      </c>
      <c r="X156" s="95" t="e">
        <f>(L156/M156)-1</f>
        <v>#N/A</v>
      </c>
      <c r="Y156" s="95" t="e">
        <f>(N156/O156)-1</f>
        <v>#N/A</v>
      </c>
    </row>
    <row r="157" spans="1:25" ht="13.2">
      <c r="F157" s="94"/>
    </row>
    <row r="158" spans="1:25" ht="13.2">
      <c r="F158" s="94"/>
    </row>
    <row r="159" spans="1:25" ht="13.2">
      <c r="F159" s="94"/>
    </row>
    <row r="160" spans="1:25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54" xr:uid="{00000000-0009-0000-0000-000070000000}"/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outlinePr summaryBelow="0" summaryRight="0"/>
  </sheetPr>
  <dimension ref="A1:Y17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512455</v>
      </c>
      <c r="B2" s="98" t="s">
        <v>4047</v>
      </c>
      <c r="C2" s="101" t="str">
        <f>VLOOKUP(A2,'BSE ALL CAP'!$B$4:$Y$1038,2,)</f>
        <v>Commodities</v>
      </c>
      <c r="D2" s="101" t="str">
        <f>VLOOKUP(A2,'BSE ALL CAP'!$B$4:$Y$1038,3,)</f>
        <v>Industrial Minerals</v>
      </c>
      <c r="E2" s="101">
        <f ca="1">IFERROR(__xludf.DUMMYFUNCTION("GOOGLEFINANCE(""BOM:""&amp;A2,""PRICE"")"),1434.9)</f>
        <v>1434.9</v>
      </c>
      <c r="F2" s="112">
        <f ca="1">IFERROR(__xludf.DUMMYFUNCTION("GOOGLEFINANCE(""BOM:""&amp;A2,""MARKETCAP"")/10000000"),80729.2301153)</f>
        <v>80729.230115300001</v>
      </c>
      <c r="G2" s="95">
        <f t="shared" ref="G2:G15" ca="1" si="0">F2/$F$17</f>
        <v>0.41189820252418008</v>
      </c>
      <c r="H2" s="101">
        <f>VLOOKUP(A2,'BSE ALL CAP'!$B$4:$Y$1038,7,)</f>
        <v>10827</v>
      </c>
      <c r="I2" s="101">
        <f>VLOOKUP(A2,'BSE ALL CAP'!$B$4:$Y$1038,8,)</f>
        <v>5444</v>
      </c>
      <c r="J2" s="101">
        <f>VLOOKUP(A2,'BSE ALL CAP'!$B$4:$Y$1038,9,)</f>
        <v>2299</v>
      </c>
      <c r="K2" s="101">
        <f>VLOOKUP(A2,'BSE ALL CAP'!$B$4:$Y$1038,10,)</f>
        <v>1248</v>
      </c>
      <c r="L2" s="101">
        <f>VLOOKUP(A2,'BSE ALL CAP'!$B$4:$Y$1038,11,)</f>
        <v>4909</v>
      </c>
      <c r="M2" s="101">
        <f>VLOOKUP(A2,'BSE ALL CAP'!$B$4:$Y$1038,12,)</f>
        <v>1671</v>
      </c>
      <c r="N2" s="101">
        <f>VLOOKUP(A2,'BSE ALL CAP'!$B$4:$Y$1038,13,)</f>
        <v>1090</v>
      </c>
      <c r="O2" s="101">
        <f>VLOOKUP(A2,'BSE ALL CAP'!$B$4:$Y$1038,14,)</f>
        <v>389</v>
      </c>
      <c r="P2" s="95">
        <f>VLOOKUP(A2,'BSE ALL CAP'!$B$4:$Y$1038,15,)</f>
        <v>0.21233952156645425</v>
      </c>
      <c r="Q2" s="95">
        <f>VLOOKUP(A2,'BSE ALL CAP'!$B$4:$Y$1038,16,)</f>
        <v>0.22924320352681851</v>
      </c>
      <c r="R2" s="95">
        <f>VLOOKUP(A2,'BSE ALL CAP'!$B$4:$Y$1038,17,)</f>
        <v>-1.6903681960364264E-2</v>
      </c>
      <c r="S2" s="95">
        <f>VLOOKUP(A2,'BSE ALL CAP'!$B$4:$Y$1038,18,)</f>
        <v>0.22204114891016499</v>
      </c>
      <c r="T2" s="95">
        <f>VLOOKUP(A2,'BSE ALL CAP'!$B$4:$Y$1038,19,)</f>
        <v>0.23279473369239975</v>
      </c>
      <c r="U2" s="95">
        <f>VLOOKUP(A2,'BSE ALL CAP'!$B$4:$Y$1038,20,)</f>
        <v>-1.075358478223476E-2</v>
      </c>
      <c r="V2" s="95">
        <f>VLOOKUP(A2,'BSE ALL CAP'!$B$4:$Y$1038,21,)</f>
        <v>0.98879500367376938</v>
      </c>
      <c r="W2" s="95">
        <f>VLOOKUP(A2,'BSE ALL CAP'!$B$4:$Y$1038,22,)</f>
        <v>0.8421474358974359</v>
      </c>
      <c r="X2" s="95">
        <f>VLOOKUP(A2,'BSE ALL CAP'!$B$4:$Y$1038,23,)</f>
        <v>1.9377618192698982</v>
      </c>
      <c r="Y2" s="95">
        <f>VLOOKUP(A2,'BSE ALL CAP'!$B$4:$Y$1038,24,)</f>
        <v>1.8020565552699228</v>
      </c>
    </row>
    <row r="3" spans="1:25" ht="15.75" customHeight="1">
      <c r="A3" s="99">
        <v>526371</v>
      </c>
      <c r="B3" s="98" t="s">
        <v>4048</v>
      </c>
      <c r="C3" s="101" t="str">
        <f>VLOOKUP(A3,'BSE ALL CAP'!$B$4:$Y$1038,2,)</f>
        <v>Commodities</v>
      </c>
      <c r="D3" s="101" t="str">
        <f>VLOOKUP(A3,'BSE ALL CAP'!$B$4:$Y$1038,3,)</f>
        <v>Industrial Minerals</v>
      </c>
      <c r="E3" s="101">
        <f ca="1">IFERROR(__xludf.DUMMYFUNCTION("GOOGLEFINANCE(""BOM:""&amp;A3,""PRICE"")"),81.7)</f>
        <v>81.7</v>
      </c>
      <c r="F3" s="112">
        <f ca="1">IFERROR(__xludf.DUMMYFUNCTION("GOOGLEFINANCE(""BOM:""&amp;A3,""MARKETCAP"")/10000000"),71811.5615243)</f>
        <v>71811.561524300007</v>
      </c>
      <c r="G3" s="95">
        <f t="shared" ca="1" si="0"/>
        <v>0.36639830542255902</v>
      </c>
      <c r="H3" s="101">
        <f>VLOOKUP(A3,'BSE ALL CAP'!$B$4:$Y$1038,7,)</f>
        <v>20728</v>
      </c>
      <c r="I3" s="101">
        <f>VLOOKUP(A3,'BSE ALL CAP'!$B$4:$Y$1038,8,)</f>
        <v>16901</v>
      </c>
      <c r="J3" s="101">
        <f>VLOOKUP(A3,'BSE ALL CAP'!$B$4:$Y$1038,9,)</f>
        <v>5397</v>
      </c>
      <c r="K3" s="101">
        <f>VLOOKUP(A3,'BSE ALL CAP'!$B$4:$Y$1038,10,)</f>
        <v>5056</v>
      </c>
      <c r="L3" s="101">
        <f>VLOOKUP(A3,'BSE ALL CAP'!$B$4:$Y$1038,11,)</f>
        <v>7611</v>
      </c>
      <c r="M3" s="101">
        <f>VLOOKUP(A3,'BSE ALL CAP'!$B$4:$Y$1038,12,)</f>
        <v>6568</v>
      </c>
      <c r="N3" s="101">
        <f>VLOOKUP(A3,'BSE ALL CAP'!$B$4:$Y$1038,13,)</f>
        <v>1747</v>
      </c>
      <c r="O3" s="101">
        <f>VLOOKUP(A3,'BSE ALL CAP'!$B$4:$Y$1038,14,)</f>
        <v>1897</v>
      </c>
      <c r="P3" s="95">
        <f>VLOOKUP(A3,'BSE ALL CAP'!$B$4:$Y$1038,15,)</f>
        <v>0.26037244307217289</v>
      </c>
      <c r="Q3" s="95">
        <f>VLOOKUP(A3,'BSE ALL CAP'!$B$4:$Y$1038,16,)</f>
        <v>0.29915389621915861</v>
      </c>
      <c r="R3" s="95">
        <f>VLOOKUP(A3,'BSE ALL CAP'!$B$4:$Y$1038,17,)</f>
        <v>-3.8781453146985723E-2</v>
      </c>
      <c r="S3" s="95">
        <f>VLOOKUP(A3,'BSE ALL CAP'!$B$4:$Y$1038,18,)</f>
        <v>0.22953619760872421</v>
      </c>
      <c r="T3" s="95">
        <f>VLOOKUP(A3,'BSE ALL CAP'!$B$4:$Y$1038,19,)</f>
        <v>0.28882460414129113</v>
      </c>
      <c r="U3" s="95">
        <f>VLOOKUP(A3,'BSE ALL CAP'!$B$4:$Y$1038,20,)</f>
        <v>-5.9288406532566923E-2</v>
      </c>
      <c r="V3" s="95">
        <f>VLOOKUP(A3,'BSE ALL CAP'!$B$4:$Y$1038,21,)</f>
        <v>0.22643630554405059</v>
      </c>
      <c r="W3" s="95">
        <f>VLOOKUP(A3,'BSE ALL CAP'!$B$4:$Y$1038,22,)</f>
        <v>6.7444620253164667E-2</v>
      </c>
      <c r="X3" s="95">
        <f>VLOOKUP(A3,'BSE ALL CAP'!$B$4:$Y$1038,23,)</f>
        <v>0.15880024360535927</v>
      </c>
      <c r="Y3" s="95">
        <f>VLOOKUP(A3,'BSE ALL CAP'!$B$4:$Y$1038,24,)</f>
        <v>-7.9072219293621515E-2</v>
      </c>
    </row>
    <row r="4" spans="1:25" ht="15.75" customHeight="1">
      <c r="A4" s="99">
        <v>532181</v>
      </c>
      <c r="B4" s="98" t="s">
        <v>4049</v>
      </c>
      <c r="C4" s="101" t="str">
        <f>VLOOKUP(A4,'BSE ALL CAP'!$B$4:$Y$1038,2,)</f>
        <v>Commodities</v>
      </c>
      <c r="D4" s="101" t="str">
        <f>VLOOKUP(A4,'BSE ALL CAP'!$B$4:$Y$1038,3,)</f>
        <v>Industrial Minerals</v>
      </c>
      <c r="E4" s="101">
        <f ca="1">IFERROR(__xludf.DUMMYFUNCTION("GOOGLEFINANCE(""BOM:""&amp;A4,""PRICE"")"),597.95)</f>
        <v>597.95000000000005</v>
      </c>
      <c r="F4" s="112">
        <f ca="1">IFERROR(__xludf.DUMMYFUNCTION("GOOGLEFINANCE(""BOM:""&amp;A4,""MARKETCAP"")/10000000"),18984.1003933)</f>
        <v>18984.100393299999</v>
      </c>
      <c r="G4" s="95">
        <f t="shared" ca="1" si="0"/>
        <v>9.6861035555161026E-2</v>
      </c>
      <c r="H4" s="101">
        <f>VLOOKUP(A4,'BSE ALL CAP'!$B$4:$Y$1038,7,)</f>
        <v>1839</v>
      </c>
      <c r="I4" s="101">
        <f>VLOOKUP(A4,'BSE ALL CAP'!$B$4:$Y$1038,8,)</f>
        <v>2064</v>
      </c>
      <c r="J4" s="101">
        <f>VLOOKUP(A4,'BSE ALL CAP'!$B$4:$Y$1038,9,)</f>
        <v>763</v>
      </c>
      <c r="K4" s="101">
        <f>VLOOKUP(A4,'BSE ALL CAP'!$B$4:$Y$1038,10,)</f>
        <v>459</v>
      </c>
      <c r="L4" s="101">
        <f>VLOOKUP(A4,'BSE ALL CAP'!$B$4:$Y$1038,11,)</f>
        <v>579</v>
      </c>
      <c r="M4" s="101">
        <f>VLOOKUP(A4,'BSE ALL CAP'!$B$4:$Y$1038,12,)</f>
        <v>653</v>
      </c>
      <c r="N4" s="101">
        <f>VLOOKUP(A4,'BSE ALL CAP'!$B$4:$Y$1038,13,)</f>
        <v>133</v>
      </c>
      <c r="O4" s="101">
        <f>VLOOKUP(A4,'BSE ALL CAP'!$B$4:$Y$1038,14,)</f>
        <v>148</v>
      </c>
      <c r="P4" s="95">
        <f>VLOOKUP(A4,'BSE ALL CAP'!$B$4:$Y$1038,15,)</f>
        <v>0.4148994018488309</v>
      </c>
      <c r="Q4" s="95">
        <f>VLOOKUP(A4,'BSE ALL CAP'!$B$4:$Y$1038,16,)</f>
        <v>0.22238372093023256</v>
      </c>
      <c r="R4" s="95">
        <f>VLOOKUP(A4,'BSE ALL CAP'!$B$4:$Y$1038,17,)</f>
        <v>0.19251568091859833</v>
      </c>
      <c r="S4" s="95">
        <f>VLOOKUP(A4,'BSE ALL CAP'!$B$4:$Y$1038,18,)</f>
        <v>0.22970639032815199</v>
      </c>
      <c r="T4" s="95">
        <f>VLOOKUP(A4,'BSE ALL CAP'!$B$4:$Y$1038,19,)</f>
        <v>0.22664624808575803</v>
      </c>
      <c r="U4" s="95">
        <f>VLOOKUP(A4,'BSE ALL CAP'!$B$4:$Y$1038,20,)</f>
        <v>3.0601422423939539E-3</v>
      </c>
      <c r="V4" s="95">
        <f>VLOOKUP(A4,'BSE ALL CAP'!$B$4:$Y$1038,21,)</f>
        <v>-0.10901162790697672</v>
      </c>
      <c r="W4" s="95">
        <f>VLOOKUP(A4,'BSE ALL CAP'!$B$4:$Y$1038,22,)</f>
        <v>0.66230936819172115</v>
      </c>
      <c r="X4" s="95">
        <f>VLOOKUP(A4,'BSE ALL CAP'!$B$4:$Y$1038,23,)</f>
        <v>-0.11332312404287903</v>
      </c>
      <c r="Y4" s="95">
        <f>VLOOKUP(A4,'BSE ALL CAP'!$B$4:$Y$1038,24,)</f>
        <v>-0.10135135135135132</v>
      </c>
    </row>
    <row r="5" spans="1:25" ht="15.75" customHeight="1">
      <c r="A5" s="99">
        <v>533282</v>
      </c>
      <c r="B5" s="98" t="s">
        <v>4050</v>
      </c>
      <c r="C5" s="101" t="str">
        <f>VLOOKUP(A5,'BSE ALL CAP'!$B$4:$Y$1038,2,)</f>
        <v>Commodities</v>
      </c>
      <c r="D5" s="101" t="str">
        <f>VLOOKUP(A5,'BSE ALL CAP'!$B$4:$Y$1038,3,)</f>
        <v>Industrial Minerals</v>
      </c>
      <c r="E5" s="101">
        <f ca="1">IFERROR(__xludf.DUMMYFUNCTION("GOOGLEFINANCE(""BOM:""&amp;A5,""PRICE"")"),1370.55)</f>
        <v>1370.55</v>
      </c>
      <c r="F5" s="112">
        <f ca="1">IFERROR(__xludf.DUMMYFUNCTION("GOOGLEFINANCE(""BOM:""&amp;A5,""MARKETCAP"")/10000000"),9975.9014118)</f>
        <v>9975.9014117999996</v>
      </c>
      <c r="G5" s="95">
        <f t="shared" ca="1" si="0"/>
        <v>5.0899232585398975E-2</v>
      </c>
      <c r="H5" s="101">
        <f>VLOOKUP(A5,'BSE ALL CAP'!$B$4:$Y$1038,7,)</f>
        <v>3092</v>
      </c>
      <c r="I5" s="101">
        <f>VLOOKUP(A5,'BSE ALL CAP'!$B$4:$Y$1038,8,)</f>
        <v>2831</v>
      </c>
      <c r="J5" s="101">
        <f>VLOOKUP(A5,'BSE ALL CAP'!$B$4:$Y$1038,9,)</f>
        <v>286</v>
      </c>
      <c r="K5" s="101">
        <f>VLOOKUP(A5,'BSE ALL CAP'!$B$4:$Y$1038,10,)</f>
        <v>217</v>
      </c>
      <c r="L5" s="101">
        <f>VLOOKUP(A5,'BSE ALL CAP'!$B$4:$Y$1038,11,)</f>
        <v>1017</v>
      </c>
      <c r="M5" s="101">
        <f>VLOOKUP(A5,'BSE ALL CAP'!$B$4:$Y$1038,12,)</f>
        <v>996</v>
      </c>
      <c r="N5" s="101">
        <f>VLOOKUP(A5,'BSE ALL CAP'!$B$4:$Y$1038,13,)</f>
        <v>97</v>
      </c>
      <c r="O5" s="101">
        <f>VLOOKUP(A5,'BSE ALL CAP'!$B$4:$Y$1038,14,)</f>
        <v>78</v>
      </c>
      <c r="P5" s="95">
        <f>VLOOKUP(A5,'BSE ALL CAP'!$B$4:$Y$1038,15,)</f>
        <v>9.2496765847347992E-2</v>
      </c>
      <c r="Q5" s="95">
        <f>VLOOKUP(A5,'BSE ALL CAP'!$B$4:$Y$1038,16,)</f>
        <v>7.6651359943482864E-2</v>
      </c>
      <c r="R5" s="95">
        <f>VLOOKUP(A5,'BSE ALL CAP'!$B$4:$Y$1038,17,)</f>
        <v>1.5845405903865128E-2</v>
      </c>
      <c r="S5" s="95">
        <f>VLOOKUP(A5,'BSE ALL CAP'!$B$4:$Y$1038,18,)</f>
        <v>9.5378564405113081E-2</v>
      </c>
      <c r="T5" s="95">
        <f>VLOOKUP(A5,'BSE ALL CAP'!$B$4:$Y$1038,19,)</f>
        <v>7.8313253012048195E-2</v>
      </c>
      <c r="U5" s="95">
        <f>VLOOKUP(A5,'BSE ALL CAP'!$B$4:$Y$1038,20,)</f>
        <v>1.7065311393064886E-2</v>
      </c>
      <c r="V5" s="95">
        <f>VLOOKUP(A5,'BSE ALL CAP'!$B$4:$Y$1038,21,)</f>
        <v>9.2193571176262701E-2</v>
      </c>
      <c r="W5" s="95">
        <f>VLOOKUP(A5,'BSE ALL CAP'!$B$4:$Y$1038,22,)</f>
        <v>0.31797235023041481</v>
      </c>
      <c r="X5" s="95">
        <f>VLOOKUP(A5,'BSE ALL CAP'!$B$4:$Y$1038,23,)</f>
        <v>2.108433734939763E-2</v>
      </c>
      <c r="Y5" s="95">
        <f>VLOOKUP(A5,'BSE ALL CAP'!$B$4:$Y$1038,24,)</f>
        <v>0.24358974358974361</v>
      </c>
    </row>
    <row r="6" spans="1:25" ht="15.75" customHeight="1">
      <c r="A6" s="99">
        <v>533286</v>
      </c>
      <c r="B6" s="98" t="s">
        <v>4051</v>
      </c>
      <c r="C6" s="101" t="str">
        <f>VLOOKUP(A6,'BSE ALL CAP'!$B$4:$Y$1038,2,)</f>
        <v>Commodities</v>
      </c>
      <c r="D6" s="101" t="str">
        <f>VLOOKUP(A6,'BSE ALL CAP'!$B$4:$Y$1038,3,)</f>
        <v>Industrial Minerals</v>
      </c>
      <c r="E6" s="101">
        <f ca="1">IFERROR(__xludf.DUMMYFUNCTION("GOOGLEFINANCE(""BOM:""&amp;A6,""PRICE"")"),301)</f>
        <v>301</v>
      </c>
      <c r="F6" s="112">
        <f ca="1">IFERROR(__xludf.DUMMYFUNCTION("GOOGLEFINANCE(""BOM:""&amp;A6,""MARKETCAP"")/10000000"),6124.90151)</f>
        <v>6124.9015099999997</v>
      </c>
      <c r="G6" s="95">
        <f t="shared" ca="1" si="0"/>
        <v>3.1250588157516718E-2</v>
      </c>
      <c r="H6" s="101">
        <f>VLOOKUP(A6,'BSE ALL CAP'!$B$4:$Y$1038,7,)</f>
        <v>1056</v>
      </c>
      <c r="I6" s="101">
        <f>VLOOKUP(A6,'BSE ALL CAP'!$B$4:$Y$1038,8,)</f>
        <v>1151</v>
      </c>
      <c r="J6" s="101">
        <f>VLOOKUP(A6,'BSE ALL CAP'!$B$4:$Y$1038,9,)</f>
        <v>174</v>
      </c>
      <c r="K6" s="101">
        <f>VLOOKUP(A6,'BSE ALL CAP'!$B$4:$Y$1038,10,)</f>
        <v>265</v>
      </c>
      <c r="L6" s="101">
        <f>VLOOKUP(A6,'BSE ALL CAP'!$B$4:$Y$1038,11,)</f>
        <v>359</v>
      </c>
      <c r="M6" s="101">
        <f>VLOOKUP(A6,'BSE ALL CAP'!$B$4:$Y$1038,12,)</f>
        <v>366</v>
      </c>
      <c r="N6" s="101">
        <f>VLOOKUP(A6,'BSE ALL CAP'!$B$4:$Y$1038,13,)</f>
        <v>52</v>
      </c>
      <c r="O6" s="101">
        <f>VLOOKUP(A6,'BSE ALL CAP'!$B$4:$Y$1038,14,)</f>
        <v>63</v>
      </c>
      <c r="P6" s="95">
        <f>VLOOKUP(A6,'BSE ALL CAP'!$B$4:$Y$1038,15,)</f>
        <v>0.16477272727272727</v>
      </c>
      <c r="Q6" s="95">
        <f>VLOOKUP(A6,'BSE ALL CAP'!$B$4:$Y$1038,16,)</f>
        <v>0.23023457862728064</v>
      </c>
      <c r="R6" s="95">
        <f>VLOOKUP(A6,'BSE ALL CAP'!$B$4:$Y$1038,17,)</f>
        <v>-6.5461851354553374E-2</v>
      </c>
      <c r="S6" s="95">
        <f>VLOOKUP(A6,'BSE ALL CAP'!$B$4:$Y$1038,18,)</f>
        <v>0.14484679665738162</v>
      </c>
      <c r="T6" s="95">
        <f>VLOOKUP(A6,'BSE ALL CAP'!$B$4:$Y$1038,19,)</f>
        <v>0.1721311475409836</v>
      </c>
      <c r="U6" s="95">
        <f>VLOOKUP(A6,'BSE ALL CAP'!$B$4:$Y$1038,20,)</f>
        <v>-2.7284350883601982E-2</v>
      </c>
      <c r="V6" s="95">
        <f>VLOOKUP(A6,'BSE ALL CAP'!$B$4:$Y$1038,21,)</f>
        <v>-8.2536924413553425E-2</v>
      </c>
      <c r="W6" s="95">
        <f>VLOOKUP(A6,'BSE ALL CAP'!$B$4:$Y$1038,22,)</f>
        <v>-0.34339622641509437</v>
      </c>
      <c r="X6" s="95">
        <f>VLOOKUP(A6,'BSE ALL CAP'!$B$4:$Y$1038,23,)</f>
        <v>-1.9125683060109311E-2</v>
      </c>
      <c r="Y6" s="95">
        <f>VLOOKUP(A6,'BSE ALL CAP'!$B$4:$Y$1038,24,)</f>
        <v>-0.17460317460317465</v>
      </c>
    </row>
    <row r="7" spans="1:25" ht="15.75" customHeight="1">
      <c r="A7" s="99">
        <v>527001</v>
      </c>
      <c r="B7" s="98" t="s">
        <v>4052</v>
      </c>
      <c r="C7" s="101"/>
      <c r="D7" s="101"/>
      <c r="E7" s="101">
        <f ca="1">IFERROR(__xludf.DUMMYFUNCTION("GOOGLEFINANCE(""BOM:""&amp;A7,""PRICE"")"),492)</f>
        <v>492</v>
      </c>
      <c r="F7" s="112">
        <f ca="1">IFERROR(__xludf.DUMMYFUNCTION("GOOGLEFINANCE(""BOM:""&amp;A7,""MARKETCAP"")/10000000"),4698.9292925)</f>
        <v>4698.9292925</v>
      </c>
      <c r="G7" s="95">
        <f t="shared" ca="1" si="0"/>
        <v>2.397496577887159E-2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590086</v>
      </c>
      <c r="B8" s="98" t="s">
        <v>4053</v>
      </c>
      <c r="C8" s="101"/>
      <c r="D8" s="101"/>
      <c r="E8" s="101">
        <f ca="1">IFERROR(__xludf.DUMMYFUNCTION("GOOGLEFINANCE(""BOM:""&amp;A8,""PRICE"")"),3473.25)</f>
        <v>3473.25</v>
      </c>
      <c r="F8" s="112">
        <f ca="1">IFERROR(__xludf.DUMMYFUNCTION("GOOGLEFINANCE(""BOM:""&amp;A8,""MARKETCAP"")/10000000"),2077.5600585)</f>
        <v>2077.5600585000002</v>
      </c>
      <c r="G8" s="95">
        <f t="shared" ca="1" si="0"/>
        <v>1.0600166166702956E-2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533022</v>
      </c>
      <c r="B9" s="98" t="s">
        <v>4054</v>
      </c>
      <c r="C9" s="101"/>
      <c r="D9" s="101"/>
      <c r="E9" s="101">
        <f ca="1">IFERROR(__xludf.DUMMYFUNCTION("GOOGLEFINANCE(""BOM:""&amp;A9,""PRICE"")"),153.75)</f>
        <v>153.75</v>
      </c>
      <c r="F9" s="112">
        <f ca="1">IFERROR(__xludf.DUMMYFUNCTION("GOOGLEFINANCE(""BOM:""&amp;A9,""MARKETCAP"")/10000000"),543.2003896)</f>
        <v>543.20038959999999</v>
      </c>
      <c r="G9" s="95">
        <f t="shared" ca="1" si="0"/>
        <v>2.7715272865493357E-3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530129</v>
      </c>
      <c r="B10" s="98" t="s">
        <v>4055</v>
      </c>
      <c r="C10" s="101"/>
      <c r="D10" s="101"/>
      <c r="E10" s="101">
        <f ca="1">IFERROR(__xludf.DUMMYFUNCTION("GOOGLEFINANCE(""BOM:""&amp;A10,""PRICE"")"),1680)</f>
        <v>1680</v>
      </c>
      <c r="F10" s="112">
        <f ca="1">IFERROR(__xludf.DUMMYFUNCTION("GOOGLEFINANCE(""BOM:""&amp;A10,""MARKETCAP"")/10000000"),504.3192)</f>
        <v>504.31920000000002</v>
      </c>
      <c r="G10" s="95">
        <f t="shared" ca="1" si="0"/>
        <v>2.5731469466728301E-3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509567</v>
      </c>
      <c r="B11" s="98" t="s">
        <v>4056</v>
      </c>
      <c r="C11" s="101"/>
      <c r="D11" s="101"/>
      <c r="E11" s="101">
        <f ca="1">IFERROR(__xludf.DUMMYFUNCTION("GOOGLEFINANCE(""BOM:""&amp;A11,""PRICE"")"),303.85)</f>
        <v>303.85000000000002</v>
      </c>
      <c r="F11" s="112">
        <f ca="1">IFERROR(__xludf.DUMMYFUNCTION("GOOGLEFINANCE(""BOM:""&amp;A11,""MARKETCAP"")/10000000"),279.9764165)</f>
        <v>279.97641650000003</v>
      </c>
      <c r="G11" s="95">
        <f t="shared" ca="1" si="0"/>
        <v>1.4285009598234127E-3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502015</v>
      </c>
      <c r="B12" s="98" t="s">
        <v>4057</v>
      </c>
      <c r="C12" s="101"/>
      <c r="D12" s="101"/>
      <c r="E12" s="101">
        <f ca="1">IFERROR(__xludf.DUMMYFUNCTION("GOOGLEFINANCE(""BOM:""&amp;A12,""PRICE"")"),23.4)</f>
        <v>23.4</v>
      </c>
      <c r="F12" s="112">
        <f ca="1">IFERROR(__xludf.DUMMYFUNCTION("GOOGLEFINANCE(""BOM:""&amp;A12,""MARKETCAP"")/10000000"),210.7752859)</f>
        <v>210.7752859</v>
      </c>
      <c r="G12" s="95">
        <f t="shared" ca="1" si="0"/>
        <v>1.075421644362693E-3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513498</v>
      </c>
      <c r="B13" s="98" t="s">
        <v>4058</v>
      </c>
      <c r="C13" s="101"/>
      <c r="D13" s="101"/>
      <c r="E13" s="101">
        <f ca="1">IFERROR(__xludf.DUMMYFUNCTION("GOOGLEFINANCE(""BOM:""&amp;A13,""PRICE"")"),69)</f>
        <v>69</v>
      </c>
      <c r="F13" s="112">
        <f ca="1">IFERROR(__xludf.DUMMYFUNCTION("GOOGLEFINANCE(""BOM:""&amp;A13,""MARKETCAP"")/10000000"),20.7)</f>
        <v>20.7</v>
      </c>
      <c r="G13" s="95">
        <f t="shared" ca="1" si="0"/>
        <v>1.0561593093447083E-4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541634</v>
      </c>
      <c r="B14" s="98" t="s">
        <v>4059</v>
      </c>
      <c r="C14" s="101"/>
      <c r="D14" s="101"/>
      <c r="E14" s="101">
        <f ca="1">IFERROR(__xludf.DUMMYFUNCTION("GOOGLEFINANCE(""BOM:""&amp;A14,""PRICE"")"),17.32)</f>
        <v>17.32</v>
      </c>
      <c r="F14" s="112">
        <f ca="1">IFERROR(__xludf.DUMMYFUNCTION("GOOGLEFINANCE(""BOM:""&amp;A14,""MARKETCAP"")/10000000"),17.4211484)</f>
        <v>17.4211484</v>
      </c>
      <c r="G14" s="95">
        <f t="shared" ca="1" si="0"/>
        <v>8.8886512377467009E-5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531778</v>
      </c>
      <c r="B15" s="98" t="s">
        <v>4060</v>
      </c>
      <c r="C15" s="101"/>
      <c r="D15" s="101"/>
      <c r="E15" s="101">
        <f ca="1">IFERROR(__xludf.DUMMYFUNCTION("GOOGLEFINANCE(""BOM:""&amp;A15,""PRICE"")"),27.51)</f>
        <v>27.51</v>
      </c>
      <c r="F15" s="112">
        <f ca="1">IFERROR(__xludf.DUMMYFUNCTION("GOOGLEFINANCE(""BOM:""&amp;A15,""MARKETCAP"")/10000000"),14.5827787)</f>
        <v>14.5827787</v>
      </c>
      <c r="G15" s="95">
        <f t="shared" ca="1" si="0"/>
        <v>7.4404528889462432E-5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>
      <c r="A16" s="101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>
      <c r="A17" s="101"/>
      <c r="B17" s="101"/>
      <c r="C17" s="101"/>
      <c r="D17" s="101"/>
      <c r="E17" s="101"/>
      <c r="F17" s="112">
        <f ca="1">SUM(F1:F15)</f>
        <v>195993.15952479999</v>
      </c>
      <c r="G17" s="95">
        <f ca="1">F17/$F$17</f>
        <v>1</v>
      </c>
      <c r="H17" s="101">
        <f t="shared" ref="H17:O17" si="1">SUM(H2:H15)</f>
        <v>37542</v>
      </c>
      <c r="I17" s="101">
        <f t="shared" si="1"/>
        <v>28391</v>
      </c>
      <c r="J17" s="101">
        <f t="shared" si="1"/>
        <v>8919</v>
      </c>
      <c r="K17" s="101">
        <f t="shared" si="1"/>
        <v>7245</v>
      </c>
      <c r="L17" s="101">
        <f t="shared" si="1"/>
        <v>14475</v>
      </c>
      <c r="M17" s="101">
        <f t="shared" si="1"/>
        <v>10254</v>
      </c>
      <c r="N17" s="101">
        <f t="shared" si="1"/>
        <v>3119</v>
      </c>
      <c r="O17" s="101">
        <f t="shared" si="1"/>
        <v>2575</v>
      </c>
      <c r="P17" s="95">
        <f t="shared" ref="P17:Q17" si="2">J17/H17</f>
        <v>0.23757391721272175</v>
      </c>
      <c r="Q17" s="95">
        <f t="shared" si="2"/>
        <v>0.25518650276496074</v>
      </c>
      <c r="R17" s="95">
        <f>P17-Q17</f>
        <v>-1.7612585552238991E-2</v>
      </c>
      <c r="S17" s="95">
        <f t="shared" ref="S17:T17" si="3">N17/L17</f>
        <v>0.21547495682210707</v>
      </c>
      <c r="T17" s="95">
        <f t="shared" si="3"/>
        <v>0.25112151355568557</v>
      </c>
      <c r="U17" s="95">
        <f>S17-T17</f>
        <v>-3.5646556733578499E-2</v>
      </c>
      <c r="V17" s="95">
        <f>(H17/I17)-1</f>
        <v>0.32232045366489381</v>
      </c>
      <c r="W17" s="95">
        <f>(J17/K17)-1</f>
        <v>0.23105590062111792</v>
      </c>
      <c r="X17" s="95">
        <f>(L17/M17)-1</f>
        <v>0.41164423639555303</v>
      </c>
      <c r="Y17" s="95">
        <f>(N17/O17)-1</f>
        <v>0.21126213592233012</v>
      </c>
    </row>
  </sheetData>
  <autoFilter ref="A1:Y15" xr:uid="{00000000-0009-0000-0000-000071000000}"/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outlinePr summaryBelow="0" summaryRight="0"/>
  </sheetPr>
  <dimension ref="A1:Y1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523457</v>
      </c>
      <c r="B2" s="98" t="s">
        <v>4061</v>
      </c>
      <c r="C2" s="101" t="str">
        <f>VLOOKUP(A2,'BSE ALL CAP'!$B$4:$Y$1038,2,)</f>
        <v>Commodities</v>
      </c>
      <c r="D2" s="101" t="str">
        <f>VLOOKUP(A2,'BSE ALL CAP'!$B$4:$Y$1038,3,)</f>
        <v>Industrial Gases</v>
      </c>
      <c r="E2" s="101">
        <f ca="1">IFERROR(__xludf.DUMMYFUNCTION("GOOGLEFINANCE(""BOM:""&amp;A2,""PRICE"")"),7190)</f>
        <v>7190</v>
      </c>
      <c r="F2" s="112">
        <f ca="1">IFERROR(__xludf.DUMMYFUNCTION("GOOGLEFINANCE(""BOM:""&amp;A2,""MARKETCAP"")/10000000"),61302.290148)</f>
        <v>61302.290148</v>
      </c>
      <c r="G2" s="95">
        <f t="shared" ref="G2:G8" ca="1" si="0">F2/$F$10</f>
        <v>0.89432571339731781</v>
      </c>
      <c r="H2" s="101">
        <f>VLOOKUP(A2,'BSE ALL CAP'!$B$4:$Y$1038,7,)</f>
        <v>1916</v>
      </c>
      <c r="I2" s="101">
        <f>VLOOKUP(A2,'BSE ALL CAP'!$B$4:$Y$1038,8,)</f>
        <v>1893</v>
      </c>
      <c r="J2" s="101">
        <f>VLOOKUP(A2,'BSE ALL CAP'!$B$4:$Y$1038,9,)</f>
        <v>471</v>
      </c>
      <c r="K2" s="101">
        <f>VLOOKUP(A2,'BSE ALL CAP'!$B$4:$Y$1038,10,)</f>
        <v>336</v>
      </c>
      <c r="L2" s="101">
        <f>VLOOKUP(A2,'BSE ALL CAP'!$B$4:$Y$1038,11,)</f>
        <v>701</v>
      </c>
      <c r="M2" s="101">
        <f>VLOOKUP(A2,'BSE ALL CAP'!$B$4:$Y$1038,12,)</f>
        <v>605</v>
      </c>
      <c r="N2" s="101">
        <f>VLOOKUP(A2,'BSE ALL CAP'!$B$4:$Y$1038,13,)</f>
        <v>192</v>
      </c>
      <c r="O2" s="101">
        <f>VLOOKUP(A2,'BSE ALL CAP'!$B$4:$Y$1038,14,)</f>
        <v>114</v>
      </c>
      <c r="P2" s="95">
        <f>VLOOKUP(A2,'BSE ALL CAP'!$B$4:$Y$1038,15,)</f>
        <v>0.24582463465553236</v>
      </c>
      <c r="Q2" s="95">
        <f>VLOOKUP(A2,'BSE ALL CAP'!$B$4:$Y$1038,16,)</f>
        <v>0.1774960380348653</v>
      </c>
      <c r="R2" s="95">
        <f>VLOOKUP(A2,'BSE ALL CAP'!$B$4:$Y$1038,17,)</f>
        <v>6.8328596620667065E-2</v>
      </c>
      <c r="S2" s="95">
        <f>VLOOKUP(A2,'BSE ALL CAP'!$B$4:$Y$1038,18,)</f>
        <v>0.27389443651925821</v>
      </c>
      <c r="T2" s="95">
        <f>VLOOKUP(A2,'BSE ALL CAP'!$B$4:$Y$1038,19,)</f>
        <v>0.1884297520661157</v>
      </c>
      <c r="U2" s="95">
        <f>VLOOKUP(A2,'BSE ALL CAP'!$B$4:$Y$1038,20,)</f>
        <v>8.5464684453142509E-2</v>
      </c>
      <c r="V2" s="95">
        <f>VLOOKUP(A2,'BSE ALL CAP'!$B$4:$Y$1038,21,)</f>
        <v>1.2150026413100923E-2</v>
      </c>
      <c r="W2" s="95">
        <f>VLOOKUP(A2,'BSE ALL CAP'!$B$4:$Y$1038,22,)</f>
        <v>0.40178571428571419</v>
      </c>
      <c r="X2" s="95">
        <f>VLOOKUP(A2,'BSE ALL CAP'!$B$4:$Y$1038,23,)</f>
        <v>0.15867768595041332</v>
      </c>
      <c r="Y2" s="95">
        <f>VLOOKUP(A2,'BSE ALL CAP'!$B$4:$Y$1038,24,)</f>
        <v>0.68421052631578938</v>
      </c>
    </row>
    <row r="3" spans="1:25" ht="15.75" customHeight="1">
      <c r="A3" s="99">
        <v>544421</v>
      </c>
      <c r="B3" s="98" t="s">
        <v>4062</v>
      </c>
      <c r="C3" s="101" t="e">
        <f>VLOOKUP(A3,'BSE ALL CAP'!$B$4:$Y$1038,2,)</f>
        <v>#N/A</v>
      </c>
      <c r="D3" s="101" t="e">
        <f>VLOOKUP(A3,'BSE ALL CAP'!$B$4:$Y$1038,3,)</f>
        <v>#N/A</v>
      </c>
      <c r="E3" s="101">
        <f ca="1">IFERROR(__xludf.DUMMYFUNCTION("GOOGLEFINANCE(""BOM:""&amp;A3,""PRICE"")"),205.65)</f>
        <v>205.65</v>
      </c>
      <c r="F3" s="112">
        <f ca="1">IFERROR(__xludf.DUMMYFUNCTION("GOOGLEFINANCE(""BOM:""&amp;A3,""MARKETCAP"")/10000000"),2895.1482619)</f>
        <v>2895.1482618999999</v>
      </c>
      <c r="G3" s="95">
        <f t="shared" ca="1" si="0"/>
        <v>4.2236685260268303E-2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532884</v>
      </c>
      <c r="B4" s="98" t="s">
        <v>4063</v>
      </c>
      <c r="C4" s="101" t="str">
        <f>VLOOKUP(A4,'BSE ALL CAP'!$B$4:$Y$1038,2,)</f>
        <v>Commodities</v>
      </c>
      <c r="D4" s="101" t="str">
        <f>VLOOKUP(A4,'BSE ALL CAP'!$B$4:$Y$1038,3,)</f>
        <v>Industrial Gases</v>
      </c>
      <c r="E4" s="101">
        <f ca="1">IFERROR(__xludf.DUMMYFUNCTION("GOOGLEFINANCE(""BOM:""&amp;A4,""PRICE"")"),210.9)</f>
        <v>210.9</v>
      </c>
      <c r="F4" s="112">
        <f ca="1">IFERROR(__xludf.DUMMYFUNCTION("GOOGLEFINANCE(""BOM:""&amp;A4,""MARKETCAP"")/10000000"),2892.0260604)</f>
        <v>2892.0260604</v>
      </c>
      <c r="G4" s="95">
        <f t="shared" ca="1" si="0"/>
        <v>4.2191136144939717E-2</v>
      </c>
      <c r="H4" s="101">
        <f>VLOOKUP(A4,'BSE ALL CAP'!$B$4:$Y$1038,7,)</f>
        <v>1342</v>
      </c>
      <c r="I4" s="101">
        <f>VLOOKUP(A4,'BSE ALL CAP'!$B$4:$Y$1038,8,)</f>
        <v>1664</v>
      </c>
      <c r="J4" s="101">
        <f>VLOOKUP(A4,'BSE ALL CAP'!$B$4:$Y$1038,9,)</f>
        <v>136</v>
      </c>
      <c r="K4" s="101">
        <f>VLOOKUP(A4,'BSE ALL CAP'!$B$4:$Y$1038,10,)</f>
        <v>125</v>
      </c>
      <c r="L4" s="101">
        <f>VLOOKUP(A4,'BSE ALL CAP'!$B$4:$Y$1038,11,)</f>
        <v>576</v>
      </c>
      <c r="M4" s="101">
        <f>VLOOKUP(A4,'BSE ALL CAP'!$B$4:$Y$1038,12,)</f>
        <v>686</v>
      </c>
      <c r="N4" s="101">
        <f>VLOOKUP(A4,'BSE ALL CAP'!$B$4:$Y$1038,13,)</f>
        <v>61</v>
      </c>
      <c r="O4" s="101">
        <f>VLOOKUP(A4,'BSE ALL CAP'!$B$4:$Y$1038,14,)</f>
        <v>58</v>
      </c>
      <c r="P4" s="95">
        <f>VLOOKUP(A4,'BSE ALL CAP'!$B$4:$Y$1038,15,)</f>
        <v>0.10134128166915052</v>
      </c>
      <c r="Q4" s="95">
        <f>VLOOKUP(A4,'BSE ALL CAP'!$B$4:$Y$1038,16,)</f>
        <v>7.5120192307692304E-2</v>
      </c>
      <c r="R4" s="95">
        <f>VLOOKUP(A4,'BSE ALL CAP'!$B$4:$Y$1038,17,)</f>
        <v>2.6221089361458214E-2</v>
      </c>
      <c r="S4" s="95">
        <f>VLOOKUP(A4,'BSE ALL CAP'!$B$4:$Y$1038,18,)</f>
        <v>0.10590277777777778</v>
      </c>
      <c r="T4" s="95">
        <f>VLOOKUP(A4,'BSE ALL CAP'!$B$4:$Y$1038,19,)</f>
        <v>8.4548104956268216E-2</v>
      </c>
      <c r="U4" s="95">
        <f>VLOOKUP(A4,'BSE ALL CAP'!$B$4:$Y$1038,20,)</f>
        <v>2.135467282150956E-2</v>
      </c>
      <c r="V4" s="95">
        <f>VLOOKUP(A4,'BSE ALL CAP'!$B$4:$Y$1038,21,)</f>
        <v>-0.19350961538461542</v>
      </c>
      <c r="W4" s="95">
        <f>VLOOKUP(A4,'BSE ALL CAP'!$B$4:$Y$1038,22,)</f>
        <v>8.8000000000000078E-2</v>
      </c>
      <c r="X4" s="95">
        <f>VLOOKUP(A4,'BSE ALL CAP'!$B$4:$Y$1038,23,)</f>
        <v>-0.16034985422740522</v>
      </c>
      <c r="Y4" s="95">
        <f>VLOOKUP(A4,'BSE ALL CAP'!$B$4:$Y$1038,24,)</f>
        <v>5.1724137931034475E-2</v>
      </c>
    </row>
    <row r="5" spans="1:25" ht="15.75" customHeight="1">
      <c r="A5" s="99">
        <v>544342</v>
      </c>
      <c r="B5" s="98" t="s">
        <v>4064</v>
      </c>
      <c r="C5" s="101"/>
      <c r="D5" s="101"/>
      <c r="E5" s="101">
        <f ca="1">IFERROR(__xludf.DUMMYFUNCTION("GOOGLEFINANCE(""BOM:""&amp;A5,""PRICE"")"),116.15)</f>
        <v>116.15</v>
      </c>
      <c r="F5" s="112">
        <f ca="1">IFERROR(__xludf.DUMMYFUNCTION("GOOGLEFINANCE(""BOM:""&amp;A5,""MARKETCAP"")/10000000"),1350.0767264)</f>
        <v>1350.0767264000001</v>
      </c>
      <c r="G5" s="95">
        <f t="shared" ca="1" si="0"/>
        <v>1.9695974303142533E-2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544308</v>
      </c>
      <c r="B6" s="98" t="s">
        <v>4065</v>
      </c>
      <c r="C6" s="101"/>
      <c r="D6" s="101"/>
      <c r="E6" s="101">
        <f ca="1">IFERROR(__xludf.DUMMYFUNCTION("GOOGLEFINANCE(""BOM:""&amp;A6,""PRICE"")"),48.75)</f>
        <v>48.75</v>
      </c>
      <c r="F6" s="112">
        <f ca="1">IFERROR(__xludf.DUMMYFUNCTION("GOOGLEFINANCE(""BOM:""&amp;A6,""MARKETCAP"")/10000000"),64.241775)</f>
        <v>64.241775000000004</v>
      </c>
      <c r="G6" s="95">
        <f t="shared" ca="1" si="0"/>
        <v>9.3720921548082496E-4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507813</v>
      </c>
      <c r="B7" s="98" t="s">
        <v>4066</v>
      </c>
      <c r="C7" s="101"/>
      <c r="D7" s="101"/>
      <c r="E7" s="101">
        <f ca="1">IFERROR(__xludf.DUMMYFUNCTION("GOOGLEFINANCE(""BOM:""&amp;A7,""PRICE"")"),64.99)</f>
        <v>64.989999999999995</v>
      </c>
      <c r="F7" s="112">
        <f ca="1">IFERROR(__xludf.DUMMYFUNCTION("GOOGLEFINANCE(""BOM:""&amp;A7,""MARKETCAP"")/10000000"),32.7704525)</f>
        <v>32.770452499999998</v>
      </c>
      <c r="G7" s="95">
        <f t="shared" ca="1" si="0"/>
        <v>4.7808096956344426E-4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524624</v>
      </c>
      <c r="B8" s="98" t="s">
        <v>4067</v>
      </c>
      <c r="C8" s="101"/>
      <c r="D8" s="101"/>
      <c r="E8" s="101">
        <f ca="1">IFERROR(__xludf.DUMMYFUNCTION("GOOGLEFINANCE(""BOM:""&amp;A8,""PRICE"")"),20.51)</f>
        <v>20.51</v>
      </c>
      <c r="F8" s="112">
        <f ca="1">IFERROR(__xludf.DUMMYFUNCTION("GOOGLEFINANCE(""BOM:""&amp;A8,""MARKETCAP"")/10000000"),9.2674436)</f>
        <v>9.2674436</v>
      </c>
      <c r="G8" s="95">
        <f t="shared" ca="1" si="0"/>
        <v>1.3520070928720122E-4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A9" s="101"/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>
      <c r="A10" s="101"/>
      <c r="B10" s="101"/>
      <c r="C10" s="101"/>
      <c r="D10" s="101"/>
      <c r="E10" s="101"/>
      <c r="F10" s="112">
        <f t="shared" ref="F10:O10" ca="1" si="1">SUM(F2:F8)</f>
        <v>68545.820867800008</v>
      </c>
      <c r="G10" s="95">
        <f t="shared" ca="1" si="1"/>
        <v>0.99999999999999989</v>
      </c>
      <c r="H10" s="101">
        <f t="shared" si="1"/>
        <v>3258</v>
      </c>
      <c r="I10" s="101">
        <f t="shared" si="1"/>
        <v>3557</v>
      </c>
      <c r="J10" s="101">
        <f t="shared" si="1"/>
        <v>607</v>
      </c>
      <c r="K10" s="101">
        <f t="shared" si="1"/>
        <v>461</v>
      </c>
      <c r="L10" s="101">
        <f t="shared" si="1"/>
        <v>1277</v>
      </c>
      <c r="M10" s="101">
        <f t="shared" si="1"/>
        <v>1291</v>
      </c>
      <c r="N10" s="101">
        <f t="shared" si="1"/>
        <v>253</v>
      </c>
      <c r="O10" s="101">
        <f t="shared" si="1"/>
        <v>172</v>
      </c>
      <c r="P10" s="95">
        <f t="shared" ref="P10:Q10" si="2">J10/H10</f>
        <v>0.18631062001227747</v>
      </c>
      <c r="Q10" s="95">
        <f t="shared" si="2"/>
        <v>0.12960359853809389</v>
      </c>
      <c r="R10" s="95">
        <f>P10-Q10</f>
        <v>5.6707021474183578E-2</v>
      </c>
      <c r="S10" s="95">
        <f t="shared" ref="S10:T10" si="3">N10/L10</f>
        <v>0.19812059514487079</v>
      </c>
      <c r="T10" s="95">
        <f t="shared" si="3"/>
        <v>0.13323005422153369</v>
      </c>
      <c r="U10" s="95">
        <f>S10-T10</f>
        <v>6.4890540923337098E-2</v>
      </c>
      <c r="V10" s="95">
        <f>(H10/I10)-1</f>
        <v>-8.4059600787180222E-2</v>
      </c>
      <c r="W10" s="95">
        <f>(J10/K10)-1</f>
        <v>0.31670281995661598</v>
      </c>
      <c r="X10" s="95">
        <f>(L10/M10)-1</f>
        <v>-1.0844306738962084E-2</v>
      </c>
      <c r="Y10" s="95">
        <f>(N10/O10)-1</f>
        <v>0.47093023255813948</v>
      </c>
    </row>
  </sheetData>
  <autoFilter ref="A1:Y8" xr:uid="{00000000-0009-0000-0000-000072000000}"/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outlinePr summaryBelow="0" summaryRight="0"/>
  </sheetPr>
  <dimension ref="A1:Y23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544252</v>
      </c>
      <c r="B2" s="98" t="s">
        <v>81</v>
      </c>
      <c r="C2" s="101" t="str">
        <f>VLOOKUP(A2,'BSE ALL CAP'!$B$4:$Y$1038,2,)</f>
        <v>Financial Services</v>
      </c>
      <c r="D2" s="101" t="str">
        <f>VLOOKUP(A2,'BSE ALL CAP'!$B$4:$Y$1038,3,)</f>
        <v>Housing Finance Company</v>
      </c>
      <c r="E2" s="101">
        <f ca="1">IFERROR(__xludf.DUMMYFUNCTION("GOOGLEFINANCE(""BOM:""&amp;A2,""PRICE"")"),79.55)</f>
        <v>79.55</v>
      </c>
      <c r="F2" s="112">
        <f ca="1">IFERROR(__xludf.DUMMYFUNCTION("GOOGLEFINANCE(""BOM:""&amp;A2,""MARKETCAP"")/10000000"),66246.1703565)</f>
        <v>66246.170356500006</v>
      </c>
      <c r="G2" s="95">
        <f t="shared" ref="G2:G21" ca="1" si="0">F2/$F$23</f>
        <v>0.32276834482288591</v>
      </c>
      <c r="H2" s="101">
        <f>VLOOKUP(A2,'BSE ALL CAP'!$B$4:$Y$1038,7,)</f>
        <v>8259</v>
      </c>
      <c r="I2" s="101">
        <f>VLOOKUP(A2,'BSE ALL CAP'!$B$4:$Y$1038,8,)</f>
        <v>7068</v>
      </c>
      <c r="J2" s="101">
        <f>VLOOKUP(A2,'BSE ALL CAP'!$B$4:$Y$1038,9,)</f>
        <v>1891</v>
      </c>
      <c r="K2" s="101">
        <f>VLOOKUP(A2,'BSE ALL CAP'!$B$4:$Y$1038,10,)</f>
        <v>1576</v>
      </c>
      <c r="L2" s="101">
        <f>VLOOKUP(A2,'BSE ALL CAP'!$B$4:$Y$1038,11,)</f>
        <v>2886</v>
      </c>
      <c r="M2" s="101">
        <f>VLOOKUP(A2,'BSE ALL CAP'!$B$4:$Y$1038,12,)</f>
        <v>2449</v>
      </c>
      <c r="N2" s="101">
        <f>VLOOKUP(A2,'BSE ALL CAP'!$B$4:$Y$1038,13,)</f>
        <v>654</v>
      </c>
      <c r="O2" s="101">
        <f>VLOOKUP(A2,'BSE ALL CAP'!$B$4:$Y$1038,14,)</f>
        <v>548</v>
      </c>
      <c r="P2" s="95">
        <f>VLOOKUP(A2,'BSE ALL CAP'!$B$4:$Y$1038,15,)</f>
        <v>0.22896234410945634</v>
      </c>
      <c r="Q2" s="95">
        <f>VLOOKUP(A2,'BSE ALL CAP'!$B$4:$Y$1038,16,)</f>
        <v>0.22297679683078664</v>
      </c>
      <c r="R2" s="95">
        <f>VLOOKUP(A2,'BSE ALL CAP'!$B$4:$Y$1038,17,)</f>
        <v>5.9855472786697062E-3</v>
      </c>
      <c r="S2" s="95">
        <f>VLOOKUP(A2,'BSE ALL CAP'!$B$4:$Y$1038,18,)</f>
        <v>0.22661122661122662</v>
      </c>
      <c r="T2" s="95">
        <f>VLOOKUP(A2,'BSE ALL CAP'!$B$4:$Y$1038,19,)</f>
        <v>0.22376480195998366</v>
      </c>
      <c r="U2" s="95">
        <f>VLOOKUP(A2,'BSE ALL CAP'!$B$4:$Y$1038,20,)</f>
        <v>2.8464246512429625E-3</v>
      </c>
      <c r="V2" s="95">
        <f>VLOOKUP(A2,'BSE ALL CAP'!$B$4:$Y$1038,21,)</f>
        <v>0.16850594227504234</v>
      </c>
      <c r="W2" s="95">
        <f>VLOOKUP(A2,'BSE ALL CAP'!$B$4:$Y$1038,22,)</f>
        <v>0.19987309644670059</v>
      </c>
      <c r="X2" s="95">
        <f>VLOOKUP(A2,'BSE ALL CAP'!$B$4:$Y$1038,23,)</f>
        <v>0.17844017966516956</v>
      </c>
      <c r="Y2" s="95">
        <f>VLOOKUP(A2,'BSE ALL CAP'!$B$4:$Y$1038,24,)</f>
        <v>0.1934306569343065</v>
      </c>
    </row>
    <row r="3" spans="1:25" ht="15.75" customHeight="1">
      <c r="A3" s="99">
        <v>500253</v>
      </c>
      <c r="B3" s="98" t="s">
        <v>4068</v>
      </c>
      <c r="C3" s="101" t="str">
        <f>VLOOKUP(A3,'BSE ALL CAP'!$B$4:$Y$1038,2,)</f>
        <v>Financial Services</v>
      </c>
      <c r="D3" s="101" t="str">
        <f>VLOOKUP(A3,'BSE ALL CAP'!$B$4:$Y$1038,3,)</f>
        <v>Housing Finance Company</v>
      </c>
      <c r="E3" s="101">
        <f ca="1">IFERROR(__xludf.DUMMYFUNCTION("GOOGLEFINANCE(""BOM:""&amp;A3,""PRICE"")"),516.4)</f>
        <v>516.4</v>
      </c>
      <c r="F3" s="112">
        <f ca="1">IFERROR(__xludf.DUMMYFUNCTION("GOOGLEFINANCE(""BOM:""&amp;A3,""MARKETCAP"")/10000000"),28471.259537)</f>
        <v>28471.259537000002</v>
      </c>
      <c r="G3" s="95">
        <f t="shared" ca="1" si="0"/>
        <v>0.13871928394240557</v>
      </c>
      <c r="H3" s="101">
        <f>VLOOKUP(A3,'BSE ALL CAP'!$B$4:$Y$1038,7,)</f>
        <v>21644</v>
      </c>
      <c r="I3" s="101">
        <f>VLOOKUP(A3,'BSE ALL CAP'!$B$4:$Y$1038,8,)</f>
        <v>20805</v>
      </c>
      <c r="J3" s="101">
        <f>VLOOKUP(A3,'BSE ALL CAP'!$B$4:$Y$1038,9,)</f>
        <v>4112</v>
      </c>
      <c r="K3" s="101">
        <f>VLOOKUP(A3,'BSE ALL CAP'!$B$4:$Y$1038,10,)</f>
        <v>4069</v>
      </c>
      <c r="L3" s="101">
        <f>VLOOKUP(A3,'BSE ALL CAP'!$B$4:$Y$1038,11,)</f>
        <v>7214</v>
      </c>
      <c r="M3" s="101">
        <f>VLOOKUP(A3,'BSE ALL CAP'!$B$4:$Y$1038,12,)</f>
        <v>7070</v>
      </c>
      <c r="N3" s="101">
        <f>VLOOKUP(A3,'BSE ALL CAP'!$B$4:$Y$1038,13,)</f>
        <v>1398</v>
      </c>
      <c r="O3" s="101">
        <f>VLOOKUP(A3,'BSE ALL CAP'!$B$4:$Y$1038,14,)</f>
        <v>1435</v>
      </c>
      <c r="P3" s="95">
        <f>VLOOKUP(A3,'BSE ALL CAP'!$B$4:$Y$1038,15,)</f>
        <v>0.18998336721493256</v>
      </c>
      <c r="Q3" s="95">
        <f>VLOOKUP(A3,'BSE ALL CAP'!$B$4:$Y$1038,16,)</f>
        <v>0.19557798606104301</v>
      </c>
      <c r="R3" s="95">
        <f>VLOOKUP(A3,'BSE ALL CAP'!$B$4:$Y$1038,17,)</f>
        <v>-5.5946188461104551E-3</v>
      </c>
      <c r="S3" s="95">
        <f>VLOOKUP(A3,'BSE ALL CAP'!$B$4:$Y$1038,18,)</f>
        <v>0.19378985306348767</v>
      </c>
      <c r="T3" s="95">
        <f>VLOOKUP(A3,'BSE ALL CAP'!$B$4:$Y$1038,19,)</f>
        <v>0.20297029702970298</v>
      </c>
      <c r="U3" s="95">
        <f>VLOOKUP(A3,'BSE ALL CAP'!$B$4:$Y$1038,20,)</f>
        <v>-9.1804439662153126E-3</v>
      </c>
      <c r="V3" s="95">
        <f>VLOOKUP(A3,'BSE ALL CAP'!$B$4:$Y$1038,21,)</f>
        <v>4.0326844508531634E-2</v>
      </c>
      <c r="W3" s="95">
        <f>VLOOKUP(A3,'BSE ALL CAP'!$B$4:$Y$1038,22,)</f>
        <v>1.05677070533301E-2</v>
      </c>
      <c r="X3" s="95">
        <f>VLOOKUP(A3,'BSE ALL CAP'!$B$4:$Y$1038,23,)</f>
        <v>2.0367751060820449E-2</v>
      </c>
      <c r="Y3" s="95">
        <f>VLOOKUP(A3,'BSE ALL CAP'!$B$4:$Y$1038,24,)</f>
        <v>-2.5783972125435595E-2</v>
      </c>
    </row>
    <row r="4" spans="1:25" ht="15.75" customHeight="1">
      <c r="A4" s="99">
        <v>540173</v>
      </c>
      <c r="B4" s="98" t="s">
        <v>4069</v>
      </c>
      <c r="C4" s="101" t="str">
        <f>VLOOKUP(A4,'BSE ALL CAP'!$B$4:$Y$1038,2,)</f>
        <v>Financial Services</v>
      </c>
      <c r="D4" s="101" t="str">
        <f>VLOOKUP(A4,'BSE ALL CAP'!$B$4:$Y$1038,3,)</f>
        <v>Housing Finance Company</v>
      </c>
      <c r="E4" s="101">
        <f ca="1">IFERROR(__xludf.DUMMYFUNCTION("GOOGLEFINANCE(""BOM:""&amp;A4,""PRICE"")"),813.8)</f>
        <v>813.8</v>
      </c>
      <c r="F4" s="112">
        <f ca="1">IFERROR(__xludf.DUMMYFUNCTION("GOOGLEFINANCE(""BOM:""&amp;A4,""MARKETCAP"")/10000000"),21246.5092955)</f>
        <v>21246.5092955</v>
      </c>
      <c r="G4" s="95">
        <f t="shared" ca="1" si="0"/>
        <v>0.10351844645008561</v>
      </c>
      <c r="H4" s="101">
        <f>VLOOKUP(A4,'BSE ALL CAP'!$B$4:$Y$1038,7,)</f>
        <v>6333</v>
      </c>
      <c r="I4" s="101">
        <f>VLOOKUP(A4,'BSE ALL CAP'!$B$4:$Y$1038,8,)</f>
        <v>5654</v>
      </c>
      <c r="J4" s="101">
        <f>VLOOKUP(A4,'BSE ALL CAP'!$B$4:$Y$1038,9,)</f>
        <v>1635</v>
      </c>
      <c r="K4" s="101">
        <f>VLOOKUP(A4,'BSE ALL CAP'!$B$4:$Y$1038,10,)</f>
        <v>1385</v>
      </c>
      <c r="L4" s="101">
        <f>VLOOKUP(A4,'BSE ALL CAP'!$B$4:$Y$1038,11,)</f>
        <v>2120</v>
      </c>
      <c r="M4" s="101">
        <f>VLOOKUP(A4,'BSE ALL CAP'!$B$4:$Y$1038,12,)</f>
        <v>1943</v>
      </c>
      <c r="N4" s="101">
        <f>VLOOKUP(A4,'BSE ALL CAP'!$B$4:$Y$1038,13,)</f>
        <v>520</v>
      </c>
      <c r="O4" s="101">
        <f>VLOOKUP(A4,'BSE ALL CAP'!$B$4:$Y$1038,14,)</f>
        <v>483</v>
      </c>
      <c r="P4" s="95">
        <f>VLOOKUP(A4,'BSE ALL CAP'!$B$4:$Y$1038,15,)</f>
        <v>0.25817148270961632</v>
      </c>
      <c r="Q4" s="95">
        <f>VLOOKUP(A4,'BSE ALL CAP'!$B$4:$Y$1038,16,)</f>
        <v>0.2449593208348072</v>
      </c>
      <c r="R4" s="95">
        <f>VLOOKUP(A4,'BSE ALL CAP'!$B$4:$Y$1038,17,)</f>
        <v>1.3212161874809114E-2</v>
      </c>
      <c r="S4" s="95">
        <f>VLOOKUP(A4,'BSE ALL CAP'!$B$4:$Y$1038,18,)</f>
        <v>0.24528301886792453</v>
      </c>
      <c r="T4" s="95">
        <f>VLOOKUP(A4,'BSE ALL CAP'!$B$4:$Y$1038,19,)</f>
        <v>0.24858466289243439</v>
      </c>
      <c r="U4" s="95">
        <f>VLOOKUP(A4,'BSE ALL CAP'!$B$4:$Y$1038,20,)</f>
        <v>-3.3016440245098588E-3</v>
      </c>
      <c r="V4" s="95">
        <f>VLOOKUP(A4,'BSE ALL CAP'!$B$4:$Y$1038,21,)</f>
        <v>0.12009197028652285</v>
      </c>
      <c r="W4" s="95">
        <f>VLOOKUP(A4,'BSE ALL CAP'!$B$4:$Y$1038,22,)</f>
        <v>0.18050541516245477</v>
      </c>
      <c r="X4" s="95">
        <f>VLOOKUP(A4,'BSE ALL CAP'!$B$4:$Y$1038,23,)</f>
        <v>9.1096242923314419E-2</v>
      </c>
      <c r="Y4" s="95">
        <f>VLOOKUP(A4,'BSE ALL CAP'!$B$4:$Y$1038,24,)</f>
        <v>7.660455486542439E-2</v>
      </c>
    </row>
    <row r="5" spans="1:25" ht="15.75" customHeight="1">
      <c r="A5" s="99">
        <v>544176</v>
      </c>
      <c r="B5" s="98" t="s">
        <v>4070</v>
      </c>
      <c r="C5" s="101" t="str">
        <f>VLOOKUP(A5,'BSE ALL CAP'!$B$4:$Y$1038,2,)</f>
        <v>Financial Services</v>
      </c>
      <c r="D5" s="101" t="str">
        <f>VLOOKUP(A5,'BSE ALL CAP'!$B$4:$Y$1038,3,)</f>
        <v>Housing Finance Company</v>
      </c>
      <c r="E5" s="101">
        <f ca="1">IFERROR(__xludf.DUMMYFUNCTION("GOOGLEFINANCE(""BOM:""&amp;A5,""PRICE"")"),452.25)</f>
        <v>452.25</v>
      </c>
      <c r="F5" s="112">
        <f ca="1">IFERROR(__xludf.DUMMYFUNCTION("GOOGLEFINANCE(""BOM:""&amp;A5,""MARKETCAP"")/10000000"),19711.235122)</f>
        <v>19711.235121999998</v>
      </c>
      <c r="G5" s="95">
        <f t="shared" ca="1" si="0"/>
        <v>9.6038196630915521E-2</v>
      </c>
      <c r="H5" s="101">
        <f>VLOOKUP(A5,'BSE ALL CAP'!$B$4:$Y$1038,7,)</f>
        <v>2694</v>
      </c>
      <c r="I5" s="101">
        <f>VLOOKUP(A5,'BSE ALL CAP'!$B$4:$Y$1038,8,)</f>
        <v>2275</v>
      </c>
      <c r="J5" s="101">
        <f>VLOOKUP(A5,'BSE ALL CAP'!$B$4:$Y$1038,9,)</f>
        <v>784</v>
      </c>
      <c r="K5" s="101">
        <f>VLOOKUP(A5,'BSE ALL CAP'!$B$4:$Y$1038,10,)</f>
        <v>666</v>
      </c>
      <c r="L5" s="101">
        <f>VLOOKUP(A5,'BSE ALL CAP'!$B$4:$Y$1038,11,)</f>
        <v>943</v>
      </c>
      <c r="M5" s="101">
        <f>VLOOKUP(A5,'BSE ALL CAP'!$B$4:$Y$1038,12,)</f>
        <v>797</v>
      </c>
      <c r="N5" s="101">
        <f>VLOOKUP(A5,'BSE ALL CAP'!$B$4:$Y$1038,13,)</f>
        <v>281</v>
      </c>
      <c r="O5" s="101">
        <f>VLOOKUP(A5,'BSE ALL CAP'!$B$4:$Y$1038,14,)</f>
        <v>239</v>
      </c>
      <c r="P5" s="95">
        <f>VLOOKUP(A5,'BSE ALL CAP'!$B$4:$Y$1038,15,)</f>
        <v>0.29101707498144025</v>
      </c>
      <c r="Q5" s="95">
        <f>VLOOKUP(A5,'BSE ALL CAP'!$B$4:$Y$1038,16,)</f>
        <v>0.29274725274725277</v>
      </c>
      <c r="R5" s="95">
        <f>VLOOKUP(A5,'BSE ALL CAP'!$B$4:$Y$1038,17,)</f>
        <v>-1.7301777658125239E-3</v>
      </c>
      <c r="S5" s="95">
        <f>VLOOKUP(A5,'BSE ALL CAP'!$B$4:$Y$1038,18,)</f>
        <v>0.29798515376458112</v>
      </c>
      <c r="T5" s="95">
        <f>VLOOKUP(A5,'BSE ALL CAP'!$B$4:$Y$1038,19,)</f>
        <v>0.29987452948557092</v>
      </c>
      <c r="U5" s="95">
        <f>VLOOKUP(A5,'BSE ALL CAP'!$B$4:$Y$1038,20,)</f>
        <v>-1.8893757209897943E-3</v>
      </c>
      <c r="V5" s="95">
        <f>VLOOKUP(A5,'BSE ALL CAP'!$B$4:$Y$1038,21,)</f>
        <v>0.18417582417582423</v>
      </c>
      <c r="W5" s="95">
        <f>VLOOKUP(A5,'BSE ALL CAP'!$B$4:$Y$1038,22,)</f>
        <v>0.17717717717717707</v>
      </c>
      <c r="X5" s="95">
        <f>VLOOKUP(A5,'BSE ALL CAP'!$B$4:$Y$1038,23,)</f>
        <v>0.1831869510664994</v>
      </c>
      <c r="Y5" s="95">
        <f>VLOOKUP(A5,'BSE ALL CAP'!$B$4:$Y$1038,24,)</f>
        <v>0.17573221757322166</v>
      </c>
    </row>
    <row r="6" spans="1:25" ht="15.75" customHeight="1">
      <c r="A6" s="99">
        <v>543335</v>
      </c>
      <c r="B6" s="98" t="s">
        <v>4071</v>
      </c>
      <c r="C6" s="101" t="str">
        <f>VLOOKUP(A6,'BSE ALL CAP'!$B$4:$Y$1038,2,)</f>
        <v>Financial Services</v>
      </c>
      <c r="D6" s="101" t="str">
        <f>VLOOKUP(A6,'BSE ALL CAP'!$B$4:$Y$1038,3,)</f>
        <v>Housing Finance Company</v>
      </c>
      <c r="E6" s="101">
        <f ca="1">IFERROR(__xludf.DUMMYFUNCTION("GOOGLEFINANCE(""BOM:""&amp;A6,""PRICE"")"),198.3)</f>
        <v>198.3</v>
      </c>
      <c r="F6" s="112">
        <f ca="1">IFERROR(__xludf.DUMMYFUNCTION("GOOGLEFINANCE(""BOM:""&amp;A6,""MARKETCAP"")/10000000"),9915.2059276)</f>
        <v>9915.2059276</v>
      </c>
      <c r="G6" s="95">
        <f t="shared" ca="1" si="0"/>
        <v>4.8309428131576626E-2</v>
      </c>
      <c r="H6" s="101">
        <f>VLOOKUP(A6,'BSE ALL CAP'!$B$4:$Y$1038,7,)</f>
        <v>1652</v>
      </c>
      <c r="I6" s="101">
        <f>VLOOKUP(A6,'BSE ALL CAP'!$B$4:$Y$1038,8,)</f>
        <v>1304</v>
      </c>
      <c r="J6" s="101">
        <f>VLOOKUP(A6,'BSE ALL CAP'!$B$4:$Y$1038,9,)</f>
        <v>681</v>
      </c>
      <c r="K6" s="101">
        <f>VLOOKUP(A6,'BSE ALL CAP'!$B$4:$Y$1038,10,)</f>
        <v>544</v>
      </c>
      <c r="L6" s="101">
        <f>VLOOKUP(A6,'BSE ALL CAP'!$B$4:$Y$1038,11,)</f>
        <v>568</v>
      </c>
      <c r="M6" s="101">
        <f>VLOOKUP(A6,'BSE ALL CAP'!$B$4:$Y$1038,12,)</f>
        <v>464</v>
      </c>
      <c r="N6" s="101">
        <f>VLOOKUP(A6,'BSE ALL CAP'!$B$4:$Y$1038,13,)</f>
        <v>236</v>
      </c>
      <c r="O6" s="101">
        <f>VLOOKUP(A6,'BSE ALL CAP'!$B$4:$Y$1038,14,)</f>
        <v>190</v>
      </c>
      <c r="P6" s="95">
        <f>VLOOKUP(A6,'BSE ALL CAP'!$B$4:$Y$1038,15,)</f>
        <v>0.41222760290556903</v>
      </c>
      <c r="Q6" s="95">
        <f>VLOOKUP(A6,'BSE ALL CAP'!$B$4:$Y$1038,16,)</f>
        <v>0.41717791411042943</v>
      </c>
      <c r="R6" s="95">
        <f>VLOOKUP(A6,'BSE ALL CAP'!$B$4:$Y$1038,17,)</f>
        <v>-4.9503112048603914E-3</v>
      </c>
      <c r="S6" s="95">
        <f>VLOOKUP(A6,'BSE ALL CAP'!$B$4:$Y$1038,18,)</f>
        <v>0.41549295774647887</v>
      </c>
      <c r="T6" s="95">
        <f>VLOOKUP(A6,'BSE ALL CAP'!$B$4:$Y$1038,19,)</f>
        <v>0.40948275862068967</v>
      </c>
      <c r="U6" s="95">
        <f>VLOOKUP(A6,'BSE ALL CAP'!$B$4:$Y$1038,20,)</f>
        <v>6.0101991257892062E-3</v>
      </c>
      <c r="V6" s="95">
        <f>VLOOKUP(A6,'BSE ALL CAP'!$B$4:$Y$1038,21,)</f>
        <v>0.26687116564417179</v>
      </c>
      <c r="W6" s="95">
        <f>VLOOKUP(A6,'BSE ALL CAP'!$B$4:$Y$1038,22,)</f>
        <v>0.25183823529411775</v>
      </c>
      <c r="X6" s="95">
        <f>VLOOKUP(A6,'BSE ALL CAP'!$B$4:$Y$1038,23,)</f>
        <v>0.22413793103448265</v>
      </c>
      <c r="Y6" s="95">
        <f>VLOOKUP(A6,'BSE ALL CAP'!$B$4:$Y$1038,24,)</f>
        <v>0.24210526315789482</v>
      </c>
    </row>
    <row r="7" spans="1:25" ht="15.75" customHeight="1">
      <c r="A7" s="99">
        <v>511196</v>
      </c>
      <c r="B7" s="98" t="s">
        <v>4072</v>
      </c>
      <c r="C7" s="101" t="str">
        <f>VLOOKUP(A7,'BSE ALL CAP'!$B$4:$Y$1038,2,)</f>
        <v>Financial Services</v>
      </c>
      <c r="D7" s="101" t="str">
        <f>VLOOKUP(A7,'BSE ALL CAP'!$B$4:$Y$1038,3,)</f>
        <v>Housing Finance Company</v>
      </c>
      <c r="E7" s="101">
        <f ca="1">IFERROR(__xludf.DUMMYFUNCTION("GOOGLEFINANCE(""BOM:""&amp;A7,""PRICE"")"),809.5)</f>
        <v>809.5</v>
      </c>
      <c r="F7" s="112">
        <f ca="1">IFERROR(__xludf.DUMMYFUNCTION("GOOGLEFINANCE(""BOM:""&amp;A7,""MARKETCAP"")/10000000"),10781.29337)</f>
        <v>10781.293369999999</v>
      </c>
      <c r="G7" s="95">
        <f t="shared" ca="1" si="0"/>
        <v>5.2529228442311199E-2</v>
      </c>
      <c r="H7" s="101">
        <f>VLOOKUP(A7,'BSE ALL CAP'!$B$4:$Y$1038,7,)</f>
        <v>3143</v>
      </c>
      <c r="I7" s="101">
        <f>VLOOKUP(A7,'BSE ALL CAP'!$B$4:$Y$1038,8,)</f>
        <v>2879</v>
      </c>
      <c r="J7" s="101">
        <f>VLOOKUP(A7,'BSE ALL CAP'!$B$4:$Y$1038,9,)</f>
        <v>740</v>
      </c>
      <c r="K7" s="101">
        <f>VLOOKUP(A7,'BSE ALL CAP'!$B$4:$Y$1038,10,)</f>
        <v>623</v>
      </c>
      <c r="L7" s="101">
        <f>VLOOKUP(A7,'BSE ALL CAP'!$B$4:$Y$1038,11,)</f>
        <v>1073</v>
      </c>
      <c r="M7" s="101">
        <f>VLOOKUP(A7,'BSE ALL CAP'!$B$4:$Y$1038,12,)</f>
        <v>986</v>
      </c>
      <c r="N7" s="101">
        <f>VLOOKUP(A7,'BSE ALL CAP'!$B$4:$Y$1038,13,)</f>
        <v>264</v>
      </c>
      <c r="O7" s="101">
        <f>VLOOKUP(A7,'BSE ALL CAP'!$B$4:$Y$1038,14,)</f>
        <v>212</v>
      </c>
      <c r="P7" s="95">
        <f>VLOOKUP(A7,'BSE ALL CAP'!$B$4:$Y$1038,15,)</f>
        <v>0.23544384346166083</v>
      </c>
      <c r="Q7" s="95">
        <f>VLOOKUP(A7,'BSE ALL CAP'!$B$4:$Y$1038,16,)</f>
        <v>0.21639458145189303</v>
      </c>
      <c r="R7" s="95">
        <f>VLOOKUP(A7,'BSE ALL CAP'!$B$4:$Y$1038,17,)</f>
        <v>1.9049262009767809E-2</v>
      </c>
      <c r="S7" s="95">
        <f>VLOOKUP(A7,'BSE ALL CAP'!$B$4:$Y$1038,18,)</f>
        <v>0.24603914259086673</v>
      </c>
      <c r="T7" s="95">
        <f>VLOOKUP(A7,'BSE ALL CAP'!$B$4:$Y$1038,19,)</f>
        <v>0.21501014198782961</v>
      </c>
      <c r="U7" s="95">
        <f>VLOOKUP(A7,'BSE ALL CAP'!$B$4:$Y$1038,20,)</f>
        <v>3.1029000603037121E-2</v>
      </c>
      <c r="V7" s="95">
        <f>VLOOKUP(A7,'BSE ALL CAP'!$B$4:$Y$1038,21,)</f>
        <v>9.1698506425842208E-2</v>
      </c>
      <c r="W7" s="95">
        <f>VLOOKUP(A7,'BSE ALL CAP'!$B$4:$Y$1038,22,)</f>
        <v>0.187800963081862</v>
      </c>
      <c r="X7" s="95">
        <f>VLOOKUP(A7,'BSE ALL CAP'!$B$4:$Y$1038,23,)</f>
        <v>8.8235294117646967E-2</v>
      </c>
      <c r="Y7" s="95">
        <f>VLOOKUP(A7,'BSE ALL CAP'!$B$4:$Y$1038,24,)</f>
        <v>0.24528301886792447</v>
      </c>
    </row>
    <row r="8" spans="1:25" ht="15.75" customHeight="1">
      <c r="A8" s="99">
        <v>543259</v>
      </c>
      <c r="B8" s="98" t="s">
        <v>4073</v>
      </c>
      <c r="C8" s="101" t="str">
        <f>VLOOKUP(A8,'BSE ALL CAP'!$B$4:$Y$1038,2,)</f>
        <v>Financial Services</v>
      </c>
      <c r="D8" s="101" t="str">
        <f>VLOOKUP(A8,'BSE ALL CAP'!$B$4:$Y$1038,3,)</f>
        <v>Housing Finance Company</v>
      </c>
      <c r="E8" s="101">
        <f ca="1">IFERROR(__xludf.DUMMYFUNCTION("GOOGLEFINANCE(""BOM:""&amp;A8,""PRICE"")"),977.8)</f>
        <v>977.8</v>
      </c>
      <c r="F8" s="112">
        <f ca="1">IFERROR(__xludf.DUMMYFUNCTION("GOOGLEFINANCE(""BOM:""&amp;A8,""MARKETCAP"")/10000000"),10197.0092007)</f>
        <v>10197.0092007</v>
      </c>
      <c r="G8" s="95">
        <f t="shared" ca="1" si="0"/>
        <v>4.9682446006190026E-2</v>
      </c>
      <c r="H8" s="101">
        <f>VLOOKUP(A8,'BSE ALL CAP'!$B$4:$Y$1038,7,)</f>
        <v>1417</v>
      </c>
      <c r="I8" s="101">
        <f>VLOOKUP(A8,'BSE ALL CAP'!$B$4:$Y$1038,8,)</f>
        <v>1123</v>
      </c>
      <c r="J8" s="101">
        <f>VLOOKUP(A8,'BSE ALL CAP'!$B$4:$Y$1038,9,)</f>
        <v>390</v>
      </c>
      <c r="K8" s="101">
        <f>VLOOKUP(A8,'BSE ALL CAP'!$B$4:$Y$1038,10,)</f>
        <v>277</v>
      </c>
      <c r="L8" s="101">
        <f>VLOOKUP(A8,'BSE ALL CAP'!$B$4:$Y$1038,11,)</f>
        <v>483</v>
      </c>
      <c r="M8" s="101">
        <f>VLOOKUP(A8,'BSE ALL CAP'!$B$4:$Y$1038,12,)</f>
        <v>407</v>
      </c>
      <c r="N8" s="101">
        <f>VLOOKUP(A8,'BSE ALL CAP'!$B$4:$Y$1038,13,)</f>
        <v>140</v>
      </c>
      <c r="O8" s="101">
        <f>VLOOKUP(A8,'BSE ALL CAP'!$B$4:$Y$1038,14,)</f>
        <v>97</v>
      </c>
      <c r="P8" s="95">
        <f>VLOOKUP(A8,'BSE ALL CAP'!$B$4:$Y$1038,15,)</f>
        <v>0.27522935779816515</v>
      </c>
      <c r="Q8" s="95">
        <f>VLOOKUP(A8,'BSE ALL CAP'!$B$4:$Y$1038,16,)</f>
        <v>0.24666073018699911</v>
      </c>
      <c r="R8" s="95">
        <f>VLOOKUP(A8,'BSE ALL CAP'!$B$4:$Y$1038,17,)</f>
        <v>2.8568627611166048E-2</v>
      </c>
      <c r="S8" s="95">
        <f>VLOOKUP(A8,'BSE ALL CAP'!$B$4:$Y$1038,18,)</f>
        <v>0.28985507246376813</v>
      </c>
      <c r="T8" s="95">
        <f>VLOOKUP(A8,'BSE ALL CAP'!$B$4:$Y$1038,19,)</f>
        <v>0.23832923832923833</v>
      </c>
      <c r="U8" s="95">
        <f>VLOOKUP(A8,'BSE ALL CAP'!$B$4:$Y$1038,20,)</f>
        <v>5.1525834134529797E-2</v>
      </c>
      <c r="V8" s="95">
        <f>VLOOKUP(A8,'BSE ALL CAP'!$B$4:$Y$1038,21,)</f>
        <v>0.26179875333926983</v>
      </c>
      <c r="W8" s="95">
        <f>VLOOKUP(A8,'BSE ALL CAP'!$B$4:$Y$1038,22,)</f>
        <v>0.40794223826714804</v>
      </c>
      <c r="X8" s="95">
        <f>VLOOKUP(A8,'BSE ALL CAP'!$B$4:$Y$1038,23,)</f>
        <v>0.18673218673218672</v>
      </c>
      <c r="Y8" s="95">
        <f>VLOOKUP(A8,'BSE ALL CAP'!$B$4:$Y$1038,24,)</f>
        <v>0.44329896907216493</v>
      </c>
    </row>
    <row r="9" spans="1:25" ht="15.75" customHeight="1">
      <c r="A9" s="99">
        <v>535789</v>
      </c>
      <c r="B9" s="98" t="s">
        <v>4074</v>
      </c>
      <c r="C9" s="101" t="str">
        <f>VLOOKUP(A9,'BSE ALL CAP'!$B$4:$Y$1038,2,)</f>
        <v>Financial Services</v>
      </c>
      <c r="D9" s="101" t="str">
        <f>VLOOKUP(A9,'BSE ALL CAP'!$B$4:$Y$1038,3,)</f>
        <v>Housing Finance Company</v>
      </c>
      <c r="E9" s="101">
        <f ca="1">IFERROR(__xludf.DUMMYFUNCTION("GOOGLEFINANCE(""BOM:""&amp;A9,""PRICE"")"),148.15)</f>
        <v>148.15</v>
      </c>
      <c r="F9" s="112">
        <f ca="1">IFERROR(__xludf.DUMMYFUNCTION("GOOGLEFINANCE(""BOM:""&amp;A9,""MARKETCAP"")/10000000"),16793.46)</f>
        <v>16793.46</v>
      </c>
      <c r="G9" s="95">
        <f t="shared" ca="1" si="0"/>
        <v>8.1822047355790989E-2</v>
      </c>
      <c r="H9" s="101">
        <f>VLOOKUP(A9,'BSE ALL CAP'!$B$4:$Y$1038,7,)</f>
        <v>6828</v>
      </c>
      <c r="I9" s="101">
        <f>VLOOKUP(A9,'BSE ALL CAP'!$B$4:$Y$1038,8,)</f>
        <v>6551</v>
      </c>
      <c r="J9" s="101">
        <f>VLOOKUP(A9,'BSE ALL CAP'!$B$4:$Y$1038,9,)</f>
        <v>957</v>
      </c>
      <c r="K9" s="101">
        <f>VLOOKUP(A9,'BSE ALL CAP'!$B$4:$Y$1038,10,)</f>
        <v>-2131</v>
      </c>
      <c r="L9" s="101">
        <f>VLOOKUP(A9,'BSE ALL CAP'!$B$4:$Y$1038,11,)</f>
        <v>2158</v>
      </c>
      <c r="M9" s="101">
        <f>VLOOKUP(A9,'BSE ALL CAP'!$B$4:$Y$1038,12,)</f>
        <v>2019</v>
      </c>
      <c r="N9" s="101">
        <f>VLOOKUP(A9,'BSE ALL CAP'!$B$4:$Y$1038,13,)</f>
        <v>314</v>
      </c>
      <c r="O9" s="101">
        <f>VLOOKUP(A9,'BSE ALL CAP'!$B$4:$Y$1038,14,)</f>
        <v>302</v>
      </c>
      <c r="P9" s="95">
        <f>VLOOKUP(A9,'BSE ALL CAP'!$B$4:$Y$1038,15,)</f>
        <v>0.14015817223198593</v>
      </c>
      <c r="Q9" s="95">
        <f>VLOOKUP(A9,'BSE ALL CAP'!$B$4:$Y$1038,16,)</f>
        <v>-0.32529384826744007</v>
      </c>
      <c r="R9" s="95">
        <f>VLOOKUP(A9,'BSE ALL CAP'!$B$4:$Y$1038,17,)</f>
        <v>0.46545202049942602</v>
      </c>
      <c r="S9" s="95">
        <f>VLOOKUP(A9,'BSE ALL CAP'!$B$4:$Y$1038,18,)</f>
        <v>0.14550509731232622</v>
      </c>
      <c r="T9" s="95">
        <f>VLOOKUP(A9,'BSE ALL CAP'!$B$4:$Y$1038,19,)</f>
        <v>0.1495789995047053</v>
      </c>
      <c r="U9" s="95">
        <f>VLOOKUP(A9,'BSE ALL CAP'!$B$4:$Y$1038,20,)</f>
        <v>-4.0739021923790752E-3</v>
      </c>
      <c r="V9" s="95">
        <f>VLOOKUP(A9,'BSE ALL CAP'!$B$4:$Y$1038,21,)</f>
        <v>4.2283620821248702E-2</v>
      </c>
      <c r="W9" s="95">
        <f>VLOOKUP(A9,'BSE ALL CAP'!$B$4:$Y$1038,22,)</f>
        <v>-1.4490849366494603</v>
      </c>
      <c r="X9" s="95">
        <f>VLOOKUP(A9,'BSE ALL CAP'!$B$4:$Y$1038,23,)</f>
        <v>6.8845963348192152E-2</v>
      </c>
      <c r="Y9" s="95">
        <f>VLOOKUP(A9,'BSE ALL CAP'!$B$4:$Y$1038,24,)</f>
        <v>3.9735099337748325E-2</v>
      </c>
    </row>
    <row r="10" spans="1:25" ht="15.75" customHeight="1">
      <c r="A10" s="99">
        <v>541988</v>
      </c>
      <c r="B10" s="98" t="s">
        <v>4075</v>
      </c>
      <c r="C10" s="101" t="str">
        <f>VLOOKUP(A10,'BSE ALL CAP'!$B$4:$Y$1038,2,)</f>
        <v>Financial Services</v>
      </c>
      <c r="D10" s="101" t="str">
        <f>VLOOKUP(A10,'BSE ALL CAP'!$B$4:$Y$1038,3,)</f>
        <v>Housing Finance Company</v>
      </c>
      <c r="E10" s="101">
        <f ca="1">IFERROR(__xludf.DUMMYFUNCTION("GOOGLEFINANCE(""BOM:""&amp;A10,""PRICE"")"),1152.7)</f>
        <v>1152.7</v>
      </c>
      <c r="F10" s="112">
        <f ca="1">IFERROR(__xludf.DUMMYFUNCTION("GOOGLEFINANCE(""BOM:""&amp;A10,""MARKETCAP"")/10000000"),9130.9927786)</f>
        <v>9130.9927786000007</v>
      </c>
      <c r="G10" s="95">
        <f t="shared" ca="1" si="0"/>
        <v>4.4488540392271451E-2</v>
      </c>
      <c r="H10" s="101">
        <f>VLOOKUP(A10,'BSE ALL CAP'!$B$4:$Y$1038,7,)</f>
        <v>1970</v>
      </c>
      <c r="I10" s="101">
        <f>VLOOKUP(A10,'BSE ALL CAP'!$B$4:$Y$1038,8,)</f>
        <v>1720</v>
      </c>
      <c r="J10" s="101">
        <f>VLOOKUP(A10,'BSE ALL CAP'!$B$4:$Y$1038,9,)</f>
        <v>473</v>
      </c>
      <c r="K10" s="101">
        <f>VLOOKUP(A10,'BSE ALL CAP'!$B$4:$Y$1038,10,)</f>
        <v>420</v>
      </c>
      <c r="L10" s="101">
        <f>VLOOKUP(A10,'BSE ALL CAP'!$B$4:$Y$1038,11,)</f>
        <v>674</v>
      </c>
      <c r="M10" s="101">
        <f>VLOOKUP(A10,'BSE ALL CAP'!$B$4:$Y$1038,12,)</f>
        <v>597</v>
      </c>
      <c r="N10" s="101">
        <f>VLOOKUP(A10,'BSE ALL CAP'!$B$4:$Y$1038,13,)</f>
        <v>170</v>
      </c>
      <c r="O10" s="101">
        <f>VLOOKUP(A10,'BSE ALL CAP'!$B$4:$Y$1038,14,)</f>
        <v>146</v>
      </c>
      <c r="P10" s="95">
        <f>VLOOKUP(A10,'BSE ALL CAP'!$B$4:$Y$1038,15,)</f>
        <v>0.24010152284263958</v>
      </c>
      <c r="Q10" s="95">
        <f>VLOOKUP(A10,'BSE ALL CAP'!$B$4:$Y$1038,16,)</f>
        <v>0.2441860465116279</v>
      </c>
      <c r="R10" s="95">
        <f>VLOOKUP(A10,'BSE ALL CAP'!$B$4:$Y$1038,17,)</f>
        <v>-4.0845236689883158E-3</v>
      </c>
      <c r="S10" s="95">
        <f>VLOOKUP(A10,'BSE ALL CAP'!$B$4:$Y$1038,18,)</f>
        <v>0.25222551928783382</v>
      </c>
      <c r="T10" s="95">
        <f>VLOOKUP(A10,'BSE ALL CAP'!$B$4:$Y$1038,19,)</f>
        <v>0.24455611390284757</v>
      </c>
      <c r="U10" s="95">
        <f>VLOOKUP(A10,'BSE ALL CAP'!$B$4:$Y$1038,20,)</f>
        <v>7.6694053849862553E-3</v>
      </c>
      <c r="V10" s="95">
        <f>VLOOKUP(A10,'BSE ALL CAP'!$B$4:$Y$1038,21,)</f>
        <v>0.14534883720930236</v>
      </c>
      <c r="W10" s="95">
        <f>VLOOKUP(A10,'BSE ALL CAP'!$B$4:$Y$1038,22,)</f>
        <v>0.12619047619047619</v>
      </c>
      <c r="X10" s="95">
        <f>VLOOKUP(A10,'BSE ALL CAP'!$B$4:$Y$1038,23,)</f>
        <v>0.12897822445561147</v>
      </c>
      <c r="Y10" s="95">
        <f>VLOOKUP(A10,'BSE ALL CAP'!$B$4:$Y$1038,24,)</f>
        <v>0.16438356164383561</v>
      </c>
    </row>
    <row r="11" spans="1:25" ht="15.75" customHeight="1">
      <c r="A11" s="99">
        <v>544044</v>
      </c>
      <c r="B11" s="98" t="s">
        <v>4076</v>
      </c>
      <c r="C11" s="101" t="str">
        <f>VLOOKUP(A11,'BSE ALL CAP'!$B$4:$Y$1038,2,)</f>
        <v>Financial Services</v>
      </c>
      <c r="D11" s="101" t="str">
        <f>VLOOKUP(A11,'BSE ALL CAP'!$B$4:$Y$1038,3,)</f>
        <v>Housing Finance Company</v>
      </c>
      <c r="E11" s="101">
        <f ca="1">IFERROR(__xludf.DUMMYFUNCTION("GOOGLEFINANCE(""BOM:""&amp;A11,""PRICE"")"),778.7)</f>
        <v>778.7</v>
      </c>
      <c r="F11" s="112">
        <f ca="1">IFERROR(__xludf.DUMMYFUNCTION("GOOGLEFINANCE(""BOM:""&amp;A11,""MARKETCAP"")/10000000"),8488.0494607)</f>
        <v>8488.0494607000001</v>
      </c>
      <c r="G11" s="95">
        <f t="shared" ca="1" si="0"/>
        <v>4.1355955528621952E-2</v>
      </c>
      <c r="H11" s="101">
        <f>VLOOKUP(A11,'BSE ALL CAP'!$B$4:$Y$1038,7,)</f>
        <v>1120</v>
      </c>
      <c r="I11" s="101">
        <f>VLOOKUP(A11,'BSE ALL CAP'!$B$4:$Y$1038,8,)</f>
        <v>848</v>
      </c>
      <c r="J11" s="101">
        <f>VLOOKUP(A11,'BSE ALL CAP'!$B$4:$Y$1038,9,)</f>
        <v>365</v>
      </c>
      <c r="K11" s="101">
        <f>VLOOKUP(A11,'BSE ALL CAP'!$B$4:$Y$1038,10,)</f>
        <v>269</v>
      </c>
      <c r="L11" s="101">
        <f>VLOOKUP(A11,'BSE ALL CAP'!$B$4:$Y$1038,11,)</f>
        <v>310</v>
      </c>
      <c r="M11" s="101">
        <f>VLOOKUP(A11,'BSE ALL CAP'!$B$4:$Y$1038,12,)</f>
        <v>240</v>
      </c>
      <c r="N11" s="101">
        <f>VLOOKUP(A11,'BSE ALL CAP'!$B$4:$Y$1038,13,)</f>
        <v>124</v>
      </c>
      <c r="O11" s="101">
        <f>VLOOKUP(A11,'BSE ALL CAP'!$B$4:$Y$1038,14,)</f>
        <v>96</v>
      </c>
      <c r="P11" s="95">
        <f>VLOOKUP(A11,'BSE ALL CAP'!$B$4:$Y$1038,15,)</f>
        <v>0.32589285714285715</v>
      </c>
      <c r="Q11" s="95">
        <f>VLOOKUP(A11,'BSE ALL CAP'!$B$4:$Y$1038,16,)</f>
        <v>0.31721698113207547</v>
      </c>
      <c r="R11" s="95">
        <f>VLOOKUP(A11,'BSE ALL CAP'!$B$4:$Y$1038,17,)</f>
        <v>8.6758760107816801E-3</v>
      </c>
      <c r="S11" s="95">
        <f>VLOOKUP(A11,'BSE ALL CAP'!$B$4:$Y$1038,18,)</f>
        <v>0.4</v>
      </c>
      <c r="T11" s="95">
        <f>VLOOKUP(A11,'BSE ALL CAP'!$B$4:$Y$1038,19,)</f>
        <v>0.4</v>
      </c>
      <c r="U11" s="95">
        <f>VLOOKUP(A11,'BSE ALL CAP'!$B$4:$Y$1038,20,)</f>
        <v>0</v>
      </c>
      <c r="V11" s="95">
        <f>VLOOKUP(A11,'BSE ALL CAP'!$B$4:$Y$1038,21,)</f>
        <v>0.320754716981132</v>
      </c>
      <c r="W11" s="95">
        <f>VLOOKUP(A11,'BSE ALL CAP'!$B$4:$Y$1038,22,)</f>
        <v>0.35687732342007439</v>
      </c>
      <c r="X11" s="95">
        <f>VLOOKUP(A11,'BSE ALL CAP'!$B$4:$Y$1038,23,)</f>
        <v>0.29166666666666674</v>
      </c>
      <c r="Y11" s="95">
        <f>VLOOKUP(A11,'BSE ALL CAP'!$B$4:$Y$1038,24,)</f>
        <v>0.29166666666666674</v>
      </c>
    </row>
    <row r="12" spans="1:25" ht="15.75" customHeight="1">
      <c r="A12" s="99">
        <v>535322</v>
      </c>
      <c r="B12" s="98" t="s">
        <v>4077</v>
      </c>
      <c r="C12" s="101" t="str">
        <f>VLOOKUP(A12,'BSE ALL CAP'!$B$4:$Y$1038,2,)</f>
        <v>Financial Services</v>
      </c>
      <c r="D12" s="101" t="str">
        <f>VLOOKUP(A12,'BSE ALL CAP'!$B$4:$Y$1038,3,)</f>
        <v>Housing Finance Company</v>
      </c>
      <c r="E12" s="101">
        <f ca="1">IFERROR(__xludf.DUMMYFUNCTION("GOOGLEFINANCE(""BOM:""&amp;A12,""PRICE"")"),364.55)</f>
        <v>364.55</v>
      </c>
      <c r="F12" s="112">
        <f ca="1">IFERROR(__xludf.DUMMYFUNCTION("GOOGLEFINANCE(""BOM:""&amp;A12,""MARKETCAP"")/10000000"),2291.9354617)</f>
        <v>2291.9354616999999</v>
      </c>
      <c r="G12" s="95">
        <f t="shared" ca="1" si="0"/>
        <v>1.1166897821153836E-2</v>
      </c>
      <c r="H12" s="101">
        <f>VLOOKUP(A12,'BSE ALL CAP'!$B$4:$Y$1038,7,)</f>
        <v>1340</v>
      </c>
      <c r="I12" s="101">
        <f>VLOOKUP(A12,'BSE ALL CAP'!$B$4:$Y$1038,8,)</f>
        <v>1286</v>
      </c>
      <c r="J12" s="101">
        <f>VLOOKUP(A12,'BSE ALL CAP'!$B$4:$Y$1038,9,)</f>
        <v>320</v>
      </c>
      <c r="K12" s="101">
        <f>VLOOKUP(A12,'BSE ALL CAP'!$B$4:$Y$1038,10,)</f>
        <v>321</v>
      </c>
      <c r="L12" s="101">
        <f>VLOOKUP(A12,'BSE ALL CAP'!$B$4:$Y$1038,11,)</f>
        <v>457</v>
      </c>
      <c r="M12" s="101">
        <f>VLOOKUP(A12,'BSE ALL CAP'!$B$4:$Y$1038,12,)</f>
        <v>445</v>
      </c>
      <c r="N12" s="101">
        <f>VLOOKUP(A12,'BSE ALL CAP'!$B$4:$Y$1038,13,)</f>
        <v>109</v>
      </c>
      <c r="O12" s="101">
        <f>VLOOKUP(A12,'BSE ALL CAP'!$B$4:$Y$1038,14,)</f>
        <v>107</v>
      </c>
      <c r="P12" s="95">
        <f>VLOOKUP(A12,'BSE ALL CAP'!$B$4:$Y$1038,15,)</f>
        <v>0.23880597014925373</v>
      </c>
      <c r="Q12" s="95">
        <f>VLOOKUP(A12,'BSE ALL CAP'!$B$4:$Y$1038,16,)</f>
        <v>0.24961119751166408</v>
      </c>
      <c r="R12" s="95">
        <f>VLOOKUP(A12,'BSE ALL CAP'!$B$4:$Y$1038,17,)</f>
        <v>-1.0805227362410352E-2</v>
      </c>
      <c r="S12" s="95">
        <f>VLOOKUP(A12,'BSE ALL CAP'!$B$4:$Y$1038,18,)</f>
        <v>0.23851203501094093</v>
      </c>
      <c r="T12" s="95">
        <f>VLOOKUP(A12,'BSE ALL CAP'!$B$4:$Y$1038,19,)</f>
        <v>0.24044943820224718</v>
      </c>
      <c r="U12" s="95">
        <f>VLOOKUP(A12,'BSE ALL CAP'!$B$4:$Y$1038,20,)</f>
        <v>-1.9374031913062528E-3</v>
      </c>
      <c r="V12" s="95">
        <f>VLOOKUP(A12,'BSE ALL CAP'!$B$4:$Y$1038,21,)</f>
        <v>4.1990668740280013E-2</v>
      </c>
      <c r="W12" s="95">
        <f>VLOOKUP(A12,'BSE ALL CAP'!$B$4:$Y$1038,22,)</f>
        <v>-3.1152647975077885E-3</v>
      </c>
      <c r="X12" s="95">
        <f>VLOOKUP(A12,'BSE ALL CAP'!$B$4:$Y$1038,23,)</f>
        <v>2.6966292134831482E-2</v>
      </c>
      <c r="Y12" s="95">
        <f>VLOOKUP(A12,'BSE ALL CAP'!$B$4:$Y$1038,24,)</f>
        <v>1.8691588785046731E-2</v>
      </c>
    </row>
    <row r="13" spans="1:25" ht="15.75" customHeight="1">
      <c r="A13" s="99">
        <v>511676</v>
      </c>
      <c r="B13" s="98" t="s">
        <v>4078</v>
      </c>
      <c r="C13" s="101"/>
      <c r="D13" s="101"/>
      <c r="E13" s="101">
        <f ca="1">IFERROR(__xludf.DUMMYFUNCTION("GOOGLEFINANCE(""BOM:""&amp;A13,""PRICE"")"),144.15)</f>
        <v>144.15</v>
      </c>
      <c r="F13" s="112">
        <f ca="1">IFERROR(__xludf.DUMMYFUNCTION("GOOGLEFINANCE(""BOM:""&amp;A13,""MARKETCAP"")/10000000"),778.2555421)</f>
        <v>778.25554209999996</v>
      </c>
      <c r="G13" s="95">
        <f t="shared" ca="1" si="0"/>
        <v>3.7918607493996467E-3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530979</v>
      </c>
      <c r="B14" s="98" t="s">
        <v>4079</v>
      </c>
      <c r="C14" s="101"/>
      <c r="D14" s="101"/>
      <c r="E14" s="101">
        <f ca="1">IFERROR(__xludf.DUMMYFUNCTION("GOOGLEFINANCE(""BOM:""&amp;A14,""PRICE"")"),29.72)</f>
        <v>29.72</v>
      </c>
      <c r="F14" s="112">
        <f ca="1">IFERROR(__xludf.DUMMYFUNCTION("GOOGLEFINANCE(""BOM:""&amp;A14,""MARKETCAP"")/10000000"),563.2844583)</f>
        <v>563.28445829999998</v>
      </c>
      <c r="G14" s="95">
        <f t="shared" ca="1" si="0"/>
        <v>2.7444664543104088E-3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534680</v>
      </c>
      <c r="B15" s="98" t="s">
        <v>4080</v>
      </c>
      <c r="C15" s="101"/>
      <c r="D15" s="101"/>
      <c r="E15" s="101">
        <f ca="1">IFERROR(__xludf.DUMMYFUNCTION("GOOGLEFINANCE(""BOM:""&amp;A15,""PRICE"")"),230.1)</f>
        <v>230.1</v>
      </c>
      <c r="F15" s="112">
        <f ca="1">IFERROR(__xludf.DUMMYFUNCTION("GOOGLEFINANCE(""BOM:""&amp;A15,""MARKETCAP"")/10000000"),392.5614432)</f>
        <v>392.56144319999999</v>
      </c>
      <c r="G15" s="95">
        <f t="shared" ca="1" si="0"/>
        <v>1.9126601067063044E-3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540709</v>
      </c>
      <c r="B16" s="98" t="s">
        <v>4081</v>
      </c>
      <c r="C16" s="101"/>
      <c r="D16" s="101"/>
      <c r="E16" s="101">
        <f ca="1">IFERROR(__xludf.DUMMYFUNCTION("GOOGLEFINANCE(""BOM:""&amp;A16,""PRICE"")"),2.33)</f>
        <v>2.33</v>
      </c>
      <c r="F16" s="112">
        <f ca="1">IFERROR(__xludf.DUMMYFUNCTION("GOOGLEFINANCE(""BOM:""&amp;A16,""MARKETCAP"")/10000000"),113.0186733)</f>
        <v>113.0186733</v>
      </c>
      <c r="G16" s="95">
        <f t="shared" ca="1" si="0"/>
        <v>5.5065598386760516E-4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539017</v>
      </c>
      <c r="B17" s="98" t="s">
        <v>4082</v>
      </c>
      <c r="C17" s="101"/>
      <c r="D17" s="101"/>
      <c r="E17" s="101">
        <f ca="1">IFERROR(__xludf.DUMMYFUNCTION("GOOGLEFINANCE(""BOM:""&amp;A17,""PRICE"")"),4.24)</f>
        <v>4.24</v>
      </c>
      <c r="F17" s="112">
        <f ca="1">IFERROR(__xludf.DUMMYFUNCTION("GOOGLEFINANCE(""BOM:""&amp;A17,""MARKETCAP"")/10000000"),33.377541)</f>
        <v>33.377541000000001</v>
      </c>
      <c r="G17" s="95">
        <f t="shared" ca="1" si="0"/>
        <v>1.6262394648403937E-4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523465</v>
      </c>
      <c r="B18" s="98" t="s">
        <v>4083</v>
      </c>
      <c r="C18" s="101"/>
      <c r="D18" s="101"/>
      <c r="E18" s="101">
        <f ca="1">IFERROR(__xludf.DUMMYFUNCTION("GOOGLEFINANCE(""BOM:""&amp;A18,""PRICE"")"),40.78)</f>
        <v>40.78</v>
      </c>
      <c r="F18" s="112">
        <f ca="1">IFERROR(__xludf.DUMMYFUNCTION("GOOGLEFINANCE(""BOM:""&amp;A18,""MARKETCAP"")/10000000"),40.7799987)</f>
        <v>40.7799987</v>
      </c>
      <c r="G18" s="95">
        <f t="shared" ca="1" si="0"/>
        <v>1.986906203248464E-4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511533</v>
      </c>
      <c r="B19" s="98" t="s">
        <v>4084</v>
      </c>
      <c r="C19" s="101"/>
      <c r="D19" s="101"/>
      <c r="E19" s="101">
        <f ca="1">IFERROR(__xludf.DUMMYFUNCTION("GOOGLEFINANCE(""BOM:""&amp;A19,""PRICE"")"),39)</f>
        <v>39</v>
      </c>
      <c r="F19" s="112">
        <f ca="1">IFERROR(__xludf.DUMMYFUNCTION("GOOGLEFINANCE(""BOM:""&amp;A19,""MARKETCAP"")/10000000"),27.3)</f>
        <v>27.3</v>
      </c>
      <c r="G19" s="95">
        <f t="shared" ca="1" si="0"/>
        <v>1.3301260686083121E-4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530537</v>
      </c>
      <c r="B20" s="98" t="s">
        <v>4085</v>
      </c>
      <c r="C20" s="101"/>
      <c r="D20" s="101"/>
      <c r="E20" s="101">
        <f ca="1">IFERROR(__xludf.DUMMYFUNCTION("GOOGLEFINANCE(""BOM:""&amp;A20,""PRICE"")"),44.01)</f>
        <v>44.01</v>
      </c>
      <c r="F20" s="112">
        <f ca="1">IFERROR(__xludf.DUMMYFUNCTION("GOOGLEFINANCE(""BOM:""&amp;A20,""MARKETCAP"")/10000000"),22.005)</f>
        <v>22.004999999999999</v>
      </c>
      <c r="G20" s="95">
        <f t="shared" ca="1" si="0"/>
        <v>1.0721400783782382E-4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509650</v>
      </c>
      <c r="B21" s="98" t="s">
        <v>4086</v>
      </c>
      <c r="C21" s="101"/>
      <c r="D21" s="101"/>
      <c r="E21" s="101">
        <f ca="1">IFERROR(__xludf.DUMMYFUNCTION("GOOGLEFINANCE(""BOM:""&amp;A21,""PRICE"")"),38.74)</f>
        <v>38.74</v>
      </c>
      <c r="F21" s="101"/>
      <c r="G21" s="95">
        <f t="shared" ca="1" si="0"/>
        <v>0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>
      <c r="A22" s="101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>
      <c r="A23" s="101"/>
      <c r="B23" s="101"/>
      <c r="C23" s="101"/>
      <c r="D23" s="101"/>
      <c r="E23" s="101"/>
      <c r="F23" s="112">
        <f t="shared" ref="F23:O23" ca="1" si="1">SUM(F2:F21)</f>
        <v>205243.70316689997</v>
      </c>
      <c r="G23" s="95">
        <f t="shared" ca="1" si="1"/>
        <v>1</v>
      </c>
      <c r="H23" s="101">
        <f t="shared" si="1"/>
        <v>56400</v>
      </c>
      <c r="I23" s="101">
        <f t="shared" si="1"/>
        <v>51513</v>
      </c>
      <c r="J23" s="101">
        <f t="shared" si="1"/>
        <v>12348</v>
      </c>
      <c r="K23" s="101">
        <f t="shared" si="1"/>
        <v>8019</v>
      </c>
      <c r="L23" s="101">
        <f t="shared" si="1"/>
        <v>18886</v>
      </c>
      <c r="M23" s="101">
        <f t="shared" si="1"/>
        <v>17417</v>
      </c>
      <c r="N23" s="101">
        <f t="shared" si="1"/>
        <v>4210</v>
      </c>
      <c r="O23" s="101">
        <f t="shared" si="1"/>
        <v>3855</v>
      </c>
      <c r="P23" s="95">
        <f t="shared" ref="P23:Q23" si="2">J23/H23</f>
        <v>0.21893617021276596</v>
      </c>
      <c r="Q23" s="95">
        <f t="shared" si="2"/>
        <v>0.15566944266495836</v>
      </c>
      <c r="R23" s="95">
        <f>P23-Q23</f>
        <v>6.32667275478076E-2</v>
      </c>
      <c r="S23" s="95">
        <f t="shared" ref="S23:T23" si="3">N23/L23</f>
        <v>0.22291644604468919</v>
      </c>
      <c r="T23" s="95">
        <f t="shared" si="3"/>
        <v>0.22133547683297927</v>
      </c>
      <c r="U23" s="95">
        <f>S23-T23</f>
        <v>1.580969211709915E-3</v>
      </c>
      <c r="V23" s="95">
        <f>(H23/I23)-1</f>
        <v>9.4869256304233929E-2</v>
      </c>
      <c r="W23" s="95">
        <f>(J23/K23)-1</f>
        <v>0.53984287317620661</v>
      </c>
      <c r="X23" s="95">
        <f>(L23/M23)-1</f>
        <v>8.4342883389791679E-2</v>
      </c>
      <c r="Y23" s="95">
        <f>(N23/O23)-1</f>
        <v>9.20881971465628E-2</v>
      </c>
    </row>
  </sheetData>
  <autoFilter ref="A1:Y21" xr:uid="{00000000-0009-0000-0000-000073000000}"/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outlinePr summaryBelow="0" summaryRight="0"/>
  </sheetPr>
  <dimension ref="A1:Y12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544012</v>
      </c>
      <c r="B2" s="98" t="s">
        <v>4087</v>
      </c>
      <c r="C2" s="101" t="str">
        <f>VLOOKUP(A2,'BSE ALL CAP'!$B$4:$Y$1038,2,)</f>
        <v>Consumer Discretionary</v>
      </c>
      <c r="D2" s="101" t="str">
        <f>VLOOKUP(A2,'BSE ALL CAP'!$B$4:$Y$1038,3,)</f>
        <v>Houseware</v>
      </c>
      <c r="E2" s="101">
        <f ca="1">IFERROR(__xludf.DUMMYFUNCTION("GOOGLEFINANCE(""BOM:""&amp;A2,""PRICE"")"),402.4)</f>
        <v>402.4</v>
      </c>
      <c r="F2" s="112">
        <f ca="1">IFERROR(__xludf.DUMMYFUNCTION("GOOGLEFINANCE(""BOM:""&amp;A2,""MARKETCAP"")/10000000"),8875.9257933)</f>
        <v>8875.9257933000008</v>
      </c>
      <c r="G2" s="95">
        <f t="shared" ref="G2:G10" ca="1" si="0">F2/$F$12</f>
        <v>0.50096905886781495</v>
      </c>
      <c r="H2" s="101">
        <f>VLOOKUP(A2,'BSE ALL CAP'!$B$4:$Y$1038,7,)</f>
        <v>1670</v>
      </c>
      <c r="I2" s="101">
        <f>VLOOKUP(A2,'BSE ALL CAP'!$B$4:$Y$1038,8,)</f>
        <v>1547</v>
      </c>
      <c r="J2" s="101">
        <f>VLOOKUP(A2,'BSE ALL CAP'!$B$4:$Y$1038,9,)</f>
        <v>241</v>
      </c>
      <c r="K2" s="101">
        <f>VLOOKUP(A2,'BSE ALL CAP'!$B$4:$Y$1038,10,)</f>
        <v>268</v>
      </c>
      <c r="L2" s="101">
        <f>VLOOKUP(A2,'BSE ALL CAP'!$B$4:$Y$1038,11,)</f>
        <v>553</v>
      </c>
      <c r="M2" s="101">
        <f>VLOOKUP(A2,'BSE ALL CAP'!$B$4:$Y$1038,12,)</f>
        <v>556</v>
      </c>
      <c r="N2" s="101">
        <f>VLOOKUP(A2,'BSE ALL CAP'!$B$4:$Y$1038,13,)</f>
        <v>69</v>
      </c>
      <c r="O2" s="101">
        <f>VLOOKUP(A2,'BSE ALL CAP'!$B$4:$Y$1038,14,)</f>
        <v>92</v>
      </c>
      <c r="P2" s="95">
        <f>VLOOKUP(A2,'BSE ALL CAP'!$B$4:$Y$1038,15,)</f>
        <v>0.14431137724550899</v>
      </c>
      <c r="Q2" s="95">
        <f>VLOOKUP(A2,'BSE ALL CAP'!$B$4:$Y$1038,16,)</f>
        <v>0.17323852617970265</v>
      </c>
      <c r="R2" s="95">
        <f>VLOOKUP(A2,'BSE ALL CAP'!$B$4:$Y$1038,17,)</f>
        <v>-2.8927148934193653E-2</v>
      </c>
      <c r="S2" s="95">
        <f>VLOOKUP(A2,'BSE ALL CAP'!$B$4:$Y$1038,18,)</f>
        <v>0.12477396021699819</v>
      </c>
      <c r="T2" s="95">
        <f>VLOOKUP(A2,'BSE ALL CAP'!$B$4:$Y$1038,19,)</f>
        <v>0.16546762589928057</v>
      </c>
      <c r="U2" s="95">
        <f>VLOOKUP(A2,'BSE ALL CAP'!$B$4:$Y$1038,20,)</f>
        <v>-4.0693665682282387E-2</v>
      </c>
      <c r="V2" s="95">
        <f>VLOOKUP(A2,'BSE ALL CAP'!$B$4:$Y$1038,21,)</f>
        <v>7.9508726567550037E-2</v>
      </c>
      <c r="W2" s="95">
        <f>VLOOKUP(A2,'BSE ALL CAP'!$B$4:$Y$1038,22,)</f>
        <v>-0.10074626865671643</v>
      </c>
      <c r="X2" s="95">
        <f>VLOOKUP(A2,'BSE ALL CAP'!$B$4:$Y$1038,23,)</f>
        <v>-5.3956834532373765E-3</v>
      </c>
      <c r="Y2" s="95">
        <f>VLOOKUP(A2,'BSE ALL CAP'!$B$4:$Y$1038,24,)</f>
        <v>-0.25</v>
      </c>
    </row>
    <row r="3" spans="1:25" ht="15.75" customHeight="1">
      <c r="A3" s="99">
        <v>508486</v>
      </c>
      <c r="B3" s="98" t="s">
        <v>4088</v>
      </c>
      <c r="C3" s="101" t="str">
        <f>VLOOKUP(A3,'BSE ALL CAP'!$B$4:$Y$1038,2,)</f>
        <v>Consumer Discretionary</v>
      </c>
      <c r="D3" s="101" t="str">
        <f>VLOOKUP(A3,'BSE ALL CAP'!$B$4:$Y$1038,3,)</f>
        <v>Houseware</v>
      </c>
      <c r="E3" s="101">
        <f ca="1">IFERROR(__xludf.DUMMYFUNCTION("GOOGLEFINANCE(""BOM:""&amp;A3,""PRICE"")"),7384.9)</f>
        <v>7384.9</v>
      </c>
      <c r="F3" s="112">
        <f ca="1">IFERROR(__xludf.DUMMYFUNCTION("GOOGLEFINANCE(""BOM:""&amp;A3,""MARKETCAP"")/10000000"),3904.9984477)</f>
        <v>3904.9984476999998</v>
      </c>
      <c r="G3" s="95">
        <f t="shared" ca="1" si="0"/>
        <v>0.22040330696559554</v>
      </c>
      <c r="H3" s="101">
        <f>VLOOKUP(A3,'BSE ALL CAP'!$B$4:$Y$1038,7,)</f>
        <v>887</v>
      </c>
      <c r="I3" s="101">
        <f>VLOOKUP(A3,'BSE ALL CAP'!$B$4:$Y$1038,8,)</f>
        <v>809</v>
      </c>
      <c r="J3" s="101">
        <f>VLOOKUP(A3,'BSE ALL CAP'!$B$4:$Y$1038,9,)</f>
        <v>91</v>
      </c>
      <c r="K3" s="101">
        <f>VLOOKUP(A3,'BSE ALL CAP'!$B$4:$Y$1038,10,)</f>
        <v>80</v>
      </c>
      <c r="L3" s="101">
        <f>VLOOKUP(A3,'BSE ALL CAP'!$B$4:$Y$1038,11,)</f>
        <v>332</v>
      </c>
      <c r="M3" s="101">
        <f>VLOOKUP(A3,'BSE ALL CAP'!$B$4:$Y$1038,12,)</f>
        <v>286</v>
      </c>
      <c r="N3" s="101">
        <f>VLOOKUP(A3,'BSE ALL CAP'!$B$4:$Y$1038,13,)</f>
        <v>34</v>
      </c>
      <c r="O3" s="101">
        <f>VLOOKUP(A3,'BSE ALL CAP'!$B$4:$Y$1038,14,)</f>
        <v>21</v>
      </c>
      <c r="P3" s="95">
        <f>VLOOKUP(A3,'BSE ALL CAP'!$B$4:$Y$1038,15,)</f>
        <v>0.10259301014656144</v>
      </c>
      <c r="Q3" s="95">
        <f>VLOOKUP(A3,'BSE ALL CAP'!$B$4:$Y$1038,16,)</f>
        <v>9.8887515451174288E-2</v>
      </c>
      <c r="R3" s="95">
        <f>VLOOKUP(A3,'BSE ALL CAP'!$B$4:$Y$1038,17,)</f>
        <v>3.7054946953871543E-3</v>
      </c>
      <c r="S3" s="95">
        <f>VLOOKUP(A3,'BSE ALL CAP'!$B$4:$Y$1038,18,)</f>
        <v>0.10240963855421686</v>
      </c>
      <c r="T3" s="95">
        <f>VLOOKUP(A3,'BSE ALL CAP'!$B$4:$Y$1038,19,)</f>
        <v>7.3426573426573424E-2</v>
      </c>
      <c r="U3" s="95">
        <f>VLOOKUP(A3,'BSE ALL CAP'!$B$4:$Y$1038,20,)</f>
        <v>2.898306512764344E-2</v>
      </c>
      <c r="V3" s="95">
        <f>VLOOKUP(A3,'BSE ALL CAP'!$B$4:$Y$1038,21,)</f>
        <v>9.6415327564894904E-2</v>
      </c>
      <c r="W3" s="95">
        <f>VLOOKUP(A3,'BSE ALL CAP'!$B$4:$Y$1038,22,)</f>
        <v>0.13749999999999996</v>
      </c>
      <c r="X3" s="95">
        <f>VLOOKUP(A3,'BSE ALL CAP'!$B$4:$Y$1038,23,)</f>
        <v>0.16083916083916083</v>
      </c>
      <c r="Y3" s="95">
        <f>VLOOKUP(A3,'BSE ALL CAP'!$B$4:$Y$1038,24,)</f>
        <v>0.61904761904761907</v>
      </c>
    </row>
    <row r="4" spans="1:25" ht="15.75" customHeight="1">
      <c r="A4" s="99">
        <v>543212</v>
      </c>
      <c r="B4" s="98" t="s">
        <v>4089</v>
      </c>
      <c r="C4" s="101" t="str">
        <f>VLOOKUP(A4,'BSE ALL CAP'!$B$4:$Y$1038,2,)</f>
        <v>Consumer Discretionary</v>
      </c>
      <c r="D4" s="101" t="str">
        <f>VLOOKUP(A4,'BSE ALL CAP'!$B$4:$Y$1038,3,)</f>
        <v>Houseware</v>
      </c>
      <c r="E4" s="101">
        <f ca="1">IFERROR(__xludf.DUMMYFUNCTION("GOOGLEFINANCE(""BOM:""&amp;A4,""PRICE"")"),242.05)</f>
        <v>242.05</v>
      </c>
      <c r="F4" s="112">
        <f ca="1">IFERROR(__xludf.DUMMYFUNCTION("GOOGLEFINANCE(""BOM:""&amp;A4,""MARKETCAP"")/10000000"),2898.7897298)</f>
        <v>2898.7897297999998</v>
      </c>
      <c r="G4" s="95">
        <f t="shared" ca="1" si="0"/>
        <v>0.16361154843022579</v>
      </c>
      <c r="H4" s="101">
        <f>VLOOKUP(A4,'BSE ALL CAP'!$B$4:$Y$1038,7,)</f>
        <v>911</v>
      </c>
      <c r="I4" s="101">
        <f>VLOOKUP(A4,'BSE ALL CAP'!$B$4:$Y$1038,8,)</f>
        <v>837</v>
      </c>
      <c r="J4" s="101">
        <f>VLOOKUP(A4,'BSE ALL CAP'!$B$4:$Y$1038,9,)</f>
        <v>64</v>
      </c>
      <c r="K4" s="101">
        <f>VLOOKUP(A4,'BSE ALL CAP'!$B$4:$Y$1038,10,)</f>
        <v>63</v>
      </c>
      <c r="L4" s="101">
        <f>VLOOKUP(A4,'BSE ALL CAP'!$B$4:$Y$1038,11,)</f>
        <v>338</v>
      </c>
      <c r="M4" s="101">
        <f>VLOOKUP(A4,'BSE ALL CAP'!$B$4:$Y$1038,12,)</f>
        <v>338</v>
      </c>
      <c r="N4" s="101">
        <f>VLOOKUP(A4,'BSE ALL CAP'!$B$4:$Y$1038,13,)</f>
        <v>23</v>
      </c>
      <c r="O4" s="101">
        <f>VLOOKUP(A4,'BSE ALL CAP'!$B$4:$Y$1038,14,)</f>
        <v>35</v>
      </c>
      <c r="P4" s="95">
        <f>VLOOKUP(A4,'BSE ALL CAP'!$B$4:$Y$1038,15,)</f>
        <v>7.025246981339188E-2</v>
      </c>
      <c r="Q4" s="95">
        <f>VLOOKUP(A4,'BSE ALL CAP'!$B$4:$Y$1038,16,)</f>
        <v>7.5268817204301078E-2</v>
      </c>
      <c r="R4" s="95">
        <f>VLOOKUP(A4,'BSE ALL CAP'!$B$4:$Y$1038,17,)</f>
        <v>-5.0163473909091982E-3</v>
      </c>
      <c r="S4" s="95">
        <f>VLOOKUP(A4,'BSE ALL CAP'!$B$4:$Y$1038,18,)</f>
        <v>6.8047337278106509E-2</v>
      </c>
      <c r="T4" s="95">
        <f>VLOOKUP(A4,'BSE ALL CAP'!$B$4:$Y$1038,19,)</f>
        <v>0.10355029585798817</v>
      </c>
      <c r="U4" s="95">
        <f>VLOOKUP(A4,'BSE ALL CAP'!$B$4:$Y$1038,20,)</f>
        <v>-3.5502958579881658E-2</v>
      </c>
      <c r="V4" s="95">
        <f>VLOOKUP(A4,'BSE ALL CAP'!$B$4:$Y$1038,21,)</f>
        <v>8.8410991636798109E-2</v>
      </c>
      <c r="W4" s="95">
        <f>VLOOKUP(A4,'BSE ALL CAP'!$B$4:$Y$1038,22,)</f>
        <v>1.5873015873015817E-2</v>
      </c>
      <c r="X4" s="95">
        <f>VLOOKUP(A4,'BSE ALL CAP'!$B$4:$Y$1038,23,)</f>
        <v>0</v>
      </c>
      <c r="Y4" s="95">
        <f>VLOOKUP(A4,'BSE ALL CAP'!$B$4:$Y$1038,24,)</f>
        <v>-0.34285714285714286</v>
      </c>
    </row>
    <row r="5" spans="1:25" ht="15.75" customHeight="1">
      <c r="A5" s="99">
        <v>544479</v>
      </c>
      <c r="B5" s="98" t="s">
        <v>4090</v>
      </c>
      <c r="C5" s="101"/>
      <c r="D5" s="101"/>
      <c r="E5" s="101">
        <f ca="1">IFERROR(__xludf.DUMMYFUNCTION("GOOGLEFINANCE(""BOM:""&amp;A5,""PRICE"")"),203)</f>
        <v>203</v>
      </c>
      <c r="F5" s="112">
        <f ca="1">IFERROR(__xludf.DUMMYFUNCTION("GOOGLEFINANCE(""BOM:""&amp;A5,""MARKETCAP"")/10000000"),1326.5980167)</f>
        <v>1326.5980167</v>
      </c>
      <c r="G5" s="95">
        <f t="shared" ca="1" si="0"/>
        <v>7.4874956753668565E-2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543464</v>
      </c>
      <c r="B6" s="98" t="s">
        <v>4091</v>
      </c>
      <c r="C6" s="101"/>
      <c r="D6" s="101"/>
      <c r="E6" s="101">
        <f ca="1">IFERROR(__xludf.DUMMYFUNCTION("GOOGLEFINANCE(""BOM:""&amp;A6,""PRICE"")"),68.86)</f>
        <v>68.86</v>
      </c>
      <c r="F6" s="112">
        <f ca="1">IFERROR(__xludf.DUMMYFUNCTION("GOOGLEFINANCE(""BOM:""&amp;A6,""MARKETCAP"")/10000000"),415.9144036)</f>
        <v>415.91440360000001</v>
      </c>
      <c r="G6" s="95">
        <f t="shared" ca="1" si="0"/>
        <v>2.3474762204337203E-2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541083</v>
      </c>
      <c r="B7" s="98" t="s">
        <v>4092</v>
      </c>
      <c r="C7" s="101"/>
      <c r="D7" s="101"/>
      <c r="E7" s="101">
        <f ca="1">IFERROR(__xludf.DUMMYFUNCTION("GOOGLEFINANCE(""BOM:""&amp;A7,""PRICE"")"),278.95)</f>
        <v>278.95</v>
      </c>
      <c r="F7" s="112">
        <f ca="1">IFERROR(__xludf.DUMMYFUNCTION("GOOGLEFINANCE(""BOM:""&amp;A7,""MARKETCAP"")/10000000"),208.9614541)</f>
        <v>208.9614541</v>
      </c>
      <c r="G7" s="95">
        <f t="shared" ca="1" si="0"/>
        <v>1.1794062437875192E-2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531111</v>
      </c>
      <c r="B8" s="98" t="s">
        <v>4093</v>
      </c>
      <c r="C8" s="101"/>
      <c r="D8" s="101"/>
      <c r="E8" s="101">
        <f ca="1">IFERROR(__xludf.DUMMYFUNCTION("GOOGLEFINANCE(""BOM:""&amp;A8,""PRICE"")"),35.2)</f>
        <v>35.200000000000003</v>
      </c>
      <c r="F8" s="112">
        <f ca="1">IFERROR(__xludf.DUMMYFUNCTION("GOOGLEFINANCE(""BOM:""&amp;A8,""MARKETCAP"")/10000000"),35.9040007)</f>
        <v>35.904000699999997</v>
      </c>
      <c r="G8" s="95">
        <f t="shared" ca="1" si="0"/>
        <v>2.0264695603748415E-3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544640</v>
      </c>
      <c r="B9" s="98" t="s">
        <v>4094</v>
      </c>
      <c r="C9" s="101"/>
      <c r="D9" s="101"/>
      <c r="E9" s="101">
        <f ca="1">IFERROR(__xludf.DUMMYFUNCTION("GOOGLEFINANCE(""BOM:""&amp;A9,""PRICE"")"),30.8)</f>
        <v>30.8</v>
      </c>
      <c r="F9" s="112">
        <f ca="1">IFERROR(__xludf.DUMMYFUNCTION("GOOGLEFINANCE(""BOM:""&amp;A9,""MARKETCAP"")/10000000"),26.6111654)</f>
        <v>26.611165400000001</v>
      </c>
      <c r="G9" s="95">
        <f t="shared" ca="1" si="0"/>
        <v>1.5019695743600015E-3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531608</v>
      </c>
      <c r="B10" s="98" t="s">
        <v>4095</v>
      </c>
      <c r="C10" s="101"/>
      <c r="D10" s="101"/>
      <c r="E10" s="101">
        <f ca="1">IFERROR(__xludf.DUMMYFUNCTION("GOOGLEFINANCE(""BOM:""&amp;A10,""PRICE"")"),44.4)</f>
        <v>44.4</v>
      </c>
      <c r="F10" s="112">
        <f ca="1">IFERROR(__xludf.DUMMYFUNCTION("GOOGLEFINANCE(""BOM:""&amp;A10,""MARKETCAP"")/10000000"),23.8099492)</f>
        <v>23.809949199999998</v>
      </c>
      <c r="G10" s="95">
        <f t="shared" ca="1" si="0"/>
        <v>1.3438652057477067E-3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>
      <c r="A11" s="101"/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>
      <c r="A12" s="101"/>
      <c r="B12" s="101"/>
      <c r="C12" s="101"/>
      <c r="D12" s="101"/>
      <c r="E12" s="101"/>
      <c r="F12" s="112">
        <f t="shared" ref="F12:G12" ca="1" si="1">SUM(F1:F10)</f>
        <v>17717.512960500004</v>
      </c>
      <c r="G12" s="95">
        <f t="shared" ca="1" si="1"/>
        <v>0.99999999999999978</v>
      </c>
      <c r="H12" s="101">
        <f t="shared" ref="H12:O12" si="2">SUM(H2:H10)</f>
        <v>3468</v>
      </c>
      <c r="I12" s="101">
        <f t="shared" si="2"/>
        <v>3193</v>
      </c>
      <c r="J12" s="101">
        <f t="shared" si="2"/>
        <v>396</v>
      </c>
      <c r="K12" s="101">
        <f t="shared" si="2"/>
        <v>411</v>
      </c>
      <c r="L12" s="101">
        <f t="shared" si="2"/>
        <v>1223</v>
      </c>
      <c r="M12" s="101">
        <f t="shared" si="2"/>
        <v>1180</v>
      </c>
      <c r="N12" s="101">
        <f t="shared" si="2"/>
        <v>126</v>
      </c>
      <c r="O12" s="101">
        <f t="shared" si="2"/>
        <v>148</v>
      </c>
      <c r="P12" s="95">
        <f t="shared" ref="P12:Q12" si="3">J12/H12</f>
        <v>0.11418685121107267</v>
      </c>
      <c r="Q12" s="95">
        <f t="shared" si="3"/>
        <v>0.12871907297212654</v>
      </c>
      <c r="R12" s="95">
        <f>P12-Q12</f>
        <v>-1.4532221761053871E-2</v>
      </c>
      <c r="S12" s="95">
        <f t="shared" ref="S12:T12" si="4">N12/L12</f>
        <v>0.10302534750613246</v>
      </c>
      <c r="T12" s="95">
        <f t="shared" si="4"/>
        <v>0.12542372881355932</v>
      </c>
      <c r="U12" s="95">
        <f>S12-T12</f>
        <v>-2.2398381307426857E-2</v>
      </c>
      <c r="V12" s="95">
        <f>(H12/I12)-1</f>
        <v>8.6125900407140632E-2</v>
      </c>
      <c r="W12" s="95">
        <f>(J12/K12)-1</f>
        <v>-3.6496350364963459E-2</v>
      </c>
      <c r="X12" s="95">
        <f>(L12/M12)-1</f>
        <v>3.6440677966101731E-2</v>
      </c>
      <c r="Y12" s="95">
        <f>(N12/O12)-1</f>
        <v>-0.14864864864864868</v>
      </c>
    </row>
  </sheetData>
  <autoFilter ref="A1:Y10" xr:uid="{00000000-0009-0000-0000-000074000000}"/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532926</v>
      </c>
      <c r="B2" s="98" t="s">
        <v>4096</v>
      </c>
      <c r="C2" s="101" t="str">
        <f>VLOOKUP(A2,'BSE ALL CAP'!$B$4:$Y$1038,2,)</f>
        <v>Fast Moving Consumer Goods</v>
      </c>
      <c r="D2" s="101" t="str">
        <f>VLOOKUP(A2,'BSE ALL CAP'!$B$4:$Y$1038,3,)</f>
        <v>Household Products</v>
      </c>
      <c r="E2" s="101">
        <f ca="1">IFERROR(__xludf.DUMMYFUNCTION("GOOGLEFINANCE(""BOM:""&amp;A2,""PRICE"")"),207.1)</f>
        <v>207.1</v>
      </c>
      <c r="F2" s="112">
        <f ca="1">IFERROR(__xludf.DUMMYFUNCTION("GOOGLEFINANCE(""BOM:""&amp;A2,""MARKETCAP"")/10000000"),7596.1991694)</f>
        <v>7596.1991693999998</v>
      </c>
      <c r="G2" s="95">
        <f t="shared" ref="G2:G11" ca="1" si="0">F2/$F$13</f>
        <v>0.70569904961906915</v>
      </c>
      <c r="H2" s="101">
        <f>VLOOKUP(A2,'BSE ALL CAP'!$B$4:$Y$1038,7,)</f>
        <v>2226</v>
      </c>
      <c r="I2" s="101">
        <f>VLOOKUP(A2,'BSE ALL CAP'!$B$4:$Y$1038,8,)</f>
        <v>2177</v>
      </c>
      <c r="J2" s="101">
        <f>VLOOKUP(A2,'BSE ALL CAP'!$B$4:$Y$1038,9,)</f>
        <v>265</v>
      </c>
      <c r="K2" s="101">
        <f>VLOOKUP(A2,'BSE ALL CAP'!$B$4:$Y$1038,10,)</f>
        <v>294</v>
      </c>
      <c r="L2" s="101">
        <f>VLOOKUP(A2,'BSE ALL CAP'!$B$4:$Y$1038,11,)</f>
        <v>739</v>
      </c>
      <c r="M2" s="101">
        <f>VLOOKUP(A2,'BSE ALL CAP'!$B$4:$Y$1038,12,)</f>
        <v>703</v>
      </c>
      <c r="N2" s="101">
        <f>VLOOKUP(A2,'BSE ALL CAP'!$B$4:$Y$1038,13,)</f>
        <v>81</v>
      </c>
      <c r="O2" s="101">
        <f>VLOOKUP(A2,'BSE ALL CAP'!$B$4:$Y$1038,14,)</f>
        <v>87</v>
      </c>
      <c r="P2" s="95">
        <f>VLOOKUP(A2,'BSE ALL CAP'!$B$4:$Y$1038,15,)</f>
        <v>0.11904761904761904</v>
      </c>
      <c r="Q2" s="95">
        <f>VLOOKUP(A2,'BSE ALL CAP'!$B$4:$Y$1038,16,)</f>
        <v>0.13504823151125403</v>
      </c>
      <c r="R2" s="95">
        <f>VLOOKUP(A2,'BSE ALL CAP'!$B$4:$Y$1038,17,)</f>
        <v>-1.6000612463634989E-2</v>
      </c>
      <c r="S2" s="95">
        <f>VLOOKUP(A2,'BSE ALL CAP'!$B$4:$Y$1038,18,)</f>
        <v>0.10960757780784844</v>
      </c>
      <c r="T2" s="95">
        <f>VLOOKUP(A2,'BSE ALL CAP'!$B$4:$Y$1038,19,)</f>
        <v>0.12375533428165007</v>
      </c>
      <c r="U2" s="95">
        <f>VLOOKUP(A2,'BSE ALL CAP'!$B$4:$Y$1038,20,)</f>
        <v>-1.4147756473801634E-2</v>
      </c>
      <c r="V2" s="95">
        <f>VLOOKUP(A2,'BSE ALL CAP'!$B$4:$Y$1038,21,)</f>
        <v>2.2508038585209E-2</v>
      </c>
      <c r="W2" s="95">
        <f>VLOOKUP(A2,'BSE ALL CAP'!$B$4:$Y$1038,22,)</f>
        <v>-9.8639455782312924E-2</v>
      </c>
      <c r="X2" s="95">
        <f>VLOOKUP(A2,'BSE ALL CAP'!$B$4:$Y$1038,23,)</f>
        <v>5.1209103840682779E-2</v>
      </c>
      <c r="Y2" s="95">
        <f>VLOOKUP(A2,'BSE ALL CAP'!$B$4:$Y$1038,24,)</f>
        <v>-6.8965517241379337E-2</v>
      </c>
    </row>
    <row r="3" spans="1:25" ht="15.75" customHeight="1">
      <c r="A3" s="99">
        <v>531508</v>
      </c>
      <c r="B3" s="98" t="s">
        <v>4097</v>
      </c>
      <c r="C3" s="101" t="str">
        <f>VLOOKUP(A3,'BSE ALL CAP'!$B$4:$Y$1038,2,)</f>
        <v>Fast Moving Consumer Goods</v>
      </c>
      <c r="D3" s="101" t="str">
        <f>VLOOKUP(A3,'BSE ALL CAP'!$B$4:$Y$1038,3,)</f>
        <v>Household Products</v>
      </c>
      <c r="E3" s="101">
        <f ca="1">IFERROR(__xludf.DUMMYFUNCTION("GOOGLEFINANCE(""BOM:""&amp;A3,""PRICE"")"),282)</f>
        <v>282</v>
      </c>
      <c r="F3" s="112">
        <f ca="1">IFERROR(__xludf.DUMMYFUNCTION("GOOGLEFINANCE(""BOM:""&amp;A3,""MARKETCAP"")/10000000"),2049.780732)</f>
        <v>2049.7807320000002</v>
      </c>
      <c r="G3" s="95">
        <f t="shared" ca="1" si="0"/>
        <v>0.19042790772613941</v>
      </c>
      <c r="H3" s="101">
        <f>VLOOKUP(A3,'BSE ALL CAP'!$B$4:$Y$1038,7,)</f>
        <v>1128</v>
      </c>
      <c r="I3" s="101">
        <f>VLOOKUP(A3,'BSE ALL CAP'!$B$4:$Y$1038,8,)</f>
        <v>1045</v>
      </c>
      <c r="J3" s="101">
        <f>VLOOKUP(A3,'BSE ALL CAP'!$B$4:$Y$1038,9,)</f>
        <v>30</v>
      </c>
      <c r="K3" s="101">
        <f>VLOOKUP(A3,'BSE ALL CAP'!$B$4:$Y$1038,10,)</f>
        <v>72</v>
      </c>
      <c r="L3" s="101">
        <f>VLOOKUP(A3,'BSE ALL CAP'!$B$4:$Y$1038,11,)</f>
        <v>367</v>
      </c>
      <c r="M3" s="101">
        <f>VLOOKUP(A3,'BSE ALL CAP'!$B$4:$Y$1038,12,)</f>
        <v>333</v>
      </c>
      <c r="N3" s="101">
        <f>VLOOKUP(A3,'BSE ALL CAP'!$B$4:$Y$1038,13,)</f>
        <v>7</v>
      </c>
      <c r="O3" s="101">
        <f>VLOOKUP(A3,'BSE ALL CAP'!$B$4:$Y$1038,14,)</f>
        <v>13</v>
      </c>
      <c r="P3" s="95">
        <f>VLOOKUP(A3,'BSE ALL CAP'!$B$4:$Y$1038,15,)</f>
        <v>2.6595744680851064E-2</v>
      </c>
      <c r="Q3" s="95">
        <f>VLOOKUP(A3,'BSE ALL CAP'!$B$4:$Y$1038,16,)</f>
        <v>6.8899521531100474E-2</v>
      </c>
      <c r="R3" s="95">
        <f>VLOOKUP(A3,'BSE ALL CAP'!$B$4:$Y$1038,17,)</f>
        <v>-4.2303776850249414E-2</v>
      </c>
      <c r="S3" s="95">
        <f>VLOOKUP(A3,'BSE ALL CAP'!$B$4:$Y$1038,18,)</f>
        <v>1.9073569482288829E-2</v>
      </c>
      <c r="T3" s="95">
        <f>VLOOKUP(A3,'BSE ALL CAP'!$B$4:$Y$1038,19,)</f>
        <v>3.903903903903904E-2</v>
      </c>
      <c r="U3" s="95">
        <f>VLOOKUP(A3,'BSE ALL CAP'!$B$4:$Y$1038,20,)</f>
        <v>-1.9965469556750211E-2</v>
      </c>
      <c r="V3" s="95">
        <f>VLOOKUP(A3,'BSE ALL CAP'!$B$4:$Y$1038,21,)</f>
        <v>7.9425837320574066E-2</v>
      </c>
      <c r="W3" s="95">
        <f>VLOOKUP(A3,'BSE ALL CAP'!$B$4:$Y$1038,22,)</f>
        <v>-0.58333333333333326</v>
      </c>
      <c r="X3" s="95">
        <f>VLOOKUP(A3,'BSE ALL CAP'!$B$4:$Y$1038,23,)</f>
        <v>0.10210210210210202</v>
      </c>
      <c r="Y3" s="95">
        <f>VLOOKUP(A3,'BSE ALL CAP'!$B$4:$Y$1038,24,)</f>
        <v>-0.46153846153846156</v>
      </c>
    </row>
    <row r="4" spans="1:25" ht="15.75" customHeight="1">
      <c r="A4" s="99">
        <v>504176</v>
      </c>
      <c r="B4" s="98" t="s">
        <v>4098</v>
      </c>
      <c r="C4" s="101"/>
      <c r="D4" s="101"/>
      <c r="E4" s="101">
        <f ca="1">IFERROR(__xludf.DUMMYFUNCTION("GOOGLEFINANCE(""BOM:""&amp;A4,""PRICE"")"),554.95)</f>
        <v>554.95000000000005</v>
      </c>
      <c r="F4" s="112">
        <f ca="1">IFERROR(__xludf.DUMMYFUNCTION("GOOGLEFINANCE(""BOM:""&amp;A4,""MARKETCAP"")/10000000"),496.0926243)</f>
        <v>496.09262430000001</v>
      </c>
      <c r="G4" s="95">
        <f t="shared" ca="1" si="0"/>
        <v>4.6087798079574659E-2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504058</v>
      </c>
      <c r="B5" s="98" t="s">
        <v>4099</v>
      </c>
      <c r="C5" s="101"/>
      <c r="D5" s="101"/>
      <c r="E5" s="101">
        <f ca="1">IFERROR(__xludf.DUMMYFUNCTION("GOOGLEFINANCE(""BOM:""&amp;A5,""PRICE"")"),299.25)</f>
        <v>299.25</v>
      </c>
      <c r="F5" s="112">
        <f ca="1">IFERROR(__xludf.DUMMYFUNCTION("GOOGLEFINANCE(""BOM:""&amp;A5,""MARKETCAP"")/10000000"),222.1124954)</f>
        <v>222.1124954</v>
      </c>
      <c r="G5" s="95">
        <f t="shared" ca="1" si="0"/>
        <v>2.0634605993971145E-2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504093</v>
      </c>
      <c r="B6" s="98" t="s">
        <v>4100</v>
      </c>
      <c r="C6" s="101"/>
      <c r="D6" s="101"/>
      <c r="E6" s="101">
        <f ca="1">IFERROR(__xludf.DUMMYFUNCTION("GOOGLEFINANCE(""BOM:""&amp;A6,""PRICE"")"),263.7)</f>
        <v>263.7</v>
      </c>
      <c r="F6" s="112">
        <f ca="1">IFERROR(__xludf.DUMMYFUNCTION("GOOGLEFINANCE(""BOM:""&amp;A6,""MARKETCAP"")/10000000"),197.7750091)</f>
        <v>197.77500910000001</v>
      </c>
      <c r="G6" s="95">
        <f t="shared" ca="1" si="0"/>
        <v>1.8373614599588878E-2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524136</v>
      </c>
      <c r="B7" s="98" t="s">
        <v>4101</v>
      </c>
      <c r="C7" s="101"/>
      <c r="D7" s="101"/>
      <c r="E7" s="101">
        <f ca="1">IFERROR(__xludf.DUMMYFUNCTION("GOOGLEFINANCE(""BOM:""&amp;A7,""PRICE"")"),366.8)</f>
        <v>366.8</v>
      </c>
      <c r="F7" s="112">
        <f ca="1">IFERROR(__xludf.DUMMYFUNCTION("GOOGLEFINANCE(""BOM:""&amp;A7,""MARKETCAP"")/10000000"),97.0644467)</f>
        <v>97.064446700000005</v>
      </c>
      <c r="G7" s="95">
        <f t="shared" ca="1" si="0"/>
        <v>9.0174423103496978E-3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531663</v>
      </c>
      <c r="B8" s="98" t="s">
        <v>4102</v>
      </c>
      <c r="C8" s="101"/>
      <c r="D8" s="101"/>
      <c r="E8" s="101">
        <f ca="1">IFERROR(__xludf.DUMMYFUNCTION("GOOGLEFINANCE(""BOM:""&amp;A8,""PRICE"")"),4.44)</f>
        <v>4.4400000000000004</v>
      </c>
      <c r="F8" s="112">
        <f ca="1">IFERROR(__xludf.DUMMYFUNCTION("GOOGLEFINANCE(""BOM:""&amp;A8,""MARKETCAP"")/10000000"),40.2514421)</f>
        <v>40.251442099999998</v>
      </c>
      <c r="G8" s="95">
        <f t="shared" ca="1" si="0"/>
        <v>3.7394233355798967E-3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532335</v>
      </c>
      <c r="B9" s="98" t="s">
        <v>4103</v>
      </c>
      <c r="C9" s="101"/>
      <c r="D9" s="101"/>
      <c r="E9" s="101">
        <f ca="1">IFERROR(__xludf.DUMMYFUNCTION("GOOGLEFINANCE(""BOM:""&amp;A9,""PRICE"")"),22.98)</f>
        <v>22.98</v>
      </c>
      <c r="F9" s="112">
        <f ca="1">IFERROR(__xludf.DUMMYFUNCTION("GOOGLEFINANCE(""BOM:""&amp;A9,""MARKETCAP"")/10000000"),39.3706009)</f>
        <v>39.370600899999999</v>
      </c>
      <c r="G9" s="95">
        <f t="shared" ca="1" si="0"/>
        <v>3.6575917795815542E-3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530853</v>
      </c>
      <c r="B10" s="98" t="s">
        <v>4104</v>
      </c>
      <c r="C10" s="101"/>
      <c r="D10" s="101"/>
      <c r="E10" s="101">
        <f ca="1">IFERROR(__xludf.DUMMYFUNCTION("GOOGLEFINANCE(""BOM:""&amp;A10,""PRICE"")"),51.99)</f>
        <v>51.99</v>
      </c>
      <c r="F10" s="112">
        <f ca="1">IFERROR(__xludf.DUMMYFUNCTION("GOOGLEFINANCE(""BOM:""&amp;A10,""MARKETCAP"")/10000000"),16.2796292)</f>
        <v>16.279629199999999</v>
      </c>
      <c r="G10" s="95">
        <f t="shared" ca="1" si="0"/>
        <v>1.5124035847915093E-3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526588</v>
      </c>
      <c r="B11" s="98" t="s">
        <v>4105</v>
      </c>
      <c r="C11" s="101"/>
      <c r="D11" s="101"/>
      <c r="E11" s="101">
        <f ca="1">IFERROR(__xludf.DUMMYFUNCTION("GOOGLEFINANCE(""BOM:""&amp;A11,""PRICE"")"),15.25)</f>
        <v>15.25</v>
      </c>
      <c r="F11" s="112">
        <f ca="1">IFERROR(__xludf.DUMMYFUNCTION("GOOGLEFINANCE(""BOM:""&amp;A11,""MARKETCAP"")/10000000"),9.15122)</f>
        <v>9.1512200000000004</v>
      </c>
      <c r="G11" s="95">
        <f t="shared" ca="1" si="0"/>
        <v>8.5016297135414849E-4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>
      <c r="A12" s="101"/>
      <c r="B12" s="101"/>
      <c r="C12" s="101"/>
      <c r="D12" s="101"/>
      <c r="E12" s="101"/>
      <c r="F12" s="112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>
      <c r="A13" s="101"/>
      <c r="B13" s="101"/>
      <c r="C13" s="101"/>
      <c r="D13" s="101"/>
      <c r="E13" s="101"/>
      <c r="F13" s="112">
        <f t="shared" ref="F13:G13" ca="1" si="1">SUM(F1:F11)</f>
        <v>10764.077369099999</v>
      </c>
      <c r="G13" s="95">
        <f t="shared" ca="1" si="1"/>
        <v>1</v>
      </c>
      <c r="H13" s="101">
        <f t="shared" ref="H13:O13" si="2">SUM(H2:H11)</f>
        <v>3354</v>
      </c>
      <c r="I13" s="101">
        <f t="shared" si="2"/>
        <v>3222</v>
      </c>
      <c r="J13" s="101">
        <f t="shared" si="2"/>
        <v>295</v>
      </c>
      <c r="K13" s="101">
        <f t="shared" si="2"/>
        <v>366</v>
      </c>
      <c r="L13" s="101">
        <f t="shared" si="2"/>
        <v>1106</v>
      </c>
      <c r="M13" s="101">
        <f t="shared" si="2"/>
        <v>1036</v>
      </c>
      <c r="N13" s="101">
        <f t="shared" si="2"/>
        <v>88</v>
      </c>
      <c r="O13" s="101">
        <f t="shared" si="2"/>
        <v>100</v>
      </c>
      <c r="P13" s="95">
        <f t="shared" ref="P13:Q13" si="3">J13/H13</f>
        <v>8.7954680977936794E-2</v>
      </c>
      <c r="Q13" s="95">
        <f t="shared" si="3"/>
        <v>0.11359404096834265</v>
      </c>
      <c r="R13" s="95">
        <f>P13-Q13</f>
        <v>-2.5639359990405855E-2</v>
      </c>
      <c r="S13" s="95">
        <f t="shared" ref="S13:T13" si="4">N13/L13</f>
        <v>7.956600361663653E-2</v>
      </c>
      <c r="T13" s="95">
        <f t="shared" si="4"/>
        <v>9.6525096525096526E-2</v>
      </c>
      <c r="U13" s="95">
        <f>S13-T13</f>
        <v>-1.6959092908459997E-2</v>
      </c>
      <c r="V13" s="95">
        <f>(H13/I13)-1</f>
        <v>4.0968342644320366E-2</v>
      </c>
      <c r="W13" s="95">
        <f>(J13/K13)-1</f>
        <v>-0.19398907103825136</v>
      </c>
      <c r="X13" s="95">
        <f>(L13/M13)-1</f>
        <v>6.7567567567567544E-2</v>
      </c>
      <c r="Y13" s="95">
        <f>(N13/O13)-1</f>
        <v>-0.12</v>
      </c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1" xr:uid="{00000000-0009-0000-0000-000075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533269</v>
      </c>
      <c r="B2" s="98" t="s">
        <v>1529</v>
      </c>
      <c r="C2" s="334" t="str">
        <f>VLOOKUP(A2,'BSE ALL CAP'!$B$4:$Y$1038,2,)</f>
        <v>Utilities</v>
      </c>
      <c r="D2" s="334" t="str">
        <f>VLOOKUP(A2,'BSE ALL CAP'!$B$4:$Y$1038,3,)</f>
        <v>Water Supply &amp; Management</v>
      </c>
      <c r="E2" s="101">
        <f ca="1">IFERROR(__xludf.DUMMYFUNCTION("GOOGLEFINANCE(""BOM:""&amp;A2,""PRICE"")"),1251.8)</f>
        <v>1251.8</v>
      </c>
      <c r="F2" s="112">
        <f ca="1">IFERROR(__xludf.DUMMYFUNCTION("GOOGLEFINANCE(""BOM:""&amp;A2,""MARKETCAP"")/10000000"),7778.5678342)</f>
        <v>7778.5678342000001</v>
      </c>
      <c r="G2" s="95">
        <f t="shared" ref="G2:G6" ca="1" si="0">F2/$F$8</f>
        <v>0.47417587586291765</v>
      </c>
      <c r="H2" s="101">
        <f>VLOOKUP(A2,'BSE ALL CAP'!$B$4:$Y$1038,7,)</f>
        <v>2592</v>
      </c>
      <c r="I2" s="101">
        <f>VLOOKUP(A2,'BSE ALL CAP'!$B$4:$Y$1038,8,)</f>
        <v>2171</v>
      </c>
      <c r="J2" s="101">
        <f>VLOOKUP(A2,'BSE ALL CAP'!$B$4:$Y$1038,9,)</f>
        <v>241</v>
      </c>
      <c r="K2" s="101">
        <f>VLOOKUP(A2,'BSE ALL CAP'!$B$4:$Y$1038,10,)</f>
        <v>195</v>
      </c>
      <c r="L2" s="101">
        <f>VLOOKUP(A2,'BSE ALL CAP'!$B$4:$Y$1038,11,)</f>
        <v>984</v>
      </c>
      <c r="M2" s="101">
        <f>VLOOKUP(A2,'BSE ALL CAP'!$B$4:$Y$1038,12,)</f>
        <v>825</v>
      </c>
      <c r="N2" s="101">
        <f>VLOOKUP(A2,'BSE ALL CAP'!$B$4:$Y$1038,13,)</f>
        <v>91</v>
      </c>
      <c r="O2" s="101">
        <f>VLOOKUP(A2,'BSE ALL CAP'!$B$4:$Y$1038,14,)</f>
        <v>70</v>
      </c>
      <c r="P2" s="95">
        <f>VLOOKUP(A2,'BSE ALL CAP'!$B$4:$Y$1038,15,)</f>
        <v>9.2978395061728392E-2</v>
      </c>
      <c r="Q2" s="95">
        <f>VLOOKUP(A2,'BSE ALL CAP'!$B$4:$Y$1038,16,)</f>
        <v>8.9820359281437126E-2</v>
      </c>
      <c r="R2" s="95">
        <f>VLOOKUP(A2,'BSE ALL CAP'!$B$4:$Y$1038,17,)</f>
        <v>3.1580357802912656E-3</v>
      </c>
      <c r="S2" s="95">
        <f>VLOOKUP(A2,'BSE ALL CAP'!$B$4:$Y$1038,18,)</f>
        <v>9.2479674796747971E-2</v>
      </c>
      <c r="T2" s="95">
        <f>VLOOKUP(A2,'BSE ALL CAP'!$B$4:$Y$1038,19,)</f>
        <v>8.4848484848484854E-2</v>
      </c>
      <c r="U2" s="95">
        <f>VLOOKUP(A2,'BSE ALL CAP'!$B$4:$Y$1038,20,)</f>
        <v>7.6311899482631174E-3</v>
      </c>
      <c r="V2" s="95">
        <f>VLOOKUP(A2,'BSE ALL CAP'!$B$4:$Y$1038,21,)</f>
        <v>0.19391985260248723</v>
      </c>
      <c r="W2" s="95">
        <f>VLOOKUP(A2,'BSE ALL CAP'!$B$4:$Y$1038,22,)</f>
        <v>0.23589743589743595</v>
      </c>
      <c r="X2" s="95">
        <f>VLOOKUP(A2,'BSE ALL CAP'!$B$4:$Y$1038,23,)</f>
        <v>0.19272727272727264</v>
      </c>
      <c r="Y2" s="95">
        <f>VLOOKUP(A2,'BSE ALL CAP'!$B$4:$Y$1038,24,)</f>
        <v>0.30000000000000004</v>
      </c>
    </row>
    <row r="3" spans="1:25" ht="15.75" customHeight="1">
      <c r="A3" s="99">
        <v>500214</v>
      </c>
      <c r="B3" s="98" t="s">
        <v>1411</v>
      </c>
      <c r="C3" s="334" t="str">
        <f>VLOOKUP(A3,'BSE ALL CAP'!$B$4:$Y$1038,2,)</f>
        <v>Utilities</v>
      </c>
      <c r="D3" s="334" t="str">
        <f>VLOOKUP(A3,'BSE ALL CAP'!$B$4:$Y$1038,3,)</f>
        <v>Water Supply &amp; Management</v>
      </c>
      <c r="E3" s="101">
        <f ca="1">IFERROR(__xludf.DUMMYFUNCTION("GOOGLEFINANCE(""BOM:""&amp;A3,""PRICE"")"),343.5)</f>
        <v>343.5</v>
      </c>
      <c r="F3" s="112">
        <f ca="1">IFERROR(__xludf.DUMMYFUNCTION("GOOGLEFINANCE(""BOM:""&amp;A3,""MARKETCAP"")/10000000"),4220.815359)</f>
        <v>4220.8153590000002</v>
      </c>
      <c r="G3" s="95">
        <f t="shared" ca="1" si="0"/>
        <v>0.25729785512827874</v>
      </c>
      <c r="H3" s="101">
        <f>VLOOKUP(A3,'BSE ALL CAP'!$B$4:$Y$1038,7,)</f>
        <v>2051</v>
      </c>
      <c r="I3" s="101">
        <f>VLOOKUP(A3,'BSE ALL CAP'!$B$4:$Y$1038,8,)</f>
        <v>1902</v>
      </c>
      <c r="J3" s="101">
        <f>VLOOKUP(A3,'BSE ALL CAP'!$B$4:$Y$1038,9,)</f>
        <v>118</v>
      </c>
      <c r="K3" s="101">
        <f>VLOOKUP(A3,'BSE ALL CAP'!$B$4:$Y$1038,10,)</f>
        <v>145</v>
      </c>
      <c r="L3" s="101">
        <f>VLOOKUP(A3,'BSE ALL CAP'!$B$4:$Y$1038,11,)</f>
        <v>734</v>
      </c>
      <c r="M3" s="101">
        <f>VLOOKUP(A3,'BSE ALL CAP'!$B$4:$Y$1038,12,)</f>
        <v>690</v>
      </c>
      <c r="N3" s="101">
        <f>VLOOKUP(A3,'BSE ALL CAP'!$B$4:$Y$1038,13,)</f>
        <v>20</v>
      </c>
      <c r="O3" s="101">
        <f>VLOOKUP(A3,'BSE ALL CAP'!$B$4:$Y$1038,14,)</f>
        <v>49</v>
      </c>
      <c r="P3" s="95">
        <f>VLOOKUP(A3,'BSE ALL CAP'!$B$4:$Y$1038,15,)</f>
        <v>5.7532910775231594E-2</v>
      </c>
      <c r="Q3" s="95">
        <f>VLOOKUP(A3,'BSE ALL CAP'!$B$4:$Y$1038,16,)</f>
        <v>7.6235541535226076E-2</v>
      </c>
      <c r="R3" s="95">
        <f>VLOOKUP(A3,'BSE ALL CAP'!$B$4:$Y$1038,17,)</f>
        <v>-1.8702630759994482E-2</v>
      </c>
      <c r="S3" s="95">
        <f>VLOOKUP(A3,'BSE ALL CAP'!$B$4:$Y$1038,18,)</f>
        <v>2.7247956403269755E-2</v>
      </c>
      <c r="T3" s="95">
        <f>VLOOKUP(A3,'BSE ALL CAP'!$B$4:$Y$1038,19,)</f>
        <v>7.101449275362319E-2</v>
      </c>
      <c r="U3" s="95">
        <f>VLOOKUP(A3,'BSE ALL CAP'!$B$4:$Y$1038,20,)</f>
        <v>-4.3766536350353435E-2</v>
      </c>
      <c r="V3" s="95">
        <f>VLOOKUP(A3,'BSE ALL CAP'!$B$4:$Y$1038,21,)</f>
        <v>7.8338590956887444E-2</v>
      </c>
      <c r="W3" s="95">
        <f>VLOOKUP(A3,'BSE ALL CAP'!$B$4:$Y$1038,22,)</f>
        <v>-0.18620689655172418</v>
      </c>
      <c r="X3" s="95">
        <f>VLOOKUP(A3,'BSE ALL CAP'!$B$4:$Y$1038,23,)</f>
        <v>6.3768115942028913E-2</v>
      </c>
      <c r="Y3" s="95">
        <f>VLOOKUP(A3,'BSE ALL CAP'!$B$4:$Y$1038,24,)</f>
        <v>-0.59183673469387754</v>
      </c>
    </row>
    <row r="4" spans="1:25" ht="15.75" customHeight="1">
      <c r="A4" s="99">
        <v>544290</v>
      </c>
      <c r="B4" s="98" t="s">
        <v>1530</v>
      </c>
      <c r="C4" s="334" t="str">
        <f>VLOOKUP(A4,'BSE ALL CAP'!$B$4:$Y$1038,2,)</f>
        <v>Utilities</v>
      </c>
      <c r="D4" s="334" t="str">
        <f>VLOOKUP(A4,'BSE ALL CAP'!$B$4:$Y$1038,3,)</f>
        <v>Water Supply &amp; Management</v>
      </c>
      <c r="E4" s="101">
        <f ca="1">IFERROR(__xludf.DUMMYFUNCTION("GOOGLEFINANCE(""BOM:""&amp;A4,""PRICE"")"),167.5)</f>
        <v>167.5</v>
      </c>
      <c r="F4" s="112">
        <f ca="1">IFERROR(__xludf.DUMMYFUNCTION("GOOGLEFINANCE(""BOM:""&amp;A4,""MARKETCAP"")/10000000"),2939.60155)</f>
        <v>2939.6015499999999</v>
      </c>
      <c r="G4" s="95">
        <f t="shared" ca="1" si="0"/>
        <v>0.17919598689243765</v>
      </c>
      <c r="H4" s="101">
        <f>VLOOKUP(A4,'BSE ALL CAP'!$B$4:$Y$1038,7,)</f>
        <v>718</v>
      </c>
      <c r="I4" s="101">
        <f>VLOOKUP(A4,'BSE ALL CAP'!$B$4:$Y$1038,8,)</f>
        <v>665</v>
      </c>
      <c r="J4" s="101">
        <f>VLOOKUP(A4,'BSE ALL CAP'!$B$4:$Y$1038,9,)</f>
        <v>134</v>
      </c>
      <c r="K4" s="101">
        <f>VLOOKUP(A4,'BSE ALL CAP'!$B$4:$Y$1038,10,)</f>
        <v>103</v>
      </c>
      <c r="L4" s="101">
        <f>VLOOKUP(A4,'BSE ALL CAP'!$B$4:$Y$1038,11,)</f>
        <v>250</v>
      </c>
      <c r="M4" s="101">
        <f>VLOOKUP(A4,'BSE ALL CAP'!$B$4:$Y$1038,12,)</f>
        <v>247</v>
      </c>
      <c r="N4" s="101">
        <f>VLOOKUP(A4,'BSE ALL CAP'!$B$4:$Y$1038,13,)</f>
        <v>42</v>
      </c>
      <c r="O4" s="101">
        <f>VLOOKUP(A4,'BSE ALL CAP'!$B$4:$Y$1038,14,)</f>
        <v>36</v>
      </c>
      <c r="P4" s="95">
        <f>VLOOKUP(A4,'BSE ALL CAP'!$B$4:$Y$1038,15,)</f>
        <v>0.18662952646239556</v>
      </c>
      <c r="Q4" s="95">
        <f>VLOOKUP(A4,'BSE ALL CAP'!$B$4:$Y$1038,16,)</f>
        <v>0.1548872180451128</v>
      </c>
      <c r="R4" s="95">
        <f>VLOOKUP(A4,'BSE ALL CAP'!$B$4:$Y$1038,17,)</f>
        <v>3.1742308417282761E-2</v>
      </c>
      <c r="S4" s="95">
        <f>VLOOKUP(A4,'BSE ALL CAP'!$B$4:$Y$1038,18,)</f>
        <v>0.16800000000000001</v>
      </c>
      <c r="T4" s="95">
        <f>VLOOKUP(A4,'BSE ALL CAP'!$B$4:$Y$1038,19,)</f>
        <v>0.145748987854251</v>
      </c>
      <c r="U4" s="95">
        <f>VLOOKUP(A4,'BSE ALL CAP'!$B$4:$Y$1038,20,)</f>
        <v>2.2251012145749011E-2</v>
      </c>
      <c r="V4" s="95">
        <f>VLOOKUP(A4,'BSE ALL CAP'!$B$4:$Y$1038,21,)</f>
        <v>7.9699248120300714E-2</v>
      </c>
      <c r="W4" s="95">
        <f>VLOOKUP(A4,'BSE ALL CAP'!$B$4:$Y$1038,22,)</f>
        <v>0.30097087378640786</v>
      </c>
      <c r="X4" s="95">
        <f>VLOOKUP(A4,'BSE ALL CAP'!$B$4:$Y$1038,23,)</f>
        <v>1.2145748987854255E-2</v>
      </c>
      <c r="Y4" s="95">
        <f>VLOOKUP(A4,'BSE ALL CAP'!$B$4:$Y$1038,24,)</f>
        <v>0.16666666666666674</v>
      </c>
    </row>
    <row r="5" spans="1:25" ht="15.75" customHeight="1">
      <c r="A5" s="99">
        <v>540311</v>
      </c>
      <c r="B5" s="98" t="s">
        <v>1531</v>
      </c>
      <c r="C5" s="334"/>
      <c r="D5" s="334"/>
      <c r="E5" s="101">
        <f ca="1">IFERROR(__xludf.DUMMYFUNCTION("GOOGLEFINANCE(""BOM:""&amp;A5,""PRICE"")"),308)</f>
        <v>308</v>
      </c>
      <c r="F5" s="112">
        <f ca="1">IFERROR(__xludf.DUMMYFUNCTION("GOOGLEFINANCE(""BOM:""&amp;A5,""MARKETCAP"")/10000000"),804.0117046)</f>
        <v>804.01170460000003</v>
      </c>
      <c r="G5" s="95">
        <f t="shared" ca="1" si="0"/>
        <v>4.9011972686865697E-2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544345</v>
      </c>
      <c r="B6" s="98" t="s">
        <v>1532</v>
      </c>
      <c r="C6" s="334"/>
      <c r="D6" s="334"/>
      <c r="E6" s="101">
        <f ca="1">IFERROR(__xludf.DUMMYFUNCTION("GOOGLEFINANCE(""BOM:""&amp;A6,""PRICE"")"),247.3)</f>
        <v>247.3</v>
      </c>
      <c r="F6" s="112">
        <f ca="1">IFERROR(__xludf.DUMMYFUNCTION("GOOGLEFINANCE(""BOM:""&amp;A6,""MARKETCAP"")/10000000"),661.3974283)</f>
        <v>661.3974283</v>
      </c>
      <c r="G6" s="95">
        <f t="shared" ca="1" si="0"/>
        <v>4.0318309429500328E-2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101"/>
      <c r="B7" s="101"/>
      <c r="C7" s="101"/>
      <c r="D7" s="101"/>
      <c r="E7" s="101"/>
      <c r="F7" s="112"/>
      <c r="G7" s="95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12">
        <f ca="1">SUM(F2:F6)</f>
        <v>16404.393876099999</v>
      </c>
      <c r="G8" s="95">
        <f ca="1">F8/$F$8</f>
        <v>1</v>
      </c>
      <c r="H8" s="101">
        <f t="shared" ref="H8:O8" si="1">SUM(H2:H6)</f>
        <v>5361</v>
      </c>
      <c r="I8" s="101">
        <f t="shared" si="1"/>
        <v>4738</v>
      </c>
      <c r="J8" s="101">
        <f t="shared" si="1"/>
        <v>493</v>
      </c>
      <c r="K8" s="101">
        <f t="shared" si="1"/>
        <v>443</v>
      </c>
      <c r="L8" s="101">
        <f t="shared" si="1"/>
        <v>1968</v>
      </c>
      <c r="M8" s="101">
        <f t="shared" si="1"/>
        <v>1762</v>
      </c>
      <c r="N8" s="101">
        <f t="shared" si="1"/>
        <v>153</v>
      </c>
      <c r="O8" s="101">
        <f t="shared" si="1"/>
        <v>155</v>
      </c>
      <c r="P8" s="95">
        <f t="shared" ref="P8:Q8" si="2">J8/H8</f>
        <v>9.1960455138966612E-2</v>
      </c>
      <c r="Q8" s="95">
        <f t="shared" si="2"/>
        <v>9.349936682144365E-2</v>
      </c>
      <c r="R8" s="95">
        <f>P8-Q8</f>
        <v>-1.5389116824770371E-3</v>
      </c>
      <c r="S8" s="95">
        <f t="shared" ref="S8:T8" si="3">N8/L8</f>
        <v>7.774390243902439E-2</v>
      </c>
      <c r="T8" s="95">
        <f t="shared" si="3"/>
        <v>8.7968217934165718E-2</v>
      </c>
      <c r="U8" s="95">
        <f>S8-T8</f>
        <v>-1.0224315495141328E-2</v>
      </c>
      <c r="V8" s="95">
        <f>(H8/I8)-1</f>
        <v>0.1314900802026171</v>
      </c>
      <c r="W8" s="95">
        <f>(J8/K8)-1</f>
        <v>0.1128668171557563</v>
      </c>
      <c r="X8" s="95">
        <f>(L8/M8)-1</f>
        <v>0.1169125993189557</v>
      </c>
      <c r="Y8" s="95">
        <f>(N8/O8)-1</f>
        <v>-1.2903225806451646E-2</v>
      </c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6" xr:uid="{00000000-0009-0000-0000-000013000000}"/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outlinePr summaryBelow="0" summaryRight="0"/>
  </sheetPr>
  <dimension ref="A1:Y72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500850</v>
      </c>
      <c r="B2" s="98" t="s">
        <v>4106</v>
      </c>
      <c r="C2" s="101" t="str">
        <f>VLOOKUP(A2,'BSE ALL CAP'!$B$4:$Y$1038,2,)</f>
        <v>Consumer Discretionary</v>
      </c>
      <c r="D2" s="101" t="str">
        <f>VLOOKUP(A2,'BSE ALL CAP'!$B$4:$Y$1038,3,)</f>
        <v>Hotels &amp; Resorts</v>
      </c>
      <c r="E2" s="101">
        <f ca="1">IFERROR(__xludf.DUMMYFUNCTION("GOOGLEFINANCE(""BOM:""&amp;A2,""PRICE"")"),597.3)</f>
        <v>597.29999999999995</v>
      </c>
      <c r="F2" s="112">
        <f ca="1">IFERROR(__xludf.DUMMYFUNCTION("GOOGLEFINANCE(""BOM:""&amp;A2,""MARKETCAP"")/10000000"),84986.7651416)</f>
        <v>84986.765141600001</v>
      </c>
      <c r="G2" s="95">
        <f t="shared" ref="G2:G70" ca="1" si="0">F2/$F$72</f>
        <v>0.36602930914218929</v>
      </c>
      <c r="H2" s="101">
        <f>VLOOKUP(A2,'BSE ALL CAP'!$B$4:$Y$1038,7,)</f>
        <v>6923</v>
      </c>
      <c r="I2" s="101">
        <f>VLOOKUP(A2,'BSE ALL CAP'!$B$4:$Y$1038,8,)</f>
        <v>5909</v>
      </c>
      <c r="J2" s="101">
        <f>VLOOKUP(A2,'BSE ALL CAP'!$B$4:$Y$1038,9,)</f>
        <v>1601</v>
      </c>
      <c r="K2" s="101">
        <f>VLOOKUP(A2,'BSE ALL CAP'!$B$4:$Y$1038,10,)</f>
        <v>1475</v>
      </c>
      <c r="L2" s="101">
        <f>VLOOKUP(A2,'BSE ALL CAP'!$B$4:$Y$1038,11,)</f>
        <v>2841</v>
      </c>
      <c r="M2" s="101">
        <f>VLOOKUP(A2,'BSE ALL CAP'!$B$4:$Y$1038,12,)</f>
        <v>2533</v>
      </c>
      <c r="N2" s="101">
        <f>VLOOKUP(A2,'BSE ALL CAP'!$B$4:$Y$1038,13,)</f>
        <v>954</v>
      </c>
      <c r="O2" s="101">
        <f>VLOOKUP(A2,'BSE ALL CAP'!$B$4:$Y$1038,14,)</f>
        <v>632</v>
      </c>
      <c r="P2" s="95">
        <f>VLOOKUP(A2,'BSE ALL CAP'!$B$4:$Y$1038,15,)</f>
        <v>0.23125812509027879</v>
      </c>
      <c r="Q2" s="95">
        <f>VLOOKUP(A2,'BSE ALL CAP'!$B$4:$Y$1038,16,)</f>
        <v>0.24961922491115249</v>
      </c>
      <c r="R2" s="95">
        <f>VLOOKUP(A2,'BSE ALL CAP'!$B$4:$Y$1038,17,)</f>
        <v>-1.8361099820873694E-2</v>
      </c>
      <c r="S2" s="95">
        <f>VLOOKUP(A2,'BSE ALL CAP'!$B$4:$Y$1038,18,)</f>
        <v>0.33579725448785641</v>
      </c>
      <c r="T2" s="95">
        <f>VLOOKUP(A2,'BSE ALL CAP'!$B$4:$Y$1038,19,)</f>
        <v>0.24950651401500198</v>
      </c>
      <c r="U2" s="95">
        <f>VLOOKUP(A2,'BSE ALL CAP'!$B$4:$Y$1038,20,)</f>
        <v>8.6290740472854427E-2</v>
      </c>
      <c r="V2" s="95">
        <f>VLOOKUP(A2,'BSE ALL CAP'!$B$4:$Y$1038,21,)</f>
        <v>0.17160264004061609</v>
      </c>
      <c r="W2" s="95">
        <f>VLOOKUP(A2,'BSE ALL CAP'!$B$4:$Y$1038,22,)</f>
        <v>8.5423728813559308E-2</v>
      </c>
      <c r="X2" s="95">
        <f>VLOOKUP(A2,'BSE ALL CAP'!$B$4:$Y$1038,23,)</f>
        <v>0.12159494670351356</v>
      </c>
      <c r="Y2" s="95">
        <f>VLOOKUP(A2,'BSE ALL CAP'!$B$4:$Y$1038,24,)</f>
        <v>0.509493670886076</v>
      </c>
    </row>
    <row r="3" spans="1:25" ht="15.75" customHeight="1">
      <c r="A3" s="99">
        <v>544325</v>
      </c>
      <c r="B3" s="98" t="s">
        <v>79</v>
      </c>
      <c r="C3" s="101" t="str">
        <f>VLOOKUP(A3,'BSE ALL CAP'!$B$4:$Y$1038,2,)</f>
        <v>Consumer Discretionary</v>
      </c>
      <c r="D3" s="101" t="str">
        <f>VLOOKUP(A3,'BSE ALL CAP'!$B$4:$Y$1038,3,)</f>
        <v>Hotels &amp; Resorts</v>
      </c>
      <c r="E3" s="101">
        <f ca="1">IFERROR(__xludf.DUMMYFUNCTION("GOOGLEFINANCE(""BOM:""&amp;A3,""PRICE"")"),150.65)</f>
        <v>150.65</v>
      </c>
      <c r="F3" s="112">
        <f ca="1">IFERROR(__xludf.DUMMYFUNCTION("GOOGLEFINANCE(""BOM:""&amp;A3,""MARKETCAP"")/10000000"),31390.4476843)</f>
        <v>31390.447684300001</v>
      </c>
      <c r="G3" s="95">
        <f t="shared" ca="1" si="0"/>
        <v>0.13519544908439202</v>
      </c>
      <c r="H3" s="101">
        <f>VLOOKUP(A3,'BSE ALL CAP'!$B$4:$Y$1038,7,)</f>
        <v>2886</v>
      </c>
      <c r="I3" s="101">
        <f>VLOOKUP(A3,'BSE ALL CAP'!$B$4:$Y$1038,8,)</f>
        <v>2499</v>
      </c>
      <c r="J3" s="101">
        <f>VLOOKUP(A3,'BSE ALL CAP'!$B$4:$Y$1038,9,)</f>
        <v>504</v>
      </c>
      <c r="K3" s="101">
        <f>VLOOKUP(A3,'BSE ALL CAP'!$B$4:$Y$1038,10,)</f>
        <v>380</v>
      </c>
      <c r="L3" s="101">
        <f>VLOOKUP(A3,'BSE ALL CAP'!$B$4:$Y$1038,11,)</f>
        <v>1231</v>
      </c>
      <c r="M3" s="101">
        <f>VLOOKUP(A3,'BSE ALL CAP'!$B$4:$Y$1038,12,)</f>
        <v>1015</v>
      </c>
      <c r="N3" s="101">
        <f>VLOOKUP(A3,'BSE ALL CAP'!$B$4:$Y$1038,13,)</f>
        <v>237</v>
      </c>
      <c r="O3" s="101">
        <f>VLOOKUP(A3,'BSE ALL CAP'!$B$4:$Y$1038,14,)</f>
        <v>216</v>
      </c>
      <c r="P3" s="95">
        <f>VLOOKUP(A3,'BSE ALL CAP'!$B$4:$Y$1038,15,)</f>
        <v>0.17463617463617465</v>
      </c>
      <c r="Q3" s="95">
        <f>VLOOKUP(A3,'BSE ALL CAP'!$B$4:$Y$1038,16,)</f>
        <v>0.15206082432973189</v>
      </c>
      <c r="R3" s="95">
        <f>VLOOKUP(A3,'BSE ALL CAP'!$B$4:$Y$1038,17,)</f>
        <v>2.2575350306442754E-2</v>
      </c>
      <c r="S3" s="95">
        <f>VLOOKUP(A3,'BSE ALL CAP'!$B$4:$Y$1038,18,)</f>
        <v>0.19252640129975629</v>
      </c>
      <c r="T3" s="95">
        <f>VLOOKUP(A3,'BSE ALL CAP'!$B$4:$Y$1038,19,)</f>
        <v>0.21280788177339902</v>
      </c>
      <c r="U3" s="95">
        <f>VLOOKUP(A3,'BSE ALL CAP'!$B$4:$Y$1038,20,)</f>
        <v>-2.0281480473642727E-2</v>
      </c>
      <c r="V3" s="95">
        <f>VLOOKUP(A3,'BSE ALL CAP'!$B$4:$Y$1038,21,)</f>
        <v>0.15486194477791115</v>
      </c>
      <c r="W3" s="95">
        <f>VLOOKUP(A3,'BSE ALL CAP'!$B$4:$Y$1038,22,)</f>
        <v>0.32631578947368411</v>
      </c>
      <c r="X3" s="95">
        <f>VLOOKUP(A3,'BSE ALL CAP'!$B$4:$Y$1038,23,)</f>
        <v>0.21280788177339893</v>
      </c>
      <c r="Y3" s="95">
        <f>VLOOKUP(A3,'BSE ALL CAP'!$B$4:$Y$1038,24,)</f>
        <v>9.7222222222222321E-2</v>
      </c>
    </row>
    <row r="4" spans="1:25" ht="15.75" customHeight="1">
      <c r="A4" s="99">
        <v>500840</v>
      </c>
      <c r="B4" s="98" t="s">
        <v>4107</v>
      </c>
      <c r="C4" s="101" t="str">
        <f>VLOOKUP(A4,'BSE ALL CAP'!$B$4:$Y$1038,2,)</f>
        <v>Consumer Discretionary</v>
      </c>
      <c r="D4" s="101" t="str">
        <f>VLOOKUP(A4,'BSE ALL CAP'!$B$4:$Y$1038,3,)</f>
        <v>Hotels &amp; Resorts</v>
      </c>
      <c r="E4" s="101">
        <f ca="1">IFERROR(__xludf.DUMMYFUNCTION("GOOGLEFINANCE(""BOM:""&amp;A4,""PRICE"")"),306.5)</f>
        <v>306.5</v>
      </c>
      <c r="F4" s="112">
        <f ca="1">IFERROR(__xludf.DUMMYFUNCTION("GOOGLEFINANCE(""BOM:""&amp;A4,""MARKETCAP"")/10000000"),19109.63135)</f>
        <v>19109.63135</v>
      </c>
      <c r="G4" s="95">
        <f t="shared" ca="1" si="0"/>
        <v>8.2303228618577084E-2</v>
      </c>
      <c r="H4" s="101">
        <f>VLOOKUP(A4,'BSE ALL CAP'!$B$4:$Y$1038,7,)</f>
        <v>2044</v>
      </c>
      <c r="I4" s="101">
        <f>VLOOKUP(A4,'BSE ALL CAP'!$B$4:$Y$1038,8,)</f>
        <v>1916</v>
      </c>
      <c r="J4" s="101">
        <f>VLOOKUP(A4,'BSE ALL CAP'!$B$4:$Y$1038,9,)</f>
        <v>408</v>
      </c>
      <c r="K4" s="101">
        <f>VLOOKUP(A4,'BSE ALL CAP'!$B$4:$Y$1038,10,)</f>
        <v>508</v>
      </c>
      <c r="L4" s="101">
        <f>VLOOKUP(A4,'BSE ALL CAP'!$B$4:$Y$1038,11,)</f>
        <v>873</v>
      </c>
      <c r="M4" s="101">
        <f>VLOOKUP(A4,'BSE ALL CAP'!$B$4:$Y$1038,12,)</f>
        <v>800</v>
      </c>
      <c r="N4" s="101">
        <f>VLOOKUP(A4,'BSE ALL CAP'!$B$4:$Y$1038,13,)</f>
        <v>255</v>
      </c>
      <c r="O4" s="101">
        <f>VLOOKUP(A4,'BSE ALL CAP'!$B$4:$Y$1038,14,)</f>
        <v>279</v>
      </c>
      <c r="P4" s="95">
        <f>VLOOKUP(A4,'BSE ALL CAP'!$B$4:$Y$1038,15,)</f>
        <v>0.19960861056751467</v>
      </c>
      <c r="Q4" s="95">
        <f>VLOOKUP(A4,'BSE ALL CAP'!$B$4:$Y$1038,16,)</f>
        <v>0.26513569937369519</v>
      </c>
      <c r="R4" s="95">
        <f>VLOOKUP(A4,'BSE ALL CAP'!$B$4:$Y$1038,17,)</f>
        <v>-6.5527088806180522E-2</v>
      </c>
      <c r="S4" s="95">
        <f>VLOOKUP(A4,'BSE ALL CAP'!$B$4:$Y$1038,18,)</f>
        <v>0.29209621993127149</v>
      </c>
      <c r="T4" s="95">
        <f>VLOOKUP(A4,'BSE ALL CAP'!$B$4:$Y$1038,19,)</f>
        <v>0.34875</v>
      </c>
      <c r="U4" s="95">
        <f>VLOOKUP(A4,'BSE ALL CAP'!$B$4:$Y$1038,20,)</f>
        <v>-5.665378006872851E-2</v>
      </c>
      <c r="V4" s="95">
        <f>VLOOKUP(A4,'BSE ALL CAP'!$B$4:$Y$1038,21,)</f>
        <v>6.6805845511482165E-2</v>
      </c>
      <c r="W4" s="95">
        <f>VLOOKUP(A4,'BSE ALL CAP'!$B$4:$Y$1038,22,)</f>
        <v>-0.19685039370078738</v>
      </c>
      <c r="X4" s="95">
        <f>VLOOKUP(A4,'BSE ALL CAP'!$B$4:$Y$1038,23,)</f>
        <v>9.1250000000000053E-2</v>
      </c>
      <c r="Y4" s="95">
        <f>VLOOKUP(A4,'BSE ALL CAP'!$B$4:$Y$1038,24,)</f>
        <v>-8.6021505376344121E-2</v>
      </c>
    </row>
    <row r="5" spans="1:25" ht="15.75" customHeight="1">
      <c r="A5" s="99">
        <v>542399</v>
      </c>
      <c r="B5" s="98" t="s">
        <v>4108</v>
      </c>
      <c r="C5" s="101" t="str">
        <f>VLOOKUP(A5,'BSE ALL CAP'!$B$4:$Y$1038,2,)</f>
        <v>Consumer Discretionary</v>
      </c>
      <c r="D5" s="101" t="str">
        <f>VLOOKUP(A5,'BSE ALL CAP'!$B$4:$Y$1038,3,)</f>
        <v>Hotels &amp; Resorts</v>
      </c>
      <c r="E5" s="101">
        <f ca="1">IFERROR(__xludf.DUMMYFUNCTION("GOOGLEFINANCE(""BOM:""&amp;A5,""PRICE"")"),731.65)</f>
        <v>731.65</v>
      </c>
      <c r="F5" s="112">
        <f ca="1">IFERROR(__xludf.DUMMYFUNCTION("GOOGLEFINANCE(""BOM:""&amp;A5,""MARKETCAP"")/10000000"),16010.6508053)</f>
        <v>16010.6508053</v>
      </c>
      <c r="G5" s="95">
        <f t="shared" ca="1" si="0"/>
        <v>6.8956236225918149E-2</v>
      </c>
      <c r="H5" s="101">
        <f>VLOOKUP(A5,'BSE ALL CAP'!$B$4:$Y$1038,7,)</f>
        <v>2211</v>
      </c>
      <c r="I5" s="101">
        <f>VLOOKUP(A5,'BSE ALL CAP'!$B$4:$Y$1038,8,)</f>
        <v>1195</v>
      </c>
      <c r="J5" s="101">
        <f>VLOOKUP(A5,'BSE ALL CAP'!$B$4:$Y$1038,9,)</f>
        <v>482</v>
      </c>
      <c r="K5" s="101">
        <f>VLOOKUP(A5,'BSE ALL CAP'!$B$4:$Y$1038,10,)</f>
        <v>18</v>
      </c>
      <c r="L5" s="101">
        <f>VLOOKUP(A5,'BSE ALL CAP'!$B$4:$Y$1038,11,)</f>
        <v>581</v>
      </c>
      <c r="M5" s="101">
        <f>VLOOKUP(A5,'BSE ALL CAP'!$B$4:$Y$1038,12,)</f>
        <v>457</v>
      </c>
      <c r="N5" s="101">
        <f>VLOOKUP(A5,'BSE ALL CAP'!$B$4:$Y$1038,13,)</f>
        <v>124</v>
      </c>
      <c r="O5" s="101">
        <f>VLOOKUP(A5,'BSE ALL CAP'!$B$4:$Y$1038,14,)</f>
        <v>96</v>
      </c>
      <c r="P5" s="95">
        <f>VLOOKUP(A5,'BSE ALL CAP'!$B$4:$Y$1038,15,)</f>
        <v>0.21800090456806875</v>
      </c>
      <c r="Q5" s="95">
        <f>VLOOKUP(A5,'BSE ALL CAP'!$B$4:$Y$1038,16,)</f>
        <v>1.506276150627615E-2</v>
      </c>
      <c r="R5" s="95">
        <f>VLOOKUP(A5,'BSE ALL CAP'!$B$4:$Y$1038,17,)</f>
        <v>0.20293814306179261</v>
      </c>
      <c r="S5" s="95">
        <f>VLOOKUP(A5,'BSE ALL CAP'!$B$4:$Y$1038,18,)</f>
        <v>0.21342512908777969</v>
      </c>
      <c r="T5" s="95">
        <f>VLOOKUP(A5,'BSE ALL CAP'!$B$4:$Y$1038,19,)</f>
        <v>0.21006564551422319</v>
      </c>
      <c r="U5" s="95">
        <f>VLOOKUP(A5,'BSE ALL CAP'!$B$4:$Y$1038,20,)</f>
        <v>3.3594835735565043E-3</v>
      </c>
      <c r="V5" s="95">
        <f>VLOOKUP(A5,'BSE ALL CAP'!$B$4:$Y$1038,21,)</f>
        <v>0.85020920502092046</v>
      </c>
      <c r="W5" s="95">
        <f>VLOOKUP(A5,'BSE ALL CAP'!$B$4:$Y$1038,22,)</f>
        <v>25.777777777777779</v>
      </c>
      <c r="X5" s="95">
        <f>VLOOKUP(A5,'BSE ALL CAP'!$B$4:$Y$1038,23,)</f>
        <v>0.27133479212253819</v>
      </c>
      <c r="Y5" s="95">
        <f>VLOOKUP(A5,'BSE ALL CAP'!$B$4:$Y$1038,24,)</f>
        <v>0.29166666666666674</v>
      </c>
    </row>
    <row r="6" spans="1:25" ht="15.75" customHeight="1">
      <c r="A6" s="99">
        <v>544408</v>
      </c>
      <c r="B6" s="98" t="s">
        <v>4109</v>
      </c>
      <c r="C6" s="101" t="str">
        <f>VLOOKUP(A6,'BSE ALL CAP'!$B$4:$Y$1038,2,)</f>
        <v>Consumer Discretionary</v>
      </c>
      <c r="D6" s="101" t="str">
        <f>VLOOKUP(A6,'BSE ALL CAP'!$B$4:$Y$1038,3,)</f>
        <v>Hotels &amp; Resorts</v>
      </c>
      <c r="E6" s="101">
        <f ca="1">IFERROR(__xludf.DUMMYFUNCTION("GOOGLEFINANCE(""BOM:""&amp;A6,""PRICE"")"),412)</f>
        <v>412</v>
      </c>
      <c r="F6" s="112">
        <f ca="1">IFERROR(__xludf.DUMMYFUNCTION("GOOGLEFINANCE(""BOM:""&amp;A6,""MARKETCAP"")/10000000"),13768.99468)</f>
        <v>13768.99468</v>
      </c>
      <c r="G6" s="95">
        <f t="shared" ca="1" si="0"/>
        <v>5.930165246207178E-2</v>
      </c>
      <c r="H6" s="101">
        <f>VLOOKUP(A6,'BSE ALL CAP'!$B$4:$Y$1038,7,)</f>
        <v>1042</v>
      </c>
      <c r="I6" s="101">
        <f>VLOOKUP(A6,'BSE ALL CAP'!$B$4:$Y$1038,8,)</f>
        <v>875</v>
      </c>
      <c r="J6" s="101">
        <f>VLOOKUP(A6,'BSE ALL CAP'!$B$4:$Y$1038,9,)</f>
        <v>231</v>
      </c>
      <c r="K6" s="101">
        <f>VLOOKUP(A6,'BSE ALL CAP'!$B$4:$Y$1038,10,)</f>
        <v>-69</v>
      </c>
      <c r="L6" s="101">
        <f>VLOOKUP(A6,'BSE ALL CAP'!$B$4:$Y$1038,11,)</f>
        <v>457</v>
      </c>
      <c r="M6" s="101">
        <f>VLOOKUP(A6,'BSE ALL CAP'!$B$4:$Y$1038,12,)</f>
        <v>370</v>
      </c>
      <c r="N6" s="101">
        <f>VLOOKUP(A6,'BSE ALL CAP'!$B$4:$Y$1038,13,)</f>
        <v>147</v>
      </c>
      <c r="O6" s="101">
        <f>VLOOKUP(A6,'BSE ALL CAP'!$B$4:$Y$1038,14,)</f>
        <v>56</v>
      </c>
      <c r="P6" s="95">
        <f>VLOOKUP(A6,'BSE ALL CAP'!$B$4:$Y$1038,15,)</f>
        <v>0.22168905950095968</v>
      </c>
      <c r="Q6" s="95">
        <f>VLOOKUP(A6,'BSE ALL CAP'!$B$4:$Y$1038,16,)</f>
        <v>-7.8857142857142862E-2</v>
      </c>
      <c r="R6" s="95">
        <f>VLOOKUP(A6,'BSE ALL CAP'!$B$4:$Y$1038,17,)</f>
        <v>0.30054620235810253</v>
      </c>
      <c r="S6" s="95">
        <f>VLOOKUP(A6,'BSE ALL CAP'!$B$4:$Y$1038,18,)</f>
        <v>0.32166301969365424</v>
      </c>
      <c r="T6" s="95">
        <f>VLOOKUP(A6,'BSE ALL CAP'!$B$4:$Y$1038,19,)</f>
        <v>0.15135135135135136</v>
      </c>
      <c r="U6" s="95">
        <f>VLOOKUP(A6,'BSE ALL CAP'!$B$4:$Y$1038,20,)</f>
        <v>0.17031166834230288</v>
      </c>
      <c r="V6" s="95">
        <f>VLOOKUP(A6,'BSE ALL CAP'!$B$4:$Y$1038,21,)</f>
        <v>0.19085714285714284</v>
      </c>
      <c r="W6" s="95">
        <f>VLOOKUP(A6,'BSE ALL CAP'!$B$4:$Y$1038,22,)</f>
        <v>-4.3478260869565215</v>
      </c>
      <c r="X6" s="95">
        <f>VLOOKUP(A6,'BSE ALL CAP'!$B$4:$Y$1038,23,)</f>
        <v>0.23513513513513518</v>
      </c>
      <c r="Y6" s="95">
        <f>VLOOKUP(A6,'BSE ALL CAP'!$B$4:$Y$1038,24,)</f>
        <v>1.625</v>
      </c>
    </row>
    <row r="7" spans="1:25" ht="15.75" customHeight="1">
      <c r="A7" s="99">
        <v>544321</v>
      </c>
      <c r="B7" s="98" t="s">
        <v>4110</v>
      </c>
      <c r="C7" s="101" t="str">
        <f>VLOOKUP(A7,'BSE ALL CAP'!$B$4:$Y$1038,2,)</f>
        <v>Consumer Discretionary</v>
      </c>
      <c r="D7" s="101" t="str">
        <f>VLOOKUP(A7,'BSE ALL CAP'!$B$4:$Y$1038,3,)</f>
        <v>Hotels &amp; Resorts</v>
      </c>
      <c r="E7" s="101">
        <f ca="1">IFERROR(__xludf.DUMMYFUNCTION("GOOGLEFINANCE(""BOM:""&amp;A7,""PRICE"")"),567.3)</f>
        <v>567.29999999999995</v>
      </c>
      <c r="F7" s="112">
        <f ca="1">IFERROR(__xludf.DUMMYFUNCTION("GOOGLEFINANCE(""BOM:""&amp;A7,""MARKETCAP"")/10000000"),13273.3362658)</f>
        <v>13273.336265800001</v>
      </c>
      <c r="G7" s="95">
        <f t="shared" ca="1" si="0"/>
        <v>5.7166902344005066E-2</v>
      </c>
      <c r="H7" s="101">
        <f>VLOOKUP(A7,'BSE ALL CAP'!$B$4:$Y$1038,7,)</f>
        <v>1682</v>
      </c>
      <c r="I7" s="101">
        <f>VLOOKUP(A7,'BSE ALL CAP'!$B$4:$Y$1038,8,)</f>
        <v>906</v>
      </c>
      <c r="J7" s="101">
        <f>VLOOKUP(A7,'BSE ALL CAP'!$B$4:$Y$1038,9,)</f>
        <v>242</v>
      </c>
      <c r="K7" s="101">
        <f>VLOOKUP(A7,'BSE ALL CAP'!$B$4:$Y$1038,10,)</f>
        <v>13</v>
      </c>
      <c r="L7" s="101">
        <f>VLOOKUP(A7,'BSE ALL CAP'!$B$4:$Y$1038,11,)</f>
        <v>685</v>
      </c>
      <c r="M7" s="101">
        <f>VLOOKUP(A7,'BSE ALL CAP'!$B$4:$Y$1038,12,)</f>
        <v>533</v>
      </c>
      <c r="N7" s="101">
        <f>VLOOKUP(A7,'BSE ALL CAP'!$B$4:$Y$1038,13,)</f>
        <v>140</v>
      </c>
      <c r="O7" s="101">
        <f>VLOOKUP(A7,'BSE ALL CAP'!$B$4:$Y$1038,14,)</f>
        <v>34</v>
      </c>
      <c r="P7" s="95">
        <f>VLOOKUP(A7,'BSE ALL CAP'!$B$4:$Y$1038,15,)</f>
        <v>0.14387633769322236</v>
      </c>
      <c r="Q7" s="95">
        <f>VLOOKUP(A7,'BSE ALL CAP'!$B$4:$Y$1038,16,)</f>
        <v>1.434878587196468E-2</v>
      </c>
      <c r="R7" s="95">
        <f>VLOOKUP(A7,'BSE ALL CAP'!$B$4:$Y$1038,17,)</f>
        <v>0.12952755182125769</v>
      </c>
      <c r="S7" s="95">
        <f>VLOOKUP(A7,'BSE ALL CAP'!$B$4:$Y$1038,18,)</f>
        <v>0.20437956204379562</v>
      </c>
      <c r="T7" s="95">
        <f>VLOOKUP(A7,'BSE ALL CAP'!$B$4:$Y$1038,19,)</f>
        <v>6.3789868667917443E-2</v>
      </c>
      <c r="U7" s="95">
        <f>VLOOKUP(A7,'BSE ALL CAP'!$B$4:$Y$1038,20,)</f>
        <v>0.14058969337587818</v>
      </c>
      <c r="V7" s="95">
        <f>VLOOKUP(A7,'BSE ALL CAP'!$B$4:$Y$1038,21,)</f>
        <v>0.85651214128035313</v>
      </c>
      <c r="W7" s="95">
        <f>VLOOKUP(A7,'BSE ALL CAP'!$B$4:$Y$1038,22,)</f>
        <v>17.615384615384617</v>
      </c>
      <c r="X7" s="95">
        <f>VLOOKUP(A7,'BSE ALL CAP'!$B$4:$Y$1038,23,)</f>
        <v>0.28517823639774864</v>
      </c>
      <c r="Y7" s="95">
        <f>VLOOKUP(A7,'BSE ALL CAP'!$B$4:$Y$1038,24,)</f>
        <v>3.117647058823529</v>
      </c>
    </row>
    <row r="8" spans="1:25" ht="15.75" customHeight="1">
      <c r="A8" s="99">
        <v>541233</v>
      </c>
      <c r="B8" s="98" t="s">
        <v>4111</v>
      </c>
      <c r="C8" s="101" t="str">
        <f>VLOOKUP(A8,'BSE ALL CAP'!$B$4:$Y$1038,2,)</f>
        <v>Consumer Discretionary</v>
      </c>
      <c r="D8" s="101" t="str">
        <f>VLOOKUP(A8,'BSE ALL CAP'!$B$4:$Y$1038,3,)</f>
        <v>Hotels &amp; Resorts</v>
      </c>
      <c r="E8" s="101">
        <f ca="1">IFERROR(__xludf.DUMMYFUNCTION("GOOGLEFINANCE(""BOM:""&amp;A8,""PRICE"")"),109.9)</f>
        <v>109.9</v>
      </c>
      <c r="F8" s="112">
        <f ca="1">IFERROR(__xludf.DUMMYFUNCTION("GOOGLEFINANCE(""BOM:""&amp;A8,""MARKETCAP"")/10000000"),8696.8623357)</f>
        <v>8696.8623356999997</v>
      </c>
      <c r="G8" s="95">
        <f t="shared" ca="1" si="0"/>
        <v>3.7456496986762088E-2</v>
      </c>
      <c r="H8" s="101">
        <f>VLOOKUP(A8,'BSE ALL CAP'!$B$4:$Y$1038,7,)</f>
        <v>1028</v>
      </c>
      <c r="I8" s="101">
        <f>VLOOKUP(A8,'BSE ALL CAP'!$B$4:$Y$1038,8,)</f>
        <v>907</v>
      </c>
      <c r="J8" s="101">
        <f>VLOOKUP(A8,'BSE ALL CAP'!$B$4:$Y$1038,9,)</f>
        <v>171</v>
      </c>
      <c r="K8" s="101">
        <f>VLOOKUP(A8,'BSE ALL CAP'!$B$4:$Y$1038,10,)</f>
        <v>135</v>
      </c>
      <c r="L8" s="101">
        <f>VLOOKUP(A8,'BSE ALL CAP'!$B$4:$Y$1038,11,)</f>
        <v>406</v>
      </c>
      <c r="M8" s="101">
        <f>VLOOKUP(A8,'BSE ALL CAP'!$B$4:$Y$1038,12,)</f>
        <v>355</v>
      </c>
      <c r="N8" s="101">
        <f>VLOOKUP(A8,'BSE ALL CAP'!$B$4:$Y$1038,13,)</f>
        <v>81</v>
      </c>
      <c r="O8" s="101">
        <f>VLOOKUP(A8,'BSE ALL CAP'!$B$4:$Y$1038,14,)</f>
        <v>79</v>
      </c>
      <c r="P8" s="95">
        <f>VLOOKUP(A8,'BSE ALL CAP'!$B$4:$Y$1038,15,)</f>
        <v>0.16634241245136186</v>
      </c>
      <c r="Q8" s="95">
        <f>VLOOKUP(A8,'BSE ALL CAP'!$B$4:$Y$1038,16,)</f>
        <v>0.14884233737596472</v>
      </c>
      <c r="R8" s="95">
        <f>VLOOKUP(A8,'BSE ALL CAP'!$B$4:$Y$1038,17,)</f>
        <v>1.7500075075397137E-2</v>
      </c>
      <c r="S8" s="95">
        <f>VLOOKUP(A8,'BSE ALL CAP'!$B$4:$Y$1038,18,)</f>
        <v>0.19950738916256158</v>
      </c>
      <c r="T8" s="95">
        <f>VLOOKUP(A8,'BSE ALL CAP'!$B$4:$Y$1038,19,)</f>
        <v>0.22253521126760564</v>
      </c>
      <c r="U8" s="95">
        <f>VLOOKUP(A8,'BSE ALL CAP'!$B$4:$Y$1038,20,)</f>
        <v>-2.302782210504406E-2</v>
      </c>
      <c r="V8" s="95">
        <f>VLOOKUP(A8,'BSE ALL CAP'!$B$4:$Y$1038,21,)</f>
        <v>0.13340683572216094</v>
      </c>
      <c r="W8" s="95">
        <f>VLOOKUP(A8,'BSE ALL CAP'!$B$4:$Y$1038,22,)</f>
        <v>0.26666666666666661</v>
      </c>
      <c r="X8" s="95">
        <f>VLOOKUP(A8,'BSE ALL CAP'!$B$4:$Y$1038,23,)</f>
        <v>0.14366197183098595</v>
      </c>
      <c r="Y8" s="95">
        <f>VLOOKUP(A8,'BSE ALL CAP'!$B$4:$Y$1038,24,)</f>
        <v>2.5316455696202445E-2</v>
      </c>
    </row>
    <row r="9" spans="1:25" ht="15.75" customHeight="1">
      <c r="A9" s="99">
        <v>533160</v>
      </c>
      <c r="B9" s="98" t="s">
        <v>4112</v>
      </c>
      <c r="C9" s="101" t="e">
        <f>VLOOKUP(A9,'BSE ALL CAP'!$B$4:$Y$1038,2,)</f>
        <v>#N/A</v>
      </c>
      <c r="D9" s="101" t="e">
        <f>VLOOKUP(A9,'BSE ALL CAP'!$B$4:$Y$1038,3,)</f>
        <v>#N/A</v>
      </c>
      <c r="E9" s="101">
        <f ca="1">IFERROR(__xludf.DUMMYFUNCTION("GOOGLEFINANCE(""BOM:""&amp;A9,""PRICE"")"),91.45)</f>
        <v>91.45</v>
      </c>
      <c r="F9" s="112">
        <f ca="1">IFERROR(__xludf.DUMMYFUNCTION("GOOGLEFINANCE(""BOM:""&amp;A9,""MARKETCAP"")/10000000"),4938.1160207)</f>
        <v>4938.1160207000003</v>
      </c>
      <c r="G9" s="95">
        <f t="shared" ca="1" si="0"/>
        <v>2.1267960870251443E-2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533088</v>
      </c>
      <c r="B10" s="98" t="s">
        <v>4113</v>
      </c>
      <c r="C10" s="101" t="str">
        <f>VLOOKUP(A10,'BSE ALL CAP'!$B$4:$Y$1038,2,)</f>
        <v>Consumer Discretionary</v>
      </c>
      <c r="D10" s="101" t="str">
        <f>VLOOKUP(A10,'BSE ALL CAP'!$B$4:$Y$1038,3,)</f>
        <v>Hotels &amp; Resorts</v>
      </c>
      <c r="E10" s="101">
        <f ca="1">IFERROR(__xludf.DUMMYFUNCTION("GOOGLEFINANCE(""BOM:""&amp;A10,""PRICE"")"),249.6)</f>
        <v>249.6</v>
      </c>
      <c r="F10" s="112">
        <f ca="1">IFERROR(__xludf.DUMMYFUNCTION("GOOGLEFINANCE(""BOM:""&amp;A10,""MARKETCAP"")/10000000"),5022.7481399)</f>
        <v>5022.7481398999998</v>
      </c>
      <c r="G10" s="95">
        <f t="shared" ca="1" si="0"/>
        <v>2.1632462755579139E-2</v>
      </c>
      <c r="H10" s="101">
        <f>VLOOKUP(A10,'BSE ALL CAP'!$B$4:$Y$1038,7,)</f>
        <v>2171</v>
      </c>
      <c r="I10" s="101">
        <f>VLOOKUP(A10,'BSE ALL CAP'!$B$4:$Y$1038,8,)</f>
        <v>2002</v>
      </c>
      <c r="J10" s="101">
        <f>VLOOKUP(A10,'BSE ALL CAP'!$B$4:$Y$1038,9,)</f>
        <v>25</v>
      </c>
      <c r="K10" s="101">
        <f>VLOOKUP(A10,'BSE ALL CAP'!$B$4:$Y$1038,10,)</f>
        <v>52</v>
      </c>
      <c r="L10" s="101">
        <f>VLOOKUP(A10,'BSE ALL CAP'!$B$4:$Y$1038,11,)</f>
        <v>752</v>
      </c>
      <c r="M10" s="101">
        <f>VLOOKUP(A10,'BSE ALL CAP'!$B$4:$Y$1038,12,)</f>
        <v>678</v>
      </c>
      <c r="N10" s="101">
        <f>VLOOKUP(A10,'BSE ALL CAP'!$B$4:$Y$1038,13,)</f>
        <v>1</v>
      </c>
      <c r="O10" s="101">
        <f>VLOOKUP(A10,'BSE ALL CAP'!$B$4:$Y$1038,14,)</f>
        <v>35</v>
      </c>
      <c r="P10" s="95">
        <f>VLOOKUP(A10,'BSE ALL CAP'!$B$4:$Y$1038,15,)</f>
        <v>1.1515430677107323E-2</v>
      </c>
      <c r="Q10" s="95">
        <f>VLOOKUP(A10,'BSE ALL CAP'!$B$4:$Y$1038,16,)</f>
        <v>2.5974025974025976E-2</v>
      </c>
      <c r="R10" s="95">
        <f>VLOOKUP(A10,'BSE ALL CAP'!$B$4:$Y$1038,17,)</f>
        <v>-1.4458595296918652E-2</v>
      </c>
      <c r="S10" s="95">
        <f>VLOOKUP(A10,'BSE ALL CAP'!$B$4:$Y$1038,18,)</f>
        <v>1.3297872340425532E-3</v>
      </c>
      <c r="T10" s="95">
        <f>VLOOKUP(A10,'BSE ALL CAP'!$B$4:$Y$1038,19,)</f>
        <v>5.1622418879056046E-2</v>
      </c>
      <c r="U10" s="95">
        <f>VLOOKUP(A10,'BSE ALL CAP'!$B$4:$Y$1038,20,)</f>
        <v>-5.0292631645013491E-2</v>
      </c>
      <c r="V10" s="95">
        <f>VLOOKUP(A10,'BSE ALL CAP'!$B$4:$Y$1038,21,)</f>
        <v>8.4415584415584499E-2</v>
      </c>
      <c r="W10" s="95">
        <f>VLOOKUP(A10,'BSE ALL CAP'!$B$4:$Y$1038,22,)</f>
        <v>-0.51923076923076916</v>
      </c>
      <c r="X10" s="95">
        <f>VLOOKUP(A10,'BSE ALL CAP'!$B$4:$Y$1038,23,)</f>
        <v>0.10914454277286145</v>
      </c>
      <c r="Y10" s="95">
        <f>VLOOKUP(A10,'BSE ALL CAP'!$B$4:$Y$1038,24,)</f>
        <v>-0.97142857142857142</v>
      </c>
    </row>
    <row r="11" spans="1:25" ht="15.75" customHeight="1">
      <c r="A11" s="99">
        <v>544129</v>
      </c>
      <c r="B11" s="98" t="s">
        <v>4114</v>
      </c>
      <c r="C11" s="101" t="str">
        <f>VLOOKUP(A11,'BSE ALL CAP'!$B$4:$Y$1038,2,)</f>
        <v>Consumer Discretionary</v>
      </c>
      <c r="D11" s="101" t="str">
        <f>VLOOKUP(A11,'BSE ALL CAP'!$B$4:$Y$1038,3,)</f>
        <v>Hotels &amp; Resorts</v>
      </c>
      <c r="E11" s="101">
        <f ca="1">IFERROR(__xludf.DUMMYFUNCTION("GOOGLEFINANCE(""BOM:""&amp;A11,""PRICE"")"),203.25)</f>
        <v>203.25</v>
      </c>
      <c r="F11" s="112">
        <f ca="1">IFERROR(__xludf.DUMMYFUNCTION("GOOGLEFINANCE(""BOM:""&amp;A11,""MARKETCAP"")/10000000"),4524.8067863)</f>
        <v>4524.8067862999997</v>
      </c>
      <c r="G11" s="95">
        <f t="shared" ca="1" si="0"/>
        <v>1.948788025090489E-2</v>
      </c>
      <c r="H11" s="101">
        <f>VLOOKUP(A11,'BSE ALL CAP'!$B$4:$Y$1038,7,)</f>
        <v>746</v>
      </c>
      <c r="I11" s="101">
        <f>VLOOKUP(A11,'BSE ALL CAP'!$B$4:$Y$1038,8,)</f>
        <v>666</v>
      </c>
      <c r="J11" s="101">
        <f>VLOOKUP(A11,'BSE ALL CAP'!$B$4:$Y$1038,9,)</f>
        <v>91</v>
      </c>
      <c r="K11" s="101">
        <f>VLOOKUP(A11,'BSE ALL CAP'!$B$4:$Y$1038,10,)</f>
        <v>16</v>
      </c>
      <c r="L11" s="101">
        <f>VLOOKUP(A11,'BSE ALL CAP'!$B$4:$Y$1038,11,)</f>
        <v>295</v>
      </c>
      <c r="M11" s="101">
        <f>VLOOKUP(A11,'BSE ALL CAP'!$B$4:$Y$1038,12,)</f>
        <v>252</v>
      </c>
      <c r="N11" s="101">
        <f>VLOOKUP(A11,'BSE ALL CAP'!$B$4:$Y$1038,13,)</f>
        <v>65</v>
      </c>
      <c r="O11" s="101">
        <f>VLOOKUP(A11,'BSE ALL CAP'!$B$4:$Y$1038,14,)</f>
        <v>32</v>
      </c>
      <c r="P11" s="95">
        <f>VLOOKUP(A11,'BSE ALL CAP'!$B$4:$Y$1038,15,)</f>
        <v>0.12198391420911528</v>
      </c>
      <c r="Q11" s="95">
        <f>VLOOKUP(A11,'BSE ALL CAP'!$B$4:$Y$1038,16,)</f>
        <v>2.4024024024024024E-2</v>
      </c>
      <c r="R11" s="95">
        <f>VLOOKUP(A11,'BSE ALL CAP'!$B$4:$Y$1038,17,)</f>
        <v>9.7959890185091256E-2</v>
      </c>
      <c r="S11" s="95">
        <f>VLOOKUP(A11,'BSE ALL CAP'!$B$4:$Y$1038,18,)</f>
        <v>0.22033898305084745</v>
      </c>
      <c r="T11" s="95">
        <f>VLOOKUP(A11,'BSE ALL CAP'!$B$4:$Y$1038,19,)</f>
        <v>0.12698412698412698</v>
      </c>
      <c r="U11" s="95">
        <f>VLOOKUP(A11,'BSE ALL CAP'!$B$4:$Y$1038,20,)</f>
        <v>9.3354856066720476E-2</v>
      </c>
      <c r="V11" s="95">
        <f>VLOOKUP(A11,'BSE ALL CAP'!$B$4:$Y$1038,21,)</f>
        <v>0.12012012012012008</v>
      </c>
      <c r="W11" s="95">
        <f>VLOOKUP(A11,'BSE ALL CAP'!$B$4:$Y$1038,22,)</f>
        <v>4.6875</v>
      </c>
      <c r="X11" s="95">
        <f>VLOOKUP(A11,'BSE ALL CAP'!$B$4:$Y$1038,23,)</f>
        <v>0.17063492063492069</v>
      </c>
      <c r="Y11" s="95">
        <f>VLOOKUP(A11,'BSE ALL CAP'!$B$4:$Y$1038,24,)</f>
        <v>1.03125</v>
      </c>
    </row>
    <row r="12" spans="1:25" ht="15.75" customHeight="1">
      <c r="A12" s="99">
        <v>532189</v>
      </c>
      <c r="B12" s="98" t="s">
        <v>4115</v>
      </c>
      <c r="C12" s="101" t="str">
        <f>VLOOKUP(A12,'BSE ALL CAP'!$B$4:$Y$1038,2,)</f>
        <v>Consumer Discretionary</v>
      </c>
      <c r="D12" s="101" t="str">
        <f>VLOOKUP(A12,'BSE ALL CAP'!$B$4:$Y$1038,3,)</f>
        <v>Hotels &amp; Resorts</v>
      </c>
      <c r="E12" s="101">
        <f ca="1">IFERROR(__xludf.DUMMYFUNCTION("GOOGLEFINANCE(""BOM:""&amp;A12,""PRICE"")"),409.5)</f>
        <v>409.5</v>
      </c>
      <c r="F12" s="112">
        <f ca="1">IFERROR(__xludf.DUMMYFUNCTION("GOOGLEFINANCE(""BOM:""&amp;A12,""MARKETCAP"")/10000000"),3504.5369191)</f>
        <v>3504.5369191</v>
      </c>
      <c r="G12" s="95">
        <f t="shared" ca="1" si="0"/>
        <v>1.5093682236571825E-2</v>
      </c>
      <c r="H12" s="101">
        <f>VLOOKUP(A12,'BSE ALL CAP'!$B$4:$Y$1038,7,)</f>
        <v>391</v>
      </c>
      <c r="I12" s="101">
        <f>VLOOKUP(A12,'BSE ALL CAP'!$B$4:$Y$1038,8,)</f>
        <v>387</v>
      </c>
      <c r="J12" s="101">
        <f>VLOOKUP(A12,'BSE ALL CAP'!$B$4:$Y$1038,9,)</f>
        <v>54</v>
      </c>
      <c r="K12" s="101">
        <f>VLOOKUP(A12,'BSE ALL CAP'!$B$4:$Y$1038,10,)</f>
        <v>56</v>
      </c>
      <c r="L12" s="101">
        <f>VLOOKUP(A12,'BSE ALL CAP'!$B$4:$Y$1038,11,)</f>
        <v>184</v>
      </c>
      <c r="M12" s="101">
        <f>VLOOKUP(A12,'BSE ALL CAP'!$B$4:$Y$1038,12,)</f>
        <v>149</v>
      </c>
      <c r="N12" s="101">
        <f>VLOOKUP(A12,'BSE ALL CAP'!$B$4:$Y$1038,13,)</f>
        <v>28</v>
      </c>
      <c r="O12" s="101">
        <f>VLOOKUP(A12,'BSE ALL CAP'!$B$4:$Y$1038,14,)</f>
        <v>20</v>
      </c>
      <c r="P12" s="95">
        <f>VLOOKUP(A12,'BSE ALL CAP'!$B$4:$Y$1038,15,)</f>
        <v>0.13810741687979539</v>
      </c>
      <c r="Q12" s="95">
        <f>VLOOKUP(A12,'BSE ALL CAP'!$B$4:$Y$1038,16,)</f>
        <v>0.14470284237726097</v>
      </c>
      <c r="R12" s="95">
        <f>VLOOKUP(A12,'BSE ALL CAP'!$B$4:$Y$1038,17,)</f>
        <v>-6.5954254974655846E-3</v>
      </c>
      <c r="S12" s="95">
        <f>VLOOKUP(A12,'BSE ALL CAP'!$B$4:$Y$1038,18,)</f>
        <v>0.15217391304347827</v>
      </c>
      <c r="T12" s="95">
        <f>VLOOKUP(A12,'BSE ALL CAP'!$B$4:$Y$1038,19,)</f>
        <v>0.13422818791946309</v>
      </c>
      <c r="U12" s="95">
        <f>VLOOKUP(A12,'BSE ALL CAP'!$B$4:$Y$1038,20,)</f>
        <v>1.7945725124015183E-2</v>
      </c>
      <c r="V12" s="95">
        <f>VLOOKUP(A12,'BSE ALL CAP'!$B$4:$Y$1038,21,)</f>
        <v>1.0335917312661591E-2</v>
      </c>
      <c r="W12" s="95">
        <f>VLOOKUP(A12,'BSE ALL CAP'!$B$4:$Y$1038,22,)</f>
        <v>-3.5714285714285698E-2</v>
      </c>
      <c r="X12" s="95">
        <f>VLOOKUP(A12,'BSE ALL CAP'!$B$4:$Y$1038,23,)</f>
        <v>0.2348993288590604</v>
      </c>
      <c r="Y12" s="95">
        <f>VLOOKUP(A12,'BSE ALL CAP'!$B$4:$Y$1038,24,)</f>
        <v>0.39999999999999991</v>
      </c>
    </row>
    <row r="13" spans="1:25" ht="15.75" customHeight="1">
      <c r="A13" s="99">
        <v>543984</v>
      </c>
      <c r="B13" s="98" t="s">
        <v>4116</v>
      </c>
      <c r="C13" s="101" t="str">
        <f>VLOOKUP(A13,'BSE ALL CAP'!$B$4:$Y$1038,2,)</f>
        <v>Consumer Discretionary</v>
      </c>
      <c r="D13" s="101" t="str">
        <f>VLOOKUP(A13,'BSE ALL CAP'!$B$4:$Y$1038,3,)</f>
        <v>Hotels &amp; Resorts</v>
      </c>
      <c r="E13" s="101">
        <f ca="1">IFERROR(__xludf.DUMMYFUNCTION("GOOGLEFINANCE(""BOM:""&amp;A13,""PRICE"")"),147.95)</f>
        <v>147.94999999999999</v>
      </c>
      <c r="F13" s="112">
        <f ca="1">IFERROR(__xludf.DUMMYFUNCTION("GOOGLEFINANCE(""BOM:""&amp;A13,""MARKETCAP"")/10000000"),3284.8006272)</f>
        <v>3284.8006271999998</v>
      </c>
      <c r="G13" s="95">
        <f t="shared" ca="1" si="0"/>
        <v>1.4147300491324601E-2</v>
      </c>
      <c r="H13" s="101">
        <f>VLOOKUP(A13,'BSE ALL CAP'!$B$4:$Y$1038,7,)</f>
        <v>902</v>
      </c>
      <c r="I13" s="101">
        <f>VLOOKUP(A13,'BSE ALL CAP'!$B$4:$Y$1038,8,)</f>
        <v>801</v>
      </c>
      <c r="J13" s="101">
        <f>VLOOKUP(A13,'BSE ALL CAP'!$B$4:$Y$1038,9,)</f>
        <v>167</v>
      </c>
      <c r="K13" s="101">
        <f>VLOOKUP(A13,'BSE ALL CAP'!$B$4:$Y$1038,10,)</f>
        <v>39</v>
      </c>
      <c r="L13" s="101">
        <f>VLOOKUP(A13,'BSE ALL CAP'!$B$4:$Y$1038,11,)</f>
        <v>337</v>
      </c>
      <c r="M13" s="101">
        <f>VLOOKUP(A13,'BSE ALL CAP'!$B$4:$Y$1038,12,)</f>
        <v>292</v>
      </c>
      <c r="N13" s="101">
        <f>VLOOKUP(A13,'BSE ALL CAP'!$B$4:$Y$1038,13,)</f>
        <v>48</v>
      </c>
      <c r="O13" s="101">
        <f>VLOOKUP(A13,'BSE ALL CAP'!$B$4:$Y$1038,14,)</f>
        <v>22</v>
      </c>
      <c r="P13" s="95">
        <f>VLOOKUP(A13,'BSE ALL CAP'!$B$4:$Y$1038,15,)</f>
        <v>0.18514412416851442</v>
      </c>
      <c r="Q13" s="95">
        <f>VLOOKUP(A13,'BSE ALL CAP'!$B$4:$Y$1038,16,)</f>
        <v>4.8689138576779027E-2</v>
      </c>
      <c r="R13" s="95">
        <f>VLOOKUP(A13,'BSE ALL CAP'!$B$4:$Y$1038,17,)</f>
        <v>0.13645498559173538</v>
      </c>
      <c r="S13" s="95">
        <f>VLOOKUP(A13,'BSE ALL CAP'!$B$4:$Y$1038,18,)</f>
        <v>0.14243323442136499</v>
      </c>
      <c r="T13" s="95">
        <f>VLOOKUP(A13,'BSE ALL CAP'!$B$4:$Y$1038,19,)</f>
        <v>7.5342465753424653E-2</v>
      </c>
      <c r="U13" s="95">
        <f>VLOOKUP(A13,'BSE ALL CAP'!$B$4:$Y$1038,20,)</f>
        <v>6.7090768667940337E-2</v>
      </c>
      <c r="V13" s="95">
        <f>VLOOKUP(A13,'BSE ALL CAP'!$B$4:$Y$1038,21,)</f>
        <v>0.1260923845193509</v>
      </c>
      <c r="W13" s="95">
        <f>VLOOKUP(A13,'BSE ALL CAP'!$B$4:$Y$1038,22,)</f>
        <v>3.2820512820512819</v>
      </c>
      <c r="X13" s="95">
        <f>VLOOKUP(A13,'BSE ALL CAP'!$B$4:$Y$1038,23,)</f>
        <v>0.15410958904109595</v>
      </c>
      <c r="Y13" s="95">
        <f>VLOOKUP(A13,'BSE ALL CAP'!$B$4:$Y$1038,24,)</f>
        <v>1.1818181818181817</v>
      </c>
    </row>
    <row r="14" spans="1:25" ht="15.75" customHeight="1">
      <c r="A14" s="99">
        <v>544457</v>
      </c>
      <c r="B14" s="98" t="s">
        <v>4117</v>
      </c>
      <c r="C14" s="101"/>
      <c r="D14" s="101"/>
      <c r="E14" s="101">
        <f ca="1">IFERROR(__xludf.DUMMYFUNCTION("GOOGLEFINANCE(""BOM:""&amp;A14,""PRICE"")"),58.66)</f>
        <v>58.66</v>
      </c>
      <c r="F14" s="112">
        <f ca="1">IFERROR(__xludf.DUMMYFUNCTION("GOOGLEFINANCE(""BOM:""&amp;A14,""MARKETCAP"")/10000000"),2239.5513452)</f>
        <v>2239.5513452</v>
      </c>
      <c r="G14" s="95">
        <f t="shared" ca="1" si="0"/>
        <v>9.645518691130452E-3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544111</v>
      </c>
      <c r="B15" s="98" t="s">
        <v>4118</v>
      </c>
      <c r="C15" s="101" t="str">
        <f>VLOOKUP(A15,'BSE ALL CAP'!$B$4:$Y$1038,2,)</f>
        <v>Consumer Discretionary</v>
      </c>
      <c r="D15" s="101" t="str">
        <f>VLOOKUP(A15,'BSE ALL CAP'!$B$4:$Y$1038,3,)</f>
        <v>Hotels &amp; Resorts</v>
      </c>
      <c r="E15" s="101">
        <f ca="1">IFERROR(__xludf.DUMMYFUNCTION("GOOGLEFINANCE(""BOM:""&amp;A15,""PRICE"")"),109.42)</f>
        <v>109.42</v>
      </c>
      <c r="F15" s="112">
        <f ca="1">IFERROR(__xludf.DUMMYFUNCTION("GOOGLEFINANCE(""BOM:""&amp;A15,""MARKETCAP"")/10000000"),2334.5227115)</f>
        <v>2334.5227114999998</v>
      </c>
      <c r="G15" s="95">
        <f t="shared" ca="1" si="0"/>
        <v>1.0054550656721327E-2</v>
      </c>
      <c r="H15" s="101">
        <f>VLOOKUP(A15,'BSE ALL CAP'!$B$4:$Y$1038,7,)</f>
        <v>524</v>
      </c>
      <c r="I15" s="101">
        <f>VLOOKUP(A15,'BSE ALL CAP'!$B$4:$Y$1038,8,)</f>
        <v>454</v>
      </c>
      <c r="J15" s="101">
        <f>VLOOKUP(A15,'BSE ALL CAP'!$B$4:$Y$1038,9,)</f>
        <v>54</v>
      </c>
      <c r="K15" s="101">
        <f>VLOOKUP(A15,'BSE ALL CAP'!$B$4:$Y$1038,10,)</f>
        <v>57</v>
      </c>
      <c r="L15" s="101">
        <f>VLOOKUP(A15,'BSE ALL CAP'!$B$4:$Y$1038,11,)</f>
        <v>201</v>
      </c>
      <c r="M15" s="101">
        <f>VLOOKUP(A15,'BSE ALL CAP'!$B$4:$Y$1038,12,)</f>
        <v>179</v>
      </c>
      <c r="N15" s="101">
        <f>VLOOKUP(A15,'BSE ALL CAP'!$B$4:$Y$1038,13,)</f>
        <v>24</v>
      </c>
      <c r="O15" s="101">
        <f>VLOOKUP(A15,'BSE ALL CAP'!$B$4:$Y$1038,14,)</f>
        <v>32</v>
      </c>
      <c r="P15" s="95">
        <f>VLOOKUP(A15,'BSE ALL CAP'!$B$4:$Y$1038,15,)</f>
        <v>0.10305343511450382</v>
      </c>
      <c r="Q15" s="95">
        <f>VLOOKUP(A15,'BSE ALL CAP'!$B$4:$Y$1038,16,)</f>
        <v>0.12555066079295155</v>
      </c>
      <c r="R15" s="95">
        <f>VLOOKUP(A15,'BSE ALL CAP'!$B$4:$Y$1038,17,)</f>
        <v>-2.2497225678447724E-2</v>
      </c>
      <c r="S15" s="95">
        <f>VLOOKUP(A15,'BSE ALL CAP'!$B$4:$Y$1038,18,)</f>
        <v>0.11940298507462686</v>
      </c>
      <c r="T15" s="95">
        <f>VLOOKUP(A15,'BSE ALL CAP'!$B$4:$Y$1038,19,)</f>
        <v>0.1787709497206704</v>
      </c>
      <c r="U15" s="95">
        <f>VLOOKUP(A15,'BSE ALL CAP'!$B$4:$Y$1038,20,)</f>
        <v>-5.9367964646043533E-2</v>
      </c>
      <c r="V15" s="95">
        <f>VLOOKUP(A15,'BSE ALL CAP'!$B$4:$Y$1038,21,)</f>
        <v>0.15418502202643181</v>
      </c>
      <c r="W15" s="95">
        <f>VLOOKUP(A15,'BSE ALL CAP'!$B$4:$Y$1038,22,)</f>
        <v>-5.2631578947368474E-2</v>
      </c>
      <c r="X15" s="95">
        <f>VLOOKUP(A15,'BSE ALL CAP'!$B$4:$Y$1038,23,)</f>
        <v>0.12290502793296088</v>
      </c>
      <c r="Y15" s="95">
        <f>VLOOKUP(A15,'BSE ALL CAP'!$B$4:$Y$1038,24,)</f>
        <v>-0.25</v>
      </c>
    </row>
    <row r="16" spans="1:25" ht="15.75" customHeight="1">
      <c r="A16" s="99">
        <v>532390</v>
      </c>
      <c r="B16" s="98" t="s">
        <v>4119</v>
      </c>
      <c r="C16" s="101" t="str">
        <f>VLOOKUP(A16,'BSE ALL CAP'!$B$4:$Y$1038,2,)</f>
        <v>Consumer Discretionary</v>
      </c>
      <c r="D16" s="101" t="str">
        <f>VLOOKUP(A16,'BSE ALL CAP'!$B$4:$Y$1038,3,)</f>
        <v>Hotels &amp; Resorts</v>
      </c>
      <c r="E16" s="101">
        <f ca="1">IFERROR(__xludf.DUMMYFUNCTION("GOOGLEFINANCE(""BOM:""&amp;A16,""PRICE"")"),323.35)</f>
        <v>323.35000000000002</v>
      </c>
      <c r="F16" s="112">
        <f ca="1">IFERROR(__xludf.DUMMYFUNCTION("GOOGLEFINANCE(""BOM:""&amp;A16,""MARKETCAP"")/10000000"),2027.452394)</f>
        <v>2027.4523939999999</v>
      </c>
      <c r="G16" s="95">
        <f t="shared" ca="1" si="0"/>
        <v>8.7320301915014917E-3</v>
      </c>
      <c r="H16" s="101">
        <f>VLOOKUP(A16,'BSE ALL CAP'!$B$4:$Y$1038,7,)</f>
        <v>349</v>
      </c>
      <c r="I16" s="101">
        <f>VLOOKUP(A16,'BSE ALL CAP'!$B$4:$Y$1038,8,)</f>
        <v>324</v>
      </c>
      <c r="J16" s="101">
        <f>VLOOKUP(A16,'BSE ALL CAP'!$B$4:$Y$1038,9,)</f>
        <v>73</v>
      </c>
      <c r="K16" s="101">
        <f>VLOOKUP(A16,'BSE ALL CAP'!$B$4:$Y$1038,10,)</f>
        <v>66</v>
      </c>
      <c r="L16" s="101">
        <f>VLOOKUP(A16,'BSE ALL CAP'!$B$4:$Y$1038,11,)</f>
        <v>136</v>
      </c>
      <c r="M16" s="101">
        <f>VLOOKUP(A16,'BSE ALL CAP'!$B$4:$Y$1038,12,)</f>
        <v>126</v>
      </c>
      <c r="N16" s="101">
        <f>VLOOKUP(A16,'BSE ALL CAP'!$B$4:$Y$1038,13,)</f>
        <v>29</v>
      </c>
      <c r="O16" s="101">
        <f>VLOOKUP(A16,'BSE ALL CAP'!$B$4:$Y$1038,14,)</f>
        <v>33</v>
      </c>
      <c r="P16" s="95">
        <f>VLOOKUP(A16,'BSE ALL CAP'!$B$4:$Y$1038,15,)</f>
        <v>0.20916905444126074</v>
      </c>
      <c r="Q16" s="95">
        <f>VLOOKUP(A16,'BSE ALL CAP'!$B$4:$Y$1038,16,)</f>
        <v>0.20370370370370369</v>
      </c>
      <c r="R16" s="95">
        <f>VLOOKUP(A16,'BSE ALL CAP'!$B$4:$Y$1038,17,)</f>
        <v>5.4653507375570509E-3</v>
      </c>
      <c r="S16" s="95">
        <f>VLOOKUP(A16,'BSE ALL CAP'!$B$4:$Y$1038,18,)</f>
        <v>0.21323529411764705</v>
      </c>
      <c r="T16" s="95">
        <f>VLOOKUP(A16,'BSE ALL CAP'!$B$4:$Y$1038,19,)</f>
        <v>0.26190476190476192</v>
      </c>
      <c r="U16" s="95">
        <f>VLOOKUP(A16,'BSE ALL CAP'!$B$4:$Y$1038,20,)</f>
        <v>-4.8669467787114867E-2</v>
      </c>
      <c r="V16" s="95">
        <f>VLOOKUP(A16,'BSE ALL CAP'!$B$4:$Y$1038,21,)</f>
        <v>7.7160493827160392E-2</v>
      </c>
      <c r="W16" s="95">
        <f>VLOOKUP(A16,'BSE ALL CAP'!$B$4:$Y$1038,22,)</f>
        <v>0.10606060606060597</v>
      </c>
      <c r="X16" s="95">
        <f>VLOOKUP(A16,'BSE ALL CAP'!$B$4:$Y$1038,23,)</f>
        <v>7.9365079365079305E-2</v>
      </c>
      <c r="Y16" s="95">
        <f>VLOOKUP(A16,'BSE ALL CAP'!$B$4:$Y$1038,24,)</f>
        <v>-0.12121212121212122</v>
      </c>
    </row>
    <row r="17" spans="1:25" ht="15.75" customHeight="1">
      <c r="A17" s="99">
        <v>523127</v>
      </c>
      <c r="B17" s="98" t="s">
        <v>4120</v>
      </c>
      <c r="C17" s="101"/>
      <c r="D17" s="101"/>
      <c r="E17" s="101">
        <f ca="1">IFERROR(__xludf.DUMMYFUNCTION("GOOGLEFINANCE(""BOM:""&amp;A17,""PRICE"")"),292.2)</f>
        <v>292.2</v>
      </c>
      <c r="F17" s="112">
        <f ca="1">IFERROR(__xludf.DUMMYFUNCTION("GOOGLEFINANCE(""BOM:""&amp;A17,""MARKETCAP"")/10000000"),1789.6992053)</f>
        <v>1789.6992052999999</v>
      </c>
      <c r="G17" s="95">
        <f t="shared" ca="1" si="0"/>
        <v>7.7080515136306706E-3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500314</v>
      </c>
      <c r="B18" s="98" t="s">
        <v>4121</v>
      </c>
      <c r="C18" s="101"/>
      <c r="D18" s="101"/>
      <c r="E18" s="101">
        <f ca="1">IFERROR(__xludf.DUMMYFUNCTION("GOOGLEFINANCE(""BOM:""&amp;A18,""PRICE"")"),91.51)</f>
        <v>91.51</v>
      </c>
      <c r="F18" s="112">
        <f ca="1">IFERROR(__xludf.DUMMYFUNCTION("GOOGLEFINANCE(""BOM:""&amp;A18,""MARKETCAP"")/10000000"),1635.074815)</f>
        <v>1635.0748149999999</v>
      </c>
      <c r="G18" s="95">
        <f t="shared" ca="1" si="0"/>
        <v>7.0421000720886553E-3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500023</v>
      </c>
      <c r="B19" s="98" t="s">
        <v>4122</v>
      </c>
      <c r="C19" s="101"/>
      <c r="D19" s="101"/>
      <c r="E19" s="101">
        <f ca="1">IFERROR(__xludf.DUMMYFUNCTION("GOOGLEFINANCE(""BOM:""&amp;A19,""PRICE"")"),303.95)</f>
        <v>303.95</v>
      </c>
      <c r="F19" s="112">
        <f ca="1">IFERROR(__xludf.DUMMYFUNCTION("GOOGLEFINANCE(""BOM:""&amp;A19,""MARKETCAP"")/10000000"),1316.9401397)</f>
        <v>1316.9401396999999</v>
      </c>
      <c r="G19" s="95">
        <f t="shared" ca="1" si="0"/>
        <v>5.6719265489498802E-3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509438</v>
      </c>
      <c r="B20" s="98" t="s">
        <v>4123</v>
      </c>
      <c r="C20" s="101"/>
      <c r="D20" s="101"/>
      <c r="E20" s="101">
        <f ca="1">IFERROR(__xludf.DUMMYFUNCTION("GOOGLEFINANCE(""BOM:""&amp;A20,""PRICE"")"),9380.05)</f>
        <v>9380.0499999999993</v>
      </c>
      <c r="F20" s="112">
        <f ca="1">IFERROR(__xludf.DUMMYFUNCTION("GOOGLEFINANCE(""BOM:""&amp;A20,""MARKETCAP"")/10000000"),1219.4055366)</f>
        <v>1219.4055366</v>
      </c>
      <c r="G20" s="95">
        <f t="shared" ca="1" si="0"/>
        <v>5.2518549845048928E-3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523796</v>
      </c>
      <c r="B21" s="98" t="s">
        <v>4124</v>
      </c>
      <c r="C21" s="101"/>
      <c r="D21" s="101"/>
      <c r="E21" s="101">
        <f ca="1">IFERROR(__xludf.DUMMYFUNCTION("GOOGLEFINANCE(""BOM:""&amp;A21,""PRICE"")"),139.7)</f>
        <v>139.69999999999999</v>
      </c>
      <c r="F21" s="112">
        <f ca="1">IFERROR(__xludf.DUMMYFUNCTION("GOOGLEFINANCE(""BOM:""&amp;A21,""MARKETCAP"")/10000000"),943.4020436)</f>
        <v>943.40204359999996</v>
      </c>
      <c r="G21" s="95">
        <f t="shared" ca="1" si="0"/>
        <v>4.0631361563991455E-3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532699</v>
      </c>
      <c r="B22" s="98" t="s">
        <v>4125</v>
      </c>
      <c r="C22" s="101"/>
      <c r="D22" s="101"/>
      <c r="E22" s="101">
        <f ca="1">IFERROR(__xludf.DUMMYFUNCTION("GOOGLEFINANCE(""BOM:""&amp;A22,""PRICE"")"),308.5)</f>
        <v>308.5</v>
      </c>
      <c r="F22" s="112">
        <f ca="1">IFERROR(__xludf.DUMMYFUNCTION("GOOGLEFINANCE(""BOM:""&amp;A22,""MARKETCAP"")/10000000"),844.8560016)</f>
        <v>844.85600160000001</v>
      </c>
      <c r="G22" s="95">
        <f t="shared" ca="1" si="0"/>
        <v>3.6387084280127533E-3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509960</v>
      </c>
      <c r="B23" s="98" t="s">
        <v>4126</v>
      </c>
      <c r="C23" s="101"/>
      <c r="D23" s="101"/>
      <c r="E23" s="101">
        <f ca="1">IFERROR(__xludf.DUMMYFUNCTION("GOOGLEFINANCE(""BOM:""&amp;A23,""PRICE"")"),1379)</f>
        <v>1379</v>
      </c>
      <c r="F23" s="112">
        <f ca="1">IFERROR(__xludf.DUMMYFUNCTION("GOOGLEFINANCE(""BOM:""&amp;A23,""MARKETCAP"")/10000000"),744.66)</f>
        <v>744.66</v>
      </c>
      <c r="G23" s="95">
        <f t="shared" ca="1" si="0"/>
        <v>3.2071744923069701E-3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507836</v>
      </c>
      <c r="B24" s="98" t="s">
        <v>4127</v>
      </c>
      <c r="C24" s="101"/>
      <c r="D24" s="101"/>
      <c r="E24" s="101">
        <f ca="1">IFERROR(__xludf.DUMMYFUNCTION("GOOGLEFINANCE(""BOM:""&amp;A24,""PRICE"")"),659)</f>
        <v>659</v>
      </c>
      <c r="F24" s="112">
        <f ca="1">IFERROR(__xludf.DUMMYFUNCTION("GOOGLEFINANCE(""BOM:""&amp;A24,""MARKETCAP"")/10000000"),863.359195)</f>
        <v>863.359195</v>
      </c>
      <c r="G24" s="95">
        <f t="shared" ca="1" si="0"/>
        <v>3.7183997903777288E-3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544446</v>
      </c>
      <c r="B25" s="98" t="s">
        <v>4128</v>
      </c>
      <c r="C25" s="101"/>
      <c r="D25" s="101"/>
      <c r="E25" s="101">
        <f ca="1">IFERROR(__xludf.DUMMYFUNCTION("GOOGLEFINANCE(""BOM:""&amp;A25,""PRICE"")"),147.3)</f>
        <v>147.30000000000001</v>
      </c>
      <c r="F25" s="112">
        <f ca="1">IFERROR(__xludf.DUMMYFUNCTION("GOOGLEFINANCE(""BOM:""&amp;A25,""MARKETCAP"")/10000000"),793.4459492)</f>
        <v>793.44594919999997</v>
      </c>
      <c r="G25" s="95">
        <f t="shared" ca="1" si="0"/>
        <v>3.4172905880516368E-3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531637</v>
      </c>
      <c r="B26" s="98" t="s">
        <v>4129</v>
      </c>
      <c r="C26" s="101"/>
      <c r="D26" s="101"/>
      <c r="E26" s="101">
        <f ca="1">IFERROR(__xludf.DUMMYFUNCTION("GOOGLEFINANCE(""BOM:""&amp;A26,""PRICE"")"),200)</f>
        <v>200</v>
      </c>
      <c r="F26" s="112">
        <f ca="1">IFERROR(__xludf.DUMMYFUNCTION("GOOGLEFINANCE(""BOM:""&amp;A26,""MARKETCAP"")/10000000"),522.8138)</f>
        <v>522.81380000000001</v>
      </c>
      <c r="G26" s="95">
        <f t="shared" ca="1" si="0"/>
        <v>2.2517055885720705E-3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523710</v>
      </c>
      <c r="B27" s="98" t="s">
        <v>4130</v>
      </c>
      <c r="C27" s="101"/>
      <c r="D27" s="101"/>
      <c r="E27" s="101">
        <f ca="1">IFERROR(__xludf.DUMMYFUNCTION("GOOGLEFINANCE(""BOM:""&amp;A27,""PRICE"")"),271.6)</f>
        <v>271.60000000000002</v>
      </c>
      <c r="F27" s="112">
        <f ca="1">IFERROR(__xludf.DUMMYFUNCTION("GOOGLEFINANCE(""BOM:""&amp;A27,""MARKETCAP"")/10000000"),475.2627)</f>
        <v>475.2627</v>
      </c>
      <c r="G27" s="95">
        <f t="shared" ca="1" si="0"/>
        <v>2.0469078620913433E-3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526668</v>
      </c>
      <c r="B28" s="98" t="s">
        <v>4131</v>
      </c>
      <c r="C28" s="101"/>
      <c r="D28" s="101"/>
      <c r="E28" s="101">
        <f ca="1">IFERROR(__xludf.DUMMYFUNCTION("GOOGLEFINANCE(""BOM:""&amp;A28,""PRICE"")"),163)</f>
        <v>163</v>
      </c>
      <c r="F28" s="112">
        <f ca="1">IFERROR(__xludf.DUMMYFUNCTION("GOOGLEFINANCE(""BOM:""&amp;A28,""MARKETCAP"")/10000000"),483.6205573)</f>
        <v>483.62055729999997</v>
      </c>
      <c r="G28" s="95">
        <f t="shared" ca="1" si="0"/>
        <v>2.0829042990463315E-3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531035</v>
      </c>
      <c r="B29" s="98" t="s">
        <v>4132</v>
      </c>
      <c r="C29" s="101"/>
      <c r="D29" s="101"/>
      <c r="E29" s="101">
        <f ca="1">IFERROR(__xludf.DUMMYFUNCTION("GOOGLEFINANCE(""BOM:""&amp;A29,""PRICE"")"),23.78)</f>
        <v>23.78</v>
      </c>
      <c r="F29" s="112">
        <f ca="1">IFERROR(__xludf.DUMMYFUNCTION("GOOGLEFINANCE(""BOM:""&amp;A29,""MARKETCAP"")/10000000"),491.5185839)</f>
        <v>491.51858390000001</v>
      </c>
      <c r="G29" s="95">
        <f t="shared" ca="1" si="0"/>
        <v>2.1169202921855926E-3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523269</v>
      </c>
      <c r="B30" s="98" t="s">
        <v>4133</v>
      </c>
      <c r="C30" s="101"/>
      <c r="D30" s="101"/>
      <c r="E30" s="101">
        <f ca="1">IFERROR(__xludf.DUMMYFUNCTION("GOOGLEFINANCE(""BOM:""&amp;A30,""PRICE"")"),51.08)</f>
        <v>51.08</v>
      </c>
      <c r="F30" s="112">
        <f ca="1">IFERROR(__xludf.DUMMYFUNCTION("GOOGLEFINANCE(""BOM:""&amp;A30,""MARKETCAP"")/10000000"),471.343927)</f>
        <v>471.34392700000001</v>
      </c>
      <c r="G30" s="95">
        <f t="shared" ca="1" si="0"/>
        <v>2.0300301074023027E-3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500193</v>
      </c>
      <c r="B31" s="98" t="s">
        <v>4134</v>
      </c>
      <c r="C31" s="101"/>
      <c r="D31" s="101"/>
      <c r="E31" s="101">
        <f ca="1">IFERROR(__xludf.DUMMYFUNCTION("GOOGLEFINANCE(""BOM:""&amp;A31,""PRICE"")"),7.41)</f>
        <v>7.41</v>
      </c>
      <c r="F31" s="112">
        <f ca="1">IFERROR(__xludf.DUMMYFUNCTION("GOOGLEFINANCE(""BOM:""&amp;A31,""MARKETCAP"")/10000000"),487.2426874)</f>
        <v>487.24268740000002</v>
      </c>
      <c r="G31" s="95">
        <f t="shared" ca="1" si="0"/>
        <v>2.0985044430913151E-3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532016</v>
      </c>
      <c r="B32" s="98" t="s">
        <v>4135</v>
      </c>
      <c r="C32" s="101"/>
      <c r="D32" s="101"/>
      <c r="E32" s="101">
        <f ca="1">IFERROR(__xludf.DUMMYFUNCTION("GOOGLEFINANCE(""BOM:""&amp;A32,""PRICE"")"),255)</f>
        <v>255</v>
      </c>
      <c r="F32" s="112">
        <f ca="1">IFERROR(__xludf.DUMMYFUNCTION("GOOGLEFINANCE(""BOM:""&amp;A32,""MARKETCAP"")/10000000"),380.52681)</f>
        <v>380.52681000000001</v>
      </c>
      <c r="G32" s="95">
        <f t="shared" ca="1" si="0"/>
        <v>1.6388900688514771E-3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523023</v>
      </c>
      <c r="B33" s="98" t="s">
        <v>4136</v>
      </c>
      <c r="C33" s="101"/>
      <c r="D33" s="101"/>
      <c r="E33" s="101">
        <f ca="1">IFERROR(__xludf.DUMMYFUNCTION("GOOGLEFINANCE(""BOM:""&amp;A33,""PRICE"")"),77.08)</f>
        <v>77.08</v>
      </c>
      <c r="F33" s="112">
        <f ca="1">IFERROR(__xludf.DUMMYFUNCTION("GOOGLEFINANCE(""BOM:""&amp;A33,""MARKETCAP"")/10000000"),394.1380599)</f>
        <v>394.13805989999997</v>
      </c>
      <c r="G33" s="95">
        <f t="shared" ca="1" si="0"/>
        <v>1.6975123306725709E-3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543901</v>
      </c>
      <c r="B34" s="98" t="s">
        <v>4137</v>
      </c>
      <c r="C34" s="101"/>
      <c r="D34" s="101"/>
      <c r="E34" s="101">
        <f ca="1">IFERROR(__xludf.DUMMYFUNCTION("GOOGLEFINANCE(""BOM:""&amp;A34,""PRICE"")"),171.6)</f>
        <v>171.6</v>
      </c>
      <c r="F34" s="112">
        <f ca="1">IFERROR(__xludf.DUMMYFUNCTION("GOOGLEFINANCE(""BOM:""&amp;A34,""MARKETCAP"")/10000000"),299.146237)</f>
        <v>299.14623699999999</v>
      </c>
      <c r="G34" s="95">
        <f t="shared" ca="1" si="0"/>
        <v>1.2883922605968032E-3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507265</v>
      </c>
      <c r="B35" s="98" t="s">
        <v>4138</v>
      </c>
      <c r="C35" s="101"/>
      <c r="D35" s="101"/>
      <c r="E35" s="101">
        <f ca="1">IFERROR(__xludf.DUMMYFUNCTION("GOOGLEFINANCE(""BOM:""&amp;A35,""PRICE"")"),167.1)</f>
        <v>167.1</v>
      </c>
      <c r="F35" s="112">
        <f ca="1">IFERROR(__xludf.DUMMYFUNCTION("GOOGLEFINANCE(""BOM:""&amp;A35,""MARKETCAP"")/10000000"),260.9482)</f>
        <v>260.94819999999999</v>
      </c>
      <c r="G35" s="95">
        <f t="shared" ca="1" si="0"/>
        <v>1.1238772202796143E-3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533227</v>
      </c>
      <c r="B36" s="98" t="s">
        <v>4139</v>
      </c>
      <c r="C36" s="101"/>
      <c r="D36" s="101"/>
      <c r="E36" s="101">
        <f ca="1">IFERROR(__xludf.DUMMYFUNCTION("GOOGLEFINANCE(""BOM:""&amp;A36,""PRICE"")"),160.1)</f>
        <v>160.1</v>
      </c>
      <c r="F36" s="112">
        <f ca="1">IFERROR(__xludf.DUMMYFUNCTION("GOOGLEFINANCE(""BOM:""&amp;A36,""MARKETCAP"")/10000000"),274.6611976)</f>
        <v>274.66119759999998</v>
      </c>
      <c r="G36" s="95">
        <f t="shared" ca="1" si="0"/>
        <v>1.1829376990427905E-3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544080</v>
      </c>
      <c r="B37" s="98" t="s">
        <v>4140</v>
      </c>
      <c r="C37" s="101"/>
      <c r="D37" s="101"/>
      <c r="E37" s="101">
        <f ca="1">IFERROR(__xludf.DUMMYFUNCTION("GOOGLEFINANCE(""BOM:""&amp;A37,""PRICE"")"),944.95)</f>
        <v>944.95</v>
      </c>
      <c r="F37" s="112">
        <f ca="1">IFERROR(__xludf.DUMMYFUNCTION("GOOGLEFINANCE(""BOM:""&amp;A37,""MARKETCAP"")/10000000"),287.8889431)</f>
        <v>287.88894310000001</v>
      </c>
      <c r="G37" s="95">
        <f t="shared" ca="1" si="0"/>
        <v>1.2399082466193064E-3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544090</v>
      </c>
      <c r="B38" s="98" t="s">
        <v>4141</v>
      </c>
      <c r="C38" s="101"/>
      <c r="D38" s="101"/>
      <c r="E38" s="101">
        <f ca="1">IFERROR(__xludf.DUMMYFUNCTION("GOOGLEFINANCE(""BOM:""&amp;A38,""PRICE"")"),712)</f>
        <v>712</v>
      </c>
      <c r="F38" s="112">
        <f ca="1">IFERROR(__xludf.DUMMYFUNCTION("GOOGLEFINANCE(""BOM:""&amp;A38,""MARKETCAP"")/10000000"),216.9182048)</f>
        <v>216.91820480000001</v>
      </c>
      <c r="G38" s="95">
        <f t="shared" ca="1" si="0"/>
        <v>9.3424453220473697E-4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512634</v>
      </c>
      <c r="B39" s="98" t="s">
        <v>4142</v>
      </c>
      <c r="C39" s="101"/>
      <c r="D39" s="101"/>
      <c r="E39" s="101">
        <f ca="1">IFERROR(__xludf.DUMMYFUNCTION("GOOGLEFINANCE(""BOM:""&amp;A39,""PRICE"")"),158)</f>
        <v>158</v>
      </c>
      <c r="F39" s="112">
        <f ca="1">IFERROR(__xludf.DUMMYFUNCTION("GOOGLEFINANCE(""BOM:""&amp;A39,""MARKETCAP"")/10000000"),188.4624)</f>
        <v>188.4624</v>
      </c>
      <c r="G39" s="95">
        <f t="shared" ca="1" si="0"/>
        <v>8.1168829001014304E-4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509546</v>
      </c>
      <c r="B40" s="98" t="s">
        <v>4143</v>
      </c>
      <c r="C40" s="101"/>
      <c r="D40" s="101"/>
      <c r="E40" s="101">
        <f ca="1">IFERROR(__xludf.DUMMYFUNCTION("GOOGLEFINANCE(""BOM:""&amp;A40,""PRICE"")"),29.8)</f>
        <v>29.8</v>
      </c>
      <c r="F40" s="112">
        <f ca="1">IFERROR(__xludf.DUMMYFUNCTION("GOOGLEFINANCE(""BOM:""&amp;A40,""MARKETCAP"")/10000000"),210.1470318)</f>
        <v>210.14703180000001</v>
      </c>
      <c r="G40" s="95">
        <f t="shared" ca="1" si="0"/>
        <v>9.0508178232076618E-4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526550</v>
      </c>
      <c r="B41" s="98" t="s">
        <v>4144</v>
      </c>
      <c r="C41" s="101"/>
      <c r="D41" s="101"/>
      <c r="E41" s="101">
        <f ca="1">IFERROR(__xludf.DUMMYFUNCTION("GOOGLEFINANCE(""BOM:""&amp;A41,""PRICE"")"),11.35)</f>
        <v>11.35</v>
      </c>
      <c r="F41" s="112">
        <f ca="1">IFERROR(__xludf.DUMMYFUNCTION("GOOGLEFINANCE(""BOM:""&amp;A41,""MARKETCAP"")/10000000"),184.3881772)</f>
        <v>184.3881772</v>
      </c>
      <c r="G41" s="95">
        <f t="shared" ca="1" si="0"/>
        <v>7.9414102892436502E-4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537839</v>
      </c>
      <c r="B42" s="98" t="s">
        <v>4145</v>
      </c>
      <c r="C42" s="101"/>
      <c r="D42" s="101"/>
      <c r="E42" s="101">
        <f ca="1">IFERROR(__xludf.DUMMYFUNCTION("GOOGLEFINANCE(""BOM:""&amp;A42,""PRICE"")"),81.6)</f>
        <v>81.599999999999994</v>
      </c>
      <c r="F42" s="112">
        <f ca="1">IFERROR(__xludf.DUMMYFUNCTION("GOOGLEFINANCE(""BOM:""&amp;A42,""MARKETCAP"")/10000000"),167.4371584)</f>
        <v>167.43715839999999</v>
      </c>
      <c r="G42" s="95">
        <f t="shared" ca="1" si="0"/>
        <v>7.2113472388048465E-4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4.4">
      <c r="A43" s="99">
        <v>532992</v>
      </c>
      <c r="B43" s="98" t="s">
        <v>4146</v>
      </c>
      <c r="C43" s="101"/>
      <c r="D43" s="101"/>
      <c r="E43" s="101">
        <f ca="1">IFERROR(__xludf.DUMMYFUNCTION("GOOGLEFINANCE(""BOM:""&amp;A43,""PRICE"")"),35.32)</f>
        <v>35.32</v>
      </c>
      <c r="F43" s="112">
        <f ca="1">IFERROR(__xludf.DUMMYFUNCTION("GOOGLEFINANCE(""BOM:""&amp;A43,""MARKETCAP"")/10000000"),193.6181279)</f>
        <v>193.61812789999999</v>
      </c>
      <c r="G43" s="95">
        <f t="shared" ca="1" si="0"/>
        <v>8.3389348299775534E-4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4.4">
      <c r="A44" s="99">
        <v>531373</v>
      </c>
      <c r="B44" s="98" t="s">
        <v>4147</v>
      </c>
      <c r="C44" s="101"/>
      <c r="D44" s="101"/>
      <c r="E44" s="101">
        <f ca="1">IFERROR(__xludf.DUMMYFUNCTION("GOOGLEFINANCE(""BOM:""&amp;A44,""PRICE"")"),36.12)</f>
        <v>36.119999999999997</v>
      </c>
      <c r="F44" s="112">
        <f ca="1">IFERROR(__xludf.DUMMYFUNCTION("GOOGLEFINANCE(""BOM:""&amp;A44,""MARKETCAP"")/10000000"),188.7805193)</f>
        <v>188.78051930000001</v>
      </c>
      <c r="G44" s="95">
        <f t="shared" ca="1" si="0"/>
        <v>8.1305839731343657E-4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4.4">
      <c r="A45" s="99">
        <v>507960</v>
      </c>
      <c r="B45" s="98" t="s">
        <v>4148</v>
      </c>
      <c r="C45" s="101"/>
      <c r="D45" s="101"/>
      <c r="E45" s="101">
        <f ca="1">IFERROR(__xludf.DUMMYFUNCTION("GOOGLEFINANCE(""BOM:""&amp;A45,""PRICE"")"),179)</f>
        <v>179</v>
      </c>
      <c r="F45" s="112">
        <f ca="1">IFERROR(__xludf.DUMMYFUNCTION("GOOGLEFINANCE(""BOM:""&amp;A45,""MARKETCAP"")/10000000"),67.7965006)</f>
        <v>67.796500600000002</v>
      </c>
      <c r="G45" s="95">
        <f t="shared" ca="1" si="0"/>
        <v>2.9199259714768376E-4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544304</v>
      </c>
      <c r="B46" s="98" t="s">
        <v>4149</v>
      </c>
      <c r="C46" s="101"/>
      <c r="D46" s="101"/>
      <c r="E46" s="101">
        <f ca="1">IFERROR(__xludf.DUMMYFUNCTION("GOOGLEFINANCE(""BOM:""&amp;A46,""PRICE"")"),46.8)</f>
        <v>46.8</v>
      </c>
      <c r="F46" s="112">
        <f ca="1">IFERROR(__xludf.DUMMYFUNCTION("GOOGLEFINANCE(""BOM:""&amp;A46,""MARKETCAP"")/10000000"),72.5328384)</f>
        <v>72.532838400000003</v>
      </c>
      <c r="G46" s="95">
        <f t="shared" ca="1" si="0"/>
        <v>3.1239151984946623E-4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4.4">
      <c r="A47" s="99">
        <v>514402</v>
      </c>
      <c r="B47" s="98" t="s">
        <v>4150</v>
      </c>
      <c r="C47" s="101"/>
      <c r="D47" s="101"/>
      <c r="E47" s="101">
        <f ca="1">IFERROR(__xludf.DUMMYFUNCTION("GOOGLEFINANCE(""BOM:""&amp;A47,""PRICE"")"),11)</f>
        <v>11</v>
      </c>
      <c r="F47" s="112">
        <f ca="1">IFERROR(__xludf.DUMMYFUNCTION("GOOGLEFINANCE(""BOM:""&amp;A47,""MARKETCAP"")/10000000"),65.586521)</f>
        <v>65.586521000000005</v>
      </c>
      <c r="G47" s="95">
        <f t="shared" ca="1" si="0"/>
        <v>2.8247444093996651E-4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4.4">
      <c r="A48" s="99">
        <v>542599</v>
      </c>
      <c r="B48" s="98" t="s">
        <v>4151</v>
      </c>
      <c r="C48" s="101"/>
      <c r="D48" s="101"/>
      <c r="E48" s="101">
        <f ca="1">IFERROR(__xludf.DUMMYFUNCTION("GOOGLEFINANCE(""BOM:""&amp;A48,""PRICE"")"),64.96)</f>
        <v>64.959999999999994</v>
      </c>
      <c r="F48" s="112">
        <f ca="1">IFERROR(__xludf.DUMMYFUNCTION("GOOGLEFINANCE(""BOM:""&amp;A48,""MARKETCAP"")/10000000"),46.89475)</f>
        <v>46.894750000000002</v>
      </c>
      <c r="G48" s="95">
        <f t="shared" ca="1" si="0"/>
        <v>2.0197089413035788E-4</v>
      </c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ht="14.4">
      <c r="A49" s="99">
        <v>541973</v>
      </c>
      <c r="B49" s="98" t="s">
        <v>4152</v>
      </c>
      <c r="C49" s="101"/>
      <c r="D49" s="101"/>
      <c r="E49" s="101">
        <f ca="1">IFERROR(__xludf.DUMMYFUNCTION("GOOGLEFINANCE(""BOM:""&amp;A49,""PRICE"")"),81.9)</f>
        <v>81.900000000000006</v>
      </c>
      <c r="F49" s="112">
        <f ca="1">IFERROR(__xludf.DUMMYFUNCTION("GOOGLEFINANCE(""BOM:""&amp;A49,""MARKETCAP"")/10000000"),46.12025)</f>
        <v>46.120249999999999</v>
      </c>
      <c r="G49" s="95">
        <f t="shared" ca="1" si="0"/>
        <v>1.9863520180863823E-4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4.4">
      <c r="A50" s="99">
        <v>526640</v>
      </c>
      <c r="B50" s="98" t="s">
        <v>4153</v>
      </c>
      <c r="C50" s="101"/>
      <c r="D50" s="101"/>
      <c r="E50" s="101">
        <f ca="1">IFERROR(__xludf.DUMMYFUNCTION("GOOGLEFINANCE(""BOM:""&amp;A50,""PRICE"")"),26.4)</f>
        <v>26.4</v>
      </c>
      <c r="F50" s="112">
        <f ca="1">IFERROR(__xludf.DUMMYFUNCTION("GOOGLEFINANCE(""BOM:""&amp;A50,""MARKETCAP"")/10000000"),52.3569808)</f>
        <v>52.356980800000002</v>
      </c>
      <c r="G50" s="95">
        <f t="shared" ca="1" si="0"/>
        <v>2.2549616377402545E-4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4.4">
      <c r="A51" s="99">
        <v>507981</v>
      </c>
      <c r="B51" s="98" t="s">
        <v>4154</v>
      </c>
      <c r="C51" s="101"/>
      <c r="D51" s="101"/>
      <c r="E51" s="101">
        <f ca="1">IFERROR(__xludf.DUMMYFUNCTION("GOOGLEFINANCE(""BOM:""&amp;A51,""PRICE"")"),59.03)</f>
        <v>59.03</v>
      </c>
      <c r="F51" s="112">
        <f ca="1">IFERROR(__xludf.DUMMYFUNCTION("GOOGLEFINANCE(""BOM:""&amp;A51,""MARKETCAP"")/10000000"),41.3209991)</f>
        <v>41.320999100000002</v>
      </c>
      <c r="G51" s="95">
        <f t="shared" ca="1" si="0"/>
        <v>1.7796531881685503E-4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4.4">
      <c r="A52" s="99">
        <v>531495</v>
      </c>
      <c r="B52" s="98" t="s">
        <v>4155</v>
      </c>
      <c r="C52" s="101"/>
      <c r="D52" s="101"/>
      <c r="E52" s="101">
        <f ca="1">IFERROR(__xludf.DUMMYFUNCTION("GOOGLEFINANCE(""BOM:""&amp;A52,""PRICE"")"),21)</f>
        <v>21</v>
      </c>
      <c r="F52" s="112">
        <f ca="1">IFERROR(__xludf.DUMMYFUNCTION("GOOGLEFINANCE(""BOM:""&amp;A52,""MARKETCAP"")/10000000"),36.9637675)</f>
        <v>36.963767500000003</v>
      </c>
      <c r="G52" s="95">
        <f t="shared" ca="1" si="0"/>
        <v>1.5919916776188514E-4</v>
      </c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ht="14.4">
      <c r="A53" s="99">
        <v>532925</v>
      </c>
      <c r="B53" s="98" t="s">
        <v>4156</v>
      </c>
      <c r="C53" s="101"/>
      <c r="D53" s="101"/>
      <c r="E53" s="101">
        <f ca="1">IFERROR(__xludf.DUMMYFUNCTION("GOOGLEFINANCE(""BOM:""&amp;A53,""PRICE"")"),804)</f>
        <v>804</v>
      </c>
      <c r="F53" s="112">
        <f ca="1">IFERROR(__xludf.DUMMYFUNCTION("GOOGLEFINANCE(""BOM:""&amp;A53,""MARKETCAP"")/10000000"),27.9607472)</f>
        <v>27.9607472</v>
      </c>
      <c r="G53" s="95">
        <f t="shared" ca="1" si="0"/>
        <v>1.2042407972186439E-4</v>
      </c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ht="14.4">
      <c r="A54" s="99">
        <v>500016</v>
      </c>
      <c r="B54" s="98" t="s">
        <v>4157</v>
      </c>
      <c r="C54" s="101"/>
      <c r="D54" s="101"/>
      <c r="E54" s="101">
        <f ca="1">IFERROR(__xludf.DUMMYFUNCTION("GOOGLEFINANCE(""BOM:""&amp;A54,""PRICE"")"),7.45)</f>
        <v>7.45</v>
      </c>
      <c r="F54" s="112">
        <f ca="1">IFERROR(__xludf.DUMMYFUNCTION("GOOGLEFINANCE(""BOM:""&amp;A54,""MARKETCAP"")/10000000"),25.2554993)</f>
        <v>25.2554993</v>
      </c>
      <c r="G54" s="95">
        <f t="shared" ca="1" si="0"/>
        <v>1.0877285357805783E-4</v>
      </c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ht="14.4">
      <c r="A55" s="99">
        <v>532845</v>
      </c>
      <c r="B55" s="98" t="s">
        <v>4158</v>
      </c>
      <c r="C55" s="101"/>
      <c r="D55" s="101"/>
      <c r="E55" s="101">
        <f ca="1">IFERROR(__xludf.DUMMYFUNCTION("GOOGLEFINANCE(""BOM:""&amp;A55,""PRICE"")"),8.3)</f>
        <v>8.3000000000000007</v>
      </c>
      <c r="F55" s="112">
        <f ca="1">IFERROR(__xludf.DUMMYFUNCTION("GOOGLEFINANCE(""BOM:""&amp;A55,""MARKETCAP"")/10000000"),24.3369913)</f>
        <v>24.336991300000001</v>
      </c>
      <c r="G55" s="95">
        <f t="shared" ca="1" si="0"/>
        <v>1.0481693352248899E-4</v>
      </c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ht="14.4">
      <c r="A56" s="99">
        <v>532124</v>
      </c>
      <c r="B56" s="98" t="s">
        <v>4159</v>
      </c>
      <c r="C56" s="101"/>
      <c r="D56" s="101"/>
      <c r="E56" s="101">
        <f ca="1">IFERROR(__xludf.DUMMYFUNCTION("GOOGLEFINANCE(""BOM:""&amp;A56,""PRICE"")"),21.88)</f>
        <v>21.88</v>
      </c>
      <c r="F56" s="112">
        <f ca="1">IFERROR(__xludf.DUMMYFUNCTION("GOOGLEFINANCE(""BOM:""&amp;A56,""MARKETCAP"")/10000000"),24.0962023)</f>
        <v>24.096202300000002</v>
      </c>
      <c r="G56" s="95">
        <f t="shared" ca="1" si="0"/>
        <v>1.0377987991570455E-4</v>
      </c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ht="14.4">
      <c r="A57" s="99">
        <v>526761</v>
      </c>
      <c r="B57" s="98" t="s">
        <v>4160</v>
      </c>
      <c r="C57" s="101"/>
      <c r="D57" s="101"/>
      <c r="E57" s="101">
        <f ca="1">IFERROR(__xludf.DUMMYFUNCTION("GOOGLEFINANCE(""BOM:""&amp;A57,""PRICE"")"),24)</f>
        <v>24</v>
      </c>
      <c r="F57" s="112">
        <f ca="1">IFERROR(__xludf.DUMMYFUNCTION("GOOGLEFINANCE(""BOM:""&amp;A57,""MARKETCAP"")/10000000"),21.8716752)</f>
        <v>21.871675199999999</v>
      </c>
      <c r="G57" s="95">
        <f t="shared" ca="1" si="0"/>
        <v>9.4199069112699678E-5</v>
      </c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ht="14.4">
      <c r="A58" s="99">
        <v>531322</v>
      </c>
      <c r="B58" s="98" t="s">
        <v>4161</v>
      </c>
      <c r="C58" s="101"/>
      <c r="D58" s="101"/>
      <c r="E58" s="101">
        <f ca="1">IFERROR(__xludf.DUMMYFUNCTION("GOOGLEFINANCE(""BOM:""&amp;A58,""PRICE"")"),1.47)</f>
        <v>1.47</v>
      </c>
      <c r="F58" s="112">
        <f ca="1">IFERROR(__xludf.DUMMYFUNCTION("GOOGLEFINANCE(""BOM:""&amp;A58,""MARKETCAP"")/10000000"),22.7232986)</f>
        <v>22.7232986</v>
      </c>
      <c r="G58" s="95">
        <f t="shared" ca="1" si="0"/>
        <v>9.7866924033780089E-5</v>
      </c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ht="14.4">
      <c r="A59" s="99">
        <v>508664</v>
      </c>
      <c r="B59" s="98" t="s">
        <v>4162</v>
      </c>
      <c r="C59" s="101"/>
      <c r="D59" s="101"/>
      <c r="E59" s="101">
        <f ca="1">IFERROR(__xludf.DUMMYFUNCTION("GOOGLEFINANCE(""BOM:""&amp;A59,""PRICE"")"),10.5)</f>
        <v>10.5</v>
      </c>
      <c r="F59" s="112">
        <f ca="1">IFERROR(__xludf.DUMMYFUNCTION("GOOGLEFINANCE(""BOM:""&amp;A59,""MARKETCAP"")/10000000"),17.6925)</f>
        <v>17.692499999999999</v>
      </c>
      <c r="G59" s="95">
        <f t="shared" ca="1" si="0"/>
        <v>7.6199788769560701E-5</v>
      </c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ht="14.4">
      <c r="A60" s="99">
        <v>543538</v>
      </c>
      <c r="B60" s="98" t="s">
        <v>4163</v>
      </c>
      <c r="C60" s="101"/>
      <c r="D60" s="101"/>
      <c r="E60" s="101">
        <f ca="1">IFERROR(__xludf.DUMMYFUNCTION("GOOGLEFINANCE(""BOM:""&amp;A60,""PRICE"")"),12.75)</f>
        <v>12.75</v>
      </c>
      <c r="F60" s="112">
        <f ca="1">IFERROR(__xludf.DUMMYFUNCTION("GOOGLEFINANCE(""BOM:""&amp;A60,""MARKETCAP"")/10000000"),24.0363)</f>
        <v>24.036300000000001</v>
      </c>
      <c r="G60" s="95">
        <f t="shared" ca="1" si="0"/>
        <v>1.0352188683350526E-4</v>
      </c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ht="14.4">
      <c r="A61" s="99">
        <v>526373</v>
      </c>
      <c r="B61" s="98" t="s">
        <v>4164</v>
      </c>
      <c r="C61" s="101"/>
      <c r="D61" s="101"/>
      <c r="E61" s="101">
        <f ca="1">IFERROR(__xludf.DUMMYFUNCTION("GOOGLEFINANCE(""BOM:""&amp;A61,""PRICE"")"),48.7)</f>
        <v>48.7</v>
      </c>
      <c r="F61" s="112">
        <f ca="1">IFERROR(__xludf.DUMMYFUNCTION("GOOGLEFINANCE(""BOM:""&amp;A61,""MARKETCAP"")/10000000"),17.5320002)</f>
        <v>17.532000199999999</v>
      </c>
      <c r="G61" s="95">
        <f t="shared" ca="1" si="0"/>
        <v>7.5508532539092599E-5</v>
      </c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</row>
    <row r="62" spans="1:25" ht="14.4">
      <c r="A62" s="99">
        <v>526755</v>
      </c>
      <c r="B62" s="98" t="s">
        <v>4165</v>
      </c>
      <c r="C62" s="101"/>
      <c r="D62" s="101"/>
      <c r="E62" s="101">
        <f ca="1">IFERROR(__xludf.DUMMYFUNCTION("GOOGLEFINANCE(""BOM:""&amp;A62,""PRICE"")"),5.41)</f>
        <v>5.41</v>
      </c>
      <c r="F62" s="112">
        <f ca="1">IFERROR(__xludf.DUMMYFUNCTION("GOOGLEFINANCE(""BOM:""&amp;A62,""MARKETCAP"")/10000000"),17.29259)</f>
        <v>17.292590000000001</v>
      </c>
      <c r="G62" s="95">
        <f t="shared" ca="1" si="0"/>
        <v>7.4477417282951396E-5</v>
      </c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</row>
    <row r="63" spans="1:25" ht="14.4">
      <c r="A63" s="99">
        <v>507966</v>
      </c>
      <c r="B63" s="98" t="s">
        <v>4166</v>
      </c>
      <c r="C63" s="101"/>
      <c r="D63" s="101"/>
      <c r="E63" s="101">
        <f ca="1">IFERROR(__xludf.DUMMYFUNCTION("GOOGLEFINANCE(""BOM:""&amp;A63,""PRICE"")"),37.3)</f>
        <v>37.299999999999997</v>
      </c>
      <c r="F63" s="112">
        <f ca="1">IFERROR(__xludf.DUMMYFUNCTION("GOOGLEFINANCE(""BOM:""&amp;A63,""MARKETCAP"")/10000000"),14.8071448)</f>
        <v>14.8071448</v>
      </c>
      <c r="G63" s="95">
        <f t="shared" ca="1" si="0"/>
        <v>6.3772858897289756E-5</v>
      </c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</row>
    <row r="64" spans="1:25" ht="14.4">
      <c r="A64" s="99">
        <v>544433</v>
      </c>
      <c r="B64" s="98" t="s">
        <v>4167</v>
      </c>
      <c r="C64" s="101"/>
      <c r="D64" s="101"/>
      <c r="E64" s="101">
        <f ca="1">IFERROR(__xludf.DUMMYFUNCTION("GOOGLEFINANCE(""BOM:""&amp;A64,""PRICE"")"),14.4)</f>
        <v>14.4</v>
      </c>
      <c r="F64" s="112">
        <f ca="1">IFERROR(__xludf.DUMMYFUNCTION("GOOGLEFINANCE(""BOM:""&amp;A64,""MARKETCAP"")/10000000"),18.7194235)</f>
        <v>18.719423500000001</v>
      </c>
      <c r="G64" s="95">
        <f t="shared" ca="1" si="0"/>
        <v>8.0622643300152651E-5</v>
      </c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</row>
    <row r="65" spans="1:25" ht="14.4">
      <c r="A65" s="99">
        <v>532145</v>
      </c>
      <c r="B65" s="98" t="s">
        <v>4168</v>
      </c>
      <c r="C65" s="101"/>
      <c r="D65" s="101"/>
      <c r="E65" s="101">
        <f ca="1">IFERROR(__xludf.DUMMYFUNCTION("GOOGLEFINANCE(""BOM:""&amp;A65,""PRICE"")"),9.48)</f>
        <v>9.48</v>
      </c>
      <c r="F65" s="112">
        <f ca="1">IFERROR(__xludf.DUMMYFUNCTION("GOOGLEFINANCE(""BOM:""&amp;A65,""MARKETCAP"")/10000000"),15.3939929)</f>
        <v>15.393992900000001</v>
      </c>
      <c r="G65" s="95">
        <f t="shared" ca="1" si="0"/>
        <v>6.6300353669640651E-5</v>
      </c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</row>
    <row r="66" spans="1:25" ht="14.4">
      <c r="A66" s="99">
        <v>530065</v>
      </c>
      <c r="B66" s="98" t="s">
        <v>4169</v>
      </c>
      <c r="C66" s="101"/>
      <c r="D66" s="101"/>
      <c r="E66" s="101">
        <f ca="1">IFERROR(__xludf.DUMMYFUNCTION("GOOGLEFINANCE(""BOM:""&amp;A66,""PRICE"")"),17.7)</f>
        <v>17.7</v>
      </c>
      <c r="F66" s="112">
        <f ca="1">IFERROR(__xludf.DUMMYFUNCTION("GOOGLEFINANCE(""BOM:""&amp;A66,""MARKETCAP"")/10000000"),13.2219)</f>
        <v>13.2219</v>
      </c>
      <c r="G66" s="95">
        <f t="shared" ca="1" si="0"/>
        <v>5.6945371605609983E-5</v>
      </c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</row>
    <row r="67" spans="1:25" ht="14.4">
      <c r="A67" s="99">
        <v>540782</v>
      </c>
      <c r="B67" s="98" t="s">
        <v>4170</v>
      </c>
      <c r="C67" s="101"/>
      <c r="D67" s="101"/>
      <c r="E67" s="101">
        <f ca="1">IFERROR(__xludf.DUMMYFUNCTION("GOOGLEFINANCE(""BOM:""&amp;A67,""PRICE"")"),12.7)</f>
        <v>12.7</v>
      </c>
      <c r="F67" s="112">
        <f ca="1">IFERROR(__xludf.DUMMYFUNCTION("GOOGLEFINANCE(""BOM:""&amp;A67,""MARKETCAP"")/10000000"),13.2281547)</f>
        <v>13.228154699999999</v>
      </c>
      <c r="G67" s="95">
        <f t="shared" ca="1" si="0"/>
        <v>5.6972309959082749E-5</v>
      </c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</row>
    <row r="68" spans="1:25" ht="14.4">
      <c r="A68" s="99">
        <v>526500</v>
      </c>
      <c r="B68" s="98" t="s">
        <v>4171</v>
      </c>
      <c r="C68" s="101"/>
      <c r="D68" s="101"/>
      <c r="E68" s="101">
        <f ca="1">IFERROR(__xludf.DUMMYFUNCTION("GOOGLEFINANCE(""BOM:""&amp;A68,""PRICE"")"),16.33)</f>
        <v>16.329999999999998</v>
      </c>
      <c r="F68" s="112">
        <f ca="1">IFERROR(__xludf.DUMMYFUNCTION("GOOGLEFINANCE(""BOM:""&amp;A68,""MARKETCAP"")/10000000"),6.9234104)</f>
        <v>6.9234103999999999</v>
      </c>
      <c r="G68" s="95">
        <f t="shared" ca="1" si="0"/>
        <v>2.9818420802316222E-5</v>
      </c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</row>
    <row r="69" spans="1:25" ht="14.4">
      <c r="A69" s="99">
        <v>543536</v>
      </c>
      <c r="B69" s="98" t="s">
        <v>4172</v>
      </c>
      <c r="C69" s="101"/>
      <c r="D69" s="101"/>
      <c r="E69" s="101">
        <f ca="1">IFERROR(__xludf.DUMMYFUNCTION("GOOGLEFINANCE(""BOM:""&amp;A69,""PRICE"")"),7)</f>
        <v>7</v>
      </c>
      <c r="F69" s="112">
        <f ca="1">IFERROR(__xludf.DUMMYFUNCTION("GOOGLEFINANCE(""BOM:""&amp;A69,""MARKETCAP"")/10000000"),5.4971)</f>
        <v>5.4970999999999997</v>
      </c>
      <c r="G69" s="95">
        <f t="shared" ca="1" si="0"/>
        <v>2.3675447723337689E-5</v>
      </c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</row>
    <row r="70" spans="1:25" ht="14.4">
      <c r="A70" s="99">
        <v>531692</v>
      </c>
      <c r="B70" s="98" t="s">
        <v>4173</v>
      </c>
      <c r="C70" s="101"/>
      <c r="D70" s="101"/>
      <c r="E70" s="101">
        <f ca="1">IFERROR(__xludf.DUMMYFUNCTION("GOOGLEFINANCE(""BOM:""&amp;A70,""PRICE"")"),2.4)</f>
        <v>2.4</v>
      </c>
      <c r="F70" s="112">
        <f ca="1">IFERROR(__xludf.DUMMYFUNCTION("GOOGLEFINANCE(""BOM:""&amp;A70,""MARKETCAP"")/10000000"),2.5920481)</f>
        <v>2.5920481</v>
      </c>
      <c r="G70" s="95">
        <f t="shared" ca="1" si="0"/>
        <v>1.1163686177789523E-5</v>
      </c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</row>
    <row r="71" spans="1:25" ht="13.2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</row>
    <row r="72" spans="1:25" ht="13.2">
      <c r="A72" s="101"/>
      <c r="B72" s="101"/>
      <c r="C72" s="101"/>
      <c r="D72" s="101"/>
      <c r="E72" s="101"/>
      <c r="F72" s="112">
        <f t="shared" ref="F72:G72" ca="1" si="1">SUM(F1:F70)</f>
        <v>232185.6830011</v>
      </c>
      <c r="G72" s="95">
        <f t="shared" ca="1" si="1"/>
        <v>0.99999999999999989</v>
      </c>
      <c r="H72" s="101">
        <f t="shared" ref="H72:O72" si="2">SUM(H2:H70)</f>
        <v>22899</v>
      </c>
      <c r="I72" s="101">
        <f t="shared" si="2"/>
        <v>18841</v>
      </c>
      <c r="J72" s="101">
        <f t="shared" si="2"/>
        <v>4103</v>
      </c>
      <c r="K72" s="101">
        <f t="shared" si="2"/>
        <v>2746</v>
      </c>
      <c r="L72" s="101">
        <f t="shared" si="2"/>
        <v>8979</v>
      </c>
      <c r="M72" s="101">
        <f t="shared" si="2"/>
        <v>7739</v>
      </c>
      <c r="N72" s="101">
        <f t="shared" si="2"/>
        <v>2133</v>
      </c>
      <c r="O72" s="101">
        <f t="shared" si="2"/>
        <v>1566</v>
      </c>
      <c r="P72" s="95">
        <f t="shared" ref="P72:Q72" si="3">J72/H72</f>
        <v>0.17917813004934713</v>
      </c>
      <c r="Q72" s="95">
        <f t="shared" si="3"/>
        <v>0.14574597951276472</v>
      </c>
      <c r="R72" s="95">
        <f>P72-Q72</f>
        <v>3.3432150536582411E-2</v>
      </c>
      <c r="S72" s="95">
        <f t="shared" ref="S72:T72" si="4">N72/L72</f>
        <v>0.23755429335115269</v>
      </c>
      <c r="T72" s="95">
        <f t="shared" si="4"/>
        <v>0.20235172502907353</v>
      </c>
      <c r="U72" s="95">
        <f>S72-T72</f>
        <v>3.5202568322079159E-2</v>
      </c>
      <c r="V72" s="95">
        <f>(H72/I72)-1</f>
        <v>0.2153813491852874</v>
      </c>
      <c r="W72" s="95">
        <f>(J72/K72)-1</f>
        <v>0.49417334304442817</v>
      </c>
      <c r="X72" s="95">
        <f>(L72/M72)-1</f>
        <v>0.16022741956325115</v>
      </c>
      <c r="Y72" s="95">
        <f>(N72/O72)-1</f>
        <v>0.36206896551724133</v>
      </c>
    </row>
  </sheetData>
  <autoFilter ref="A1:Y70" xr:uid="{00000000-0009-0000-0000-000076000000}"/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outlinePr summaryBelow="0" summaryRight="0"/>
  </sheetPr>
  <dimension ref="A1:Y36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>
      <c r="A2" s="101">
        <v>508869</v>
      </c>
      <c r="B2" s="101" t="s">
        <v>114</v>
      </c>
      <c r="C2" s="101" t="str">
        <f>VLOOKUP(A2,'BSE ALL CAP'!$B$4:$Y$1038,2,)</f>
        <v>Healthcare</v>
      </c>
      <c r="D2" s="101" t="str">
        <f>VLOOKUP(A2,'BSE ALL CAP'!$B$4:$Y$1038,3,)</f>
        <v>Hospital</v>
      </c>
      <c r="E2" s="101">
        <f ca="1">IFERROR(__xludf.DUMMYFUNCTION("GOOGLEFINANCE(""BOM:""&amp;A2,""PRICE"")"),7364.5)</f>
        <v>7364.5</v>
      </c>
      <c r="F2" s="112">
        <f ca="1">IFERROR(__xludf.DUMMYFUNCTION("GOOGLEFINANCE(""BOM:""&amp;A2,""MARKETCAP"")/10000000"),105890.16867)</f>
        <v>105890.16867</v>
      </c>
      <c r="G2" s="95">
        <f t="shared" ref="G2:G34" ca="1" si="0">F2/$F$36</f>
        <v>0.226071580532134</v>
      </c>
      <c r="H2" s="101">
        <f>VLOOKUP(A2,'BSE ALL CAP'!$B$4:$Y$1038,7,)</f>
        <v>18623</v>
      </c>
      <c r="I2" s="101">
        <f>VLOOKUP(A2,'BSE ALL CAP'!$B$4:$Y$1038,8,)</f>
        <v>16201</v>
      </c>
      <c r="J2" s="101">
        <f>VLOOKUP(A2,'BSE ALL CAP'!$B$4:$Y$1038,9,)</f>
        <v>1451</v>
      </c>
      <c r="K2" s="101">
        <f>VLOOKUP(A2,'BSE ALL CAP'!$B$4:$Y$1038,10,)</f>
        <v>1090</v>
      </c>
      <c r="L2" s="101">
        <f>VLOOKUP(A2,'BSE ALL CAP'!$B$4:$Y$1038,11,)</f>
        <v>6477</v>
      </c>
      <c r="M2" s="101">
        <f>VLOOKUP(A2,'BSE ALL CAP'!$B$4:$Y$1038,12,)</f>
        <v>5526</v>
      </c>
      <c r="N2" s="101">
        <f>VLOOKUP(A2,'BSE ALL CAP'!$B$4:$Y$1038,13,)</f>
        <v>516</v>
      </c>
      <c r="O2" s="101">
        <f>VLOOKUP(A2,'BSE ALL CAP'!$B$4:$Y$1038,14,)</f>
        <v>379</v>
      </c>
      <c r="P2" s="95">
        <f>VLOOKUP(A2,'BSE ALL CAP'!$B$4:$Y$1038,15,)</f>
        <v>7.7914406916178916E-2</v>
      </c>
      <c r="Q2" s="95">
        <f>VLOOKUP(A2,'BSE ALL CAP'!$B$4:$Y$1038,16,)</f>
        <v>6.7279797543361525E-2</v>
      </c>
      <c r="R2" s="95">
        <f>VLOOKUP(A2,'BSE ALL CAP'!$B$4:$Y$1038,17,)</f>
        <v>1.0634609372817391E-2</v>
      </c>
      <c r="S2" s="95">
        <f>VLOOKUP(A2,'BSE ALL CAP'!$B$4:$Y$1038,18,)</f>
        <v>7.9666512274201018E-2</v>
      </c>
      <c r="T2" s="95">
        <f>VLOOKUP(A2,'BSE ALL CAP'!$B$4:$Y$1038,19,)</f>
        <v>6.858487151646761E-2</v>
      </c>
      <c r="U2" s="95">
        <f>VLOOKUP(A2,'BSE ALL CAP'!$B$4:$Y$1038,20,)</f>
        <v>1.1081640757733408E-2</v>
      </c>
      <c r="V2" s="95">
        <f>VLOOKUP(A2,'BSE ALL CAP'!$B$4:$Y$1038,21,)</f>
        <v>0.14949694463304741</v>
      </c>
      <c r="W2" s="95">
        <f>VLOOKUP(A2,'BSE ALL CAP'!$B$4:$Y$1038,22,)</f>
        <v>0.33119266055045871</v>
      </c>
      <c r="X2" s="95">
        <f>VLOOKUP(A2,'BSE ALL CAP'!$B$4:$Y$1038,23,)</f>
        <v>0.17209554831704676</v>
      </c>
      <c r="Y2" s="95">
        <f>VLOOKUP(A2,'BSE ALL CAP'!$B$4:$Y$1038,24,)</f>
        <v>0.36147757255936686</v>
      </c>
    </row>
    <row r="3" spans="1:25">
      <c r="A3" s="101">
        <v>543220</v>
      </c>
      <c r="B3" s="101" t="s">
        <v>4174</v>
      </c>
      <c r="C3" s="101" t="str">
        <f>VLOOKUP(A3,'BSE ALL CAP'!$B$4:$Y$1038,2,)</f>
        <v>Healthcare</v>
      </c>
      <c r="D3" s="101" t="str">
        <f>VLOOKUP(A3,'BSE ALL CAP'!$B$4:$Y$1038,3,)</f>
        <v>Hospital</v>
      </c>
      <c r="E3" s="101">
        <f ca="1">IFERROR(__xludf.DUMMYFUNCTION("GOOGLEFINANCE(""BOM:""&amp;A3,""PRICE"")"),934.3)</f>
        <v>934.3</v>
      </c>
      <c r="F3" s="112">
        <f ca="1">IFERROR(__xludf.DUMMYFUNCTION("GOOGLEFINANCE(""BOM:""&amp;A3,""MARKETCAP"")/10000000"),90832.910278)</f>
        <v>90832.910277999996</v>
      </c>
      <c r="G3" s="95">
        <f t="shared" ca="1" si="0"/>
        <v>0.19392489263924201</v>
      </c>
      <c r="H3" s="101">
        <f>VLOOKUP(A3,'BSE ALL CAP'!$B$4:$Y$1038,7,)</f>
        <v>6230</v>
      </c>
      <c r="I3" s="101">
        <f>VLOOKUP(A3,'BSE ALL CAP'!$B$4:$Y$1038,8,)</f>
        <v>5118</v>
      </c>
      <c r="J3" s="101">
        <f>VLOOKUP(A3,'BSE ALL CAP'!$B$4:$Y$1038,9,)</f>
        <v>1100</v>
      </c>
      <c r="K3" s="101">
        <f>VLOOKUP(A3,'BSE ALL CAP'!$B$4:$Y$1038,10,)</f>
        <v>756</v>
      </c>
      <c r="L3" s="101">
        <f>VLOOKUP(A3,'BSE ALL CAP'!$B$4:$Y$1038,11,)</f>
        <v>2067</v>
      </c>
      <c r="M3" s="101">
        <f>VLOOKUP(A3,'BSE ALL CAP'!$B$4:$Y$1038,12,)</f>
        <v>1868</v>
      </c>
      <c r="N3" s="101">
        <f>VLOOKUP(A3,'BSE ALL CAP'!$B$4:$Y$1038,13,)</f>
        <v>300</v>
      </c>
      <c r="O3" s="101">
        <f>VLOOKUP(A3,'BSE ALL CAP'!$B$4:$Y$1038,14,)</f>
        <v>238</v>
      </c>
      <c r="P3" s="95">
        <f>VLOOKUP(A3,'BSE ALL CAP'!$B$4:$Y$1038,15,)</f>
        <v>0.17656500802568217</v>
      </c>
      <c r="Q3" s="95">
        <f>VLOOKUP(A3,'BSE ALL CAP'!$B$4:$Y$1038,16,)</f>
        <v>0.1477139507620164</v>
      </c>
      <c r="R3" s="95">
        <f>VLOOKUP(A3,'BSE ALL CAP'!$B$4:$Y$1038,17,)</f>
        <v>2.8851057263665769E-2</v>
      </c>
      <c r="S3" s="95">
        <f>VLOOKUP(A3,'BSE ALL CAP'!$B$4:$Y$1038,18,)</f>
        <v>0.14513788098693758</v>
      </c>
      <c r="T3" s="95">
        <f>VLOOKUP(A3,'BSE ALL CAP'!$B$4:$Y$1038,19,)</f>
        <v>0.12740899357601712</v>
      </c>
      <c r="U3" s="95">
        <f>VLOOKUP(A3,'BSE ALL CAP'!$B$4:$Y$1038,20,)</f>
        <v>1.7728887410920463E-2</v>
      </c>
      <c r="V3" s="95">
        <f>VLOOKUP(A3,'BSE ALL CAP'!$B$4:$Y$1038,21,)</f>
        <v>0.21727237202032046</v>
      </c>
      <c r="W3" s="95">
        <f>VLOOKUP(A3,'BSE ALL CAP'!$B$4:$Y$1038,22,)</f>
        <v>0.45502645502645511</v>
      </c>
      <c r="X3" s="95">
        <f>VLOOKUP(A3,'BSE ALL CAP'!$B$4:$Y$1038,23,)</f>
        <v>0.10653104925053536</v>
      </c>
      <c r="Y3" s="95">
        <f>VLOOKUP(A3,'BSE ALL CAP'!$B$4:$Y$1038,24,)</f>
        <v>0.26050420168067223</v>
      </c>
    </row>
    <row r="4" spans="1:25">
      <c r="A4" s="101">
        <v>532843</v>
      </c>
      <c r="B4" s="101" t="s">
        <v>4175</v>
      </c>
      <c r="C4" s="101" t="str">
        <f>VLOOKUP(A4,'BSE ALL CAP'!$B$4:$Y$1038,2,)</f>
        <v>Healthcare</v>
      </c>
      <c r="D4" s="101" t="str">
        <f>VLOOKUP(A4,'BSE ALL CAP'!$B$4:$Y$1038,3,)</f>
        <v>Hospital</v>
      </c>
      <c r="E4" s="101">
        <f ca="1">IFERROR(__xludf.DUMMYFUNCTION("GOOGLEFINANCE(""BOM:""&amp;A4,""PRICE"")"),807)</f>
        <v>807</v>
      </c>
      <c r="F4" s="112">
        <f ca="1">IFERROR(__xludf.DUMMYFUNCTION("GOOGLEFINANCE(""BOM:""&amp;A4,""MARKETCAP"")/10000000"),60932.6744788)</f>
        <v>60932.6744788</v>
      </c>
      <c r="G4" s="95">
        <f t="shared" ca="1" si="0"/>
        <v>0.13008899880405056</v>
      </c>
      <c r="H4" s="101">
        <f>VLOOKUP(A4,'BSE ALL CAP'!$B$4:$Y$1038,7,)</f>
        <v>6763</v>
      </c>
      <c r="I4" s="101">
        <f>VLOOKUP(A4,'BSE ALL CAP'!$B$4:$Y$1038,8,)</f>
        <v>5775</v>
      </c>
      <c r="J4" s="101">
        <f>VLOOKUP(A4,'BSE ALL CAP'!$B$4:$Y$1038,9,)</f>
        <v>793</v>
      </c>
      <c r="K4" s="101">
        <f>VLOOKUP(A4,'BSE ALL CAP'!$B$4:$Y$1038,10,)</f>
        <v>621</v>
      </c>
      <c r="L4" s="101">
        <f>VLOOKUP(A4,'BSE ALL CAP'!$B$4:$Y$1038,11,)</f>
        <v>2265</v>
      </c>
      <c r="M4" s="101">
        <f>VLOOKUP(A4,'BSE ALL CAP'!$B$4:$Y$1038,12,)</f>
        <v>1928</v>
      </c>
      <c r="N4" s="101">
        <f>VLOOKUP(A4,'BSE ALL CAP'!$B$4:$Y$1038,13,)</f>
        <v>197</v>
      </c>
      <c r="O4" s="101">
        <f>VLOOKUP(A4,'BSE ALL CAP'!$B$4:$Y$1038,14,)</f>
        <v>254</v>
      </c>
      <c r="P4" s="95">
        <f>VLOOKUP(A4,'BSE ALL CAP'!$B$4:$Y$1038,15,)</f>
        <v>0.11725565577406477</v>
      </c>
      <c r="Q4" s="95">
        <f>VLOOKUP(A4,'BSE ALL CAP'!$B$4:$Y$1038,16,)</f>
        <v>0.10753246753246753</v>
      </c>
      <c r="R4" s="95">
        <f>VLOOKUP(A4,'BSE ALL CAP'!$B$4:$Y$1038,17,)</f>
        <v>9.7231882415972359E-3</v>
      </c>
      <c r="S4" s="95">
        <f>VLOOKUP(A4,'BSE ALL CAP'!$B$4:$Y$1038,18,)</f>
        <v>8.6975717439293596E-2</v>
      </c>
      <c r="T4" s="95">
        <f>VLOOKUP(A4,'BSE ALL CAP'!$B$4:$Y$1038,19,)</f>
        <v>0.13174273858921162</v>
      </c>
      <c r="U4" s="95">
        <f>VLOOKUP(A4,'BSE ALL CAP'!$B$4:$Y$1038,20,)</f>
        <v>-4.4767021149918027E-2</v>
      </c>
      <c r="V4" s="95">
        <f>VLOOKUP(A4,'BSE ALL CAP'!$B$4:$Y$1038,21,)</f>
        <v>0.17108225108225117</v>
      </c>
      <c r="W4" s="95">
        <f>VLOOKUP(A4,'BSE ALL CAP'!$B$4:$Y$1038,22,)</f>
        <v>0.27697262479871165</v>
      </c>
      <c r="X4" s="95">
        <f>VLOOKUP(A4,'BSE ALL CAP'!$B$4:$Y$1038,23,)</f>
        <v>0.174792531120332</v>
      </c>
      <c r="Y4" s="95">
        <f>VLOOKUP(A4,'BSE ALL CAP'!$B$4:$Y$1038,24,)</f>
        <v>-0.22440944881889768</v>
      </c>
    </row>
    <row r="5" spans="1:25">
      <c r="A5" s="101">
        <v>540975</v>
      </c>
      <c r="B5" s="101" t="s">
        <v>4176</v>
      </c>
      <c r="C5" s="101" t="str">
        <f>VLOOKUP(A5,'BSE ALL CAP'!$B$4:$Y$1038,2,)</f>
        <v>Healthcare</v>
      </c>
      <c r="D5" s="101" t="str">
        <f>VLOOKUP(A5,'BSE ALL CAP'!$B$4:$Y$1038,3,)</f>
        <v>Hospital</v>
      </c>
      <c r="E5" s="101">
        <f ca="1">IFERROR(__xludf.DUMMYFUNCTION("GOOGLEFINANCE(""BOM:""&amp;A5,""PRICE"")"),671.95)</f>
        <v>671.95</v>
      </c>
      <c r="F5" s="112">
        <f ca="1">IFERROR(__xludf.DUMMYFUNCTION("GOOGLEFINANCE(""BOM:""&amp;A5,""MARKETCAP"")/10000000"),34668.340928)</f>
        <v>34668.340927999998</v>
      </c>
      <c r="G5" s="95">
        <f t="shared" ca="1" si="0"/>
        <v>7.4015621341061266E-2</v>
      </c>
      <c r="H5" s="101">
        <f>VLOOKUP(A5,'BSE ALL CAP'!$B$4:$Y$1038,7,)</f>
        <v>3461</v>
      </c>
      <c r="I5" s="101">
        <f>VLOOKUP(A5,'BSE ALL CAP'!$B$4:$Y$1038,8,)</f>
        <v>3138</v>
      </c>
      <c r="J5" s="101">
        <f>VLOOKUP(A5,'BSE ALL CAP'!$B$4:$Y$1038,9,)</f>
        <v>274</v>
      </c>
      <c r="K5" s="101">
        <f>VLOOKUP(A5,'BSE ALL CAP'!$B$4:$Y$1038,10,)</f>
        <v>251</v>
      </c>
      <c r="L5" s="101">
        <f>VLOOKUP(A5,'BSE ALL CAP'!$B$4:$Y$1038,11,)</f>
        <v>1186</v>
      </c>
      <c r="M5" s="101">
        <f>VLOOKUP(A5,'BSE ALL CAP'!$B$4:$Y$1038,12,)</f>
        <v>1050</v>
      </c>
      <c r="N5" s="101">
        <f>VLOOKUP(A5,'BSE ALL CAP'!$B$4:$Y$1038,13,)</f>
        <v>59</v>
      </c>
      <c r="O5" s="101">
        <f>VLOOKUP(A5,'BSE ALL CAP'!$B$4:$Y$1038,14,)</f>
        <v>64</v>
      </c>
      <c r="P5" s="95">
        <f>VLOOKUP(A5,'BSE ALL CAP'!$B$4:$Y$1038,15,)</f>
        <v>7.9167870557642295E-2</v>
      </c>
      <c r="Q5" s="95">
        <f>VLOOKUP(A5,'BSE ALL CAP'!$B$4:$Y$1038,16,)</f>
        <v>7.9987253027405988E-2</v>
      </c>
      <c r="R5" s="95">
        <f>VLOOKUP(A5,'BSE ALL CAP'!$B$4:$Y$1038,17,)</f>
        <v>-8.1938246976369367E-4</v>
      </c>
      <c r="S5" s="95">
        <f>VLOOKUP(A5,'BSE ALL CAP'!$B$4:$Y$1038,18,)</f>
        <v>4.9747048903878585E-2</v>
      </c>
      <c r="T5" s="95">
        <f>VLOOKUP(A5,'BSE ALL CAP'!$B$4:$Y$1038,19,)</f>
        <v>6.0952380952380952E-2</v>
      </c>
      <c r="U5" s="95">
        <f>VLOOKUP(A5,'BSE ALL CAP'!$B$4:$Y$1038,20,)</f>
        <v>-1.1205332048502367E-2</v>
      </c>
      <c r="V5" s="95">
        <f>VLOOKUP(A5,'BSE ALL CAP'!$B$4:$Y$1038,21,)</f>
        <v>0.10293180369662203</v>
      </c>
      <c r="W5" s="95">
        <f>VLOOKUP(A5,'BSE ALL CAP'!$B$4:$Y$1038,22,)</f>
        <v>9.1633466135458086E-2</v>
      </c>
      <c r="X5" s="95">
        <f>VLOOKUP(A5,'BSE ALL CAP'!$B$4:$Y$1038,23,)</f>
        <v>0.1295238095238096</v>
      </c>
      <c r="Y5" s="95">
        <f>VLOOKUP(A5,'BSE ALL CAP'!$B$4:$Y$1038,24,)</f>
        <v>-7.8125E-2</v>
      </c>
    </row>
    <row r="6" spans="1:25">
      <c r="A6" s="101">
        <v>539551</v>
      </c>
      <c r="B6" s="101" t="s">
        <v>4177</v>
      </c>
      <c r="C6" s="101" t="str">
        <f>VLOOKUP(A6,'BSE ALL CAP'!$B$4:$Y$1038,2,)</f>
        <v>Healthcare</v>
      </c>
      <c r="D6" s="101" t="str">
        <f>VLOOKUP(A6,'BSE ALL CAP'!$B$4:$Y$1038,3,)</f>
        <v>Hospital</v>
      </c>
      <c r="E6" s="101">
        <f ca="1">IFERROR(__xludf.DUMMYFUNCTION("GOOGLEFINANCE(""BOM:""&amp;A6,""PRICE"")"),1670)</f>
        <v>1670</v>
      </c>
      <c r="F6" s="112">
        <f ca="1">IFERROR(__xludf.DUMMYFUNCTION("GOOGLEFINANCE(""BOM:""&amp;A6,""MARKETCAP"")/10000000"),33937.97658)</f>
        <v>33937.976580000002</v>
      </c>
      <c r="G6" s="95">
        <f t="shared" ca="1" si="0"/>
        <v>7.2456320561861923E-2</v>
      </c>
      <c r="H6" s="101">
        <f>VLOOKUP(A6,'BSE ALL CAP'!$B$4:$Y$1038,7,)</f>
        <v>5302</v>
      </c>
      <c r="I6" s="101">
        <f>VLOOKUP(A6,'BSE ALL CAP'!$B$4:$Y$1038,8,)</f>
        <v>4007</v>
      </c>
      <c r="J6" s="101">
        <f>VLOOKUP(A6,'BSE ALL CAP'!$B$4:$Y$1038,9,)</f>
        <v>582</v>
      </c>
      <c r="K6" s="101">
        <f>VLOOKUP(A6,'BSE ALL CAP'!$B$4:$Y$1038,10,)</f>
        <v>593</v>
      </c>
      <c r="L6" s="101">
        <f>VLOOKUP(A6,'BSE ALL CAP'!$B$4:$Y$1038,11,)</f>
        <v>2151</v>
      </c>
      <c r="M6" s="101">
        <f>VLOOKUP(A6,'BSE ALL CAP'!$B$4:$Y$1038,12,)</f>
        <v>1334</v>
      </c>
      <c r="N6" s="101">
        <f>VLOOKUP(A6,'BSE ALL CAP'!$B$4:$Y$1038,13,)</f>
        <v>128</v>
      </c>
      <c r="O6" s="101">
        <f>VLOOKUP(A6,'BSE ALL CAP'!$B$4:$Y$1038,14,)</f>
        <v>193</v>
      </c>
      <c r="P6" s="95">
        <f>VLOOKUP(A6,'BSE ALL CAP'!$B$4:$Y$1038,15,)</f>
        <v>0.10976989815164089</v>
      </c>
      <c r="Q6" s="95">
        <f>VLOOKUP(A6,'BSE ALL CAP'!$B$4:$Y$1038,16,)</f>
        <v>0.14799101572248566</v>
      </c>
      <c r="R6" s="95">
        <f>VLOOKUP(A6,'BSE ALL CAP'!$B$4:$Y$1038,17,)</f>
        <v>-3.8221117570844773E-2</v>
      </c>
      <c r="S6" s="95">
        <f>VLOOKUP(A6,'BSE ALL CAP'!$B$4:$Y$1038,18,)</f>
        <v>5.9507205950720593E-2</v>
      </c>
      <c r="T6" s="95">
        <f>VLOOKUP(A6,'BSE ALL CAP'!$B$4:$Y$1038,19,)</f>
        <v>0.1446776611694153</v>
      </c>
      <c r="U6" s="95">
        <f>VLOOKUP(A6,'BSE ALL CAP'!$B$4:$Y$1038,20,)</f>
        <v>-8.5170455218694707E-2</v>
      </c>
      <c r="V6" s="95">
        <f>VLOOKUP(A6,'BSE ALL CAP'!$B$4:$Y$1038,21,)</f>
        <v>0.32318442725230856</v>
      </c>
      <c r="W6" s="95">
        <f>VLOOKUP(A6,'BSE ALL CAP'!$B$4:$Y$1038,22,)</f>
        <v>-1.8549747048903886E-2</v>
      </c>
      <c r="X6" s="95">
        <f>VLOOKUP(A6,'BSE ALL CAP'!$B$4:$Y$1038,23,)</f>
        <v>0.61244377811094464</v>
      </c>
      <c r="Y6" s="95">
        <f>VLOOKUP(A6,'BSE ALL CAP'!$B$4:$Y$1038,24,)</f>
        <v>-0.33678756476683935</v>
      </c>
    </row>
    <row r="7" spans="1:25">
      <c r="A7" s="101">
        <v>543654</v>
      </c>
      <c r="B7" s="101" t="s">
        <v>4178</v>
      </c>
      <c r="C7" s="101" t="str">
        <f>VLOOKUP(A7,'BSE ALL CAP'!$B$4:$Y$1038,2,)</f>
        <v>Healthcare</v>
      </c>
      <c r="D7" s="101" t="str">
        <f>VLOOKUP(A7,'BSE ALL CAP'!$B$4:$Y$1038,3,)</f>
        <v>Hospital</v>
      </c>
      <c r="E7" s="101">
        <f ca="1">IFERROR(__xludf.DUMMYFUNCTION("GOOGLEFINANCE(""BOM:""&amp;A7,""PRICE"")"),1032.6)</f>
        <v>1032.5999999999999</v>
      </c>
      <c r="F7" s="112">
        <f ca="1">IFERROR(__xludf.DUMMYFUNCTION("GOOGLEFINANCE(""BOM:""&amp;A7,""MARKETCAP"")/10000000"),27696.51594)</f>
        <v>27696.515940000001</v>
      </c>
      <c r="G7" s="95">
        <f t="shared" ca="1" si="0"/>
        <v>5.9131033715721849E-2</v>
      </c>
      <c r="H7" s="101">
        <f>VLOOKUP(A7,'BSE ALL CAP'!$B$4:$Y$1038,7,)</f>
        <v>3251</v>
      </c>
      <c r="I7" s="101">
        <f>VLOOKUP(A7,'BSE ALL CAP'!$B$4:$Y$1038,8,)</f>
        <v>2761</v>
      </c>
      <c r="J7" s="101">
        <f>VLOOKUP(A7,'BSE ALL CAP'!$B$4:$Y$1038,9,)</f>
        <v>412</v>
      </c>
      <c r="K7" s="101">
        <f>VLOOKUP(A7,'BSE ALL CAP'!$B$4:$Y$1038,10,)</f>
        <v>379</v>
      </c>
      <c r="L7" s="101">
        <f>VLOOKUP(A7,'BSE ALL CAP'!$B$4:$Y$1038,11,)</f>
        <v>1121</v>
      </c>
      <c r="M7" s="101">
        <f>VLOOKUP(A7,'BSE ALL CAP'!$B$4:$Y$1038,12,)</f>
        <v>943</v>
      </c>
      <c r="N7" s="101">
        <f>VLOOKUP(A7,'BSE ALL CAP'!$B$4:$Y$1038,13,)</f>
        <v>95</v>
      </c>
      <c r="O7" s="101">
        <f>VLOOKUP(A7,'BSE ALL CAP'!$B$4:$Y$1038,14,)</f>
        <v>142</v>
      </c>
      <c r="P7" s="95">
        <f>VLOOKUP(A7,'BSE ALL CAP'!$B$4:$Y$1038,15,)</f>
        <v>0.12673023685019993</v>
      </c>
      <c r="Q7" s="95">
        <f>VLOOKUP(A7,'BSE ALL CAP'!$B$4:$Y$1038,16,)</f>
        <v>0.13726910539659543</v>
      </c>
      <c r="R7" s="95">
        <f>VLOOKUP(A7,'BSE ALL CAP'!$B$4:$Y$1038,17,)</f>
        <v>-1.0538868546395491E-2</v>
      </c>
      <c r="S7" s="95">
        <f>VLOOKUP(A7,'BSE ALL CAP'!$B$4:$Y$1038,18,)</f>
        <v>8.4745762711864403E-2</v>
      </c>
      <c r="T7" s="95">
        <f>VLOOKUP(A7,'BSE ALL CAP'!$B$4:$Y$1038,19,)</f>
        <v>0.15058324496288442</v>
      </c>
      <c r="U7" s="95">
        <f>VLOOKUP(A7,'BSE ALL CAP'!$B$4:$Y$1038,20,)</f>
        <v>-6.5837482251020013E-2</v>
      </c>
      <c r="V7" s="95">
        <f>VLOOKUP(A7,'BSE ALL CAP'!$B$4:$Y$1038,21,)</f>
        <v>0.17747193045997833</v>
      </c>
      <c r="W7" s="95">
        <f>VLOOKUP(A7,'BSE ALL CAP'!$B$4:$Y$1038,22,)</f>
        <v>8.7071240105540904E-2</v>
      </c>
      <c r="X7" s="95">
        <f>VLOOKUP(A7,'BSE ALL CAP'!$B$4:$Y$1038,23,)</f>
        <v>0.18875927889713684</v>
      </c>
      <c r="Y7" s="95">
        <f>VLOOKUP(A7,'BSE ALL CAP'!$B$4:$Y$1038,24,)</f>
        <v>-0.33098591549295775</v>
      </c>
    </row>
    <row r="8" spans="1:25">
      <c r="A8" s="101">
        <v>543308</v>
      </c>
      <c r="B8" s="101" t="s">
        <v>4179</v>
      </c>
      <c r="C8" s="101" t="str">
        <f>VLOOKUP(A8,'BSE ALL CAP'!$B$4:$Y$1038,2,)</f>
        <v>Healthcare</v>
      </c>
      <c r="D8" s="101" t="str">
        <f>VLOOKUP(A8,'BSE ALL CAP'!$B$4:$Y$1038,3,)</f>
        <v>Hospital</v>
      </c>
      <c r="E8" s="101">
        <f ca="1">IFERROR(__xludf.DUMMYFUNCTION("GOOGLEFINANCE(""BOM:""&amp;A8,""PRICE"")"),621.75)</f>
        <v>621.75</v>
      </c>
      <c r="F8" s="112">
        <f ca="1">IFERROR(__xludf.DUMMYFUNCTION("GOOGLEFINANCE(""BOM:""&amp;A8,""MARKETCAP"")/10000000"),24878.6361075)</f>
        <v>24878.636107499999</v>
      </c>
      <c r="G8" s="95">
        <f t="shared" ca="1" si="0"/>
        <v>5.3114964844699429E-2</v>
      </c>
      <c r="H8" s="101">
        <f>VLOOKUP(A8,'BSE ALL CAP'!$B$4:$Y$1038,7,)</f>
        <v>2830</v>
      </c>
      <c r="I8" s="101">
        <f>VLOOKUP(A8,'BSE ALL CAP'!$B$4:$Y$1038,8,)</f>
        <v>2238</v>
      </c>
      <c r="J8" s="101">
        <f>VLOOKUP(A8,'BSE ALL CAP'!$B$4:$Y$1038,9,)</f>
        <v>208</v>
      </c>
      <c r="K8" s="101">
        <f>VLOOKUP(A8,'BSE ALL CAP'!$B$4:$Y$1038,10,)</f>
        <v>308</v>
      </c>
      <c r="L8" s="101">
        <f>VLOOKUP(A8,'BSE ALL CAP'!$B$4:$Y$1038,11,)</f>
        <v>997</v>
      </c>
      <c r="M8" s="101">
        <f>VLOOKUP(A8,'BSE ALL CAP'!$B$4:$Y$1038,12,)</f>
        <v>772</v>
      </c>
      <c r="N8" s="101">
        <f>VLOOKUP(A8,'BSE ALL CAP'!$B$4:$Y$1038,13,)</f>
        <v>51</v>
      </c>
      <c r="O8" s="101">
        <f>VLOOKUP(A8,'BSE ALL CAP'!$B$4:$Y$1038,14,)</f>
        <v>92</v>
      </c>
      <c r="P8" s="95">
        <f>VLOOKUP(A8,'BSE ALL CAP'!$B$4:$Y$1038,15,)</f>
        <v>7.3498233215547701E-2</v>
      </c>
      <c r="Q8" s="95">
        <f>VLOOKUP(A8,'BSE ALL CAP'!$B$4:$Y$1038,16,)</f>
        <v>0.13762287756925826</v>
      </c>
      <c r="R8" s="95">
        <f>VLOOKUP(A8,'BSE ALL CAP'!$B$4:$Y$1038,17,)</f>
        <v>-6.4124644353710555E-2</v>
      </c>
      <c r="S8" s="95">
        <f>VLOOKUP(A8,'BSE ALL CAP'!$B$4:$Y$1038,18,)</f>
        <v>5.1153460381143427E-2</v>
      </c>
      <c r="T8" s="95">
        <f>VLOOKUP(A8,'BSE ALL CAP'!$B$4:$Y$1038,19,)</f>
        <v>0.11917098445595854</v>
      </c>
      <c r="U8" s="95">
        <f>VLOOKUP(A8,'BSE ALL CAP'!$B$4:$Y$1038,20,)</f>
        <v>-6.8017524074815122E-2</v>
      </c>
      <c r="V8" s="95">
        <f>VLOOKUP(A8,'BSE ALL CAP'!$B$4:$Y$1038,21,)</f>
        <v>0.26452189454870423</v>
      </c>
      <c r="W8" s="95">
        <f>VLOOKUP(A8,'BSE ALL CAP'!$B$4:$Y$1038,22,)</f>
        <v>-0.32467532467532467</v>
      </c>
      <c r="X8" s="95">
        <f>VLOOKUP(A8,'BSE ALL CAP'!$B$4:$Y$1038,23,)</f>
        <v>0.29145077720207246</v>
      </c>
      <c r="Y8" s="95">
        <f>VLOOKUP(A8,'BSE ALL CAP'!$B$4:$Y$1038,24,)</f>
        <v>-0.44565217391304346</v>
      </c>
    </row>
    <row r="9" spans="1:25">
      <c r="A9" s="101">
        <v>544350</v>
      </c>
      <c r="B9" s="101" t="s">
        <v>4180</v>
      </c>
      <c r="C9" s="101" t="str">
        <f>VLOOKUP(A9,'BSE ALL CAP'!$B$4:$Y$1038,2,)</f>
        <v>Healthcare</v>
      </c>
      <c r="D9" s="101" t="str">
        <f>VLOOKUP(A9,'BSE ALL CAP'!$B$4:$Y$1038,3,)</f>
        <v>Hospital</v>
      </c>
      <c r="E9" s="101">
        <f ca="1">IFERROR(__xludf.DUMMYFUNCTION("GOOGLEFINANCE(""BOM:""&amp;A9,""PRICE"")"),427)</f>
        <v>427</v>
      </c>
      <c r="F9" s="112">
        <f ca="1">IFERROR(__xludf.DUMMYFUNCTION("GOOGLEFINANCE(""BOM:""&amp;A9,""MARKETCAP"")/10000000"),13527.67598)</f>
        <v>13527.67598</v>
      </c>
      <c r="G9" s="95">
        <f t="shared" ca="1" si="0"/>
        <v>2.8881086205990881E-2</v>
      </c>
      <c r="H9" s="101">
        <f>VLOOKUP(A9,'BSE ALL CAP'!$B$4:$Y$1038,7,)</f>
        <v>1516</v>
      </c>
      <c r="I9" s="101">
        <f>VLOOKUP(A9,'BSE ALL CAP'!$B$4:$Y$1038,8,)</f>
        <v>1251</v>
      </c>
      <c r="J9" s="101">
        <f>VLOOKUP(A9,'BSE ALL CAP'!$B$4:$Y$1038,9,)</f>
        <v>118</v>
      </c>
      <c r="K9" s="101">
        <f>VLOOKUP(A9,'BSE ALL CAP'!$B$4:$Y$1038,10,)</f>
        <v>80</v>
      </c>
      <c r="L9" s="101">
        <f>VLOOKUP(A9,'BSE ALL CAP'!$B$4:$Y$1038,11,)</f>
        <v>530</v>
      </c>
      <c r="M9" s="101">
        <f>VLOOKUP(A9,'BSE ALL CAP'!$B$4:$Y$1038,12,)</f>
        <v>431</v>
      </c>
      <c r="N9" s="101">
        <f>VLOOKUP(A9,'BSE ALL CAP'!$B$4:$Y$1038,13,)</f>
        <v>44</v>
      </c>
      <c r="O9" s="101">
        <f>VLOOKUP(A9,'BSE ALL CAP'!$B$4:$Y$1038,14,)</f>
        <v>28</v>
      </c>
      <c r="P9" s="95">
        <f>VLOOKUP(A9,'BSE ALL CAP'!$B$4:$Y$1038,15,)</f>
        <v>7.7836411609498682E-2</v>
      </c>
      <c r="Q9" s="95">
        <f>VLOOKUP(A9,'BSE ALL CAP'!$B$4:$Y$1038,16,)</f>
        <v>6.3948840927258194E-2</v>
      </c>
      <c r="R9" s="95">
        <f>VLOOKUP(A9,'BSE ALL CAP'!$B$4:$Y$1038,17,)</f>
        <v>1.3887570682240488E-2</v>
      </c>
      <c r="S9" s="95">
        <f>VLOOKUP(A9,'BSE ALL CAP'!$B$4:$Y$1038,18,)</f>
        <v>8.3018867924528297E-2</v>
      </c>
      <c r="T9" s="95">
        <f>VLOOKUP(A9,'BSE ALL CAP'!$B$4:$Y$1038,19,)</f>
        <v>6.4965197215777259E-2</v>
      </c>
      <c r="U9" s="95">
        <f>VLOOKUP(A9,'BSE ALL CAP'!$B$4:$Y$1038,20,)</f>
        <v>1.8053670708751038E-2</v>
      </c>
      <c r="V9" s="95">
        <f>VLOOKUP(A9,'BSE ALL CAP'!$B$4:$Y$1038,21,)</f>
        <v>0.21183053557154286</v>
      </c>
      <c r="W9" s="95">
        <f>VLOOKUP(A9,'BSE ALL CAP'!$B$4:$Y$1038,22,)</f>
        <v>0.47500000000000009</v>
      </c>
      <c r="X9" s="95">
        <f>VLOOKUP(A9,'BSE ALL CAP'!$B$4:$Y$1038,23,)</f>
        <v>0.22969837587006969</v>
      </c>
      <c r="Y9" s="95">
        <f>VLOOKUP(A9,'BSE ALL CAP'!$B$4:$Y$1038,24,)</f>
        <v>0.5714285714285714</v>
      </c>
    </row>
    <row r="10" spans="1:25">
      <c r="A10" s="101">
        <v>543524</v>
      </c>
      <c r="B10" s="101" t="s">
        <v>4181</v>
      </c>
      <c r="C10" s="101" t="str">
        <f>VLOOKUP(A10,'BSE ALL CAP'!$B$4:$Y$1038,2,)</f>
        <v>Healthcare</v>
      </c>
      <c r="D10" s="101" t="str">
        <f>VLOOKUP(A10,'BSE ALL CAP'!$B$4:$Y$1038,3,)</f>
        <v>Hospital</v>
      </c>
      <c r="E10" s="101">
        <f ca="1">IFERROR(__xludf.DUMMYFUNCTION("GOOGLEFINANCE(""BOM:""&amp;A10,""PRICE"")"),1169.2)</f>
        <v>1169.2</v>
      </c>
      <c r="F10" s="112">
        <f ca="1">IFERROR(__xludf.DUMMYFUNCTION("GOOGLEFINANCE(""BOM:""&amp;A10,""MARKETCAP"")/10000000"),11864.6535912)</f>
        <v>11864.6535912</v>
      </c>
      <c r="G10" s="95">
        <f t="shared" ca="1" si="0"/>
        <v>2.533059512057196E-2</v>
      </c>
      <c r="H10" s="101">
        <f>VLOOKUP(A10,'BSE ALL CAP'!$B$4:$Y$1038,7,)</f>
        <v>1243</v>
      </c>
      <c r="I10" s="101">
        <f>VLOOKUP(A10,'BSE ALL CAP'!$B$4:$Y$1038,8,)</f>
        <v>1145</v>
      </c>
      <c r="J10" s="101">
        <f>VLOOKUP(A10,'BSE ALL CAP'!$B$4:$Y$1038,9,)</f>
        <v>203</v>
      </c>
      <c r="K10" s="101">
        <f>VLOOKUP(A10,'BSE ALL CAP'!$B$4:$Y$1038,10,)</f>
        <v>187</v>
      </c>
      <c r="L10" s="101">
        <f>VLOOKUP(A10,'BSE ALL CAP'!$B$4:$Y$1038,11,)</f>
        <v>445</v>
      </c>
      <c r="M10" s="101">
        <f>VLOOKUP(A10,'BSE ALL CAP'!$B$4:$Y$1038,12,)</f>
        <v>398</v>
      </c>
      <c r="N10" s="101">
        <f>VLOOKUP(A10,'BSE ALL CAP'!$B$4:$Y$1038,13,)</f>
        <v>73</v>
      </c>
      <c r="O10" s="101">
        <f>VLOOKUP(A10,'BSE ALL CAP'!$B$4:$Y$1038,14,)</f>
        <v>68</v>
      </c>
      <c r="P10" s="95">
        <f>VLOOKUP(A10,'BSE ALL CAP'!$B$4:$Y$1038,15,)</f>
        <v>0.16331456154465004</v>
      </c>
      <c r="Q10" s="95">
        <f>VLOOKUP(A10,'BSE ALL CAP'!$B$4:$Y$1038,16,)</f>
        <v>0.16331877729257641</v>
      </c>
      <c r="R10" s="95">
        <f>VLOOKUP(A10,'BSE ALL CAP'!$B$4:$Y$1038,17,)</f>
        <v>-4.2157479263615905E-6</v>
      </c>
      <c r="S10" s="95">
        <f>VLOOKUP(A10,'BSE ALL CAP'!$B$4:$Y$1038,18,)</f>
        <v>0.16404494382022472</v>
      </c>
      <c r="T10" s="95">
        <f>VLOOKUP(A10,'BSE ALL CAP'!$B$4:$Y$1038,19,)</f>
        <v>0.17085427135678391</v>
      </c>
      <c r="U10" s="95">
        <f>VLOOKUP(A10,'BSE ALL CAP'!$B$4:$Y$1038,20,)</f>
        <v>-6.8093275365591899E-3</v>
      </c>
      <c r="V10" s="95">
        <f>VLOOKUP(A10,'BSE ALL CAP'!$B$4:$Y$1038,21,)</f>
        <v>8.5589519650655088E-2</v>
      </c>
      <c r="W10" s="95">
        <f>VLOOKUP(A10,'BSE ALL CAP'!$B$4:$Y$1038,22,)</f>
        <v>8.5561497326203106E-2</v>
      </c>
      <c r="X10" s="95">
        <f>VLOOKUP(A10,'BSE ALL CAP'!$B$4:$Y$1038,23,)</f>
        <v>0.11809045226130643</v>
      </c>
      <c r="Y10" s="95">
        <f>VLOOKUP(A10,'BSE ALL CAP'!$B$4:$Y$1038,24,)</f>
        <v>7.3529411764705843E-2</v>
      </c>
    </row>
    <row r="11" spans="1:25">
      <c r="A11" s="101">
        <v>543524</v>
      </c>
      <c r="B11" s="101" t="s">
        <v>4181</v>
      </c>
      <c r="C11" s="101" t="str">
        <f>VLOOKUP(A11,'BSE ALL CAP'!$B$4:$Y$1038,2,)</f>
        <v>Healthcare</v>
      </c>
      <c r="D11" s="101" t="str">
        <f>VLOOKUP(A11,'BSE ALL CAP'!$B$4:$Y$1038,3,)</f>
        <v>Hospital</v>
      </c>
      <c r="E11" s="101">
        <f ca="1">IFERROR(__xludf.DUMMYFUNCTION("GOOGLEFINANCE(""BOM:""&amp;A11,""PRICE"")"),1169.2)</f>
        <v>1169.2</v>
      </c>
      <c r="F11" s="112">
        <f ca="1">IFERROR(__xludf.DUMMYFUNCTION("GOOGLEFINANCE(""BOM:""&amp;A11,""MARKETCAP"")/10000000"),11864.6535912)</f>
        <v>11864.6535912</v>
      </c>
      <c r="G11" s="95">
        <f t="shared" ca="1" si="0"/>
        <v>2.533059512057196E-2</v>
      </c>
      <c r="H11" s="101">
        <f>VLOOKUP(A11,'BSE ALL CAP'!$B$4:$Y$1038,7,)</f>
        <v>1243</v>
      </c>
      <c r="I11" s="101">
        <f>VLOOKUP(A11,'BSE ALL CAP'!$B$4:$Y$1038,8,)</f>
        <v>1145</v>
      </c>
      <c r="J11" s="101">
        <f>VLOOKUP(A11,'BSE ALL CAP'!$B$4:$Y$1038,9,)</f>
        <v>203</v>
      </c>
      <c r="K11" s="101">
        <f>VLOOKUP(A11,'BSE ALL CAP'!$B$4:$Y$1038,10,)</f>
        <v>187</v>
      </c>
      <c r="L11" s="101">
        <f>VLOOKUP(A11,'BSE ALL CAP'!$B$4:$Y$1038,11,)</f>
        <v>445</v>
      </c>
      <c r="M11" s="101">
        <f>VLOOKUP(A11,'BSE ALL CAP'!$B$4:$Y$1038,12,)</f>
        <v>398</v>
      </c>
      <c r="N11" s="101">
        <f>VLOOKUP(A11,'BSE ALL CAP'!$B$4:$Y$1038,13,)</f>
        <v>73</v>
      </c>
      <c r="O11" s="101">
        <f>VLOOKUP(A11,'BSE ALL CAP'!$B$4:$Y$1038,14,)</f>
        <v>68</v>
      </c>
      <c r="P11" s="95">
        <f>VLOOKUP(A11,'BSE ALL CAP'!$B$4:$Y$1038,15,)</f>
        <v>0.16331456154465004</v>
      </c>
      <c r="Q11" s="95">
        <f>VLOOKUP(A11,'BSE ALL CAP'!$B$4:$Y$1038,16,)</f>
        <v>0.16331877729257641</v>
      </c>
      <c r="R11" s="95">
        <f>VLOOKUP(A11,'BSE ALL CAP'!$B$4:$Y$1038,17,)</f>
        <v>-4.2157479263615905E-6</v>
      </c>
      <c r="S11" s="95">
        <f>VLOOKUP(A11,'BSE ALL CAP'!$B$4:$Y$1038,18,)</f>
        <v>0.16404494382022472</v>
      </c>
      <c r="T11" s="95">
        <f>VLOOKUP(A11,'BSE ALL CAP'!$B$4:$Y$1038,19,)</f>
        <v>0.17085427135678391</v>
      </c>
      <c r="U11" s="95">
        <f>VLOOKUP(A11,'BSE ALL CAP'!$B$4:$Y$1038,20,)</f>
        <v>-6.8093275365591899E-3</v>
      </c>
      <c r="V11" s="95">
        <f>VLOOKUP(A11,'BSE ALL CAP'!$B$4:$Y$1038,21,)</f>
        <v>8.5589519650655088E-2</v>
      </c>
      <c r="W11" s="95">
        <f>VLOOKUP(A11,'BSE ALL CAP'!$B$4:$Y$1038,22,)</f>
        <v>8.5561497326203106E-2</v>
      </c>
      <c r="X11" s="95">
        <f>VLOOKUP(A11,'BSE ALL CAP'!$B$4:$Y$1038,23,)</f>
        <v>0.11809045226130643</v>
      </c>
      <c r="Y11" s="95">
        <f>VLOOKUP(A11,'BSE ALL CAP'!$B$4:$Y$1038,24,)</f>
        <v>7.3529411764705843E-2</v>
      </c>
    </row>
    <row r="12" spans="1:25">
      <c r="A12" s="101">
        <v>544645</v>
      </c>
      <c r="B12" s="101" t="s">
        <v>4182</v>
      </c>
      <c r="C12" s="101" t="e">
        <f>VLOOKUP(A12,'BSE ALL CAP'!$B$4:$Y$1038,2,)</f>
        <v>#N/A</v>
      </c>
      <c r="D12" s="101" t="e">
        <f>VLOOKUP(A12,'BSE ALL CAP'!$B$4:$Y$1038,3,)</f>
        <v>#N/A</v>
      </c>
      <c r="E12" s="101">
        <f ca="1">IFERROR(__xludf.DUMMYFUNCTION("GOOGLEFINANCE(""BOM:""&amp;A12,""PRICE"")"),199)</f>
        <v>199</v>
      </c>
      <c r="F12" s="112">
        <f ca="1">IFERROR(__xludf.DUMMYFUNCTION("GOOGLEFINANCE(""BOM:""&amp;A12,""MARKETCAP"")/10000000"),8588.5087401)</f>
        <v>8588.5087401000001</v>
      </c>
      <c r="G12" s="95">
        <f t="shared" ca="1" si="0"/>
        <v>1.8336147441028097E-2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>
      <c r="A13" s="101">
        <v>543980</v>
      </c>
      <c r="B13" s="101" t="s">
        <v>4183</v>
      </c>
      <c r="C13" s="101" t="str">
        <f>VLOOKUP(A13,'BSE ALL CAP'!$B$4:$Y$1038,2,)</f>
        <v>Healthcare</v>
      </c>
      <c r="D13" s="101" t="str">
        <f>VLOOKUP(A13,'BSE ALL CAP'!$B$4:$Y$1038,3,)</f>
        <v>Hospital</v>
      </c>
      <c r="E13" s="101">
        <f ca="1">IFERROR(__xludf.DUMMYFUNCTION("GOOGLEFINANCE(""BOM:""&amp;A13,""PRICE"")"),1207.85)</f>
        <v>1207.8499999999999</v>
      </c>
      <c r="F13" s="112">
        <f ca="1">IFERROR(__xludf.DUMMYFUNCTION("GOOGLEFINANCE(""BOM:""&amp;A13,""MARKETCAP"")/10000000"),7897.427109)</f>
        <v>7897.4271090000002</v>
      </c>
      <c r="G13" s="95">
        <f t="shared" ca="1" si="0"/>
        <v>1.6860713804630792E-2</v>
      </c>
      <c r="H13" s="101">
        <f>VLOOKUP(A13,'BSE ALL CAP'!$B$4:$Y$1038,7,)</f>
        <v>1111</v>
      </c>
      <c r="I13" s="101">
        <f>VLOOKUP(A13,'BSE ALL CAP'!$B$4:$Y$1038,8,)</f>
        <v>965</v>
      </c>
      <c r="J13" s="101">
        <f>VLOOKUP(A13,'BSE ALL CAP'!$B$4:$Y$1038,9,)</f>
        <v>143</v>
      </c>
      <c r="K13" s="101">
        <f>VLOOKUP(A13,'BSE ALL CAP'!$B$4:$Y$1038,10,)</f>
        <v>148</v>
      </c>
      <c r="L13" s="101">
        <f>VLOOKUP(A13,'BSE ALL CAP'!$B$4:$Y$1038,11,)</f>
        <v>365</v>
      </c>
      <c r="M13" s="101">
        <f>VLOOKUP(A13,'BSE ALL CAP'!$B$4:$Y$1038,12,)</f>
        <v>332</v>
      </c>
      <c r="N13" s="101">
        <f>VLOOKUP(A13,'BSE ALL CAP'!$B$4:$Y$1038,13,)</f>
        <v>42</v>
      </c>
      <c r="O13" s="101">
        <f>VLOOKUP(A13,'BSE ALL CAP'!$B$4:$Y$1038,14,)</f>
        <v>52</v>
      </c>
      <c r="P13" s="95">
        <f>VLOOKUP(A13,'BSE ALL CAP'!$B$4:$Y$1038,15,)</f>
        <v>0.12871287128712872</v>
      </c>
      <c r="Q13" s="95">
        <f>VLOOKUP(A13,'BSE ALL CAP'!$B$4:$Y$1038,16,)</f>
        <v>0.15336787564766841</v>
      </c>
      <c r="R13" s="95">
        <f>VLOOKUP(A13,'BSE ALL CAP'!$B$4:$Y$1038,17,)</f>
        <v>-2.465500436053969E-2</v>
      </c>
      <c r="S13" s="95">
        <f>VLOOKUP(A13,'BSE ALL CAP'!$B$4:$Y$1038,18,)</f>
        <v>0.11506849315068493</v>
      </c>
      <c r="T13" s="95">
        <f>VLOOKUP(A13,'BSE ALL CAP'!$B$4:$Y$1038,19,)</f>
        <v>0.15662650602409639</v>
      </c>
      <c r="U13" s="95">
        <f>VLOOKUP(A13,'BSE ALL CAP'!$B$4:$Y$1038,20,)</f>
        <v>-4.155801287341146E-2</v>
      </c>
      <c r="V13" s="95">
        <f>VLOOKUP(A13,'BSE ALL CAP'!$B$4:$Y$1038,21,)</f>
        <v>0.15129533678756468</v>
      </c>
      <c r="W13" s="95">
        <f>VLOOKUP(A13,'BSE ALL CAP'!$B$4:$Y$1038,22,)</f>
        <v>-3.3783783783783772E-2</v>
      </c>
      <c r="X13" s="95">
        <f>VLOOKUP(A13,'BSE ALL CAP'!$B$4:$Y$1038,23,)</f>
        <v>9.9397590361445687E-2</v>
      </c>
      <c r="Y13" s="95">
        <f>VLOOKUP(A13,'BSE ALL CAP'!$B$4:$Y$1038,24,)</f>
        <v>-0.19230769230769229</v>
      </c>
    </row>
    <row r="14" spans="1:25">
      <c r="A14" s="101">
        <v>539787</v>
      </c>
      <c r="B14" s="101" t="s">
        <v>4184</v>
      </c>
      <c r="C14" s="101" t="str">
        <f>VLOOKUP(A14,'BSE ALL CAP'!$B$4:$Y$1038,2,)</f>
        <v>Healthcare</v>
      </c>
      <c r="D14" s="101" t="str">
        <f>VLOOKUP(A14,'BSE ALL CAP'!$B$4:$Y$1038,3,)</f>
        <v>Hospital</v>
      </c>
      <c r="E14" s="101">
        <f ca="1">IFERROR(__xludf.DUMMYFUNCTION("GOOGLEFINANCE(""BOM:""&amp;A14,""PRICE"")"),537.85)</f>
        <v>537.85</v>
      </c>
      <c r="F14" s="112">
        <f ca="1">IFERROR(__xludf.DUMMYFUNCTION("GOOGLEFINANCE(""BOM:""&amp;A14,""MARKETCAP"")/10000000"),8024.2415467)</f>
        <v>8024.2415467000001</v>
      </c>
      <c r="G14" s="95">
        <f t="shared" ca="1" si="0"/>
        <v>1.7131457923043505E-2</v>
      </c>
      <c r="H14" s="101">
        <f>VLOOKUP(A14,'BSE ALL CAP'!$B$4:$Y$1038,7,)</f>
        <v>1888</v>
      </c>
      <c r="I14" s="101">
        <f>VLOOKUP(A14,'BSE ALL CAP'!$B$4:$Y$1038,8,)</f>
        <v>1634</v>
      </c>
      <c r="J14" s="101">
        <f>VLOOKUP(A14,'BSE ALL CAP'!$B$4:$Y$1038,9,)</f>
        <v>7</v>
      </c>
      <c r="K14" s="101">
        <f>VLOOKUP(A14,'BSE ALL CAP'!$B$4:$Y$1038,10,)</f>
        <v>18</v>
      </c>
      <c r="L14" s="101">
        <f>VLOOKUP(A14,'BSE ALL CAP'!$B$4:$Y$1038,11,)</f>
        <v>631</v>
      </c>
      <c r="M14" s="101">
        <f>VLOOKUP(A14,'BSE ALL CAP'!$B$4:$Y$1038,12,)</f>
        <v>557</v>
      </c>
      <c r="N14" s="101">
        <f>VLOOKUP(A14,'BSE ALL CAP'!$B$4:$Y$1038,13,)</f>
        <v>-7</v>
      </c>
      <c r="O14" s="101">
        <f>VLOOKUP(A14,'BSE ALL CAP'!$B$4:$Y$1038,14,)</f>
        <v>7</v>
      </c>
      <c r="P14" s="95">
        <f>VLOOKUP(A14,'BSE ALL CAP'!$B$4:$Y$1038,15,)</f>
        <v>3.7076271186440679E-3</v>
      </c>
      <c r="Q14" s="95">
        <f>VLOOKUP(A14,'BSE ALL CAP'!$B$4:$Y$1038,16,)</f>
        <v>1.1015911872705019E-2</v>
      </c>
      <c r="R14" s="95">
        <f>VLOOKUP(A14,'BSE ALL CAP'!$B$4:$Y$1038,17,)</f>
        <v>-7.3082847540609508E-3</v>
      </c>
      <c r="S14" s="95">
        <f>VLOOKUP(A14,'BSE ALL CAP'!$B$4:$Y$1038,18,)</f>
        <v>-1.1093502377179081E-2</v>
      </c>
      <c r="T14" s="95">
        <f>VLOOKUP(A14,'BSE ALL CAP'!$B$4:$Y$1038,19,)</f>
        <v>1.2567324955116697E-2</v>
      </c>
      <c r="U14" s="95">
        <f>VLOOKUP(A14,'BSE ALL CAP'!$B$4:$Y$1038,20,)</f>
        <v>-2.3660827332295777E-2</v>
      </c>
      <c r="V14" s="95">
        <f>VLOOKUP(A14,'BSE ALL CAP'!$B$4:$Y$1038,21,)</f>
        <v>0.15544675642594852</v>
      </c>
      <c r="W14" s="95">
        <f>VLOOKUP(A14,'BSE ALL CAP'!$B$4:$Y$1038,22,)</f>
        <v>-0.61111111111111116</v>
      </c>
      <c r="X14" s="95">
        <f>VLOOKUP(A14,'BSE ALL CAP'!$B$4:$Y$1038,23,)</f>
        <v>0.1328545780969479</v>
      </c>
      <c r="Y14" s="95">
        <f>VLOOKUP(A14,'BSE ALL CAP'!$B$4:$Y$1038,24,)</f>
        <v>-2</v>
      </c>
    </row>
    <row r="15" spans="1:25">
      <c r="A15" s="101">
        <v>543950</v>
      </c>
      <c r="B15" s="101" t="s">
        <v>4185</v>
      </c>
      <c r="C15" s="101" t="str">
        <f>VLOOKUP(A15,'BSE ALL CAP'!$B$4:$Y$1038,2,)</f>
        <v>Healthcare</v>
      </c>
      <c r="D15" s="101" t="str">
        <f>VLOOKUP(A15,'BSE ALL CAP'!$B$4:$Y$1038,3,)</f>
        <v>Hospital</v>
      </c>
      <c r="E15" s="101">
        <f ca="1">IFERROR(__xludf.DUMMYFUNCTION("GOOGLEFINANCE(""BOM:""&amp;A15,""PRICE"")"),674.9)</f>
        <v>674.9</v>
      </c>
      <c r="F15" s="112">
        <f ca="1">IFERROR(__xludf.DUMMYFUNCTION("GOOGLEFINANCE(""BOM:""&amp;A15,""MARKETCAP"")/10000000"),6480.7586504)</f>
        <v>6480.7586504000001</v>
      </c>
      <c r="G15" s="95">
        <f t="shared" ca="1" si="0"/>
        <v>1.3836179218008112E-2</v>
      </c>
      <c r="H15" s="101">
        <f>VLOOKUP(A15,'BSE ALL CAP'!$B$4:$Y$1038,7,)</f>
        <v>857</v>
      </c>
      <c r="I15" s="101">
        <f>VLOOKUP(A15,'BSE ALL CAP'!$B$4:$Y$1038,8,)</f>
        <v>648</v>
      </c>
      <c r="J15" s="101">
        <f>VLOOKUP(A15,'BSE ALL CAP'!$B$4:$Y$1038,9,)</f>
        <v>126</v>
      </c>
      <c r="K15" s="101">
        <f>VLOOKUP(A15,'BSE ALL CAP'!$B$4:$Y$1038,10,)</f>
        <v>91</v>
      </c>
      <c r="L15" s="101">
        <f>VLOOKUP(A15,'BSE ALL CAP'!$B$4:$Y$1038,11,)</f>
        <v>320</v>
      </c>
      <c r="M15" s="101">
        <f>VLOOKUP(A15,'BSE ALL CAP'!$B$4:$Y$1038,12,)</f>
        <v>219</v>
      </c>
      <c r="N15" s="101">
        <f>VLOOKUP(A15,'BSE ALL CAP'!$B$4:$Y$1038,13,)</f>
        <v>43</v>
      </c>
      <c r="O15" s="101">
        <f>VLOOKUP(A15,'BSE ALL CAP'!$B$4:$Y$1038,14,)</f>
        <v>30</v>
      </c>
      <c r="P15" s="95">
        <f>VLOOKUP(A15,'BSE ALL CAP'!$B$4:$Y$1038,15,)</f>
        <v>0.14702450408401399</v>
      </c>
      <c r="Q15" s="95">
        <f>VLOOKUP(A15,'BSE ALL CAP'!$B$4:$Y$1038,16,)</f>
        <v>0.14043209876543211</v>
      </c>
      <c r="R15" s="95">
        <f>VLOOKUP(A15,'BSE ALL CAP'!$B$4:$Y$1038,17,)</f>
        <v>6.5924053185818787E-3</v>
      </c>
      <c r="S15" s="95">
        <f>VLOOKUP(A15,'BSE ALL CAP'!$B$4:$Y$1038,18,)</f>
        <v>0.13437499999999999</v>
      </c>
      <c r="T15" s="95">
        <f>VLOOKUP(A15,'BSE ALL CAP'!$B$4:$Y$1038,19,)</f>
        <v>0.13698630136986301</v>
      </c>
      <c r="U15" s="95">
        <f>VLOOKUP(A15,'BSE ALL CAP'!$B$4:$Y$1038,20,)</f>
        <v>-2.6113013698630116E-3</v>
      </c>
      <c r="V15" s="95">
        <f>VLOOKUP(A15,'BSE ALL CAP'!$B$4:$Y$1038,21,)</f>
        <v>0.32253086419753085</v>
      </c>
      <c r="W15" s="95">
        <f>VLOOKUP(A15,'BSE ALL CAP'!$B$4:$Y$1038,22,)</f>
        <v>0.38461538461538458</v>
      </c>
      <c r="X15" s="95">
        <f>VLOOKUP(A15,'BSE ALL CAP'!$B$4:$Y$1038,23,)</f>
        <v>0.46118721461187207</v>
      </c>
      <c r="Y15" s="95">
        <f>VLOOKUP(A15,'BSE ALL CAP'!$B$4:$Y$1038,24,)</f>
        <v>0.43333333333333335</v>
      </c>
    </row>
    <row r="16" spans="1:25">
      <c r="A16" s="101">
        <v>523323</v>
      </c>
      <c r="B16" s="101" t="s">
        <v>4186</v>
      </c>
      <c r="C16" s="101" t="str">
        <f>VLOOKUP(A16,'BSE ALL CAP'!$B$4:$Y$1038,2,)</f>
        <v>Healthcare</v>
      </c>
      <c r="D16" s="101" t="str">
        <f>VLOOKUP(A16,'BSE ALL CAP'!$B$4:$Y$1038,3,)</f>
        <v>Hospital</v>
      </c>
      <c r="E16" s="101">
        <f ca="1">IFERROR(__xludf.DUMMYFUNCTION("GOOGLEFINANCE(""BOM:""&amp;A16,""PRICE"")"),5233.85)</f>
        <v>5233.8500000000004</v>
      </c>
      <c r="F16" s="112">
        <f ca="1">IFERROR(__xludf.DUMMYFUNCTION("GOOGLEFINANCE(""BOM:""&amp;A16,""MARKETCAP"")/10000000"),5727.0148569)</f>
        <v>5727.0148569000003</v>
      </c>
      <c r="G16" s="95">
        <f t="shared" ca="1" si="0"/>
        <v>1.2226964190276196E-2</v>
      </c>
      <c r="H16" s="101">
        <f>VLOOKUP(A16,'BSE ALL CAP'!$B$4:$Y$1038,7,)</f>
        <v>1170</v>
      </c>
      <c r="I16" s="101">
        <f>VLOOKUP(A16,'BSE ALL CAP'!$B$4:$Y$1038,8,)</f>
        <v>1013</v>
      </c>
      <c r="J16" s="101">
        <f>VLOOKUP(A16,'BSE ALL CAP'!$B$4:$Y$1038,9,)</f>
        <v>181</v>
      </c>
      <c r="K16" s="101">
        <f>VLOOKUP(A16,'BSE ALL CAP'!$B$4:$Y$1038,10,)</f>
        <v>154</v>
      </c>
      <c r="L16" s="101">
        <f>VLOOKUP(A16,'BSE ALL CAP'!$B$4:$Y$1038,11,)</f>
        <v>406</v>
      </c>
      <c r="M16" s="101">
        <f>VLOOKUP(A16,'BSE ALL CAP'!$B$4:$Y$1038,12,)</f>
        <v>354</v>
      </c>
      <c r="N16" s="101">
        <f>VLOOKUP(A16,'BSE ALL CAP'!$B$4:$Y$1038,13,)</f>
        <v>65</v>
      </c>
      <c r="O16" s="101">
        <f>VLOOKUP(A16,'BSE ALL CAP'!$B$4:$Y$1038,14,)</f>
        <v>57</v>
      </c>
      <c r="P16" s="95">
        <f>VLOOKUP(A16,'BSE ALL CAP'!$B$4:$Y$1038,15,)</f>
        <v>0.15470085470085471</v>
      </c>
      <c r="Q16" s="95">
        <f>VLOOKUP(A16,'BSE ALL CAP'!$B$4:$Y$1038,16,)</f>
        <v>0.15202369200394866</v>
      </c>
      <c r="R16" s="95">
        <f>VLOOKUP(A16,'BSE ALL CAP'!$B$4:$Y$1038,17,)</f>
        <v>2.6771626969060436E-3</v>
      </c>
      <c r="S16" s="95">
        <f>VLOOKUP(A16,'BSE ALL CAP'!$B$4:$Y$1038,18,)</f>
        <v>0.16009852216748768</v>
      </c>
      <c r="T16" s="95">
        <f>VLOOKUP(A16,'BSE ALL CAP'!$B$4:$Y$1038,19,)</f>
        <v>0.16101694915254236</v>
      </c>
      <c r="U16" s="95">
        <f>VLOOKUP(A16,'BSE ALL CAP'!$B$4:$Y$1038,20,)</f>
        <v>-9.1842698505467668E-4</v>
      </c>
      <c r="V16" s="95">
        <f>VLOOKUP(A16,'BSE ALL CAP'!$B$4:$Y$1038,21,)</f>
        <v>0.15498519249753206</v>
      </c>
      <c r="W16" s="95">
        <f>VLOOKUP(A16,'BSE ALL CAP'!$B$4:$Y$1038,22,)</f>
        <v>0.17532467532467533</v>
      </c>
      <c r="X16" s="95">
        <f>VLOOKUP(A16,'BSE ALL CAP'!$B$4:$Y$1038,23,)</f>
        <v>0.14689265536723162</v>
      </c>
      <c r="Y16" s="95">
        <f>VLOOKUP(A16,'BSE ALL CAP'!$B$4:$Y$1038,24,)</f>
        <v>0.14035087719298245</v>
      </c>
    </row>
    <row r="17" spans="1:25">
      <c r="A17" s="101">
        <v>532150</v>
      </c>
      <c r="B17" s="101" t="s">
        <v>4187</v>
      </c>
      <c r="C17" s="101" t="str">
        <f>VLOOKUP(A17,'BSE ALL CAP'!$B$4:$Y$1038,2,)</f>
        <v>Healthcare</v>
      </c>
      <c r="D17" s="101" t="str">
        <f>VLOOKUP(A17,'BSE ALL CAP'!$B$4:$Y$1038,3,)</f>
        <v>Hospital</v>
      </c>
      <c r="E17" s="101">
        <f ca="1">IFERROR(__xludf.DUMMYFUNCTION("GOOGLEFINANCE(""BOM:""&amp;A17,""PRICE"")"),411)</f>
        <v>411</v>
      </c>
      <c r="F17" s="112">
        <f ca="1">IFERROR(__xludf.DUMMYFUNCTION("GOOGLEFINANCE(""BOM:""&amp;A17,""MARKETCAP"")/10000000"),3760.4261617)</f>
        <v>3760.4261617000002</v>
      </c>
      <c r="G17" s="95">
        <f t="shared" ca="1" si="0"/>
        <v>8.028370306022152E-3</v>
      </c>
      <c r="H17" s="101">
        <f>VLOOKUP(A17,'BSE ALL CAP'!$B$4:$Y$1038,7,)</f>
        <v>1118</v>
      </c>
      <c r="I17" s="101">
        <f>VLOOKUP(A17,'BSE ALL CAP'!$B$4:$Y$1038,8,)</f>
        <v>1023</v>
      </c>
      <c r="J17" s="101">
        <f>VLOOKUP(A17,'BSE ALL CAP'!$B$4:$Y$1038,9,)</f>
        <v>142</v>
      </c>
      <c r="K17" s="101">
        <f>VLOOKUP(A17,'BSE ALL CAP'!$B$4:$Y$1038,10,)</f>
        <v>120</v>
      </c>
      <c r="L17" s="101">
        <f>VLOOKUP(A17,'BSE ALL CAP'!$B$4:$Y$1038,11,)</f>
        <v>372</v>
      </c>
      <c r="M17" s="101">
        <f>VLOOKUP(A17,'BSE ALL CAP'!$B$4:$Y$1038,12,)</f>
        <v>325</v>
      </c>
      <c r="N17" s="101">
        <f>VLOOKUP(A17,'BSE ALL CAP'!$B$4:$Y$1038,13,)</f>
        <v>41</v>
      </c>
      <c r="O17" s="101">
        <f>VLOOKUP(A17,'BSE ALL CAP'!$B$4:$Y$1038,14,)</f>
        <v>33</v>
      </c>
      <c r="P17" s="95">
        <f>VLOOKUP(A17,'BSE ALL CAP'!$B$4:$Y$1038,15,)</f>
        <v>0.12701252236135957</v>
      </c>
      <c r="Q17" s="95">
        <f>VLOOKUP(A17,'BSE ALL CAP'!$B$4:$Y$1038,16,)</f>
        <v>0.11730205278592376</v>
      </c>
      <c r="R17" s="95">
        <f>VLOOKUP(A17,'BSE ALL CAP'!$B$4:$Y$1038,17,)</f>
        <v>9.7104695754358095E-3</v>
      </c>
      <c r="S17" s="95">
        <f>VLOOKUP(A17,'BSE ALL CAP'!$B$4:$Y$1038,18,)</f>
        <v>0.11021505376344086</v>
      </c>
      <c r="T17" s="95">
        <f>VLOOKUP(A17,'BSE ALL CAP'!$B$4:$Y$1038,19,)</f>
        <v>0.10153846153846154</v>
      </c>
      <c r="U17" s="95">
        <f>VLOOKUP(A17,'BSE ALL CAP'!$B$4:$Y$1038,20,)</f>
        <v>8.6765922249793237E-3</v>
      </c>
      <c r="V17" s="95">
        <f>VLOOKUP(A17,'BSE ALL CAP'!$B$4:$Y$1038,21,)</f>
        <v>9.2864125122189556E-2</v>
      </c>
      <c r="W17" s="95">
        <f>VLOOKUP(A17,'BSE ALL CAP'!$B$4:$Y$1038,22,)</f>
        <v>0.18333333333333335</v>
      </c>
      <c r="X17" s="95">
        <f>VLOOKUP(A17,'BSE ALL CAP'!$B$4:$Y$1038,23,)</f>
        <v>0.14461538461538459</v>
      </c>
      <c r="Y17" s="95">
        <f>VLOOKUP(A17,'BSE ALL CAP'!$B$4:$Y$1038,24,)</f>
        <v>0.24242424242424243</v>
      </c>
    </row>
    <row r="18" spans="1:25">
      <c r="A18" s="101">
        <v>542919</v>
      </c>
      <c r="B18" s="101" t="s">
        <v>4188</v>
      </c>
      <c r="C18" s="101" t="str">
        <f>VLOOKUP(A18,'BSE ALL CAP'!$B$4:$Y$1038,2,)</f>
        <v>Healthcare</v>
      </c>
      <c r="D18" s="101" t="str">
        <f>VLOOKUP(A18,'BSE ALL CAP'!$B$4:$Y$1038,3,)</f>
        <v>Hospital</v>
      </c>
      <c r="E18" s="101">
        <f ca="1">IFERROR(__xludf.DUMMYFUNCTION("GOOGLEFINANCE(""BOM:""&amp;A18,""PRICE"")"),228.9)</f>
        <v>228.9</v>
      </c>
      <c r="F18" s="112">
        <f ca="1">IFERROR(__xludf.DUMMYFUNCTION("GOOGLEFINANCE(""BOM:""&amp;A18,""MARKETCAP"")/10000000"),3622.8374836)</f>
        <v>3622.8374835999998</v>
      </c>
      <c r="G18" s="95">
        <f t="shared" ca="1" si="0"/>
        <v>7.7346235841869032E-3</v>
      </c>
      <c r="H18" s="101">
        <f>VLOOKUP(A18,'BSE ALL CAP'!$B$4:$Y$1038,7,)</f>
        <v>802</v>
      </c>
      <c r="I18" s="101">
        <f>VLOOKUP(A18,'BSE ALL CAP'!$B$4:$Y$1038,8,)</f>
        <v>697</v>
      </c>
      <c r="J18" s="101">
        <f>VLOOKUP(A18,'BSE ALL CAP'!$B$4:$Y$1038,9,)</f>
        <v>73</v>
      </c>
      <c r="K18" s="101">
        <f>VLOOKUP(A18,'BSE ALL CAP'!$B$4:$Y$1038,10,)</f>
        <v>59</v>
      </c>
      <c r="L18" s="101">
        <f>VLOOKUP(A18,'BSE ALL CAP'!$B$4:$Y$1038,11,)</f>
        <v>272</v>
      </c>
      <c r="M18" s="101">
        <f>VLOOKUP(A18,'BSE ALL CAP'!$B$4:$Y$1038,12,)</f>
        <v>232</v>
      </c>
      <c r="N18" s="101">
        <f>VLOOKUP(A18,'BSE ALL CAP'!$B$4:$Y$1038,13,)</f>
        <v>22</v>
      </c>
      <c r="O18" s="101">
        <f>VLOOKUP(A18,'BSE ALL CAP'!$B$4:$Y$1038,14,)</f>
        <v>20</v>
      </c>
      <c r="P18" s="95">
        <f>VLOOKUP(A18,'BSE ALL CAP'!$B$4:$Y$1038,15,)</f>
        <v>9.1022443890274321E-2</v>
      </c>
      <c r="Q18" s="95">
        <f>VLOOKUP(A18,'BSE ALL CAP'!$B$4:$Y$1038,16,)</f>
        <v>8.4648493543758974E-2</v>
      </c>
      <c r="R18" s="95">
        <f>VLOOKUP(A18,'BSE ALL CAP'!$B$4:$Y$1038,17,)</f>
        <v>6.3739503465153474E-3</v>
      </c>
      <c r="S18" s="95">
        <f>VLOOKUP(A18,'BSE ALL CAP'!$B$4:$Y$1038,18,)</f>
        <v>8.0882352941176475E-2</v>
      </c>
      <c r="T18" s="95">
        <f>VLOOKUP(A18,'BSE ALL CAP'!$B$4:$Y$1038,19,)</f>
        <v>8.6206896551724144E-2</v>
      </c>
      <c r="U18" s="95">
        <f>VLOOKUP(A18,'BSE ALL CAP'!$B$4:$Y$1038,20,)</f>
        <v>-5.324543610547669E-3</v>
      </c>
      <c r="V18" s="95">
        <f>VLOOKUP(A18,'BSE ALL CAP'!$B$4:$Y$1038,21,)</f>
        <v>0.15064562410329985</v>
      </c>
      <c r="W18" s="95">
        <f>VLOOKUP(A18,'BSE ALL CAP'!$B$4:$Y$1038,22,)</f>
        <v>0.23728813559322037</v>
      </c>
      <c r="X18" s="95">
        <f>VLOOKUP(A18,'BSE ALL CAP'!$B$4:$Y$1038,23,)</f>
        <v>0.17241379310344818</v>
      </c>
      <c r="Y18" s="95">
        <f>VLOOKUP(A18,'BSE ALL CAP'!$B$4:$Y$1038,24,)</f>
        <v>0.10000000000000009</v>
      </c>
    </row>
    <row r="19" spans="1:25">
      <c r="A19" s="101">
        <v>526783</v>
      </c>
      <c r="B19" s="101" t="s">
        <v>4189</v>
      </c>
      <c r="C19" s="101" t="str">
        <f>VLOOKUP(A19,'BSE ALL CAP'!$B$4:$Y$1038,2,)</f>
        <v>Healthcare</v>
      </c>
      <c r="D19" s="101" t="str">
        <f>VLOOKUP(A19,'BSE ALL CAP'!$B$4:$Y$1038,3,)</f>
        <v>Hospital</v>
      </c>
      <c r="E19" s="101">
        <f ca="1">IFERROR(__xludf.DUMMYFUNCTION("GOOGLEFINANCE(""BOM:""&amp;A19,""PRICE"")"),4787.5)</f>
        <v>4787.5</v>
      </c>
      <c r="F19" s="112">
        <f ca="1">IFERROR(__xludf.DUMMYFUNCTION("GOOGLEFINANCE(""BOM:""&amp;A19,""MARKETCAP"")/10000000"),2313.7159262)</f>
        <v>2313.7159262</v>
      </c>
      <c r="G19" s="95">
        <f t="shared" ca="1" si="0"/>
        <v>4.9396976405666568E-3</v>
      </c>
      <c r="H19" s="101">
        <f>VLOOKUP(A19,'BSE ALL CAP'!$B$4:$Y$1038,7,)</f>
        <v>351</v>
      </c>
      <c r="I19" s="101">
        <f>VLOOKUP(A19,'BSE ALL CAP'!$B$4:$Y$1038,8,)</f>
        <v>297</v>
      </c>
      <c r="J19" s="101">
        <f>VLOOKUP(A19,'BSE ALL CAP'!$B$4:$Y$1038,9,)</f>
        <v>54</v>
      </c>
      <c r="K19" s="101">
        <f>VLOOKUP(A19,'BSE ALL CAP'!$B$4:$Y$1038,10,)</f>
        <v>39</v>
      </c>
      <c r="L19" s="101">
        <f>VLOOKUP(A19,'BSE ALL CAP'!$B$4:$Y$1038,11,)</f>
        <v>116</v>
      </c>
      <c r="M19" s="101">
        <f>VLOOKUP(A19,'BSE ALL CAP'!$B$4:$Y$1038,12,)</f>
        <v>95</v>
      </c>
      <c r="N19" s="101">
        <f>VLOOKUP(A19,'BSE ALL CAP'!$B$4:$Y$1038,13,)</f>
        <v>17</v>
      </c>
      <c r="O19" s="101">
        <f>VLOOKUP(A19,'BSE ALL CAP'!$B$4:$Y$1038,14,)</f>
        <v>10</v>
      </c>
      <c r="P19" s="95">
        <f>VLOOKUP(A19,'BSE ALL CAP'!$B$4:$Y$1038,15,)</f>
        <v>0.15384615384615385</v>
      </c>
      <c r="Q19" s="95">
        <f>VLOOKUP(A19,'BSE ALL CAP'!$B$4:$Y$1038,16,)</f>
        <v>0.13131313131313133</v>
      </c>
      <c r="R19" s="95">
        <f>VLOOKUP(A19,'BSE ALL CAP'!$B$4:$Y$1038,17,)</f>
        <v>2.2533022533022529E-2</v>
      </c>
      <c r="S19" s="95">
        <f>VLOOKUP(A19,'BSE ALL CAP'!$B$4:$Y$1038,18,)</f>
        <v>0.14655172413793102</v>
      </c>
      <c r="T19" s="95">
        <f>VLOOKUP(A19,'BSE ALL CAP'!$B$4:$Y$1038,19,)</f>
        <v>0.10526315789473684</v>
      </c>
      <c r="U19" s="95">
        <f>VLOOKUP(A19,'BSE ALL CAP'!$B$4:$Y$1038,20,)</f>
        <v>4.1288566243194186E-2</v>
      </c>
      <c r="V19" s="95">
        <f>VLOOKUP(A19,'BSE ALL CAP'!$B$4:$Y$1038,21,)</f>
        <v>0.18181818181818188</v>
      </c>
      <c r="W19" s="95">
        <f>VLOOKUP(A19,'BSE ALL CAP'!$B$4:$Y$1038,22,)</f>
        <v>0.38461538461538458</v>
      </c>
      <c r="X19" s="95">
        <f>VLOOKUP(A19,'BSE ALL CAP'!$B$4:$Y$1038,23,)</f>
        <v>0.22105263157894739</v>
      </c>
      <c r="Y19" s="95">
        <f>VLOOKUP(A19,'BSE ALL CAP'!$B$4:$Y$1038,24,)</f>
        <v>0.7</v>
      </c>
    </row>
    <row r="20" spans="1:25">
      <c r="A20" s="101">
        <v>540797</v>
      </c>
      <c r="B20" s="101" t="s">
        <v>4190</v>
      </c>
      <c r="C20" s="101"/>
      <c r="D20" s="101"/>
      <c r="E20" s="101">
        <f ca="1">IFERROR(__xludf.DUMMYFUNCTION("GOOGLEFINANCE(""BOM:""&amp;A20,""PRICE"")"),143.1)</f>
        <v>143.1</v>
      </c>
      <c r="F20" s="112">
        <f ca="1">IFERROR(__xludf.DUMMYFUNCTION("GOOGLEFINANCE(""BOM:""&amp;A20,""MARKETCAP"")/10000000"),1536.5961127)</f>
        <v>1536.5961127</v>
      </c>
      <c r="G20" s="95">
        <f t="shared" ca="1" si="0"/>
        <v>3.2805756776175519E-3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>
      <c r="A21" s="101">
        <v>524520</v>
      </c>
      <c r="B21" s="101" t="s">
        <v>4191</v>
      </c>
      <c r="C21" s="101"/>
      <c r="D21" s="101"/>
      <c r="E21" s="101">
        <f ca="1">IFERROR(__xludf.DUMMYFUNCTION("GOOGLEFINANCE(""BOM:""&amp;A21,""PRICE"")"),83.44)</f>
        <v>83.44</v>
      </c>
      <c r="F21" s="112">
        <f ca="1">IFERROR(__xludf.DUMMYFUNCTION("GOOGLEFINANCE(""BOM:""&amp;A21,""MARKETCAP"")/10000000"),1360.7804454)</f>
        <v>1360.7804454</v>
      </c>
      <c r="G21" s="95">
        <f t="shared" ca="1" si="0"/>
        <v>2.9052157524417635E-3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>
      <c r="A22" s="101">
        <v>544131</v>
      </c>
      <c r="B22" s="101" t="s">
        <v>4192</v>
      </c>
      <c r="C22" s="101"/>
      <c r="D22" s="101"/>
      <c r="E22" s="101">
        <f ca="1">IFERROR(__xludf.DUMMYFUNCTION("GOOGLEFINANCE(""BOM:""&amp;A22,""PRICE"")"),126.6)</f>
        <v>126.6</v>
      </c>
      <c r="F22" s="112">
        <f ca="1">IFERROR(__xludf.DUMMYFUNCTION("GOOGLEFINANCE(""BOM:""&amp;A22,""MARKETCAP"")/10000000"),1031.8392357)</f>
        <v>1031.8392357</v>
      </c>
      <c r="G22" s="95">
        <f t="shared" ca="1" si="0"/>
        <v>2.2029384767224035E-3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>
      <c r="A23" s="101">
        <v>544666</v>
      </c>
      <c r="B23" s="101" t="s">
        <v>4193</v>
      </c>
      <c r="C23" s="101"/>
      <c r="D23" s="101"/>
      <c r="E23" s="101">
        <f ca="1">IFERROR(__xludf.DUMMYFUNCTION("GOOGLEFINANCE(""BOM:""&amp;A23,""PRICE"")"),104.3)</f>
        <v>104.3</v>
      </c>
      <c r="F23" s="112">
        <f ca="1">IFERROR(__xludf.DUMMYFUNCTION("GOOGLEFINANCE(""BOM:""&amp;A23,""MARKETCAP"")/10000000"),821.4677368)</f>
        <v>821.46773680000001</v>
      </c>
      <c r="G23" s="95">
        <f t="shared" ca="1" si="0"/>
        <v>1.7538031334456187E-3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>
      <c r="A24" s="101">
        <v>543943</v>
      </c>
      <c r="B24" s="101" t="s">
        <v>4194</v>
      </c>
      <c r="C24" s="101"/>
      <c r="D24" s="101"/>
      <c r="E24" s="101">
        <f ca="1">IFERROR(__xludf.DUMMYFUNCTION("GOOGLEFINANCE(""BOM:""&amp;A24,""PRICE"")"),190)</f>
        <v>190</v>
      </c>
      <c r="F24" s="112">
        <f ca="1">IFERROR(__xludf.DUMMYFUNCTION("GOOGLEFINANCE(""BOM:""&amp;A24,""MARKETCAP"")/10000000"),373.8687)</f>
        <v>373.86869999999999</v>
      </c>
      <c r="G24" s="95">
        <f t="shared" ca="1" si="0"/>
        <v>7.9819580025317419E-4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3.2">
      <c r="A25" s="101">
        <v>532998</v>
      </c>
      <c r="B25" s="101" t="s">
        <v>4195</v>
      </c>
      <c r="C25" s="101"/>
      <c r="D25" s="101"/>
      <c r="E25" s="101">
        <f ca="1">IFERROR(__xludf.DUMMYFUNCTION("GOOGLEFINANCE(""BOM:""&amp;A25,""PRICE"")"),102.25)</f>
        <v>102.25</v>
      </c>
      <c r="F25" s="112">
        <f ca="1">IFERROR(__xludf.DUMMYFUNCTION("GOOGLEFINANCE(""BOM:""&amp;A25,""MARKETCAP"")/10000000"),215.8659117)</f>
        <v>215.8659117</v>
      </c>
      <c r="G25" s="95">
        <f t="shared" ca="1" si="0"/>
        <v>4.6086571070742897E-4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3.2">
      <c r="A26" s="101">
        <v>531658</v>
      </c>
      <c r="B26" s="101" t="s">
        <v>4196</v>
      </c>
      <c r="C26" s="101"/>
      <c r="D26" s="101"/>
      <c r="E26" s="101">
        <f ca="1">IFERROR(__xludf.DUMMYFUNCTION("GOOGLEFINANCE(""BOM:""&amp;A26,""PRICE"")"),11.42)</f>
        <v>11.42</v>
      </c>
      <c r="F26" s="112">
        <f ca="1">IFERROR(__xludf.DUMMYFUNCTION("GOOGLEFINANCE(""BOM:""&amp;A26,""MARKETCAP"")/10000000"),179.98651)</f>
        <v>179.98651000000001</v>
      </c>
      <c r="G26" s="95">
        <f t="shared" ca="1" si="0"/>
        <v>3.8426451956054616E-4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3.2">
      <c r="A27" s="101">
        <v>543346</v>
      </c>
      <c r="B27" s="101" t="s">
        <v>4197</v>
      </c>
      <c r="C27" s="101"/>
      <c r="D27" s="101"/>
      <c r="E27" s="101">
        <f ca="1">IFERROR(__xludf.DUMMYFUNCTION("GOOGLEFINANCE(""BOM:""&amp;A27,""PRICE"")"),60)</f>
        <v>60</v>
      </c>
      <c r="F27" s="112">
        <f ca="1">IFERROR(__xludf.DUMMYFUNCTION("GOOGLEFINANCE(""BOM:""&amp;A27,""MARKETCAP"")/10000000"),140.4)</f>
        <v>140.4</v>
      </c>
      <c r="G27" s="95">
        <f t="shared" ca="1" si="0"/>
        <v>2.9974878976374774E-4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3.2">
      <c r="A28" s="101">
        <v>523696</v>
      </c>
      <c r="B28" s="101" t="s">
        <v>4198</v>
      </c>
      <c r="C28" s="101"/>
      <c r="D28" s="101"/>
      <c r="E28" s="101">
        <f ca="1">IFERROR(__xludf.DUMMYFUNCTION("GOOGLEFINANCE(""BOM:""&amp;A28,""PRICE"")"),49.3)</f>
        <v>49.3</v>
      </c>
      <c r="F28" s="112">
        <f ca="1">IFERROR(__xludf.DUMMYFUNCTION("GOOGLEFINANCE(""BOM:""&amp;A28,""MARKETCAP"")/10000000"),92.396826)</f>
        <v>92.396826000000004</v>
      </c>
      <c r="G28" s="95">
        <f t="shared" ca="1" si="0"/>
        <v>1.9726379466888591E-4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3.2">
      <c r="A29" s="101">
        <v>544365</v>
      </c>
      <c r="B29" s="101" t="s">
        <v>4199</v>
      </c>
      <c r="C29" s="101"/>
      <c r="D29" s="101"/>
      <c r="E29" s="101">
        <f ca="1">IFERROR(__xludf.DUMMYFUNCTION("GOOGLEFINANCE(""BOM:""&amp;A29,""PRICE"")"),36)</f>
        <v>36</v>
      </c>
      <c r="F29" s="112">
        <f ca="1">IFERROR(__xludf.DUMMYFUNCTION("GOOGLEFINANCE(""BOM:""&amp;A29,""MARKETCAP"")/10000000"),49.0068)</f>
        <v>49.006799999999998</v>
      </c>
      <c r="G29" s="95">
        <f t="shared" ca="1" si="0"/>
        <v>1.0462769936035634E-4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3.2">
      <c r="A30" s="101">
        <v>539378</v>
      </c>
      <c r="B30" s="101" t="s">
        <v>4200</v>
      </c>
      <c r="C30" s="101"/>
      <c r="D30" s="101"/>
      <c r="E30" s="101">
        <f ca="1">IFERROR(__xludf.DUMMYFUNCTION("GOOGLEFINANCE(""BOM:""&amp;A30,""PRICE"")"),70.22)</f>
        <v>70.22</v>
      </c>
      <c r="F30" s="112">
        <f ca="1">IFERROR(__xludf.DUMMYFUNCTION("GOOGLEFINANCE(""BOM:""&amp;A30,""MARKETCAP"")/10000000"),29.94813)</f>
        <v>29.948129999999999</v>
      </c>
      <c r="G30" s="95">
        <f t="shared" ca="1" si="0"/>
        <v>6.3938146176548334E-5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3.2">
      <c r="A31" s="101">
        <v>544013</v>
      </c>
      <c r="B31" s="101" t="s">
        <v>4201</v>
      </c>
      <c r="C31" s="101"/>
      <c r="D31" s="101"/>
      <c r="E31" s="101">
        <f ca="1">IFERROR(__xludf.DUMMYFUNCTION("GOOGLEFINANCE(""BOM:""&amp;A31,""PRICE"")"),36.85)</f>
        <v>36.85</v>
      </c>
      <c r="F31" s="112">
        <f ca="1">IFERROR(__xludf.DUMMYFUNCTION("GOOGLEFINANCE(""BOM:""&amp;A31,""MARKETCAP"")/10000000"),25.08948)</f>
        <v>25.089479999999998</v>
      </c>
      <c r="G31" s="95">
        <f t="shared" ca="1" si="0"/>
        <v>5.3565108730781716E-5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3.2">
      <c r="A32" s="101">
        <v>543520</v>
      </c>
      <c r="B32" s="101" t="s">
        <v>4202</v>
      </c>
      <c r="C32" s="101"/>
      <c r="D32" s="101"/>
      <c r="E32" s="101">
        <f ca="1">IFERROR(__xludf.DUMMYFUNCTION("GOOGLEFINANCE(""BOM:""&amp;A32,""PRICE"")"),14.55)</f>
        <v>14.55</v>
      </c>
      <c r="F32" s="112">
        <f ca="1">IFERROR(__xludf.DUMMYFUNCTION("GOOGLEFINANCE(""BOM:""&amp;A32,""MARKETCAP"")/10000000"),15.2775002)</f>
        <v>15.2775002</v>
      </c>
      <c r="G32" s="95">
        <f t="shared" ca="1" si="0"/>
        <v>3.2616895979810643E-5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3.2">
      <c r="A33" s="101">
        <v>544231</v>
      </c>
      <c r="B33" s="101" t="s">
        <v>4203</v>
      </c>
      <c r="C33" s="101"/>
      <c r="D33" s="101"/>
      <c r="E33" s="101">
        <f ca="1">IFERROR(__xludf.DUMMYFUNCTION("GOOGLEFINANCE(""BOM:""&amp;A33,""PRICE"")"),17.05)</f>
        <v>17.05</v>
      </c>
      <c r="F33" s="112">
        <f ca="1">IFERROR(__xludf.DUMMYFUNCTION("GOOGLEFINANCE(""BOM:""&amp;A33,""MARKETCAP"")/10000000"),10.55639)</f>
        <v>10.55639</v>
      </c>
      <c r="G33" s="95">
        <f t="shared" ca="1" si="0"/>
        <v>2.2537500902949636E-5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3.2">
      <c r="A34" s="101">
        <v>544687</v>
      </c>
      <c r="B34" s="101" t="s">
        <v>4204</v>
      </c>
      <c r="C34" s="101"/>
      <c r="D34" s="101"/>
      <c r="E34" s="101"/>
      <c r="F34" s="112"/>
      <c r="G34" s="95">
        <f t="shared" ca="1" si="0"/>
        <v>0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3.2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3.2">
      <c r="A36" s="101"/>
      <c r="B36" s="101"/>
      <c r="C36" s="101"/>
      <c r="D36" s="101"/>
      <c r="E36" s="101"/>
      <c r="F36" s="112">
        <f t="shared" ref="F36:O36" ca="1" si="1">SUM(F2:F34)</f>
        <v>468392.21639780008</v>
      </c>
      <c r="G36" s="95">
        <f t="shared" ca="1" si="1"/>
        <v>0.99999999999999989</v>
      </c>
      <c r="H36" s="101">
        <f t="shared" si="1"/>
        <v>57759</v>
      </c>
      <c r="I36" s="101">
        <f t="shared" si="1"/>
        <v>49056</v>
      </c>
      <c r="J36" s="101">
        <f t="shared" si="1"/>
        <v>6070</v>
      </c>
      <c r="K36" s="101">
        <f t="shared" si="1"/>
        <v>5081</v>
      </c>
      <c r="L36" s="101">
        <f t="shared" si="1"/>
        <v>20166</v>
      </c>
      <c r="M36" s="101">
        <f t="shared" si="1"/>
        <v>16762</v>
      </c>
      <c r="N36" s="101">
        <f t="shared" si="1"/>
        <v>1759</v>
      </c>
      <c r="O36" s="101">
        <f t="shared" si="1"/>
        <v>1735</v>
      </c>
      <c r="P36" s="95">
        <f t="shared" ref="P36:Q36" si="2">J36/H36</f>
        <v>0.10509184715801867</v>
      </c>
      <c r="Q36" s="95">
        <f t="shared" si="2"/>
        <v>0.10357550554468363</v>
      </c>
      <c r="R36" s="95">
        <f>P36-Q36</f>
        <v>1.5163416133350399E-3</v>
      </c>
      <c r="S36" s="95">
        <f t="shared" ref="S36:T36" si="3">N36/L36</f>
        <v>8.722602400079342E-2</v>
      </c>
      <c r="T36" s="95">
        <f t="shared" si="3"/>
        <v>0.10350793461400787</v>
      </c>
      <c r="U36" s="95">
        <f>S36-T36</f>
        <v>-1.6281910613214448E-2</v>
      </c>
      <c r="V36" s="95">
        <f>(H36/I36)-1</f>
        <v>0.17740949119373783</v>
      </c>
      <c r="W36" s="95">
        <f>(J36/K36)-1</f>
        <v>0.19464672308600672</v>
      </c>
      <c r="X36" s="95">
        <f>(L36/M36)-1</f>
        <v>0.20307839160004781</v>
      </c>
      <c r="Y36" s="95">
        <f>(N36/O36)-1</f>
        <v>1.383285302593662E-2</v>
      </c>
    </row>
  </sheetData>
  <autoFilter ref="A1:Y34" xr:uid="{00000000-0009-0000-0000-000077000000}"/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outlinePr summaryBelow="0" summaryRight="0"/>
  </sheetPr>
  <dimension ref="A1:Y19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532978</v>
      </c>
      <c r="B2" s="98" t="s">
        <v>4205</v>
      </c>
      <c r="C2" s="101" t="str">
        <f>VLOOKUP(A2,'BSE ALL CAP'!$B$4:$Y$1038,2,)</f>
        <v>Financial Services</v>
      </c>
      <c r="D2" s="101" t="str">
        <f>VLOOKUP(A2,'BSE ALL CAP'!$B$4:$Y$1038,3,)</f>
        <v>Holding Company</v>
      </c>
      <c r="E2" s="101">
        <f ca="1">IFERROR(__xludf.DUMMYFUNCTION("GOOGLEFINANCE(""BOM:""&amp;A2,""PRICE"")"),1668)</f>
        <v>1668</v>
      </c>
      <c r="F2" s="112">
        <f ca="1">IFERROR(__xludf.DUMMYFUNCTION("GOOGLEFINANCE(""BOM:""&amp;A2,""MARKETCAP"")/10000000"),266903.0327668)</f>
        <v>266903.03276680002</v>
      </c>
      <c r="G2" s="95">
        <f t="shared" ref="G2:G17" ca="1" si="0">F2/$F$19</f>
        <v>0.62899333797172008</v>
      </c>
      <c r="H2" s="101">
        <f>VLOOKUP(A2,'BSE ALL CAP'!$B$4:$Y$1038,7,)</f>
        <v>112562</v>
      </c>
      <c r="I2" s="101">
        <f>VLOOKUP(A2,'BSE ALL CAP'!$B$4:$Y$1038,8,)</f>
        <v>97226</v>
      </c>
      <c r="J2" s="101">
        <f>VLOOKUP(A2,'BSE ALL CAP'!$B$4:$Y$1038,9,)</f>
        <v>14443</v>
      </c>
      <c r="K2" s="101">
        <f>VLOOKUP(A2,'BSE ALL CAP'!$B$4:$Y$1038,10,)</f>
        <v>12801</v>
      </c>
      <c r="L2" s="101">
        <f>VLOOKUP(A2,'BSE ALL CAP'!$B$4:$Y$1038,11,)</f>
        <v>39708</v>
      </c>
      <c r="M2" s="101">
        <f>VLOOKUP(A2,'BSE ALL CAP'!$B$4:$Y$1038,12,)</f>
        <v>32042</v>
      </c>
      <c r="N2" s="101">
        <f>VLOOKUP(A2,'BSE ALL CAP'!$B$4:$Y$1038,13,)</f>
        <v>4368</v>
      </c>
      <c r="O2" s="101">
        <f>VLOOKUP(A2,'BSE ALL CAP'!$B$4:$Y$1038,14,)</f>
        <v>4412</v>
      </c>
      <c r="P2" s="95">
        <f>VLOOKUP(A2,'BSE ALL CAP'!$B$4:$Y$1038,15,)</f>
        <v>0.12831150832430127</v>
      </c>
      <c r="Q2" s="95">
        <f>VLOOKUP(A2,'BSE ALL CAP'!$B$4:$Y$1038,16,)</f>
        <v>0.13166231255014091</v>
      </c>
      <c r="R2" s="95">
        <f>VLOOKUP(A2,'BSE ALL CAP'!$B$4:$Y$1038,17,)</f>
        <v>-3.3508042258396376E-3</v>
      </c>
      <c r="S2" s="95">
        <f>VLOOKUP(A2,'BSE ALL CAP'!$B$4:$Y$1038,18,)</f>
        <v>0.11000302206104563</v>
      </c>
      <c r="T2" s="95">
        <f>VLOOKUP(A2,'BSE ALL CAP'!$B$4:$Y$1038,19,)</f>
        <v>0.1376942762624056</v>
      </c>
      <c r="U2" s="95">
        <f>VLOOKUP(A2,'BSE ALL CAP'!$B$4:$Y$1038,20,)</f>
        <v>-2.7691254201359969E-2</v>
      </c>
      <c r="V2" s="95">
        <f>VLOOKUP(A2,'BSE ALL CAP'!$B$4:$Y$1038,21,)</f>
        <v>0.15773558513154917</v>
      </c>
      <c r="W2" s="95">
        <f>VLOOKUP(A2,'BSE ALL CAP'!$B$4:$Y$1038,22,)</f>
        <v>0.12827122881024922</v>
      </c>
      <c r="X2" s="95">
        <f>VLOOKUP(A2,'BSE ALL CAP'!$B$4:$Y$1038,23,)</f>
        <v>0.23924848636165041</v>
      </c>
      <c r="Y2" s="95">
        <f>VLOOKUP(A2,'BSE ALL CAP'!$B$4:$Y$1038,24,)</f>
        <v>-9.9728014505893192E-3</v>
      </c>
    </row>
    <row r="3" spans="1:25" ht="15.75" customHeight="1">
      <c r="A3" s="99">
        <v>500490</v>
      </c>
      <c r="B3" s="98" t="s">
        <v>4206</v>
      </c>
      <c r="C3" s="101" t="str">
        <f>VLOOKUP(A3,'BSE ALL CAP'!$B$4:$Y$1038,2,)</f>
        <v>Financial Services</v>
      </c>
      <c r="D3" s="101" t="str">
        <f>VLOOKUP(A3,'BSE ALL CAP'!$B$4:$Y$1038,3,)</f>
        <v>Holding Company</v>
      </c>
      <c r="E3" s="101">
        <f ca="1">IFERROR(__xludf.DUMMYFUNCTION("GOOGLEFINANCE(""BOM:""&amp;A3,""PRICE"")"),9178)</f>
        <v>9178</v>
      </c>
      <c r="F3" s="112">
        <f ca="1">IFERROR(__xludf.DUMMYFUNCTION("GOOGLEFINANCE(""BOM:""&amp;A3,""MARKETCAP"")/10000000"),102095.092225)</f>
        <v>102095.092225</v>
      </c>
      <c r="G3" s="95">
        <f t="shared" ca="1" si="0"/>
        <v>0.24060098599644428</v>
      </c>
      <c r="H3" s="101">
        <f>VLOOKUP(A3,'BSE ALL CAP'!$B$4:$Y$1038,7,)</f>
        <v>1048</v>
      </c>
      <c r="I3" s="101">
        <f>VLOOKUP(A3,'BSE ALL CAP'!$B$4:$Y$1038,8,)</f>
        <v>599</v>
      </c>
      <c r="J3" s="101">
        <f>VLOOKUP(A3,'BSE ALL CAP'!$B$4:$Y$1038,9,)</f>
        <v>7062</v>
      </c>
      <c r="K3" s="101">
        <f>VLOOKUP(A3,'BSE ALL CAP'!$B$4:$Y$1038,10,)</f>
        <v>4795</v>
      </c>
      <c r="L3" s="101">
        <f>VLOOKUP(A3,'BSE ALL CAP'!$B$4:$Y$1038,11,)</f>
        <v>300</v>
      </c>
      <c r="M3" s="101">
        <f>VLOOKUP(A3,'BSE ALL CAP'!$B$4:$Y$1038,12,)</f>
        <v>158</v>
      </c>
      <c r="N3" s="101">
        <f>VLOOKUP(A3,'BSE ALL CAP'!$B$4:$Y$1038,13,)</f>
        <v>2016</v>
      </c>
      <c r="O3" s="101">
        <f>VLOOKUP(A3,'BSE ALL CAP'!$B$4:$Y$1038,14,)</f>
        <v>1748</v>
      </c>
      <c r="P3" s="95">
        <f>VLOOKUP(A3,'BSE ALL CAP'!$B$4:$Y$1038,15,)</f>
        <v>6.7385496183206106</v>
      </c>
      <c r="Q3" s="95">
        <f>VLOOKUP(A3,'BSE ALL CAP'!$B$4:$Y$1038,16,)</f>
        <v>8.0050083472454094</v>
      </c>
      <c r="R3" s="95">
        <f>VLOOKUP(A3,'BSE ALL CAP'!$B$4:$Y$1038,17,)</f>
        <v>-1.2664587289247988</v>
      </c>
      <c r="S3" s="95">
        <f>VLOOKUP(A3,'BSE ALL CAP'!$B$4:$Y$1038,18,)</f>
        <v>6.72</v>
      </c>
      <c r="T3" s="95">
        <f>VLOOKUP(A3,'BSE ALL CAP'!$B$4:$Y$1038,19,)</f>
        <v>11.063291139240507</v>
      </c>
      <c r="U3" s="95">
        <f>VLOOKUP(A3,'BSE ALL CAP'!$B$4:$Y$1038,20,)</f>
        <v>-4.3432911392405069</v>
      </c>
      <c r="V3" s="95">
        <f>VLOOKUP(A3,'BSE ALL CAP'!$B$4:$Y$1038,21,)</f>
        <v>0.74958263772954914</v>
      </c>
      <c r="W3" s="95">
        <f>VLOOKUP(A3,'BSE ALL CAP'!$B$4:$Y$1038,22,)</f>
        <v>0.47278415015641295</v>
      </c>
      <c r="X3" s="95">
        <f>VLOOKUP(A3,'BSE ALL CAP'!$B$4:$Y$1038,23,)</f>
        <v>0.89873417721518978</v>
      </c>
      <c r="Y3" s="95">
        <f>VLOOKUP(A3,'BSE ALL CAP'!$B$4:$Y$1038,24,)</f>
        <v>0.15331807780320372</v>
      </c>
    </row>
    <row r="4" spans="1:25" ht="15.75" customHeight="1">
      <c r="A4" s="99">
        <v>531358</v>
      </c>
      <c r="B4" s="98" t="s">
        <v>4207</v>
      </c>
      <c r="C4" s="101" t="str">
        <f>VLOOKUP(A4,'BSE ALL CAP'!$B$4:$Y$1038,2,)</f>
        <v>Financial Services</v>
      </c>
      <c r="D4" s="101" t="str">
        <f>VLOOKUP(A4,'BSE ALL CAP'!$B$4:$Y$1038,3,)</f>
        <v>Holding Company</v>
      </c>
      <c r="E4" s="101">
        <f ca="1">IFERROR(__xludf.DUMMYFUNCTION("GOOGLEFINANCE(""BOM:""&amp;A4,""PRICE"")"),639.85)</f>
        <v>639.85</v>
      </c>
      <c r="F4" s="112">
        <f ca="1">IFERROR(__xludf.DUMMYFUNCTION("GOOGLEFINANCE(""BOM:""&amp;A4,""MARKETCAP"")/10000000"),14268.834825)</f>
        <v>14268.834825</v>
      </c>
      <c r="G4" s="95">
        <f t="shared" ca="1" si="0"/>
        <v>3.3626452095752553E-2</v>
      </c>
      <c r="H4" s="101">
        <f>VLOOKUP(A4,'BSE ALL CAP'!$B$4:$Y$1038,7,)</f>
        <v>812</v>
      </c>
      <c r="I4" s="101">
        <f>VLOOKUP(A4,'BSE ALL CAP'!$B$4:$Y$1038,8,)</f>
        <v>657</v>
      </c>
      <c r="J4" s="101">
        <f>VLOOKUP(A4,'BSE ALL CAP'!$B$4:$Y$1038,9,)</f>
        <v>170</v>
      </c>
      <c r="K4" s="101">
        <f>VLOOKUP(A4,'BSE ALL CAP'!$B$4:$Y$1038,10,)</f>
        <v>109</v>
      </c>
      <c r="L4" s="101">
        <f>VLOOKUP(A4,'BSE ALL CAP'!$B$4:$Y$1038,11,)</f>
        <v>303</v>
      </c>
      <c r="M4" s="101">
        <f>VLOOKUP(A4,'BSE ALL CAP'!$B$4:$Y$1038,12,)</f>
        <v>209</v>
      </c>
      <c r="N4" s="101">
        <f>VLOOKUP(A4,'BSE ALL CAP'!$B$4:$Y$1038,13,)</f>
        <v>65</v>
      </c>
      <c r="O4" s="101">
        <f>VLOOKUP(A4,'BSE ALL CAP'!$B$4:$Y$1038,14,)</f>
        <v>30</v>
      </c>
      <c r="P4" s="95">
        <f>VLOOKUP(A4,'BSE ALL CAP'!$B$4:$Y$1038,15,)</f>
        <v>0.20935960591133004</v>
      </c>
      <c r="Q4" s="95">
        <f>VLOOKUP(A4,'BSE ALL CAP'!$B$4:$Y$1038,16,)</f>
        <v>0.16590563165905631</v>
      </c>
      <c r="R4" s="95">
        <f>VLOOKUP(A4,'BSE ALL CAP'!$B$4:$Y$1038,17,)</f>
        <v>4.3453974252273736E-2</v>
      </c>
      <c r="S4" s="95">
        <f>VLOOKUP(A4,'BSE ALL CAP'!$B$4:$Y$1038,18,)</f>
        <v>0.21452145214521451</v>
      </c>
      <c r="T4" s="95">
        <f>VLOOKUP(A4,'BSE ALL CAP'!$B$4:$Y$1038,19,)</f>
        <v>0.14354066985645933</v>
      </c>
      <c r="U4" s="95">
        <f>VLOOKUP(A4,'BSE ALL CAP'!$B$4:$Y$1038,20,)</f>
        <v>7.0980782288755179E-2</v>
      </c>
      <c r="V4" s="95">
        <f>VLOOKUP(A4,'BSE ALL CAP'!$B$4:$Y$1038,21,)</f>
        <v>0.23592085235920845</v>
      </c>
      <c r="W4" s="95">
        <f>VLOOKUP(A4,'BSE ALL CAP'!$B$4:$Y$1038,22,)</f>
        <v>0.55963302752293576</v>
      </c>
      <c r="X4" s="95">
        <f>VLOOKUP(A4,'BSE ALL CAP'!$B$4:$Y$1038,23,)</f>
        <v>0.44976076555023914</v>
      </c>
      <c r="Y4" s="95">
        <f>VLOOKUP(A4,'BSE ALL CAP'!$B$4:$Y$1038,24,)</f>
        <v>1.1666666666666665</v>
      </c>
    </row>
    <row r="5" spans="1:25" ht="15.75" customHeight="1">
      <c r="A5" s="99">
        <v>523405</v>
      </c>
      <c r="B5" s="98" t="s">
        <v>4208</v>
      </c>
      <c r="C5" s="101" t="str">
        <f>VLOOKUP(A5,'BSE ALL CAP'!$B$4:$Y$1038,2,)</f>
        <v>Financial Services</v>
      </c>
      <c r="D5" s="101" t="str">
        <f>VLOOKUP(A5,'BSE ALL CAP'!$B$4:$Y$1038,3,)</f>
        <v>Holding Company</v>
      </c>
      <c r="E5" s="101">
        <f ca="1">IFERROR(__xludf.DUMMYFUNCTION("GOOGLEFINANCE(""BOM:""&amp;A5,""PRICE"")"),121.7)</f>
        <v>121.7</v>
      </c>
      <c r="F5" s="112">
        <f ca="1">IFERROR(__xludf.DUMMYFUNCTION("GOOGLEFINANCE(""BOM:""&amp;A5,""MARKETCAP"")/10000000"),11639.0262591)</f>
        <v>11639.026259099999</v>
      </c>
      <c r="G5" s="95">
        <f t="shared" ca="1" si="0"/>
        <v>2.7428950138038491E-2</v>
      </c>
      <c r="H5" s="101">
        <f>VLOOKUP(A5,'BSE ALL CAP'!$B$4:$Y$1038,7,)</f>
        <v>3291</v>
      </c>
      <c r="I5" s="101">
        <f>VLOOKUP(A5,'BSE ALL CAP'!$B$4:$Y$1038,8,)</f>
        <v>3426</v>
      </c>
      <c r="J5" s="101">
        <f>VLOOKUP(A5,'BSE ALL CAP'!$B$4:$Y$1038,9,)</f>
        <v>1018</v>
      </c>
      <c r="K5" s="101">
        <f>VLOOKUP(A5,'BSE ALL CAP'!$B$4:$Y$1038,10,)</f>
        <v>537</v>
      </c>
      <c r="L5" s="101">
        <f>VLOOKUP(A5,'BSE ALL CAP'!$B$4:$Y$1038,11,)</f>
        <v>1126</v>
      </c>
      <c r="M5" s="101">
        <f>VLOOKUP(A5,'BSE ALL CAP'!$B$4:$Y$1038,12,)</f>
        <v>1121</v>
      </c>
      <c r="N5" s="101">
        <f>VLOOKUP(A5,'BSE ALL CAP'!$B$4:$Y$1038,13,)</f>
        <v>307</v>
      </c>
      <c r="O5" s="101">
        <f>VLOOKUP(A5,'BSE ALL CAP'!$B$4:$Y$1038,14,)</f>
        <v>207</v>
      </c>
      <c r="P5" s="95">
        <f>VLOOKUP(A5,'BSE ALL CAP'!$B$4:$Y$1038,15,)</f>
        <v>0.30932847158918264</v>
      </c>
      <c r="Q5" s="95">
        <f>VLOOKUP(A5,'BSE ALL CAP'!$B$4:$Y$1038,16,)</f>
        <v>0.15674255691768826</v>
      </c>
      <c r="R5" s="95">
        <f>VLOOKUP(A5,'BSE ALL CAP'!$B$4:$Y$1038,17,)</f>
        <v>0.15258591467149438</v>
      </c>
      <c r="S5" s="95">
        <f>VLOOKUP(A5,'BSE ALL CAP'!$B$4:$Y$1038,18,)</f>
        <v>0.27264653641207814</v>
      </c>
      <c r="T5" s="95">
        <f>VLOOKUP(A5,'BSE ALL CAP'!$B$4:$Y$1038,19,)</f>
        <v>0.18465655664585193</v>
      </c>
      <c r="U5" s="95">
        <f>VLOOKUP(A5,'BSE ALL CAP'!$B$4:$Y$1038,20,)</f>
        <v>8.7989979766226217E-2</v>
      </c>
      <c r="V5" s="95">
        <f>VLOOKUP(A5,'BSE ALL CAP'!$B$4:$Y$1038,21,)</f>
        <v>-3.9404553415061327E-2</v>
      </c>
      <c r="W5" s="95">
        <f>VLOOKUP(A5,'BSE ALL CAP'!$B$4:$Y$1038,22,)</f>
        <v>0.89571694599627572</v>
      </c>
      <c r="X5" s="95">
        <f>VLOOKUP(A5,'BSE ALL CAP'!$B$4:$Y$1038,23,)</f>
        <v>4.4603033006245241E-3</v>
      </c>
      <c r="Y5" s="95">
        <f>VLOOKUP(A5,'BSE ALL CAP'!$B$4:$Y$1038,24,)</f>
        <v>0.48309178743961345</v>
      </c>
    </row>
    <row r="6" spans="1:25" ht="15.75" customHeight="1">
      <c r="A6" s="99">
        <v>532922</v>
      </c>
      <c r="B6" s="98" t="s">
        <v>4209</v>
      </c>
      <c r="C6" s="101" t="str">
        <f>VLOOKUP(A6,'BSE ALL CAP'!$B$4:$Y$1038,2,)</f>
        <v>Financial Services</v>
      </c>
      <c r="D6" s="101" t="str">
        <f>VLOOKUP(A6,'BSE ALL CAP'!$B$4:$Y$1038,3,)</f>
        <v>Holding Company</v>
      </c>
      <c r="E6" s="101">
        <f ca="1">IFERROR(__xludf.DUMMYFUNCTION("GOOGLEFINANCE(""BOM:""&amp;A6,""PRICE"")"),107.39)</f>
        <v>107.39</v>
      </c>
      <c r="F6" s="112">
        <f ca="1">IFERROR(__xludf.DUMMYFUNCTION("GOOGLEFINANCE(""BOM:""&amp;A6,""MARKETCAP"")/10000000"),10167.643348)</f>
        <v>10167.643348</v>
      </c>
      <c r="G6" s="95">
        <f t="shared" ca="1" si="0"/>
        <v>2.3961435965968517E-2</v>
      </c>
      <c r="H6" s="101">
        <f>VLOOKUP(A6,'BSE ALL CAP'!$B$4:$Y$1038,7,)</f>
        <v>8511</v>
      </c>
      <c r="I6" s="101">
        <f>VLOOKUP(A6,'BSE ALL CAP'!$B$4:$Y$1038,8,)</f>
        <v>6986</v>
      </c>
      <c r="J6" s="101">
        <f>VLOOKUP(A6,'BSE ALL CAP'!$B$4:$Y$1038,9,)</f>
        <v>548</v>
      </c>
      <c r="K6" s="101">
        <f>VLOOKUP(A6,'BSE ALL CAP'!$B$4:$Y$1038,10,)</f>
        <v>377</v>
      </c>
      <c r="L6" s="101">
        <f>VLOOKUP(A6,'BSE ALL CAP'!$B$4:$Y$1038,11,)</f>
        <v>4404</v>
      </c>
      <c r="M6" s="101">
        <f>VLOOKUP(A6,'BSE ALL CAP'!$B$4:$Y$1038,12,)</f>
        <v>1898</v>
      </c>
      <c r="N6" s="101">
        <f>VLOOKUP(A6,'BSE ALL CAP'!$B$4:$Y$1038,13,)</f>
        <v>270</v>
      </c>
      <c r="O6" s="101">
        <f>VLOOKUP(A6,'BSE ALL CAP'!$B$4:$Y$1038,14,)</f>
        <v>155</v>
      </c>
      <c r="P6" s="95">
        <f>VLOOKUP(A6,'BSE ALL CAP'!$B$4:$Y$1038,15,)</f>
        <v>6.4387263541299491E-2</v>
      </c>
      <c r="Q6" s="95">
        <f>VLOOKUP(A6,'BSE ALL CAP'!$B$4:$Y$1038,16,)</f>
        <v>5.3965073003149157E-2</v>
      </c>
      <c r="R6" s="95">
        <f>VLOOKUP(A6,'BSE ALL CAP'!$B$4:$Y$1038,17,)</f>
        <v>1.0422190538150335E-2</v>
      </c>
      <c r="S6" s="95">
        <f>VLOOKUP(A6,'BSE ALL CAP'!$B$4:$Y$1038,18,)</f>
        <v>6.1307901907356951E-2</v>
      </c>
      <c r="T6" s="95">
        <f>VLOOKUP(A6,'BSE ALL CAP'!$B$4:$Y$1038,19,)</f>
        <v>8.1664910432033722E-2</v>
      </c>
      <c r="U6" s="95">
        <f>VLOOKUP(A6,'BSE ALL CAP'!$B$4:$Y$1038,20,)</f>
        <v>-2.035700852467677E-2</v>
      </c>
      <c r="V6" s="95">
        <f>VLOOKUP(A6,'BSE ALL CAP'!$B$4:$Y$1038,21,)</f>
        <v>0.21829373031777832</v>
      </c>
      <c r="W6" s="95">
        <f>VLOOKUP(A6,'BSE ALL CAP'!$B$4:$Y$1038,22,)</f>
        <v>0.45358090185676403</v>
      </c>
      <c r="X6" s="95">
        <f>VLOOKUP(A6,'BSE ALL CAP'!$B$4:$Y$1038,23,)</f>
        <v>1.3203371970495259</v>
      </c>
      <c r="Y6" s="95">
        <f>VLOOKUP(A6,'BSE ALL CAP'!$B$4:$Y$1038,24,)</f>
        <v>0.74193548387096775</v>
      </c>
    </row>
    <row r="7" spans="1:25" ht="15.75" customHeight="1">
      <c r="A7" s="99">
        <v>532468</v>
      </c>
      <c r="B7" s="98" t="s">
        <v>4210</v>
      </c>
      <c r="C7" s="101" t="str">
        <f>VLOOKUP(A7,'BSE ALL CAP'!$B$4:$Y$1038,2,)</f>
        <v>Financial Services</v>
      </c>
      <c r="D7" s="101" t="str">
        <f>VLOOKUP(A7,'BSE ALL CAP'!$B$4:$Y$1038,3,)</f>
        <v>Holding Company</v>
      </c>
      <c r="E7" s="101">
        <f ca="1">IFERROR(__xludf.DUMMYFUNCTION("GOOGLEFINANCE(""BOM:""&amp;A7,""PRICE"")"),2438.9)</f>
        <v>2438.9</v>
      </c>
      <c r="F7" s="112">
        <f ca="1">IFERROR(__xludf.DUMMYFUNCTION("GOOGLEFINANCE(""BOM:""&amp;A7,""MARKETCAP"")/10000000"),7826.5688039)</f>
        <v>7826.5688038999997</v>
      </c>
      <c r="G7" s="95">
        <f t="shared" ca="1" si="0"/>
        <v>1.8444375044369098E-2</v>
      </c>
      <c r="H7" s="101">
        <f>VLOOKUP(A7,'BSE ALL CAP'!$B$4:$Y$1038,7,)</f>
        <v>11272</v>
      </c>
      <c r="I7" s="101">
        <f>VLOOKUP(A7,'BSE ALL CAP'!$B$4:$Y$1038,8,)</f>
        <v>10478</v>
      </c>
      <c r="J7" s="101">
        <f>VLOOKUP(A7,'BSE ALL CAP'!$B$4:$Y$1038,9,)</f>
        <v>1260</v>
      </c>
      <c r="K7" s="101">
        <f>VLOOKUP(A7,'BSE ALL CAP'!$B$4:$Y$1038,10,)</f>
        <v>727</v>
      </c>
      <c r="L7" s="101">
        <f>VLOOKUP(A7,'BSE ALL CAP'!$B$4:$Y$1038,11,)</f>
        <v>3743</v>
      </c>
      <c r="M7" s="101">
        <f>VLOOKUP(A7,'BSE ALL CAP'!$B$4:$Y$1038,12,)</f>
        <v>3525</v>
      </c>
      <c r="N7" s="101">
        <f>VLOOKUP(A7,'BSE ALL CAP'!$B$4:$Y$1038,13,)</f>
        <v>433</v>
      </c>
      <c r="O7" s="101">
        <f>VLOOKUP(A7,'BSE ALL CAP'!$B$4:$Y$1038,14,)</f>
        <v>272</v>
      </c>
      <c r="P7" s="95">
        <f>VLOOKUP(A7,'BSE ALL CAP'!$B$4:$Y$1038,15,)</f>
        <v>0.11178140525195174</v>
      </c>
      <c r="Q7" s="95">
        <f>VLOOKUP(A7,'BSE ALL CAP'!$B$4:$Y$1038,16,)</f>
        <v>6.9383470127886995E-2</v>
      </c>
      <c r="R7" s="95">
        <f>VLOOKUP(A7,'BSE ALL CAP'!$B$4:$Y$1038,17,)</f>
        <v>4.2397935124064742E-2</v>
      </c>
      <c r="S7" s="95">
        <f>VLOOKUP(A7,'BSE ALL CAP'!$B$4:$Y$1038,18,)</f>
        <v>0.11568260753406359</v>
      </c>
      <c r="T7" s="95">
        <f>VLOOKUP(A7,'BSE ALL CAP'!$B$4:$Y$1038,19,)</f>
        <v>7.7163120567375884E-2</v>
      </c>
      <c r="U7" s="95">
        <f>VLOOKUP(A7,'BSE ALL CAP'!$B$4:$Y$1038,20,)</f>
        <v>3.8519486966687708E-2</v>
      </c>
      <c r="V7" s="95">
        <f>VLOOKUP(A7,'BSE ALL CAP'!$B$4:$Y$1038,21,)</f>
        <v>7.5777820194693701E-2</v>
      </c>
      <c r="W7" s="95">
        <f>VLOOKUP(A7,'BSE ALL CAP'!$B$4:$Y$1038,22,)</f>
        <v>0.73314993122420913</v>
      </c>
      <c r="X7" s="95">
        <f>VLOOKUP(A7,'BSE ALL CAP'!$B$4:$Y$1038,23,)</f>
        <v>6.1843971631205585E-2</v>
      </c>
      <c r="Y7" s="95">
        <f>VLOOKUP(A7,'BSE ALL CAP'!$B$4:$Y$1038,24,)</f>
        <v>0.59191176470588225</v>
      </c>
    </row>
    <row r="8" spans="1:25" ht="15.75" customHeight="1">
      <c r="A8" s="99">
        <v>539883</v>
      </c>
      <c r="B8" s="98" t="s">
        <v>4211</v>
      </c>
      <c r="C8" s="101" t="str">
        <f>VLOOKUP(A8,'BSE ALL CAP'!$B$4:$Y$1038,2,)</f>
        <v>Financial Services</v>
      </c>
      <c r="D8" s="101" t="s">
        <v>209</v>
      </c>
      <c r="E8" s="101">
        <f ca="1">IFERROR(__xludf.DUMMYFUNCTION("GOOGLEFINANCE(""BOM:""&amp;A8,""PRICE"")"),4395)</f>
        <v>4395</v>
      </c>
      <c r="F8" s="112">
        <f ca="1">IFERROR(__xludf.DUMMYFUNCTION("GOOGLEFINANCE(""BOM:""&amp;A8,""MARKETCAP"")/10000000"),4890.7236556)</f>
        <v>4890.7236555999998</v>
      </c>
      <c r="G8" s="95">
        <f t="shared" ca="1" si="0"/>
        <v>1.1525656210586712E-2</v>
      </c>
      <c r="H8" s="101">
        <f>VLOOKUP(A8,'BSE ALL CAP'!$B$4:$Y$1038,7,)</f>
        <v>239</v>
      </c>
      <c r="I8" s="101">
        <f>VLOOKUP(A8,'BSE ALL CAP'!$B$4:$Y$1038,8,)</f>
        <v>247</v>
      </c>
      <c r="J8" s="101">
        <f>VLOOKUP(A8,'BSE ALL CAP'!$B$4:$Y$1038,9,)</f>
        <v>64</v>
      </c>
      <c r="K8" s="101">
        <f>VLOOKUP(A8,'BSE ALL CAP'!$B$4:$Y$1038,10,)</f>
        <v>133</v>
      </c>
      <c r="L8" s="101">
        <f>VLOOKUP(A8,'BSE ALL CAP'!$B$4:$Y$1038,11,)</f>
        <v>59</v>
      </c>
      <c r="M8" s="101">
        <f>VLOOKUP(A8,'BSE ALL CAP'!$B$4:$Y$1038,12,)</f>
        <v>61</v>
      </c>
      <c r="N8" s="101">
        <f>VLOOKUP(A8,'BSE ALL CAP'!$B$4:$Y$1038,13,)</f>
        <v>9</v>
      </c>
      <c r="O8" s="101">
        <f>VLOOKUP(A8,'BSE ALL CAP'!$B$4:$Y$1038,14,)</f>
        <v>26</v>
      </c>
      <c r="P8" s="95">
        <f>VLOOKUP(A8,'BSE ALL CAP'!$B$4:$Y$1038,15,)</f>
        <v>0.26778242677824265</v>
      </c>
      <c r="Q8" s="95">
        <f>VLOOKUP(A8,'BSE ALL CAP'!$B$4:$Y$1038,16,)</f>
        <v>0.53846153846153844</v>
      </c>
      <c r="R8" s="95">
        <f>VLOOKUP(A8,'BSE ALL CAP'!$B$4:$Y$1038,17,)</f>
        <v>-0.27067911168329578</v>
      </c>
      <c r="S8" s="95">
        <f>VLOOKUP(A8,'BSE ALL CAP'!$B$4:$Y$1038,18,)</f>
        <v>0.15254237288135594</v>
      </c>
      <c r="T8" s="95">
        <f>VLOOKUP(A8,'BSE ALL CAP'!$B$4:$Y$1038,19,)</f>
        <v>0.42622950819672129</v>
      </c>
      <c r="U8" s="95">
        <f>VLOOKUP(A8,'BSE ALL CAP'!$B$4:$Y$1038,20,)</f>
        <v>-0.27368713531536537</v>
      </c>
      <c r="V8" s="95">
        <f>VLOOKUP(A8,'BSE ALL CAP'!$B$4:$Y$1038,21,)</f>
        <v>-3.2388663967611309E-2</v>
      </c>
      <c r="W8" s="95">
        <f>VLOOKUP(A8,'BSE ALL CAP'!$B$4:$Y$1038,22,)</f>
        <v>-0.51879699248120303</v>
      </c>
      <c r="X8" s="95">
        <f>VLOOKUP(A8,'BSE ALL CAP'!$B$4:$Y$1038,23,)</f>
        <v>-3.2786885245901676E-2</v>
      </c>
      <c r="Y8" s="95">
        <f>VLOOKUP(A8,'BSE ALL CAP'!$B$4:$Y$1038,24,)</f>
        <v>-0.65384615384615385</v>
      </c>
    </row>
    <row r="9" spans="1:25" ht="15.75" customHeight="1">
      <c r="A9" s="99">
        <v>505800</v>
      </c>
      <c r="B9" s="98" t="s">
        <v>4212</v>
      </c>
      <c r="C9" s="101"/>
      <c r="D9" s="101"/>
      <c r="E9" s="101">
        <f ca="1">IFERROR(__xludf.DUMMYFUNCTION("GOOGLEFINANCE(""BOM:""&amp;A9,""PRICE"")"),1031.55)</f>
        <v>1031.55</v>
      </c>
      <c r="F9" s="112">
        <f ca="1">IFERROR(__xludf.DUMMYFUNCTION("GOOGLEFINANCE(""BOM:""&amp;A9,""MARKETCAP"")/10000000"),1469.18562)</f>
        <v>1469.18562</v>
      </c>
      <c r="G9" s="95">
        <f t="shared" ca="1" si="0"/>
        <v>3.4623359564118095E-3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533303</v>
      </c>
      <c r="B10" s="98" t="s">
        <v>4213</v>
      </c>
      <c r="C10" s="101"/>
      <c r="D10" s="101"/>
      <c r="E10" s="101">
        <f ca="1">IFERROR(__xludf.DUMMYFUNCTION("GOOGLEFINANCE(""BOM:""&amp;A10,""PRICE"")"),359)</f>
        <v>359</v>
      </c>
      <c r="F10" s="112">
        <f ca="1">IFERROR(__xludf.DUMMYFUNCTION("GOOGLEFINANCE(""BOM:""&amp;A10,""MARKETCAP"")/10000000"),1350.5724691)</f>
        <v>1350.5724691</v>
      </c>
      <c r="G10" s="95">
        <f t="shared" ca="1" si="0"/>
        <v>3.182807916064961E-3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543712</v>
      </c>
      <c r="B11" s="98" t="s">
        <v>4214</v>
      </c>
      <c r="C11" s="101"/>
      <c r="D11" s="101"/>
      <c r="E11" s="101">
        <f ca="1">IFERROR(__xludf.DUMMYFUNCTION("GOOGLEFINANCE(""BOM:""&amp;A11,""PRICE"")"),201)</f>
        <v>201</v>
      </c>
      <c r="F11" s="112">
        <f ca="1">IFERROR(__xludf.DUMMYFUNCTION("GOOGLEFINANCE(""BOM:""&amp;A11,""MARKETCAP"")/10000000"),1019.2556441)</f>
        <v>1019.2556441</v>
      </c>
      <c r="G11" s="95">
        <f t="shared" ca="1" si="0"/>
        <v>2.4020147061765474E-3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531889</v>
      </c>
      <c r="B12" s="98" t="s">
        <v>4215</v>
      </c>
      <c r="C12" s="101"/>
      <c r="D12" s="101"/>
      <c r="E12" s="101">
        <f ca="1">IFERROR(__xludf.DUMMYFUNCTION("GOOGLEFINANCE(""BOM:""&amp;A12,""PRICE"")"),38.19)</f>
        <v>38.19</v>
      </c>
      <c r="F12" s="112">
        <f ca="1">IFERROR(__xludf.DUMMYFUNCTION("GOOGLEFINANCE(""BOM:""&amp;A12,""MARKETCAP"")/10000000"),885.9524)</f>
        <v>885.95240000000001</v>
      </c>
      <c r="G12" s="95">
        <f t="shared" ca="1" si="0"/>
        <v>2.087867461015129E-3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543223</v>
      </c>
      <c r="B13" s="98" t="s">
        <v>4216</v>
      </c>
      <c r="C13" s="101"/>
      <c r="D13" s="101"/>
      <c r="E13" s="101">
        <f ca="1">IFERROR(__xludf.DUMMYFUNCTION("GOOGLEFINANCE(""BOM:""&amp;A13,""PRICE"")"),148.95)</f>
        <v>148.94999999999999</v>
      </c>
      <c r="F13" s="112">
        <f ca="1">IFERROR(__xludf.DUMMYFUNCTION("GOOGLEFINANCE(""BOM:""&amp;A13,""MARKETCAP"")/10000000"),781.3300365)</f>
        <v>781.33003650000001</v>
      </c>
      <c r="G13" s="95">
        <f t="shared" ca="1" si="0"/>
        <v>1.8413106161483542E-3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544296</v>
      </c>
      <c r="B14" s="98" t="s">
        <v>4217</v>
      </c>
      <c r="C14" s="101"/>
      <c r="D14" s="101"/>
      <c r="E14" s="101">
        <f ca="1">IFERROR(__xludf.DUMMYFUNCTION("GOOGLEFINANCE(""BOM:""&amp;A14,""PRICE"")"),183.2)</f>
        <v>183.2</v>
      </c>
      <c r="F14" s="112">
        <f ca="1">IFERROR(__xludf.DUMMYFUNCTION("GOOGLEFINANCE(""BOM:""&amp;A14,""MARKETCAP"")/10000000"),437.4466015)</f>
        <v>437.44660149999999</v>
      </c>
      <c r="G14" s="95">
        <f t="shared" ca="1" si="0"/>
        <v>1.0309024787375732E-3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500173</v>
      </c>
      <c r="B15" s="98" t="s">
        <v>4218</v>
      </c>
      <c r="C15" s="101"/>
      <c r="D15" s="101"/>
      <c r="E15" s="101">
        <f ca="1">IFERROR(__xludf.DUMMYFUNCTION("GOOGLEFINANCE(""BOM:""&amp;A15,""PRICE"")"),40)</f>
        <v>40</v>
      </c>
      <c r="F15" s="112">
        <f ca="1">IFERROR(__xludf.DUMMYFUNCTION("GOOGLEFINANCE(""BOM:""&amp;A15,""MARKETCAP"")/10000000"),440.3882507)</f>
        <v>440.38825070000001</v>
      </c>
      <c r="G15" s="95">
        <f t="shared" ca="1" si="0"/>
        <v>1.0378348756094607E-3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533170</v>
      </c>
      <c r="B16" s="98" t="s">
        <v>4219</v>
      </c>
      <c r="C16" s="101"/>
      <c r="D16" s="101"/>
      <c r="E16" s="101">
        <f ca="1">IFERROR(__xludf.DUMMYFUNCTION("GOOGLEFINANCE(""BOM:""&amp;A16,""PRICE"")"),142.9)</f>
        <v>142.9</v>
      </c>
      <c r="F16" s="112">
        <f ca="1">IFERROR(__xludf.DUMMYFUNCTION("GOOGLEFINANCE(""BOM:""&amp;A16,""MARKETCAP"")/10000000"),141.8064)</f>
        <v>141.8064</v>
      </c>
      <c r="G16" s="95">
        <f t="shared" ca="1" si="0"/>
        <v>3.3418608982118656E-4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500059</v>
      </c>
      <c r="B17" s="98" t="s">
        <v>4220</v>
      </c>
      <c r="C17" s="101"/>
      <c r="D17" s="101"/>
      <c r="E17" s="101">
        <f ca="1">IFERROR(__xludf.DUMMYFUNCTION("GOOGLEFINANCE(""BOM:""&amp;A17,""PRICE"")"),5.48)</f>
        <v>5.48</v>
      </c>
      <c r="F17" s="112">
        <f ca="1">IFERROR(__xludf.DUMMYFUNCTION("GOOGLEFINANCE(""BOM:""&amp;A17,""MARKETCAP"")/10000000"),16.7809006)</f>
        <v>16.780900599999999</v>
      </c>
      <c r="G17" s="95">
        <f t="shared" ca="1" si="0"/>
        <v>3.9546477134967133E-5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>
      <c r="A18" s="101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>
      <c r="A19" s="101"/>
      <c r="B19" s="101"/>
      <c r="C19" s="101"/>
      <c r="D19" s="101"/>
      <c r="E19" s="101"/>
      <c r="F19" s="112">
        <f t="shared" ref="F19:G19" ca="1" si="1">SUM(F1:F17)</f>
        <v>424333.64020590013</v>
      </c>
      <c r="G19" s="95">
        <f t="shared" ca="1" si="1"/>
        <v>0.99999999999999978</v>
      </c>
      <c r="H19" s="101">
        <f t="shared" ref="H19:O19" si="2">SUM(H2:H17)</f>
        <v>137735</v>
      </c>
      <c r="I19" s="101">
        <f t="shared" si="2"/>
        <v>119619</v>
      </c>
      <c r="J19" s="101">
        <f t="shared" si="2"/>
        <v>24565</v>
      </c>
      <c r="K19" s="101">
        <f t="shared" si="2"/>
        <v>19479</v>
      </c>
      <c r="L19" s="101">
        <f t="shared" si="2"/>
        <v>49643</v>
      </c>
      <c r="M19" s="101">
        <f t="shared" si="2"/>
        <v>39014</v>
      </c>
      <c r="N19" s="101">
        <f t="shared" si="2"/>
        <v>7468</v>
      </c>
      <c r="O19" s="101">
        <f t="shared" si="2"/>
        <v>6850</v>
      </c>
      <c r="P19" s="95">
        <f t="shared" ref="P19:Q19" si="3">J19/H19</f>
        <v>0.17834972955312739</v>
      </c>
      <c r="Q19" s="95">
        <f t="shared" si="3"/>
        <v>0.16284202342437237</v>
      </c>
      <c r="R19" s="95">
        <f>P19-Q19</f>
        <v>1.5507706128755017E-2</v>
      </c>
      <c r="S19" s="95">
        <f t="shared" ref="S19:T19" si="4">N19/L19</f>
        <v>0.15043409947021735</v>
      </c>
      <c r="T19" s="95">
        <f t="shared" si="4"/>
        <v>0.17557799764187215</v>
      </c>
      <c r="U19" s="95">
        <f>S19-T19</f>
        <v>-2.5143898171654799E-2</v>
      </c>
      <c r="V19" s="95">
        <f>(H19/I19)-1</f>
        <v>0.15144751251891431</v>
      </c>
      <c r="W19" s="95">
        <f>(J19/K19)-1</f>
        <v>0.26110169926587612</v>
      </c>
      <c r="X19" s="95">
        <f>(L19/M19)-1</f>
        <v>0.27244066232634445</v>
      </c>
      <c r="Y19" s="95">
        <f>(N19/O19)-1</f>
        <v>9.0218978102189817E-2</v>
      </c>
    </row>
  </sheetData>
  <autoFilter ref="A1:Y17" xr:uid="{00000000-0009-0000-0000-000078000000}"/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outlinePr summaryBelow="0" summaryRight="0"/>
  </sheetPr>
  <dimension ref="A1:Y27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544576</v>
      </c>
      <c r="B2" s="98" t="s">
        <v>94</v>
      </c>
      <c r="C2" s="101" t="str">
        <f>VLOOKUP(A2,'BSE ALL CAP'!$B$4:$Y$1038,2,)</f>
        <v>Consumer Discretionary</v>
      </c>
      <c r="D2" s="101" t="str">
        <f>VLOOKUP(A2,'BSE ALL CAP'!$B$4:$Y$1038,3,)</f>
        <v>Household Appliances</v>
      </c>
      <c r="E2" s="101">
        <f ca="1">IFERROR(__xludf.DUMMYFUNCTION("GOOGLEFINANCE(""BOM:""&amp;A2,""PRICE"")"),1396.4)</f>
        <v>1396.4</v>
      </c>
      <c r="F2" s="112">
        <f ca="1">IFERROR(__xludf.DUMMYFUNCTION("GOOGLEFINANCE(""BOM:""&amp;A2,""MARKETCAP"")/10000000"),94997.309175)</f>
        <v>94997.309175000002</v>
      </c>
      <c r="G2" s="95">
        <f t="shared" ref="G2:G25" ca="1" si="0">F2/$F$27</f>
        <v>0.34660021712453154</v>
      </c>
      <c r="H2" s="101">
        <f>VLOOKUP(A2,'BSE ALL CAP'!$B$4:$Y$1038,7,)</f>
        <v>16551</v>
      </c>
      <c r="I2" s="101">
        <f>VLOOKUP(A2,'BSE ALL CAP'!$B$4:$Y$1038,8,)</f>
        <v>16918</v>
      </c>
      <c r="J2" s="101">
        <f>VLOOKUP(A2,'BSE ALL CAP'!$B$4:$Y$1038,9,)</f>
        <v>992</v>
      </c>
      <c r="K2" s="101">
        <f>VLOOKUP(A2,'BSE ALL CAP'!$B$4:$Y$1038,10,)</f>
        <v>1448</v>
      </c>
      <c r="L2" s="101">
        <f>VLOOKUP(A2,'BSE ALL CAP'!$B$4:$Y$1038,11,)</f>
        <v>4114</v>
      </c>
      <c r="M2" s="101">
        <f>VLOOKUP(A2,'BSE ALL CAP'!$B$4:$Y$1038,12,)</f>
        <v>4395</v>
      </c>
      <c r="N2" s="101">
        <f>VLOOKUP(A2,'BSE ALL CAP'!$B$4:$Y$1038,13,)</f>
        <v>89</v>
      </c>
      <c r="O2" s="101">
        <f>VLOOKUP(A2,'BSE ALL CAP'!$B$4:$Y$1038,14,)</f>
        <v>233</v>
      </c>
      <c r="P2" s="95">
        <f>VLOOKUP(A2,'BSE ALL CAP'!$B$4:$Y$1038,15,)</f>
        <v>5.9935955531387829E-2</v>
      </c>
      <c r="Q2" s="95">
        <f>VLOOKUP(A2,'BSE ALL CAP'!$B$4:$Y$1038,16,)</f>
        <v>8.5589313157583641E-2</v>
      </c>
      <c r="R2" s="95">
        <f>VLOOKUP(A2,'BSE ALL CAP'!$B$4:$Y$1038,17,)</f>
        <v>-2.5653357626195812E-2</v>
      </c>
      <c r="S2" s="95">
        <f>VLOOKUP(A2,'BSE ALL CAP'!$B$4:$Y$1038,18,)</f>
        <v>2.1633446767136608E-2</v>
      </c>
      <c r="T2" s="95">
        <f>VLOOKUP(A2,'BSE ALL CAP'!$B$4:$Y$1038,19,)</f>
        <v>5.3014789533560862E-2</v>
      </c>
      <c r="U2" s="95">
        <f>VLOOKUP(A2,'BSE ALL CAP'!$B$4:$Y$1038,20,)</f>
        <v>-3.138134276642425E-2</v>
      </c>
      <c r="V2" s="95">
        <f>VLOOKUP(A2,'BSE ALL CAP'!$B$4:$Y$1038,21,)</f>
        <v>-2.169287149781296E-2</v>
      </c>
      <c r="W2" s="95">
        <f>VLOOKUP(A2,'BSE ALL CAP'!$B$4:$Y$1038,22,)</f>
        <v>-0.31491712707182318</v>
      </c>
      <c r="X2" s="95">
        <f>VLOOKUP(A2,'BSE ALL CAP'!$B$4:$Y$1038,23,)</f>
        <v>-6.3936291240045517E-2</v>
      </c>
      <c r="Y2" s="95">
        <f>VLOOKUP(A2,'BSE ALL CAP'!$B$4:$Y$1038,24,)</f>
        <v>-0.61802575107296143</v>
      </c>
    </row>
    <row r="3" spans="1:25" ht="15.75" customHeight="1">
      <c r="A3" s="99">
        <v>500575</v>
      </c>
      <c r="B3" s="98" t="s">
        <v>95</v>
      </c>
      <c r="C3" s="101" t="str">
        <f>VLOOKUP(A3,'BSE ALL CAP'!$B$4:$Y$1038,2,)</f>
        <v>Consumer Discretionary</v>
      </c>
      <c r="D3" s="101" t="str">
        <f>VLOOKUP(A3,'BSE ALL CAP'!$B$4:$Y$1038,3,)</f>
        <v>Household Appliances</v>
      </c>
      <c r="E3" s="101">
        <f ca="1">IFERROR(__xludf.DUMMYFUNCTION("GOOGLEFINANCE(""BOM:""&amp;A3,""PRICE"")"),1242.75)</f>
        <v>1242.75</v>
      </c>
      <c r="F3" s="112">
        <f ca="1">IFERROR(__xludf.DUMMYFUNCTION("GOOGLEFINANCE(""BOM:""&amp;A3,""MARKETCAP"")/10000000"),41138.8963666)</f>
        <v>41138.896366599998</v>
      </c>
      <c r="G3" s="95">
        <f t="shared" ca="1" si="0"/>
        <v>0.15009636101018711</v>
      </c>
      <c r="H3" s="101">
        <f>VLOOKUP(A3,'BSE ALL CAP'!$B$4:$Y$1038,7,)</f>
        <v>9357</v>
      </c>
      <c r="I3" s="101">
        <f>VLOOKUP(A3,'BSE ALL CAP'!$B$4:$Y$1038,8,)</f>
        <v>10645</v>
      </c>
      <c r="J3" s="101">
        <f>VLOOKUP(A3,'BSE ALL CAP'!$B$4:$Y$1038,9,)</f>
        <v>257</v>
      </c>
      <c r="K3" s="101">
        <f>VLOOKUP(A3,'BSE ALL CAP'!$B$4:$Y$1038,10,)</f>
        <v>599</v>
      </c>
      <c r="L3" s="101">
        <f>VLOOKUP(A3,'BSE ALL CAP'!$B$4:$Y$1038,11,)</f>
        <v>3071</v>
      </c>
      <c r="M3" s="101">
        <f>VLOOKUP(A3,'BSE ALL CAP'!$B$4:$Y$1038,12,)</f>
        <v>3105</v>
      </c>
      <c r="N3" s="101">
        <f>VLOOKUP(A3,'BSE ALL CAP'!$B$4:$Y$1038,13,)</f>
        <v>84</v>
      </c>
      <c r="O3" s="101">
        <f>VLOOKUP(A3,'BSE ALL CAP'!$B$4:$Y$1038,14,)</f>
        <v>131</v>
      </c>
      <c r="P3" s="95">
        <f>VLOOKUP(A3,'BSE ALL CAP'!$B$4:$Y$1038,15,)</f>
        <v>2.7466068184247086E-2</v>
      </c>
      <c r="Q3" s="95">
        <f>VLOOKUP(A3,'BSE ALL CAP'!$B$4:$Y$1038,16,)</f>
        <v>5.6270549553781121E-2</v>
      </c>
      <c r="R3" s="95">
        <f>VLOOKUP(A3,'BSE ALL CAP'!$B$4:$Y$1038,17,)</f>
        <v>-2.8804481369534035E-2</v>
      </c>
      <c r="S3" s="95">
        <f>VLOOKUP(A3,'BSE ALL CAP'!$B$4:$Y$1038,18,)</f>
        <v>2.7352653858677956E-2</v>
      </c>
      <c r="T3" s="95">
        <f>VLOOKUP(A3,'BSE ALL CAP'!$B$4:$Y$1038,19,)</f>
        <v>4.2190016103059579E-2</v>
      </c>
      <c r="U3" s="95">
        <f>VLOOKUP(A3,'BSE ALL CAP'!$B$4:$Y$1038,20,)</f>
        <v>-1.4837362244381622E-2</v>
      </c>
      <c r="V3" s="95">
        <f>VLOOKUP(A3,'BSE ALL CAP'!$B$4:$Y$1038,21,)</f>
        <v>-0.12099577266322215</v>
      </c>
      <c r="W3" s="95">
        <f>VLOOKUP(A3,'BSE ALL CAP'!$B$4:$Y$1038,22,)</f>
        <v>-0.57095158597662765</v>
      </c>
      <c r="X3" s="95">
        <f>VLOOKUP(A3,'BSE ALL CAP'!$B$4:$Y$1038,23,)</f>
        <v>-1.0950080515297889E-2</v>
      </c>
      <c r="Y3" s="95">
        <f>VLOOKUP(A3,'BSE ALL CAP'!$B$4:$Y$1038,24,)</f>
        <v>-0.35877862595419852</v>
      </c>
    </row>
    <row r="4" spans="1:25" ht="15.75" customHeight="1">
      <c r="A4" s="99">
        <v>500067</v>
      </c>
      <c r="B4" s="98" t="s">
        <v>4221</v>
      </c>
      <c r="C4" s="101" t="str">
        <f>VLOOKUP(A4,'BSE ALL CAP'!$B$4:$Y$1038,2,)</f>
        <v>Consumer Discretionary</v>
      </c>
      <c r="D4" s="101" t="str">
        <f>VLOOKUP(A4,'BSE ALL CAP'!$B$4:$Y$1038,3,)</f>
        <v>Household Appliances</v>
      </c>
      <c r="E4" s="101">
        <f ca="1">IFERROR(__xludf.DUMMYFUNCTION("GOOGLEFINANCE(""BOM:""&amp;A4,""PRICE"")"),1563.45)</f>
        <v>1563.45</v>
      </c>
      <c r="F4" s="112">
        <f ca="1">IFERROR(__xludf.DUMMYFUNCTION("GOOGLEFINANCE(""BOM:""&amp;A4,""MARKETCAP"")/10000000"),32144.9843965)</f>
        <v>32144.9843965</v>
      </c>
      <c r="G4" s="95">
        <f t="shared" ca="1" si="0"/>
        <v>0.11728183322295221</v>
      </c>
      <c r="H4" s="101">
        <f>VLOOKUP(A4,'BSE ALL CAP'!$B$4:$Y$1038,7,)</f>
        <v>8330</v>
      </c>
      <c r="I4" s="101">
        <f>VLOOKUP(A4,'BSE ALL CAP'!$B$4:$Y$1038,8,)</f>
        <v>7949</v>
      </c>
      <c r="J4" s="101">
        <f>VLOOKUP(A4,'BSE ALL CAP'!$B$4:$Y$1038,9,)</f>
        <v>300</v>
      </c>
      <c r="K4" s="101">
        <f>VLOOKUP(A4,'BSE ALL CAP'!$B$4:$Y$1038,10,)</f>
        <v>397</v>
      </c>
      <c r="L4" s="101">
        <f>VLOOKUP(A4,'BSE ALL CAP'!$B$4:$Y$1038,11,)</f>
        <v>2925</v>
      </c>
      <c r="M4" s="101">
        <f>VLOOKUP(A4,'BSE ALL CAP'!$B$4:$Y$1038,12,)</f>
        <v>2807</v>
      </c>
      <c r="N4" s="101">
        <f>VLOOKUP(A4,'BSE ALL CAP'!$B$4:$Y$1038,13,)</f>
        <v>81</v>
      </c>
      <c r="O4" s="101">
        <f>VLOOKUP(A4,'BSE ALL CAP'!$B$4:$Y$1038,14,)</f>
        <v>132</v>
      </c>
      <c r="P4" s="95">
        <f>VLOOKUP(A4,'BSE ALL CAP'!$B$4:$Y$1038,15,)</f>
        <v>3.601440576230492E-2</v>
      </c>
      <c r="Q4" s="95">
        <f>VLOOKUP(A4,'BSE ALL CAP'!$B$4:$Y$1038,16,)</f>
        <v>4.9943389105547867E-2</v>
      </c>
      <c r="R4" s="95">
        <f>VLOOKUP(A4,'BSE ALL CAP'!$B$4:$Y$1038,17,)</f>
        <v>-1.3928983343242947E-2</v>
      </c>
      <c r="S4" s="95">
        <f>VLOOKUP(A4,'BSE ALL CAP'!$B$4:$Y$1038,18,)</f>
        <v>2.7692307692307693E-2</v>
      </c>
      <c r="T4" s="95">
        <f>VLOOKUP(A4,'BSE ALL CAP'!$B$4:$Y$1038,19,)</f>
        <v>4.7025293908086928E-2</v>
      </c>
      <c r="U4" s="95">
        <f>VLOOKUP(A4,'BSE ALL CAP'!$B$4:$Y$1038,20,)</f>
        <v>-1.9332986215779235E-2</v>
      </c>
      <c r="V4" s="95">
        <f>VLOOKUP(A4,'BSE ALL CAP'!$B$4:$Y$1038,21,)</f>
        <v>4.7930557302805488E-2</v>
      </c>
      <c r="W4" s="95">
        <f>VLOOKUP(A4,'BSE ALL CAP'!$B$4:$Y$1038,22,)</f>
        <v>-0.24433249370277077</v>
      </c>
      <c r="X4" s="95">
        <f>VLOOKUP(A4,'BSE ALL CAP'!$B$4:$Y$1038,23,)</f>
        <v>4.2037762736017115E-2</v>
      </c>
      <c r="Y4" s="95">
        <f>VLOOKUP(A4,'BSE ALL CAP'!$B$4:$Y$1038,24,)</f>
        <v>-0.38636363636363635</v>
      </c>
    </row>
    <row r="5" spans="1:25" ht="15.75" customHeight="1">
      <c r="A5" s="99">
        <v>540902</v>
      </c>
      <c r="B5" s="98" t="s">
        <v>4222</v>
      </c>
      <c r="C5" s="101" t="str">
        <f>VLOOKUP(A5,'BSE ALL CAP'!$B$4:$Y$1038,2,)</f>
        <v>Consumer Discretionary</v>
      </c>
      <c r="D5" s="101" t="str">
        <f>VLOOKUP(A5,'BSE ALL CAP'!$B$4:$Y$1038,3,)</f>
        <v>Household Appliances</v>
      </c>
      <c r="E5" s="101">
        <f ca="1">IFERROR(__xludf.DUMMYFUNCTION("GOOGLEFINANCE(""BOM:""&amp;A5,""PRICE"")"),6390)</f>
        <v>6390</v>
      </c>
      <c r="F5" s="112">
        <f ca="1">IFERROR(__xludf.DUMMYFUNCTION("GOOGLEFINANCE(""BOM:""&amp;A5,""MARKETCAP"")/10000000"),22464.6025445)</f>
        <v>22464.602544500001</v>
      </c>
      <c r="G5" s="95">
        <f t="shared" ca="1" si="0"/>
        <v>8.1962701756073231E-2</v>
      </c>
      <c r="H5" s="101">
        <f>VLOOKUP(A5,'BSE ALL CAP'!$B$4:$Y$1038,7,)</f>
        <v>8038</v>
      </c>
      <c r="I5" s="101">
        <f>VLOOKUP(A5,'BSE ALL CAP'!$B$4:$Y$1038,8,)</f>
        <v>6219</v>
      </c>
      <c r="J5" s="101">
        <f>VLOOKUP(A5,'BSE ALL CAP'!$B$4:$Y$1038,9,)</f>
        <v>64</v>
      </c>
      <c r="K5" s="101">
        <f>VLOOKUP(A5,'BSE ALL CAP'!$B$4:$Y$1038,10,)</f>
        <v>132</v>
      </c>
      <c r="L5" s="101">
        <f>VLOOKUP(A5,'BSE ALL CAP'!$B$4:$Y$1038,11,)</f>
        <v>2942</v>
      </c>
      <c r="M5" s="101">
        <f>VLOOKUP(A5,'BSE ALL CAP'!$B$4:$Y$1038,12,)</f>
        <v>2133</v>
      </c>
      <c r="N5" s="101">
        <f>VLOOKUP(A5,'BSE ALL CAP'!$B$4:$Y$1038,13,)</f>
        <v>-9</v>
      </c>
      <c r="O5" s="101">
        <f>VLOOKUP(A5,'BSE ALL CAP'!$B$4:$Y$1038,14,)</f>
        <v>37</v>
      </c>
      <c r="P5" s="95">
        <f>VLOOKUP(A5,'BSE ALL CAP'!$B$4:$Y$1038,15,)</f>
        <v>7.9621796466782784E-3</v>
      </c>
      <c r="Q5" s="95">
        <f>VLOOKUP(A5,'BSE ALL CAP'!$B$4:$Y$1038,16,)</f>
        <v>2.1225277375783887E-2</v>
      </c>
      <c r="R5" s="95">
        <f>VLOOKUP(A5,'BSE ALL CAP'!$B$4:$Y$1038,17,)</f>
        <v>-1.3263097729105609E-2</v>
      </c>
      <c r="S5" s="95">
        <f>VLOOKUP(A5,'BSE ALL CAP'!$B$4:$Y$1038,18,)</f>
        <v>-3.0591434398368456E-3</v>
      </c>
      <c r="T5" s="95">
        <f>VLOOKUP(A5,'BSE ALL CAP'!$B$4:$Y$1038,19,)</f>
        <v>1.7346460384435068E-2</v>
      </c>
      <c r="U5" s="95">
        <f>VLOOKUP(A5,'BSE ALL CAP'!$B$4:$Y$1038,20,)</f>
        <v>-2.0405603824271912E-2</v>
      </c>
      <c r="V5" s="95">
        <f>VLOOKUP(A5,'BSE ALL CAP'!$B$4:$Y$1038,21,)</f>
        <v>0.29249075414053705</v>
      </c>
      <c r="W5" s="95">
        <f>VLOOKUP(A5,'BSE ALL CAP'!$B$4:$Y$1038,22,)</f>
        <v>-0.51515151515151514</v>
      </c>
      <c r="X5" s="95">
        <f>VLOOKUP(A5,'BSE ALL CAP'!$B$4:$Y$1038,23,)</f>
        <v>0.3792780121894046</v>
      </c>
      <c r="Y5" s="95">
        <f>VLOOKUP(A5,'BSE ALL CAP'!$B$4:$Y$1038,24,)</f>
        <v>-1.2432432432432432</v>
      </c>
    </row>
    <row r="6" spans="1:25" ht="15.75" customHeight="1">
      <c r="A6" s="99">
        <v>539876</v>
      </c>
      <c r="B6" s="98" t="s">
        <v>4223</v>
      </c>
      <c r="C6" s="101" t="str">
        <f>VLOOKUP(A6,'BSE ALL CAP'!$B$4:$Y$1038,2,)</f>
        <v>Consumer Discretionary</v>
      </c>
      <c r="D6" s="101" t="str">
        <f>VLOOKUP(A6,'BSE ALL CAP'!$B$4:$Y$1038,3,)</f>
        <v>Household Appliances</v>
      </c>
      <c r="E6" s="101">
        <f ca="1">IFERROR(__xludf.DUMMYFUNCTION("GOOGLEFINANCE(""BOM:""&amp;A6,""PRICE"")"),233.2)</f>
        <v>233.2</v>
      </c>
      <c r="F6" s="112">
        <f ca="1">IFERROR(__xludf.DUMMYFUNCTION("GOOGLEFINANCE(""BOM:""&amp;A6,""MARKETCAP"")/10000000"),15020.6008147)</f>
        <v>15020.600814699999</v>
      </c>
      <c r="G6" s="95">
        <f t="shared" ca="1" si="0"/>
        <v>5.480306283334193E-2</v>
      </c>
      <c r="H6" s="101">
        <f>VLOOKUP(A6,'BSE ALL CAP'!$B$4:$Y$1038,7,)</f>
        <v>5812</v>
      </c>
      <c r="I6" s="101">
        <f>VLOOKUP(A6,'BSE ALL CAP'!$B$4:$Y$1038,8,)</f>
        <v>5803</v>
      </c>
      <c r="J6" s="101">
        <f>VLOOKUP(A6,'BSE ALL CAP'!$B$4:$Y$1038,9,)</f>
        <v>300</v>
      </c>
      <c r="K6" s="101">
        <f>VLOOKUP(A6,'BSE ALL CAP'!$B$4:$Y$1038,10,)</f>
        <v>392</v>
      </c>
      <c r="L6" s="101">
        <f>VLOOKUP(A6,'BSE ALL CAP'!$B$4:$Y$1038,11,)</f>
        <v>1898</v>
      </c>
      <c r="M6" s="101">
        <f>VLOOKUP(A6,'BSE ALL CAP'!$B$4:$Y$1038,12,)</f>
        <v>1769</v>
      </c>
      <c r="N6" s="101">
        <f>VLOOKUP(A6,'BSE ALL CAP'!$B$4:$Y$1038,13,)</f>
        <v>101</v>
      </c>
      <c r="O6" s="101">
        <f>VLOOKUP(A6,'BSE ALL CAP'!$B$4:$Y$1038,14,)</f>
        <v>112</v>
      </c>
      <c r="P6" s="95">
        <f>VLOOKUP(A6,'BSE ALL CAP'!$B$4:$Y$1038,15,)</f>
        <v>5.1617343427391604E-2</v>
      </c>
      <c r="Q6" s="95">
        <f>VLOOKUP(A6,'BSE ALL CAP'!$B$4:$Y$1038,16,)</f>
        <v>6.7551266586248493E-2</v>
      </c>
      <c r="R6" s="95">
        <f>VLOOKUP(A6,'BSE ALL CAP'!$B$4:$Y$1038,17,)</f>
        <v>-1.5933923158856889E-2</v>
      </c>
      <c r="S6" s="95">
        <f>VLOOKUP(A6,'BSE ALL CAP'!$B$4:$Y$1038,18,)</f>
        <v>5.3213909378292942E-2</v>
      </c>
      <c r="T6" s="95">
        <f>VLOOKUP(A6,'BSE ALL CAP'!$B$4:$Y$1038,19,)</f>
        <v>6.3312605992085921E-2</v>
      </c>
      <c r="U6" s="95">
        <f>VLOOKUP(A6,'BSE ALL CAP'!$B$4:$Y$1038,20,)</f>
        <v>-1.0098696613792979E-2</v>
      </c>
      <c r="V6" s="95">
        <f>VLOOKUP(A6,'BSE ALL CAP'!$B$4:$Y$1038,21,)</f>
        <v>1.5509219369291838E-3</v>
      </c>
      <c r="W6" s="95">
        <f>VLOOKUP(A6,'BSE ALL CAP'!$B$4:$Y$1038,22,)</f>
        <v>-0.23469387755102045</v>
      </c>
      <c r="X6" s="95">
        <f>VLOOKUP(A6,'BSE ALL CAP'!$B$4:$Y$1038,23,)</f>
        <v>7.2922555115884746E-2</v>
      </c>
      <c r="Y6" s="95">
        <f>VLOOKUP(A6,'BSE ALL CAP'!$B$4:$Y$1038,24,)</f>
        <v>-9.8214285714285698E-2</v>
      </c>
    </row>
    <row r="7" spans="1:25" ht="15.75" customHeight="1">
      <c r="A7" s="99">
        <v>532953</v>
      </c>
      <c r="B7" s="98" t="s">
        <v>4224</v>
      </c>
      <c r="C7" s="101" t="str">
        <f>VLOOKUP(A7,'BSE ALL CAP'!$B$4:$Y$1038,2,)</f>
        <v>Consumer Discretionary</v>
      </c>
      <c r="D7" s="101" t="str">
        <f>VLOOKUP(A7,'BSE ALL CAP'!$B$4:$Y$1038,3,)</f>
        <v>Household Appliances</v>
      </c>
      <c r="E7" s="101">
        <f ca="1">IFERROR(__xludf.DUMMYFUNCTION("GOOGLEFINANCE(""BOM:""&amp;A7,""PRICE"")"),323.5)</f>
        <v>323.5</v>
      </c>
      <c r="F7" s="112">
        <f ca="1">IFERROR(__xludf.DUMMYFUNCTION("GOOGLEFINANCE(""BOM:""&amp;A7,""MARKETCAP"")/10000000"),14126.8248356)</f>
        <v>14126.8248356</v>
      </c>
      <c r="G7" s="95">
        <f t="shared" ca="1" si="0"/>
        <v>5.1542097326981312E-2</v>
      </c>
      <c r="H7" s="101">
        <f>VLOOKUP(A7,'BSE ALL CAP'!$B$4:$Y$1038,7,)</f>
        <v>4211</v>
      </c>
      <c r="I7" s="101">
        <f>VLOOKUP(A7,'BSE ALL CAP'!$B$4:$Y$1038,8,)</f>
        <v>4040</v>
      </c>
      <c r="J7" s="101">
        <f>VLOOKUP(A7,'BSE ALL CAP'!$B$4:$Y$1038,9,)</f>
        <v>196</v>
      </c>
      <c r="K7" s="101">
        <f>VLOOKUP(A7,'BSE ALL CAP'!$B$4:$Y$1038,10,)</f>
        <v>223</v>
      </c>
      <c r="L7" s="101">
        <f>VLOOKUP(A7,'BSE ALL CAP'!$B$4:$Y$1038,11,)</f>
        <v>1404</v>
      </c>
      <c r="M7" s="101">
        <f>VLOOKUP(A7,'BSE ALL CAP'!$B$4:$Y$1038,12,)</f>
        <v>1269</v>
      </c>
      <c r="N7" s="101">
        <f>VLOOKUP(A7,'BSE ALL CAP'!$B$4:$Y$1038,13,)</f>
        <v>57</v>
      </c>
      <c r="O7" s="101">
        <f>VLOOKUP(A7,'BSE ALL CAP'!$B$4:$Y$1038,14,)</f>
        <v>60</v>
      </c>
      <c r="P7" s="95">
        <f>VLOOKUP(A7,'BSE ALL CAP'!$B$4:$Y$1038,15,)</f>
        <v>4.6544763714082164E-2</v>
      </c>
      <c r="Q7" s="95">
        <f>VLOOKUP(A7,'BSE ALL CAP'!$B$4:$Y$1038,16,)</f>
        <v>5.5198019801980198E-2</v>
      </c>
      <c r="R7" s="95">
        <f>VLOOKUP(A7,'BSE ALL CAP'!$B$4:$Y$1038,17,)</f>
        <v>-8.6532560878980341E-3</v>
      </c>
      <c r="S7" s="95">
        <f>VLOOKUP(A7,'BSE ALL CAP'!$B$4:$Y$1038,18,)</f>
        <v>4.05982905982906E-2</v>
      </c>
      <c r="T7" s="95">
        <f>VLOOKUP(A7,'BSE ALL CAP'!$B$4:$Y$1038,19,)</f>
        <v>4.7281323877068557E-2</v>
      </c>
      <c r="U7" s="95">
        <f>VLOOKUP(A7,'BSE ALL CAP'!$B$4:$Y$1038,20,)</f>
        <v>-6.683033278777957E-3</v>
      </c>
      <c r="V7" s="95">
        <f>VLOOKUP(A7,'BSE ALL CAP'!$B$4:$Y$1038,21,)</f>
        <v>4.2326732673267253E-2</v>
      </c>
      <c r="W7" s="95">
        <f>VLOOKUP(A7,'BSE ALL CAP'!$B$4:$Y$1038,22,)</f>
        <v>-0.12107623318385652</v>
      </c>
      <c r="X7" s="95">
        <f>VLOOKUP(A7,'BSE ALL CAP'!$B$4:$Y$1038,23,)</f>
        <v>0.1063829787234043</v>
      </c>
      <c r="Y7" s="95">
        <f>VLOOKUP(A7,'BSE ALL CAP'!$B$4:$Y$1038,24,)</f>
        <v>-5.0000000000000044E-2</v>
      </c>
    </row>
    <row r="8" spans="1:25" ht="15.75" customHeight="1">
      <c r="A8" s="99">
        <v>500238</v>
      </c>
      <c r="B8" s="98" t="s">
        <v>4225</v>
      </c>
      <c r="C8" s="101" t="str">
        <f>VLOOKUP(A8,'BSE ALL CAP'!$B$4:$Y$1038,2,)</f>
        <v>Consumer Discretionary</v>
      </c>
      <c r="D8" s="101" t="str">
        <f>VLOOKUP(A8,'BSE ALL CAP'!$B$4:$Y$1038,3,)</f>
        <v>Household Appliances</v>
      </c>
      <c r="E8" s="101">
        <f ca="1">IFERROR(__xludf.DUMMYFUNCTION("GOOGLEFINANCE(""BOM:""&amp;A8,""PRICE"")"),824)</f>
        <v>824</v>
      </c>
      <c r="F8" s="112">
        <f ca="1">IFERROR(__xludf.DUMMYFUNCTION("GOOGLEFINANCE(""BOM:""&amp;A8,""MARKETCAP"")/10000000"),10454.23632)</f>
        <v>10454.23632</v>
      </c>
      <c r="G8" s="95">
        <f t="shared" ca="1" si="0"/>
        <v>3.8142560140395299E-2</v>
      </c>
      <c r="H8" s="101">
        <f>VLOOKUP(A8,'BSE ALL CAP'!$B$4:$Y$1038,7,)</f>
        <v>5443</v>
      </c>
      <c r="I8" s="101">
        <f>VLOOKUP(A8,'BSE ALL CAP'!$B$4:$Y$1038,8,)</f>
        <v>5530</v>
      </c>
      <c r="J8" s="101">
        <f>VLOOKUP(A8,'BSE ALL CAP'!$B$4:$Y$1038,9,)</f>
        <v>175</v>
      </c>
      <c r="K8" s="101">
        <f>VLOOKUP(A8,'BSE ALL CAP'!$B$4:$Y$1038,10,)</f>
        <v>202</v>
      </c>
      <c r="L8" s="101">
        <f>VLOOKUP(A8,'BSE ALL CAP'!$B$4:$Y$1038,11,)</f>
        <v>1624</v>
      </c>
      <c r="M8" s="101">
        <f>VLOOKUP(A8,'BSE ALL CAP'!$B$4:$Y$1038,12,)</f>
        <v>1564</v>
      </c>
      <c r="N8" s="101">
        <f>VLOOKUP(A8,'BSE ALL CAP'!$B$4:$Y$1038,13,)</f>
        <v>13</v>
      </c>
      <c r="O8" s="101">
        <f>VLOOKUP(A8,'BSE ALL CAP'!$B$4:$Y$1038,14,)</f>
        <v>26</v>
      </c>
      <c r="P8" s="95">
        <f>VLOOKUP(A8,'BSE ALL CAP'!$B$4:$Y$1038,15,)</f>
        <v>3.2151387102700719E-2</v>
      </c>
      <c r="Q8" s="95">
        <f>VLOOKUP(A8,'BSE ALL CAP'!$B$4:$Y$1038,16,)</f>
        <v>3.6528028933092226E-2</v>
      </c>
      <c r="R8" s="95">
        <f>VLOOKUP(A8,'BSE ALL CAP'!$B$4:$Y$1038,17,)</f>
        <v>-4.3766418303915061E-3</v>
      </c>
      <c r="S8" s="95">
        <f>VLOOKUP(A8,'BSE ALL CAP'!$B$4:$Y$1038,18,)</f>
        <v>8.0049261083743849E-3</v>
      </c>
      <c r="T8" s="95">
        <f>VLOOKUP(A8,'BSE ALL CAP'!$B$4:$Y$1038,19,)</f>
        <v>1.6624040920716114E-2</v>
      </c>
      <c r="U8" s="95">
        <f>VLOOKUP(A8,'BSE ALL CAP'!$B$4:$Y$1038,20,)</f>
        <v>-8.6191148123417292E-3</v>
      </c>
      <c r="V8" s="95">
        <f>VLOOKUP(A8,'BSE ALL CAP'!$B$4:$Y$1038,21,)</f>
        <v>-1.5732368896925863E-2</v>
      </c>
      <c r="W8" s="95">
        <f>VLOOKUP(A8,'BSE ALL CAP'!$B$4:$Y$1038,22,)</f>
        <v>-0.13366336633663367</v>
      </c>
      <c r="X8" s="95">
        <f>VLOOKUP(A8,'BSE ALL CAP'!$B$4:$Y$1038,23,)</f>
        <v>3.8363171355498826E-2</v>
      </c>
      <c r="Y8" s="95">
        <f>VLOOKUP(A8,'BSE ALL CAP'!$B$4:$Y$1038,24,)</f>
        <v>-0.5</v>
      </c>
    </row>
    <row r="9" spans="1:25" ht="15.75" customHeight="1">
      <c r="A9" s="99">
        <v>543482</v>
      </c>
      <c r="B9" s="98" t="s">
        <v>4226</v>
      </c>
      <c r="C9" s="101" t="str">
        <f>VLOOKUP(A9,'BSE ALL CAP'!$B$4:$Y$1038,2,)</f>
        <v>Consumer Discretionary</v>
      </c>
      <c r="D9" s="101" t="str">
        <f>VLOOKUP(A9,'BSE ALL CAP'!$B$4:$Y$1038,3,)</f>
        <v>Household Appliances</v>
      </c>
      <c r="E9" s="101">
        <f ca="1">IFERROR(__xludf.DUMMYFUNCTION("GOOGLEFINANCE(""BOM:""&amp;A9,""PRICE"")"),456.6)</f>
        <v>456.6</v>
      </c>
      <c r="F9" s="112">
        <f ca="1">IFERROR(__xludf.DUMMYFUNCTION("GOOGLEFINANCE(""BOM:""&amp;A9,""MARKETCAP"")/10000000"),8833.8678928)</f>
        <v>8833.8678928000008</v>
      </c>
      <c r="G9" s="95">
        <f t="shared" ca="1" si="0"/>
        <v>3.2230602701109702E-2</v>
      </c>
      <c r="H9" s="101">
        <f>VLOOKUP(A9,'BSE ALL CAP'!$B$4:$Y$1038,7,)</f>
        <v>2025</v>
      </c>
      <c r="I9" s="101">
        <f>VLOOKUP(A9,'BSE ALL CAP'!$B$4:$Y$1038,8,)</f>
        <v>1824</v>
      </c>
      <c r="J9" s="101">
        <f>VLOOKUP(A9,'BSE ALL CAP'!$B$4:$Y$1038,9,)</f>
        <v>111</v>
      </c>
      <c r="K9" s="101">
        <f>VLOOKUP(A9,'BSE ALL CAP'!$B$4:$Y$1038,10,)</f>
        <v>114</v>
      </c>
      <c r="L9" s="101">
        <f>VLOOKUP(A9,'BSE ALL CAP'!$B$4:$Y$1038,11,)</f>
        <v>645</v>
      </c>
      <c r="M9" s="101">
        <f>VLOOKUP(A9,'BSE ALL CAP'!$B$4:$Y$1038,12,)</f>
        <v>597</v>
      </c>
      <c r="N9" s="101">
        <f>VLOOKUP(A9,'BSE ALL CAP'!$B$4:$Y$1038,13,)</f>
        <v>9</v>
      </c>
      <c r="O9" s="101">
        <f>VLOOKUP(A9,'BSE ALL CAP'!$B$4:$Y$1038,14,)</f>
        <v>35</v>
      </c>
      <c r="P9" s="95">
        <f>VLOOKUP(A9,'BSE ALL CAP'!$B$4:$Y$1038,15,)</f>
        <v>5.4814814814814816E-2</v>
      </c>
      <c r="Q9" s="95">
        <f>VLOOKUP(A9,'BSE ALL CAP'!$B$4:$Y$1038,16,)</f>
        <v>6.25E-2</v>
      </c>
      <c r="R9" s="95">
        <f>VLOOKUP(A9,'BSE ALL CAP'!$B$4:$Y$1038,17,)</f>
        <v>-7.6851851851851838E-3</v>
      </c>
      <c r="S9" s="95">
        <f>VLOOKUP(A9,'BSE ALL CAP'!$B$4:$Y$1038,18,)</f>
        <v>1.3953488372093023E-2</v>
      </c>
      <c r="T9" s="95">
        <f>VLOOKUP(A9,'BSE ALL CAP'!$B$4:$Y$1038,19,)</f>
        <v>5.8626465661641543E-2</v>
      </c>
      <c r="U9" s="95">
        <f>VLOOKUP(A9,'BSE ALL CAP'!$B$4:$Y$1038,20,)</f>
        <v>-4.467297728954852E-2</v>
      </c>
      <c r="V9" s="95">
        <f>VLOOKUP(A9,'BSE ALL CAP'!$B$4:$Y$1038,21,)</f>
        <v>0.11019736842105265</v>
      </c>
      <c r="W9" s="95">
        <f>VLOOKUP(A9,'BSE ALL CAP'!$B$4:$Y$1038,22,)</f>
        <v>-2.6315789473684181E-2</v>
      </c>
      <c r="X9" s="95">
        <f>VLOOKUP(A9,'BSE ALL CAP'!$B$4:$Y$1038,23,)</f>
        <v>8.040201005025116E-2</v>
      </c>
      <c r="Y9" s="95">
        <f>VLOOKUP(A9,'BSE ALL CAP'!$B$4:$Y$1038,24,)</f>
        <v>-0.74285714285714288</v>
      </c>
    </row>
    <row r="10" spans="1:25" ht="15.75" customHeight="1">
      <c r="A10" s="99">
        <v>517506</v>
      </c>
      <c r="B10" s="98" t="s">
        <v>4227</v>
      </c>
      <c r="C10" s="101" t="str">
        <f>VLOOKUP(A10,'BSE ALL CAP'!$B$4:$Y$1038,2,)</f>
        <v>Consumer Discretionary</v>
      </c>
      <c r="D10" s="101" t="str">
        <f>VLOOKUP(A10,'BSE ALL CAP'!$B$4:$Y$1038,3,)</f>
        <v>Household Appliances</v>
      </c>
      <c r="E10" s="101">
        <f ca="1">IFERROR(__xludf.DUMMYFUNCTION("GOOGLEFINANCE(""BOM:""&amp;A10,""PRICE"")"),458)</f>
        <v>458</v>
      </c>
      <c r="F10" s="112">
        <f ca="1">IFERROR(__xludf.DUMMYFUNCTION("GOOGLEFINANCE(""BOM:""&amp;A10,""MARKETCAP"")/10000000"),6257.9715426)</f>
        <v>6257.9715426000002</v>
      </c>
      <c r="G10" s="95">
        <f t="shared" ca="1" si="0"/>
        <v>2.2832376140556086E-2</v>
      </c>
      <c r="H10" s="101">
        <f>VLOOKUP(A10,'BSE ALL CAP'!$B$4:$Y$1038,7,)</f>
        <v>2244</v>
      </c>
      <c r="I10" s="101">
        <f>VLOOKUP(A10,'BSE ALL CAP'!$B$4:$Y$1038,8,)</f>
        <v>2065</v>
      </c>
      <c r="J10" s="101">
        <f>VLOOKUP(A10,'BSE ALL CAP'!$B$4:$Y$1038,9,)</f>
        <v>121</v>
      </c>
      <c r="K10" s="101">
        <f>VLOOKUP(A10,'BSE ALL CAP'!$B$4:$Y$1038,10,)</f>
        <v>150</v>
      </c>
      <c r="L10" s="101">
        <f>VLOOKUP(A10,'BSE ALL CAP'!$B$4:$Y$1038,11,)</f>
        <v>801</v>
      </c>
      <c r="M10" s="101">
        <f>VLOOKUP(A10,'BSE ALL CAP'!$B$4:$Y$1038,12,)</f>
        <v>727</v>
      </c>
      <c r="N10" s="101">
        <f>VLOOKUP(A10,'BSE ALL CAP'!$B$4:$Y$1038,13,)</f>
        <v>32</v>
      </c>
      <c r="O10" s="101">
        <f>VLOOKUP(A10,'BSE ALL CAP'!$B$4:$Y$1038,14,)</f>
        <v>57</v>
      </c>
      <c r="P10" s="95">
        <f>VLOOKUP(A10,'BSE ALL CAP'!$B$4:$Y$1038,15,)</f>
        <v>5.3921568627450983E-2</v>
      </c>
      <c r="Q10" s="95">
        <f>VLOOKUP(A10,'BSE ALL CAP'!$B$4:$Y$1038,16,)</f>
        <v>7.2639225181598058E-2</v>
      </c>
      <c r="R10" s="95">
        <f>VLOOKUP(A10,'BSE ALL CAP'!$B$4:$Y$1038,17,)</f>
        <v>-1.8717656554147075E-2</v>
      </c>
      <c r="S10" s="95">
        <f>VLOOKUP(A10,'BSE ALL CAP'!$B$4:$Y$1038,18,)</f>
        <v>3.9950062421972535E-2</v>
      </c>
      <c r="T10" s="95">
        <f>VLOOKUP(A10,'BSE ALL CAP'!$B$4:$Y$1038,19,)</f>
        <v>7.8404401650618988E-2</v>
      </c>
      <c r="U10" s="95">
        <f>VLOOKUP(A10,'BSE ALL CAP'!$B$4:$Y$1038,20,)</f>
        <v>-3.8454339228646453E-2</v>
      </c>
      <c r="V10" s="95">
        <f>VLOOKUP(A10,'BSE ALL CAP'!$B$4:$Y$1038,21,)</f>
        <v>8.6682808716707083E-2</v>
      </c>
      <c r="W10" s="95">
        <f>VLOOKUP(A10,'BSE ALL CAP'!$B$4:$Y$1038,22,)</f>
        <v>-0.19333333333333336</v>
      </c>
      <c r="X10" s="95">
        <f>VLOOKUP(A10,'BSE ALL CAP'!$B$4:$Y$1038,23,)</f>
        <v>0.10178817056396139</v>
      </c>
      <c r="Y10" s="95">
        <f>VLOOKUP(A10,'BSE ALL CAP'!$B$4:$Y$1038,24,)</f>
        <v>-0.43859649122807021</v>
      </c>
    </row>
    <row r="11" spans="1:25" ht="15.75" customHeight="1">
      <c r="A11" s="99">
        <v>517385</v>
      </c>
      <c r="B11" s="98" t="s">
        <v>4228</v>
      </c>
      <c r="C11" s="101" t="str">
        <f>VLOOKUP(A11,'BSE ALL CAP'!$B$4:$Y$1038,2,)</f>
        <v>Consumer Discretionary</v>
      </c>
      <c r="D11" s="101" t="str">
        <f>VLOOKUP(A11,'BSE ALL CAP'!$B$4:$Y$1038,3,)</f>
        <v>Household Appliances</v>
      </c>
      <c r="E11" s="101">
        <f ca="1">IFERROR(__xludf.DUMMYFUNCTION("GOOGLEFINANCE(""BOM:""&amp;A11,""PRICE"")"),718.7)</f>
        <v>718.7</v>
      </c>
      <c r="F11" s="112">
        <f ca="1">IFERROR(__xludf.DUMMYFUNCTION("GOOGLEFINANCE(""BOM:""&amp;A11,""MARKETCAP"")/10000000"),4935.4128831)</f>
        <v>4935.4128830999998</v>
      </c>
      <c r="G11" s="95">
        <f t="shared" ca="1" si="0"/>
        <v>1.8006985584512164E-2</v>
      </c>
      <c r="H11" s="101">
        <f>VLOOKUP(A11,'BSE ALL CAP'!$B$4:$Y$1038,7,)</f>
        <v>593</v>
      </c>
      <c r="I11" s="101">
        <f>VLOOKUP(A11,'BSE ALL CAP'!$B$4:$Y$1038,8,)</f>
        <v>875</v>
      </c>
      <c r="J11" s="101">
        <f>VLOOKUP(A11,'BSE ALL CAP'!$B$4:$Y$1038,9,)</f>
        <v>81</v>
      </c>
      <c r="K11" s="101">
        <f>VLOOKUP(A11,'BSE ALL CAP'!$B$4:$Y$1038,10,)</f>
        <v>134</v>
      </c>
      <c r="L11" s="101">
        <f>VLOOKUP(A11,'BSE ALL CAP'!$B$4:$Y$1038,11,)</f>
        <v>179</v>
      </c>
      <c r="M11" s="101">
        <f>VLOOKUP(A11,'BSE ALL CAP'!$B$4:$Y$1038,12,)</f>
        <v>193</v>
      </c>
      <c r="N11" s="101">
        <f>VLOOKUP(A11,'BSE ALL CAP'!$B$4:$Y$1038,13,)</f>
        <v>20</v>
      </c>
      <c r="O11" s="101">
        <f>VLOOKUP(A11,'BSE ALL CAP'!$B$4:$Y$1038,14,)</f>
        <v>-10</v>
      </c>
      <c r="P11" s="95">
        <f>VLOOKUP(A11,'BSE ALL CAP'!$B$4:$Y$1038,15,)</f>
        <v>0.13659359190556492</v>
      </c>
      <c r="Q11" s="95">
        <f>VLOOKUP(A11,'BSE ALL CAP'!$B$4:$Y$1038,16,)</f>
        <v>0.15314285714285714</v>
      </c>
      <c r="R11" s="95">
        <f>VLOOKUP(A11,'BSE ALL CAP'!$B$4:$Y$1038,17,)</f>
        <v>-1.6549265237292221E-2</v>
      </c>
      <c r="S11" s="95">
        <f>VLOOKUP(A11,'BSE ALL CAP'!$B$4:$Y$1038,18,)</f>
        <v>0.11173184357541899</v>
      </c>
      <c r="T11" s="95">
        <f>VLOOKUP(A11,'BSE ALL CAP'!$B$4:$Y$1038,19,)</f>
        <v>-5.181347150259067E-2</v>
      </c>
      <c r="U11" s="95">
        <f>VLOOKUP(A11,'BSE ALL CAP'!$B$4:$Y$1038,20,)</f>
        <v>0.16354531507800965</v>
      </c>
      <c r="V11" s="95">
        <f>VLOOKUP(A11,'BSE ALL CAP'!$B$4:$Y$1038,21,)</f>
        <v>-0.32228571428571429</v>
      </c>
      <c r="W11" s="95">
        <f>VLOOKUP(A11,'BSE ALL CAP'!$B$4:$Y$1038,22,)</f>
        <v>-0.39552238805970152</v>
      </c>
      <c r="X11" s="95">
        <f>VLOOKUP(A11,'BSE ALL CAP'!$B$4:$Y$1038,23,)</f>
        <v>-7.2538860103626979E-2</v>
      </c>
      <c r="Y11" s="95">
        <f>VLOOKUP(A11,'BSE ALL CAP'!$B$4:$Y$1038,24,)</f>
        <v>-3</v>
      </c>
    </row>
    <row r="12" spans="1:25" ht="15.75" customHeight="1">
      <c r="A12" s="99">
        <v>500031</v>
      </c>
      <c r="B12" s="98" t="s">
        <v>4229</v>
      </c>
      <c r="C12" s="101" t="str">
        <f>VLOOKUP(A12,'BSE ALL CAP'!$B$4:$Y$1038,2,)</f>
        <v>Consumer Discretionary</v>
      </c>
      <c r="D12" s="101" t="str">
        <f>VLOOKUP(A12,'BSE ALL CAP'!$B$4:$Y$1038,3,)</f>
        <v>Household Appliances</v>
      </c>
      <c r="E12" s="101">
        <f ca="1">IFERROR(__xludf.DUMMYFUNCTION("GOOGLEFINANCE(""BOM:""&amp;A12,""PRICE"")"),351)</f>
        <v>351</v>
      </c>
      <c r="F12" s="112">
        <f ca="1">IFERROR(__xludf.DUMMYFUNCTION("GOOGLEFINANCE(""BOM:""&amp;A12,""MARKETCAP"")/10000000"),4062.3294526)</f>
        <v>4062.3294526</v>
      </c>
      <c r="G12" s="95">
        <f t="shared" ca="1" si="0"/>
        <v>1.4821517393811373E-2</v>
      </c>
      <c r="H12" s="101">
        <f>VLOOKUP(A12,'BSE ALL CAP'!$B$4:$Y$1038,7,)</f>
        <v>3210</v>
      </c>
      <c r="I12" s="101">
        <f>VLOOKUP(A12,'BSE ALL CAP'!$B$4:$Y$1038,8,)</f>
        <v>5553</v>
      </c>
      <c r="J12" s="101">
        <f>VLOOKUP(A12,'BSE ALL CAP'!$B$4:$Y$1038,9,)</f>
        <v>-23</v>
      </c>
      <c r="K12" s="101">
        <f>VLOOKUP(A12,'BSE ALL CAP'!$B$4:$Y$1038,10,)</f>
        <v>74</v>
      </c>
      <c r="L12" s="101">
        <f>VLOOKUP(A12,'BSE ALL CAP'!$B$4:$Y$1038,11,)</f>
        <v>1048</v>
      </c>
      <c r="M12" s="101">
        <f>VLOOKUP(A12,'BSE ALL CAP'!$B$4:$Y$1038,12,)</f>
        <v>1286</v>
      </c>
      <c r="N12" s="101">
        <f>VLOOKUP(A12,'BSE ALL CAP'!$B$4:$Y$1038,13,)</f>
        <v>-34</v>
      </c>
      <c r="O12" s="101">
        <f>VLOOKUP(A12,'BSE ALL CAP'!$B$4:$Y$1038,14,)</f>
        <v>33</v>
      </c>
      <c r="P12" s="95">
        <f>VLOOKUP(A12,'BSE ALL CAP'!$B$4:$Y$1038,15,)</f>
        <v>-7.1651090342679125E-3</v>
      </c>
      <c r="Q12" s="95">
        <f>VLOOKUP(A12,'BSE ALL CAP'!$B$4:$Y$1038,16,)</f>
        <v>1.3326130019809113E-2</v>
      </c>
      <c r="R12" s="95">
        <f>VLOOKUP(A12,'BSE ALL CAP'!$B$4:$Y$1038,17,)</f>
        <v>-2.0491239054077025E-2</v>
      </c>
      <c r="S12" s="95">
        <f>VLOOKUP(A12,'BSE ALL CAP'!$B$4:$Y$1038,18,)</f>
        <v>-3.2442748091603052E-2</v>
      </c>
      <c r="T12" s="95">
        <f>VLOOKUP(A12,'BSE ALL CAP'!$B$4:$Y$1038,19,)</f>
        <v>2.5660964230171075E-2</v>
      </c>
      <c r="U12" s="95">
        <f>VLOOKUP(A12,'BSE ALL CAP'!$B$4:$Y$1038,20,)</f>
        <v>-5.8103712321774123E-2</v>
      </c>
      <c r="V12" s="95">
        <f>VLOOKUP(A12,'BSE ALL CAP'!$B$4:$Y$1038,21,)</f>
        <v>-0.42193408968125334</v>
      </c>
      <c r="W12" s="95">
        <f>VLOOKUP(A12,'BSE ALL CAP'!$B$4:$Y$1038,22,)</f>
        <v>-1.3108108108108107</v>
      </c>
      <c r="X12" s="95">
        <f>VLOOKUP(A12,'BSE ALL CAP'!$B$4:$Y$1038,23,)</f>
        <v>-0.18506998444790046</v>
      </c>
      <c r="Y12" s="95">
        <f>VLOOKUP(A12,'BSE ALL CAP'!$B$4:$Y$1038,24,)</f>
        <v>-2.0303030303030303</v>
      </c>
    </row>
    <row r="13" spans="1:25" ht="15.75" customHeight="1">
      <c r="A13" s="99">
        <v>505726</v>
      </c>
      <c r="B13" s="98" t="s">
        <v>4230</v>
      </c>
      <c r="C13" s="101" t="str">
        <f>VLOOKUP(A13,'BSE ALL CAP'!$B$4:$Y$1038,2,)</f>
        <v>Consumer Discretionary</v>
      </c>
      <c r="D13" s="101" t="str">
        <f>VLOOKUP(A13,'BSE ALL CAP'!$B$4:$Y$1038,3,)</f>
        <v>Household Appliances</v>
      </c>
      <c r="E13" s="101">
        <f ca="1">IFERROR(__xludf.DUMMYFUNCTION("GOOGLEFINANCE(""BOM:""&amp;A13,""PRICE"")"),962.5)</f>
        <v>962.5</v>
      </c>
      <c r="F13" s="112">
        <f ca="1">IFERROR(__xludf.DUMMYFUNCTION("GOOGLEFINANCE(""BOM:""&amp;A13,""MARKETCAP"")/10000000"),3893.587775)</f>
        <v>3893.587775</v>
      </c>
      <c r="G13" s="95">
        <f t="shared" ca="1" si="0"/>
        <v>1.4205858880933104E-2</v>
      </c>
      <c r="H13" s="101">
        <f>VLOOKUP(A13,'BSE ALL CAP'!$B$4:$Y$1038,7,)</f>
        <v>4145</v>
      </c>
      <c r="I13" s="101">
        <f>VLOOKUP(A13,'BSE ALL CAP'!$B$4:$Y$1038,8,)</f>
        <v>3781</v>
      </c>
      <c r="J13" s="101">
        <f>VLOOKUP(A13,'BSE ALL CAP'!$B$4:$Y$1038,9,)</f>
        <v>101</v>
      </c>
      <c r="K13" s="101">
        <f>VLOOKUP(A13,'BSE ALL CAP'!$B$4:$Y$1038,10,)</f>
        <v>100</v>
      </c>
      <c r="L13" s="101">
        <f>VLOOKUP(A13,'BSE ALL CAP'!$B$4:$Y$1038,11,)</f>
        <v>1419</v>
      </c>
      <c r="M13" s="101">
        <f>VLOOKUP(A13,'BSE ALL CAP'!$B$4:$Y$1038,12,)</f>
        <v>1273</v>
      </c>
      <c r="N13" s="101">
        <f>VLOOKUP(A13,'BSE ALL CAP'!$B$4:$Y$1038,13,)</f>
        <v>24</v>
      </c>
      <c r="O13" s="101">
        <f>VLOOKUP(A13,'BSE ALL CAP'!$B$4:$Y$1038,14,)</f>
        <v>31</v>
      </c>
      <c r="P13" s="95">
        <f>VLOOKUP(A13,'BSE ALL CAP'!$B$4:$Y$1038,15,)</f>
        <v>2.4366706875753919E-2</v>
      </c>
      <c r="Q13" s="95">
        <f>VLOOKUP(A13,'BSE ALL CAP'!$B$4:$Y$1038,16,)</f>
        <v>2.6448029621793177E-2</v>
      </c>
      <c r="R13" s="95">
        <f>VLOOKUP(A13,'BSE ALL CAP'!$B$4:$Y$1038,17,)</f>
        <v>-2.0813227460392582E-3</v>
      </c>
      <c r="S13" s="95">
        <f>VLOOKUP(A13,'BSE ALL CAP'!$B$4:$Y$1038,18,)</f>
        <v>1.6913319238900635E-2</v>
      </c>
      <c r="T13" s="95">
        <f>VLOOKUP(A13,'BSE ALL CAP'!$B$4:$Y$1038,19,)</f>
        <v>2.4351924587588374E-2</v>
      </c>
      <c r="U13" s="95">
        <f>VLOOKUP(A13,'BSE ALL CAP'!$B$4:$Y$1038,20,)</f>
        <v>-7.4386053486877393E-3</v>
      </c>
      <c r="V13" s="95">
        <f>VLOOKUP(A13,'BSE ALL CAP'!$B$4:$Y$1038,21,)</f>
        <v>9.6270827823327076E-2</v>
      </c>
      <c r="W13" s="95">
        <f>VLOOKUP(A13,'BSE ALL CAP'!$B$4:$Y$1038,22,)</f>
        <v>1.0000000000000009E-2</v>
      </c>
      <c r="X13" s="95">
        <f>VLOOKUP(A13,'BSE ALL CAP'!$B$4:$Y$1038,23,)</f>
        <v>0.11468970934799683</v>
      </c>
      <c r="Y13" s="95">
        <f>VLOOKUP(A13,'BSE ALL CAP'!$B$4:$Y$1038,24,)</f>
        <v>-0.22580645161290325</v>
      </c>
    </row>
    <row r="14" spans="1:25" ht="15.75" customHeight="1">
      <c r="A14" s="99">
        <v>541301</v>
      </c>
      <c r="B14" s="98" t="s">
        <v>4231</v>
      </c>
      <c r="C14" s="101" t="str">
        <f>VLOOKUP(A14,'BSE ALL CAP'!$B$4:$Y$1038,2,)</f>
        <v>Consumer Discretionary</v>
      </c>
      <c r="D14" s="101" t="str">
        <f>VLOOKUP(A14,'BSE ALL CAP'!$B$4:$Y$1038,3,)</f>
        <v>Household Appliances</v>
      </c>
      <c r="E14" s="101">
        <f ca="1">IFERROR(__xludf.DUMMYFUNCTION("GOOGLEFINANCE(""BOM:""&amp;A14,""PRICE"")"),161.1)</f>
        <v>161.1</v>
      </c>
      <c r="F14" s="112">
        <f ca="1">IFERROR(__xludf.DUMMYFUNCTION("GOOGLEFINANCE(""BOM:""&amp;A14,""MARKETCAP"")/10000000"),3427.0813754)</f>
        <v>3427.0813754000001</v>
      </c>
      <c r="G14" s="95">
        <f t="shared" ca="1" si="0"/>
        <v>1.2503797835251455E-2</v>
      </c>
      <c r="H14" s="101">
        <f>VLOOKUP(A14,'BSE ALL CAP'!$B$4:$Y$1038,7,)</f>
        <v>2378</v>
      </c>
      <c r="I14" s="101">
        <f>VLOOKUP(A14,'BSE ALL CAP'!$B$4:$Y$1038,8,)</f>
        <v>2231</v>
      </c>
      <c r="J14" s="101">
        <f>VLOOKUP(A14,'BSE ALL CAP'!$B$4:$Y$1038,9,)</f>
        <v>55</v>
      </c>
      <c r="K14" s="101">
        <f>VLOOKUP(A14,'BSE ALL CAP'!$B$4:$Y$1038,10,)</f>
        <v>51</v>
      </c>
      <c r="L14" s="101">
        <f>VLOOKUP(A14,'BSE ALL CAP'!$B$4:$Y$1038,11,)</f>
        <v>906</v>
      </c>
      <c r="M14" s="101">
        <f>VLOOKUP(A14,'BSE ALL CAP'!$B$4:$Y$1038,12,)</f>
        <v>816</v>
      </c>
      <c r="N14" s="101">
        <f>VLOOKUP(A14,'BSE ALL CAP'!$B$4:$Y$1038,13,)</f>
        <v>25</v>
      </c>
      <c r="O14" s="101">
        <f>VLOOKUP(A14,'BSE ALL CAP'!$B$4:$Y$1038,14,)</f>
        <v>27</v>
      </c>
      <c r="P14" s="95">
        <f>VLOOKUP(A14,'BSE ALL CAP'!$B$4:$Y$1038,15,)</f>
        <v>2.3128679562657694E-2</v>
      </c>
      <c r="Q14" s="95">
        <f>VLOOKUP(A14,'BSE ALL CAP'!$B$4:$Y$1038,16,)</f>
        <v>2.2859704168534289E-2</v>
      </c>
      <c r="R14" s="95">
        <f>VLOOKUP(A14,'BSE ALL CAP'!$B$4:$Y$1038,17,)</f>
        <v>2.6897539412340521E-4</v>
      </c>
      <c r="S14" s="95">
        <f>VLOOKUP(A14,'BSE ALL CAP'!$B$4:$Y$1038,18,)</f>
        <v>2.759381898454746E-2</v>
      </c>
      <c r="T14" s="95">
        <f>VLOOKUP(A14,'BSE ALL CAP'!$B$4:$Y$1038,19,)</f>
        <v>3.3088235294117647E-2</v>
      </c>
      <c r="U14" s="95">
        <f>VLOOKUP(A14,'BSE ALL CAP'!$B$4:$Y$1038,20,)</f>
        <v>-5.4944163095701874E-3</v>
      </c>
      <c r="V14" s="95">
        <f>VLOOKUP(A14,'BSE ALL CAP'!$B$4:$Y$1038,21,)</f>
        <v>6.5889735544598871E-2</v>
      </c>
      <c r="W14" s="95">
        <f>VLOOKUP(A14,'BSE ALL CAP'!$B$4:$Y$1038,22,)</f>
        <v>7.8431372549019551E-2</v>
      </c>
      <c r="X14" s="95">
        <f>VLOOKUP(A14,'BSE ALL CAP'!$B$4:$Y$1038,23,)</f>
        <v>0.11029411764705888</v>
      </c>
      <c r="Y14" s="95">
        <f>VLOOKUP(A14,'BSE ALL CAP'!$B$4:$Y$1038,24,)</f>
        <v>-7.407407407407407E-2</v>
      </c>
    </row>
    <row r="15" spans="1:25" ht="15.75" customHeight="1">
      <c r="A15" s="99">
        <v>523398</v>
      </c>
      <c r="B15" s="98" t="s">
        <v>4232</v>
      </c>
      <c r="C15" s="101" t="str">
        <f>VLOOKUP(A15,'BSE ALL CAP'!$B$4:$Y$1038,2,)</f>
        <v>Consumer Discretionary</v>
      </c>
      <c r="D15" s="101" t="str">
        <f>VLOOKUP(A15,'BSE ALL CAP'!$B$4:$Y$1038,3,)</f>
        <v>Household Appliances</v>
      </c>
      <c r="E15" s="101">
        <f ca="1">IFERROR(__xludf.DUMMYFUNCTION("GOOGLEFINANCE(""BOM:""&amp;A15,""PRICE"")"),1159.3)</f>
        <v>1159.3</v>
      </c>
      <c r="F15" s="112">
        <f ca="1">IFERROR(__xludf.DUMMYFUNCTION("GOOGLEFINANCE(""BOM:""&amp;A15,""MARKETCAP"")/10000000"),3159.8520984)</f>
        <v>3159.8520984000002</v>
      </c>
      <c r="G15" s="95">
        <f t="shared" ca="1" si="0"/>
        <v>1.1528804688239178E-2</v>
      </c>
      <c r="H15" s="101">
        <f>VLOOKUP(A15,'BSE ALL CAP'!$B$4:$Y$1038,7,)</f>
        <v>1752</v>
      </c>
      <c r="I15" s="101">
        <f>VLOOKUP(A15,'BSE ALL CAP'!$B$4:$Y$1038,8,)</f>
        <v>1846</v>
      </c>
      <c r="J15" s="101">
        <f>VLOOKUP(A15,'BSE ALL CAP'!$B$4:$Y$1038,9,)</f>
        <v>-43</v>
      </c>
      <c r="K15" s="101">
        <f>VLOOKUP(A15,'BSE ALL CAP'!$B$4:$Y$1038,10,)</f>
        <v>2</v>
      </c>
      <c r="L15" s="101">
        <f>VLOOKUP(A15,'BSE ALL CAP'!$B$4:$Y$1038,11,)</f>
        <v>477</v>
      </c>
      <c r="M15" s="101">
        <f>VLOOKUP(A15,'BSE ALL CAP'!$B$4:$Y$1038,12,)</f>
        <v>436</v>
      </c>
      <c r="N15" s="101">
        <f>VLOOKUP(A15,'BSE ALL CAP'!$B$4:$Y$1038,13,)</f>
        <v>-19</v>
      </c>
      <c r="O15" s="101">
        <f>VLOOKUP(A15,'BSE ALL CAP'!$B$4:$Y$1038,14,)</f>
        <v>-3</v>
      </c>
      <c r="P15" s="95">
        <f>VLOOKUP(A15,'BSE ALL CAP'!$B$4:$Y$1038,15,)</f>
        <v>-2.4543378995433789E-2</v>
      </c>
      <c r="Q15" s="95">
        <f>VLOOKUP(A15,'BSE ALL CAP'!$B$4:$Y$1038,16,)</f>
        <v>1.0834236186348862E-3</v>
      </c>
      <c r="R15" s="95">
        <f>VLOOKUP(A15,'BSE ALL CAP'!$B$4:$Y$1038,17,)</f>
        <v>-2.5626802614068675E-2</v>
      </c>
      <c r="S15" s="95">
        <f>VLOOKUP(A15,'BSE ALL CAP'!$B$4:$Y$1038,18,)</f>
        <v>-3.9832285115303984E-2</v>
      </c>
      <c r="T15" s="95">
        <f>VLOOKUP(A15,'BSE ALL CAP'!$B$4:$Y$1038,19,)</f>
        <v>-6.8807339449541288E-3</v>
      </c>
      <c r="U15" s="95">
        <f>VLOOKUP(A15,'BSE ALL CAP'!$B$4:$Y$1038,20,)</f>
        <v>-3.2951551170349855E-2</v>
      </c>
      <c r="V15" s="95">
        <f>VLOOKUP(A15,'BSE ALL CAP'!$B$4:$Y$1038,21,)</f>
        <v>-5.0920910075839654E-2</v>
      </c>
      <c r="W15" s="95">
        <f>VLOOKUP(A15,'BSE ALL CAP'!$B$4:$Y$1038,22,)</f>
        <v>-22.5</v>
      </c>
      <c r="X15" s="95">
        <f>VLOOKUP(A15,'BSE ALL CAP'!$B$4:$Y$1038,23,)</f>
        <v>9.4036697247706469E-2</v>
      </c>
      <c r="Y15" s="95">
        <f>VLOOKUP(A15,'BSE ALL CAP'!$B$4:$Y$1038,24,)</f>
        <v>5.333333333333333</v>
      </c>
    </row>
    <row r="16" spans="1:25" ht="15.75" customHeight="1">
      <c r="A16" s="99">
        <v>524091</v>
      </c>
      <c r="B16" s="98" t="s">
        <v>4233</v>
      </c>
      <c r="C16" s="101" t="str">
        <f>VLOOKUP(A16,'BSE ALL CAP'!$B$4:$Y$1038,2,)</f>
        <v>Consumer Discretionary</v>
      </c>
      <c r="D16" s="101" t="str">
        <f>VLOOKUP(A16,'BSE ALL CAP'!$B$4:$Y$1038,3,)</f>
        <v>Household Appliances</v>
      </c>
      <c r="E16" s="101">
        <f ca="1">IFERROR(__xludf.DUMMYFUNCTION("GOOGLEFINANCE(""BOM:""&amp;A16,""PRICE"")"),811.95)</f>
        <v>811.95</v>
      </c>
      <c r="F16" s="112">
        <f ca="1">IFERROR(__xludf.DUMMYFUNCTION("GOOGLEFINANCE(""BOM:""&amp;A16,""MARKETCAP"")/10000000"),2302.7128265)</f>
        <v>2302.7128265000001</v>
      </c>
      <c r="G16" s="95">
        <f t="shared" ca="1" si="0"/>
        <v>8.4015091855926122E-3</v>
      </c>
      <c r="H16" s="101">
        <f>VLOOKUP(A16,'BSE ALL CAP'!$B$4:$Y$1038,7,)</f>
        <v>699</v>
      </c>
      <c r="I16" s="101">
        <f>VLOOKUP(A16,'BSE ALL CAP'!$B$4:$Y$1038,8,)</f>
        <v>619</v>
      </c>
      <c r="J16" s="101">
        <f>VLOOKUP(A16,'BSE ALL CAP'!$B$4:$Y$1038,9,)</f>
        <v>72</v>
      </c>
      <c r="K16" s="101">
        <f>VLOOKUP(A16,'BSE ALL CAP'!$B$4:$Y$1038,10,)</f>
        <v>45</v>
      </c>
      <c r="L16" s="101">
        <f>VLOOKUP(A16,'BSE ALL CAP'!$B$4:$Y$1038,11,)</f>
        <v>227</v>
      </c>
      <c r="M16" s="101">
        <f>VLOOKUP(A16,'BSE ALL CAP'!$B$4:$Y$1038,12,)</f>
        <v>207</v>
      </c>
      <c r="N16" s="101">
        <f>VLOOKUP(A16,'BSE ALL CAP'!$B$4:$Y$1038,13,)</f>
        <v>21</v>
      </c>
      <c r="O16" s="101">
        <f>VLOOKUP(A16,'BSE ALL CAP'!$B$4:$Y$1038,14,)</f>
        <v>53</v>
      </c>
      <c r="P16" s="95">
        <f>VLOOKUP(A16,'BSE ALL CAP'!$B$4:$Y$1038,15,)</f>
        <v>0.10300429184549356</v>
      </c>
      <c r="Q16" s="95">
        <f>VLOOKUP(A16,'BSE ALL CAP'!$B$4:$Y$1038,16,)</f>
        <v>7.2697899838449112E-2</v>
      </c>
      <c r="R16" s="95">
        <f>VLOOKUP(A16,'BSE ALL CAP'!$B$4:$Y$1038,17,)</f>
        <v>3.030639200704445E-2</v>
      </c>
      <c r="S16" s="95">
        <f>VLOOKUP(A16,'BSE ALL CAP'!$B$4:$Y$1038,18,)</f>
        <v>9.2511013215859028E-2</v>
      </c>
      <c r="T16" s="95">
        <f>VLOOKUP(A16,'BSE ALL CAP'!$B$4:$Y$1038,19,)</f>
        <v>0.2560386473429952</v>
      </c>
      <c r="U16" s="95">
        <f>VLOOKUP(A16,'BSE ALL CAP'!$B$4:$Y$1038,20,)</f>
        <v>-0.16352763412713617</v>
      </c>
      <c r="V16" s="95">
        <f>VLOOKUP(A16,'BSE ALL CAP'!$B$4:$Y$1038,21,)</f>
        <v>0.12924071082390953</v>
      </c>
      <c r="W16" s="95">
        <f>VLOOKUP(A16,'BSE ALL CAP'!$B$4:$Y$1038,22,)</f>
        <v>0.60000000000000009</v>
      </c>
      <c r="X16" s="95">
        <f>VLOOKUP(A16,'BSE ALL CAP'!$B$4:$Y$1038,23,)</f>
        <v>9.661835748792269E-2</v>
      </c>
      <c r="Y16" s="95">
        <f>VLOOKUP(A16,'BSE ALL CAP'!$B$4:$Y$1038,24,)</f>
        <v>-0.60377358490566035</v>
      </c>
    </row>
    <row r="17" spans="1:25" ht="15.75" customHeight="1">
      <c r="A17" s="99">
        <v>544095</v>
      </c>
      <c r="B17" s="98" t="s">
        <v>4234</v>
      </c>
      <c r="C17" s="101" t="str">
        <f>VLOOKUP(A17,'BSE ALL CAP'!$B$4:$Y$1038,2,)</f>
        <v>Consumer Discretionary</v>
      </c>
      <c r="D17" s="101" t="str">
        <f>VLOOKUP(A17,'BSE ALL CAP'!$B$4:$Y$1038,3,)</f>
        <v>Household Appliances</v>
      </c>
      <c r="E17" s="101">
        <f ca="1">IFERROR(__xludf.DUMMYFUNCTION("GOOGLEFINANCE(""BOM:""&amp;A17,""PRICE"")"),217.8)</f>
        <v>217.8</v>
      </c>
      <c r="F17" s="112">
        <f ca="1">IFERROR(__xludf.DUMMYFUNCTION("GOOGLEFINANCE(""BOM:""&amp;A17,""MARKETCAP"")/10000000"),2096.2413909)</f>
        <v>2096.2413909000002</v>
      </c>
      <c r="G17" s="95">
        <f t="shared" ca="1" si="0"/>
        <v>7.6481926439930662E-3</v>
      </c>
      <c r="H17" s="101">
        <f>VLOOKUP(A17,'BSE ALL CAP'!$B$4:$Y$1038,7,)</f>
        <v>1303</v>
      </c>
      <c r="I17" s="101">
        <f>VLOOKUP(A17,'BSE ALL CAP'!$B$4:$Y$1038,8,)</f>
        <v>1527</v>
      </c>
      <c r="J17" s="101">
        <f>VLOOKUP(A17,'BSE ALL CAP'!$B$4:$Y$1038,9,)</f>
        <v>3</v>
      </c>
      <c r="K17" s="101">
        <f>VLOOKUP(A17,'BSE ALL CAP'!$B$4:$Y$1038,10,)</f>
        <v>17</v>
      </c>
      <c r="L17" s="101">
        <f>VLOOKUP(A17,'BSE ALL CAP'!$B$4:$Y$1038,11,)</f>
        <v>427</v>
      </c>
      <c r="M17" s="101">
        <f>VLOOKUP(A17,'BSE ALL CAP'!$B$4:$Y$1038,12,)</f>
        <v>376</v>
      </c>
      <c r="N17" s="101">
        <f>VLOOKUP(A17,'BSE ALL CAP'!$B$4:$Y$1038,13,)</f>
        <v>25</v>
      </c>
      <c r="O17" s="101">
        <f>VLOOKUP(A17,'BSE ALL CAP'!$B$4:$Y$1038,14,)</f>
        <v>25</v>
      </c>
      <c r="P17" s="95">
        <f>VLOOKUP(A17,'BSE ALL CAP'!$B$4:$Y$1038,15,)</f>
        <v>2.3023791250959325E-3</v>
      </c>
      <c r="Q17" s="95">
        <f>VLOOKUP(A17,'BSE ALL CAP'!$B$4:$Y$1038,16,)</f>
        <v>1.1132940406024885E-2</v>
      </c>
      <c r="R17" s="95">
        <f>VLOOKUP(A17,'BSE ALL CAP'!$B$4:$Y$1038,17,)</f>
        <v>-8.8305612809289526E-3</v>
      </c>
      <c r="S17" s="95">
        <f>VLOOKUP(A17,'BSE ALL CAP'!$B$4:$Y$1038,18,)</f>
        <v>5.8548009367681501E-2</v>
      </c>
      <c r="T17" s="95">
        <f>VLOOKUP(A17,'BSE ALL CAP'!$B$4:$Y$1038,19,)</f>
        <v>6.6489361702127658E-2</v>
      </c>
      <c r="U17" s="95">
        <f>VLOOKUP(A17,'BSE ALL CAP'!$B$4:$Y$1038,20,)</f>
        <v>-7.941352334446157E-3</v>
      </c>
      <c r="V17" s="95">
        <f>VLOOKUP(A17,'BSE ALL CAP'!$B$4:$Y$1038,21,)</f>
        <v>-0.14669286182056318</v>
      </c>
      <c r="W17" s="95">
        <f>VLOOKUP(A17,'BSE ALL CAP'!$B$4:$Y$1038,22,)</f>
        <v>-0.82352941176470584</v>
      </c>
      <c r="X17" s="95">
        <f>VLOOKUP(A17,'BSE ALL CAP'!$B$4:$Y$1038,23,)</f>
        <v>0.1356382978723405</v>
      </c>
      <c r="Y17" s="95">
        <f>VLOOKUP(A17,'BSE ALL CAP'!$B$4:$Y$1038,24,)</f>
        <v>0</v>
      </c>
    </row>
    <row r="18" spans="1:25" ht="15.75" customHeight="1">
      <c r="A18" s="99">
        <v>543449</v>
      </c>
      <c r="B18" s="98" t="s">
        <v>4235</v>
      </c>
      <c r="C18" s="101"/>
      <c r="D18" s="101"/>
      <c r="E18" s="101">
        <f ca="1">IFERROR(__xludf.DUMMYFUNCTION("GOOGLEFINANCE(""BOM:""&amp;A18,""PRICE"")"),79.5)</f>
        <v>79.5</v>
      </c>
      <c r="F18" s="112">
        <f ca="1">IFERROR(__xludf.DUMMYFUNCTION("GOOGLEFINANCE(""BOM:""&amp;A18,""MARKETCAP"")/10000000"),1064.6927246)</f>
        <v>1064.6927246</v>
      </c>
      <c r="G18" s="95">
        <f t="shared" ca="1" si="0"/>
        <v>3.88455981250449E-3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543260</v>
      </c>
      <c r="B19" s="98" t="s">
        <v>4236</v>
      </c>
      <c r="C19" s="101"/>
      <c r="D19" s="101"/>
      <c r="E19" s="101">
        <f ca="1">IFERROR(__xludf.DUMMYFUNCTION("GOOGLEFINANCE(""BOM:""&amp;A19,""PRICE"")"),484.15)</f>
        <v>484.15</v>
      </c>
      <c r="F19" s="112">
        <f ca="1">IFERROR(__xludf.DUMMYFUNCTION("GOOGLEFINANCE(""BOM:""&amp;A19,""MARKETCAP"")/10000000"),1601.7316173)</f>
        <v>1601.7316172999999</v>
      </c>
      <c r="G19" s="95">
        <f t="shared" ca="1" si="0"/>
        <v>5.8439605411213695E-3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517421</v>
      </c>
      <c r="B20" s="98" t="s">
        <v>4237</v>
      </c>
      <c r="C20" s="101"/>
      <c r="D20" s="101"/>
      <c r="E20" s="101">
        <f ca="1">IFERROR(__xludf.DUMMYFUNCTION("GOOGLEFINANCE(""BOM:""&amp;A20,""PRICE"")"),613.5)</f>
        <v>613.5</v>
      </c>
      <c r="F20" s="112">
        <f ca="1">IFERROR(__xludf.DUMMYFUNCTION("GOOGLEFINANCE(""BOM:""&amp;A20,""MARKETCAP"")/10000000"),1095.1224375)</f>
        <v>1095.1224374999999</v>
      </c>
      <c r="G20" s="95">
        <f t="shared" ca="1" si="0"/>
        <v>3.9955834319077297E-3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543725</v>
      </c>
      <c r="B21" s="98" t="s">
        <v>4238</v>
      </c>
      <c r="C21" s="101"/>
      <c r="D21" s="101"/>
      <c r="E21" s="101">
        <f ca="1">IFERROR(__xludf.DUMMYFUNCTION("GOOGLEFINANCE(""BOM:""&amp;A21,""PRICE"")"),109.75)</f>
        <v>109.75</v>
      </c>
      <c r="F21" s="112">
        <f ca="1">IFERROR(__xludf.DUMMYFUNCTION("GOOGLEFINANCE(""BOM:""&amp;A21,""MARKETCAP"")/10000000"),546.2048957)</f>
        <v>546.20489569999995</v>
      </c>
      <c r="G21" s="95">
        <f t="shared" ca="1" si="0"/>
        <v>1.9928431351182224E-3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502865</v>
      </c>
      <c r="B22" s="98" t="s">
        <v>4239</v>
      </c>
      <c r="C22" s="101"/>
      <c r="D22" s="101"/>
      <c r="E22" s="101">
        <f ca="1">IFERROR(__xludf.DUMMYFUNCTION("GOOGLEFINANCE(""BOM:""&amp;A22,""PRICE"")"),324)</f>
        <v>324</v>
      </c>
      <c r="F22" s="112">
        <f ca="1">IFERROR(__xludf.DUMMYFUNCTION("GOOGLEFINANCE(""BOM:""&amp;A22,""MARKETCAP"")/10000000"),417.914964)</f>
        <v>417.914964</v>
      </c>
      <c r="G22" s="95">
        <f t="shared" ca="1" si="0"/>
        <v>1.5247738964390596E-3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505729</v>
      </c>
      <c r="B23" s="98" t="s">
        <v>4240</v>
      </c>
      <c r="C23" s="101"/>
      <c r="D23" s="101"/>
      <c r="E23" s="101" t="str">
        <f ca="1">IFERROR(__xludf.DUMMYFUNCTION("GOOGLEFINANCE(""BOM:""&amp;A23,""PRICE"")"),"#N/A")</f>
        <v>#N/A</v>
      </c>
      <c r="F23" s="112"/>
      <c r="G23" s="95">
        <f t="shared" ca="1" si="0"/>
        <v>0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544170</v>
      </c>
      <c r="B24" s="98" t="s">
        <v>4241</v>
      </c>
      <c r="C24" s="101"/>
      <c r="D24" s="101"/>
      <c r="E24" s="101">
        <f ca="1">IFERROR(__xludf.DUMMYFUNCTION("GOOGLEFINANCE(""BOM:""&amp;A24,""PRICE"")"),19.37)</f>
        <v>19.37</v>
      </c>
      <c r="F24" s="112">
        <f ca="1">IFERROR(__xludf.DUMMYFUNCTION("GOOGLEFINANCE(""BOM:""&amp;A24,""MARKETCAP"")/10000000"),25.680166)</f>
        <v>25.680166</v>
      </c>
      <c r="G24" s="95">
        <f t="shared" ca="1" si="0"/>
        <v>9.36947708171126E-5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505840</v>
      </c>
      <c r="B25" s="98" t="s">
        <v>4242</v>
      </c>
      <c r="C25" s="101"/>
      <c r="D25" s="101"/>
      <c r="E25" s="101">
        <f ca="1">IFERROR(__xludf.DUMMYFUNCTION("GOOGLEFINANCE(""BOM:""&amp;A25,""PRICE"")"),25.21)</f>
        <v>25.21</v>
      </c>
      <c r="F25" s="112">
        <f ca="1">IFERROR(__xludf.DUMMYFUNCTION("GOOGLEFINANCE(""BOM:""&amp;A25,""MARKETCAP"")/10000000"),15.3776986)</f>
        <v>15.3776986</v>
      </c>
      <c r="G25" s="95">
        <f t="shared" ca="1" si="0"/>
        <v>5.6105943630646047E-5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3.2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3.2">
      <c r="A27" s="101"/>
      <c r="B27" s="101"/>
      <c r="C27" s="101"/>
      <c r="D27" s="101"/>
      <c r="E27" s="101"/>
      <c r="F27" s="112">
        <f t="shared" ref="F27:O27" ca="1" si="1">SUM(F2:F25)</f>
        <v>274083.2361939</v>
      </c>
      <c r="G27" s="95">
        <f t="shared" ca="1" si="1"/>
        <v>0.99999999999999989</v>
      </c>
      <c r="H27" s="101">
        <f t="shared" si="1"/>
        <v>76091</v>
      </c>
      <c r="I27" s="101">
        <f t="shared" si="1"/>
        <v>77425</v>
      </c>
      <c r="J27" s="101">
        <f t="shared" si="1"/>
        <v>2762</v>
      </c>
      <c r="K27" s="101">
        <f t="shared" si="1"/>
        <v>4080</v>
      </c>
      <c r="L27" s="101">
        <f t="shared" si="1"/>
        <v>24107</v>
      </c>
      <c r="M27" s="101">
        <f t="shared" si="1"/>
        <v>22953</v>
      </c>
      <c r="N27" s="101">
        <f t="shared" si="1"/>
        <v>519</v>
      </c>
      <c r="O27" s="101">
        <f t="shared" si="1"/>
        <v>979</v>
      </c>
      <c r="P27" s="95">
        <f t="shared" ref="P27:Q27" si="2">J27/H27</f>
        <v>3.6298642415003086E-2</v>
      </c>
      <c r="Q27" s="95">
        <f t="shared" si="2"/>
        <v>5.2696157571843719E-2</v>
      </c>
      <c r="R27" s="95">
        <f>P27-Q27</f>
        <v>-1.6397515156840632E-2</v>
      </c>
      <c r="S27" s="95">
        <f t="shared" ref="S27:T27" si="3">N27/L27</f>
        <v>2.1529016468245739E-2</v>
      </c>
      <c r="T27" s="95">
        <f t="shared" si="3"/>
        <v>4.2652376595651985E-2</v>
      </c>
      <c r="U27" s="95">
        <f>S27-T27</f>
        <v>-2.1123360127406246E-2</v>
      </c>
      <c r="V27" s="95">
        <f>(H27/I27)-1</f>
        <v>-1.7229577010009711E-2</v>
      </c>
      <c r="W27" s="95">
        <f>(J27/K27)-1</f>
        <v>-0.32303921568627447</v>
      </c>
      <c r="X27" s="95">
        <f>(L27/M27)-1</f>
        <v>5.0276652289461099E-2</v>
      </c>
      <c r="Y27" s="95">
        <f>(N27/O27)-1</f>
        <v>-0.46986721144024512</v>
      </c>
    </row>
  </sheetData>
  <autoFilter ref="A1:Y25" xr:uid="{00000000-0009-0000-0000-000079000000}"/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outlinePr summaryBelow="0" summaryRight="0"/>
  </sheetPr>
  <dimension ref="A1:Y4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500002</v>
      </c>
      <c r="B2" s="98" t="s">
        <v>1391</v>
      </c>
      <c r="C2" s="101" t="str">
        <f>VLOOKUP(A2,'BSE ALL CAP'!$B$4:$Y$1038,2,)</f>
        <v>Industrials</v>
      </c>
      <c r="D2" s="101" t="str">
        <f>VLOOKUP(A2,'BSE ALL CAP'!$B$4:$Y$1038,3,)</f>
        <v>Heavy Electrical Equipment</v>
      </c>
      <c r="E2" s="101">
        <f ca="1">IFERROR(__xludf.DUMMYFUNCTION("GOOGLEFINANCE(""BOM:""&amp;A2,""PRICE"")"),6177.5)</f>
        <v>6177.5</v>
      </c>
      <c r="F2" s="112">
        <f ca="1">IFERROR(__xludf.DUMMYFUNCTION("GOOGLEFINANCE(""BOM:""&amp;A2,""MARKETCAP"")/10000000"),130959.3294)</f>
        <v>130959.3294</v>
      </c>
      <c r="G2" s="95">
        <f t="shared" ref="G2:G38" ca="1" si="0">F2/$F$40</f>
        <v>0.13526123034158766</v>
      </c>
      <c r="H2" s="101">
        <f>VLOOKUP(A2,'BSE ALL CAP'!$B$4:$Y$1038,7,)</f>
        <v>13202</v>
      </c>
      <c r="I2" s="101">
        <f>VLOOKUP(A2,'BSE ALL CAP'!$B$4:$Y$1038,8,)</f>
        <v>12188</v>
      </c>
      <c r="J2" s="101">
        <f>VLOOKUP(A2,'BSE ALL CAP'!$B$4:$Y$1038,9,)</f>
        <v>1668</v>
      </c>
      <c r="K2" s="101">
        <f>VLOOKUP(A2,'BSE ALL CAP'!$B$4:$Y$1038,10,)</f>
        <v>1871</v>
      </c>
      <c r="L2" s="101">
        <f>VLOOKUP(A2,'BSE ALL CAP'!$B$4:$Y$1038,11,)</f>
        <v>3557</v>
      </c>
      <c r="M2" s="101">
        <f>VLOOKUP(A2,'BSE ALL CAP'!$B$4:$Y$1038,12,)</f>
        <v>3365</v>
      </c>
      <c r="N2" s="101">
        <f>VLOOKUP(A2,'BSE ALL CAP'!$B$4:$Y$1038,13,)</f>
        <v>433</v>
      </c>
      <c r="O2" s="101">
        <f>VLOOKUP(A2,'BSE ALL CAP'!$B$4:$Y$1038,14,)</f>
        <v>528</v>
      </c>
      <c r="P2" s="95">
        <f>VLOOKUP(A2,'BSE ALL CAP'!$B$4:$Y$1038,15,)</f>
        <v>0.12634449325859717</v>
      </c>
      <c r="Q2" s="95">
        <f>VLOOKUP(A2,'BSE ALL CAP'!$B$4:$Y$1038,16,)</f>
        <v>0.15351165080406959</v>
      </c>
      <c r="R2" s="95">
        <f>VLOOKUP(A2,'BSE ALL CAP'!$B$4:$Y$1038,17,)</f>
        <v>-2.7167157545472415E-2</v>
      </c>
      <c r="S2" s="95">
        <f>VLOOKUP(A2,'BSE ALL CAP'!$B$4:$Y$1038,18,)</f>
        <v>0.12173179645768907</v>
      </c>
      <c r="T2" s="95">
        <f>VLOOKUP(A2,'BSE ALL CAP'!$B$4:$Y$1038,19,)</f>
        <v>0.15690936106983655</v>
      </c>
      <c r="U2" s="95">
        <f>VLOOKUP(A2,'BSE ALL CAP'!$B$4:$Y$1038,20,)</f>
        <v>-3.517756461214748E-2</v>
      </c>
      <c r="V2" s="95">
        <f>VLOOKUP(A2,'BSE ALL CAP'!$B$4:$Y$1038,21,)</f>
        <v>8.3196586806695061E-2</v>
      </c>
      <c r="W2" s="95">
        <f>VLOOKUP(A2,'BSE ALL CAP'!$B$4:$Y$1038,22,)</f>
        <v>-0.1084981293425975</v>
      </c>
      <c r="X2" s="95">
        <f>VLOOKUP(A2,'BSE ALL CAP'!$B$4:$Y$1038,23,)</f>
        <v>5.7057949479940584E-2</v>
      </c>
      <c r="Y2" s="95">
        <f>VLOOKUP(A2,'BSE ALL CAP'!$B$4:$Y$1038,24,)</f>
        <v>-0.17992424242424243</v>
      </c>
    </row>
    <row r="3" spans="1:25" ht="15.75" customHeight="1">
      <c r="A3" s="99">
        <v>500550</v>
      </c>
      <c r="B3" s="98" t="s">
        <v>1394</v>
      </c>
      <c r="C3" s="101" t="str">
        <f>VLOOKUP(A3,'BSE ALL CAP'!$B$4:$Y$1038,2,)</f>
        <v>Industrials</v>
      </c>
      <c r="D3" s="101" t="str">
        <f>VLOOKUP(A3,'BSE ALL CAP'!$B$4:$Y$1038,3,)</f>
        <v>Heavy Electrical Equipment</v>
      </c>
      <c r="E3" s="101">
        <f ca="1">IFERROR(__xludf.DUMMYFUNCTION("GOOGLEFINANCE(""BOM:""&amp;A3,""PRICE"")"),3038.25)</f>
        <v>3038.25</v>
      </c>
      <c r="F3" s="112">
        <f ca="1">IFERROR(__xludf.DUMMYFUNCTION("GOOGLEFINANCE(""BOM:""&amp;A3,""MARKETCAP"")/10000000"),108160.2112575)</f>
        <v>108160.21125750001</v>
      </c>
      <c r="G3" s="95">
        <f t="shared" ca="1" si="0"/>
        <v>0.11171318084571293</v>
      </c>
      <c r="H3" s="101">
        <f>VLOOKUP(A3,'BSE ALL CAP'!$B$4:$Y$1038,7,)</f>
        <v>20228</v>
      </c>
      <c r="I3" s="101">
        <f>VLOOKUP(A3,'BSE ALL CAP'!$B$4:$Y$1038,8,)</f>
        <v>15145</v>
      </c>
      <c r="J3" s="101">
        <f>VLOOKUP(A3,'BSE ALL CAP'!$B$4:$Y$1038,9,)</f>
        <v>2383</v>
      </c>
      <c r="K3" s="101">
        <f>VLOOKUP(A3,'BSE ALL CAP'!$B$4:$Y$1038,10,)</f>
        <v>2718</v>
      </c>
      <c r="L3" s="101">
        <f>VLOOKUP(A3,'BSE ALL CAP'!$B$4:$Y$1038,11,)</f>
        <v>3830</v>
      </c>
      <c r="M3" s="101">
        <f>VLOOKUP(A3,'BSE ALL CAP'!$B$4:$Y$1038,12,)</f>
        <v>3360</v>
      </c>
      <c r="N3" s="101">
        <f>VLOOKUP(A3,'BSE ALL CAP'!$B$4:$Y$1038,13,)</f>
        <v>277</v>
      </c>
      <c r="O3" s="101">
        <f>VLOOKUP(A3,'BSE ALL CAP'!$B$4:$Y$1038,14,)</f>
        <v>614</v>
      </c>
      <c r="P3" s="95">
        <f>VLOOKUP(A3,'BSE ALL CAP'!$B$4:$Y$1038,15,)</f>
        <v>0.1178070001977457</v>
      </c>
      <c r="Q3" s="95">
        <f>VLOOKUP(A3,'BSE ALL CAP'!$B$4:$Y$1038,16,)</f>
        <v>0.17946517002310994</v>
      </c>
      <c r="R3" s="95">
        <f>VLOOKUP(A3,'BSE ALL CAP'!$B$4:$Y$1038,17,)</f>
        <v>-6.1658169825364234E-2</v>
      </c>
      <c r="S3" s="95">
        <f>VLOOKUP(A3,'BSE ALL CAP'!$B$4:$Y$1038,18,)</f>
        <v>7.232375979112271E-2</v>
      </c>
      <c r="T3" s="95">
        <f>VLOOKUP(A3,'BSE ALL CAP'!$B$4:$Y$1038,19,)</f>
        <v>0.18273809523809523</v>
      </c>
      <c r="U3" s="95">
        <f>VLOOKUP(A3,'BSE ALL CAP'!$B$4:$Y$1038,20,)</f>
        <v>-0.11041433544697252</v>
      </c>
      <c r="V3" s="95">
        <f>VLOOKUP(A3,'BSE ALL CAP'!$B$4:$Y$1038,21,)</f>
        <v>0.33562231759656647</v>
      </c>
      <c r="W3" s="95">
        <f>VLOOKUP(A3,'BSE ALL CAP'!$B$4:$Y$1038,22,)</f>
        <v>-0.12325239146431199</v>
      </c>
      <c r="X3" s="95">
        <f>VLOOKUP(A3,'BSE ALL CAP'!$B$4:$Y$1038,23,)</f>
        <v>0.13988095238095233</v>
      </c>
      <c r="Y3" s="95">
        <f>VLOOKUP(A3,'BSE ALL CAP'!$B$4:$Y$1038,24,)</f>
        <v>-0.54885993485342022</v>
      </c>
    </row>
    <row r="4" spans="1:25" ht="15.75" customHeight="1">
      <c r="A4" s="99">
        <v>543187</v>
      </c>
      <c r="B4" s="98" t="s">
        <v>4243</v>
      </c>
      <c r="C4" s="101" t="str">
        <f>VLOOKUP(A4,'BSE ALL CAP'!$B$4:$Y$1038,2,)</f>
        <v>Industrials</v>
      </c>
      <c r="D4" s="101" t="str">
        <f>VLOOKUP(A4,'BSE ALL CAP'!$B$4:$Y$1038,3,)</f>
        <v>Heavy Electrical Equipment</v>
      </c>
      <c r="E4" s="101">
        <f ca="1">IFERROR(__xludf.DUMMYFUNCTION("GOOGLEFINANCE(""BOM:""&amp;A4,""PRICE"")"),25104.95)</f>
        <v>25104.95</v>
      </c>
      <c r="F4" s="112">
        <f ca="1">IFERROR(__xludf.DUMMYFUNCTION("GOOGLEFINANCE(""BOM:""&amp;A4,""MARKETCAP"")/10000000"),112683.6649881)</f>
        <v>112683.6649881</v>
      </c>
      <c r="G4" s="95">
        <f t="shared" ca="1" si="0"/>
        <v>0.11638522612723222</v>
      </c>
      <c r="H4" s="101">
        <f>VLOOKUP(A4,'BSE ALL CAP'!$B$4:$Y$1038,7,)</f>
        <v>5393</v>
      </c>
      <c r="I4" s="101">
        <f>VLOOKUP(A4,'BSE ALL CAP'!$B$4:$Y$1038,8,)</f>
        <v>4501</v>
      </c>
      <c r="J4" s="101">
        <f>VLOOKUP(A4,'BSE ALL CAP'!$B$4:$Y$1038,9,)</f>
        <v>657</v>
      </c>
      <c r="K4" s="101">
        <f>VLOOKUP(A4,'BSE ALL CAP'!$B$4:$Y$1038,10,)</f>
        <v>200</v>
      </c>
      <c r="L4" s="101">
        <f>VLOOKUP(A4,'BSE ALL CAP'!$B$4:$Y$1038,11,)</f>
        <v>2082</v>
      </c>
      <c r="M4" s="101">
        <f>VLOOKUP(A4,'BSE ALL CAP'!$B$4:$Y$1038,12,)</f>
        <v>1620</v>
      </c>
      <c r="N4" s="101">
        <f>VLOOKUP(A4,'BSE ALL CAP'!$B$4:$Y$1038,13,)</f>
        <v>261</v>
      </c>
      <c r="O4" s="101">
        <f>VLOOKUP(A4,'BSE ALL CAP'!$B$4:$Y$1038,14,)</f>
        <v>137</v>
      </c>
      <c r="P4" s="95">
        <f>VLOOKUP(A4,'BSE ALL CAP'!$B$4:$Y$1038,15,)</f>
        <v>0.1218245874281476</v>
      </c>
      <c r="Q4" s="95">
        <f>VLOOKUP(A4,'BSE ALL CAP'!$B$4:$Y$1038,16,)</f>
        <v>4.4434570095534323E-2</v>
      </c>
      <c r="R4" s="95">
        <f>VLOOKUP(A4,'BSE ALL CAP'!$B$4:$Y$1038,17,)</f>
        <v>7.7390017332613276E-2</v>
      </c>
      <c r="S4" s="95">
        <f>VLOOKUP(A4,'BSE ALL CAP'!$B$4:$Y$1038,18,)</f>
        <v>0.12536023054755044</v>
      </c>
      <c r="T4" s="95">
        <f>VLOOKUP(A4,'BSE ALL CAP'!$B$4:$Y$1038,19,)</f>
        <v>8.4567901234567908E-2</v>
      </c>
      <c r="U4" s="95">
        <f>VLOOKUP(A4,'BSE ALL CAP'!$B$4:$Y$1038,20,)</f>
        <v>4.0792329312982531E-2</v>
      </c>
      <c r="V4" s="95">
        <f>VLOOKUP(A4,'BSE ALL CAP'!$B$4:$Y$1038,21,)</f>
        <v>0.19817818262608311</v>
      </c>
      <c r="W4" s="95">
        <f>VLOOKUP(A4,'BSE ALL CAP'!$B$4:$Y$1038,22,)</f>
        <v>2.2850000000000001</v>
      </c>
      <c r="X4" s="95">
        <f>VLOOKUP(A4,'BSE ALL CAP'!$B$4:$Y$1038,23,)</f>
        <v>0.28518518518518521</v>
      </c>
      <c r="Y4" s="95">
        <f>VLOOKUP(A4,'BSE ALL CAP'!$B$4:$Y$1038,24,)</f>
        <v>0.9051094890510949</v>
      </c>
    </row>
    <row r="5" spans="1:25" ht="15.75" customHeight="1">
      <c r="A5" s="99">
        <v>500093</v>
      </c>
      <c r="B5" s="98" t="s">
        <v>4244</v>
      </c>
      <c r="C5" s="101" t="str">
        <f>VLOOKUP(A5,'BSE ALL CAP'!$B$4:$Y$1038,2,)</f>
        <v>Industrials</v>
      </c>
      <c r="D5" s="101" t="str">
        <f>VLOOKUP(A5,'BSE ALL CAP'!$B$4:$Y$1038,3,)</f>
        <v>Heavy Electrical Equipment</v>
      </c>
      <c r="E5" s="101">
        <f ca="1">IFERROR(__xludf.DUMMYFUNCTION("GOOGLEFINANCE(""BOM:""&amp;A5,""PRICE"")"),684.75)</f>
        <v>684.75</v>
      </c>
      <c r="F5" s="112">
        <f ca="1">IFERROR(__xludf.DUMMYFUNCTION("GOOGLEFINANCE(""BOM:""&amp;A5,""MARKETCAP"")/10000000"),107913.5203225)</f>
        <v>107913.5203225</v>
      </c>
      <c r="G5" s="95">
        <f t="shared" ca="1" si="0"/>
        <v>0.11145838632641374</v>
      </c>
      <c r="H5" s="101">
        <f>VLOOKUP(A5,'BSE ALL CAP'!$B$4:$Y$1038,7,)</f>
        <v>8976</v>
      </c>
      <c r="I5" s="101">
        <f>VLOOKUP(A5,'BSE ALL CAP'!$B$4:$Y$1038,8,)</f>
        <v>7155</v>
      </c>
      <c r="J5" s="101">
        <f>VLOOKUP(A5,'BSE ALL CAP'!$B$4:$Y$1038,9,)</f>
        <v>835</v>
      </c>
      <c r="K5" s="101">
        <f>VLOOKUP(A5,'BSE ALL CAP'!$B$4:$Y$1038,10,)</f>
        <v>699</v>
      </c>
      <c r="L5" s="101">
        <f>VLOOKUP(A5,'BSE ALL CAP'!$B$4:$Y$1038,11,)</f>
        <v>3175</v>
      </c>
      <c r="M5" s="101">
        <f>VLOOKUP(A5,'BSE ALL CAP'!$B$4:$Y$1038,12,)</f>
        <v>2515</v>
      </c>
      <c r="N5" s="101">
        <f>VLOOKUP(A5,'BSE ALL CAP'!$B$4:$Y$1038,13,)</f>
        <v>284</v>
      </c>
      <c r="O5" s="101">
        <f>VLOOKUP(A5,'BSE ALL CAP'!$B$4:$Y$1038,14,)</f>
        <v>238</v>
      </c>
      <c r="P5" s="95">
        <f>VLOOKUP(A5,'BSE ALL CAP'!$B$4:$Y$1038,15,)</f>
        <v>9.3025846702317297E-2</v>
      </c>
      <c r="Q5" s="95">
        <f>VLOOKUP(A5,'BSE ALL CAP'!$B$4:$Y$1038,16,)</f>
        <v>9.7693920335429771E-2</v>
      </c>
      <c r="R5" s="95">
        <f>VLOOKUP(A5,'BSE ALL CAP'!$B$4:$Y$1038,17,)</f>
        <v>-4.6680736331124739E-3</v>
      </c>
      <c r="S5" s="95">
        <f>VLOOKUP(A5,'BSE ALL CAP'!$B$4:$Y$1038,18,)</f>
        <v>8.9448818897637797E-2</v>
      </c>
      <c r="T5" s="95">
        <f>VLOOKUP(A5,'BSE ALL CAP'!$B$4:$Y$1038,19,)</f>
        <v>9.4632206759443338E-2</v>
      </c>
      <c r="U5" s="95">
        <f>VLOOKUP(A5,'BSE ALL CAP'!$B$4:$Y$1038,20,)</f>
        <v>-5.1833878618055412E-3</v>
      </c>
      <c r="V5" s="95">
        <f>VLOOKUP(A5,'BSE ALL CAP'!$B$4:$Y$1038,21,)</f>
        <v>0.25450733752620547</v>
      </c>
      <c r="W5" s="95">
        <f>VLOOKUP(A5,'BSE ALL CAP'!$B$4:$Y$1038,22,)</f>
        <v>0.19456366237482126</v>
      </c>
      <c r="X5" s="95">
        <f>VLOOKUP(A5,'BSE ALL CAP'!$B$4:$Y$1038,23,)</f>
        <v>0.2624254473161034</v>
      </c>
      <c r="Y5" s="95">
        <f>VLOOKUP(A5,'BSE ALL CAP'!$B$4:$Y$1038,24,)</f>
        <v>0.19327731092436973</v>
      </c>
    </row>
    <row r="6" spans="1:25" ht="15.75" customHeight="1">
      <c r="A6" s="99">
        <v>544390</v>
      </c>
      <c r="B6" s="98" t="s">
        <v>1396</v>
      </c>
      <c r="C6" s="101" t="str">
        <f>VLOOKUP(A6,'BSE ALL CAP'!$B$4:$Y$1038,2,)</f>
        <v>Industrials</v>
      </c>
      <c r="D6" s="101" t="str">
        <f>VLOOKUP(A6,'BSE ALL CAP'!$B$4:$Y$1038,3,)</f>
        <v>Heavy Electrical Equipment</v>
      </c>
      <c r="E6" s="101">
        <f ca="1">IFERROR(__xludf.DUMMYFUNCTION("GOOGLEFINANCE(""BOM:""&amp;A6,""PRICE"")"),2630.45)</f>
        <v>2630.45</v>
      </c>
      <c r="F6" s="112">
        <f ca="1">IFERROR(__xludf.DUMMYFUNCTION("GOOGLEFINANCE(""BOM:""&amp;A6,""MARKETCAP"")/10000000"),93655.9868089)</f>
        <v>93655.986808899994</v>
      </c>
      <c r="G6" s="95">
        <f t="shared" ca="1" si="0"/>
        <v>9.6732505142373734E-2</v>
      </c>
      <c r="H6" s="101">
        <f>VLOOKUP(A6,'BSE ALL CAP'!$B$4:$Y$1038,7,)</f>
        <v>5181</v>
      </c>
      <c r="I6" s="101">
        <f>VLOOKUP(A6,'BSE ALL CAP'!$B$4:$Y$1038,8,)</f>
        <v>2609</v>
      </c>
      <c r="J6" s="101">
        <f>VLOOKUP(A6,'BSE ALL CAP'!$B$4:$Y$1038,9,)</f>
        <v>740</v>
      </c>
      <c r="K6" s="101">
        <f>VLOOKUP(A6,'BSE ALL CAP'!$B$4:$Y$1038,10,)</f>
        <v>328</v>
      </c>
      <c r="L6" s="101">
        <f>VLOOKUP(A6,'BSE ALL CAP'!$B$4:$Y$1038,11,)</f>
        <v>1785</v>
      </c>
      <c r="M6" s="101">
        <f>VLOOKUP(A6,'BSE ALL CAP'!$B$4:$Y$1038,12,)</f>
        <v>1484</v>
      </c>
      <c r="N6" s="101">
        <f>VLOOKUP(A6,'BSE ALL CAP'!$B$4:$Y$1038,13,)</f>
        <v>263</v>
      </c>
      <c r="O6" s="101">
        <f>VLOOKUP(A6,'BSE ALL CAP'!$B$4:$Y$1038,14,)</f>
        <v>146</v>
      </c>
      <c r="P6" s="95">
        <f>VLOOKUP(A6,'BSE ALL CAP'!$B$4:$Y$1038,15,)</f>
        <v>0.14282956958116194</v>
      </c>
      <c r="Q6" s="95">
        <f>VLOOKUP(A6,'BSE ALL CAP'!$B$4:$Y$1038,16,)</f>
        <v>0.12571866615561517</v>
      </c>
      <c r="R6" s="95">
        <f>VLOOKUP(A6,'BSE ALL CAP'!$B$4:$Y$1038,17,)</f>
        <v>1.7110903425546775E-2</v>
      </c>
      <c r="S6" s="95">
        <f>VLOOKUP(A6,'BSE ALL CAP'!$B$4:$Y$1038,18,)</f>
        <v>0.1473389355742297</v>
      </c>
      <c r="T6" s="95">
        <f>VLOOKUP(A6,'BSE ALL CAP'!$B$4:$Y$1038,19,)</f>
        <v>9.8382749326145547E-2</v>
      </c>
      <c r="U6" s="95">
        <f>VLOOKUP(A6,'BSE ALL CAP'!$B$4:$Y$1038,20,)</f>
        <v>4.8956186248084149E-2</v>
      </c>
      <c r="V6" s="95">
        <f>VLOOKUP(A6,'BSE ALL CAP'!$B$4:$Y$1038,21,)</f>
        <v>0.98581832119586044</v>
      </c>
      <c r="W6" s="95">
        <f>VLOOKUP(A6,'BSE ALL CAP'!$B$4:$Y$1038,22,)</f>
        <v>1.2560975609756095</v>
      </c>
      <c r="X6" s="95">
        <f>VLOOKUP(A6,'BSE ALL CAP'!$B$4:$Y$1038,23,)</f>
        <v>0.20283018867924518</v>
      </c>
      <c r="Y6" s="95">
        <f>VLOOKUP(A6,'BSE ALL CAP'!$B$4:$Y$1038,24,)</f>
        <v>0.80136986301369872</v>
      </c>
    </row>
    <row r="7" spans="1:25" ht="15.75" customHeight="1">
      <c r="A7" s="99">
        <v>522275</v>
      </c>
      <c r="B7" s="98" t="s">
        <v>4245</v>
      </c>
      <c r="C7" s="101" t="str">
        <f>VLOOKUP(A7,'BSE ALL CAP'!$B$4:$Y$1038,2,)</f>
        <v>Industrials</v>
      </c>
      <c r="D7" s="101" t="str">
        <f>VLOOKUP(A7,'BSE ALL CAP'!$B$4:$Y$1038,3,)</f>
        <v>Heavy Electrical Equipment</v>
      </c>
      <c r="E7" s="101">
        <f ca="1">IFERROR(__xludf.DUMMYFUNCTION("GOOGLEFINANCE(""BOM:""&amp;A7,""PRICE"")"),3735)</f>
        <v>3735</v>
      </c>
      <c r="F7" s="112">
        <f ca="1">IFERROR(__xludf.DUMMYFUNCTION("GOOGLEFINANCE(""BOM:""&amp;A7,""MARKETCAP"")/10000000"),97866.11)</f>
        <v>97866.11</v>
      </c>
      <c r="G7" s="95">
        <f t="shared" ca="1" si="0"/>
        <v>0.10108092724660175</v>
      </c>
      <c r="H7" s="101">
        <f>VLOOKUP(A7,'BSE ALL CAP'!$B$4:$Y$1038,7,)</f>
        <v>4569</v>
      </c>
      <c r="I7" s="101">
        <f>VLOOKUP(A7,'BSE ALL CAP'!$B$4:$Y$1038,8,)</f>
        <v>3139</v>
      </c>
      <c r="J7" s="101">
        <f>VLOOKUP(A7,'BSE ALL CAP'!$B$4:$Y$1038,9,)</f>
        <v>881</v>
      </c>
      <c r="K7" s="101">
        <f>VLOOKUP(A7,'BSE ALL CAP'!$B$4:$Y$1038,10,)</f>
        <v>421</v>
      </c>
      <c r="L7" s="101">
        <f>VLOOKUP(A7,'BSE ALL CAP'!$B$4:$Y$1038,11,)</f>
        <v>1700</v>
      </c>
      <c r="M7" s="101">
        <f>VLOOKUP(A7,'BSE ALL CAP'!$B$4:$Y$1038,12,)</f>
        <v>1073</v>
      </c>
      <c r="N7" s="101">
        <f>VLOOKUP(A7,'BSE ALL CAP'!$B$4:$Y$1038,13,)</f>
        <v>290</v>
      </c>
      <c r="O7" s="101">
        <f>VLOOKUP(A7,'BSE ALL CAP'!$B$4:$Y$1038,14,)</f>
        <v>142</v>
      </c>
      <c r="P7" s="95">
        <f>VLOOKUP(A7,'BSE ALL CAP'!$B$4:$Y$1038,15,)</f>
        <v>0.19282118625519806</v>
      </c>
      <c r="Q7" s="95">
        <f>VLOOKUP(A7,'BSE ALL CAP'!$B$4:$Y$1038,16,)</f>
        <v>0.13411914622491239</v>
      </c>
      <c r="R7" s="95">
        <f>VLOOKUP(A7,'BSE ALL CAP'!$B$4:$Y$1038,17,)</f>
        <v>5.8702040030285674E-2</v>
      </c>
      <c r="S7" s="95">
        <f>VLOOKUP(A7,'BSE ALL CAP'!$B$4:$Y$1038,18,)</f>
        <v>0.17058823529411765</v>
      </c>
      <c r="T7" s="95">
        <f>VLOOKUP(A7,'BSE ALL CAP'!$B$4:$Y$1038,19,)</f>
        <v>0.13233923578751164</v>
      </c>
      <c r="U7" s="95">
        <f>VLOOKUP(A7,'BSE ALL CAP'!$B$4:$Y$1038,20,)</f>
        <v>3.8248999506606013E-2</v>
      </c>
      <c r="V7" s="95">
        <f>VLOOKUP(A7,'BSE ALL CAP'!$B$4:$Y$1038,21,)</f>
        <v>0.45555909525326532</v>
      </c>
      <c r="W7" s="95">
        <f>VLOOKUP(A7,'BSE ALL CAP'!$B$4:$Y$1038,22,)</f>
        <v>1.0926365795724466</v>
      </c>
      <c r="X7" s="95">
        <f>VLOOKUP(A7,'BSE ALL CAP'!$B$4:$Y$1038,23,)</f>
        <v>0.5843429636533084</v>
      </c>
      <c r="Y7" s="95">
        <f>VLOOKUP(A7,'BSE ALL CAP'!$B$4:$Y$1038,24,)</f>
        <v>1.0422535211267605</v>
      </c>
    </row>
    <row r="8" spans="1:25" ht="15.75" customHeight="1">
      <c r="A8" s="99">
        <v>500103</v>
      </c>
      <c r="B8" s="98" t="s">
        <v>4246</v>
      </c>
      <c r="C8" s="101" t="str">
        <f>VLOOKUP(A8,'BSE ALL CAP'!$B$4:$Y$1038,2,)</f>
        <v>Industrials</v>
      </c>
      <c r="D8" s="101" t="str">
        <f>VLOOKUP(A8,'BSE ALL CAP'!$B$4:$Y$1038,3,)</f>
        <v>Heavy Electrical Equipment</v>
      </c>
      <c r="E8" s="101">
        <f ca="1">IFERROR(__xludf.DUMMYFUNCTION("GOOGLEFINANCE(""BOM:""&amp;A8,""PRICE"")"),246.1)</f>
        <v>246.1</v>
      </c>
      <c r="F8" s="112">
        <f ca="1">IFERROR(__xludf.DUMMYFUNCTION("GOOGLEFINANCE(""BOM:""&amp;A8,""MARKETCAP"")/10000000"),85710.9786197)</f>
        <v>85710.978619700007</v>
      </c>
      <c r="G8" s="95">
        <f t="shared" ca="1" si="0"/>
        <v>8.852651029138621E-2</v>
      </c>
      <c r="H8" s="101">
        <f>VLOOKUP(A8,'BSE ALL CAP'!$B$4:$Y$1038,7,)</f>
        <v>21472</v>
      </c>
      <c r="I8" s="101">
        <f>VLOOKUP(A8,'BSE ALL CAP'!$B$4:$Y$1038,8,)</f>
        <v>19346</v>
      </c>
      <c r="J8" s="101">
        <f>VLOOKUP(A8,'BSE ALL CAP'!$B$4:$Y$1038,9,)</f>
        <v>310</v>
      </c>
      <c r="K8" s="101">
        <f>VLOOKUP(A8,'BSE ALL CAP'!$B$4:$Y$1038,10,)</f>
        <v>29</v>
      </c>
      <c r="L8" s="101">
        <f>VLOOKUP(A8,'BSE ALL CAP'!$B$4:$Y$1038,11,)</f>
        <v>8473</v>
      </c>
      <c r="M8" s="101">
        <f>VLOOKUP(A8,'BSE ALL CAP'!$B$4:$Y$1038,12,)</f>
        <v>7277</v>
      </c>
      <c r="N8" s="101">
        <f>VLOOKUP(A8,'BSE ALL CAP'!$B$4:$Y$1038,13,)</f>
        <v>390</v>
      </c>
      <c r="O8" s="101">
        <f>VLOOKUP(A8,'BSE ALL CAP'!$B$4:$Y$1038,14,)</f>
        <v>135</v>
      </c>
      <c r="P8" s="95">
        <f>VLOOKUP(A8,'BSE ALL CAP'!$B$4:$Y$1038,15,)</f>
        <v>1.4437406855439643E-2</v>
      </c>
      <c r="Q8" s="95">
        <f>VLOOKUP(A8,'BSE ALL CAP'!$B$4:$Y$1038,16,)</f>
        <v>1.4990178848340741E-3</v>
      </c>
      <c r="R8" s="95">
        <f>VLOOKUP(A8,'BSE ALL CAP'!$B$4:$Y$1038,17,)</f>
        <v>1.2938388970605568E-2</v>
      </c>
      <c r="S8" s="95">
        <f>VLOOKUP(A8,'BSE ALL CAP'!$B$4:$Y$1038,18,)</f>
        <v>4.6028561312404105E-2</v>
      </c>
      <c r="T8" s="95">
        <f>VLOOKUP(A8,'BSE ALL CAP'!$B$4:$Y$1038,19,)</f>
        <v>1.8551600934451011E-2</v>
      </c>
      <c r="U8" s="95">
        <f>VLOOKUP(A8,'BSE ALL CAP'!$B$4:$Y$1038,20,)</f>
        <v>2.7476960377953094E-2</v>
      </c>
      <c r="V8" s="95">
        <f>VLOOKUP(A8,'BSE ALL CAP'!$B$4:$Y$1038,21,)</f>
        <v>0.10989351803990499</v>
      </c>
      <c r="W8" s="95">
        <f>VLOOKUP(A8,'BSE ALL CAP'!$B$4:$Y$1038,22,)</f>
        <v>9.6896551724137936</v>
      </c>
      <c r="X8" s="95">
        <f>VLOOKUP(A8,'BSE ALL CAP'!$B$4:$Y$1038,23,)</f>
        <v>0.16435344235261784</v>
      </c>
      <c r="Y8" s="95">
        <f>VLOOKUP(A8,'BSE ALL CAP'!$B$4:$Y$1038,24,)</f>
        <v>1.8888888888888888</v>
      </c>
    </row>
    <row r="9" spans="1:25" ht="15.75" customHeight="1">
      <c r="A9" s="99">
        <v>532667</v>
      </c>
      <c r="B9" s="98" t="s">
        <v>4247</v>
      </c>
      <c r="C9" s="101" t="str">
        <f>VLOOKUP(A9,'BSE ALL CAP'!$B$4:$Y$1038,2,)</f>
        <v>Industrials</v>
      </c>
      <c r="D9" s="101" t="str">
        <f>VLOOKUP(A9,'BSE ALL CAP'!$B$4:$Y$1038,3,)</f>
        <v>Heavy Electrical Equipment</v>
      </c>
      <c r="E9" s="101">
        <f ca="1">IFERROR(__xludf.DUMMYFUNCTION("GOOGLEFINANCE(""BOM:""&amp;A9,""PRICE"")"),41.38)</f>
        <v>41.38</v>
      </c>
      <c r="F9" s="112">
        <f ca="1">IFERROR(__xludf.DUMMYFUNCTION("GOOGLEFINANCE(""BOM:""&amp;A9,""MARKETCAP"")/10000000"),56765.0596829)</f>
        <v>56765.059682899999</v>
      </c>
      <c r="G9" s="95">
        <f t="shared" ca="1" si="0"/>
        <v>5.862974290033824E-2</v>
      </c>
      <c r="H9" s="101">
        <f>VLOOKUP(A9,'BSE ALL CAP'!$B$4:$Y$1038,7,)</f>
        <v>11211</v>
      </c>
      <c r="I9" s="101">
        <f>VLOOKUP(A9,'BSE ALL CAP'!$B$4:$Y$1038,8,)</f>
        <v>7078</v>
      </c>
      <c r="J9" s="101">
        <f>VLOOKUP(A9,'BSE ALL CAP'!$B$4:$Y$1038,9,)</f>
        <v>2049</v>
      </c>
      <c r="K9" s="101">
        <f>VLOOKUP(A9,'BSE ALL CAP'!$B$4:$Y$1038,10,)</f>
        <v>891</v>
      </c>
      <c r="L9" s="101">
        <f>VLOOKUP(A9,'BSE ALL CAP'!$B$4:$Y$1038,11,)</f>
        <v>4228</v>
      </c>
      <c r="M9" s="101">
        <f>VLOOKUP(A9,'BSE ALL CAP'!$B$4:$Y$1038,12,)</f>
        <v>2969</v>
      </c>
      <c r="N9" s="101">
        <f>VLOOKUP(A9,'BSE ALL CAP'!$B$4:$Y$1038,13,)</f>
        <v>445</v>
      </c>
      <c r="O9" s="101">
        <f>VLOOKUP(A9,'BSE ALL CAP'!$B$4:$Y$1038,14,)</f>
        <v>388</v>
      </c>
      <c r="P9" s="95">
        <f>VLOOKUP(A9,'BSE ALL CAP'!$B$4:$Y$1038,15,)</f>
        <v>0.18276692534118277</v>
      </c>
      <c r="Q9" s="95">
        <f>VLOOKUP(A9,'BSE ALL CAP'!$B$4:$Y$1038,16,)</f>
        <v>0.12588301780163888</v>
      </c>
      <c r="R9" s="95">
        <f>VLOOKUP(A9,'BSE ALL CAP'!$B$4:$Y$1038,17,)</f>
        <v>5.6883907539543893E-2</v>
      </c>
      <c r="S9" s="95">
        <f>VLOOKUP(A9,'BSE ALL CAP'!$B$4:$Y$1038,18,)</f>
        <v>0.10525070955534532</v>
      </c>
      <c r="T9" s="95">
        <f>VLOOKUP(A9,'BSE ALL CAP'!$B$4:$Y$1038,19,)</f>
        <v>0.13068373189626137</v>
      </c>
      <c r="U9" s="95">
        <f>VLOOKUP(A9,'BSE ALL CAP'!$B$4:$Y$1038,20,)</f>
        <v>-2.5433022340916045E-2</v>
      </c>
      <c r="V9" s="95">
        <f>VLOOKUP(A9,'BSE ALL CAP'!$B$4:$Y$1038,21,)</f>
        <v>0.58392201186775927</v>
      </c>
      <c r="W9" s="95">
        <f>VLOOKUP(A9,'BSE ALL CAP'!$B$4:$Y$1038,22,)</f>
        <v>1.2996632996632997</v>
      </c>
      <c r="X9" s="95">
        <f>VLOOKUP(A9,'BSE ALL CAP'!$B$4:$Y$1038,23,)</f>
        <v>0.42404850117884818</v>
      </c>
      <c r="Y9" s="95">
        <f>VLOOKUP(A9,'BSE ALL CAP'!$B$4:$Y$1038,24,)</f>
        <v>0.14690721649484528</v>
      </c>
    </row>
    <row r="10" spans="1:25" ht="15.75" customHeight="1">
      <c r="A10" s="99">
        <v>500411</v>
      </c>
      <c r="B10" s="98" t="s">
        <v>4248</v>
      </c>
      <c r="C10" s="101" t="str">
        <f>VLOOKUP(A10,'BSE ALL CAP'!$B$4:$Y$1038,2,)</f>
        <v>Industrials</v>
      </c>
      <c r="D10" s="101" t="str">
        <f>VLOOKUP(A10,'BSE ALL CAP'!$B$4:$Y$1038,3,)</f>
        <v>Heavy Electrical Equipment</v>
      </c>
      <c r="E10" s="101">
        <f ca="1">IFERROR(__xludf.DUMMYFUNCTION("GOOGLEFINANCE(""BOM:""&amp;A10,""PRICE"")"),3293.6)</f>
        <v>3293.6</v>
      </c>
      <c r="F10" s="112">
        <f ca="1">IFERROR(__xludf.DUMMYFUNCTION("GOOGLEFINANCE(""BOM:""&amp;A10,""MARKETCAP"")/10000000"),37110.8877959)</f>
        <v>37110.887795900002</v>
      </c>
      <c r="G10" s="95">
        <f t="shared" ca="1" si="0"/>
        <v>3.8329948430096683E-2</v>
      </c>
      <c r="H10" s="101">
        <f>VLOOKUP(A10,'BSE ALL CAP'!$B$4:$Y$1038,7,)</f>
        <v>7266</v>
      </c>
      <c r="I10" s="101">
        <f>VLOOKUP(A10,'BSE ALL CAP'!$B$4:$Y$1038,8,)</f>
        <v>7323</v>
      </c>
      <c r="J10" s="101">
        <f>VLOOKUP(A10,'BSE ALL CAP'!$B$4:$Y$1038,9,)</f>
        <v>476</v>
      </c>
      <c r="K10" s="101">
        <f>VLOOKUP(A10,'BSE ALL CAP'!$B$4:$Y$1038,10,)</f>
        <v>421</v>
      </c>
      <c r="L10" s="101">
        <f>VLOOKUP(A10,'BSE ALL CAP'!$B$4:$Y$1038,11,)</f>
        <v>2635</v>
      </c>
      <c r="M10" s="101">
        <f>VLOOKUP(A10,'BSE ALL CAP'!$B$4:$Y$1038,12,)</f>
        <v>2523</v>
      </c>
      <c r="N10" s="101">
        <f>VLOOKUP(A10,'BSE ALL CAP'!$B$4:$Y$1038,13,)</f>
        <v>205</v>
      </c>
      <c r="O10" s="101">
        <f>VLOOKUP(A10,'BSE ALL CAP'!$B$4:$Y$1038,14,)</f>
        <v>114</v>
      </c>
      <c r="P10" s="95">
        <f>VLOOKUP(A10,'BSE ALL CAP'!$B$4:$Y$1038,15,)</f>
        <v>6.5510597302504817E-2</v>
      </c>
      <c r="Q10" s="95">
        <f>VLOOKUP(A10,'BSE ALL CAP'!$B$4:$Y$1038,16,)</f>
        <v>5.7490099685921073E-2</v>
      </c>
      <c r="R10" s="95">
        <f>VLOOKUP(A10,'BSE ALL CAP'!$B$4:$Y$1038,17,)</f>
        <v>8.0204976165837438E-3</v>
      </c>
      <c r="S10" s="95">
        <f>VLOOKUP(A10,'BSE ALL CAP'!$B$4:$Y$1038,18,)</f>
        <v>7.7798861480075907E-2</v>
      </c>
      <c r="T10" s="95">
        <f>VLOOKUP(A10,'BSE ALL CAP'!$B$4:$Y$1038,19,)</f>
        <v>4.5184304399524373E-2</v>
      </c>
      <c r="U10" s="95">
        <f>VLOOKUP(A10,'BSE ALL CAP'!$B$4:$Y$1038,20,)</f>
        <v>3.2614557080551533E-2</v>
      </c>
      <c r="V10" s="95">
        <f>VLOOKUP(A10,'BSE ALL CAP'!$B$4:$Y$1038,21,)</f>
        <v>-7.7836952068823795E-3</v>
      </c>
      <c r="W10" s="95">
        <f>VLOOKUP(A10,'BSE ALL CAP'!$B$4:$Y$1038,22,)</f>
        <v>0.13064133016627077</v>
      </c>
      <c r="X10" s="95">
        <f>VLOOKUP(A10,'BSE ALL CAP'!$B$4:$Y$1038,23,)</f>
        <v>4.4391597304795916E-2</v>
      </c>
      <c r="Y10" s="95">
        <f>VLOOKUP(A10,'BSE ALL CAP'!$B$4:$Y$1038,24,)</f>
        <v>0.79824561403508776</v>
      </c>
    </row>
    <row r="11" spans="1:25" ht="15.75" customHeight="1">
      <c r="A11" s="99">
        <v>534139</v>
      </c>
      <c r="B11" s="98" t="s">
        <v>4249</v>
      </c>
      <c r="C11" s="101" t="str">
        <f>VLOOKUP(A11,'BSE ALL CAP'!$B$4:$Y$1038,2,)</f>
        <v>Industrials</v>
      </c>
      <c r="D11" s="101" t="str">
        <f>VLOOKUP(A11,'BSE ALL CAP'!$B$4:$Y$1038,3,)</f>
        <v>Heavy Electrical Equipment</v>
      </c>
      <c r="E11" s="101">
        <f ca="1">IFERROR(__xludf.DUMMYFUNCTION("GOOGLEFINANCE(""BOM:""&amp;A11,""PRICE"")"),928.95)</f>
        <v>928.95</v>
      </c>
      <c r="F11" s="112">
        <f ca="1">IFERROR(__xludf.DUMMYFUNCTION("GOOGLEFINANCE(""BOM:""&amp;A11,""MARKETCAP"")/10000000"),22210.3711437)</f>
        <v>22210.371143699998</v>
      </c>
      <c r="G11" s="95">
        <f t="shared" ca="1" si="0"/>
        <v>2.2939962666303611E-2</v>
      </c>
      <c r="H11" s="101">
        <f>VLOOKUP(A11,'BSE ALL CAP'!$B$4:$Y$1038,7,)</f>
        <v>2300</v>
      </c>
      <c r="I11" s="101">
        <f>VLOOKUP(A11,'BSE ALL CAP'!$B$4:$Y$1038,8,)</f>
        <v>2049</v>
      </c>
      <c r="J11" s="101">
        <f>VLOOKUP(A11,'BSE ALL CAP'!$B$4:$Y$1038,9,)</f>
        <v>190</v>
      </c>
      <c r="K11" s="101">
        <f>VLOOKUP(A11,'BSE ALL CAP'!$B$4:$Y$1038,10,)</f>
        <v>213</v>
      </c>
      <c r="L11" s="101">
        <f>VLOOKUP(A11,'BSE ALL CAP'!$B$4:$Y$1038,11,)</f>
        <v>1029</v>
      </c>
      <c r="M11" s="101">
        <f>VLOOKUP(A11,'BSE ALL CAP'!$B$4:$Y$1038,12,)</f>
        <v>857</v>
      </c>
      <c r="N11" s="101">
        <f>VLOOKUP(A11,'BSE ALL CAP'!$B$4:$Y$1038,13,)</f>
        <v>97</v>
      </c>
      <c r="O11" s="101">
        <f>VLOOKUP(A11,'BSE ALL CAP'!$B$4:$Y$1038,14,)</f>
        <v>110</v>
      </c>
      <c r="P11" s="95">
        <f>VLOOKUP(A11,'BSE ALL CAP'!$B$4:$Y$1038,15,)</f>
        <v>8.2608695652173908E-2</v>
      </c>
      <c r="Q11" s="95">
        <f>VLOOKUP(A11,'BSE ALL CAP'!$B$4:$Y$1038,16,)</f>
        <v>0.10395314787701318</v>
      </c>
      <c r="R11" s="95">
        <f>VLOOKUP(A11,'BSE ALL CAP'!$B$4:$Y$1038,17,)</f>
        <v>-2.1344452224839272E-2</v>
      </c>
      <c r="S11" s="95">
        <f>VLOOKUP(A11,'BSE ALL CAP'!$B$4:$Y$1038,18,)</f>
        <v>9.4266277939747331E-2</v>
      </c>
      <c r="T11" s="95">
        <f>VLOOKUP(A11,'BSE ALL CAP'!$B$4:$Y$1038,19,)</f>
        <v>0.12835472578763127</v>
      </c>
      <c r="U11" s="95">
        <f>VLOOKUP(A11,'BSE ALL CAP'!$B$4:$Y$1038,20,)</f>
        <v>-3.4088447847883938E-2</v>
      </c>
      <c r="V11" s="95">
        <f>VLOOKUP(A11,'BSE ALL CAP'!$B$4:$Y$1038,21,)</f>
        <v>0.12249877989263047</v>
      </c>
      <c r="W11" s="95">
        <f>VLOOKUP(A11,'BSE ALL CAP'!$B$4:$Y$1038,22,)</f>
        <v>-0.107981220657277</v>
      </c>
      <c r="X11" s="95">
        <f>VLOOKUP(A11,'BSE ALL CAP'!$B$4:$Y$1038,23,)</f>
        <v>0.20070011668611443</v>
      </c>
      <c r="Y11" s="95">
        <f>VLOOKUP(A11,'BSE ALL CAP'!$B$4:$Y$1038,24,)</f>
        <v>-0.11818181818181817</v>
      </c>
    </row>
    <row r="12" spans="1:25" ht="15.75" customHeight="1">
      <c r="A12" s="99">
        <v>533655</v>
      </c>
      <c r="B12" s="98" t="s">
        <v>4250</v>
      </c>
      <c r="C12" s="101" t="str">
        <f>VLOOKUP(A12,'BSE ALL CAP'!$B$4:$Y$1038,2,)</f>
        <v>Industrials</v>
      </c>
      <c r="D12" s="101" t="str">
        <f>VLOOKUP(A12,'BSE ALL CAP'!$B$4:$Y$1038,3,)</f>
        <v>Heavy Electrical Equipment</v>
      </c>
      <c r="E12" s="101">
        <f ca="1">IFERROR(__xludf.DUMMYFUNCTION("GOOGLEFINANCE(""BOM:""&amp;A12,""PRICE"")"),457.5)</f>
        <v>457.5</v>
      </c>
      <c r="F12" s="112">
        <f ca="1">IFERROR(__xludf.DUMMYFUNCTION("GOOGLEFINANCE(""BOM:""&amp;A12,""MARKETCAP"")/10000000"),14545.2807614)</f>
        <v>14545.280761399999</v>
      </c>
      <c r="G12" s="95">
        <f t="shared" ca="1" si="0"/>
        <v>1.5023080680579514E-2</v>
      </c>
      <c r="H12" s="101">
        <f>VLOOKUP(A12,'BSE ALL CAP'!$B$4:$Y$1038,7,)</f>
        <v>1501</v>
      </c>
      <c r="I12" s="101">
        <f>VLOOKUP(A12,'BSE ALL CAP'!$B$4:$Y$1038,8,)</f>
        <v>1467</v>
      </c>
      <c r="J12" s="101">
        <f>VLOOKUP(A12,'BSE ALL CAP'!$B$4:$Y$1038,9,)</f>
        <v>247</v>
      </c>
      <c r="K12" s="101">
        <f>VLOOKUP(A12,'BSE ALL CAP'!$B$4:$Y$1038,10,)</f>
        <v>264</v>
      </c>
      <c r="L12" s="101">
        <f>VLOOKUP(A12,'BSE ALL CAP'!$B$4:$Y$1038,11,)</f>
        <v>624</v>
      </c>
      <c r="M12" s="101">
        <f>VLOOKUP(A12,'BSE ALL CAP'!$B$4:$Y$1038,12,)</f>
        <v>503</v>
      </c>
      <c r="N12" s="101">
        <f>VLOOKUP(A12,'BSE ALL CAP'!$B$4:$Y$1038,13,)</f>
        <v>91</v>
      </c>
      <c r="O12" s="101">
        <f>VLOOKUP(A12,'BSE ALL CAP'!$B$4:$Y$1038,14,)</f>
        <v>92</v>
      </c>
      <c r="P12" s="95">
        <f>VLOOKUP(A12,'BSE ALL CAP'!$B$4:$Y$1038,15,)</f>
        <v>0.16455696202531644</v>
      </c>
      <c r="Q12" s="95">
        <f>VLOOKUP(A12,'BSE ALL CAP'!$B$4:$Y$1038,16,)</f>
        <v>0.17995910020449898</v>
      </c>
      <c r="R12" s="95">
        <f>VLOOKUP(A12,'BSE ALL CAP'!$B$4:$Y$1038,17,)</f>
        <v>-1.540213817918254E-2</v>
      </c>
      <c r="S12" s="95">
        <f>VLOOKUP(A12,'BSE ALL CAP'!$B$4:$Y$1038,18,)</f>
        <v>0.14583333333333334</v>
      </c>
      <c r="T12" s="95">
        <f>VLOOKUP(A12,'BSE ALL CAP'!$B$4:$Y$1038,19,)</f>
        <v>0.18290258449304175</v>
      </c>
      <c r="U12" s="95">
        <f>VLOOKUP(A12,'BSE ALL CAP'!$B$4:$Y$1038,20,)</f>
        <v>-3.7069251159708411E-2</v>
      </c>
      <c r="V12" s="95">
        <f>VLOOKUP(A12,'BSE ALL CAP'!$B$4:$Y$1038,21,)</f>
        <v>2.3176550783912786E-2</v>
      </c>
      <c r="W12" s="95">
        <f>VLOOKUP(A12,'BSE ALL CAP'!$B$4:$Y$1038,22,)</f>
        <v>-6.4393939393939448E-2</v>
      </c>
      <c r="X12" s="95">
        <f>VLOOKUP(A12,'BSE ALL CAP'!$B$4:$Y$1038,23,)</f>
        <v>0.24055666003976151</v>
      </c>
      <c r="Y12" s="95">
        <f>VLOOKUP(A12,'BSE ALL CAP'!$B$4:$Y$1038,24,)</f>
        <v>-1.0869565217391353E-2</v>
      </c>
    </row>
    <row r="13" spans="1:25" ht="15.75" customHeight="1">
      <c r="A13" s="99">
        <v>533553</v>
      </c>
      <c r="B13" s="98" t="s">
        <v>4251</v>
      </c>
      <c r="C13" s="101" t="str">
        <f>VLOOKUP(A13,'BSE ALL CAP'!$B$4:$Y$1038,2,)</f>
        <v>Industrials</v>
      </c>
      <c r="D13" s="101" t="str">
        <f>VLOOKUP(A13,'BSE ALL CAP'!$B$4:$Y$1038,3,)</f>
        <v>Heavy Electrical Equipment</v>
      </c>
      <c r="E13" s="101">
        <f ca="1">IFERROR(__xludf.DUMMYFUNCTION("GOOGLEFINANCE(""BOM:""&amp;A13,""PRICE"")"),878.25)</f>
        <v>878.25</v>
      </c>
      <c r="F13" s="112">
        <f ca="1">IFERROR(__xludf.DUMMYFUNCTION("GOOGLEFINANCE(""BOM:""&amp;A13,""MARKETCAP"")/10000000"),13684.8871467)</f>
        <v>13684.887146700001</v>
      </c>
      <c r="G13" s="95">
        <f t="shared" ca="1" si="0"/>
        <v>1.4134423878230556E-2</v>
      </c>
      <c r="H13" s="101">
        <f>VLOOKUP(A13,'BSE ALL CAP'!$B$4:$Y$1038,7,)</f>
        <v>1267</v>
      </c>
      <c r="I13" s="101">
        <f>VLOOKUP(A13,'BSE ALL CAP'!$B$4:$Y$1038,8,)</f>
        <v>930</v>
      </c>
      <c r="J13" s="101">
        <f>VLOOKUP(A13,'BSE ALL CAP'!$B$4:$Y$1038,9,)</f>
        <v>166</v>
      </c>
      <c r="K13" s="101">
        <f>VLOOKUP(A13,'BSE ALL CAP'!$B$4:$Y$1038,10,)</f>
        <v>121</v>
      </c>
      <c r="L13" s="101">
        <f>VLOOKUP(A13,'BSE ALL CAP'!$B$4:$Y$1038,11,)</f>
        <v>442</v>
      </c>
      <c r="M13" s="101">
        <f>VLOOKUP(A13,'BSE ALL CAP'!$B$4:$Y$1038,12,)</f>
        <v>350</v>
      </c>
      <c r="N13" s="101">
        <f>VLOOKUP(A13,'BSE ALL CAP'!$B$4:$Y$1038,13,)</f>
        <v>56</v>
      </c>
      <c r="O13" s="101">
        <f>VLOOKUP(A13,'BSE ALL CAP'!$B$4:$Y$1038,14,)</f>
        <v>44</v>
      </c>
      <c r="P13" s="95">
        <f>VLOOKUP(A13,'BSE ALL CAP'!$B$4:$Y$1038,15,)</f>
        <v>0.13101815311760062</v>
      </c>
      <c r="Q13" s="95">
        <f>VLOOKUP(A13,'BSE ALL CAP'!$B$4:$Y$1038,16,)</f>
        <v>0.13010752688172042</v>
      </c>
      <c r="R13" s="95">
        <f>VLOOKUP(A13,'BSE ALL CAP'!$B$4:$Y$1038,17,)</f>
        <v>9.1062623588020197E-4</v>
      </c>
      <c r="S13" s="95">
        <f>VLOOKUP(A13,'BSE ALL CAP'!$B$4:$Y$1038,18,)</f>
        <v>0.12669683257918551</v>
      </c>
      <c r="T13" s="95">
        <f>VLOOKUP(A13,'BSE ALL CAP'!$B$4:$Y$1038,19,)</f>
        <v>0.12571428571428572</v>
      </c>
      <c r="U13" s="95">
        <f>VLOOKUP(A13,'BSE ALL CAP'!$B$4:$Y$1038,20,)</f>
        <v>9.8254686489979148E-4</v>
      </c>
      <c r="V13" s="95">
        <f>VLOOKUP(A13,'BSE ALL CAP'!$B$4:$Y$1038,21,)</f>
        <v>0.36236559139784941</v>
      </c>
      <c r="W13" s="95">
        <f>VLOOKUP(A13,'BSE ALL CAP'!$B$4:$Y$1038,22,)</f>
        <v>0.37190082644628109</v>
      </c>
      <c r="X13" s="95">
        <f>VLOOKUP(A13,'BSE ALL CAP'!$B$4:$Y$1038,23,)</f>
        <v>0.2628571428571429</v>
      </c>
      <c r="Y13" s="95">
        <f>VLOOKUP(A13,'BSE ALL CAP'!$B$4:$Y$1038,24,)</f>
        <v>0.27272727272727271</v>
      </c>
    </row>
    <row r="14" spans="1:25" ht="15.75" customHeight="1">
      <c r="A14" s="99">
        <v>539083</v>
      </c>
      <c r="B14" s="98" t="s">
        <v>4252</v>
      </c>
      <c r="C14" s="101" t="str">
        <f>VLOOKUP(A14,'BSE ALL CAP'!$B$4:$Y$1038,2,)</f>
        <v>Industrials</v>
      </c>
      <c r="D14" s="101" t="str">
        <f>VLOOKUP(A14,'BSE ALL CAP'!$B$4:$Y$1038,3,)</f>
        <v>Heavy Electrical Equipment</v>
      </c>
      <c r="E14" s="101">
        <f ca="1">IFERROR(__xludf.DUMMYFUNCTION("GOOGLEFINANCE(""BOM:""&amp;A14,""PRICE"")"),80.83)</f>
        <v>80.83</v>
      </c>
      <c r="F14" s="112">
        <f ca="1">IFERROR(__xludf.DUMMYFUNCTION("GOOGLEFINANCE(""BOM:""&amp;A14,""MARKETCAP"")/10000000"),10519.9681573)</f>
        <v>10519.9681573</v>
      </c>
      <c r="G14" s="95">
        <f t="shared" ca="1" si="0"/>
        <v>1.0865540031626968E-2</v>
      </c>
      <c r="H14" s="101">
        <f>VLOOKUP(A14,'BSE ALL CAP'!$B$4:$Y$1038,7,)</f>
        <v>3263</v>
      </c>
      <c r="I14" s="101">
        <f>VLOOKUP(A14,'BSE ALL CAP'!$B$4:$Y$1038,8,)</f>
        <v>2390</v>
      </c>
      <c r="J14" s="101">
        <f>VLOOKUP(A14,'BSE ALL CAP'!$B$4:$Y$1038,9,)</f>
        <v>344</v>
      </c>
      <c r="K14" s="101">
        <f>VLOOKUP(A14,'BSE ALL CAP'!$B$4:$Y$1038,10,)</f>
        <v>247</v>
      </c>
      <c r="L14" s="101">
        <f>VLOOKUP(A14,'BSE ALL CAP'!$B$4:$Y$1038,11,)</f>
        <v>1238</v>
      </c>
      <c r="M14" s="101">
        <f>VLOOKUP(A14,'BSE ALL CAP'!$B$4:$Y$1038,12,)</f>
        <v>994</v>
      </c>
      <c r="N14" s="101">
        <f>VLOOKUP(A14,'BSE ALL CAP'!$B$4:$Y$1038,13,)</f>
        <v>126</v>
      </c>
      <c r="O14" s="101">
        <f>VLOOKUP(A14,'BSE ALL CAP'!$B$4:$Y$1038,14,)</f>
        <v>110</v>
      </c>
      <c r="P14" s="95">
        <f>VLOOKUP(A14,'BSE ALL CAP'!$B$4:$Y$1038,15,)</f>
        <v>0.10542445602206559</v>
      </c>
      <c r="Q14" s="95">
        <f>VLOOKUP(A14,'BSE ALL CAP'!$B$4:$Y$1038,16,)</f>
        <v>0.10334728033472804</v>
      </c>
      <c r="R14" s="95">
        <f>VLOOKUP(A14,'BSE ALL CAP'!$B$4:$Y$1038,17,)</f>
        <v>2.0771756873375485E-3</v>
      </c>
      <c r="S14" s="95">
        <f>VLOOKUP(A14,'BSE ALL CAP'!$B$4:$Y$1038,18,)</f>
        <v>0.10177705977382875</v>
      </c>
      <c r="T14" s="95">
        <f>VLOOKUP(A14,'BSE ALL CAP'!$B$4:$Y$1038,19,)</f>
        <v>0.11066398390342053</v>
      </c>
      <c r="U14" s="95">
        <f>VLOOKUP(A14,'BSE ALL CAP'!$B$4:$Y$1038,20,)</f>
        <v>-8.8869241295917722E-3</v>
      </c>
      <c r="V14" s="95">
        <f>VLOOKUP(A14,'BSE ALL CAP'!$B$4:$Y$1038,21,)</f>
        <v>0.36527196652719662</v>
      </c>
      <c r="W14" s="95">
        <f>VLOOKUP(A14,'BSE ALL CAP'!$B$4:$Y$1038,22,)</f>
        <v>0.39271255060728749</v>
      </c>
      <c r="X14" s="95">
        <f>VLOOKUP(A14,'BSE ALL CAP'!$B$4:$Y$1038,23,)</f>
        <v>0.24547283702213285</v>
      </c>
      <c r="Y14" s="95">
        <f>VLOOKUP(A14,'BSE ALL CAP'!$B$4:$Y$1038,24,)</f>
        <v>0.1454545454545455</v>
      </c>
    </row>
    <row r="15" spans="1:25" ht="15.75" customHeight="1">
      <c r="A15" s="99">
        <v>544061</v>
      </c>
      <c r="B15" s="98" t="s">
        <v>4253</v>
      </c>
      <c r="C15" s="101" t="str">
        <f>VLOOKUP(A15,'BSE ALL CAP'!$B$4:$Y$1038,2,)</f>
        <v>Industrials</v>
      </c>
      <c r="D15" s="101" t="str">
        <f>VLOOKUP(A15,'BSE ALL CAP'!$B$4:$Y$1038,3,)</f>
        <v>Heavy Electrical Equipment</v>
      </c>
      <c r="E15" s="101">
        <f ca="1">IFERROR(__xludf.DUMMYFUNCTION("GOOGLEFINANCE(""BOM:""&amp;A15,""PRICE"")"),1554.55)</f>
        <v>1554.55</v>
      </c>
      <c r="F15" s="112">
        <f ca="1">IFERROR(__xludf.DUMMYFUNCTION("GOOGLEFINANCE(""BOM:""&amp;A15,""MARKETCAP"")/10000000"),9188.4898554)</f>
        <v>9188.4898553999992</v>
      </c>
      <c r="G15" s="95">
        <f t="shared" ca="1" si="0"/>
        <v>9.4903238166902278E-3</v>
      </c>
      <c r="H15" s="101">
        <f>VLOOKUP(A15,'BSE ALL CAP'!$B$4:$Y$1038,7,)</f>
        <v>441</v>
      </c>
      <c r="I15" s="101">
        <f>VLOOKUP(A15,'BSE ALL CAP'!$B$4:$Y$1038,8,)</f>
        <v>330</v>
      </c>
      <c r="J15" s="101">
        <f>VLOOKUP(A15,'BSE ALL CAP'!$B$4:$Y$1038,9,)</f>
        <v>96</v>
      </c>
      <c r="K15" s="101">
        <f>VLOOKUP(A15,'BSE ALL CAP'!$B$4:$Y$1038,10,)</f>
        <v>61</v>
      </c>
      <c r="L15" s="101">
        <f>VLOOKUP(A15,'BSE ALL CAP'!$B$4:$Y$1038,11,)</f>
        <v>158</v>
      </c>
      <c r="M15" s="101">
        <f>VLOOKUP(A15,'BSE ALL CAP'!$B$4:$Y$1038,12,)</f>
        <v>120</v>
      </c>
      <c r="N15" s="101">
        <f>VLOOKUP(A15,'BSE ALL CAP'!$B$4:$Y$1038,13,)</f>
        <v>34</v>
      </c>
      <c r="O15" s="101">
        <f>VLOOKUP(A15,'BSE ALL CAP'!$B$4:$Y$1038,14,)</f>
        <v>23</v>
      </c>
      <c r="P15" s="95">
        <f>VLOOKUP(A15,'BSE ALL CAP'!$B$4:$Y$1038,15,)</f>
        <v>0.21768707482993196</v>
      </c>
      <c r="Q15" s="95">
        <f>VLOOKUP(A15,'BSE ALL CAP'!$B$4:$Y$1038,16,)</f>
        <v>0.18484848484848485</v>
      </c>
      <c r="R15" s="95">
        <f>VLOOKUP(A15,'BSE ALL CAP'!$B$4:$Y$1038,17,)</f>
        <v>3.2838589981447119E-2</v>
      </c>
      <c r="S15" s="95">
        <f>VLOOKUP(A15,'BSE ALL CAP'!$B$4:$Y$1038,18,)</f>
        <v>0.21518987341772153</v>
      </c>
      <c r="T15" s="95">
        <f>VLOOKUP(A15,'BSE ALL CAP'!$B$4:$Y$1038,19,)</f>
        <v>0.19166666666666668</v>
      </c>
      <c r="U15" s="95">
        <f>VLOOKUP(A15,'BSE ALL CAP'!$B$4:$Y$1038,20,)</f>
        <v>2.3523206751054848E-2</v>
      </c>
      <c r="V15" s="95">
        <f>VLOOKUP(A15,'BSE ALL CAP'!$B$4:$Y$1038,21,)</f>
        <v>0.33636363636363642</v>
      </c>
      <c r="W15" s="95">
        <f>VLOOKUP(A15,'BSE ALL CAP'!$B$4:$Y$1038,22,)</f>
        <v>0.57377049180327866</v>
      </c>
      <c r="X15" s="95">
        <f>VLOOKUP(A15,'BSE ALL CAP'!$B$4:$Y$1038,23,)</f>
        <v>0.31666666666666665</v>
      </c>
      <c r="Y15" s="95">
        <f>VLOOKUP(A15,'BSE ALL CAP'!$B$4:$Y$1038,24,)</f>
        <v>0.47826086956521729</v>
      </c>
    </row>
    <row r="16" spans="1:25" ht="15.75" customHeight="1">
      <c r="A16" s="99">
        <v>505700</v>
      </c>
      <c r="B16" s="98" t="s">
        <v>4254</v>
      </c>
      <c r="C16" s="101" t="str">
        <f>VLOOKUP(A16,'BSE ALL CAP'!$B$4:$Y$1038,2,)</f>
        <v>Industrials</v>
      </c>
      <c r="D16" s="101" t="str">
        <f>VLOOKUP(A16,'BSE ALL CAP'!$B$4:$Y$1038,3,)</f>
        <v>Heavy Electrical Equipment</v>
      </c>
      <c r="E16" s="101">
        <f ca="1">IFERROR(__xludf.DUMMYFUNCTION("GOOGLEFINANCE(""BOM:""&amp;A16,""PRICE"")"),394.6)</f>
        <v>394.6</v>
      </c>
      <c r="F16" s="112">
        <f ca="1">IFERROR(__xludf.DUMMYFUNCTION("GOOGLEFINANCE(""BOM:""&amp;A16,""MARKETCAP"")/10000000"),8837.9901984)</f>
        <v>8837.9901984000007</v>
      </c>
      <c r="G16" s="95">
        <f t="shared" ca="1" si="0"/>
        <v>9.128310548469229E-3</v>
      </c>
      <c r="H16" s="101">
        <f>VLOOKUP(A16,'BSE ALL CAP'!$B$4:$Y$1038,7,)</f>
        <v>1684</v>
      </c>
      <c r="I16" s="101">
        <f>VLOOKUP(A16,'BSE ALL CAP'!$B$4:$Y$1038,8,)</f>
        <v>1470</v>
      </c>
      <c r="J16" s="101">
        <f>VLOOKUP(A16,'BSE ALL CAP'!$B$4:$Y$1038,9,)</f>
        <v>335</v>
      </c>
      <c r="K16" s="101">
        <f>VLOOKUP(A16,'BSE ALL CAP'!$B$4:$Y$1038,10,)</f>
        <v>268</v>
      </c>
      <c r="L16" s="101">
        <f>VLOOKUP(A16,'BSE ALL CAP'!$B$4:$Y$1038,11,)</f>
        <v>570</v>
      </c>
      <c r="M16" s="101">
        <f>VLOOKUP(A16,'BSE ALL CAP'!$B$4:$Y$1038,12,)</f>
        <v>544</v>
      </c>
      <c r="N16" s="101">
        <f>VLOOKUP(A16,'BSE ALL CAP'!$B$4:$Y$1038,13,)</f>
        <v>71</v>
      </c>
      <c r="O16" s="101">
        <f>VLOOKUP(A16,'BSE ALL CAP'!$B$4:$Y$1038,14,)</f>
        <v>107</v>
      </c>
      <c r="P16" s="95">
        <f>VLOOKUP(A16,'BSE ALL CAP'!$B$4:$Y$1038,15,)</f>
        <v>0.19893111638954869</v>
      </c>
      <c r="Q16" s="95">
        <f>VLOOKUP(A16,'BSE ALL CAP'!$B$4:$Y$1038,16,)</f>
        <v>0.18231292517006803</v>
      </c>
      <c r="R16" s="95">
        <f>VLOOKUP(A16,'BSE ALL CAP'!$B$4:$Y$1038,17,)</f>
        <v>1.661819121948066E-2</v>
      </c>
      <c r="S16" s="95">
        <f>VLOOKUP(A16,'BSE ALL CAP'!$B$4:$Y$1038,18,)</f>
        <v>0.12456140350877193</v>
      </c>
      <c r="T16" s="95">
        <f>VLOOKUP(A16,'BSE ALL CAP'!$B$4:$Y$1038,19,)</f>
        <v>0.19669117647058823</v>
      </c>
      <c r="U16" s="95">
        <f>VLOOKUP(A16,'BSE ALL CAP'!$B$4:$Y$1038,20,)</f>
        <v>-7.2129772961816302E-2</v>
      </c>
      <c r="V16" s="95">
        <f>VLOOKUP(A16,'BSE ALL CAP'!$B$4:$Y$1038,21,)</f>
        <v>0.1455782312925169</v>
      </c>
      <c r="W16" s="95">
        <f>VLOOKUP(A16,'BSE ALL CAP'!$B$4:$Y$1038,22,)</f>
        <v>0.25</v>
      </c>
      <c r="X16" s="95">
        <f>VLOOKUP(A16,'BSE ALL CAP'!$B$4:$Y$1038,23,)</f>
        <v>4.7794117647058876E-2</v>
      </c>
      <c r="Y16" s="95">
        <f>VLOOKUP(A16,'BSE ALL CAP'!$B$4:$Y$1038,24,)</f>
        <v>-0.33644859813084116</v>
      </c>
    </row>
    <row r="17" spans="1:25" ht="15.75" customHeight="1">
      <c r="A17" s="99">
        <v>532757</v>
      </c>
      <c r="B17" s="98" t="s">
        <v>4255</v>
      </c>
      <c r="C17" s="101" t="str">
        <f>VLOOKUP(A17,'BSE ALL CAP'!$B$4:$Y$1038,2,)</f>
        <v>Industrials</v>
      </c>
      <c r="D17" s="101" t="str">
        <f>VLOOKUP(A17,'BSE ALL CAP'!$B$4:$Y$1038,3,)</f>
        <v>Heavy Electrical Equipment</v>
      </c>
      <c r="E17" s="101">
        <f ca="1">IFERROR(__xludf.DUMMYFUNCTION("GOOGLEFINANCE(""BOM:""&amp;A17,""PRICE"")"),9056)</f>
        <v>9056</v>
      </c>
      <c r="F17" s="112">
        <f ca="1">IFERROR(__xludf.DUMMYFUNCTION("GOOGLEFINANCE(""BOM:""&amp;A17,""MARKETCAP"")/10000000"),9163.075584)</f>
        <v>9163.0755840000002</v>
      </c>
      <c r="G17" s="95">
        <f t="shared" ca="1" si="0"/>
        <v>9.4640747084094468E-3</v>
      </c>
      <c r="H17" s="101">
        <f>VLOOKUP(A17,'BSE ALL CAP'!$B$4:$Y$1038,7,)</f>
        <v>1536</v>
      </c>
      <c r="I17" s="101">
        <f>VLOOKUP(A17,'BSE ALL CAP'!$B$4:$Y$1038,8,)</f>
        <v>1309</v>
      </c>
      <c r="J17" s="101">
        <f>VLOOKUP(A17,'BSE ALL CAP'!$B$4:$Y$1038,9,)</f>
        <v>257</v>
      </c>
      <c r="K17" s="101">
        <f>VLOOKUP(A17,'BSE ALL CAP'!$B$4:$Y$1038,10,)</f>
        <v>228</v>
      </c>
      <c r="L17" s="101">
        <f>VLOOKUP(A17,'BSE ALL CAP'!$B$4:$Y$1038,11,)</f>
        <v>630</v>
      </c>
      <c r="M17" s="101">
        <f>VLOOKUP(A17,'BSE ALL CAP'!$B$4:$Y$1038,12,)</f>
        <v>483</v>
      </c>
      <c r="N17" s="101">
        <f>VLOOKUP(A17,'BSE ALL CAP'!$B$4:$Y$1038,13,)</f>
        <v>99</v>
      </c>
      <c r="O17" s="101">
        <f>VLOOKUP(A17,'BSE ALL CAP'!$B$4:$Y$1038,14,)</f>
        <v>73</v>
      </c>
      <c r="P17" s="95">
        <f>VLOOKUP(A17,'BSE ALL CAP'!$B$4:$Y$1038,15,)</f>
        <v>0.16731770833333334</v>
      </c>
      <c r="Q17" s="95">
        <f>VLOOKUP(A17,'BSE ALL CAP'!$B$4:$Y$1038,16,)</f>
        <v>0.17417876241405653</v>
      </c>
      <c r="R17" s="95">
        <f>VLOOKUP(A17,'BSE ALL CAP'!$B$4:$Y$1038,17,)</f>
        <v>-6.8610540807231835E-3</v>
      </c>
      <c r="S17" s="95">
        <f>VLOOKUP(A17,'BSE ALL CAP'!$B$4:$Y$1038,18,)</f>
        <v>0.15714285714285714</v>
      </c>
      <c r="T17" s="95">
        <f>VLOOKUP(A17,'BSE ALL CAP'!$B$4:$Y$1038,19,)</f>
        <v>0.15113871635610765</v>
      </c>
      <c r="U17" s="95">
        <f>VLOOKUP(A17,'BSE ALL CAP'!$B$4:$Y$1038,20,)</f>
        <v>6.00414078674949E-3</v>
      </c>
      <c r="V17" s="95">
        <f>VLOOKUP(A17,'BSE ALL CAP'!$B$4:$Y$1038,21,)</f>
        <v>0.17341482047364409</v>
      </c>
      <c r="W17" s="95">
        <f>VLOOKUP(A17,'BSE ALL CAP'!$B$4:$Y$1038,22,)</f>
        <v>0.12719298245614041</v>
      </c>
      <c r="X17" s="95">
        <f>VLOOKUP(A17,'BSE ALL CAP'!$B$4:$Y$1038,23,)</f>
        <v>0.30434782608695654</v>
      </c>
      <c r="Y17" s="95">
        <f>VLOOKUP(A17,'BSE ALL CAP'!$B$4:$Y$1038,24,)</f>
        <v>0.35616438356164393</v>
      </c>
    </row>
    <row r="18" spans="1:25" ht="15.75" customHeight="1">
      <c r="A18" s="99">
        <v>544317</v>
      </c>
      <c r="B18" s="98" t="s">
        <v>4256</v>
      </c>
      <c r="C18" s="101" t="str">
        <f>VLOOKUP(A18,'BSE ALL CAP'!$B$4:$Y$1038,2,)</f>
        <v>Industrials</v>
      </c>
      <c r="D18" s="101" t="str">
        <f>VLOOKUP(A18,'BSE ALL CAP'!$B$4:$Y$1038,3,)</f>
        <v>Heavy Electrical Equipment</v>
      </c>
      <c r="E18" s="101">
        <f ca="1">IFERROR(__xludf.DUMMYFUNCTION("GOOGLEFINANCE(""BOM:""&amp;A18,""PRICE"")"),495)</f>
        <v>495</v>
      </c>
      <c r="F18" s="112">
        <f ca="1">IFERROR(__xludf.DUMMYFUNCTION("GOOGLEFINANCE(""BOM:""&amp;A18,""MARKETCAP"")/10000000"),6636.83625)</f>
        <v>6636.8362500000003</v>
      </c>
      <c r="G18" s="95">
        <f t="shared" ca="1" si="0"/>
        <v>6.8548505926500931E-3</v>
      </c>
      <c r="H18" s="101">
        <f>VLOOKUP(A18,'BSE ALL CAP'!$B$4:$Y$1038,7,)</f>
        <v>4948</v>
      </c>
      <c r="I18" s="101">
        <f>VLOOKUP(A18,'BSE ALL CAP'!$B$4:$Y$1038,8,)</f>
        <v>3306</v>
      </c>
      <c r="J18" s="101">
        <f>VLOOKUP(A18,'BSE ALL CAP'!$B$4:$Y$1038,9,)</f>
        <v>307</v>
      </c>
      <c r="K18" s="101">
        <f>VLOOKUP(A18,'BSE ALL CAP'!$B$4:$Y$1038,10,)</f>
        <v>200</v>
      </c>
      <c r="L18" s="101">
        <f>VLOOKUP(A18,'BSE ALL CAP'!$B$4:$Y$1038,11,)</f>
        <v>1777</v>
      </c>
      <c r="M18" s="101">
        <f>VLOOKUP(A18,'BSE ALL CAP'!$B$4:$Y$1038,12,)</f>
        <v>1340</v>
      </c>
      <c r="N18" s="101">
        <f>VLOOKUP(A18,'BSE ALL CAP'!$B$4:$Y$1038,13,)</f>
        <v>110</v>
      </c>
      <c r="O18" s="101">
        <f>VLOOKUP(A18,'BSE ALL CAP'!$B$4:$Y$1038,14,)</f>
        <v>93</v>
      </c>
      <c r="P18" s="95">
        <f>VLOOKUP(A18,'BSE ALL CAP'!$B$4:$Y$1038,15,)</f>
        <v>6.2045270816491513E-2</v>
      </c>
      <c r="Q18" s="95">
        <f>VLOOKUP(A18,'BSE ALL CAP'!$B$4:$Y$1038,16,)</f>
        <v>6.0496067755595885E-2</v>
      </c>
      <c r="R18" s="95">
        <f>VLOOKUP(A18,'BSE ALL CAP'!$B$4:$Y$1038,17,)</f>
        <v>1.5492030608956278E-3</v>
      </c>
      <c r="S18" s="95">
        <f>VLOOKUP(A18,'BSE ALL CAP'!$B$4:$Y$1038,18,)</f>
        <v>6.1902082160945414E-2</v>
      </c>
      <c r="T18" s="95">
        <f>VLOOKUP(A18,'BSE ALL CAP'!$B$4:$Y$1038,19,)</f>
        <v>6.9402985074626861E-2</v>
      </c>
      <c r="U18" s="95">
        <f>VLOOKUP(A18,'BSE ALL CAP'!$B$4:$Y$1038,20,)</f>
        <v>-7.5009029136814467E-3</v>
      </c>
      <c r="V18" s="95">
        <f>VLOOKUP(A18,'BSE ALL CAP'!$B$4:$Y$1038,21,)</f>
        <v>0.49667271627344212</v>
      </c>
      <c r="W18" s="95">
        <f>VLOOKUP(A18,'BSE ALL CAP'!$B$4:$Y$1038,22,)</f>
        <v>0.53499999999999992</v>
      </c>
      <c r="X18" s="95">
        <f>VLOOKUP(A18,'BSE ALL CAP'!$B$4:$Y$1038,23,)</f>
        <v>0.32611940298507469</v>
      </c>
      <c r="Y18" s="95">
        <f>VLOOKUP(A18,'BSE ALL CAP'!$B$4:$Y$1038,24,)</f>
        <v>0.18279569892473124</v>
      </c>
    </row>
    <row r="19" spans="1:25" ht="15.75" customHeight="1">
      <c r="A19" s="99">
        <v>544367</v>
      </c>
      <c r="B19" s="98" t="s">
        <v>4257</v>
      </c>
      <c r="C19" s="101" t="str">
        <f>VLOOKUP(A19,'BSE ALL CAP'!$B$4:$Y$1038,2,)</f>
        <v>Industrials</v>
      </c>
      <c r="D19" s="101" t="str">
        <f>VLOOKUP(A19,'BSE ALL CAP'!$B$4:$Y$1038,3,)</f>
        <v>Heavy Electrical Equipment</v>
      </c>
      <c r="E19" s="101">
        <f ca="1">IFERROR(__xludf.DUMMYFUNCTION("GOOGLEFINANCE(""BOM:""&amp;A19,""PRICE"")"),882.9)</f>
        <v>882.9</v>
      </c>
      <c r="F19" s="112">
        <f ca="1">IFERROR(__xludf.DUMMYFUNCTION("GOOGLEFINANCE(""BOM:""&amp;A19,""MARKETCAP"")/10000000"),6830.182494)</f>
        <v>6830.1824939999997</v>
      </c>
      <c r="G19" s="95">
        <f t="shared" ca="1" si="0"/>
        <v>7.0545480938909999E-3</v>
      </c>
      <c r="H19" s="101">
        <f>VLOOKUP(A19,'BSE ALL CAP'!$B$4:$Y$1038,7,)</f>
        <v>666</v>
      </c>
      <c r="I19" s="101">
        <f>VLOOKUP(A19,'BSE ALL CAP'!$B$4:$Y$1038,8,)</f>
        <v>228</v>
      </c>
      <c r="J19" s="101">
        <f>VLOOKUP(A19,'BSE ALL CAP'!$B$4:$Y$1038,9,)</f>
        <v>134</v>
      </c>
      <c r="K19" s="101">
        <f>VLOOKUP(A19,'BSE ALL CAP'!$B$4:$Y$1038,10,)</f>
        <v>69</v>
      </c>
      <c r="L19" s="101">
        <f>VLOOKUP(A19,'BSE ALL CAP'!$B$4:$Y$1038,11,)</f>
        <v>283</v>
      </c>
      <c r="M19" s="101">
        <f>VLOOKUP(A19,'BSE ALL CAP'!$B$4:$Y$1038,12,)</f>
        <v>72</v>
      </c>
      <c r="N19" s="101">
        <f>VLOOKUP(A19,'BSE ALL CAP'!$B$4:$Y$1038,13,)</f>
        <v>62</v>
      </c>
      <c r="O19" s="101">
        <f>VLOOKUP(A19,'BSE ALL CAP'!$B$4:$Y$1038,14,)</f>
        <v>19</v>
      </c>
      <c r="P19" s="95">
        <f>VLOOKUP(A19,'BSE ALL CAP'!$B$4:$Y$1038,15,)</f>
        <v>0.20120120120120119</v>
      </c>
      <c r="Q19" s="95">
        <f>VLOOKUP(A19,'BSE ALL CAP'!$B$4:$Y$1038,16,)</f>
        <v>0.30263157894736842</v>
      </c>
      <c r="R19" s="95">
        <f>VLOOKUP(A19,'BSE ALL CAP'!$B$4:$Y$1038,17,)</f>
        <v>-0.10143037774616723</v>
      </c>
      <c r="S19" s="95">
        <f>VLOOKUP(A19,'BSE ALL CAP'!$B$4:$Y$1038,18,)</f>
        <v>0.21908127208480566</v>
      </c>
      <c r="T19" s="95">
        <f>VLOOKUP(A19,'BSE ALL CAP'!$B$4:$Y$1038,19,)</f>
        <v>0.2638888888888889</v>
      </c>
      <c r="U19" s="95">
        <f>VLOOKUP(A19,'BSE ALL CAP'!$B$4:$Y$1038,20,)</f>
        <v>-4.4807616804083239E-2</v>
      </c>
      <c r="V19" s="95">
        <f>VLOOKUP(A19,'BSE ALL CAP'!$B$4:$Y$1038,21,)</f>
        <v>1.9210526315789473</v>
      </c>
      <c r="W19" s="95">
        <f>VLOOKUP(A19,'BSE ALL CAP'!$B$4:$Y$1038,22,)</f>
        <v>0.94202898550724634</v>
      </c>
      <c r="X19" s="95">
        <f>VLOOKUP(A19,'BSE ALL CAP'!$B$4:$Y$1038,23,)</f>
        <v>2.9305555555555554</v>
      </c>
      <c r="Y19" s="95">
        <f>VLOOKUP(A19,'BSE ALL CAP'!$B$4:$Y$1038,24,)</f>
        <v>2.263157894736842</v>
      </c>
    </row>
    <row r="20" spans="1:25" ht="15.75" customHeight="1">
      <c r="A20" s="99">
        <v>544527</v>
      </c>
      <c r="B20" s="98" t="s">
        <v>4258</v>
      </c>
      <c r="C20" s="101" t="e">
        <f>VLOOKUP(A20,'BSE ALL CAP'!$B$4:$Y$1038,2,)</f>
        <v>#N/A</v>
      </c>
      <c r="D20" s="101" t="e">
        <f>VLOOKUP(A20,'BSE ALL CAP'!$B$4:$Y$1038,3,)</f>
        <v>#N/A</v>
      </c>
      <c r="E20" s="101">
        <f ca="1">IFERROR(__xludf.DUMMYFUNCTION("GOOGLEFINANCE(""BOM:""&amp;A20,""PRICE"")"),1210)</f>
        <v>1210</v>
      </c>
      <c r="F20" s="112">
        <f ca="1">IFERROR(__xludf.DUMMYFUNCTION("GOOGLEFINANCE(""BOM:""&amp;A20,""MARKETCAP"")/10000000"),9304.49102)</f>
        <v>9304.4910199999995</v>
      </c>
      <c r="G20" s="95">
        <f t="shared" ca="1" si="0"/>
        <v>9.6101355194283221E-3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532928</v>
      </c>
      <c r="B21" s="98" t="s">
        <v>4259</v>
      </c>
      <c r="C21" s="101" t="str">
        <f>VLOOKUP(A21,'BSE ALL CAP'!$B$4:$Y$1038,2,)</f>
        <v>Industrials</v>
      </c>
      <c r="D21" s="101" t="str">
        <f>VLOOKUP(A21,'BSE ALL CAP'!$B$4:$Y$1038,3,)</f>
        <v>Heavy Electrical Equipment</v>
      </c>
      <c r="E21" s="101">
        <f ca="1">IFERROR(__xludf.DUMMYFUNCTION("GOOGLEFINANCE(""BOM:""&amp;A21,""PRICE"")"),274.15)</f>
        <v>274.14999999999998</v>
      </c>
      <c r="F21" s="112">
        <f ca="1">IFERROR(__xludf.DUMMYFUNCTION("GOOGLEFINANCE(""BOM:""&amp;A21,""MARKETCAP"")/10000000"),4163.6777058)</f>
        <v>4163.6777057999998</v>
      </c>
      <c r="G21" s="95">
        <f t="shared" ca="1" si="0"/>
        <v>4.3004509248223671E-3</v>
      </c>
      <c r="H21" s="101">
        <f>VLOOKUP(A21,'BSE ALL CAP'!$B$4:$Y$1038,7,)</f>
        <v>1764</v>
      </c>
      <c r="I21" s="101">
        <f>VLOOKUP(A21,'BSE ALL CAP'!$B$4:$Y$1038,8,)</f>
        <v>1367</v>
      </c>
      <c r="J21" s="101">
        <f>VLOOKUP(A21,'BSE ALL CAP'!$B$4:$Y$1038,9,)</f>
        <v>181</v>
      </c>
      <c r="K21" s="101">
        <f>VLOOKUP(A21,'BSE ALL CAP'!$B$4:$Y$1038,10,)</f>
        <v>122</v>
      </c>
      <c r="L21" s="101">
        <f>VLOOKUP(A21,'BSE ALL CAP'!$B$4:$Y$1038,11,)</f>
        <v>741</v>
      </c>
      <c r="M21" s="101">
        <f>VLOOKUP(A21,'BSE ALL CAP'!$B$4:$Y$1038,12,)</f>
        <v>568</v>
      </c>
      <c r="N21" s="101">
        <f>VLOOKUP(A21,'BSE ALL CAP'!$B$4:$Y$1038,13,)</f>
        <v>76</v>
      </c>
      <c r="O21" s="101">
        <f>VLOOKUP(A21,'BSE ALL CAP'!$B$4:$Y$1038,14,)</f>
        <v>55</v>
      </c>
      <c r="P21" s="95">
        <f>VLOOKUP(A21,'BSE ALL CAP'!$B$4:$Y$1038,15,)</f>
        <v>0.10260770975056689</v>
      </c>
      <c r="Q21" s="95">
        <f>VLOOKUP(A21,'BSE ALL CAP'!$B$4:$Y$1038,16,)</f>
        <v>8.9246525237746885E-2</v>
      </c>
      <c r="R21" s="95">
        <f>VLOOKUP(A21,'BSE ALL CAP'!$B$4:$Y$1038,17,)</f>
        <v>1.3361184512820007E-2</v>
      </c>
      <c r="S21" s="95">
        <f>VLOOKUP(A21,'BSE ALL CAP'!$B$4:$Y$1038,18,)</f>
        <v>0.10256410256410256</v>
      </c>
      <c r="T21" s="95">
        <f>VLOOKUP(A21,'BSE ALL CAP'!$B$4:$Y$1038,19,)</f>
        <v>9.6830985915492954E-2</v>
      </c>
      <c r="U21" s="95">
        <f>VLOOKUP(A21,'BSE ALL CAP'!$B$4:$Y$1038,20,)</f>
        <v>5.7331166486096069E-3</v>
      </c>
      <c r="V21" s="95">
        <f>VLOOKUP(A21,'BSE ALL CAP'!$B$4:$Y$1038,21,)</f>
        <v>0.29041697147037304</v>
      </c>
      <c r="W21" s="95">
        <f>VLOOKUP(A21,'BSE ALL CAP'!$B$4:$Y$1038,22,)</f>
        <v>0.48360655737704916</v>
      </c>
      <c r="X21" s="95">
        <f>VLOOKUP(A21,'BSE ALL CAP'!$B$4:$Y$1038,23,)</f>
        <v>0.30457746478873249</v>
      </c>
      <c r="Y21" s="95">
        <f>VLOOKUP(A21,'BSE ALL CAP'!$B$4:$Y$1038,24,)</f>
        <v>0.38181818181818183</v>
      </c>
    </row>
    <row r="22" spans="1:25" ht="15.75" customHeight="1">
      <c r="A22" s="99">
        <v>531201</v>
      </c>
      <c r="B22" s="98" t="s">
        <v>4260</v>
      </c>
      <c r="C22" s="101" t="str">
        <f>VLOOKUP(A22,'BSE ALL CAP'!$B$4:$Y$1038,2,)</f>
        <v>Industrials</v>
      </c>
      <c r="D22" s="101" t="str">
        <f>VLOOKUP(A22,'BSE ALL CAP'!$B$4:$Y$1038,3,)</f>
        <v>Heavy Electrical Equipment</v>
      </c>
      <c r="E22" s="101">
        <f ca="1">IFERROR(__xludf.DUMMYFUNCTION("GOOGLEFINANCE(""BOM:""&amp;A22,""PRICE"")"),4066.7)</f>
        <v>4066.7</v>
      </c>
      <c r="F22" s="112">
        <f ca="1">IFERROR(__xludf.DUMMYFUNCTION("GOOGLEFINANCE(""BOM:""&amp;A22,""MARKETCAP"")/10000000"),4656.1614)</f>
        <v>4656.1614</v>
      </c>
      <c r="G22" s="95">
        <f t="shared" ca="1" si="0"/>
        <v>4.8091122833209101E-3</v>
      </c>
      <c r="H22" s="101">
        <f>VLOOKUP(A22,'BSE ALL CAP'!$B$4:$Y$1038,7,)</f>
        <v>500</v>
      </c>
      <c r="I22" s="101">
        <f>VLOOKUP(A22,'BSE ALL CAP'!$B$4:$Y$1038,8,)</f>
        <v>391</v>
      </c>
      <c r="J22" s="101">
        <f>VLOOKUP(A22,'BSE ALL CAP'!$B$4:$Y$1038,9,)</f>
        <v>129</v>
      </c>
      <c r="K22" s="101">
        <f>VLOOKUP(A22,'BSE ALL CAP'!$B$4:$Y$1038,10,)</f>
        <v>91</v>
      </c>
      <c r="L22" s="101">
        <f>VLOOKUP(A22,'BSE ALL CAP'!$B$4:$Y$1038,11,)</f>
        <v>170</v>
      </c>
      <c r="M22" s="101">
        <f>VLOOKUP(A22,'BSE ALL CAP'!$B$4:$Y$1038,12,)</f>
        <v>153</v>
      </c>
      <c r="N22" s="101">
        <f>VLOOKUP(A22,'BSE ALL CAP'!$B$4:$Y$1038,13,)</f>
        <v>42</v>
      </c>
      <c r="O22" s="101">
        <f>VLOOKUP(A22,'BSE ALL CAP'!$B$4:$Y$1038,14,)</f>
        <v>34</v>
      </c>
      <c r="P22" s="95">
        <f>VLOOKUP(A22,'BSE ALL CAP'!$B$4:$Y$1038,15,)</f>
        <v>0.25800000000000001</v>
      </c>
      <c r="Q22" s="95">
        <f>VLOOKUP(A22,'BSE ALL CAP'!$B$4:$Y$1038,16,)</f>
        <v>0.23273657289002558</v>
      </c>
      <c r="R22" s="95">
        <f>VLOOKUP(A22,'BSE ALL CAP'!$B$4:$Y$1038,17,)</f>
        <v>2.5263427109974423E-2</v>
      </c>
      <c r="S22" s="95">
        <f>VLOOKUP(A22,'BSE ALL CAP'!$B$4:$Y$1038,18,)</f>
        <v>0.24705882352941178</v>
      </c>
      <c r="T22" s="95">
        <f>VLOOKUP(A22,'BSE ALL CAP'!$B$4:$Y$1038,19,)</f>
        <v>0.22222222222222221</v>
      </c>
      <c r="U22" s="95">
        <f>VLOOKUP(A22,'BSE ALL CAP'!$B$4:$Y$1038,20,)</f>
        <v>2.4836601307189565E-2</v>
      </c>
      <c r="V22" s="95">
        <f>VLOOKUP(A22,'BSE ALL CAP'!$B$4:$Y$1038,21,)</f>
        <v>0.27877237851662406</v>
      </c>
      <c r="W22" s="95">
        <f>VLOOKUP(A22,'BSE ALL CAP'!$B$4:$Y$1038,22,)</f>
        <v>0.41758241758241765</v>
      </c>
      <c r="X22" s="95">
        <f>VLOOKUP(A22,'BSE ALL CAP'!$B$4:$Y$1038,23,)</f>
        <v>0.11111111111111116</v>
      </c>
      <c r="Y22" s="95">
        <f>VLOOKUP(A22,'BSE ALL CAP'!$B$4:$Y$1038,24,)</f>
        <v>0.23529411764705888</v>
      </c>
    </row>
    <row r="23" spans="1:25" ht="15.75" customHeight="1">
      <c r="A23" s="99">
        <v>538562</v>
      </c>
      <c r="B23" s="98" t="s">
        <v>4261</v>
      </c>
      <c r="C23" s="101" t="str">
        <f>VLOOKUP(A23,'BSE ALL CAP'!$B$4:$Y$1038,2,)</f>
        <v>Industrials</v>
      </c>
      <c r="D23" s="101" t="str">
        <f>VLOOKUP(A23,'BSE ALL CAP'!$B$4:$Y$1038,3,)</f>
        <v>Heavy Electrical Equipment</v>
      </c>
      <c r="E23" s="101">
        <f ca="1">IFERROR(__xludf.DUMMYFUNCTION("GOOGLEFINANCE(""BOM:""&amp;A23,""PRICE"")"),357.7)</f>
        <v>357.7</v>
      </c>
      <c r="F23" s="112">
        <f ca="1">IFERROR(__xludf.DUMMYFUNCTION("GOOGLEFINANCE(""BOM:""&amp;A23,""MARKETCAP"")/10000000"),4043.7163081)</f>
        <v>4043.7163080999999</v>
      </c>
      <c r="G23" s="95">
        <f t="shared" ca="1" si="0"/>
        <v>4.1765488987449599E-3</v>
      </c>
      <c r="H23" s="101">
        <f>VLOOKUP(A23,'BSE ALL CAP'!$B$4:$Y$1038,7,)</f>
        <v>3886</v>
      </c>
      <c r="I23" s="101">
        <f>VLOOKUP(A23,'BSE ALL CAP'!$B$4:$Y$1038,8,)</f>
        <v>3336</v>
      </c>
      <c r="J23" s="101">
        <f>VLOOKUP(A23,'BSE ALL CAP'!$B$4:$Y$1038,9,)</f>
        <v>135</v>
      </c>
      <c r="K23" s="101">
        <f>VLOOKUP(A23,'BSE ALL CAP'!$B$4:$Y$1038,10,)</f>
        <v>101</v>
      </c>
      <c r="L23" s="101">
        <f>VLOOKUP(A23,'BSE ALL CAP'!$B$4:$Y$1038,11,)</f>
        <v>1370</v>
      </c>
      <c r="M23" s="101">
        <f>VLOOKUP(A23,'BSE ALL CAP'!$B$4:$Y$1038,12,)</f>
        <v>1135</v>
      </c>
      <c r="N23" s="101">
        <f>VLOOKUP(A23,'BSE ALL CAP'!$B$4:$Y$1038,13,)</f>
        <v>52</v>
      </c>
      <c r="O23" s="101">
        <f>VLOOKUP(A23,'BSE ALL CAP'!$B$4:$Y$1038,14,)</f>
        <v>36</v>
      </c>
      <c r="P23" s="95">
        <f>VLOOKUP(A23,'BSE ALL CAP'!$B$4:$Y$1038,15,)</f>
        <v>3.4740092640247043E-2</v>
      </c>
      <c r="Q23" s="95">
        <f>VLOOKUP(A23,'BSE ALL CAP'!$B$4:$Y$1038,16,)</f>
        <v>3.02757793764988E-2</v>
      </c>
      <c r="R23" s="95">
        <f>VLOOKUP(A23,'BSE ALL CAP'!$B$4:$Y$1038,17,)</f>
        <v>4.464313263748243E-3</v>
      </c>
      <c r="S23" s="95">
        <f>VLOOKUP(A23,'BSE ALL CAP'!$B$4:$Y$1038,18,)</f>
        <v>3.7956204379562042E-2</v>
      </c>
      <c r="T23" s="95">
        <f>VLOOKUP(A23,'BSE ALL CAP'!$B$4:$Y$1038,19,)</f>
        <v>3.1718061674008813E-2</v>
      </c>
      <c r="U23" s="95">
        <f>VLOOKUP(A23,'BSE ALL CAP'!$B$4:$Y$1038,20,)</f>
        <v>6.238142705553229E-3</v>
      </c>
      <c r="V23" s="95">
        <f>VLOOKUP(A23,'BSE ALL CAP'!$B$4:$Y$1038,21,)</f>
        <v>0.16486810551558762</v>
      </c>
      <c r="W23" s="95">
        <f>VLOOKUP(A23,'BSE ALL CAP'!$B$4:$Y$1038,22,)</f>
        <v>0.33663366336633671</v>
      </c>
      <c r="X23" s="95">
        <f>VLOOKUP(A23,'BSE ALL CAP'!$B$4:$Y$1038,23,)</f>
        <v>0.20704845814977979</v>
      </c>
      <c r="Y23" s="95">
        <f>VLOOKUP(A23,'BSE ALL CAP'!$B$4:$Y$1038,24,)</f>
        <v>0.44444444444444442</v>
      </c>
    </row>
    <row r="24" spans="1:25" ht="15.75" customHeight="1">
      <c r="A24" s="99">
        <v>532309</v>
      </c>
      <c r="B24" s="98" t="s">
        <v>4262</v>
      </c>
      <c r="C24" s="101" t="str">
        <f>VLOOKUP(A24,'BSE ALL CAP'!$B$4:$Y$1038,2,)</f>
        <v>Industrials</v>
      </c>
      <c r="D24" s="101" t="str">
        <f>VLOOKUP(A24,'BSE ALL CAP'!$B$4:$Y$1038,3,)</f>
        <v>Heavy Electrical Equipment</v>
      </c>
      <c r="E24" s="101">
        <f ca="1">IFERROR(__xludf.DUMMYFUNCTION("GOOGLEFINANCE(""BOM:""&amp;A24,""PRICE"")"),429)</f>
        <v>429</v>
      </c>
      <c r="F24" s="112">
        <f ca="1">IFERROR(__xludf.DUMMYFUNCTION("GOOGLEFINANCE(""BOM:""&amp;A24,""MARKETCAP"")/10000000"),2763.049)</f>
        <v>2763.049</v>
      </c>
      <c r="G24" s="95">
        <f t="shared" ca="1" si="0"/>
        <v>2.8538127749002766E-3</v>
      </c>
      <c r="H24" s="101">
        <f>VLOOKUP(A24,'BSE ALL CAP'!$B$4:$Y$1038,7,)</f>
        <v>952</v>
      </c>
      <c r="I24" s="101">
        <f>VLOOKUP(A24,'BSE ALL CAP'!$B$4:$Y$1038,8,)</f>
        <v>780</v>
      </c>
      <c r="J24" s="101">
        <f>VLOOKUP(A24,'BSE ALL CAP'!$B$4:$Y$1038,9,)</f>
        <v>139</v>
      </c>
      <c r="K24" s="101">
        <f>VLOOKUP(A24,'BSE ALL CAP'!$B$4:$Y$1038,10,)</f>
        <v>38</v>
      </c>
      <c r="L24" s="101">
        <f>VLOOKUP(A24,'BSE ALL CAP'!$B$4:$Y$1038,11,)</f>
        <v>385</v>
      </c>
      <c r="M24" s="101">
        <f>VLOOKUP(A24,'BSE ALL CAP'!$B$4:$Y$1038,12,)</f>
        <v>316</v>
      </c>
      <c r="N24" s="101">
        <f>VLOOKUP(A24,'BSE ALL CAP'!$B$4:$Y$1038,13,)</f>
        <v>72</v>
      </c>
      <c r="O24" s="101">
        <f>VLOOKUP(A24,'BSE ALL CAP'!$B$4:$Y$1038,14,)</f>
        <v>-18</v>
      </c>
      <c r="P24" s="95">
        <f>VLOOKUP(A24,'BSE ALL CAP'!$B$4:$Y$1038,15,)</f>
        <v>0.14600840336134455</v>
      </c>
      <c r="Q24" s="95">
        <f>VLOOKUP(A24,'BSE ALL CAP'!$B$4:$Y$1038,16,)</f>
        <v>4.8717948717948718E-2</v>
      </c>
      <c r="R24" s="95">
        <f>VLOOKUP(A24,'BSE ALL CAP'!$B$4:$Y$1038,17,)</f>
        <v>9.7290454643395835E-2</v>
      </c>
      <c r="S24" s="95">
        <f>VLOOKUP(A24,'BSE ALL CAP'!$B$4:$Y$1038,18,)</f>
        <v>0.18701298701298702</v>
      </c>
      <c r="T24" s="95">
        <f>VLOOKUP(A24,'BSE ALL CAP'!$B$4:$Y$1038,19,)</f>
        <v>-5.6962025316455694E-2</v>
      </c>
      <c r="U24" s="95">
        <f>VLOOKUP(A24,'BSE ALL CAP'!$B$4:$Y$1038,20,)</f>
        <v>0.24397501232944271</v>
      </c>
      <c r="V24" s="95">
        <f>VLOOKUP(A24,'BSE ALL CAP'!$B$4:$Y$1038,21,)</f>
        <v>0.22051282051282062</v>
      </c>
      <c r="W24" s="95">
        <f>VLOOKUP(A24,'BSE ALL CAP'!$B$4:$Y$1038,22,)</f>
        <v>2.6578947368421053</v>
      </c>
      <c r="X24" s="95">
        <f>VLOOKUP(A24,'BSE ALL CAP'!$B$4:$Y$1038,23,)</f>
        <v>0.21835443037974689</v>
      </c>
      <c r="Y24" s="95">
        <f>VLOOKUP(A24,'BSE ALL CAP'!$B$4:$Y$1038,24,)</f>
        <v>-5</v>
      </c>
    </row>
    <row r="25" spans="1:25" ht="14.4">
      <c r="A25" s="99">
        <v>544042</v>
      </c>
      <c r="B25" s="98" t="s">
        <v>4263</v>
      </c>
      <c r="C25" s="101"/>
      <c r="D25" s="101"/>
      <c r="E25" s="101">
        <f ca="1">IFERROR(__xludf.DUMMYFUNCTION("GOOGLEFINANCE(""BOM:""&amp;A25,""PRICE"")"),152.45)</f>
        <v>152.44999999999999</v>
      </c>
      <c r="F25" s="112">
        <f ca="1">IFERROR(__xludf.DUMMYFUNCTION("GOOGLEFINANCE(""BOM:""&amp;A25,""MARKETCAP"")/10000000"),1767.8486673)</f>
        <v>1767.8486673</v>
      </c>
      <c r="G25" s="95">
        <f t="shared" ca="1" si="0"/>
        <v>1.8259209702148494E-3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544150</v>
      </c>
      <c r="B26" s="98" t="s">
        <v>4264</v>
      </c>
      <c r="C26" s="101"/>
      <c r="D26" s="101"/>
      <c r="E26" s="101">
        <f ca="1">IFERROR(__xludf.DUMMYFUNCTION("GOOGLEFINANCE(""BOM:""&amp;A26,""PRICE"")"),387)</f>
        <v>387</v>
      </c>
      <c r="F26" s="112">
        <f ca="1">IFERROR(__xludf.DUMMYFUNCTION("GOOGLEFINANCE(""BOM:""&amp;A26,""MARKETCAP"")/10000000"),1934.999613)</f>
        <v>1934.999613</v>
      </c>
      <c r="G26" s="95">
        <f t="shared" ca="1" si="0"/>
        <v>1.9985626802154041E-3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532717</v>
      </c>
      <c r="B27" s="98" t="s">
        <v>4265</v>
      </c>
      <c r="C27" s="101"/>
      <c r="D27" s="101"/>
      <c r="E27" s="101">
        <f ca="1">IFERROR(__xludf.DUMMYFUNCTION("GOOGLEFINANCE(""BOM:""&amp;A27,""PRICE"")"),1259.65)</f>
        <v>1259.6500000000001</v>
      </c>
      <c r="F27" s="112">
        <f ca="1">IFERROR(__xludf.DUMMYFUNCTION("GOOGLEFINANCE(""BOM:""&amp;A27,""MARKETCAP"")/10000000"),1346.191174)</f>
        <v>1346.191174</v>
      </c>
      <c r="G27" s="95">
        <f t="shared" ca="1" si="0"/>
        <v>1.3904123921867479E-3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533257</v>
      </c>
      <c r="B28" s="98" t="s">
        <v>4266</v>
      </c>
      <c r="C28" s="101"/>
      <c r="D28" s="101"/>
      <c r="E28" s="101">
        <f ca="1">IFERROR(__xludf.DUMMYFUNCTION("GOOGLEFINANCE(""BOM:""&amp;A28,""PRICE"")"),405)</f>
        <v>405</v>
      </c>
      <c r="F28" s="112">
        <f ca="1">IFERROR(__xludf.DUMMYFUNCTION("GOOGLEFINANCE(""BOM:""&amp;A28,""MARKETCAP"")/10000000"),1592.589)</f>
        <v>1592.5889999999999</v>
      </c>
      <c r="G28" s="95">
        <f t="shared" ca="1" si="0"/>
        <v>1.6449041741082612E-3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513250</v>
      </c>
      <c r="B29" s="98" t="s">
        <v>4267</v>
      </c>
      <c r="C29" s="101"/>
      <c r="D29" s="101"/>
      <c r="E29" s="101">
        <f ca="1">IFERROR(__xludf.DUMMYFUNCTION("GOOGLEFINANCE(""BOM:""&amp;A29,""PRICE"")"),10.5)</f>
        <v>10.5</v>
      </c>
      <c r="F29" s="112">
        <f ca="1">IFERROR(__xludf.DUMMYFUNCTION("GOOGLEFINANCE(""BOM:""&amp;A29,""MARKETCAP"")/10000000"),1249.76145)</f>
        <v>1249.76145</v>
      </c>
      <c r="G29" s="95">
        <f t="shared" ca="1" si="0"/>
        <v>1.2908150349805209E-3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544133</v>
      </c>
      <c r="B30" s="98" t="s">
        <v>4268</v>
      </c>
      <c r="C30" s="101"/>
      <c r="D30" s="101"/>
      <c r="E30" s="101">
        <f ca="1">IFERROR(__xludf.DUMMYFUNCTION("GOOGLEFINANCE(""BOM:""&amp;A30,""PRICE"")"),88.04)</f>
        <v>88.04</v>
      </c>
      <c r="F30" s="112">
        <f ca="1">IFERROR(__xludf.DUMMYFUNCTION("GOOGLEFINANCE(""BOM:""&amp;A30,""MARKETCAP"")/10000000"),1225.4312451)</f>
        <v>1225.4312451000001</v>
      </c>
      <c r="G30" s="95">
        <f t="shared" ca="1" si="0"/>
        <v>1.2656856038486225E-3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532051</v>
      </c>
      <c r="B31" s="98" t="s">
        <v>4269</v>
      </c>
      <c r="C31" s="101"/>
      <c r="D31" s="101"/>
      <c r="E31" s="101">
        <f ca="1">IFERROR(__xludf.DUMMYFUNCTION("GOOGLEFINANCE(""BOM:""&amp;A31,""PRICE"")"),537.65)</f>
        <v>537.65</v>
      </c>
      <c r="F31" s="112">
        <f ca="1">IFERROR(__xludf.DUMMYFUNCTION("GOOGLEFINANCE(""BOM:""&amp;A31,""MARKETCAP"")/10000000"),813.3427127)</f>
        <v>813.34271269999999</v>
      </c>
      <c r="G31" s="95">
        <f t="shared" ca="1" si="0"/>
        <v>8.4006031882724683E-4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522091</v>
      </c>
      <c r="B32" s="98" t="s">
        <v>4270</v>
      </c>
      <c r="C32" s="101"/>
      <c r="D32" s="101"/>
      <c r="E32" s="101">
        <f ca="1">IFERROR(__xludf.DUMMYFUNCTION("GOOGLEFINANCE(""BOM:""&amp;A32,""PRICE"")"),37)</f>
        <v>37</v>
      </c>
      <c r="F32" s="112">
        <f ca="1">IFERROR(__xludf.DUMMYFUNCTION("GOOGLEFINANCE(""BOM:""&amp;A32,""MARKETCAP"")/10000000"),255.115037)</f>
        <v>255.115037</v>
      </c>
      <c r="G32" s="95">
        <f t="shared" ca="1" si="0"/>
        <v>2.63495345779158E-4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539255</v>
      </c>
      <c r="B33" s="98" t="s">
        <v>4271</v>
      </c>
      <c r="C33" s="101"/>
      <c r="D33" s="101"/>
      <c r="E33" s="101">
        <f ca="1">IFERROR(__xludf.DUMMYFUNCTION("GOOGLEFINANCE(""BOM:""&amp;A33,""PRICE"")"),467.4)</f>
        <v>467.4</v>
      </c>
      <c r="F33" s="112">
        <f ca="1">IFERROR(__xludf.DUMMYFUNCTION("GOOGLEFINANCE(""BOM:""&amp;A33,""MARKETCAP"")/10000000"),140.2293461)</f>
        <v>140.22934609999999</v>
      </c>
      <c r="G33" s="95">
        <f t="shared" ca="1" si="0"/>
        <v>1.4483575908935827E-4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504076</v>
      </c>
      <c r="B34" s="98" t="s">
        <v>4272</v>
      </c>
      <c r="C34" s="101"/>
      <c r="D34" s="101"/>
      <c r="E34" s="101">
        <f ca="1">IFERROR(__xludf.DUMMYFUNCTION("GOOGLEFINANCE(""BOM:""&amp;A34,""PRICE"")"),61.2)</f>
        <v>61.2</v>
      </c>
      <c r="F34" s="112">
        <f ca="1">IFERROR(__xludf.DUMMYFUNCTION("GOOGLEFINANCE(""BOM:""&amp;A34,""MARKETCAP"")/10000000"),141.3268973)</f>
        <v>141.32689730000001</v>
      </c>
      <c r="G34" s="95">
        <f t="shared" ca="1" si="0"/>
        <v>1.459693638989969E-4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542580</v>
      </c>
      <c r="B35" s="98" t="s">
        <v>4273</v>
      </c>
      <c r="C35" s="101"/>
      <c r="D35" s="101"/>
      <c r="E35" s="101">
        <f ca="1">IFERROR(__xludf.DUMMYFUNCTION("GOOGLEFINANCE(""BOM:""&amp;A35,""PRICE"")"),40.99)</f>
        <v>40.99</v>
      </c>
      <c r="F35" s="112">
        <f ca="1">IFERROR(__xludf.DUMMYFUNCTION("GOOGLEFINANCE(""BOM:""&amp;A35,""MARKETCAP"")/10000000"),127.430956)</f>
        <v>127.43095599999999</v>
      </c>
      <c r="G35" s="95">
        <f t="shared" ca="1" si="0"/>
        <v>1.3161695292068836E-4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533298</v>
      </c>
      <c r="B36" s="98" t="s">
        <v>4274</v>
      </c>
      <c r="C36" s="101"/>
      <c r="D36" s="101"/>
      <c r="E36" s="101">
        <f ca="1">IFERROR(__xludf.DUMMYFUNCTION("GOOGLEFINANCE(""BOM:""&amp;A36,""PRICE"")"),22.41)</f>
        <v>22.41</v>
      </c>
      <c r="F36" s="112">
        <f ca="1">IFERROR(__xludf.DUMMYFUNCTION("GOOGLEFINANCE(""BOM:""&amp;A36,""MARKETCAP"")/10000000"),112.289414)</f>
        <v>112.28941399999999</v>
      </c>
      <c r="G36" s="95">
        <f t="shared" ca="1" si="0"/>
        <v>1.1597802433444575E-4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540614</v>
      </c>
      <c r="B37" s="98" t="s">
        <v>4275</v>
      </c>
      <c r="C37" s="101"/>
      <c r="D37" s="101"/>
      <c r="E37" s="101">
        <f ca="1">IFERROR(__xludf.DUMMYFUNCTION("GOOGLEFINANCE(""BOM:""&amp;A37,""PRICE"")"),0.43)</f>
        <v>0.43</v>
      </c>
      <c r="F37" s="112">
        <f ca="1">IFERROR(__xludf.DUMMYFUNCTION("GOOGLEFINANCE(""BOM:""&amp;A37,""MARKETCAP"")/10000000"),68.1334151)</f>
        <v>68.133415099999993</v>
      </c>
      <c r="G37" s="95">
        <f t="shared" ca="1" si="0"/>
        <v>7.0371538981018217E-5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533203</v>
      </c>
      <c r="B38" s="98" t="s">
        <v>4276</v>
      </c>
      <c r="C38" s="101"/>
      <c r="D38" s="101"/>
      <c r="E38" s="101">
        <f ca="1">IFERROR(__xludf.DUMMYFUNCTION("GOOGLEFINANCE(""BOM:""&amp;A38,""PRICE"")"),24.2)</f>
        <v>24.2</v>
      </c>
      <c r="F38" s="112">
        <f ca="1">IFERROR(__xludf.DUMMYFUNCTION("GOOGLEFINANCE(""BOM:""&amp;A38,""MARKETCAP"")/10000000"),46.9950248)</f>
        <v>46.995024800000003</v>
      </c>
      <c r="G38" s="95">
        <f t="shared" ca="1" si="0"/>
        <v>4.8538770803918186E-5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3.2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3.2">
      <c r="A40" s="101"/>
      <c r="B40" s="101"/>
      <c r="C40" s="101"/>
      <c r="D40" s="101"/>
      <c r="E40" s="101"/>
      <c r="F40" s="112">
        <f t="shared" ref="F40:G40" ca="1" si="1">SUM(F1:F38)</f>
        <v>968195.60985270014</v>
      </c>
      <c r="G40" s="95">
        <f t="shared" ca="1" si="1"/>
        <v>1.0000000000000004</v>
      </c>
      <c r="H40" s="101">
        <f t="shared" ref="H40:O40" si="2">SUM(H2:H38)</f>
        <v>122206</v>
      </c>
      <c r="I40" s="101">
        <f t="shared" si="2"/>
        <v>97837</v>
      </c>
      <c r="J40" s="101">
        <f t="shared" si="2"/>
        <v>12659</v>
      </c>
      <c r="K40" s="101">
        <f t="shared" si="2"/>
        <v>9601</v>
      </c>
      <c r="L40" s="101">
        <f t="shared" si="2"/>
        <v>40882</v>
      </c>
      <c r="M40" s="101">
        <f t="shared" si="2"/>
        <v>33621</v>
      </c>
      <c r="N40" s="101">
        <f t="shared" si="2"/>
        <v>3836</v>
      </c>
      <c r="O40" s="101">
        <f t="shared" si="2"/>
        <v>3220</v>
      </c>
      <c r="P40" s="95">
        <f t="shared" ref="P40:Q40" si="3">J40/H40</f>
        <v>0.10358738523476753</v>
      </c>
      <c r="Q40" s="95">
        <f t="shared" si="3"/>
        <v>9.8132608317916536E-2</v>
      </c>
      <c r="R40" s="95">
        <f>P40-Q40</f>
        <v>5.4547769168509924E-3</v>
      </c>
      <c r="S40" s="95">
        <f t="shared" ref="S40:T40" si="4">N40/L40</f>
        <v>9.3831025879360111E-2</v>
      </c>
      <c r="T40" s="95">
        <f t="shared" si="4"/>
        <v>9.577347491151364E-2</v>
      </c>
      <c r="U40" s="95">
        <f>S40-T40</f>
        <v>-1.9424490321535287E-3</v>
      </c>
      <c r="V40" s="95">
        <f>(H40/I40)-1</f>
        <v>0.24907754734916243</v>
      </c>
      <c r="W40" s="95">
        <f>(J40/K40)-1</f>
        <v>0.31850848869909387</v>
      </c>
      <c r="X40" s="95">
        <f>(L40/M40)-1</f>
        <v>0.21596621159394425</v>
      </c>
      <c r="Y40" s="95">
        <f>(N40/O40)-1</f>
        <v>0.19130434782608696</v>
      </c>
    </row>
  </sheetData>
  <autoFilter ref="A1:Y38" xr:uid="{00000000-0009-0000-0000-00007A000000}"/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outlinePr summaryBelow="0" summaryRight="0"/>
  </sheetPr>
  <dimension ref="A1:Y34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539524</v>
      </c>
      <c r="B2" s="98" t="s">
        <v>99</v>
      </c>
      <c r="C2" s="101" t="str">
        <f>VLOOKUP(A2,'BSE ALL CAP'!$B$4:$Y$1038,2,)</f>
        <v>Healthcare</v>
      </c>
      <c r="D2" s="101" t="str">
        <f>VLOOKUP(A2,'BSE ALL CAP'!$B$4:$Y$1038,3,)</f>
        <v>Healthcare Service Provider</v>
      </c>
      <c r="E2" s="101">
        <f ca="1">IFERROR(__xludf.DUMMYFUNCTION("GOOGLEFINANCE(""BOM:""&amp;A2,""PRICE"")"),1349)</f>
        <v>1349</v>
      </c>
      <c r="F2" s="112">
        <f ca="1">IFERROR(__xludf.DUMMYFUNCTION("GOOGLEFINANCE(""BOM:""&amp;A2,""MARKETCAP"")/10000000"),22523.0558226)</f>
        <v>22523.055822599999</v>
      </c>
      <c r="G2" s="95">
        <f t="shared" ref="G2:G32" ca="1" si="0">F2/$F$34</f>
        <v>0.38359018254546301</v>
      </c>
      <c r="H2" s="101">
        <f>VLOOKUP(A2,'BSE ALL CAP'!$B$4:$Y$1038,7,)</f>
        <v>2060</v>
      </c>
      <c r="I2" s="101">
        <f>VLOOKUP(A2,'BSE ALL CAP'!$B$4:$Y$1038,8,)</f>
        <v>1858</v>
      </c>
      <c r="J2" s="101">
        <f>VLOOKUP(A2,'BSE ALL CAP'!$B$4:$Y$1038,9,)</f>
        <v>377</v>
      </c>
      <c r="K2" s="101">
        <f>VLOOKUP(A2,'BSE ALL CAP'!$B$4:$Y$1038,10,)</f>
        <v>336</v>
      </c>
      <c r="L2" s="101">
        <f>VLOOKUP(A2,'BSE ALL CAP'!$B$4:$Y$1038,11,)</f>
        <v>659</v>
      </c>
      <c r="M2" s="101">
        <f>VLOOKUP(A2,'BSE ALL CAP'!$B$4:$Y$1038,12,)</f>
        <v>596</v>
      </c>
      <c r="N2" s="101">
        <f>VLOOKUP(A2,'BSE ALL CAP'!$B$4:$Y$1038,13,)</f>
        <v>91</v>
      </c>
      <c r="O2" s="101">
        <f>VLOOKUP(A2,'BSE ALL CAP'!$B$4:$Y$1038,14,)</f>
        <v>98</v>
      </c>
      <c r="P2" s="95">
        <f>VLOOKUP(A2,'BSE ALL CAP'!$B$4:$Y$1038,15,)</f>
        <v>0.18300970873786407</v>
      </c>
      <c r="Q2" s="95">
        <f>VLOOKUP(A2,'BSE ALL CAP'!$B$4:$Y$1038,16,)</f>
        <v>0.18083961248654468</v>
      </c>
      <c r="R2" s="95">
        <f>VLOOKUP(A2,'BSE ALL CAP'!$B$4:$Y$1038,17,)</f>
        <v>2.1700962513193922E-3</v>
      </c>
      <c r="S2" s="95">
        <f>VLOOKUP(A2,'BSE ALL CAP'!$B$4:$Y$1038,18,)</f>
        <v>0.13808801213960548</v>
      </c>
      <c r="T2" s="95">
        <f>VLOOKUP(A2,'BSE ALL CAP'!$B$4:$Y$1038,19,)</f>
        <v>0.16442953020134229</v>
      </c>
      <c r="U2" s="95">
        <f>VLOOKUP(A2,'BSE ALL CAP'!$B$4:$Y$1038,20,)</f>
        <v>-2.6341518061736818E-2</v>
      </c>
      <c r="V2" s="95">
        <f>VLOOKUP(A2,'BSE ALL CAP'!$B$4:$Y$1038,21,)</f>
        <v>0.10871905274488691</v>
      </c>
      <c r="W2" s="95">
        <f>VLOOKUP(A2,'BSE ALL CAP'!$B$4:$Y$1038,22,)</f>
        <v>0.12202380952380953</v>
      </c>
      <c r="X2" s="95">
        <f>VLOOKUP(A2,'BSE ALL CAP'!$B$4:$Y$1038,23,)</f>
        <v>0.10570469798657722</v>
      </c>
      <c r="Y2" s="95">
        <f>VLOOKUP(A2,'BSE ALL CAP'!$B$4:$Y$1038,24,)</f>
        <v>-7.1428571428571397E-2</v>
      </c>
    </row>
    <row r="3" spans="1:25" ht="15.75" customHeight="1">
      <c r="A3" s="99">
        <v>543350</v>
      </c>
      <c r="B3" s="98" t="s">
        <v>4277</v>
      </c>
      <c r="C3" s="101" t="str">
        <f>VLOOKUP(A3,'BSE ALL CAP'!$B$4:$Y$1038,2,)</f>
        <v>Healthcare</v>
      </c>
      <c r="D3" s="101" t="str">
        <f>VLOOKUP(A3,'BSE ALL CAP'!$B$4:$Y$1038,3,)</f>
        <v>Healthcare Service Provider</v>
      </c>
      <c r="E3" s="101">
        <f ca="1">IFERROR(__xludf.DUMMYFUNCTION("GOOGLEFINANCE(""BOM:""&amp;A3,""PRICE"")"),896.6)</f>
        <v>896.6</v>
      </c>
      <c r="F3" s="112">
        <f ca="1">IFERROR(__xludf.DUMMYFUNCTION("GOOGLEFINANCE(""BOM:""&amp;A3,""MARKETCAP"")/10000000"),9213.3707692)</f>
        <v>9213.3707692000007</v>
      </c>
      <c r="G3" s="95">
        <f t="shared" ca="1" si="0"/>
        <v>0.15691292527323175</v>
      </c>
      <c r="H3" s="101">
        <f>VLOOKUP(A3,'BSE ALL CAP'!$B$4:$Y$1038,7,)</f>
        <v>594</v>
      </c>
      <c r="I3" s="101">
        <f>VLOOKUP(A3,'BSE ALL CAP'!$B$4:$Y$1038,8,)</f>
        <v>508</v>
      </c>
      <c r="J3" s="101">
        <f>VLOOKUP(A3,'BSE ALL CAP'!$B$4:$Y$1038,9,)</f>
        <v>125</v>
      </c>
      <c r="K3" s="101">
        <f>VLOOKUP(A3,'BSE ALL CAP'!$B$4:$Y$1038,10,)</f>
        <v>108</v>
      </c>
      <c r="L3" s="101">
        <f>VLOOKUP(A3,'BSE ALL CAP'!$B$4:$Y$1038,11,)</f>
        <v>205</v>
      </c>
      <c r="M3" s="101">
        <f>VLOOKUP(A3,'BSE ALL CAP'!$B$4:$Y$1038,12,)</f>
        <v>168</v>
      </c>
      <c r="N3" s="101">
        <f>VLOOKUP(A3,'BSE ALL CAP'!$B$4:$Y$1038,13,)</f>
        <v>43</v>
      </c>
      <c r="O3" s="101">
        <f>VLOOKUP(A3,'BSE ALL CAP'!$B$4:$Y$1038,14,)</f>
        <v>35</v>
      </c>
      <c r="P3" s="95">
        <f>VLOOKUP(A3,'BSE ALL CAP'!$B$4:$Y$1038,15,)</f>
        <v>0.21043771043771045</v>
      </c>
      <c r="Q3" s="95">
        <f>VLOOKUP(A3,'BSE ALL CAP'!$B$4:$Y$1038,16,)</f>
        <v>0.2125984251968504</v>
      </c>
      <c r="R3" s="95">
        <f>VLOOKUP(A3,'BSE ALL CAP'!$B$4:$Y$1038,17,)</f>
        <v>-2.1607147591399534E-3</v>
      </c>
      <c r="S3" s="95">
        <f>VLOOKUP(A3,'BSE ALL CAP'!$B$4:$Y$1038,18,)</f>
        <v>0.2097560975609756</v>
      </c>
      <c r="T3" s="95">
        <f>VLOOKUP(A3,'BSE ALL CAP'!$B$4:$Y$1038,19,)</f>
        <v>0.20833333333333334</v>
      </c>
      <c r="U3" s="95">
        <f>VLOOKUP(A3,'BSE ALL CAP'!$B$4:$Y$1038,20,)</f>
        <v>1.4227642276422592E-3</v>
      </c>
      <c r="V3" s="95">
        <f>VLOOKUP(A3,'BSE ALL CAP'!$B$4:$Y$1038,21,)</f>
        <v>0.16929133858267709</v>
      </c>
      <c r="W3" s="95">
        <f>VLOOKUP(A3,'BSE ALL CAP'!$B$4:$Y$1038,22,)</f>
        <v>0.15740740740740744</v>
      </c>
      <c r="X3" s="95">
        <f>VLOOKUP(A3,'BSE ALL CAP'!$B$4:$Y$1038,23,)</f>
        <v>0.22023809523809534</v>
      </c>
      <c r="Y3" s="95">
        <f>VLOOKUP(A3,'BSE ALL CAP'!$B$4:$Y$1038,24,)</f>
        <v>0.22857142857142865</v>
      </c>
    </row>
    <row r="4" spans="1:25" ht="15.75" customHeight="1">
      <c r="A4" s="99">
        <v>542650</v>
      </c>
      <c r="B4" s="98" t="s">
        <v>4278</v>
      </c>
      <c r="C4" s="101" t="str">
        <f>VLOOKUP(A4,'BSE ALL CAP'!$B$4:$Y$1038,2,)</f>
        <v>Healthcare</v>
      </c>
      <c r="D4" s="101" t="str">
        <f>VLOOKUP(A4,'BSE ALL CAP'!$B$4:$Y$1038,3,)</f>
        <v>Healthcare Service Provider</v>
      </c>
      <c r="E4" s="101">
        <f ca="1">IFERROR(__xludf.DUMMYFUNCTION("GOOGLEFINANCE(""BOM:""&amp;A4,""PRICE"")"),428.3)</f>
        <v>428.3</v>
      </c>
      <c r="F4" s="112">
        <f ca="1">IFERROR(__xludf.DUMMYFUNCTION("GOOGLEFINANCE(""BOM:""&amp;A4,""MARKETCAP"")/10000000"),8879.8451379)</f>
        <v>8879.8451378999998</v>
      </c>
      <c r="G4" s="95">
        <f t="shared" ca="1" si="0"/>
        <v>0.15123264996771196</v>
      </c>
      <c r="H4" s="101">
        <f>VLOOKUP(A4,'BSE ALL CAP'!$B$4:$Y$1038,7,)</f>
        <v>1221</v>
      </c>
      <c r="I4" s="101">
        <f>VLOOKUP(A4,'BSE ALL CAP'!$B$4:$Y$1038,8,)</f>
        <v>985</v>
      </c>
      <c r="J4" s="101">
        <f>VLOOKUP(A4,'BSE ALL CAP'!$B$4:$Y$1038,9,)</f>
        <v>140</v>
      </c>
      <c r="K4" s="101">
        <f>VLOOKUP(A4,'BSE ALL CAP'!$B$4:$Y$1038,10,)</f>
        <v>116</v>
      </c>
      <c r="L4" s="101">
        <f>VLOOKUP(A4,'BSE ALL CAP'!$B$4:$Y$1038,11,)</f>
        <v>405</v>
      </c>
      <c r="M4" s="101">
        <f>VLOOKUP(A4,'BSE ALL CAP'!$B$4:$Y$1038,12,)</f>
        <v>322</v>
      </c>
      <c r="N4" s="101">
        <f>VLOOKUP(A4,'BSE ALL CAP'!$B$4:$Y$1038,13,)</f>
        <v>42</v>
      </c>
      <c r="O4" s="101">
        <f>VLOOKUP(A4,'BSE ALL CAP'!$B$4:$Y$1038,14,)</f>
        <v>31</v>
      </c>
      <c r="P4" s="95">
        <f>VLOOKUP(A4,'BSE ALL CAP'!$B$4:$Y$1038,15,)</f>
        <v>0.11466011466011466</v>
      </c>
      <c r="Q4" s="95">
        <f>VLOOKUP(A4,'BSE ALL CAP'!$B$4:$Y$1038,16,)</f>
        <v>0.11776649746192894</v>
      </c>
      <c r="R4" s="95">
        <f>VLOOKUP(A4,'BSE ALL CAP'!$B$4:$Y$1038,17,)</f>
        <v>-3.1063828018142725E-3</v>
      </c>
      <c r="S4" s="95">
        <f>VLOOKUP(A4,'BSE ALL CAP'!$B$4:$Y$1038,18,)</f>
        <v>0.1037037037037037</v>
      </c>
      <c r="T4" s="95">
        <f>VLOOKUP(A4,'BSE ALL CAP'!$B$4:$Y$1038,19,)</f>
        <v>9.627329192546584E-2</v>
      </c>
      <c r="U4" s="95">
        <f>VLOOKUP(A4,'BSE ALL CAP'!$B$4:$Y$1038,20,)</f>
        <v>7.4304117782378609E-3</v>
      </c>
      <c r="V4" s="95">
        <f>VLOOKUP(A4,'BSE ALL CAP'!$B$4:$Y$1038,21,)</f>
        <v>0.23959390862944163</v>
      </c>
      <c r="W4" s="95">
        <f>VLOOKUP(A4,'BSE ALL CAP'!$B$4:$Y$1038,22,)</f>
        <v>0.2068965517241379</v>
      </c>
      <c r="X4" s="95">
        <f>VLOOKUP(A4,'BSE ALL CAP'!$B$4:$Y$1038,23,)</f>
        <v>0.2577639751552796</v>
      </c>
      <c r="Y4" s="95">
        <f>VLOOKUP(A4,'BSE ALL CAP'!$B$4:$Y$1038,24,)</f>
        <v>0.35483870967741926</v>
      </c>
    </row>
    <row r="5" spans="1:25" ht="15.75" customHeight="1">
      <c r="A5" s="99">
        <v>539871</v>
      </c>
      <c r="B5" s="98" t="s">
        <v>4279</v>
      </c>
      <c r="C5" s="101" t="str">
        <f>VLOOKUP(A5,'BSE ALL CAP'!$B$4:$Y$1038,2,)</f>
        <v>Healthcare</v>
      </c>
      <c r="D5" s="101" t="str">
        <f>VLOOKUP(A5,'BSE ALL CAP'!$B$4:$Y$1038,3,)</f>
        <v>Healthcare Service Provider</v>
      </c>
      <c r="E5" s="101">
        <f ca="1">IFERROR(__xludf.DUMMYFUNCTION("GOOGLEFINANCE(""BOM:""&amp;A5,""PRICE"")"),380)</f>
        <v>380</v>
      </c>
      <c r="F5" s="112">
        <f ca="1">IFERROR(__xludf.DUMMYFUNCTION("GOOGLEFINANCE(""BOM:""&amp;A5,""MARKETCAP"")/10000000"),6045.8)</f>
        <v>6045.8</v>
      </c>
      <c r="G5" s="95">
        <f t="shared" ca="1" si="0"/>
        <v>0.10296602485468814</v>
      </c>
      <c r="H5" s="101">
        <f>VLOOKUP(A5,'BSE ALL CAP'!$B$4:$Y$1038,7,)</f>
        <v>605</v>
      </c>
      <c r="I5" s="101">
        <f>VLOOKUP(A5,'BSE ALL CAP'!$B$4:$Y$1038,8,)</f>
        <v>500</v>
      </c>
      <c r="J5" s="101">
        <f>VLOOKUP(A5,'BSE ALL CAP'!$B$4:$Y$1038,9,)</f>
        <v>114</v>
      </c>
      <c r="K5" s="101">
        <f>VLOOKUP(A5,'BSE ALL CAP'!$B$4:$Y$1038,10,)</f>
        <v>69</v>
      </c>
      <c r="L5" s="101">
        <f>VLOOKUP(A5,'BSE ALL CAP'!$B$4:$Y$1038,11,)</f>
        <v>196</v>
      </c>
      <c r="M5" s="101">
        <f>VLOOKUP(A5,'BSE ALL CAP'!$B$4:$Y$1038,12,)</f>
        <v>166</v>
      </c>
      <c r="N5" s="101">
        <f>VLOOKUP(A5,'BSE ALL CAP'!$B$4:$Y$1038,13,)</f>
        <v>28</v>
      </c>
      <c r="O5" s="101">
        <f>VLOOKUP(A5,'BSE ALL CAP'!$B$4:$Y$1038,14,)</f>
        <v>19</v>
      </c>
      <c r="P5" s="95">
        <f>VLOOKUP(A5,'BSE ALL CAP'!$B$4:$Y$1038,15,)</f>
        <v>0.1884297520661157</v>
      </c>
      <c r="Q5" s="95">
        <f>VLOOKUP(A5,'BSE ALL CAP'!$B$4:$Y$1038,16,)</f>
        <v>0.13800000000000001</v>
      </c>
      <c r="R5" s="95">
        <f>VLOOKUP(A5,'BSE ALL CAP'!$B$4:$Y$1038,17,)</f>
        <v>5.0429752066115691E-2</v>
      </c>
      <c r="S5" s="95">
        <f>VLOOKUP(A5,'BSE ALL CAP'!$B$4:$Y$1038,18,)</f>
        <v>0.14285714285714285</v>
      </c>
      <c r="T5" s="95">
        <f>VLOOKUP(A5,'BSE ALL CAP'!$B$4:$Y$1038,19,)</f>
        <v>0.1144578313253012</v>
      </c>
      <c r="U5" s="95">
        <f>VLOOKUP(A5,'BSE ALL CAP'!$B$4:$Y$1038,20,)</f>
        <v>2.8399311531841651E-2</v>
      </c>
      <c r="V5" s="95">
        <f>VLOOKUP(A5,'BSE ALL CAP'!$B$4:$Y$1038,21,)</f>
        <v>0.20999999999999996</v>
      </c>
      <c r="W5" s="95">
        <f>VLOOKUP(A5,'BSE ALL CAP'!$B$4:$Y$1038,22,)</f>
        <v>0.65217391304347827</v>
      </c>
      <c r="X5" s="95">
        <f>VLOOKUP(A5,'BSE ALL CAP'!$B$4:$Y$1038,23,)</f>
        <v>0.18072289156626509</v>
      </c>
      <c r="Y5" s="95">
        <f>VLOOKUP(A5,'BSE ALL CAP'!$B$4:$Y$1038,24,)</f>
        <v>0.47368421052631571</v>
      </c>
    </row>
    <row r="6" spans="1:25" ht="15.75" customHeight="1">
      <c r="A6" s="99">
        <v>544647</v>
      </c>
      <c r="B6" s="98" t="s">
        <v>4280</v>
      </c>
      <c r="C6" s="101" t="e">
        <f>VLOOKUP(A6,'BSE ALL CAP'!$B$4:$Y$1038,2,)</f>
        <v>#N/A</v>
      </c>
      <c r="D6" s="101" t="e">
        <f>VLOOKUP(A6,'BSE ALL CAP'!$B$4:$Y$1038,3,)</f>
        <v>#N/A</v>
      </c>
      <c r="E6" s="101">
        <f ca="1">IFERROR(__xludf.DUMMYFUNCTION("GOOGLEFINANCE(""BOM:""&amp;A6,""PRICE"")"),534.8)</f>
        <v>534.79999999999995</v>
      </c>
      <c r="F6" s="112">
        <f ca="1">IFERROR(__xludf.DUMMYFUNCTION("GOOGLEFINANCE(""BOM:""&amp;A6,""MARKETCAP"")/10000000"),5353.677926)</f>
        <v>5353.6779260000003</v>
      </c>
      <c r="G6" s="95">
        <f t="shared" ca="1" si="0"/>
        <v>9.1178493233734378E-2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543328</v>
      </c>
      <c r="B7" s="98" t="s">
        <v>4281</v>
      </c>
      <c r="C7" s="101" t="str">
        <f>VLOOKUP(A7,'BSE ALL CAP'!$B$4:$Y$1038,2,)</f>
        <v>Healthcare</v>
      </c>
      <c r="D7" s="101" t="str">
        <f>VLOOKUP(A7,'BSE ALL CAP'!$B$4:$Y$1038,3,)</f>
        <v>Healthcare Service Provider</v>
      </c>
      <c r="E7" s="101">
        <f ca="1">IFERROR(__xludf.DUMMYFUNCTION("GOOGLEFINANCE(""BOM:""&amp;A7,""PRICE"")"),563.45)</f>
        <v>563.45000000000005</v>
      </c>
      <c r="F7" s="112">
        <f ca="1">IFERROR(__xludf.DUMMYFUNCTION("GOOGLEFINANCE(""BOM:""&amp;A7,""MARKETCAP"")/10000000"),1835.7612716)</f>
        <v>1835.7612716000001</v>
      </c>
      <c r="G7" s="95">
        <f t="shared" ca="1" si="0"/>
        <v>3.1264851751437284E-2</v>
      </c>
      <c r="H7" s="101">
        <f>VLOOKUP(A7,'BSE ALL CAP'!$B$4:$Y$1038,7,)</f>
        <v>580</v>
      </c>
      <c r="I7" s="101">
        <f>VLOOKUP(A7,'BSE ALL CAP'!$B$4:$Y$1038,8,)</f>
        <v>531</v>
      </c>
      <c r="J7" s="101">
        <f>VLOOKUP(A7,'BSE ALL CAP'!$B$4:$Y$1038,9,)</f>
        <v>59</v>
      </c>
      <c r="K7" s="101">
        <f>VLOOKUP(A7,'BSE ALL CAP'!$B$4:$Y$1038,10,)</f>
        <v>56</v>
      </c>
      <c r="L7" s="101">
        <f>VLOOKUP(A7,'BSE ALL CAP'!$B$4:$Y$1038,11,)</f>
        <v>181</v>
      </c>
      <c r="M7" s="101">
        <f>VLOOKUP(A7,'BSE ALL CAP'!$B$4:$Y$1038,12,)</f>
        <v>174</v>
      </c>
      <c r="N7" s="101">
        <f>VLOOKUP(A7,'BSE ALL CAP'!$B$4:$Y$1038,13,)</f>
        <v>15</v>
      </c>
      <c r="O7" s="101">
        <f>VLOOKUP(A7,'BSE ALL CAP'!$B$4:$Y$1038,14,)</f>
        <v>19</v>
      </c>
      <c r="P7" s="95">
        <f>VLOOKUP(A7,'BSE ALL CAP'!$B$4:$Y$1038,15,)</f>
        <v>0.10172413793103448</v>
      </c>
      <c r="Q7" s="95">
        <f>VLOOKUP(A7,'BSE ALL CAP'!$B$4:$Y$1038,16,)</f>
        <v>0.10546139359698682</v>
      </c>
      <c r="R7" s="95">
        <f>VLOOKUP(A7,'BSE ALL CAP'!$B$4:$Y$1038,17,)</f>
        <v>-3.7372556659523437E-3</v>
      </c>
      <c r="S7" s="95">
        <f>VLOOKUP(A7,'BSE ALL CAP'!$B$4:$Y$1038,18,)</f>
        <v>8.2872928176795577E-2</v>
      </c>
      <c r="T7" s="95">
        <f>VLOOKUP(A7,'BSE ALL CAP'!$B$4:$Y$1038,19,)</f>
        <v>0.10919540229885058</v>
      </c>
      <c r="U7" s="95">
        <f>VLOOKUP(A7,'BSE ALL CAP'!$B$4:$Y$1038,20,)</f>
        <v>-2.6322474122055003E-2</v>
      </c>
      <c r="V7" s="95">
        <f>VLOOKUP(A7,'BSE ALL CAP'!$B$4:$Y$1038,21,)</f>
        <v>9.227871939736354E-2</v>
      </c>
      <c r="W7" s="95">
        <f>VLOOKUP(A7,'BSE ALL CAP'!$B$4:$Y$1038,22,)</f>
        <v>5.3571428571428603E-2</v>
      </c>
      <c r="X7" s="95">
        <f>VLOOKUP(A7,'BSE ALL CAP'!$B$4:$Y$1038,23,)</f>
        <v>4.022988505747116E-2</v>
      </c>
      <c r="Y7" s="95">
        <f>VLOOKUP(A7,'BSE ALL CAP'!$B$4:$Y$1038,24,)</f>
        <v>-0.21052631578947367</v>
      </c>
    </row>
    <row r="8" spans="1:25" ht="15.75" customHeight="1">
      <c r="A8" s="99">
        <v>544293</v>
      </c>
      <c r="B8" s="98" t="s">
        <v>4282</v>
      </c>
      <c r="C8" s="101"/>
      <c r="D8" s="101"/>
      <c r="E8" s="101">
        <f ca="1">IFERROR(__xludf.DUMMYFUNCTION("GOOGLEFINANCE(""BOM:""&amp;A8,""PRICE"")"),249)</f>
        <v>249</v>
      </c>
      <c r="F8" s="112">
        <f ca="1">IFERROR(__xludf.DUMMYFUNCTION("GOOGLEFINANCE(""BOM:""&amp;A8,""MARKETCAP"")/10000000"),1304.7787728)</f>
        <v>1304.7787728000001</v>
      </c>
      <c r="G8" s="95">
        <f t="shared" ca="1" si="0"/>
        <v>2.2221688370438041E-2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532067</v>
      </c>
      <c r="B9" s="98" t="s">
        <v>4283</v>
      </c>
      <c r="C9" s="101"/>
      <c r="D9" s="101"/>
      <c r="E9" s="101">
        <f ca="1">IFERROR(__xludf.DUMMYFUNCTION("GOOGLEFINANCE(""BOM:""&amp;A9,""PRICE"")"),1209.75)</f>
        <v>1209.75</v>
      </c>
      <c r="F9" s="112">
        <f ca="1">IFERROR(__xludf.DUMMYFUNCTION("GOOGLEFINANCE(""BOM:""&amp;A9,""MARKETCAP"")/10000000"),1035.458535)</f>
        <v>1035.458535</v>
      </c>
      <c r="G9" s="95">
        <f t="shared" ca="1" si="0"/>
        <v>1.763489517529673E-2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514330</v>
      </c>
      <c r="B10" s="98" t="s">
        <v>4284</v>
      </c>
      <c r="C10" s="101"/>
      <c r="D10" s="101"/>
      <c r="E10" s="101">
        <f ca="1">IFERROR(__xludf.DUMMYFUNCTION("GOOGLEFINANCE(""BOM:""&amp;A10,""PRICE"")"),552.2)</f>
        <v>552.20000000000005</v>
      </c>
      <c r="F10" s="112">
        <f ca="1">IFERROR(__xludf.DUMMYFUNCTION("GOOGLEFINANCE(""BOM:""&amp;A10,""MARKETCAP"")/10000000"),1057.863)</f>
        <v>1057.8630000000001</v>
      </c>
      <c r="G10" s="95">
        <f t="shared" ca="1" si="0"/>
        <v>1.8016465637443344E-2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533259</v>
      </c>
      <c r="B11" s="98" t="s">
        <v>4285</v>
      </c>
      <c r="C11" s="101"/>
      <c r="D11" s="101"/>
      <c r="E11" s="101">
        <f ca="1">IFERROR(__xludf.DUMMYFUNCTION("GOOGLEFINANCE(""BOM:""&amp;A11,""PRICE"")"),283.15)</f>
        <v>283.14999999999998</v>
      </c>
      <c r="F11" s="112">
        <f ca="1">IFERROR(__xludf.DUMMYFUNCTION("GOOGLEFINANCE(""BOM:""&amp;A11,""MARKETCAP"")/10000000"),861.9052653)</f>
        <v>861.9052653</v>
      </c>
      <c r="G11" s="95">
        <f t="shared" ca="1" si="0"/>
        <v>1.4679109293934034E-2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544482</v>
      </c>
      <c r="B12" s="98" t="s">
        <v>4286</v>
      </c>
      <c r="C12" s="101"/>
      <c r="D12" s="101"/>
      <c r="E12" s="101">
        <f ca="1">IFERROR(__xludf.DUMMYFUNCTION("GOOGLEFINANCE(""BOM:""&amp;A12,""PRICE"")"),52.44)</f>
        <v>52.44</v>
      </c>
      <c r="F12" s="112">
        <f ca="1">IFERROR(__xludf.DUMMYFUNCTION("GOOGLEFINANCE(""BOM:""&amp;A12,""MARKETCAP"")/10000000"),91.3504776)</f>
        <v>91.350477600000005</v>
      </c>
      <c r="G12" s="95">
        <f t="shared" ca="1" si="0"/>
        <v>1.5557900603806335E-3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544673</v>
      </c>
      <c r="B13" s="98" t="s">
        <v>4287</v>
      </c>
      <c r="C13" s="101"/>
      <c r="D13" s="101"/>
      <c r="E13" s="101">
        <f ca="1">IFERROR(__xludf.DUMMYFUNCTION("GOOGLEFINANCE(""BOM:""&amp;A13,""PRICE"")"),63)</f>
        <v>63</v>
      </c>
      <c r="F13" s="112">
        <f ca="1">IFERROR(__xludf.DUMMYFUNCTION("GOOGLEFINANCE(""BOM:""&amp;A13,""MARKETCAP"")/10000000"),94.37)</f>
        <v>94.37</v>
      </c>
      <c r="G13" s="95">
        <f t="shared" ca="1" si="0"/>
        <v>1.6072155488995536E-3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526546</v>
      </c>
      <c r="B14" s="98" t="s">
        <v>4288</v>
      </c>
      <c r="C14" s="101"/>
      <c r="D14" s="101"/>
      <c r="E14" s="101">
        <f ca="1">IFERROR(__xludf.DUMMYFUNCTION("GOOGLEFINANCE(""BOM:""&amp;A14,""PRICE"")"),100)</f>
        <v>100</v>
      </c>
      <c r="F14" s="112">
        <f ca="1">IFERROR(__xludf.DUMMYFUNCTION("GOOGLEFINANCE(""BOM:""&amp;A14,""MARKETCAP"")/10000000"),69.65262)</f>
        <v>69.652619999999999</v>
      </c>
      <c r="G14" s="95">
        <f t="shared" ca="1" si="0"/>
        <v>1.1862538294541911E-3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540788</v>
      </c>
      <c r="B15" s="98" t="s">
        <v>4289</v>
      </c>
      <c r="C15" s="101"/>
      <c r="D15" s="101"/>
      <c r="E15" s="101">
        <f ca="1">IFERROR(__xludf.DUMMYFUNCTION("GOOGLEFINANCE(""BOM:""&amp;A15,""PRICE"")"),60.5)</f>
        <v>60.5</v>
      </c>
      <c r="F15" s="112">
        <f ca="1">IFERROR(__xludf.DUMMYFUNCTION("GOOGLEFINANCE(""BOM:""&amp;A15,""MARKETCAP"")/10000000"),62.2725895)</f>
        <v>62.272589500000002</v>
      </c>
      <c r="G15" s="95">
        <f t="shared" ca="1" si="0"/>
        <v>1.0605645238384981E-3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530897</v>
      </c>
      <c r="B16" s="98" t="s">
        <v>4290</v>
      </c>
      <c r="C16" s="101"/>
      <c r="D16" s="101"/>
      <c r="E16" s="101">
        <f ca="1">IFERROR(__xludf.DUMMYFUNCTION("GOOGLEFINANCE(""BOM:""&amp;A16,""PRICE"")"),127.7)</f>
        <v>127.7</v>
      </c>
      <c r="F16" s="112">
        <f ca="1">IFERROR(__xludf.DUMMYFUNCTION("GOOGLEFINANCE(""BOM:""&amp;A16,""MARKETCAP"")/10000000"),42.7858712)</f>
        <v>42.785871200000003</v>
      </c>
      <c r="G16" s="95">
        <f t="shared" ca="1" si="0"/>
        <v>7.2868620817901448E-4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524602</v>
      </c>
      <c r="B17" s="98" t="s">
        <v>4291</v>
      </c>
      <c r="C17" s="101"/>
      <c r="D17" s="101"/>
      <c r="E17" s="101">
        <f ca="1">IFERROR(__xludf.DUMMYFUNCTION("GOOGLEFINANCE(""BOM:""&amp;A17,""PRICE"")"),25.08)</f>
        <v>25.08</v>
      </c>
      <c r="F17" s="112">
        <f ca="1">IFERROR(__xludf.DUMMYFUNCTION("GOOGLEFINANCE(""BOM:""&amp;A17,""MARKETCAP"")/10000000"),45.0735501)</f>
        <v>45.073550099999999</v>
      </c>
      <c r="G17" s="95">
        <f t="shared" ca="1" si="0"/>
        <v>7.6764766943756516E-4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539267</v>
      </c>
      <c r="B18" s="98" t="s">
        <v>4292</v>
      </c>
      <c r="C18" s="101"/>
      <c r="D18" s="101"/>
      <c r="E18" s="101">
        <f ca="1">IFERROR(__xludf.DUMMYFUNCTION("GOOGLEFINANCE(""BOM:""&amp;A18,""PRICE"")"),15.98)</f>
        <v>15.98</v>
      </c>
      <c r="F18" s="112">
        <f ca="1">IFERROR(__xludf.DUMMYFUNCTION("GOOGLEFINANCE(""BOM:""&amp;A18,""MARKETCAP"")/10000000"),35.64879)</f>
        <v>35.648789999999998</v>
      </c>
      <c r="G18" s="95">
        <f t="shared" ca="1" si="0"/>
        <v>6.0713457229474312E-4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524548</v>
      </c>
      <c r="B19" s="98" t="s">
        <v>4293</v>
      </c>
      <c r="C19" s="101"/>
      <c r="D19" s="101"/>
      <c r="E19" s="101">
        <f ca="1">IFERROR(__xludf.DUMMYFUNCTION("GOOGLEFINANCE(""BOM:""&amp;A19,""PRICE"")"),92.2)</f>
        <v>92.2</v>
      </c>
      <c r="F19" s="112">
        <f ca="1">IFERROR(__xludf.DUMMYFUNCTION("GOOGLEFINANCE(""BOM:""&amp;A19,""MARKETCAP"")/10000000"),30.2766349)</f>
        <v>30.276634900000001</v>
      </c>
      <c r="G19" s="95">
        <f t="shared" ca="1" si="0"/>
        <v>5.1564139429516667E-4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539428</v>
      </c>
      <c r="B20" s="98" t="s">
        <v>4294</v>
      </c>
      <c r="C20" s="101"/>
      <c r="D20" s="101"/>
      <c r="E20" s="101">
        <f ca="1">IFERROR(__xludf.DUMMYFUNCTION("GOOGLEFINANCE(""BOM:""&amp;A20,""PRICE"")"),13.66)</f>
        <v>13.66</v>
      </c>
      <c r="F20" s="112">
        <f ca="1">IFERROR(__xludf.DUMMYFUNCTION("GOOGLEFINANCE(""BOM:""&amp;A20,""MARKETCAP"")/10000000"),27.7483636)</f>
        <v>27.748363600000001</v>
      </c>
      <c r="G20" s="95">
        <f t="shared" ca="1" si="0"/>
        <v>4.7258240367106487E-4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523489</v>
      </c>
      <c r="B21" s="98" t="s">
        <v>4295</v>
      </c>
      <c r="C21" s="101"/>
      <c r="D21" s="101"/>
      <c r="E21" s="101">
        <f ca="1">IFERROR(__xludf.DUMMYFUNCTION("GOOGLEFINANCE(""BOM:""&amp;A21,""PRICE"")"),32.06)</f>
        <v>32.06</v>
      </c>
      <c r="F21" s="112">
        <f ca="1">IFERROR(__xludf.DUMMYFUNCTION("GOOGLEFINANCE(""BOM:""&amp;A21,""MARKETCAP"")/10000000"),23.9453553)</f>
        <v>23.945355299999999</v>
      </c>
      <c r="G21" s="95">
        <f t="shared" ca="1" si="0"/>
        <v>4.0781336613419868E-4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526139</v>
      </c>
      <c r="B22" s="98" t="s">
        <v>4296</v>
      </c>
      <c r="C22" s="101"/>
      <c r="D22" s="101"/>
      <c r="E22" s="101">
        <f ca="1">IFERROR(__xludf.DUMMYFUNCTION("GOOGLEFINANCE(""BOM:""&amp;A22,""PRICE"")"),2.2)</f>
        <v>2.2000000000000002</v>
      </c>
      <c r="F22" s="112">
        <f ca="1">IFERROR(__xludf.DUMMYFUNCTION("GOOGLEFINANCE(""BOM:""&amp;A22,""MARKETCAP"")/10000000"),16.6694003)</f>
        <v>16.6694003</v>
      </c>
      <c r="G22" s="95">
        <f t="shared" ca="1" si="0"/>
        <v>2.8389657044601969E-4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516110</v>
      </c>
      <c r="B23" s="98" t="s">
        <v>4297</v>
      </c>
      <c r="C23" s="101"/>
      <c r="D23" s="101"/>
      <c r="E23" s="101">
        <f ca="1">IFERROR(__xludf.DUMMYFUNCTION("GOOGLEFINANCE(""BOM:""&amp;A23,""PRICE"")"),2.84)</f>
        <v>2.84</v>
      </c>
      <c r="F23" s="112">
        <f ca="1">IFERROR(__xludf.DUMMYFUNCTION("GOOGLEFINANCE(""BOM:""&amp;A23,""MARKETCAP"")/10000000"),15.3401913)</f>
        <v>15.340191300000001</v>
      </c>
      <c r="G23" s="95">
        <f t="shared" ca="1" si="0"/>
        <v>2.6125881085571319E-4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541299</v>
      </c>
      <c r="B24" s="98" t="s">
        <v>4298</v>
      </c>
      <c r="C24" s="101"/>
      <c r="D24" s="101"/>
      <c r="E24" s="101">
        <f ca="1">IFERROR(__xludf.DUMMYFUNCTION("GOOGLEFINANCE(""BOM:""&amp;A24,""PRICE"")"),14.07)</f>
        <v>14.07</v>
      </c>
      <c r="F24" s="112">
        <f ca="1">IFERROR(__xludf.DUMMYFUNCTION("GOOGLEFINANCE(""BOM:""&amp;A24,""MARKETCAP"")/10000000"),12.1523558)</f>
        <v>12.1523558</v>
      </c>
      <c r="G24" s="95">
        <f t="shared" ca="1" si="0"/>
        <v>2.0696678178997217E-4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531043</v>
      </c>
      <c r="B25" s="98" t="s">
        <v>4299</v>
      </c>
      <c r="C25" s="101"/>
      <c r="D25" s="101"/>
      <c r="E25" s="101">
        <f ca="1">IFERROR(__xludf.DUMMYFUNCTION("GOOGLEFINANCE(""BOM:""&amp;A25,""PRICE"")"),27.4)</f>
        <v>27.4</v>
      </c>
      <c r="F25" s="112">
        <f ca="1">IFERROR(__xludf.DUMMYFUNCTION("GOOGLEFINANCE(""BOM:""&amp;A25,""MARKETCAP"")/10000000"),11.2296185)</f>
        <v>11.229618500000001</v>
      </c>
      <c r="G25" s="95">
        <f t="shared" ca="1" si="0"/>
        <v>1.9125164206220283E-4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544220</v>
      </c>
      <c r="B26" s="98" t="s">
        <v>4300</v>
      </c>
      <c r="C26" s="101"/>
      <c r="D26" s="101"/>
      <c r="E26" s="101">
        <f ca="1">IFERROR(__xludf.DUMMYFUNCTION("GOOGLEFINANCE(""BOM:""&amp;A26,""PRICE"")"),35)</f>
        <v>35</v>
      </c>
      <c r="F26" s="112">
        <f ca="1">IFERROR(__xludf.DUMMYFUNCTION("GOOGLEFINANCE(""BOM:""&amp;A26,""MARKETCAP"")/10000000"),7.9884)</f>
        <v>7.9884000000000004</v>
      </c>
      <c r="G26" s="95">
        <f t="shared" ca="1" si="0"/>
        <v>1.3605044707883007E-4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534422</v>
      </c>
      <c r="B27" s="98" t="s">
        <v>4301</v>
      </c>
      <c r="C27" s="101"/>
      <c r="D27" s="101"/>
      <c r="E27" s="101">
        <f ca="1">IFERROR(__xludf.DUMMYFUNCTION("GOOGLEFINANCE(""BOM:""&amp;A27,""PRICE"")"),6.28)</f>
        <v>6.28</v>
      </c>
      <c r="F27" s="112">
        <f ca="1">IFERROR(__xludf.DUMMYFUNCTION("GOOGLEFINANCE(""BOM:""&amp;A27,""MARKETCAP"")/10000000"),6.5940002)</f>
        <v>6.5940002</v>
      </c>
      <c r="G27" s="95">
        <f t="shared" ca="1" si="0"/>
        <v>1.1230242291921973E-4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542918</v>
      </c>
      <c r="B28" s="98" t="s">
        <v>4302</v>
      </c>
      <c r="C28" s="101"/>
      <c r="D28" s="101"/>
      <c r="E28" s="101">
        <f ca="1">IFERROR(__xludf.DUMMYFUNCTION("GOOGLEFINANCE(""BOM:""&amp;A28,""PRICE"")"),6.46)</f>
        <v>6.46</v>
      </c>
      <c r="F28" s="112">
        <f ca="1">IFERROR(__xludf.DUMMYFUNCTION("GOOGLEFINANCE(""BOM:""&amp;A28,""MARKETCAP"")/10000000"),6.6806219)</f>
        <v>6.6806219000000002</v>
      </c>
      <c r="G28" s="95">
        <f t="shared" ca="1" si="0"/>
        <v>1.1377767716434119E-4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526187</v>
      </c>
      <c r="B29" s="98" t="s">
        <v>4303</v>
      </c>
      <c r="C29" s="101"/>
      <c r="D29" s="101"/>
      <c r="E29" s="101">
        <f ca="1">IFERROR(__xludf.DUMMYFUNCTION("GOOGLEFINANCE(""BOM:""&amp;A29,""PRICE"")"),4.3)</f>
        <v>4.3</v>
      </c>
      <c r="F29" s="112">
        <f ca="1">IFERROR(__xludf.DUMMYFUNCTION("GOOGLEFINANCE(""BOM:""&amp;A29,""MARKETCAP"")/10000000"),5.1600002)</f>
        <v>5.1600001999999998</v>
      </c>
      <c r="G29" s="95">
        <f t="shared" ca="1" si="0"/>
        <v>8.7879967720301005E-5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542248</v>
      </c>
      <c r="B30" s="98" t="s">
        <v>4304</v>
      </c>
      <c r="C30" s="101"/>
      <c r="D30" s="101"/>
      <c r="E30" s="101">
        <f ca="1">IFERROR(__xludf.DUMMYFUNCTION("GOOGLEFINANCE(""BOM:""&amp;A30,""PRICE"")"),9.07)</f>
        <v>9.07</v>
      </c>
      <c r="F30" s="112"/>
      <c r="G30" s="95">
        <f t="shared" ca="1" si="0"/>
        <v>0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523031</v>
      </c>
      <c r="B31" s="98" t="s">
        <v>4305</v>
      </c>
      <c r="C31" s="101"/>
      <c r="D31" s="101"/>
      <c r="E31" s="101">
        <f ca="1">IFERROR(__xludf.DUMMYFUNCTION("GOOGLEFINANCE(""BOM:""&amp;A31,""PRICE"")"),11.34)</f>
        <v>11.34</v>
      </c>
      <c r="F31" s="101"/>
      <c r="G31" s="95">
        <f t="shared" ca="1" si="0"/>
        <v>0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531458</v>
      </c>
      <c r="B32" s="98" t="s">
        <v>4306</v>
      </c>
      <c r="C32" s="101"/>
      <c r="D32" s="101"/>
      <c r="E32" s="101">
        <f ca="1">IFERROR(__xludf.DUMMYFUNCTION("GOOGLEFINANCE(""BOM:""&amp;A32,""PRICE"")"),7.12)</f>
        <v>7.12</v>
      </c>
      <c r="F32" s="101"/>
      <c r="G32" s="95">
        <f t="shared" ca="1" si="0"/>
        <v>0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3.2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3.2">
      <c r="A34" s="101"/>
      <c r="B34" s="101"/>
      <c r="C34" s="101"/>
      <c r="D34" s="101"/>
      <c r="E34" s="101"/>
      <c r="F34" s="112">
        <f t="shared" ref="F34:O34" ca="1" si="1">SUM(F2:F32)</f>
        <v>58716.455340800007</v>
      </c>
      <c r="G34" s="95">
        <f t="shared" ca="1" si="1"/>
        <v>1</v>
      </c>
      <c r="H34" s="101">
        <f t="shared" si="1"/>
        <v>5060</v>
      </c>
      <c r="I34" s="101">
        <f t="shared" si="1"/>
        <v>4382</v>
      </c>
      <c r="J34" s="101">
        <f t="shared" si="1"/>
        <v>815</v>
      </c>
      <c r="K34" s="101">
        <f t="shared" si="1"/>
        <v>685</v>
      </c>
      <c r="L34" s="101">
        <f t="shared" si="1"/>
        <v>1646</v>
      </c>
      <c r="M34" s="101">
        <f t="shared" si="1"/>
        <v>1426</v>
      </c>
      <c r="N34" s="101">
        <f t="shared" si="1"/>
        <v>219</v>
      </c>
      <c r="O34" s="101">
        <f t="shared" si="1"/>
        <v>202</v>
      </c>
      <c r="P34" s="95">
        <f t="shared" ref="P34:Q34" si="2">J34/H34</f>
        <v>0.16106719367588934</v>
      </c>
      <c r="Q34" s="95">
        <f t="shared" si="2"/>
        <v>0.15632131446827932</v>
      </c>
      <c r="R34" s="95">
        <f>P34-Q34</f>
        <v>4.7458792076100209E-3</v>
      </c>
      <c r="S34" s="95">
        <f t="shared" ref="S34:T34" si="3">N34/L34</f>
        <v>0.13304981773997571</v>
      </c>
      <c r="T34" s="95">
        <f t="shared" si="3"/>
        <v>0.14165497896213183</v>
      </c>
      <c r="U34" s="95">
        <f>S34-T34</f>
        <v>-8.6051612221561269E-3</v>
      </c>
      <c r="V34" s="95">
        <f>(H34/I34)-1</f>
        <v>0.15472387037882251</v>
      </c>
      <c r="W34" s="95">
        <f>(J34/K34)-1</f>
        <v>0.18978102189781021</v>
      </c>
      <c r="X34" s="95">
        <f>(L34/M34)-1</f>
        <v>0.15427769985974749</v>
      </c>
      <c r="Y34" s="95">
        <f>(N34/O34)-1</f>
        <v>8.4158415841584233E-2</v>
      </c>
    </row>
  </sheetData>
  <autoFilter ref="A1:Y32" xr:uid="{00000000-0009-0000-0000-00007B000000}"/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outlinePr summaryBelow="0" summaryRight="0"/>
  </sheetPr>
  <dimension ref="A1:Y14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539268</v>
      </c>
      <c r="B2" s="98" t="s">
        <v>4307</v>
      </c>
      <c r="C2" s="101" t="str">
        <f>VLOOKUP(A2,'BSE ALL CAP'!$B$4:$Y$1038,2,)</f>
        <v>Healthcare</v>
      </c>
      <c r="D2" s="101" t="str">
        <f>VLOOKUP(A2,'BSE ALL CAP'!$B$4:$Y$1038,3,)</f>
        <v>Healthcare Research, Analytics &amp; Technology</v>
      </c>
      <c r="E2" s="101">
        <f ca="1">IFERROR(__xludf.DUMMYFUNCTION("GOOGLEFINANCE(""BOM:""&amp;A2,""PRICE"")"),398.75)</f>
        <v>398.75</v>
      </c>
      <c r="F2" s="112">
        <f ca="1">IFERROR(__xludf.DUMMYFUNCTION("GOOGLEFINANCE(""BOM:""&amp;A2,""MARKETCAP"")/10000000"),16007.7969769)</f>
        <v>16007.796976899999</v>
      </c>
      <c r="G2" s="95">
        <f t="shared" ref="G2:G12" ca="1" si="0">F2/$F$14</f>
        <v>0.46255897665814993</v>
      </c>
      <c r="H2" s="101">
        <f>VLOOKUP(A2,'BSE ALL CAP'!$B$4:$Y$1038,7,)</f>
        <v>2702</v>
      </c>
      <c r="I2" s="101">
        <f>VLOOKUP(A2,'BSE ALL CAP'!$B$4:$Y$1038,8,)</f>
        <v>2624</v>
      </c>
      <c r="J2" s="101">
        <f>VLOOKUP(A2,'BSE ALL CAP'!$B$4:$Y$1038,9,)</f>
        <v>168</v>
      </c>
      <c r="K2" s="101">
        <f>VLOOKUP(A2,'BSE ALL CAP'!$B$4:$Y$1038,10,)</f>
        <v>312</v>
      </c>
      <c r="L2" s="101">
        <f>VLOOKUP(A2,'BSE ALL CAP'!$B$4:$Y$1038,11,)</f>
        <v>917</v>
      </c>
      <c r="M2" s="101">
        <f>VLOOKUP(A2,'BSE ALL CAP'!$B$4:$Y$1038,12,)</f>
        <v>943</v>
      </c>
      <c r="N2" s="101">
        <f>VLOOKUP(A2,'BSE ALL CAP'!$B$4:$Y$1038,13,)</f>
        <v>15</v>
      </c>
      <c r="O2" s="101">
        <f>VLOOKUP(A2,'BSE ALL CAP'!$B$4:$Y$1038,14,)</f>
        <v>131</v>
      </c>
      <c r="P2" s="95">
        <f>VLOOKUP(A2,'BSE ALL CAP'!$B$4:$Y$1038,15,)</f>
        <v>6.2176165803108807E-2</v>
      </c>
      <c r="Q2" s="95">
        <f>VLOOKUP(A2,'BSE ALL CAP'!$B$4:$Y$1038,16,)</f>
        <v>0.11890243902439024</v>
      </c>
      <c r="R2" s="95">
        <f>VLOOKUP(A2,'BSE ALL CAP'!$B$4:$Y$1038,17,)</f>
        <v>-5.6726273221281431E-2</v>
      </c>
      <c r="S2" s="95">
        <f>VLOOKUP(A2,'BSE ALL CAP'!$B$4:$Y$1038,18,)</f>
        <v>1.6357688113413305E-2</v>
      </c>
      <c r="T2" s="95">
        <f>VLOOKUP(A2,'BSE ALL CAP'!$B$4:$Y$1038,19,)</f>
        <v>0.13891834570519618</v>
      </c>
      <c r="U2" s="95">
        <f>VLOOKUP(A2,'BSE ALL CAP'!$B$4:$Y$1038,20,)</f>
        <v>-0.12256065759178288</v>
      </c>
      <c r="V2" s="95">
        <f>VLOOKUP(A2,'BSE ALL CAP'!$B$4:$Y$1038,21,)</f>
        <v>2.9725609756097615E-2</v>
      </c>
      <c r="W2" s="95">
        <f>VLOOKUP(A2,'BSE ALL CAP'!$B$4:$Y$1038,22,)</f>
        <v>-0.46153846153846156</v>
      </c>
      <c r="X2" s="95">
        <f>VLOOKUP(A2,'BSE ALL CAP'!$B$4:$Y$1038,23,)</f>
        <v>-2.7571580063626699E-2</v>
      </c>
      <c r="Y2" s="95">
        <f>VLOOKUP(A2,'BSE ALL CAP'!$B$4:$Y$1038,24,)</f>
        <v>-0.8854961832061069</v>
      </c>
    </row>
    <row r="3" spans="1:25" ht="15.75" customHeight="1">
      <c r="A3" s="99">
        <v>544172</v>
      </c>
      <c r="B3" s="98" t="s">
        <v>4308</v>
      </c>
      <c r="C3" s="101" t="str">
        <f>VLOOKUP(A3,'BSE ALL CAP'!$B$4:$Y$1038,2,)</f>
        <v>Healthcare</v>
      </c>
      <c r="D3" s="101" t="str">
        <f>VLOOKUP(A3,'BSE ALL CAP'!$B$4:$Y$1038,3,)</f>
        <v>Healthcare Research, Analytics &amp; Technology</v>
      </c>
      <c r="E3" s="101">
        <f ca="1">IFERROR(__xludf.DUMMYFUNCTION("GOOGLEFINANCE(""BOM:""&amp;A3,""PRICE"")"),469.45)</f>
        <v>469.45</v>
      </c>
      <c r="F3" s="112">
        <f ca="1">IFERROR(__xludf.DUMMYFUNCTION("GOOGLEFINANCE(""BOM:""&amp;A3,""MARKETCAP"")/10000000"),11283.3265855)</f>
        <v>11283.326585500001</v>
      </c>
      <c r="G3" s="95">
        <f t="shared" ca="1" si="0"/>
        <v>0.32604136635541625</v>
      </c>
      <c r="H3" s="101">
        <f>VLOOKUP(A3,'BSE ALL CAP'!$B$4:$Y$1038,7,)</f>
        <v>256</v>
      </c>
      <c r="I3" s="101">
        <f>VLOOKUP(A3,'BSE ALL CAP'!$B$4:$Y$1038,8,)</f>
        <v>216</v>
      </c>
      <c r="J3" s="101">
        <f>VLOOKUP(A3,'BSE ALL CAP'!$B$4:$Y$1038,9,)</f>
        <v>321</v>
      </c>
      <c r="K3" s="101">
        <f>VLOOKUP(A3,'BSE ALL CAP'!$B$4:$Y$1038,10,)</f>
        <v>289</v>
      </c>
      <c r="L3" s="101">
        <f>VLOOKUP(A3,'BSE ALL CAP'!$B$4:$Y$1038,11,)</f>
        <v>942</v>
      </c>
      <c r="M3" s="101">
        <f>VLOOKUP(A3,'BSE ALL CAP'!$B$4:$Y$1038,12,)</f>
        <v>720</v>
      </c>
      <c r="N3" s="101">
        <f>VLOOKUP(A3,'BSE ALL CAP'!$B$4:$Y$1038,13,)</f>
        <v>102</v>
      </c>
      <c r="O3" s="101">
        <f>VLOOKUP(A3,'BSE ALL CAP'!$B$4:$Y$1038,14,)</f>
        <v>109</v>
      </c>
      <c r="P3" s="95">
        <f>VLOOKUP(A3,'BSE ALL CAP'!$B$4:$Y$1038,15,)</f>
        <v>1.25390625</v>
      </c>
      <c r="Q3" s="95">
        <f>VLOOKUP(A3,'BSE ALL CAP'!$B$4:$Y$1038,16,)</f>
        <v>1.337962962962963</v>
      </c>
      <c r="R3" s="95">
        <f>VLOOKUP(A3,'BSE ALL CAP'!$B$4:$Y$1038,17,)</f>
        <v>-8.4056712962963021E-2</v>
      </c>
      <c r="S3" s="95">
        <f>VLOOKUP(A3,'BSE ALL CAP'!$B$4:$Y$1038,18,)</f>
        <v>0.10828025477707007</v>
      </c>
      <c r="T3" s="95">
        <f>VLOOKUP(A3,'BSE ALL CAP'!$B$4:$Y$1038,19,)</f>
        <v>0.15138888888888888</v>
      </c>
      <c r="U3" s="95">
        <f>VLOOKUP(A3,'BSE ALL CAP'!$B$4:$Y$1038,20,)</f>
        <v>-4.3108634111818811E-2</v>
      </c>
      <c r="V3" s="95">
        <f>VLOOKUP(A3,'BSE ALL CAP'!$B$4:$Y$1038,21,)</f>
        <v>0.18518518518518512</v>
      </c>
      <c r="W3" s="95">
        <f>VLOOKUP(A3,'BSE ALL CAP'!$B$4:$Y$1038,22,)</f>
        <v>0.11072664359861584</v>
      </c>
      <c r="X3" s="95">
        <f>VLOOKUP(A3,'BSE ALL CAP'!$B$4:$Y$1038,23,)</f>
        <v>0.30833333333333335</v>
      </c>
      <c r="Y3" s="95">
        <f>VLOOKUP(A3,'BSE ALL CAP'!$B$4:$Y$1038,24,)</f>
        <v>-6.422018348623848E-2</v>
      </c>
    </row>
    <row r="4" spans="1:25" ht="15.75" customHeight="1">
      <c r="A4" s="99">
        <v>530239</v>
      </c>
      <c r="B4" s="98" t="s">
        <v>4309</v>
      </c>
      <c r="C4" s="101" t="str">
        <f>VLOOKUP(A4,'BSE ALL CAP'!$B$4:$Y$1038,2,)</f>
        <v>Healthcare</v>
      </c>
      <c r="D4" s="101" t="str">
        <f>VLOOKUP(A4,'BSE ALL CAP'!$B$4:$Y$1038,3,)</f>
        <v>Healthcare Research, Analytics &amp; Technology</v>
      </c>
      <c r="E4" s="101">
        <f ca="1">IFERROR(__xludf.DUMMYFUNCTION("GOOGLEFINANCE(""BOM:""&amp;A4,""PRICE"")"),165.8)</f>
        <v>165.8</v>
      </c>
      <c r="F4" s="112">
        <f ca="1">IFERROR(__xludf.DUMMYFUNCTION("GOOGLEFINANCE(""BOM:""&amp;A4,""MARKETCAP"")/10000000"),4379.0789829)</f>
        <v>4379.0789828999996</v>
      </c>
      <c r="G4" s="95">
        <f t="shared" ca="1" si="0"/>
        <v>0.12653723032335093</v>
      </c>
      <c r="H4" s="101">
        <f>VLOOKUP(A4,'BSE ALL CAP'!$B$4:$Y$1038,7,)</f>
        <v>5</v>
      </c>
      <c r="I4" s="101">
        <f>VLOOKUP(A4,'BSE ALL CAP'!$B$4:$Y$1038,8,)</f>
        <v>5</v>
      </c>
      <c r="J4" s="101">
        <f>VLOOKUP(A4,'BSE ALL CAP'!$B$4:$Y$1038,9,)</f>
        <v>-230</v>
      </c>
      <c r="K4" s="101">
        <f>VLOOKUP(A4,'BSE ALL CAP'!$B$4:$Y$1038,10,)</f>
        <v>-116</v>
      </c>
      <c r="L4" s="101">
        <f>VLOOKUP(A4,'BSE ALL CAP'!$B$4:$Y$1038,11,)</f>
        <v>2</v>
      </c>
      <c r="M4" s="101">
        <f>VLOOKUP(A4,'BSE ALL CAP'!$B$4:$Y$1038,12,)</f>
        <v>1</v>
      </c>
      <c r="N4" s="101">
        <f>VLOOKUP(A4,'BSE ALL CAP'!$B$4:$Y$1038,13,)</f>
        <v>-101</v>
      </c>
      <c r="O4" s="101">
        <f>VLOOKUP(A4,'BSE ALL CAP'!$B$4:$Y$1038,14,)</f>
        <v>-39</v>
      </c>
      <c r="P4" s="95">
        <f>VLOOKUP(A4,'BSE ALL CAP'!$B$4:$Y$1038,15,)</f>
        <v>-46</v>
      </c>
      <c r="Q4" s="95">
        <f>VLOOKUP(A4,'BSE ALL CAP'!$B$4:$Y$1038,16,)</f>
        <v>-23.2</v>
      </c>
      <c r="R4" s="95">
        <f>VLOOKUP(A4,'BSE ALL CAP'!$B$4:$Y$1038,17,)</f>
        <v>-22.8</v>
      </c>
      <c r="S4" s="95">
        <f>VLOOKUP(A4,'BSE ALL CAP'!$B$4:$Y$1038,18,)</f>
        <v>-50.5</v>
      </c>
      <c r="T4" s="95">
        <f>VLOOKUP(A4,'BSE ALL CAP'!$B$4:$Y$1038,19,)</f>
        <v>-39</v>
      </c>
      <c r="U4" s="95">
        <f>VLOOKUP(A4,'BSE ALL CAP'!$B$4:$Y$1038,20,)</f>
        <v>-11.5</v>
      </c>
      <c r="V4" s="95">
        <f>VLOOKUP(A4,'BSE ALL CAP'!$B$4:$Y$1038,21,)</f>
        <v>0</v>
      </c>
      <c r="W4" s="95">
        <f>VLOOKUP(A4,'BSE ALL CAP'!$B$4:$Y$1038,22,)</f>
        <v>0.98275862068965525</v>
      </c>
      <c r="X4" s="95">
        <f>VLOOKUP(A4,'BSE ALL CAP'!$B$4:$Y$1038,23,)</f>
        <v>1</v>
      </c>
      <c r="Y4" s="95">
        <f>VLOOKUP(A4,'BSE ALL CAP'!$B$4:$Y$1038,24,)</f>
        <v>1.5897435897435899</v>
      </c>
    </row>
    <row r="5" spans="1:25" ht="15.75" customHeight="1">
      <c r="A5" s="99">
        <v>524394</v>
      </c>
      <c r="B5" s="98" t="s">
        <v>4310</v>
      </c>
      <c r="C5" s="101" t="str">
        <f>VLOOKUP(A5,'BSE ALL CAP'!$B$4:$Y$1038,2,)</f>
        <v>Healthcare</v>
      </c>
      <c r="D5" s="101" t="str">
        <f>VLOOKUP(A5,'BSE ALL CAP'!$B$4:$Y$1038,3,)</f>
        <v>Healthcare Research, Analytics &amp; Technology</v>
      </c>
      <c r="E5" s="101">
        <f ca="1">IFERROR(__xludf.DUMMYFUNCTION("GOOGLEFINANCE(""BOM:""&amp;A5,""PRICE"")"),412.5)</f>
        <v>412.5</v>
      </c>
      <c r="F5" s="112">
        <f ca="1">IFERROR(__xludf.DUMMYFUNCTION("GOOGLEFINANCE(""BOM:""&amp;A5,""MARKETCAP"")/10000000"),1846.4071961)</f>
        <v>1846.4071961</v>
      </c>
      <c r="G5" s="95">
        <f t="shared" ca="1" si="0"/>
        <v>5.3353514187787748E-2</v>
      </c>
      <c r="H5" s="101">
        <f>VLOOKUP(A5,'BSE ALL CAP'!$B$4:$Y$1038,7,)</f>
        <v>298</v>
      </c>
      <c r="I5" s="101">
        <f>VLOOKUP(A5,'BSE ALL CAP'!$B$4:$Y$1038,8,)</f>
        <v>249</v>
      </c>
      <c r="J5" s="101">
        <f>VLOOKUP(A5,'BSE ALL CAP'!$B$4:$Y$1038,9,)</f>
        <v>56</v>
      </c>
      <c r="K5" s="101">
        <f>VLOOKUP(A5,'BSE ALL CAP'!$B$4:$Y$1038,10,)</f>
        <v>48</v>
      </c>
      <c r="L5" s="101">
        <f>VLOOKUP(A5,'BSE ALL CAP'!$B$4:$Y$1038,11,)</f>
        <v>98</v>
      </c>
      <c r="M5" s="101">
        <f>VLOOKUP(A5,'BSE ALL CAP'!$B$4:$Y$1038,12,)</f>
        <v>89</v>
      </c>
      <c r="N5" s="101">
        <f>VLOOKUP(A5,'BSE ALL CAP'!$B$4:$Y$1038,13,)</f>
        <v>17</v>
      </c>
      <c r="O5" s="101">
        <f>VLOOKUP(A5,'BSE ALL CAP'!$B$4:$Y$1038,14,)</f>
        <v>17</v>
      </c>
      <c r="P5" s="95">
        <f>VLOOKUP(A5,'BSE ALL CAP'!$B$4:$Y$1038,15,)</f>
        <v>0.18791946308724833</v>
      </c>
      <c r="Q5" s="95">
        <f>VLOOKUP(A5,'BSE ALL CAP'!$B$4:$Y$1038,16,)</f>
        <v>0.19277108433734941</v>
      </c>
      <c r="R5" s="95">
        <f>VLOOKUP(A5,'BSE ALL CAP'!$B$4:$Y$1038,17,)</f>
        <v>-4.8516212501010791E-3</v>
      </c>
      <c r="S5" s="95">
        <f>VLOOKUP(A5,'BSE ALL CAP'!$B$4:$Y$1038,18,)</f>
        <v>0.17346938775510204</v>
      </c>
      <c r="T5" s="95">
        <f>VLOOKUP(A5,'BSE ALL CAP'!$B$4:$Y$1038,19,)</f>
        <v>0.19101123595505617</v>
      </c>
      <c r="U5" s="95">
        <f>VLOOKUP(A5,'BSE ALL CAP'!$B$4:$Y$1038,20,)</f>
        <v>-1.7541848199954135E-2</v>
      </c>
      <c r="V5" s="95">
        <f>VLOOKUP(A5,'BSE ALL CAP'!$B$4:$Y$1038,21,)</f>
        <v>0.19678714859437751</v>
      </c>
      <c r="W5" s="95">
        <f>VLOOKUP(A5,'BSE ALL CAP'!$B$4:$Y$1038,22,)</f>
        <v>0.16666666666666674</v>
      </c>
      <c r="X5" s="95">
        <f>VLOOKUP(A5,'BSE ALL CAP'!$B$4:$Y$1038,23,)</f>
        <v>0.101123595505618</v>
      </c>
      <c r="Y5" s="95">
        <f>VLOOKUP(A5,'BSE ALL CAP'!$B$4:$Y$1038,24,)</f>
        <v>0</v>
      </c>
    </row>
    <row r="6" spans="1:25" ht="15.75" customHeight="1">
      <c r="A6" s="99">
        <v>532890</v>
      </c>
      <c r="B6" s="98" t="s">
        <v>4311</v>
      </c>
      <c r="C6" s="101"/>
      <c r="D6" s="101"/>
      <c r="E6" s="101">
        <f ca="1">IFERROR(__xludf.DUMMYFUNCTION("GOOGLEFINANCE(""BOM:""&amp;A6,""PRICE"")"),42.04)</f>
        <v>42.04</v>
      </c>
      <c r="F6" s="112">
        <f ca="1">IFERROR(__xludf.DUMMYFUNCTION("GOOGLEFINANCE(""BOM:""&amp;A6,""MARKETCAP"")/10000000"),621.7661636)</f>
        <v>621.76616360000003</v>
      </c>
      <c r="G6" s="95">
        <f t="shared" ca="1" si="0"/>
        <v>1.7966464765295637E-2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526853</v>
      </c>
      <c r="B7" s="98" t="s">
        <v>4312</v>
      </c>
      <c r="C7" s="101"/>
      <c r="D7" s="101"/>
      <c r="E7" s="101">
        <f ca="1">IFERROR(__xludf.DUMMYFUNCTION("GOOGLEFINANCE(""BOM:""&amp;A7,""PRICE"")"),56.85)</f>
        <v>56.85</v>
      </c>
      <c r="F7" s="112">
        <f ca="1">IFERROR(__xludf.DUMMYFUNCTION("GOOGLEFINANCE(""BOM:""&amp;A7,""MARKETCAP"")/10000000"),133.8546289)</f>
        <v>133.85462889999999</v>
      </c>
      <c r="G7" s="95">
        <f t="shared" ca="1" si="0"/>
        <v>3.8678439172040733E-3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536565</v>
      </c>
      <c r="B8" s="98" t="s">
        <v>4313</v>
      </c>
      <c r="C8" s="101"/>
      <c r="D8" s="101"/>
      <c r="E8" s="101">
        <f ca="1">IFERROR(__xludf.DUMMYFUNCTION("GOOGLEFINANCE(""BOM:""&amp;A8,""PRICE"")"),52.65)</f>
        <v>52.65</v>
      </c>
      <c r="F8" s="112">
        <f ca="1">IFERROR(__xludf.DUMMYFUNCTION("GOOGLEFINANCE(""BOM:""&amp;A8,""MARKETCAP"")/10000000"),111.0124755)</f>
        <v>111.01247549999999</v>
      </c>
      <c r="G8" s="95">
        <f t="shared" ca="1" si="0"/>
        <v>3.2078003698865075E-3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538837</v>
      </c>
      <c r="B9" s="98" t="s">
        <v>4314</v>
      </c>
      <c r="C9" s="101"/>
      <c r="D9" s="101"/>
      <c r="E9" s="101">
        <f ca="1">IFERROR(__xludf.DUMMYFUNCTION("GOOGLEFINANCE(""BOM:""&amp;A9,""PRICE"")"),65.9)</f>
        <v>65.900000000000006</v>
      </c>
      <c r="F9" s="112">
        <f ca="1">IFERROR(__xludf.DUMMYFUNCTION("GOOGLEFINANCE(""BOM:""&amp;A9,""MARKETCAP"")/10000000"),131.2659494)</f>
        <v>131.26594940000001</v>
      </c>
      <c r="G9" s="95">
        <f t="shared" ca="1" si="0"/>
        <v>3.7930418103217928E-3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540654</v>
      </c>
      <c r="B10" s="98" t="s">
        <v>4315</v>
      </c>
      <c r="C10" s="101"/>
      <c r="D10" s="101"/>
      <c r="E10" s="101">
        <f ca="1">IFERROR(__xludf.DUMMYFUNCTION("GOOGLEFINANCE(""BOM:""&amp;A10,""PRICE"")"),17.3)</f>
        <v>17.3</v>
      </c>
      <c r="F10" s="112">
        <f ca="1">IFERROR(__xludf.DUMMYFUNCTION("GOOGLEFINANCE(""BOM:""&amp;A10,""MARKETCAP"")/10000000"),59.4597513)</f>
        <v>59.459751300000001</v>
      </c>
      <c r="G10" s="95">
        <f t="shared" ca="1" si="0"/>
        <v>1.7181403383217031E-3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543309</v>
      </c>
      <c r="B11" s="98" t="s">
        <v>4316</v>
      </c>
      <c r="C11" s="101"/>
      <c r="D11" s="101"/>
      <c r="E11" s="101">
        <f ca="1">IFERROR(__xludf.DUMMYFUNCTION("GOOGLEFINANCE(""BOM:""&amp;A11,""PRICE"")"),15.45)</f>
        <v>15.45</v>
      </c>
      <c r="F11" s="112">
        <f ca="1">IFERROR(__xludf.DUMMYFUNCTION("GOOGLEFINANCE(""BOM:""&amp;A11,""MARKETCAP"")/10000000"),22.2965436)</f>
        <v>22.2965436</v>
      </c>
      <c r="G11" s="95">
        <f t="shared" ca="1" si="0"/>
        <v>6.4427768577479064E-4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540729</v>
      </c>
      <c r="B12" s="98" t="s">
        <v>4317</v>
      </c>
      <c r="C12" s="101"/>
      <c r="D12" s="101"/>
      <c r="E12" s="101">
        <f ca="1">IFERROR(__xludf.DUMMYFUNCTION("GOOGLEFINANCE(""BOM:""&amp;A12,""PRICE"")"),15.15)</f>
        <v>15.15</v>
      </c>
      <c r="F12" s="112">
        <f ca="1">IFERROR(__xludf.DUMMYFUNCTION("GOOGLEFINANCE(""BOM:""&amp;A12,""MARKETCAP"")/10000000"),10.77468)</f>
        <v>10.77468</v>
      </c>
      <c r="G12" s="95">
        <f t="shared" ca="1" si="0"/>
        <v>3.1134358849072561E-4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>
      <c r="A13" s="101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>
      <c r="A14" s="101"/>
      <c r="B14" s="101"/>
      <c r="C14" s="101"/>
      <c r="D14" s="101"/>
      <c r="E14" s="101"/>
      <c r="F14" s="112">
        <f t="shared" ref="F14:O14" ca="1" si="1">SUM(F2:F12)</f>
        <v>34607.039933699998</v>
      </c>
      <c r="G14" s="95">
        <f t="shared" ca="1" si="1"/>
        <v>1.0000000000000002</v>
      </c>
      <c r="H14" s="101">
        <f t="shared" si="1"/>
        <v>3261</v>
      </c>
      <c r="I14" s="101">
        <f t="shared" si="1"/>
        <v>3094</v>
      </c>
      <c r="J14" s="101">
        <f t="shared" si="1"/>
        <v>315</v>
      </c>
      <c r="K14" s="101">
        <f t="shared" si="1"/>
        <v>533</v>
      </c>
      <c r="L14" s="101">
        <f t="shared" si="1"/>
        <v>1959</v>
      </c>
      <c r="M14" s="101">
        <f t="shared" si="1"/>
        <v>1753</v>
      </c>
      <c r="N14" s="101">
        <f t="shared" si="1"/>
        <v>33</v>
      </c>
      <c r="O14" s="101">
        <f t="shared" si="1"/>
        <v>218</v>
      </c>
      <c r="P14" s="95">
        <f t="shared" ref="P14:Q14" si="2">J14/H14</f>
        <v>9.6596136154553813E-2</v>
      </c>
      <c r="Q14" s="95">
        <f t="shared" si="2"/>
        <v>0.17226890756302521</v>
      </c>
      <c r="R14" s="95">
        <f>P14-Q14</f>
        <v>-7.5672771408471395E-2</v>
      </c>
      <c r="S14" s="95">
        <f t="shared" ref="S14:T14" si="3">N14/L14</f>
        <v>1.6845329249617153E-2</v>
      </c>
      <c r="T14" s="95">
        <f t="shared" si="3"/>
        <v>0.12435824301197947</v>
      </c>
      <c r="U14" s="95">
        <f>S14-T14</f>
        <v>-0.10751291376236231</v>
      </c>
      <c r="V14" s="95">
        <f>(H14/I14)-1</f>
        <v>5.3975436328377535E-2</v>
      </c>
      <c r="W14" s="95">
        <f>(J14/K14)-1</f>
        <v>-0.40900562851782363</v>
      </c>
      <c r="X14" s="95">
        <f>(L14/M14)-1</f>
        <v>0.11751283513976052</v>
      </c>
      <c r="Y14" s="95">
        <f>(N14/O14)-1</f>
        <v>-0.84862385321100919</v>
      </c>
    </row>
  </sheetData>
  <autoFilter ref="A1:Y12" xr:uid="{00000000-0009-0000-0000-00007C000000}"/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outlinePr summaryBelow="0" summaryRight="0"/>
  </sheetPr>
  <dimension ref="A1:Y12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544587</v>
      </c>
      <c r="B2" s="98" t="s">
        <v>4318</v>
      </c>
      <c r="C2" s="101" t="str">
        <f>VLOOKUP(A2,'BSE ALL CAP'!$B$4:$Y$1038,2,)</f>
        <v>Consumer Discretionary</v>
      </c>
      <c r="D2" s="101" t="str">
        <f>VLOOKUP(A2,'BSE ALL CAP'!$B$4:$Y$1038,3,)</f>
        <v>Granites &amp; Marbles</v>
      </c>
      <c r="E2" s="101">
        <f ca="1">IFERROR(__xludf.DUMMYFUNCTION("GOOGLEFINANCE(""BOM:""&amp;A2,""PRICE"")"),1295.15)</f>
        <v>1295.1500000000001</v>
      </c>
      <c r="F2" s="112">
        <f ca="1">IFERROR(__xludf.DUMMYFUNCTION("GOOGLEFINANCE(""BOM:""&amp;A2,""MARKETCAP"")/10000000"),4650.6416858)</f>
        <v>4650.6416858000002</v>
      </c>
      <c r="G2" s="95">
        <f t="shared" ref="G2:G10" ca="1" si="0">F2/$F$12</f>
        <v>0.58444630121356334</v>
      </c>
      <c r="H2" s="101">
        <f>VLOOKUP(A2,'BSE ALL CAP'!$B$4:$Y$1038,7,)</f>
        <v>430</v>
      </c>
      <c r="I2" s="101">
        <f>VLOOKUP(A2,'BSE ALL CAP'!$B$4:$Y$1038,8,)</f>
        <v>396</v>
      </c>
      <c r="J2" s="101">
        <f>VLOOKUP(A2,'BSE ALL CAP'!$B$4:$Y$1038,9,)</f>
        <v>69</v>
      </c>
      <c r="K2" s="101">
        <f>VLOOKUP(A2,'BSE ALL CAP'!$B$4:$Y$1038,10,)</f>
        <v>85</v>
      </c>
      <c r="L2" s="101">
        <f>VLOOKUP(A2,'BSE ALL CAP'!$B$4:$Y$1038,11,)</f>
        <v>129</v>
      </c>
      <c r="M2" s="101">
        <f>VLOOKUP(A2,'BSE ALL CAP'!$B$4:$Y$1038,12,)</f>
        <v>117</v>
      </c>
      <c r="N2" s="101">
        <f>VLOOKUP(A2,'BSE ALL CAP'!$B$4:$Y$1038,13,)</f>
        <v>17</v>
      </c>
      <c r="O2" s="101">
        <f>VLOOKUP(A2,'BSE ALL CAP'!$B$4:$Y$1038,14,)</f>
        <v>14</v>
      </c>
      <c r="P2" s="95">
        <f>VLOOKUP(A2,'BSE ALL CAP'!$B$4:$Y$1038,15,)</f>
        <v>0.16046511627906976</v>
      </c>
      <c r="Q2" s="95">
        <f>VLOOKUP(A2,'BSE ALL CAP'!$B$4:$Y$1038,16,)</f>
        <v>0.21464646464646464</v>
      </c>
      <c r="R2" s="95">
        <f>VLOOKUP(A2,'BSE ALL CAP'!$B$4:$Y$1038,17,)</f>
        <v>-5.4181348367394883E-2</v>
      </c>
      <c r="S2" s="95">
        <f>VLOOKUP(A2,'BSE ALL CAP'!$B$4:$Y$1038,18,)</f>
        <v>0.13178294573643412</v>
      </c>
      <c r="T2" s="95">
        <f>VLOOKUP(A2,'BSE ALL CAP'!$B$4:$Y$1038,19,)</f>
        <v>0.11965811965811966</v>
      </c>
      <c r="U2" s="95">
        <f>VLOOKUP(A2,'BSE ALL CAP'!$B$4:$Y$1038,20,)</f>
        <v>1.2124826078314457E-2</v>
      </c>
      <c r="V2" s="95">
        <f>VLOOKUP(A2,'BSE ALL CAP'!$B$4:$Y$1038,21,)</f>
        <v>8.5858585858585856E-2</v>
      </c>
      <c r="W2" s="95">
        <f>VLOOKUP(A2,'BSE ALL CAP'!$B$4:$Y$1038,22,)</f>
        <v>-0.18823529411764706</v>
      </c>
      <c r="X2" s="95">
        <f>VLOOKUP(A2,'BSE ALL CAP'!$B$4:$Y$1038,23,)</f>
        <v>0.10256410256410264</v>
      </c>
      <c r="Y2" s="95">
        <f>VLOOKUP(A2,'BSE ALL CAP'!$B$4:$Y$1038,24,)</f>
        <v>0.21428571428571419</v>
      </c>
    </row>
    <row r="3" spans="1:25" ht="15.75" customHeight="1">
      <c r="A3" s="99">
        <v>532486</v>
      </c>
      <c r="B3" s="98" t="s">
        <v>4319</v>
      </c>
      <c r="C3" s="101" t="str">
        <f>VLOOKUP(A3,'BSE ALL CAP'!$B$4:$Y$1038,2,)</f>
        <v>Consumer Discretionary</v>
      </c>
      <c r="D3" s="101" t="str">
        <f>VLOOKUP(A3,'BSE ALL CAP'!$B$4:$Y$1038,3,)</f>
        <v>Granites &amp; Marbles</v>
      </c>
      <c r="E3" s="101">
        <f ca="1">IFERROR(__xludf.DUMMYFUNCTION("GOOGLEFINANCE(""BOM:""&amp;A3,""PRICE"")"),897)</f>
        <v>897</v>
      </c>
      <c r="F3" s="112">
        <f ca="1">IFERROR(__xludf.DUMMYFUNCTION("GOOGLEFINANCE(""BOM:""&amp;A3,""MARKETCAP"")/10000000"),2771.9116881)</f>
        <v>2771.9116881</v>
      </c>
      <c r="G3" s="95">
        <f t="shared" ca="1" si="0"/>
        <v>0.34834623754119909</v>
      </c>
      <c r="H3" s="101">
        <f>VLOOKUP(A3,'BSE ALL CAP'!$B$4:$Y$1038,7,)</f>
        <v>424</v>
      </c>
      <c r="I3" s="101">
        <f>VLOOKUP(A3,'BSE ALL CAP'!$B$4:$Y$1038,8,)</f>
        <v>667</v>
      </c>
      <c r="J3" s="101">
        <f>VLOOKUP(A3,'BSE ALL CAP'!$B$4:$Y$1038,9,)</f>
        <v>54</v>
      </c>
      <c r="K3" s="101">
        <f>VLOOKUP(A3,'BSE ALL CAP'!$B$4:$Y$1038,10,)</f>
        <v>128</v>
      </c>
      <c r="L3" s="101">
        <f>VLOOKUP(A3,'BSE ALL CAP'!$B$4:$Y$1038,11,)</f>
        <v>134</v>
      </c>
      <c r="M3" s="101">
        <f>VLOOKUP(A3,'BSE ALL CAP'!$B$4:$Y$1038,12,)</f>
        <v>223</v>
      </c>
      <c r="N3" s="101">
        <f>VLOOKUP(A3,'BSE ALL CAP'!$B$4:$Y$1038,13,)</f>
        <v>20</v>
      </c>
      <c r="O3" s="101">
        <f>VLOOKUP(A3,'BSE ALL CAP'!$B$4:$Y$1038,14,)</f>
        <v>50</v>
      </c>
      <c r="P3" s="95">
        <f>VLOOKUP(A3,'BSE ALL CAP'!$B$4:$Y$1038,15,)</f>
        <v>0.12735849056603774</v>
      </c>
      <c r="Q3" s="95">
        <f>VLOOKUP(A3,'BSE ALL CAP'!$B$4:$Y$1038,16,)</f>
        <v>0.19190404797601199</v>
      </c>
      <c r="R3" s="95">
        <f>VLOOKUP(A3,'BSE ALL CAP'!$B$4:$Y$1038,17,)</f>
        <v>-6.4545557409974252E-2</v>
      </c>
      <c r="S3" s="95">
        <f>VLOOKUP(A3,'BSE ALL CAP'!$B$4:$Y$1038,18,)</f>
        <v>0.14925373134328357</v>
      </c>
      <c r="T3" s="95">
        <f>VLOOKUP(A3,'BSE ALL CAP'!$B$4:$Y$1038,19,)</f>
        <v>0.22421524663677131</v>
      </c>
      <c r="U3" s="95">
        <f>VLOOKUP(A3,'BSE ALL CAP'!$B$4:$Y$1038,20,)</f>
        <v>-7.496151529348774E-2</v>
      </c>
      <c r="V3" s="95">
        <f>VLOOKUP(A3,'BSE ALL CAP'!$B$4:$Y$1038,21,)</f>
        <v>-0.3643178410794603</v>
      </c>
      <c r="W3" s="95">
        <f>VLOOKUP(A3,'BSE ALL CAP'!$B$4:$Y$1038,22,)</f>
        <v>-0.578125</v>
      </c>
      <c r="X3" s="95">
        <f>VLOOKUP(A3,'BSE ALL CAP'!$B$4:$Y$1038,23,)</f>
        <v>-0.39910313901345296</v>
      </c>
      <c r="Y3" s="95">
        <f>VLOOKUP(A3,'BSE ALL CAP'!$B$4:$Y$1038,24,)</f>
        <v>-0.6</v>
      </c>
    </row>
    <row r="4" spans="1:25" ht="15.75" customHeight="1">
      <c r="A4" s="99">
        <v>543829</v>
      </c>
      <c r="B4" s="98" t="s">
        <v>4320</v>
      </c>
      <c r="C4" s="101"/>
      <c r="D4" s="101"/>
      <c r="E4" s="101">
        <f ca="1">IFERROR(__xludf.DUMMYFUNCTION("GOOGLEFINANCE(""BOM:""&amp;A4,""PRICE"")"),49.79)</f>
        <v>49.79</v>
      </c>
      <c r="F4" s="112">
        <f ca="1">IFERROR(__xludf.DUMMYFUNCTION("GOOGLEFINANCE(""BOM:""&amp;A4,""MARKETCAP"")/10000000"),216.7405737)</f>
        <v>216.7405737</v>
      </c>
      <c r="G4" s="95">
        <f t="shared" ca="1" si="0"/>
        <v>2.7237795379645654E-2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523483</v>
      </c>
      <c r="B5" s="98" t="s">
        <v>4321</v>
      </c>
      <c r="C5" s="101"/>
      <c r="D5" s="101"/>
      <c r="E5" s="101">
        <f ca="1">IFERROR(__xludf.DUMMYFUNCTION("GOOGLEFINANCE(""BOM:""&amp;A5,""PRICE"")"),135.5)</f>
        <v>135.5</v>
      </c>
      <c r="F5" s="112">
        <f ca="1">IFERROR(__xludf.DUMMYFUNCTION("GOOGLEFINANCE(""BOM:""&amp;A5,""MARKETCAP"")/10000000"),93.3953939)</f>
        <v>93.395393900000002</v>
      </c>
      <c r="G5" s="95">
        <f t="shared" ca="1" si="0"/>
        <v>1.173700237580208E-2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526193</v>
      </c>
      <c r="B6" s="98" t="s">
        <v>4322</v>
      </c>
      <c r="C6" s="101"/>
      <c r="D6" s="101"/>
      <c r="E6" s="101">
        <f ca="1">IFERROR(__xludf.DUMMYFUNCTION("GOOGLEFINANCE(""BOM:""&amp;A6,""PRICE"")"),17.33)</f>
        <v>17.329999999999998</v>
      </c>
      <c r="F6" s="112">
        <f ca="1">IFERROR(__xludf.DUMMYFUNCTION("GOOGLEFINANCE(""BOM:""&amp;A6,""MARKETCAP"")/10000000"),63.4078009)</f>
        <v>63.407800899999998</v>
      </c>
      <c r="G6" s="95">
        <f t="shared" ca="1" si="0"/>
        <v>7.9684605281983324E-3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526705</v>
      </c>
      <c r="B7" s="98" t="s">
        <v>4323</v>
      </c>
      <c r="C7" s="101"/>
      <c r="D7" s="101"/>
      <c r="E7" s="101">
        <f ca="1">IFERROR(__xludf.DUMMYFUNCTION("GOOGLEFINANCE(""BOM:""&amp;A7,""PRICE"")"),171)</f>
        <v>171</v>
      </c>
      <c r="F7" s="112">
        <f ca="1">IFERROR(__xludf.DUMMYFUNCTION("GOOGLEFINANCE(""BOM:""&amp;A7,""MARKETCAP"")/10000000"),50.6673)</f>
        <v>50.667299999999997</v>
      </c>
      <c r="G7" s="95">
        <f t="shared" ca="1" si="0"/>
        <v>6.3673613402413917E-3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532817</v>
      </c>
      <c r="B8" s="98" t="s">
        <v>4324</v>
      </c>
      <c r="C8" s="101"/>
      <c r="D8" s="101"/>
      <c r="E8" s="101">
        <f ca="1">IFERROR(__xludf.DUMMYFUNCTION("GOOGLEFINANCE(""BOM:""&amp;A8,""PRICE"")"),6.5)</f>
        <v>6.5</v>
      </c>
      <c r="F8" s="112">
        <f ca="1">IFERROR(__xludf.DUMMYFUNCTION("GOOGLEFINANCE(""BOM:""&amp;A8,""MARKETCAP"")/10000000"),47.9963272)</f>
        <v>47.996327200000003</v>
      </c>
      <c r="G8" s="95">
        <f t="shared" ca="1" si="0"/>
        <v>6.0317000962525416E-3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513729</v>
      </c>
      <c r="B9" s="98" t="s">
        <v>4325</v>
      </c>
      <c r="C9" s="101"/>
      <c r="D9" s="101"/>
      <c r="E9" s="101">
        <f ca="1">IFERROR(__xludf.DUMMYFUNCTION("GOOGLEFINANCE(""BOM:""&amp;A9,""PRICE"")"),21.87)</f>
        <v>21.87</v>
      </c>
      <c r="F9" s="112">
        <f ca="1">IFERROR(__xludf.DUMMYFUNCTION("GOOGLEFINANCE(""BOM:""&amp;A9,""MARKETCAP"")/10000000"),33.66)</f>
        <v>33.659999999999997</v>
      </c>
      <c r="G9" s="95">
        <f t="shared" ca="1" si="0"/>
        <v>4.2300533620801828E-3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515093</v>
      </c>
      <c r="B10" s="98" t="s">
        <v>4326</v>
      </c>
      <c r="C10" s="101"/>
      <c r="D10" s="101"/>
      <c r="E10" s="101">
        <f ca="1">IFERROR(__xludf.DUMMYFUNCTION("GOOGLEFINANCE(""BOM:""&amp;A10,""PRICE"")"),32.66)</f>
        <v>32.659999999999997</v>
      </c>
      <c r="F10" s="112">
        <f ca="1">IFERROR(__xludf.DUMMYFUNCTION("GOOGLEFINANCE(""BOM:""&amp;A10,""MARKETCAP"")/10000000"),28.9256558)</f>
        <v>28.925655800000001</v>
      </c>
      <c r="G10" s="95">
        <f t="shared" ca="1" si="0"/>
        <v>3.6350881630173543E-3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>
      <c r="A11" s="101"/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>
      <c r="A12" s="101"/>
      <c r="B12" s="101"/>
      <c r="C12" s="101"/>
      <c r="D12" s="101"/>
      <c r="E12" s="101"/>
      <c r="F12" s="112">
        <f t="shared" ref="F12:O12" ca="1" si="1">SUM(F2:F10)</f>
        <v>7957.346425400001</v>
      </c>
      <c r="G12" s="95">
        <f t="shared" ca="1" si="1"/>
        <v>1</v>
      </c>
      <c r="H12" s="101">
        <f t="shared" si="1"/>
        <v>854</v>
      </c>
      <c r="I12" s="101">
        <f t="shared" si="1"/>
        <v>1063</v>
      </c>
      <c r="J12" s="101">
        <f t="shared" si="1"/>
        <v>123</v>
      </c>
      <c r="K12" s="101">
        <f t="shared" si="1"/>
        <v>213</v>
      </c>
      <c r="L12" s="101">
        <f t="shared" si="1"/>
        <v>263</v>
      </c>
      <c r="M12" s="101">
        <f t="shared" si="1"/>
        <v>340</v>
      </c>
      <c r="N12" s="101">
        <f t="shared" si="1"/>
        <v>37</v>
      </c>
      <c r="O12" s="101">
        <f t="shared" si="1"/>
        <v>64</v>
      </c>
      <c r="P12" s="95">
        <f t="shared" ref="P12:Q12" si="2">J12/H12</f>
        <v>0.14402810304449648</v>
      </c>
      <c r="Q12" s="95">
        <f t="shared" si="2"/>
        <v>0.20037629350893696</v>
      </c>
      <c r="R12" s="95">
        <f>P12-Q12</f>
        <v>-5.6348190464440479E-2</v>
      </c>
      <c r="S12" s="95">
        <f t="shared" ref="S12:T12" si="3">N12/L12</f>
        <v>0.14068441064638784</v>
      </c>
      <c r="T12" s="95">
        <f t="shared" si="3"/>
        <v>0.18823529411764706</v>
      </c>
      <c r="U12" s="95">
        <f>S12-T12</f>
        <v>-4.7550883471259214E-2</v>
      </c>
      <c r="V12" s="95">
        <f>(H12/I12)-1</f>
        <v>-0.19661335841956729</v>
      </c>
      <c r="W12" s="95">
        <f>(J12/K12)-1</f>
        <v>-0.42253521126760563</v>
      </c>
      <c r="X12" s="95">
        <f>(L12/M12)-1</f>
        <v>-0.22647058823529409</v>
      </c>
      <c r="Y12" s="95">
        <f>(N12/O12)-1</f>
        <v>-0.421875</v>
      </c>
    </row>
  </sheetData>
  <autoFilter ref="A1:Y10" xr:uid="{00000000-0009-0000-0000-00007D000000}"/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outlinePr summaryBelow="0" summaryRight="0"/>
  </sheetPr>
  <dimension ref="A1:Y7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502219</v>
      </c>
      <c r="B2" s="98" t="s">
        <v>4327</v>
      </c>
      <c r="C2" s="101" t="str">
        <f>VLOOKUP(A2,'BSE ALL CAP'!$B$4:$Y$1038,2,)</f>
        <v>Industrials</v>
      </c>
      <c r="D2" s="101" t="str">
        <f>VLOOKUP(A2,'BSE ALL CAP'!$B$4:$Y$1038,3,)</f>
        <v>Glass - Industrial</v>
      </c>
      <c r="E2" s="101">
        <f ca="1">IFERROR(__xludf.DUMMYFUNCTION("GOOGLEFINANCE(""BOM:""&amp;A2,""PRICE"")"),415.9)</f>
        <v>415.9</v>
      </c>
      <c r="F2" s="112">
        <f ca="1">IFERROR(__xludf.DUMMYFUNCTION("GOOGLEFINANCE(""BOM:""&amp;A2,""MARKETCAP"")/10000000"),5831.1533071)</f>
        <v>5831.1533071000003</v>
      </c>
      <c r="G2" s="95">
        <f t="shared" ref="G2:G5" ca="1" si="0">F2/$F$7</f>
        <v>0.79301233541207106</v>
      </c>
      <c r="H2" s="101">
        <f>VLOOKUP(A2,'BSE ALL CAP'!$B$4:$Y$1038,7,)</f>
        <v>1115</v>
      </c>
      <c r="I2" s="101">
        <f>VLOOKUP(A2,'BSE ALL CAP'!$B$4:$Y$1038,8,)</f>
        <v>1105</v>
      </c>
      <c r="J2" s="101">
        <f>VLOOKUP(A2,'BSE ALL CAP'!$B$4:$Y$1038,9,)</f>
        <v>-41</v>
      </c>
      <c r="K2" s="101">
        <f>VLOOKUP(A2,'BSE ALL CAP'!$B$4:$Y$1038,10,)</f>
        <v>-57</v>
      </c>
      <c r="L2" s="101">
        <f>VLOOKUP(A2,'BSE ALL CAP'!$B$4:$Y$1038,11,)</f>
        <v>390</v>
      </c>
      <c r="M2" s="101">
        <f>VLOOKUP(A2,'BSE ALL CAP'!$B$4:$Y$1038,12,)</f>
        <v>361</v>
      </c>
      <c r="N2" s="101">
        <f>VLOOKUP(A2,'BSE ALL CAP'!$B$4:$Y$1038,13,)</f>
        <v>100</v>
      </c>
      <c r="O2" s="101">
        <f>VLOOKUP(A2,'BSE ALL CAP'!$B$4:$Y$1038,14,)</f>
        <v>-30</v>
      </c>
      <c r="P2" s="95">
        <f>VLOOKUP(A2,'BSE ALL CAP'!$B$4:$Y$1038,15,)</f>
        <v>-3.6771300448430494E-2</v>
      </c>
      <c r="Q2" s="95">
        <f>VLOOKUP(A2,'BSE ALL CAP'!$B$4:$Y$1038,16,)</f>
        <v>-5.1583710407239816E-2</v>
      </c>
      <c r="R2" s="95">
        <f>VLOOKUP(A2,'BSE ALL CAP'!$B$4:$Y$1038,17,)</f>
        <v>1.4812409958809322E-2</v>
      </c>
      <c r="S2" s="95">
        <f>VLOOKUP(A2,'BSE ALL CAP'!$B$4:$Y$1038,18,)</f>
        <v>0.25641025641025639</v>
      </c>
      <c r="T2" s="95">
        <f>VLOOKUP(A2,'BSE ALL CAP'!$B$4:$Y$1038,19,)</f>
        <v>-8.3102493074792241E-2</v>
      </c>
      <c r="U2" s="95">
        <f>VLOOKUP(A2,'BSE ALL CAP'!$B$4:$Y$1038,20,)</f>
        <v>0.33951274948504861</v>
      </c>
      <c r="V2" s="95">
        <f>VLOOKUP(A2,'BSE ALL CAP'!$B$4:$Y$1038,21,)</f>
        <v>9.0497737556560764E-3</v>
      </c>
      <c r="W2" s="95">
        <f>VLOOKUP(A2,'BSE ALL CAP'!$B$4:$Y$1038,22,)</f>
        <v>-0.2807017543859649</v>
      </c>
      <c r="X2" s="95">
        <f>VLOOKUP(A2,'BSE ALL CAP'!$B$4:$Y$1038,23,)</f>
        <v>8.0332409972299068E-2</v>
      </c>
      <c r="Y2" s="95">
        <f>VLOOKUP(A2,'BSE ALL CAP'!$B$4:$Y$1038,24,)</f>
        <v>-4.3333333333333339</v>
      </c>
    </row>
    <row r="3" spans="1:25" ht="15.75" customHeight="1">
      <c r="A3" s="99">
        <v>544184</v>
      </c>
      <c r="B3" s="98" t="s">
        <v>4328</v>
      </c>
      <c r="C3" s="101"/>
      <c r="D3" s="101"/>
      <c r="E3" s="101">
        <f ca="1">IFERROR(__xludf.DUMMYFUNCTION("GOOGLEFINANCE(""BOM:""&amp;A3,""PRICE"")"),113.2)</f>
        <v>113.2</v>
      </c>
      <c r="F3" s="112">
        <f ca="1">IFERROR(__xludf.DUMMYFUNCTION("GOOGLEFINANCE(""BOM:""&amp;A3,""MARKETCAP"")/10000000"),1011.3278176)</f>
        <v>1011.3278176</v>
      </c>
      <c r="G3" s="95">
        <f t="shared" ca="1" si="0"/>
        <v>0.13753633153936479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532993</v>
      </c>
      <c r="B4" s="98" t="s">
        <v>4329</v>
      </c>
      <c r="C4" s="101"/>
      <c r="D4" s="101"/>
      <c r="E4" s="101">
        <f ca="1">IFERROR(__xludf.DUMMYFUNCTION("GOOGLEFINANCE(""BOM:""&amp;A4,""PRICE"")"),446.85)</f>
        <v>446.85</v>
      </c>
      <c r="F4" s="112">
        <f ca="1">IFERROR(__xludf.DUMMYFUNCTION("GOOGLEFINANCE(""BOM:""&amp;A4,""MARKETCAP"")/10000000"),504.0226769)</f>
        <v>504.02267690000002</v>
      </c>
      <c r="G4" s="95">
        <f t="shared" ca="1" si="0"/>
        <v>6.8544965131073388E-2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530765</v>
      </c>
      <c r="B5" s="98" t="s">
        <v>4330</v>
      </c>
      <c r="C5" s="101"/>
      <c r="D5" s="101"/>
      <c r="E5" s="101">
        <f ca="1">IFERROR(__xludf.DUMMYFUNCTION("GOOGLEFINANCE(""BOM:""&amp;A5,""PRICE"")"),19.4)</f>
        <v>19.399999999999999</v>
      </c>
      <c r="F5" s="112">
        <f ca="1">IFERROR(__xludf.DUMMYFUNCTION("GOOGLEFINANCE(""BOM:""&amp;A5,""MARKETCAP"")/10000000"),6.664676)</f>
        <v>6.664676</v>
      </c>
      <c r="G5" s="95">
        <f t="shared" ca="1" si="0"/>
        <v>9.0636791749062193E-4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101"/>
      <c r="B7" s="101"/>
      <c r="C7" s="101"/>
      <c r="D7" s="101"/>
      <c r="E7" s="101"/>
      <c r="F7" s="112">
        <f t="shared" ref="F7:O7" ca="1" si="1">SUM(F2:F5)</f>
        <v>7353.1684776000011</v>
      </c>
      <c r="G7" s="95">
        <f t="shared" ca="1" si="1"/>
        <v>0.99999999999999989</v>
      </c>
      <c r="H7" s="101">
        <f t="shared" si="1"/>
        <v>1115</v>
      </c>
      <c r="I7" s="101">
        <f t="shared" si="1"/>
        <v>1105</v>
      </c>
      <c r="J7" s="101">
        <f t="shared" si="1"/>
        <v>-41</v>
      </c>
      <c r="K7" s="101">
        <f t="shared" si="1"/>
        <v>-57</v>
      </c>
      <c r="L7" s="101">
        <f t="shared" si="1"/>
        <v>390</v>
      </c>
      <c r="M7" s="101">
        <f t="shared" si="1"/>
        <v>361</v>
      </c>
      <c r="N7" s="101">
        <f t="shared" si="1"/>
        <v>100</v>
      </c>
      <c r="O7" s="101">
        <f t="shared" si="1"/>
        <v>-30</v>
      </c>
      <c r="P7" s="95">
        <f t="shared" ref="P7:Q7" si="2">J7/H7</f>
        <v>-3.6771300448430494E-2</v>
      </c>
      <c r="Q7" s="95">
        <f t="shared" si="2"/>
        <v>-5.1583710407239816E-2</v>
      </c>
      <c r="R7" s="95">
        <f>P7-Q7</f>
        <v>1.4812409958809322E-2</v>
      </c>
      <c r="S7" s="95">
        <f t="shared" ref="S7:T7" si="3">N7/L7</f>
        <v>0.25641025641025639</v>
      </c>
      <c r="T7" s="95">
        <f t="shared" si="3"/>
        <v>-8.3102493074792241E-2</v>
      </c>
      <c r="U7" s="95">
        <f>S7-T7</f>
        <v>0.33951274948504861</v>
      </c>
      <c r="V7" s="95">
        <f>(H7/I7)-1</f>
        <v>9.0497737556560764E-3</v>
      </c>
      <c r="W7" s="95">
        <f>(J7/K7)-1</f>
        <v>-0.2807017543859649</v>
      </c>
      <c r="X7" s="95">
        <f>(L7/M7)-1</f>
        <v>8.0332409972299068E-2</v>
      </c>
      <c r="Y7" s="95">
        <f>(N7/O7)-1</f>
        <v>-4.3333333333333339</v>
      </c>
    </row>
  </sheetData>
  <autoFilter ref="A1:Y5" xr:uid="{00000000-0009-0000-0000-00007E000000}"/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outlinePr summaryBelow="0" summaryRight="0"/>
  </sheetPr>
  <dimension ref="A1:Y9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540716</v>
      </c>
      <c r="B2" s="98" t="s">
        <v>87</v>
      </c>
      <c r="C2" s="101" t="str">
        <f>VLOOKUP(A2,'BSE ALL CAP'!$B$4:$Y$1038,2,)</f>
        <v>Financial Services</v>
      </c>
      <c r="D2" s="101" t="str">
        <f>VLOOKUP(A2,'BSE ALL CAP'!$B$4:$Y$1038,3,)</f>
        <v>General Insurance</v>
      </c>
      <c r="E2" s="101">
        <f ca="1">IFERROR(__xludf.DUMMYFUNCTION("GOOGLEFINANCE(""BOM:""&amp;A2,""PRICE"")"),1709.1)</f>
        <v>1709.1</v>
      </c>
      <c r="F2" s="112">
        <f ca="1">IFERROR(__xludf.DUMMYFUNCTION("GOOGLEFINANCE(""BOM:""&amp;A2,""MARKETCAP"")/10000000"),85225.311233)</f>
        <v>85225.311233</v>
      </c>
      <c r="G2" s="95">
        <f t="shared" ref="G2:G7" ca="1" si="0">F2/$F$9</f>
        <v>0.35059070713747031</v>
      </c>
      <c r="H2" s="101">
        <f>VLOOKUP(A2,'BSE ALL CAP'!$B$4:$Y$1038,7,)</f>
        <v>19276</v>
      </c>
      <c r="I2" s="101">
        <f>VLOOKUP(A2,'BSE ALL CAP'!$B$4:$Y$1038,8,)</f>
        <v>17085</v>
      </c>
      <c r="J2" s="101">
        <f>VLOOKUP(A2,'BSE ALL CAP'!$B$4:$Y$1038,9,)</f>
        <v>2225</v>
      </c>
      <c r="K2" s="101">
        <f>VLOOKUP(A2,'BSE ALL CAP'!$B$4:$Y$1038,10,)</f>
        <v>1998</v>
      </c>
      <c r="L2" s="101">
        <f>VLOOKUP(A2,'BSE ALL CAP'!$B$4:$Y$1038,11,)</f>
        <v>6610</v>
      </c>
      <c r="M2" s="101">
        <f>VLOOKUP(A2,'BSE ALL CAP'!$B$4:$Y$1038,12,)</f>
        <v>5882</v>
      </c>
      <c r="N2" s="101">
        <f>VLOOKUP(A2,'BSE ALL CAP'!$B$4:$Y$1038,13,)</f>
        <v>658</v>
      </c>
      <c r="O2" s="101">
        <f>VLOOKUP(A2,'BSE ALL CAP'!$B$4:$Y$1038,14,)</f>
        <v>724</v>
      </c>
      <c r="P2" s="95">
        <f>VLOOKUP(A2,'BSE ALL CAP'!$B$4:$Y$1038,15,)</f>
        <v>0.11542851213944802</v>
      </c>
      <c r="Q2" s="95">
        <f>VLOOKUP(A2,'BSE ALL CAP'!$B$4:$Y$1038,16,)</f>
        <v>0.11694468832309043</v>
      </c>
      <c r="R2" s="95">
        <f>VLOOKUP(A2,'BSE ALL CAP'!$B$4:$Y$1038,17,)</f>
        <v>-1.5161761836424148E-3</v>
      </c>
      <c r="S2" s="95">
        <f>VLOOKUP(A2,'BSE ALL CAP'!$B$4:$Y$1038,18,)</f>
        <v>9.9546142208774585E-2</v>
      </c>
      <c r="T2" s="95">
        <f>VLOOKUP(A2,'BSE ALL CAP'!$B$4:$Y$1038,19,)</f>
        <v>0.12308738524311459</v>
      </c>
      <c r="U2" s="95">
        <f>VLOOKUP(A2,'BSE ALL CAP'!$B$4:$Y$1038,20,)</f>
        <v>-2.3541243034340006E-2</v>
      </c>
      <c r="V2" s="95">
        <f>VLOOKUP(A2,'BSE ALL CAP'!$B$4:$Y$1038,21,)</f>
        <v>0.12824114720515079</v>
      </c>
      <c r="W2" s="95">
        <f>VLOOKUP(A2,'BSE ALL CAP'!$B$4:$Y$1038,22,)</f>
        <v>0.11361361361361366</v>
      </c>
      <c r="X2" s="95">
        <f>VLOOKUP(A2,'BSE ALL CAP'!$B$4:$Y$1038,23,)</f>
        <v>0.12376742604556279</v>
      </c>
      <c r="Y2" s="95">
        <f>VLOOKUP(A2,'BSE ALL CAP'!$B$4:$Y$1038,24,)</f>
        <v>-9.1160220994475183E-2</v>
      </c>
    </row>
    <row r="3" spans="1:25" ht="15.75" customHeight="1">
      <c r="A3" s="99">
        <v>540755</v>
      </c>
      <c r="B3" s="98" t="s">
        <v>4331</v>
      </c>
      <c r="C3" s="101" t="str">
        <f>VLOOKUP(A3,'BSE ALL CAP'!$B$4:$Y$1038,2,)</f>
        <v>Financial Services</v>
      </c>
      <c r="D3" s="101" t="str">
        <f>VLOOKUP(A3,'BSE ALL CAP'!$B$4:$Y$1038,3,)</f>
        <v>General Insurance</v>
      </c>
      <c r="E3" s="101">
        <f ca="1">IFERROR(__xludf.DUMMYFUNCTION("GOOGLEFINANCE(""BOM:""&amp;A3,""PRICE"")"),385.9)</f>
        <v>385.9</v>
      </c>
      <c r="F3" s="112">
        <f ca="1">IFERROR(__xludf.DUMMYFUNCTION("GOOGLEFINANCE(""BOM:""&amp;A3,""MARKETCAP"")/10000000"),67803.9023975)</f>
        <v>67803.902397500002</v>
      </c>
      <c r="G3" s="95">
        <f t="shared" ca="1" si="0"/>
        <v>0.27892439164264426</v>
      </c>
      <c r="H3" s="101">
        <f>VLOOKUP(A3,'BSE ALL CAP'!$B$4:$Y$1038,7,)</f>
        <v>37014</v>
      </c>
      <c r="I3" s="101">
        <f>VLOOKUP(A3,'BSE ALL CAP'!$B$4:$Y$1038,8,)</f>
        <v>33646</v>
      </c>
      <c r="J3" s="101">
        <f>VLOOKUP(A3,'BSE ALL CAP'!$B$4:$Y$1038,9,)</f>
        <v>6622</v>
      </c>
      <c r="K3" s="101">
        <f>VLOOKUP(A3,'BSE ALL CAP'!$B$4:$Y$1038,10,)</f>
        <v>4610</v>
      </c>
      <c r="L3" s="101">
        <f>VLOOKUP(A3,'BSE ALL CAP'!$B$4:$Y$1038,11,)</f>
        <v>11616</v>
      </c>
      <c r="M3" s="101">
        <f>VLOOKUP(A3,'BSE ALL CAP'!$B$4:$Y$1038,12,)</f>
        <v>10420</v>
      </c>
      <c r="N3" s="101">
        <f>VLOOKUP(A3,'BSE ALL CAP'!$B$4:$Y$1038,13,)</f>
        <v>1751</v>
      </c>
      <c r="O3" s="101">
        <f>VLOOKUP(A3,'BSE ALL CAP'!$B$4:$Y$1038,14,)</f>
        <v>1623</v>
      </c>
      <c r="P3" s="95">
        <f>VLOOKUP(A3,'BSE ALL CAP'!$B$4:$Y$1038,15,)</f>
        <v>0.17890527908359</v>
      </c>
      <c r="Q3" s="95">
        <f>VLOOKUP(A3,'BSE ALL CAP'!$B$4:$Y$1038,16,)</f>
        <v>0.13701480116507161</v>
      </c>
      <c r="R3" s="95">
        <f>VLOOKUP(A3,'BSE ALL CAP'!$B$4:$Y$1038,17,)</f>
        <v>4.1890477918518382E-2</v>
      </c>
      <c r="S3" s="95">
        <f>VLOOKUP(A3,'BSE ALL CAP'!$B$4:$Y$1038,18,)</f>
        <v>0.15074035812672176</v>
      </c>
      <c r="T3" s="95">
        <f>VLOOKUP(A3,'BSE ALL CAP'!$B$4:$Y$1038,19,)</f>
        <v>0.1557581573896353</v>
      </c>
      <c r="U3" s="95">
        <f>VLOOKUP(A3,'BSE ALL CAP'!$B$4:$Y$1038,20,)</f>
        <v>-5.0177992629135415E-3</v>
      </c>
      <c r="V3" s="95">
        <f>VLOOKUP(A3,'BSE ALL CAP'!$B$4:$Y$1038,21,)</f>
        <v>0.10010105213101106</v>
      </c>
      <c r="W3" s="95">
        <f>VLOOKUP(A3,'BSE ALL CAP'!$B$4:$Y$1038,22,)</f>
        <v>0.43644251626898045</v>
      </c>
      <c r="X3" s="95">
        <f>VLOOKUP(A3,'BSE ALL CAP'!$B$4:$Y$1038,23,)</f>
        <v>0.11477927063339721</v>
      </c>
      <c r="Y3" s="95">
        <f>VLOOKUP(A3,'BSE ALL CAP'!$B$4:$Y$1038,24,)</f>
        <v>7.8866296980899531E-2</v>
      </c>
    </row>
    <row r="4" spans="1:25" ht="15.75" customHeight="1">
      <c r="A4" s="99">
        <v>544179</v>
      </c>
      <c r="B4" s="98" t="s">
        <v>4332</v>
      </c>
      <c r="C4" s="101" t="str">
        <f>VLOOKUP(A4,'BSE ALL CAP'!$B$4:$Y$1038,2,)</f>
        <v>Financial Services</v>
      </c>
      <c r="D4" s="101" t="str">
        <f>VLOOKUP(A4,'BSE ALL CAP'!$B$4:$Y$1038,3,)</f>
        <v>General Insurance</v>
      </c>
      <c r="E4" s="101">
        <f ca="1">IFERROR(__xludf.DUMMYFUNCTION("GOOGLEFINANCE(""BOM:""&amp;A4,""PRICE"")"),319.5)</f>
        <v>319.5</v>
      </c>
      <c r="F4" s="112">
        <f ca="1">IFERROR(__xludf.DUMMYFUNCTION("GOOGLEFINANCE(""BOM:""&amp;A4,""MARKETCAP"")/10000000"),29533.1216835)</f>
        <v>29533.121683500001</v>
      </c>
      <c r="G4" s="95">
        <f t="shared" ca="1" si="0"/>
        <v>0.12149017545606858</v>
      </c>
      <c r="H4" s="101">
        <f>VLOOKUP(A4,'BSE ALL CAP'!$B$4:$Y$1038,7,)</f>
        <v>7085</v>
      </c>
      <c r="I4" s="101">
        <f>VLOOKUP(A4,'BSE ALL CAP'!$B$4:$Y$1038,8,)</f>
        <v>6624</v>
      </c>
      <c r="J4" s="101">
        <f>VLOOKUP(A4,'BSE ALL CAP'!$B$4:$Y$1038,9,)</f>
        <v>394</v>
      </c>
      <c r="K4" s="101">
        <f>VLOOKUP(A4,'BSE ALL CAP'!$B$4:$Y$1038,10,)</f>
        <v>309</v>
      </c>
      <c r="L4" s="101">
        <f>VLOOKUP(A4,'BSE ALL CAP'!$B$4:$Y$1038,11,)</f>
        <v>2497</v>
      </c>
      <c r="M4" s="101">
        <f>VLOOKUP(A4,'BSE ALL CAP'!$B$4:$Y$1038,12,)</f>
        <v>2371</v>
      </c>
      <c r="N4" s="101">
        <f>VLOOKUP(A4,'BSE ALL CAP'!$B$4:$Y$1038,13,)</f>
        <v>140</v>
      </c>
      <c r="O4" s="101">
        <f>VLOOKUP(A4,'BSE ALL CAP'!$B$4:$Y$1038,14,)</f>
        <v>118</v>
      </c>
      <c r="P4" s="95">
        <f>VLOOKUP(A4,'BSE ALL CAP'!$B$4:$Y$1038,15,)</f>
        <v>5.5610444601270292E-2</v>
      </c>
      <c r="Q4" s="95">
        <f>VLOOKUP(A4,'BSE ALL CAP'!$B$4:$Y$1038,16,)</f>
        <v>4.664855072463768E-2</v>
      </c>
      <c r="R4" s="95">
        <f>VLOOKUP(A4,'BSE ALL CAP'!$B$4:$Y$1038,17,)</f>
        <v>8.9618938766326123E-3</v>
      </c>
      <c r="S4" s="95">
        <f>VLOOKUP(A4,'BSE ALL CAP'!$B$4:$Y$1038,18,)</f>
        <v>5.6067280736884259E-2</v>
      </c>
      <c r="T4" s="95">
        <f>VLOOKUP(A4,'BSE ALL CAP'!$B$4:$Y$1038,19,)</f>
        <v>4.976803036693378E-2</v>
      </c>
      <c r="U4" s="95">
        <f>VLOOKUP(A4,'BSE ALL CAP'!$B$4:$Y$1038,20,)</f>
        <v>6.2992503699504793E-3</v>
      </c>
      <c r="V4" s="95">
        <f>VLOOKUP(A4,'BSE ALL CAP'!$B$4:$Y$1038,21,)</f>
        <v>6.9595410628019216E-2</v>
      </c>
      <c r="W4" s="95">
        <f>VLOOKUP(A4,'BSE ALL CAP'!$B$4:$Y$1038,22,)</f>
        <v>0.27508090614886727</v>
      </c>
      <c r="X4" s="95">
        <f>VLOOKUP(A4,'BSE ALL CAP'!$B$4:$Y$1038,23,)</f>
        <v>5.3142134120624185E-2</v>
      </c>
      <c r="Y4" s="95">
        <f>VLOOKUP(A4,'BSE ALL CAP'!$B$4:$Y$1038,24,)</f>
        <v>0.18644067796610164</v>
      </c>
    </row>
    <row r="5" spans="1:25" ht="15.75" customHeight="1">
      <c r="A5" s="99">
        <v>543412</v>
      </c>
      <c r="B5" s="98" t="s">
        <v>4333</v>
      </c>
      <c r="C5" s="101" t="str">
        <f>VLOOKUP(A5,'BSE ALL CAP'!$B$4:$Y$1038,2,)</f>
        <v>Financial Services</v>
      </c>
      <c r="D5" s="101" t="str">
        <f>VLOOKUP(A5,'BSE ALL CAP'!$B$4:$Y$1038,3,)</f>
        <v>General Insurance</v>
      </c>
      <c r="E5" s="101">
        <f ca="1">IFERROR(__xludf.DUMMYFUNCTION("GOOGLEFINANCE(""BOM:""&amp;A5,""PRICE"")"),453.7)</f>
        <v>453.7</v>
      </c>
      <c r="F5" s="112">
        <f ca="1">IFERROR(__xludf.DUMMYFUNCTION("GOOGLEFINANCE(""BOM:""&amp;A5,""MARKETCAP"")/10000000"),26687.0354887)</f>
        <v>26687.035488699999</v>
      </c>
      <c r="G5" s="95">
        <f t="shared" ca="1" si="0"/>
        <v>0.10978225257291033</v>
      </c>
      <c r="H5" s="101">
        <f>VLOOKUP(A5,'BSE ALL CAP'!$B$4:$Y$1038,7,)</f>
        <v>12825</v>
      </c>
      <c r="I5" s="101">
        <f>VLOOKUP(A5,'BSE ALL CAP'!$B$4:$Y$1038,8,)</f>
        <v>11607</v>
      </c>
      <c r="J5" s="101">
        <f>VLOOKUP(A5,'BSE ALL CAP'!$B$4:$Y$1038,9,)</f>
        <v>445</v>
      </c>
      <c r="K5" s="101">
        <f>VLOOKUP(A5,'BSE ALL CAP'!$B$4:$Y$1038,10,)</f>
        <v>645</v>
      </c>
      <c r="L5" s="101">
        <f>VLOOKUP(A5,'BSE ALL CAP'!$B$4:$Y$1038,11,)</f>
        <v>4444</v>
      </c>
      <c r="M5" s="101">
        <f>VLOOKUP(A5,'BSE ALL CAP'!$B$4:$Y$1038,12,)</f>
        <v>4001</v>
      </c>
      <c r="N5" s="101">
        <f>VLOOKUP(A5,'BSE ALL CAP'!$B$4:$Y$1038,13,)</f>
        <v>128</v>
      </c>
      <c r="O5" s="101">
        <f>VLOOKUP(A5,'BSE ALL CAP'!$B$4:$Y$1038,14,)</f>
        <v>215</v>
      </c>
      <c r="P5" s="95">
        <f>VLOOKUP(A5,'BSE ALL CAP'!$B$4:$Y$1038,15,)</f>
        <v>3.4697855750487332E-2</v>
      </c>
      <c r="Q5" s="95">
        <f>VLOOKUP(A5,'BSE ALL CAP'!$B$4:$Y$1038,16,)</f>
        <v>5.5569914706642541E-2</v>
      </c>
      <c r="R5" s="95">
        <f>VLOOKUP(A5,'BSE ALL CAP'!$B$4:$Y$1038,17,)</f>
        <v>-2.0872058956155209E-2</v>
      </c>
      <c r="S5" s="95">
        <f>VLOOKUP(A5,'BSE ALL CAP'!$B$4:$Y$1038,18,)</f>
        <v>2.8802880288028802E-2</v>
      </c>
      <c r="T5" s="95">
        <f>VLOOKUP(A5,'BSE ALL CAP'!$B$4:$Y$1038,19,)</f>
        <v>5.3736565858535368E-2</v>
      </c>
      <c r="U5" s="95">
        <f>VLOOKUP(A5,'BSE ALL CAP'!$B$4:$Y$1038,20,)</f>
        <v>-2.4933685570506566E-2</v>
      </c>
      <c r="V5" s="95">
        <f>VLOOKUP(A5,'BSE ALL CAP'!$B$4:$Y$1038,21,)</f>
        <v>0.10493667614370628</v>
      </c>
      <c r="W5" s="95">
        <f>VLOOKUP(A5,'BSE ALL CAP'!$B$4:$Y$1038,22,)</f>
        <v>-0.31007751937984496</v>
      </c>
      <c r="X5" s="95">
        <f>VLOOKUP(A5,'BSE ALL CAP'!$B$4:$Y$1038,23,)</f>
        <v>0.11072231942014499</v>
      </c>
      <c r="Y5" s="95">
        <f>VLOOKUP(A5,'BSE ALL CAP'!$B$4:$Y$1038,24,)</f>
        <v>-0.40465116279069768</v>
      </c>
    </row>
    <row r="6" spans="1:25" ht="15.75" customHeight="1">
      <c r="A6" s="99">
        <v>540769</v>
      </c>
      <c r="B6" s="98" t="s">
        <v>4334</v>
      </c>
      <c r="C6" s="101" t="str">
        <f>VLOOKUP(A6,'BSE ALL CAP'!$B$4:$Y$1038,2,)</f>
        <v>Financial Services</v>
      </c>
      <c r="D6" s="101" t="str">
        <f>VLOOKUP(A6,'BSE ALL CAP'!$B$4:$Y$1038,3,)</f>
        <v>General Insurance</v>
      </c>
      <c r="E6" s="101">
        <f ca="1">IFERROR(__xludf.DUMMYFUNCTION("GOOGLEFINANCE(""BOM:""&amp;A6,""PRICE"")"),123.5)</f>
        <v>123.5</v>
      </c>
      <c r="F6" s="112">
        <f ca="1">IFERROR(__xludf.DUMMYFUNCTION("GOOGLEFINANCE(""BOM:""&amp;A6,""MARKETCAP"")/10000000"),20410.4673635)</f>
        <v>20410.4673635</v>
      </c>
      <c r="G6" s="95">
        <f t="shared" ca="1" si="0"/>
        <v>8.3962382565110127E-2</v>
      </c>
      <c r="H6" s="101">
        <f>VLOOKUP(A6,'BSE ALL CAP'!$B$4:$Y$1038,7,)</f>
        <v>34848</v>
      </c>
      <c r="I6" s="101">
        <f>VLOOKUP(A6,'BSE ALL CAP'!$B$4:$Y$1038,8,)</f>
        <v>30229</v>
      </c>
      <c r="J6" s="101">
        <f>VLOOKUP(A6,'BSE ALL CAP'!$B$4:$Y$1038,9,)</f>
        <v>789</v>
      </c>
      <c r="K6" s="101">
        <f>VLOOKUP(A6,'BSE ALL CAP'!$B$4:$Y$1038,10,)</f>
        <v>650</v>
      </c>
      <c r="L6" s="101">
        <f>VLOOKUP(A6,'BSE ALL CAP'!$B$4:$Y$1038,11,)</f>
        <v>11428</v>
      </c>
      <c r="M6" s="101">
        <f>VLOOKUP(A6,'BSE ALL CAP'!$B$4:$Y$1038,12,)</f>
        <v>10229</v>
      </c>
      <c r="N6" s="101">
        <f>VLOOKUP(A6,'BSE ALL CAP'!$B$4:$Y$1038,13,)</f>
        <v>376</v>
      </c>
      <c r="O6" s="101">
        <f>VLOOKUP(A6,'BSE ALL CAP'!$B$4:$Y$1038,14,)</f>
        <v>344</v>
      </c>
      <c r="P6" s="95">
        <f>VLOOKUP(A6,'BSE ALL CAP'!$B$4:$Y$1038,15,)</f>
        <v>2.2641184573002755E-2</v>
      </c>
      <c r="Q6" s="95">
        <f>VLOOKUP(A6,'BSE ALL CAP'!$B$4:$Y$1038,16,)</f>
        <v>2.1502530682457242E-2</v>
      </c>
      <c r="R6" s="95">
        <f>VLOOKUP(A6,'BSE ALL CAP'!$B$4:$Y$1038,17,)</f>
        <v>1.1386538905455122E-3</v>
      </c>
      <c r="S6" s="95">
        <f>VLOOKUP(A6,'BSE ALL CAP'!$B$4:$Y$1038,18,)</f>
        <v>3.2901645082254113E-2</v>
      </c>
      <c r="T6" s="95">
        <f>VLOOKUP(A6,'BSE ALL CAP'!$B$4:$Y$1038,19,)</f>
        <v>3.362987584319093E-2</v>
      </c>
      <c r="U6" s="95">
        <f>VLOOKUP(A6,'BSE ALL CAP'!$B$4:$Y$1038,20,)</f>
        <v>-7.2823076093681688E-4</v>
      </c>
      <c r="V6" s="95">
        <f>VLOOKUP(A6,'BSE ALL CAP'!$B$4:$Y$1038,21,)</f>
        <v>0.15280029111118454</v>
      </c>
      <c r="W6" s="95">
        <f>VLOOKUP(A6,'BSE ALL CAP'!$B$4:$Y$1038,22,)</f>
        <v>0.2138461538461538</v>
      </c>
      <c r="X6" s="95">
        <f>VLOOKUP(A6,'BSE ALL CAP'!$B$4:$Y$1038,23,)</f>
        <v>0.11721575911623816</v>
      </c>
      <c r="Y6" s="95">
        <f>VLOOKUP(A6,'BSE ALL CAP'!$B$4:$Y$1038,24,)</f>
        <v>9.3023255813953432E-2</v>
      </c>
    </row>
    <row r="7" spans="1:25" ht="15.75" customHeight="1">
      <c r="A7" s="99">
        <v>544286</v>
      </c>
      <c r="B7" s="98" t="s">
        <v>4335</v>
      </c>
      <c r="C7" s="101" t="str">
        <f>VLOOKUP(A7,'BSE ALL CAP'!$B$4:$Y$1038,2,)</f>
        <v>Financial Services</v>
      </c>
      <c r="D7" s="101" t="str">
        <f>VLOOKUP(A7,'BSE ALL CAP'!$B$4:$Y$1038,3,)</f>
        <v>General Insurance</v>
      </c>
      <c r="E7" s="101">
        <f ca="1">IFERROR(__xludf.DUMMYFUNCTION("GOOGLEFINANCE(""BOM:""&amp;A7,""PRICE"")"),73.41)</f>
        <v>73.41</v>
      </c>
      <c r="F7" s="112">
        <f ca="1">IFERROR(__xludf.DUMMYFUNCTION("GOOGLEFINANCE(""BOM:""&amp;A7,""MARKETCAP"")/10000000"),13430.778607)</f>
        <v>13430.778607</v>
      </c>
      <c r="G7" s="95">
        <f t="shared" ca="1" si="0"/>
        <v>5.5250090625796215E-2</v>
      </c>
      <c r="H7" s="101">
        <f>VLOOKUP(A7,'BSE ALL CAP'!$B$4:$Y$1038,7,)</f>
        <v>4396</v>
      </c>
      <c r="I7" s="101">
        <f>VLOOKUP(A7,'BSE ALL CAP'!$B$4:$Y$1038,8,)</f>
        <v>3759</v>
      </c>
      <c r="J7" s="101">
        <f>VLOOKUP(A7,'BSE ALL CAP'!$B$4:$Y$1038,9,)</f>
        <v>-214</v>
      </c>
      <c r="K7" s="101">
        <f>VLOOKUP(A7,'BSE ALL CAP'!$B$4:$Y$1038,10,)</f>
        <v>7</v>
      </c>
      <c r="L7" s="101">
        <f>VLOOKUP(A7,'BSE ALL CAP'!$B$4:$Y$1038,11,)</f>
        <v>1549</v>
      </c>
      <c r="M7" s="101">
        <f>VLOOKUP(A7,'BSE ALL CAP'!$B$4:$Y$1038,12,)</f>
        <v>1240</v>
      </c>
      <c r="N7" s="101">
        <f>VLOOKUP(A7,'BSE ALL CAP'!$B$4:$Y$1038,13,)</f>
        <v>-87</v>
      </c>
      <c r="O7" s="101">
        <f>VLOOKUP(A7,'BSE ALL CAP'!$B$4:$Y$1038,14,)</f>
        <v>13</v>
      </c>
      <c r="P7" s="95">
        <f>VLOOKUP(A7,'BSE ALL CAP'!$B$4:$Y$1038,15,)</f>
        <v>-4.8680618744313009E-2</v>
      </c>
      <c r="Q7" s="95">
        <f>VLOOKUP(A7,'BSE ALL CAP'!$B$4:$Y$1038,16,)</f>
        <v>1.8621973929236499E-3</v>
      </c>
      <c r="R7" s="95">
        <f>VLOOKUP(A7,'BSE ALL CAP'!$B$4:$Y$1038,17,)</f>
        <v>-5.0542816137236657E-2</v>
      </c>
      <c r="S7" s="95">
        <f>VLOOKUP(A7,'BSE ALL CAP'!$B$4:$Y$1038,18,)</f>
        <v>-5.6165267914783733E-2</v>
      </c>
      <c r="T7" s="95">
        <f>VLOOKUP(A7,'BSE ALL CAP'!$B$4:$Y$1038,19,)</f>
        <v>1.0483870967741936E-2</v>
      </c>
      <c r="U7" s="95">
        <f>VLOOKUP(A7,'BSE ALL CAP'!$B$4:$Y$1038,20,)</f>
        <v>-6.6649138882525674E-2</v>
      </c>
      <c r="V7" s="95">
        <f>VLOOKUP(A7,'BSE ALL CAP'!$B$4:$Y$1038,21,)</f>
        <v>0.16945996275605224</v>
      </c>
      <c r="W7" s="95">
        <f>VLOOKUP(A7,'BSE ALL CAP'!$B$4:$Y$1038,22,)</f>
        <v>-31.571428571428573</v>
      </c>
      <c r="X7" s="95">
        <f>VLOOKUP(A7,'BSE ALL CAP'!$B$4:$Y$1038,23,)</f>
        <v>0.24919354838709684</v>
      </c>
      <c r="Y7" s="95">
        <f>VLOOKUP(A7,'BSE ALL CAP'!$B$4:$Y$1038,24,)</f>
        <v>-7.6923076923076925</v>
      </c>
    </row>
    <row r="8" spans="1:25">
      <c r="A8" s="101"/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A9" s="101"/>
      <c r="B9" s="101"/>
      <c r="C9" s="101"/>
      <c r="D9" s="101"/>
      <c r="E9" s="101"/>
      <c r="F9" s="112">
        <f t="shared" ref="F9:O9" ca="1" si="1">SUM(F2:F7)</f>
        <v>243090.61677320005</v>
      </c>
      <c r="G9" s="95">
        <f t="shared" ca="1" si="1"/>
        <v>0.99999999999999978</v>
      </c>
      <c r="H9" s="101">
        <f t="shared" si="1"/>
        <v>115444</v>
      </c>
      <c r="I9" s="101">
        <f t="shared" si="1"/>
        <v>102950</v>
      </c>
      <c r="J9" s="101">
        <f t="shared" si="1"/>
        <v>10261</v>
      </c>
      <c r="K9" s="101">
        <f t="shared" si="1"/>
        <v>8219</v>
      </c>
      <c r="L9" s="101">
        <f t="shared" si="1"/>
        <v>38144</v>
      </c>
      <c r="M9" s="101">
        <f t="shared" si="1"/>
        <v>34143</v>
      </c>
      <c r="N9" s="101">
        <f t="shared" si="1"/>
        <v>2966</v>
      </c>
      <c r="O9" s="101">
        <f t="shared" si="1"/>
        <v>3037</v>
      </c>
      <c r="P9" s="95">
        <f t="shared" ref="P9:Q9" si="2">J9/H9</f>
        <v>8.888292158968851E-2</v>
      </c>
      <c r="Q9" s="95">
        <f t="shared" si="2"/>
        <v>7.9834871296745991E-2</v>
      </c>
      <c r="R9" s="95">
        <f>P9-Q9</f>
        <v>9.0480502929425194E-3</v>
      </c>
      <c r="S9" s="95">
        <f t="shared" ref="S9:T9" si="3">N9/L9</f>
        <v>7.775796979865772E-2</v>
      </c>
      <c r="T9" s="95">
        <f t="shared" si="3"/>
        <v>8.8949418621679405E-2</v>
      </c>
      <c r="U9" s="95">
        <f>S9-T9</f>
        <v>-1.1191448823021685E-2</v>
      </c>
      <c r="V9" s="95">
        <f>(H9/I9)-1</f>
        <v>0.1213598834385623</v>
      </c>
      <c r="W9" s="95">
        <f>(J9/K9)-1</f>
        <v>0.24844871638885513</v>
      </c>
      <c r="X9" s="95">
        <f>(L9/M9)-1</f>
        <v>0.117183610110418</v>
      </c>
      <c r="Y9" s="95">
        <f>(N9/O9)-1</f>
        <v>-2.3378333882120517E-2</v>
      </c>
    </row>
  </sheetData>
  <autoFilter ref="A1:Y7" xr:uid="{00000000-0009-0000-0000-00007F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543983</v>
      </c>
      <c r="B2" s="98" t="s">
        <v>1412</v>
      </c>
      <c r="C2" s="334" t="str">
        <f>VLOOKUP(A2,'BSE ALL CAP'!$B$4:$Y$1038,2,)</f>
        <v>Utilities</v>
      </c>
      <c r="D2" s="334" t="str">
        <f>VLOOKUP(A2,'BSE ALL CAP'!$B$4:$Y$1038,3,)</f>
        <v>Waste Management</v>
      </c>
      <c r="E2" s="101">
        <f ca="1">IFERROR(__xludf.DUMMYFUNCTION("GOOGLEFINANCE(""BOM:""&amp;A2,""PRICE"")"),290.25)</f>
        <v>290.25</v>
      </c>
      <c r="F2" s="112">
        <f ca="1">IFERROR(__xludf.DUMMYFUNCTION("GOOGLEFINANCE(""BOM:""&amp;A2,""MARKETCAP"")/10000000"),1610.1156137)</f>
        <v>1610.1156137</v>
      </c>
      <c r="G2" s="95">
        <f t="shared" ref="G2:G10" ca="1" si="0">F2/$F$12</f>
        <v>0.32220820602879852</v>
      </c>
      <c r="H2" s="101">
        <f>VLOOKUP(A2,'BSE ALL CAP'!$B$4:$Y$1038,7,)</f>
        <v>612</v>
      </c>
      <c r="I2" s="101">
        <f>VLOOKUP(A2,'BSE ALL CAP'!$B$4:$Y$1038,8,)</f>
        <v>685</v>
      </c>
      <c r="J2" s="101">
        <f>VLOOKUP(A2,'BSE ALL CAP'!$B$4:$Y$1038,9,)</f>
        <v>85</v>
      </c>
      <c r="K2" s="101">
        <f>VLOOKUP(A2,'BSE ALL CAP'!$B$4:$Y$1038,10,)</f>
        <v>137</v>
      </c>
      <c r="L2" s="101">
        <f>VLOOKUP(A2,'BSE ALL CAP'!$B$4:$Y$1038,11,)</f>
        <v>200</v>
      </c>
      <c r="M2" s="101">
        <f>VLOOKUP(A2,'BSE ALL CAP'!$B$4:$Y$1038,12,)</f>
        <v>245</v>
      </c>
      <c r="N2" s="101">
        <f>VLOOKUP(A2,'BSE ALL CAP'!$B$4:$Y$1038,13,)</f>
        <v>19</v>
      </c>
      <c r="O2" s="101">
        <f>VLOOKUP(A2,'BSE ALL CAP'!$B$4:$Y$1038,14,)</f>
        <v>50</v>
      </c>
      <c r="P2" s="95">
        <f>VLOOKUP(A2,'BSE ALL CAP'!$B$4:$Y$1038,15,)</f>
        <v>0.1388888888888889</v>
      </c>
      <c r="Q2" s="95">
        <f>VLOOKUP(A2,'BSE ALL CAP'!$B$4:$Y$1038,16,)</f>
        <v>0.2</v>
      </c>
      <c r="R2" s="95">
        <f>VLOOKUP(A2,'BSE ALL CAP'!$B$4:$Y$1038,17,)</f>
        <v>-6.1111111111111116E-2</v>
      </c>
      <c r="S2" s="95">
        <f>VLOOKUP(A2,'BSE ALL CAP'!$B$4:$Y$1038,18,)</f>
        <v>9.5000000000000001E-2</v>
      </c>
      <c r="T2" s="95">
        <f>VLOOKUP(A2,'BSE ALL CAP'!$B$4:$Y$1038,19,)</f>
        <v>0.20408163265306123</v>
      </c>
      <c r="U2" s="95">
        <f>VLOOKUP(A2,'BSE ALL CAP'!$B$4:$Y$1038,20,)</f>
        <v>-0.10908163265306123</v>
      </c>
      <c r="V2" s="95">
        <f>VLOOKUP(A2,'BSE ALL CAP'!$B$4:$Y$1038,21,)</f>
        <v>-0.10656934306569343</v>
      </c>
      <c r="W2" s="95">
        <f>VLOOKUP(A2,'BSE ALL CAP'!$B$4:$Y$1038,22,)</f>
        <v>-0.37956204379562042</v>
      </c>
      <c r="X2" s="95">
        <f>VLOOKUP(A2,'BSE ALL CAP'!$B$4:$Y$1038,23,)</f>
        <v>-0.18367346938775508</v>
      </c>
      <c r="Y2" s="95">
        <f>VLOOKUP(A2,'BSE ALL CAP'!$B$4:$Y$1038,24,)</f>
        <v>-0.62</v>
      </c>
    </row>
    <row r="3" spans="1:25" ht="15.75" customHeight="1">
      <c r="A3" s="99">
        <v>543254</v>
      </c>
      <c r="B3" s="98" t="s">
        <v>1533</v>
      </c>
      <c r="C3" s="334"/>
      <c r="D3" s="334"/>
      <c r="E3" s="101">
        <f ca="1">IFERROR(__xludf.DUMMYFUNCTION("GOOGLEFINANCE(""BOM:""&amp;A3,""PRICE"")"),425.95)</f>
        <v>425.95</v>
      </c>
      <c r="F3" s="112">
        <f ca="1">IFERROR(__xludf.DUMMYFUNCTION("GOOGLEFINANCE(""BOM:""&amp;A3,""MARKETCAP"")/10000000"),1208.0660997)</f>
        <v>1208.0660997</v>
      </c>
      <c r="G3" s="95">
        <f t="shared" ca="1" si="0"/>
        <v>0.24175208751256186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530643</v>
      </c>
      <c r="B4" s="98" t="s">
        <v>1534</v>
      </c>
      <c r="C4" s="334"/>
      <c r="D4" s="334"/>
      <c r="E4" s="101">
        <f ca="1">IFERROR(__xludf.DUMMYFUNCTION("GOOGLEFINANCE(""BOM:""&amp;A4,""PRICE"")"),402.95)</f>
        <v>402.95</v>
      </c>
      <c r="F4" s="112">
        <f ca="1">IFERROR(__xludf.DUMMYFUNCTION("GOOGLEFINANCE(""BOM:""&amp;A4,""MARKETCAP"")/10000000"),777.5625648)</f>
        <v>777.56256480000002</v>
      </c>
      <c r="G4" s="95">
        <f t="shared" ca="1" si="0"/>
        <v>0.15560189401780433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544315</v>
      </c>
      <c r="B5" s="98" t="s">
        <v>1535</v>
      </c>
      <c r="C5" s="334"/>
      <c r="D5" s="334"/>
      <c r="E5" s="101">
        <f ca="1">IFERROR(__xludf.DUMMYFUNCTION("GOOGLEFINANCE(""BOM:""&amp;A5,""PRICE"")"),291)</f>
        <v>291</v>
      </c>
      <c r="F5" s="112">
        <f ca="1">IFERROR(__xludf.DUMMYFUNCTION("GOOGLEFINANCE(""BOM:""&amp;A5,""MARKETCAP"")/10000000"),599.983695)</f>
        <v>599.98369500000001</v>
      </c>
      <c r="G5" s="95">
        <f t="shared" ca="1" si="0"/>
        <v>0.12006570731168595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544219</v>
      </c>
      <c r="B6" s="98" t="s">
        <v>1536</v>
      </c>
      <c r="C6" s="334"/>
      <c r="D6" s="334"/>
      <c r="E6" s="101">
        <f ca="1">IFERROR(__xludf.DUMMYFUNCTION("GOOGLEFINANCE(""BOM:""&amp;A6,""PRICE"")"),109.2)</f>
        <v>109.2</v>
      </c>
      <c r="F6" s="112">
        <f ca="1">IFERROR(__xludf.DUMMYFUNCTION("GOOGLEFINANCE(""BOM:""&amp;A6,""MARKETCAP"")/10000000"),272.6690071)</f>
        <v>272.66900709999999</v>
      </c>
      <c r="G6" s="95">
        <f t="shared" ca="1" si="0"/>
        <v>5.4565144806871156E-2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543997</v>
      </c>
      <c r="B7" s="98" t="s">
        <v>1537</v>
      </c>
      <c r="C7" s="334"/>
      <c r="D7" s="334"/>
      <c r="E7" s="101">
        <f ca="1">IFERROR(__xludf.DUMMYFUNCTION("GOOGLEFINANCE(""BOM:""&amp;A7,""PRICE"")"),240)</f>
        <v>240</v>
      </c>
      <c r="F7" s="112">
        <f ca="1">IFERROR(__xludf.DUMMYFUNCTION("GOOGLEFINANCE(""BOM:""&amp;A7,""MARKETCAP"")/10000000"),207.8226)</f>
        <v>207.82259999999999</v>
      </c>
      <c r="G7" s="95">
        <f t="shared" ca="1" si="0"/>
        <v>4.158840927227795E-2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537785</v>
      </c>
      <c r="B8" s="98" t="s">
        <v>1538</v>
      </c>
      <c r="C8" s="334"/>
      <c r="D8" s="334"/>
      <c r="E8" s="101">
        <f ca="1">IFERROR(__xludf.DUMMYFUNCTION("GOOGLEFINANCE(""BOM:""&amp;A8,""PRICE"")"),128.47)</f>
        <v>128.47</v>
      </c>
      <c r="F8" s="112">
        <f ca="1">IFERROR(__xludf.DUMMYFUNCTION("GOOGLEFINANCE(""BOM:""&amp;A8,""MARKETCAP"")/10000000"),221.8929521)</f>
        <v>221.8929521</v>
      </c>
      <c r="G8" s="95">
        <f t="shared" ca="1" si="0"/>
        <v>4.4404097083612495E-2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544199</v>
      </c>
      <c r="B9" s="98" t="s">
        <v>1539</v>
      </c>
      <c r="C9" s="334"/>
      <c r="D9" s="334"/>
      <c r="E9" s="101">
        <f ca="1">IFERROR(__xludf.DUMMYFUNCTION("GOOGLEFINANCE(""BOM:""&amp;A9,""PRICE"")"),36.9)</f>
        <v>36.9</v>
      </c>
      <c r="F9" s="112">
        <f ca="1">IFERROR(__xludf.DUMMYFUNCTION("GOOGLEFINANCE(""BOM:""&amp;A9,""MARKETCAP"")/10000000"),83.2109425)</f>
        <v>83.210942500000002</v>
      </c>
      <c r="G9" s="95">
        <f t="shared" ca="1" si="0"/>
        <v>1.6651753623628938E-2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543595</v>
      </c>
      <c r="B10" s="98" t="s">
        <v>1540</v>
      </c>
      <c r="C10" s="334"/>
      <c r="D10" s="334"/>
      <c r="E10" s="101">
        <f ca="1">IFERROR(__xludf.DUMMYFUNCTION("GOOGLEFINANCE(""BOM:""&amp;A10,""PRICE"")"),93.99)</f>
        <v>93.99</v>
      </c>
      <c r="F10" s="112">
        <f ca="1">IFERROR(__xludf.DUMMYFUNCTION("GOOGLEFINANCE(""BOM:""&amp;A10,""MARKETCAP"")/10000000"),15.8044181)</f>
        <v>15.804418099999999</v>
      </c>
      <c r="G10" s="95">
        <f t="shared" ca="1" si="0"/>
        <v>3.1627003427586674E-3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>
      <c r="A11" s="101"/>
      <c r="B11" s="101"/>
      <c r="C11" s="101"/>
      <c r="D11" s="101"/>
      <c r="E11" s="101"/>
      <c r="F11" s="112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>
      <c r="A12" s="101"/>
      <c r="B12" s="101"/>
      <c r="C12" s="101"/>
      <c r="D12" s="101"/>
      <c r="E12" s="101"/>
      <c r="F12" s="112">
        <f ca="1">SUM(F1:F10)</f>
        <v>4997.1278930000008</v>
      </c>
      <c r="G12" s="95">
        <f ca="1">F12/$F$12</f>
        <v>1</v>
      </c>
      <c r="H12" s="112">
        <f t="shared" ref="H12:O12" si="1">SUM(H1:H10)</f>
        <v>612</v>
      </c>
      <c r="I12" s="112">
        <f t="shared" si="1"/>
        <v>685</v>
      </c>
      <c r="J12" s="112">
        <f t="shared" si="1"/>
        <v>85</v>
      </c>
      <c r="K12" s="112">
        <f t="shared" si="1"/>
        <v>137</v>
      </c>
      <c r="L12" s="101">
        <f t="shared" si="1"/>
        <v>200</v>
      </c>
      <c r="M12" s="101">
        <f t="shared" si="1"/>
        <v>245</v>
      </c>
      <c r="N12" s="112">
        <f t="shared" si="1"/>
        <v>19</v>
      </c>
      <c r="O12" s="112">
        <f t="shared" si="1"/>
        <v>50</v>
      </c>
      <c r="P12" s="95">
        <f t="shared" ref="P12:Q12" si="2">J12/H12</f>
        <v>0.1388888888888889</v>
      </c>
      <c r="Q12" s="95">
        <f t="shared" si="2"/>
        <v>0.2</v>
      </c>
      <c r="R12" s="95">
        <f>P12-Q12</f>
        <v>-6.1111111111111116E-2</v>
      </c>
      <c r="S12" s="95">
        <f t="shared" ref="S12:T12" si="3">N12/L12</f>
        <v>9.5000000000000001E-2</v>
      </c>
      <c r="T12" s="95">
        <f t="shared" si="3"/>
        <v>0.20408163265306123</v>
      </c>
      <c r="U12" s="95">
        <f>S12-T12</f>
        <v>-0.10908163265306123</v>
      </c>
      <c r="V12" s="95">
        <f>(H12/I12)-1</f>
        <v>-0.10656934306569343</v>
      </c>
      <c r="W12" s="95">
        <f>(J12/K12)-1</f>
        <v>-0.37956204379562042</v>
      </c>
      <c r="X12" s="95">
        <f>(L12/M12)-1</f>
        <v>-0.18367346938775508</v>
      </c>
      <c r="Y12" s="95">
        <f>(N12/O12)-1</f>
        <v>-0.62</v>
      </c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0" xr:uid="{00000000-0009-0000-0000-000014000000}"/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outlinePr summaryBelow="0" summaryRight="0"/>
  </sheetPr>
  <dimension ref="A1:Y86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500114</v>
      </c>
      <c r="B2" s="98" t="s">
        <v>71</v>
      </c>
      <c r="C2" s="101" t="str">
        <f>VLOOKUP(A2,'BSE ALL CAP'!$B$4:$Y$1038,2,)</f>
        <v>Consumer Discretionary</v>
      </c>
      <c r="D2" s="101" t="str">
        <f>VLOOKUP(A2,'BSE ALL CAP'!$B$4:$Y$1038,3,)</f>
        <v>Gems, Jewellery And Watches</v>
      </c>
      <c r="E2" s="101">
        <f ca="1">IFERROR(__xludf.DUMMYFUNCTION("GOOGLEFINANCE(""BOM:""&amp;A2,""PRICE"")"),4252.95)</f>
        <v>4252.95</v>
      </c>
      <c r="F2" s="112">
        <f ca="1">IFERROR(__xludf.DUMMYFUNCTION("GOOGLEFINANCE(""BOM:""&amp;A2,""MARKETCAP"")/10000000"),377233.7295291)</f>
        <v>377233.7295291</v>
      </c>
      <c r="G2" s="95">
        <f t="shared" ref="G2:G84" ca="1" si="0">F2/$F$86</f>
        <v>0.74962791017657382</v>
      </c>
      <c r="H2" s="101">
        <f>VLOOKUP(A2,'BSE ALL CAP'!$B$4:$Y$1038,7,)</f>
        <v>56190</v>
      </c>
      <c r="I2" s="101">
        <f>VLOOKUP(A2,'BSE ALL CAP'!$B$4:$Y$1038,8,)</f>
        <v>43246</v>
      </c>
      <c r="J2" s="101">
        <f>VLOOKUP(A2,'BSE ALL CAP'!$B$4:$Y$1038,9,)</f>
        <v>3895</v>
      </c>
      <c r="K2" s="101">
        <f>VLOOKUP(A2,'BSE ALL CAP'!$B$4:$Y$1038,10,)</f>
        <v>2466</v>
      </c>
      <c r="L2" s="101">
        <f>VLOOKUP(A2,'BSE ALL CAP'!$B$4:$Y$1038,11,)</f>
        <v>24915</v>
      </c>
      <c r="M2" s="101">
        <f>VLOOKUP(A2,'BSE ALL CAP'!$B$4:$Y$1038,12,)</f>
        <v>17550</v>
      </c>
      <c r="N2" s="101">
        <f>VLOOKUP(A2,'BSE ALL CAP'!$B$4:$Y$1038,13,)</f>
        <v>1684</v>
      </c>
      <c r="O2" s="101">
        <f>VLOOKUP(A2,'BSE ALL CAP'!$B$4:$Y$1038,14,)</f>
        <v>1047</v>
      </c>
      <c r="P2" s="95">
        <f>VLOOKUP(A2,'BSE ALL CAP'!$B$4:$Y$1038,15,)</f>
        <v>6.931838405410215E-2</v>
      </c>
      <c r="Q2" s="95">
        <f>VLOOKUP(A2,'BSE ALL CAP'!$B$4:$Y$1038,16,)</f>
        <v>5.702261480830597E-2</v>
      </c>
      <c r="R2" s="95">
        <f>VLOOKUP(A2,'BSE ALL CAP'!$B$4:$Y$1038,17,)</f>
        <v>1.229576924579618E-2</v>
      </c>
      <c r="S2" s="95">
        <f>VLOOKUP(A2,'BSE ALL CAP'!$B$4:$Y$1038,18,)</f>
        <v>6.7589805338149705E-2</v>
      </c>
      <c r="T2" s="95">
        <f>VLOOKUP(A2,'BSE ALL CAP'!$B$4:$Y$1038,19,)</f>
        <v>5.9658119658119659E-2</v>
      </c>
      <c r="U2" s="95">
        <f>VLOOKUP(A2,'BSE ALL CAP'!$B$4:$Y$1038,20,)</f>
        <v>7.931685680030047E-3</v>
      </c>
      <c r="V2" s="95">
        <f>VLOOKUP(A2,'BSE ALL CAP'!$B$4:$Y$1038,21,)</f>
        <v>0.29931091892891826</v>
      </c>
      <c r="W2" s="95">
        <f>VLOOKUP(A2,'BSE ALL CAP'!$B$4:$Y$1038,22,)</f>
        <v>0.57948094079480938</v>
      </c>
      <c r="X2" s="95">
        <f>VLOOKUP(A2,'BSE ALL CAP'!$B$4:$Y$1038,23,)</f>
        <v>0.41965811965811972</v>
      </c>
      <c r="Y2" s="95">
        <f>VLOOKUP(A2,'BSE ALL CAP'!$B$4:$Y$1038,24,)</f>
        <v>0.60840496657115573</v>
      </c>
    </row>
    <row r="3" spans="1:25" ht="15.75" customHeight="1">
      <c r="A3" s="99">
        <v>543278</v>
      </c>
      <c r="B3" s="98" t="s">
        <v>4336</v>
      </c>
      <c r="C3" s="101" t="str">
        <f>VLOOKUP(A3,'BSE ALL CAP'!$B$4:$Y$1038,2,)</f>
        <v>Consumer Discretionary</v>
      </c>
      <c r="D3" s="101" t="str">
        <f>VLOOKUP(A3,'BSE ALL CAP'!$B$4:$Y$1038,3,)</f>
        <v>Gems, Jewellery And Watches</v>
      </c>
      <c r="E3" s="101">
        <f ca="1">IFERROR(__xludf.DUMMYFUNCTION("GOOGLEFINANCE(""BOM:""&amp;A3,""PRICE"")"),419.6)</f>
        <v>419.6</v>
      </c>
      <c r="F3" s="112">
        <f ca="1">IFERROR(__xludf.DUMMYFUNCTION("GOOGLEFINANCE(""BOM:""&amp;A3,""MARKETCAP"")/10000000"),43380.2424393)</f>
        <v>43380.242439299996</v>
      </c>
      <c r="G3" s="95">
        <f t="shared" ca="1" si="0"/>
        <v>8.6203957751389351E-2</v>
      </c>
      <c r="H3" s="101">
        <f>VLOOKUP(A3,'BSE ALL CAP'!$B$4:$Y$1038,7,)</f>
        <v>25467</v>
      </c>
      <c r="I3" s="101">
        <f>VLOOKUP(A3,'BSE ALL CAP'!$B$4:$Y$1038,8,)</f>
        <v>18863</v>
      </c>
      <c r="J3" s="101">
        <f>VLOOKUP(A3,'BSE ALL CAP'!$B$4:$Y$1038,9,)</f>
        <v>940</v>
      </c>
      <c r="K3" s="101">
        <f>VLOOKUP(A3,'BSE ALL CAP'!$B$4:$Y$1038,10,)</f>
        <v>526</v>
      </c>
      <c r="L3" s="101">
        <f>VLOOKUP(A3,'BSE ALL CAP'!$B$4:$Y$1038,11,)</f>
        <v>10343</v>
      </c>
      <c r="M3" s="101">
        <f>VLOOKUP(A3,'BSE ALL CAP'!$B$4:$Y$1038,12,)</f>
        <v>7278</v>
      </c>
      <c r="N3" s="101">
        <f>VLOOKUP(A3,'BSE ALL CAP'!$B$4:$Y$1038,13,)</f>
        <v>416</v>
      </c>
      <c r="O3" s="101">
        <f>VLOOKUP(A3,'BSE ALL CAP'!$B$4:$Y$1038,14,)</f>
        <v>218</v>
      </c>
      <c r="P3" s="95">
        <f>VLOOKUP(A3,'BSE ALL CAP'!$B$4:$Y$1038,15,)</f>
        <v>3.6910511642517768E-2</v>
      </c>
      <c r="Q3" s="95">
        <f>VLOOKUP(A3,'BSE ALL CAP'!$B$4:$Y$1038,16,)</f>
        <v>2.7885278057573026E-2</v>
      </c>
      <c r="R3" s="95">
        <f>VLOOKUP(A3,'BSE ALL CAP'!$B$4:$Y$1038,17,)</f>
        <v>9.0252335849447425E-3</v>
      </c>
      <c r="S3" s="95">
        <f>VLOOKUP(A3,'BSE ALL CAP'!$B$4:$Y$1038,18,)</f>
        <v>4.0220438944213475E-2</v>
      </c>
      <c r="T3" s="95">
        <f>VLOOKUP(A3,'BSE ALL CAP'!$B$4:$Y$1038,19,)</f>
        <v>2.9953283869194835E-2</v>
      </c>
      <c r="U3" s="95">
        <f>VLOOKUP(A3,'BSE ALL CAP'!$B$4:$Y$1038,20,)</f>
        <v>1.0267155075018641E-2</v>
      </c>
      <c r="V3" s="95">
        <f>VLOOKUP(A3,'BSE ALL CAP'!$B$4:$Y$1038,21,)</f>
        <v>0.35010337698139216</v>
      </c>
      <c r="W3" s="95">
        <f>VLOOKUP(A3,'BSE ALL CAP'!$B$4:$Y$1038,22,)</f>
        <v>0.78707224334600756</v>
      </c>
      <c r="X3" s="95">
        <f>VLOOKUP(A3,'BSE ALL CAP'!$B$4:$Y$1038,23,)</f>
        <v>0.42113217917010171</v>
      </c>
      <c r="Y3" s="95">
        <f>VLOOKUP(A3,'BSE ALL CAP'!$B$4:$Y$1038,24,)</f>
        <v>0.90825688073394506</v>
      </c>
    </row>
    <row r="4" spans="1:25" ht="15.75" customHeight="1">
      <c r="A4" s="99">
        <v>533158</v>
      </c>
      <c r="B4" s="98" t="s">
        <v>4337</v>
      </c>
      <c r="C4" s="101" t="str">
        <f>VLOOKUP(A4,'BSE ALL CAP'!$B$4:$Y$1038,2,)</f>
        <v>Consumer Discretionary</v>
      </c>
      <c r="D4" s="101" t="str">
        <f>VLOOKUP(A4,'BSE ALL CAP'!$B$4:$Y$1038,3,)</f>
        <v>Gems, Jewellery And Watches</v>
      </c>
      <c r="E4" s="101">
        <f ca="1">IFERROR(__xludf.DUMMYFUNCTION("GOOGLEFINANCE(""BOM:""&amp;A4,""PRICE"")"),3751.75)</f>
        <v>3751.75</v>
      </c>
      <c r="F4" s="112">
        <f ca="1">IFERROR(__xludf.DUMMYFUNCTION("GOOGLEFINANCE(""BOM:""&amp;A4,""MARKETCAP"")/10000000"),11682.8024643)</f>
        <v>11682.802464300001</v>
      </c>
      <c r="G4" s="95">
        <f t="shared" ca="1" si="0"/>
        <v>2.3215725717981851E-2</v>
      </c>
      <c r="H4" s="101">
        <f>VLOOKUP(A4,'BSE ALL CAP'!$B$4:$Y$1038,7,)</f>
        <v>5661</v>
      </c>
      <c r="I4" s="101">
        <f>VLOOKUP(A4,'BSE ALL CAP'!$B$4:$Y$1038,8,)</f>
        <v>3530</v>
      </c>
      <c r="J4" s="101">
        <f>VLOOKUP(A4,'BSE ALL CAP'!$B$4:$Y$1038,9,)</f>
        <v>208</v>
      </c>
      <c r="K4" s="101">
        <f>VLOOKUP(A4,'BSE ALL CAP'!$B$4:$Y$1038,10,)</f>
        <v>87</v>
      </c>
      <c r="L4" s="101">
        <f>VLOOKUP(A4,'BSE ALL CAP'!$B$4:$Y$1038,11,)</f>
        <v>2401</v>
      </c>
      <c r="M4" s="101">
        <f>VLOOKUP(A4,'BSE ALL CAP'!$B$4:$Y$1038,12,)</f>
        <v>1131</v>
      </c>
      <c r="N4" s="101">
        <f>VLOOKUP(A4,'BSE ALL CAP'!$B$4:$Y$1038,13,)</f>
        <v>104</v>
      </c>
      <c r="O4" s="101">
        <f>VLOOKUP(A4,'BSE ALL CAP'!$B$4:$Y$1038,14,)</f>
        <v>48</v>
      </c>
      <c r="P4" s="95">
        <f>VLOOKUP(A4,'BSE ALL CAP'!$B$4:$Y$1038,15,)</f>
        <v>3.6742624977919094E-2</v>
      </c>
      <c r="Q4" s="95">
        <f>VLOOKUP(A4,'BSE ALL CAP'!$B$4:$Y$1038,16,)</f>
        <v>2.4645892351274786E-2</v>
      </c>
      <c r="R4" s="95">
        <f>VLOOKUP(A4,'BSE ALL CAP'!$B$4:$Y$1038,17,)</f>
        <v>1.2096732626644308E-2</v>
      </c>
      <c r="S4" s="95">
        <f>VLOOKUP(A4,'BSE ALL CAP'!$B$4:$Y$1038,18,)</f>
        <v>4.3315285297792584E-2</v>
      </c>
      <c r="T4" s="95">
        <f>VLOOKUP(A4,'BSE ALL CAP'!$B$4:$Y$1038,19,)</f>
        <v>4.2440318302387266E-2</v>
      </c>
      <c r="U4" s="95">
        <f>VLOOKUP(A4,'BSE ALL CAP'!$B$4:$Y$1038,20,)</f>
        <v>8.7496699540531853E-4</v>
      </c>
      <c r="V4" s="95">
        <f>VLOOKUP(A4,'BSE ALL CAP'!$B$4:$Y$1038,21,)</f>
        <v>0.60368271954674224</v>
      </c>
      <c r="W4" s="95">
        <f>VLOOKUP(A4,'BSE ALL CAP'!$B$4:$Y$1038,22,)</f>
        <v>1.3908045977011496</v>
      </c>
      <c r="X4" s="95">
        <f>VLOOKUP(A4,'BSE ALL CAP'!$B$4:$Y$1038,23,)</f>
        <v>1.1229000884173299</v>
      </c>
      <c r="Y4" s="95">
        <f>VLOOKUP(A4,'BSE ALL CAP'!$B$4:$Y$1038,24,)</f>
        <v>1.1666666666666665</v>
      </c>
    </row>
    <row r="5" spans="1:25" ht="15.75" customHeight="1">
      <c r="A5" s="99">
        <v>544256</v>
      </c>
      <c r="B5" s="98" t="s">
        <v>4338</v>
      </c>
      <c r="C5" s="101" t="str">
        <f>VLOOKUP(A5,'BSE ALL CAP'!$B$4:$Y$1038,2,)</f>
        <v>Consumer Discretionary</v>
      </c>
      <c r="D5" s="101" t="str">
        <f>VLOOKUP(A5,'BSE ALL CAP'!$B$4:$Y$1038,3,)</f>
        <v>Gems, Jewellery And Watches</v>
      </c>
      <c r="E5" s="101">
        <f ca="1">IFERROR(__xludf.DUMMYFUNCTION("GOOGLEFINANCE(""BOM:""&amp;A5,""PRICE"")"),583.3)</f>
        <v>583.29999999999995</v>
      </c>
      <c r="F5" s="112">
        <f ca="1">IFERROR(__xludf.DUMMYFUNCTION("GOOGLEFINANCE(""BOM:""&amp;A5,""MARKETCAP"")/10000000"),7905.008475)</f>
        <v>7905.0084749999996</v>
      </c>
      <c r="G5" s="95">
        <f t="shared" ca="1" si="0"/>
        <v>1.5708603232376744E-2</v>
      </c>
      <c r="H5" s="101">
        <f>VLOOKUP(A5,'BSE ALL CAP'!$B$4:$Y$1038,7,)</f>
        <v>7194</v>
      </c>
      <c r="I5" s="101">
        <f>VLOOKUP(A5,'BSE ALL CAP'!$B$4:$Y$1038,8,)</f>
        <v>6105</v>
      </c>
      <c r="J5" s="101">
        <f>VLOOKUP(A5,'BSE ALL CAP'!$B$4:$Y$1038,9,)</f>
        <v>319</v>
      </c>
      <c r="K5" s="101">
        <f>VLOOKUP(A5,'BSE ALL CAP'!$B$4:$Y$1038,10,)</f>
        <v>156</v>
      </c>
      <c r="L5" s="101">
        <f>VLOOKUP(A5,'BSE ALL CAP'!$B$4:$Y$1038,11,)</f>
        <v>3302</v>
      </c>
      <c r="M5" s="101">
        <f>VLOOKUP(A5,'BSE ALL CAP'!$B$4:$Y$1038,12,)</f>
        <v>2435</v>
      </c>
      <c r="N5" s="101">
        <f>VLOOKUP(A5,'BSE ALL CAP'!$B$4:$Y$1038,13,)</f>
        <v>170</v>
      </c>
      <c r="O5" s="101">
        <f>VLOOKUP(A5,'BSE ALL CAP'!$B$4:$Y$1038,14,)</f>
        <v>86</v>
      </c>
      <c r="P5" s="95">
        <f>VLOOKUP(A5,'BSE ALL CAP'!$B$4:$Y$1038,15,)</f>
        <v>4.4342507645259939E-2</v>
      </c>
      <c r="Q5" s="95">
        <f>VLOOKUP(A5,'BSE ALL CAP'!$B$4:$Y$1038,16,)</f>
        <v>2.5552825552825554E-2</v>
      </c>
      <c r="R5" s="95">
        <f>VLOOKUP(A5,'BSE ALL CAP'!$B$4:$Y$1038,17,)</f>
        <v>1.8789682092434385E-2</v>
      </c>
      <c r="S5" s="95">
        <f>VLOOKUP(A5,'BSE ALL CAP'!$B$4:$Y$1038,18,)</f>
        <v>5.14839491217444E-2</v>
      </c>
      <c r="T5" s="95">
        <f>VLOOKUP(A5,'BSE ALL CAP'!$B$4:$Y$1038,19,)</f>
        <v>3.5318275154004104E-2</v>
      </c>
      <c r="U5" s="95">
        <f>VLOOKUP(A5,'BSE ALL CAP'!$B$4:$Y$1038,20,)</f>
        <v>1.6165673967740296E-2</v>
      </c>
      <c r="V5" s="95">
        <f>VLOOKUP(A5,'BSE ALL CAP'!$B$4:$Y$1038,21,)</f>
        <v>0.17837837837837833</v>
      </c>
      <c r="W5" s="95">
        <f>VLOOKUP(A5,'BSE ALL CAP'!$B$4:$Y$1038,22,)</f>
        <v>1.0448717948717947</v>
      </c>
      <c r="X5" s="95">
        <f>VLOOKUP(A5,'BSE ALL CAP'!$B$4:$Y$1038,23,)</f>
        <v>0.35605749486652982</v>
      </c>
      <c r="Y5" s="95">
        <f>VLOOKUP(A5,'BSE ALL CAP'!$B$4:$Y$1038,24,)</f>
        <v>0.97674418604651159</v>
      </c>
    </row>
    <row r="6" spans="1:25" ht="15.75" customHeight="1">
      <c r="A6" s="99">
        <v>544484</v>
      </c>
      <c r="B6" s="98" t="s">
        <v>4339</v>
      </c>
      <c r="C6" s="101" t="e">
        <f>VLOOKUP(A6,'BSE ALL CAP'!$B$4:$Y$1038,2,)</f>
        <v>#N/A</v>
      </c>
      <c r="D6" s="101" t="e">
        <f>VLOOKUP(A6,'BSE ALL CAP'!$B$4:$Y$1038,3,)</f>
        <v>#N/A</v>
      </c>
      <c r="E6" s="101">
        <f ca="1">IFERROR(__xludf.DUMMYFUNCTION("GOOGLEFINANCE(""BOM:""&amp;A6,""PRICE"")"),430.85)</f>
        <v>430.85</v>
      </c>
      <c r="F6" s="112">
        <f ca="1">IFERROR(__xludf.DUMMYFUNCTION("GOOGLEFINANCE(""BOM:""&amp;A6,""MARKETCAP"")/10000000"),6563.4524065)</f>
        <v>6563.4524064999996</v>
      </c>
      <c r="G6" s="95">
        <f t="shared" ca="1" si="0"/>
        <v>1.3042701979936438E-2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534809</v>
      </c>
      <c r="B7" s="98" t="s">
        <v>4340</v>
      </c>
      <c r="C7" s="101" t="str">
        <f>VLOOKUP(A7,'BSE ALL CAP'!$B$4:$Y$1038,2,)</f>
        <v>Consumer Discretionary</v>
      </c>
      <c r="D7" s="101" t="str">
        <f>VLOOKUP(A7,'BSE ALL CAP'!$B$4:$Y$1038,3,)</f>
        <v>Gems, Jewellery And Watches</v>
      </c>
      <c r="E7" s="101">
        <f ca="1">IFERROR(__xludf.DUMMYFUNCTION("GOOGLEFINANCE(""BOM:""&amp;A7,""PRICE"")"),8.54)</f>
        <v>8.5399999999999991</v>
      </c>
      <c r="F7" s="112">
        <f ca="1">IFERROR(__xludf.DUMMYFUNCTION("GOOGLEFINANCE(""BOM:""&amp;A7,""MARKETCAP"")/10000000"),7377.257275)</f>
        <v>7377.2572749999999</v>
      </c>
      <c r="G7" s="95">
        <f t="shared" ca="1" si="0"/>
        <v>1.4659871376815932E-2</v>
      </c>
      <c r="H7" s="101">
        <f>VLOOKUP(A7,'BSE ALL CAP'!$B$4:$Y$1038,7,)</f>
        <v>2425</v>
      </c>
      <c r="I7" s="101">
        <f>VLOOKUP(A7,'BSE ALL CAP'!$B$4:$Y$1038,8,)</f>
        <v>1545</v>
      </c>
      <c r="J7" s="101">
        <f>VLOOKUP(A7,'BSE ALL CAP'!$B$4:$Y$1038,9,)</f>
        <v>561</v>
      </c>
      <c r="K7" s="101">
        <f>VLOOKUP(A7,'BSE ALL CAP'!$B$4:$Y$1038,10,)</f>
        <v>482</v>
      </c>
      <c r="L7" s="101">
        <f>VLOOKUP(A7,'BSE ALL CAP'!$B$4:$Y$1038,11,)</f>
        <v>875</v>
      </c>
      <c r="M7" s="101">
        <f>VLOOKUP(A7,'BSE ALL CAP'!$B$4:$Y$1038,12,)</f>
        <v>639</v>
      </c>
      <c r="N7" s="101">
        <f>VLOOKUP(A7,'BSE ALL CAP'!$B$4:$Y$1038,13,)</f>
        <v>190</v>
      </c>
      <c r="O7" s="101">
        <f>VLOOKUP(A7,'BSE ALL CAP'!$B$4:$Y$1038,14,)</f>
        <v>147</v>
      </c>
      <c r="P7" s="95">
        <f>VLOOKUP(A7,'BSE ALL CAP'!$B$4:$Y$1038,15,)</f>
        <v>0.231340206185567</v>
      </c>
      <c r="Q7" s="95">
        <f>VLOOKUP(A7,'BSE ALL CAP'!$B$4:$Y$1038,16,)</f>
        <v>0.31197411003236247</v>
      </c>
      <c r="R7" s="95">
        <f>VLOOKUP(A7,'BSE ALL CAP'!$B$4:$Y$1038,17,)</f>
        <v>-8.0633903846795474E-2</v>
      </c>
      <c r="S7" s="95">
        <f>VLOOKUP(A7,'BSE ALL CAP'!$B$4:$Y$1038,18,)</f>
        <v>0.21714285714285714</v>
      </c>
      <c r="T7" s="95">
        <f>VLOOKUP(A7,'BSE ALL CAP'!$B$4:$Y$1038,19,)</f>
        <v>0.2300469483568075</v>
      </c>
      <c r="U7" s="95">
        <f>VLOOKUP(A7,'BSE ALL CAP'!$B$4:$Y$1038,20,)</f>
        <v>-1.2904091213950364E-2</v>
      </c>
      <c r="V7" s="95">
        <f>VLOOKUP(A7,'BSE ALL CAP'!$B$4:$Y$1038,21,)</f>
        <v>0.56957928802588986</v>
      </c>
      <c r="W7" s="95">
        <f>VLOOKUP(A7,'BSE ALL CAP'!$B$4:$Y$1038,22,)</f>
        <v>0.16390041493775942</v>
      </c>
      <c r="X7" s="95">
        <f>VLOOKUP(A7,'BSE ALL CAP'!$B$4:$Y$1038,23,)</f>
        <v>0.36932707355242567</v>
      </c>
      <c r="Y7" s="95">
        <f>VLOOKUP(A7,'BSE ALL CAP'!$B$4:$Y$1038,24,)</f>
        <v>0.29251700680272119</v>
      </c>
    </row>
    <row r="8" spans="1:25" ht="15.75" customHeight="1">
      <c r="A8" s="99">
        <v>543532</v>
      </c>
      <c r="B8" s="98" t="s">
        <v>4341</v>
      </c>
      <c r="C8" s="101" t="str">
        <f>VLOOKUP(A8,'BSE ALL CAP'!$B$4:$Y$1038,2,)</f>
        <v>Consumer Discretionary</v>
      </c>
      <c r="D8" s="101" t="str">
        <f>VLOOKUP(A8,'BSE ALL CAP'!$B$4:$Y$1038,3,)</f>
        <v>Gems, Jewellery And Watches</v>
      </c>
      <c r="E8" s="101">
        <f ca="1">IFERROR(__xludf.DUMMYFUNCTION("GOOGLEFINANCE(""BOM:""&amp;A8,""PRICE"")"),2250.25)</f>
        <v>2250.25</v>
      </c>
      <c r="F8" s="112">
        <f ca="1">IFERROR(__xludf.DUMMYFUNCTION("GOOGLEFINANCE(""BOM:""&amp;A8,""MARKETCAP"")/10000000"),6032.7890487)</f>
        <v>6032.7890487000004</v>
      </c>
      <c r="G8" s="95">
        <f t="shared" ca="1" si="0"/>
        <v>1.19881831689821E-2</v>
      </c>
      <c r="H8" s="101">
        <f>VLOOKUP(A8,'BSE ALL CAP'!$B$4:$Y$1038,7,)</f>
        <v>1198</v>
      </c>
      <c r="I8" s="101">
        <f>VLOOKUP(A8,'BSE ALL CAP'!$B$4:$Y$1038,8,)</f>
        <v>940</v>
      </c>
      <c r="J8" s="101">
        <f>VLOOKUP(A8,'BSE ALL CAP'!$B$4:$Y$1038,9,)</f>
        <v>73</v>
      </c>
      <c r="K8" s="101">
        <f>VLOOKUP(A8,'BSE ALL CAP'!$B$4:$Y$1038,10,)</f>
        <v>73</v>
      </c>
      <c r="L8" s="101">
        <f>VLOOKUP(A8,'BSE ALL CAP'!$B$4:$Y$1038,11,)</f>
        <v>468</v>
      </c>
      <c r="M8" s="101">
        <f>VLOOKUP(A8,'BSE ALL CAP'!$B$4:$Y$1038,12,)</f>
        <v>369</v>
      </c>
      <c r="N8" s="101">
        <f>VLOOKUP(A8,'BSE ALL CAP'!$B$4:$Y$1038,13,)</f>
        <v>30</v>
      </c>
      <c r="O8" s="101">
        <f>VLOOKUP(A8,'BSE ALL CAP'!$B$4:$Y$1038,14,)</f>
        <v>29</v>
      </c>
      <c r="P8" s="95">
        <f>VLOOKUP(A8,'BSE ALL CAP'!$B$4:$Y$1038,15,)</f>
        <v>6.0934891485809682E-2</v>
      </c>
      <c r="Q8" s="95">
        <f>VLOOKUP(A8,'BSE ALL CAP'!$B$4:$Y$1038,16,)</f>
        <v>7.7659574468085107E-2</v>
      </c>
      <c r="R8" s="95">
        <f>VLOOKUP(A8,'BSE ALL CAP'!$B$4:$Y$1038,17,)</f>
        <v>-1.6724682982275425E-2</v>
      </c>
      <c r="S8" s="95">
        <f>VLOOKUP(A8,'BSE ALL CAP'!$B$4:$Y$1038,18,)</f>
        <v>6.4102564102564097E-2</v>
      </c>
      <c r="T8" s="95">
        <f>VLOOKUP(A8,'BSE ALL CAP'!$B$4:$Y$1038,19,)</f>
        <v>7.8590785907859076E-2</v>
      </c>
      <c r="U8" s="95">
        <f>VLOOKUP(A8,'BSE ALL CAP'!$B$4:$Y$1038,20,)</f>
        <v>-1.4488221805294979E-2</v>
      </c>
      <c r="V8" s="95">
        <f>VLOOKUP(A8,'BSE ALL CAP'!$B$4:$Y$1038,21,)</f>
        <v>0.27446808510638299</v>
      </c>
      <c r="W8" s="95">
        <f>VLOOKUP(A8,'BSE ALL CAP'!$B$4:$Y$1038,22,)</f>
        <v>0</v>
      </c>
      <c r="X8" s="95">
        <f>VLOOKUP(A8,'BSE ALL CAP'!$B$4:$Y$1038,23,)</f>
        <v>0.26829268292682928</v>
      </c>
      <c r="Y8" s="95">
        <f>VLOOKUP(A8,'BSE ALL CAP'!$B$4:$Y$1038,24,)</f>
        <v>3.4482758620689724E-2</v>
      </c>
    </row>
    <row r="9" spans="1:25" ht="15.75" customHeight="1">
      <c r="A9" s="99">
        <v>541967</v>
      </c>
      <c r="B9" s="98" t="s">
        <v>4342</v>
      </c>
      <c r="C9" s="101" t="str">
        <f>VLOOKUP(A9,'BSE ALL CAP'!$B$4:$Y$1038,2,)</f>
        <v>Consumer Discretionary</v>
      </c>
      <c r="D9" s="101" t="str">
        <f>VLOOKUP(A9,'BSE ALL CAP'!$B$4:$Y$1038,3,)</f>
        <v>Gems, Jewellery And Watches</v>
      </c>
      <c r="E9" s="101">
        <f ca="1">IFERROR(__xludf.DUMMYFUNCTION("GOOGLEFINANCE(""BOM:""&amp;A9,""PRICE"")"),361.05)</f>
        <v>361.05</v>
      </c>
      <c r="F9" s="112">
        <f ca="1">IFERROR(__xludf.DUMMYFUNCTION("GOOGLEFINANCE(""BOM:""&amp;A9,""MARKETCAP"")/10000000"),5600.2367025)</f>
        <v>5600.2367025000003</v>
      </c>
      <c r="G9" s="95">
        <f t="shared" ca="1" si="0"/>
        <v>1.1128627710543522E-2</v>
      </c>
      <c r="H9" s="101">
        <f>VLOOKUP(A9,'BSE ALL CAP'!$B$4:$Y$1038,7,)</f>
        <v>4383</v>
      </c>
      <c r="I9" s="101">
        <f>VLOOKUP(A9,'BSE ALL CAP'!$B$4:$Y$1038,8,)</f>
        <v>2489</v>
      </c>
      <c r="J9" s="101">
        <f>VLOOKUP(A9,'BSE ALL CAP'!$B$4:$Y$1038,9,)</f>
        <v>191</v>
      </c>
      <c r="K9" s="101">
        <f>VLOOKUP(A9,'BSE ALL CAP'!$B$4:$Y$1038,10,)</f>
        <v>94</v>
      </c>
      <c r="L9" s="101">
        <f>VLOOKUP(A9,'BSE ALL CAP'!$B$4:$Y$1038,11,)</f>
        <v>1767</v>
      </c>
      <c r="M9" s="101">
        <f>VLOOKUP(A9,'BSE ALL CAP'!$B$4:$Y$1038,12,)</f>
        <v>997</v>
      </c>
      <c r="N9" s="101">
        <f>VLOOKUP(A9,'BSE ALL CAP'!$B$4:$Y$1038,13,)</f>
        <v>80</v>
      </c>
      <c r="O9" s="101">
        <f>VLOOKUP(A9,'BSE ALL CAP'!$B$4:$Y$1038,14,)</f>
        <v>36</v>
      </c>
      <c r="P9" s="95">
        <f>VLOOKUP(A9,'BSE ALL CAP'!$B$4:$Y$1038,15,)</f>
        <v>4.357745836185261E-2</v>
      </c>
      <c r="Q9" s="95">
        <f>VLOOKUP(A9,'BSE ALL CAP'!$B$4:$Y$1038,16,)</f>
        <v>3.776617115307352E-2</v>
      </c>
      <c r="R9" s="95">
        <f>VLOOKUP(A9,'BSE ALL CAP'!$B$4:$Y$1038,17,)</f>
        <v>5.8112872087790896E-3</v>
      </c>
      <c r="S9" s="95">
        <f>VLOOKUP(A9,'BSE ALL CAP'!$B$4:$Y$1038,18,)</f>
        <v>4.5274476513865305E-2</v>
      </c>
      <c r="T9" s="95">
        <f>VLOOKUP(A9,'BSE ALL CAP'!$B$4:$Y$1038,19,)</f>
        <v>3.6108324974924777E-2</v>
      </c>
      <c r="U9" s="95">
        <f>VLOOKUP(A9,'BSE ALL CAP'!$B$4:$Y$1038,20,)</f>
        <v>9.1661515389405285E-3</v>
      </c>
      <c r="V9" s="95">
        <f>VLOOKUP(A9,'BSE ALL CAP'!$B$4:$Y$1038,21,)</f>
        <v>0.76094817195660913</v>
      </c>
      <c r="W9" s="95">
        <f>VLOOKUP(A9,'BSE ALL CAP'!$B$4:$Y$1038,22,)</f>
        <v>1.0319148936170213</v>
      </c>
      <c r="X9" s="95">
        <f>VLOOKUP(A9,'BSE ALL CAP'!$B$4:$Y$1038,23,)</f>
        <v>0.77231695085255758</v>
      </c>
      <c r="Y9" s="95">
        <f>VLOOKUP(A9,'BSE ALL CAP'!$B$4:$Y$1038,24,)</f>
        <v>1.2222222222222223</v>
      </c>
    </row>
    <row r="10" spans="1:25" ht="15.75" customHeight="1">
      <c r="A10" s="99">
        <v>543936</v>
      </c>
      <c r="B10" s="98" t="s">
        <v>4343</v>
      </c>
      <c r="C10" s="101" t="str">
        <f>VLOOKUP(A10,'BSE ALL CAP'!$B$4:$Y$1038,2,)</f>
        <v>Consumer Discretionary</v>
      </c>
      <c r="D10" s="101" t="str">
        <f>VLOOKUP(A10,'BSE ALL CAP'!$B$4:$Y$1038,3,)</f>
        <v>Gems, Jewellery And Watches</v>
      </c>
      <c r="E10" s="101">
        <f ca="1">IFERROR(__xludf.DUMMYFUNCTION("GOOGLEFINANCE(""BOM:""&amp;A10,""PRICE"")"),328.55)</f>
        <v>328.55</v>
      </c>
      <c r="F10" s="112">
        <f ca="1">IFERROR(__xludf.DUMMYFUNCTION("GOOGLEFINANCE(""BOM:""&amp;A10,""MARKETCAP"")/10000000"),5403.1608009)</f>
        <v>5403.1608009000001</v>
      </c>
      <c r="G10" s="95">
        <f t="shared" ca="1" si="0"/>
        <v>1.0737004203157298E-2</v>
      </c>
      <c r="H10" s="101">
        <f>VLOOKUP(A10,'BSE ALL CAP'!$B$4:$Y$1038,7,)</f>
        <v>6433</v>
      </c>
      <c r="I10" s="101">
        <f>VLOOKUP(A10,'BSE ALL CAP'!$B$4:$Y$1038,8,)</f>
        <v>4950</v>
      </c>
      <c r="J10" s="101">
        <f>VLOOKUP(A10,'BSE ALL CAP'!$B$4:$Y$1038,9,)</f>
        <v>417</v>
      </c>
      <c r="K10" s="101">
        <f>VLOOKUP(A10,'BSE ALL CAP'!$B$4:$Y$1038,10,)</f>
        <v>96</v>
      </c>
      <c r="L10" s="101">
        <f>VLOOKUP(A10,'BSE ALL CAP'!$B$4:$Y$1038,11,)</f>
        <v>3070</v>
      </c>
      <c r="M10" s="101">
        <f>VLOOKUP(A10,'BSE ALL CAP'!$B$4:$Y$1038,12,)</f>
        <v>2045</v>
      </c>
      <c r="N10" s="101">
        <f>VLOOKUP(A10,'BSE ALL CAP'!$B$4:$Y$1038,13,)</f>
        <v>264</v>
      </c>
      <c r="O10" s="101">
        <f>VLOOKUP(A10,'BSE ALL CAP'!$B$4:$Y$1038,14,)</f>
        <v>33</v>
      </c>
      <c r="P10" s="95">
        <f>VLOOKUP(A10,'BSE ALL CAP'!$B$4:$Y$1038,15,)</f>
        <v>6.4822011503186699E-2</v>
      </c>
      <c r="Q10" s="95">
        <f>VLOOKUP(A10,'BSE ALL CAP'!$B$4:$Y$1038,16,)</f>
        <v>1.9393939393939394E-2</v>
      </c>
      <c r="R10" s="95">
        <f>VLOOKUP(A10,'BSE ALL CAP'!$B$4:$Y$1038,17,)</f>
        <v>4.5428072109247306E-2</v>
      </c>
      <c r="S10" s="95">
        <f>VLOOKUP(A10,'BSE ALL CAP'!$B$4:$Y$1038,18,)</f>
        <v>8.5993485342019546E-2</v>
      </c>
      <c r="T10" s="95">
        <f>VLOOKUP(A10,'BSE ALL CAP'!$B$4:$Y$1038,19,)</f>
        <v>1.6136919315403422E-2</v>
      </c>
      <c r="U10" s="95">
        <f>VLOOKUP(A10,'BSE ALL CAP'!$B$4:$Y$1038,20,)</f>
        <v>6.9856566026616121E-2</v>
      </c>
      <c r="V10" s="95">
        <f>VLOOKUP(A10,'BSE ALL CAP'!$B$4:$Y$1038,21,)</f>
        <v>0.29959595959595964</v>
      </c>
      <c r="W10" s="95">
        <f>VLOOKUP(A10,'BSE ALL CAP'!$B$4:$Y$1038,22,)</f>
        <v>3.34375</v>
      </c>
      <c r="X10" s="95">
        <f>VLOOKUP(A10,'BSE ALL CAP'!$B$4:$Y$1038,23,)</f>
        <v>0.50122249388753048</v>
      </c>
      <c r="Y10" s="95">
        <f>VLOOKUP(A10,'BSE ALL CAP'!$B$4:$Y$1038,24,)</f>
        <v>7</v>
      </c>
    </row>
    <row r="11" spans="1:25" ht="15.75" customHeight="1">
      <c r="A11" s="99">
        <v>526729</v>
      </c>
      <c r="B11" s="98" t="s">
        <v>4344</v>
      </c>
      <c r="C11" s="101" t="str">
        <f>VLOOKUP(A11,'BSE ALL CAP'!$B$4:$Y$1038,2,)</f>
        <v>Consumer Discretionary</v>
      </c>
      <c r="D11" s="101" t="str">
        <f>VLOOKUP(A11,'BSE ALL CAP'!$B$4:$Y$1038,3,)</f>
        <v>Gems, Jewellery And Watches</v>
      </c>
      <c r="E11" s="101">
        <f ca="1">IFERROR(__xludf.DUMMYFUNCTION("GOOGLEFINANCE(""BOM:""&amp;A11,""PRICE"")"),302.2)</f>
        <v>302.2</v>
      </c>
      <c r="F11" s="112">
        <f ca="1">IFERROR(__xludf.DUMMYFUNCTION("GOOGLEFINANCE(""BOM:""&amp;A11,""MARKETCAP"")/10000000"),3412.940505)</f>
        <v>3412.940505</v>
      </c>
      <c r="G11" s="95">
        <f t="shared" ca="1" si="0"/>
        <v>6.7820962391507769E-3</v>
      </c>
      <c r="H11" s="101">
        <f>VLOOKUP(A11,'BSE ALL CAP'!$B$4:$Y$1038,7,)</f>
        <v>742</v>
      </c>
      <c r="I11" s="101">
        <f>VLOOKUP(A11,'BSE ALL CAP'!$B$4:$Y$1038,8,)</f>
        <v>582</v>
      </c>
      <c r="J11" s="101">
        <f>VLOOKUP(A11,'BSE ALL CAP'!$B$4:$Y$1038,9,)</f>
        <v>133</v>
      </c>
      <c r="K11" s="101">
        <f>VLOOKUP(A11,'BSE ALL CAP'!$B$4:$Y$1038,10,)</f>
        <v>93</v>
      </c>
      <c r="L11" s="101">
        <f>VLOOKUP(A11,'BSE ALL CAP'!$B$4:$Y$1038,11,)</f>
        <v>319</v>
      </c>
      <c r="M11" s="101">
        <f>VLOOKUP(A11,'BSE ALL CAP'!$B$4:$Y$1038,12,)</f>
        <v>279</v>
      </c>
      <c r="N11" s="101">
        <f>VLOOKUP(A11,'BSE ALL CAP'!$B$4:$Y$1038,13,)</f>
        <v>68</v>
      </c>
      <c r="O11" s="101">
        <f>VLOOKUP(A11,'BSE ALL CAP'!$B$4:$Y$1038,14,)</f>
        <v>49</v>
      </c>
      <c r="P11" s="95">
        <f>VLOOKUP(A11,'BSE ALL CAP'!$B$4:$Y$1038,15,)</f>
        <v>0.17924528301886791</v>
      </c>
      <c r="Q11" s="95">
        <f>VLOOKUP(A11,'BSE ALL CAP'!$B$4:$Y$1038,16,)</f>
        <v>0.15979381443298968</v>
      </c>
      <c r="R11" s="95">
        <f>VLOOKUP(A11,'BSE ALL CAP'!$B$4:$Y$1038,17,)</f>
        <v>1.9451468585878234E-2</v>
      </c>
      <c r="S11" s="95">
        <f>VLOOKUP(A11,'BSE ALL CAP'!$B$4:$Y$1038,18,)</f>
        <v>0.21316614420062696</v>
      </c>
      <c r="T11" s="95">
        <f>VLOOKUP(A11,'BSE ALL CAP'!$B$4:$Y$1038,19,)</f>
        <v>0.17562724014336917</v>
      </c>
      <c r="U11" s="95">
        <f>VLOOKUP(A11,'BSE ALL CAP'!$B$4:$Y$1038,20,)</f>
        <v>3.7538904057257794E-2</v>
      </c>
      <c r="V11" s="95">
        <f>VLOOKUP(A11,'BSE ALL CAP'!$B$4:$Y$1038,21,)</f>
        <v>0.27491408934707895</v>
      </c>
      <c r="W11" s="95">
        <f>VLOOKUP(A11,'BSE ALL CAP'!$B$4:$Y$1038,22,)</f>
        <v>0.43010752688172049</v>
      </c>
      <c r="X11" s="95">
        <f>VLOOKUP(A11,'BSE ALL CAP'!$B$4:$Y$1038,23,)</f>
        <v>0.14336917562724016</v>
      </c>
      <c r="Y11" s="95">
        <f>VLOOKUP(A11,'BSE ALL CAP'!$B$4:$Y$1038,24,)</f>
        <v>0.38775510204081631</v>
      </c>
    </row>
    <row r="12" spans="1:25" ht="15.75" customHeight="1">
      <c r="A12" s="99">
        <v>532156</v>
      </c>
      <c r="B12" s="98" t="s">
        <v>4345</v>
      </c>
      <c r="C12" s="101" t="str">
        <f>VLOOKUP(A12,'BSE ALL CAP'!$B$4:$Y$1038,2,)</f>
        <v>Consumer Discretionary</v>
      </c>
      <c r="D12" s="101" t="str">
        <f>VLOOKUP(A12,'BSE ALL CAP'!$B$4:$Y$1038,3,)</f>
        <v>Gems, Jewellery And Watches</v>
      </c>
      <c r="E12" s="101">
        <f ca="1">IFERROR(__xludf.DUMMYFUNCTION("GOOGLEFINANCE(""BOM:""&amp;A12,""PRICE"")"),191.65)</f>
        <v>191.65</v>
      </c>
      <c r="F12" s="112">
        <f ca="1">IFERROR(__xludf.DUMMYFUNCTION("GOOGLEFINANCE(""BOM:""&amp;A12,""MARKETCAP"")/10000000"),3195.3411349)</f>
        <v>3195.3411348999998</v>
      </c>
      <c r="G12" s="95">
        <f t="shared" ca="1" si="0"/>
        <v>6.3496890912867129E-3</v>
      </c>
      <c r="H12" s="101">
        <f>VLOOKUP(A12,'BSE ALL CAP'!$B$4:$Y$1038,7,)</f>
        <v>2757</v>
      </c>
      <c r="I12" s="101">
        <f>VLOOKUP(A12,'BSE ALL CAP'!$B$4:$Y$1038,8,)</f>
        <v>2529</v>
      </c>
      <c r="J12" s="101">
        <f>VLOOKUP(A12,'BSE ALL CAP'!$B$4:$Y$1038,9,)</f>
        <v>174</v>
      </c>
      <c r="K12" s="101">
        <f>VLOOKUP(A12,'BSE ALL CAP'!$B$4:$Y$1038,10,)</f>
        <v>119</v>
      </c>
      <c r="L12" s="101">
        <f>VLOOKUP(A12,'BSE ALL CAP'!$B$4:$Y$1038,11,)</f>
        <v>1066</v>
      </c>
      <c r="M12" s="101">
        <f>VLOOKUP(A12,'BSE ALL CAP'!$B$4:$Y$1038,12,)</f>
        <v>977</v>
      </c>
      <c r="N12" s="101">
        <f>VLOOKUP(A12,'BSE ALL CAP'!$B$4:$Y$1038,13,)</f>
        <v>89</v>
      </c>
      <c r="O12" s="101">
        <f>VLOOKUP(A12,'BSE ALL CAP'!$B$4:$Y$1038,14,)</f>
        <v>63</v>
      </c>
      <c r="P12" s="95">
        <f>VLOOKUP(A12,'BSE ALL CAP'!$B$4:$Y$1038,15,)</f>
        <v>6.3112078346028291E-2</v>
      </c>
      <c r="Q12" s="95">
        <f>VLOOKUP(A12,'BSE ALL CAP'!$B$4:$Y$1038,16,)</f>
        <v>4.7054171609331751E-2</v>
      </c>
      <c r="R12" s="95">
        <f>VLOOKUP(A12,'BSE ALL CAP'!$B$4:$Y$1038,17,)</f>
        <v>1.6057906736696541E-2</v>
      </c>
      <c r="S12" s="95">
        <f>VLOOKUP(A12,'BSE ALL CAP'!$B$4:$Y$1038,18,)</f>
        <v>8.3489681050656656E-2</v>
      </c>
      <c r="T12" s="95">
        <f>VLOOKUP(A12,'BSE ALL CAP'!$B$4:$Y$1038,19,)</f>
        <v>6.4483111566018422E-2</v>
      </c>
      <c r="U12" s="95">
        <f>VLOOKUP(A12,'BSE ALL CAP'!$B$4:$Y$1038,20,)</f>
        <v>1.9006569484638233E-2</v>
      </c>
      <c r="V12" s="95">
        <f>VLOOKUP(A12,'BSE ALL CAP'!$B$4:$Y$1038,21,)</f>
        <v>9.0154211150652364E-2</v>
      </c>
      <c r="W12" s="95">
        <f>VLOOKUP(A12,'BSE ALL CAP'!$B$4:$Y$1038,22,)</f>
        <v>0.46218487394957974</v>
      </c>
      <c r="X12" s="95">
        <f>VLOOKUP(A12,'BSE ALL CAP'!$B$4:$Y$1038,23,)</f>
        <v>9.1095189355168804E-2</v>
      </c>
      <c r="Y12" s="95">
        <f>VLOOKUP(A12,'BSE ALL CAP'!$B$4:$Y$1038,24,)</f>
        <v>0.41269841269841279</v>
      </c>
    </row>
    <row r="13" spans="1:25" ht="15.75" customHeight="1">
      <c r="A13" s="99">
        <v>532054</v>
      </c>
      <c r="B13" s="98" t="s">
        <v>4346</v>
      </c>
      <c r="C13" s="101" t="str">
        <f>VLOOKUP(A13,'BSE ALL CAP'!$B$4:$Y$1038,2,)</f>
        <v>Consumer Discretionary</v>
      </c>
      <c r="D13" s="101" t="str">
        <f>VLOOKUP(A13,'BSE ALL CAP'!$B$4:$Y$1038,3,)</f>
        <v>Gems, Jewellery And Watches</v>
      </c>
      <c r="E13" s="101">
        <f ca="1">IFERROR(__xludf.DUMMYFUNCTION("GOOGLEFINANCE(""BOM:""&amp;A13,""PRICE"")"),2210.3)</f>
        <v>2210.3000000000002</v>
      </c>
      <c r="F13" s="112">
        <f ca="1">IFERROR(__xludf.DUMMYFUNCTION("GOOGLEFINANCE(""BOM:""&amp;A13,""MARKETCAP"")/10000000"),2715.4328906)</f>
        <v>2715.4328906000001</v>
      </c>
      <c r="G13" s="95">
        <f t="shared" ca="1" si="0"/>
        <v>5.3960293676448322E-3</v>
      </c>
      <c r="H13" s="101">
        <f>VLOOKUP(A13,'BSE ALL CAP'!$B$4:$Y$1038,7,)</f>
        <v>1578</v>
      </c>
      <c r="I13" s="101">
        <f>VLOOKUP(A13,'BSE ALL CAP'!$B$4:$Y$1038,8,)</f>
        <v>1228</v>
      </c>
      <c r="J13" s="101">
        <f>VLOOKUP(A13,'BSE ALL CAP'!$B$4:$Y$1038,9,)</f>
        <v>100</v>
      </c>
      <c r="K13" s="101">
        <f>VLOOKUP(A13,'BSE ALL CAP'!$B$4:$Y$1038,10,)</f>
        <v>110</v>
      </c>
      <c r="L13" s="101">
        <f>VLOOKUP(A13,'BSE ALL CAP'!$B$4:$Y$1038,11,)</f>
        <v>596</v>
      </c>
      <c r="M13" s="101">
        <f>VLOOKUP(A13,'BSE ALL CAP'!$B$4:$Y$1038,12,)</f>
        <v>472</v>
      </c>
      <c r="N13" s="101">
        <f>VLOOKUP(A13,'BSE ALL CAP'!$B$4:$Y$1038,13,)</f>
        <v>38</v>
      </c>
      <c r="O13" s="101">
        <f>VLOOKUP(A13,'BSE ALL CAP'!$B$4:$Y$1038,14,)</f>
        <v>47</v>
      </c>
      <c r="P13" s="95">
        <f>VLOOKUP(A13,'BSE ALL CAP'!$B$4:$Y$1038,15,)</f>
        <v>6.3371356147021551E-2</v>
      </c>
      <c r="Q13" s="95">
        <f>VLOOKUP(A13,'BSE ALL CAP'!$B$4:$Y$1038,16,)</f>
        <v>8.9576547231270356E-2</v>
      </c>
      <c r="R13" s="95">
        <f>VLOOKUP(A13,'BSE ALL CAP'!$B$4:$Y$1038,17,)</f>
        <v>-2.6205191084248805E-2</v>
      </c>
      <c r="S13" s="95">
        <f>VLOOKUP(A13,'BSE ALL CAP'!$B$4:$Y$1038,18,)</f>
        <v>6.3758389261744972E-2</v>
      </c>
      <c r="T13" s="95">
        <f>VLOOKUP(A13,'BSE ALL CAP'!$B$4:$Y$1038,19,)</f>
        <v>9.9576271186440676E-2</v>
      </c>
      <c r="U13" s="95">
        <f>VLOOKUP(A13,'BSE ALL CAP'!$B$4:$Y$1038,20,)</f>
        <v>-3.5817881924695705E-2</v>
      </c>
      <c r="V13" s="95">
        <f>VLOOKUP(A13,'BSE ALL CAP'!$B$4:$Y$1038,21,)</f>
        <v>0.28501628664495104</v>
      </c>
      <c r="W13" s="95">
        <f>VLOOKUP(A13,'BSE ALL CAP'!$B$4:$Y$1038,22,)</f>
        <v>-9.0909090909090939E-2</v>
      </c>
      <c r="X13" s="95">
        <f>VLOOKUP(A13,'BSE ALL CAP'!$B$4:$Y$1038,23,)</f>
        <v>0.26271186440677963</v>
      </c>
      <c r="Y13" s="95">
        <f>VLOOKUP(A13,'BSE ALL CAP'!$B$4:$Y$1038,24,)</f>
        <v>-0.19148936170212771</v>
      </c>
    </row>
    <row r="14" spans="1:25" ht="15.75" customHeight="1">
      <c r="A14" s="99">
        <v>500414</v>
      </c>
      <c r="B14" s="98" t="s">
        <v>4347</v>
      </c>
      <c r="C14" s="101" t="str">
        <f>VLOOKUP(A14,'BSE ALL CAP'!$B$4:$Y$1038,2,)</f>
        <v>Consumer Discretionary</v>
      </c>
      <c r="D14" s="101" t="str">
        <f>VLOOKUP(A14,'BSE ALL CAP'!$B$4:$Y$1038,3,)</f>
        <v>Gems, Jewellery And Watches</v>
      </c>
      <c r="E14" s="101">
        <f ca="1">IFERROR(__xludf.DUMMYFUNCTION("GOOGLEFINANCE(""BOM:""&amp;A14,""PRICE"")"),263.7)</f>
        <v>263.7</v>
      </c>
      <c r="F14" s="112">
        <f ca="1">IFERROR(__xludf.DUMMYFUNCTION("GOOGLEFINANCE(""BOM:""&amp;A14,""MARKETCAP"")/10000000"),2662.0516232)</f>
        <v>2662.0516232</v>
      </c>
      <c r="G14" s="95">
        <f t="shared" ca="1" si="0"/>
        <v>5.2899516635816482E-3</v>
      </c>
      <c r="H14" s="101">
        <f>VLOOKUP(A14,'BSE ALL CAP'!$B$4:$Y$1038,7,)</f>
        <v>563</v>
      </c>
      <c r="I14" s="101">
        <f>VLOOKUP(A14,'BSE ALL CAP'!$B$4:$Y$1038,8,)</f>
        <v>402</v>
      </c>
      <c r="J14" s="101">
        <f>VLOOKUP(A14,'BSE ALL CAP'!$B$4:$Y$1038,9,)</f>
        <v>48</v>
      </c>
      <c r="K14" s="101">
        <f>VLOOKUP(A14,'BSE ALL CAP'!$B$4:$Y$1038,10,)</f>
        <v>22</v>
      </c>
      <c r="L14" s="101">
        <f>VLOOKUP(A14,'BSE ALL CAP'!$B$4:$Y$1038,11,)</f>
        <v>150</v>
      </c>
      <c r="M14" s="101">
        <f>VLOOKUP(A14,'BSE ALL CAP'!$B$4:$Y$1038,12,)</f>
        <v>119</v>
      </c>
      <c r="N14" s="101">
        <f>VLOOKUP(A14,'BSE ALL CAP'!$B$4:$Y$1038,13,)</f>
        <v>3</v>
      </c>
      <c r="O14" s="101">
        <f>VLOOKUP(A14,'BSE ALL CAP'!$B$4:$Y$1038,14,)</f>
        <v>1</v>
      </c>
      <c r="P14" s="95">
        <f>VLOOKUP(A14,'BSE ALL CAP'!$B$4:$Y$1038,15,)</f>
        <v>8.5257548845470696E-2</v>
      </c>
      <c r="Q14" s="95">
        <f>VLOOKUP(A14,'BSE ALL CAP'!$B$4:$Y$1038,16,)</f>
        <v>5.4726368159203981E-2</v>
      </c>
      <c r="R14" s="95">
        <f>VLOOKUP(A14,'BSE ALL CAP'!$B$4:$Y$1038,17,)</f>
        <v>3.0531180686266715E-2</v>
      </c>
      <c r="S14" s="95">
        <f>VLOOKUP(A14,'BSE ALL CAP'!$B$4:$Y$1038,18,)</f>
        <v>0.02</v>
      </c>
      <c r="T14" s="95">
        <f>VLOOKUP(A14,'BSE ALL CAP'!$B$4:$Y$1038,19,)</f>
        <v>8.4033613445378148E-3</v>
      </c>
      <c r="U14" s="95">
        <f>VLOOKUP(A14,'BSE ALL CAP'!$B$4:$Y$1038,20,)</f>
        <v>1.1596638655462186E-2</v>
      </c>
      <c r="V14" s="95">
        <f>VLOOKUP(A14,'BSE ALL CAP'!$B$4:$Y$1038,21,)</f>
        <v>0.40049751243781095</v>
      </c>
      <c r="W14" s="95">
        <f>VLOOKUP(A14,'BSE ALL CAP'!$B$4:$Y$1038,22,)</f>
        <v>1.1818181818181817</v>
      </c>
      <c r="X14" s="95">
        <f>VLOOKUP(A14,'BSE ALL CAP'!$B$4:$Y$1038,23,)</f>
        <v>0.26050420168067223</v>
      </c>
      <c r="Y14" s="95">
        <f>VLOOKUP(A14,'BSE ALL CAP'!$B$4:$Y$1038,24,)</f>
        <v>2</v>
      </c>
    </row>
    <row r="15" spans="1:25" ht="15.75" customHeight="1">
      <c r="A15" s="99">
        <v>531500</v>
      </c>
      <c r="B15" s="98" t="s">
        <v>4348</v>
      </c>
      <c r="C15" s="101" t="str">
        <f>VLOOKUP(A15,'BSE ALL CAP'!$B$4:$Y$1038,2,)</f>
        <v>Consumer Discretionary</v>
      </c>
      <c r="D15" s="101" t="str">
        <f>VLOOKUP(A15,'BSE ALL CAP'!$B$4:$Y$1038,3,)</f>
        <v>Gems, Jewellery And Watches</v>
      </c>
      <c r="E15" s="101">
        <f ca="1">IFERROR(__xludf.DUMMYFUNCTION("GOOGLEFINANCE(""BOM:""&amp;A15,""PRICE"")"),91.78)</f>
        <v>91.78</v>
      </c>
      <c r="F15" s="112">
        <f ca="1">IFERROR(__xludf.DUMMYFUNCTION("GOOGLEFINANCE(""BOM:""&amp;A15,""MARKETCAP"")/10000000"),2705.7617055)</f>
        <v>2705.7617055000001</v>
      </c>
      <c r="G15" s="95">
        <f t="shared" ca="1" si="0"/>
        <v>5.3768110695236815E-3</v>
      </c>
      <c r="H15" s="101">
        <f>VLOOKUP(A15,'BSE ALL CAP'!$B$4:$Y$1038,7,)</f>
        <v>541884</v>
      </c>
      <c r="I15" s="101">
        <f>VLOOKUP(A15,'BSE ALL CAP'!$B$4:$Y$1038,8,)</f>
        <v>223613</v>
      </c>
      <c r="J15" s="101">
        <f>VLOOKUP(A15,'BSE ALL CAP'!$B$4:$Y$1038,9,)</f>
        <v>165</v>
      </c>
      <c r="K15" s="101">
        <f>VLOOKUP(A15,'BSE ALL CAP'!$B$4:$Y$1038,10,)</f>
        <v>92</v>
      </c>
      <c r="L15" s="101">
        <f>VLOOKUP(A15,'BSE ALL CAP'!$B$4:$Y$1038,11,)</f>
        <v>234937</v>
      </c>
      <c r="M15" s="101">
        <f>VLOOKUP(A15,'BSE ALL CAP'!$B$4:$Y$1038,12,)</f>
        <v>96496</v>
      </c>
      <c r="N15" s="101">
        <f>VLOOKUP(A15,'BSE ALL CAP'!$B$4:$Y$1038,13,)</f>
        <v>71</v>
      </c>
      <c r="O15" s="101">
        <f>VLOOKUP(A15,'BSE ALL CAP'!$B$4:$Y$1038,14,)</f>
        <v>35</v>
      </c>
      <c r="P15" s="95">
        <f>VLOOKUP(A15,'BSE ALL CAP'!$B$4:$Y$1038,15,)</f>
        <v>3.0449321256947984E-4</v>
      </c>
      <c r="Q15" s="95">
        <f>VLOOKUP(A15,'BSE ALL CAP'!$B$4:$Y$1038,16,)</f>
        <v>4.1142509603645585E-4</v>
      </c>
      <c r="R15" s="95">
        <f>VLOOKUP(A15,'BSE ALL CAP'!$B$4:$Y$1038,17,)</f>
        <v>-1.06931883466976E-4</v>
      </c>
      <c r="S15" s="95">
        <f>VLOOKUP(A15,'BSE ALL CAP'!$B$4:$Y$1038,18,)</f>
        <v>3.0220867721985045E-4</v>
      </c>
      <c r="T15" s="95">
        <f>VLOOKUP(A15,'BSE ALL CAP'!$B$4:$Y$1038,19,)</f>
        <v>3.6270933510197315E-4</v>
      </c>
      <c r="U15" s="95">
        <f>VLOOKUP(A15,'BSE ALL CAP'!$B$4:$Y$1038,20,)</f>
        <v>-6.0500657882122701E-5</v>
      </c>
      <c r="V15" s="95">
        <f>VLOOKUP(A15,'BSE ALL CAP'!$B$4:$Y$1038,21,)</f>
        <v>1.4233117037023786</v>
      </c>
      <c r="W15" s="95">
        <f>VLOOKUP(A15,'BSE ALL CAP'!$B$4:$Y$1038,22,)</f>
        <v>0.79347826086956519</v>
      </c>
      <c r="X15" s="95">
        <f>VLOOKUP(A15,'BSE ALL CAP'!$B$4:$Y$1038,23,)</f>
        <v>1.4346812303100647</v>
      </c>
      <c r="Y15" s="95">
        <f>VLOOKUP(A15,'BSE ALL CAP'!$B$4:$Y$1038,24,)</f>
        <v>1.0285714285714285</v>
      </c>
    </row>
    <row r="16" spans="1:25" ht="15.75" customHeight="1">
      <c r="A16" s="99">
        <v>544161</v>
      </c>
      <c r="B16" s="98" t="s">
        <v>4349</v>
      </c>
      <c r="C16" s="101" t="str">
        <f>VLOOKUP(A16,'BSE ALL CAP'!$B$4:$Y$1038,2,)</f>
        <v>Consumer Discretionary</v>
      </c>
      <c r="D16" s="101" t="str">
        <f>VLOOKUP(A16,'BSE ALL CAP'!$B$4:$Y$1038,3,)</f>
        <v>Gems, Jewellery And Watches</v>
      </c>
      <c r="E16" s="101">
        <f ca="1">IFERROR(__xludf.DUMMYFUNCTION("GOOGLEFINANCE(""BOM:""&amp;A16,""PRICE"")"),1013.5)</f>
        <v>1013.5</v>
      </c>
      <c r="F16" s="112">
        <f ca="1">IFERROR(__xludf.DUMMYFUNCTION("GOOGLEFINANCE(""BOM:""&amp;A16,""MARKETCAP"")/10000000"),2305.8248817)</f>
        <v>2305.8248816999999</v>
      </c>
      <c r="G16" s="95">
        <f t="shared" ca="1" si="0"/>
        <v>4.5820682298468177E-3</v>
      </c>
      <c r="H16" s="101">
        <f>VLOOKUP(A16,'BSE ALL CAP'!$B$4:$Y$1038,7,)</f>
        <v>2731</v>
      </c>
      <c r="I16" s="101">
        <f>VLOOKUP(A16,'BSE ALL CAP'!$B$4:$Y$1038,8,)</f>
        <v>2594</v>
      </c>
      <c r="J16" s="101">
        <f>VLOOKUP(A16,'BSE ALL CAP'!$B$4:$Y$1038,9,)</f>
        <v>161</v>
      </c>
      <c r="K16" s="101">
        <f>VLOOKUP(A16,'BSE ALL CAP'!$B$4:$Y$1038,10,)</f>
        <v>87</v>
      </c>
      <c r="L16" s="101">
        <f>VLOOKUP(A16,'BSE ALL CAP'!$B$4:$Y$1038,11,)</f>
        <v>1222</v>
      </c>
      <c r="M16" s="101">
        <f>VLOOKUP(A16,'BSE ALL CAP'!$B$4:$Y$1038,12,)</f>
        <v>1085</v>
      </c>
      <c r="N16" s="101">
        <f>VLOOKUP(A16,'BSE ALL CAP'!$B$4:$Y$1038,13,)</f>
        <v>73</v>
      </c>
      <c r="O16" s="101">
        <f>VLOOKUP(A16,'BSE ALL CAP'!$B$4:$Y$1038,14,)</f>
        <v>37</v>
      </c>
      <c r="P16" s="95">
        <f>VLOOKUP(A16,'BSE ALL CAP'!$B$4:$Y$1038,15,)</f>
        <v>5.895276455510802E-2</v>
      </c>
      <c r="Q16" s="95">
        <f>VLOOKUP(A16,'BSE ALL CAP'!$B$4:$Y$1038,16,)</f>
        <v>3.3538936006168078E-2</v>
      </c>
      <c r="R16" s="95">
        <f>VLOOKUP(A16,'BSE ALL CAP'!$B$4:$Y$1038,17,)</f>
        <v>2.5413828548939942E-2</v>
      </c>
      <c r="S16" s="95">
        <f>VLOOKUP(A16,'BSE ALL CAP'!$B$4:$Y$1038,18,)</f>
        <v>5.9738134206219311E-2</v>
      </c>
      <c r="T16" s="95">
        <f>VLOOKUP(A16,'BSE ALL CAP'!$B$4:$Y$1038,19,)</f>
        <v>3.4101382488479264E-2</v>
      </c>
      <c r="U16" s="95">
        <f>VLOOKUP(A16,'BSE ALL CAP'!$B$4:$Y$1038,20,)</f>
        <v>2.5636751717740047E-2</v>
      </c>
      <c r="V16" s="95">
        <f>VLOOKUP(A16,'BSE ALL CAP'!$B$4:$Y$1038,21,)</f>
        <v>5.2814186584425604E-2</v>
      </c>
      <c r="W16" s="95">
        <f>VLOOKUP(A16,'BSE ALL CAP'!$B$4:$Y$1038,22,)</f>
        <v>0.85057471264367823</v>
      </c>
      <c r="X16" s="95">
        <f>VLOOKUP(A16,'BSE ALL CAP'!$B$4:$Y$1038,23,)</f>
        <v>0.12626728110599084</v>
      </c>
      <c r="Y16" s="95">
        <f>VLOOKUP(A16,'BSE ALL CAP'!$B$4:$Y$1038,24,)</f>
        <v>0.97297297297297303</v>
      </c>
    </row>
    <row r="17" spans="1:25" ht="15.75" customHeight="1">
      <c r="A17" s="99">
        <v>544512</v>
      </c>
      <c r="B17" s="98" t="s">
        <v>4350</v>
      </c>
      <c r="C17" s="101"/>
      <c r="D17" s="101"/>
      <c r="E17" s="101">
        <f ca="1">IFERROR(__xludf.DUMMYFUNCTION("GOOGLEFINANCE(""BOM:""&amp;A17,""PRICE"")"),181.05)</f>
        <v>181.05</v>
      </c>
      <c r="F17" s="112">
        <f ca="1">IFERROR(__xludf.DUMMYFUNCTION("GOOGLEFINANCE(""BOM:""&amp;A17,""MARKETCAP"")/10000000"),1745.419924)</f>
        <v>1745.419924</v>
      </c>
      <c r="G17" s="95">
        <f t="shared" ca="1" si="0"/>
        <v>3.4684477754467142E-3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543953</v>
      </c>
      <c r="B18" s="98" t="s">
        <v>4351</v>
      </c>
      <c r="C18" s="101"/>
      <c r="D18" s="101"/>
      <c r="E18" s="101">
        <f ca="1">IFERROR(__xludf.DUMMYFUNCTION("GOOGLEFINANCE(""BOM:""&amp;A18,""PRICE"")"),639.6)</f>
        <v>639.6</v>
      </c>
      <c r="F18" s="112">
        <f ca="1">IFERROR(__xludf.DUMMYFUNCTION("GOOGLEFINANCE(""BOM:""&amp;A18,""MARKETCAP"")/10000000"),1582.8110239)</f>
        <v>1582.8110239</v>
      </c>
      <c r="G18" s="95">
        <f t="shared" ca="1" si="0"/>
        <v>3.1453160923116006E-3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544459</v>
      </c>
      <c r="B19" s="98" t="s">
        <v>4352</v>
      </c>
      <c r="C19" s="101"/>
      <c r="D19" s="101"/>
      <c r="E19" s="101">
        <f ca="1">IFERROR(__xludf.DUMMYFUNCTION("GOOGLEFINANCE(""BOM:""&amp;A19,""PRICE"")"),173.6)</f>
        <v>173.6</v>
      </c>
      <c r="F19" s="112">
        <f ca="1">IFERROR(__xludf.DUMMYFUNCTION("GOOGLEFINANCE(""BOM:""&amp;A19,""MARKETCAP"")/10000000"),1252.3794906)</f>
        <v>1252.3794906000001</v>
      </c>
      <c r="G19" s="95">
        <f t="shared" ca="1" si="0"/>
        <v>2.4886921470633214E-3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544053</v>
      </c>
      <c r="B20" s="98" t="s">
        <v>4353</v>
      </c>
      <c r="C20" s="101"/>
      <c r="D20" s="101"/>
      <c r="E20" s="101">
        <f ca="1">IFERROR(__xludf.DUMMYFUNCTION("GOOGLEFINANCE(""BOM:""&amp;A20,""PRICE"")"),12.79)</f>
        <v>12.79</v>
      </c>
      <c r="F20" s="112">
        <f ca="1">IFERROR(__xludf.DUMMYFUNCTION("GOOGLEFINANCE(""BOM:""&amp;A20,""MARKETCAP"")/10000000"),1278.2445069)</f>
        <v>1278.2445069</v>
      </c>
      <c r="G20" s="95">
        <f t="shared" ca="1" si="0"/>
        <v>2.5400903561785442E-3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532923</v>
      </c>
      <c r="B21" s="98" t="s">
        <v>4354</v>
      </c>
      <c r="C21" s="101"/>
      <c r="D21" s="101"/>
      <c r="E21" s="101">
        <f ca="1">IFERROR(__xludf.DUMMYFUNCTION("GOOGLEFINANCE(""BOM:""&amp;A21,""PRICE"")"),102.68)</f>
        <v>102.68</v>
      </c>
      <c r="F21" s="112">
        <f ca="1">IFERROR(__xludf.DUMMYFUNCTION("GOOGLEFINANCE(""BOM:""&amp;A21,""MARKETCAP"")/10000000"),1101.3732842)</f>
        <v>1101.3732841999999</v>
      </c>
      <c r="G21" s="95">
        <f t="shared" ca="1" si="0"/>
        <v>2.1886169998366145E-3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531847</v>
      </c>
      <c r="B22" s="98" t="s">
        <v>4355</v>
      </c>
      <c r="C22" s="101"/>
      <c r="D22" s="101"/>
      <c r="E22" s="101">
        <f ca="1">IFERROR(__xludf.DUMMYFUNCTION("GOOGLEFINANCE(""BOM:""&amp;A22,""PRICE"")"),588)</f>
        <v>588</v>
      </c>
      <c r="F22" s="112">
        <f ca="1">IFERROR(__xludf.DUMMYFUNCTION("GOOGLEFINANCE(""BOM:""&amp;A22,""MARKETCAP"")/10000000"),941.199252)</f>
        <v>941.199252</v>
      </c>
      <c r="G22" s="95">
        <f t="shared" ca="1" si="0"/>
        <v>1.8703238154691257E-3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543709</v>
      </c>
      <c r="B23" s="98" t="s">
        <v>4356</v>
      </c>
      <c r="C23" s="101"/>
      <c r="D23" s="101"/>
      <c r="E23" s="101">
        <f ca="1">IFERROR(__xludf.DUMMYFUNCTION("GOOGLEFINANCE(""BOM:""&amp;A23,""PRICE"")"),839.5)</f>
        <v>839.5</v>
      </c>
      <c r="F23" s="112">
        <f ca="1">IFERROR(__xludf.DUMMYFUNCTION("GOOGLEFINANCE(""BOM:""&amp;A23,""MARKETCAP"")/10000000"),879.5052)</f>
        <v>879.50519999999995</v>
      </c>
      <c r="G23" s="95">
        <f t="shared" ca="1" si="0"/>
        <v>1.7477271873022444E-3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534369</v>
      </c>
      <c r="B24" s="98" t="s">
        <v>4357</v>
      </c>
      <c r="C24" s="101"/>
      <c r="D24" s="101"/>
      <c r="E24" s="101">
        <f ca="1">IFERROR(__xludf.DUMMYFUNCTION("GOOGLEFINANCE(""BOM:""&amp;A24,""PRICE"")"),133)</f>
        <v>133</v>
      </c>
      <c r="F24" s="112">
        <f ca="1">IFERROR(__xludf.DUMMYFUNCTION("GOOGLEFINANCE(""BOM:""&amp;A24,""MARKETCAP"")/10000000"),887.517246)</f>
        <v>887.517246</v>
      </c>
      <c r="G24" s="95">
        <f t="shared" ca="1" si="0"/>
        <v>1.7636484923952858E-3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543995</v>
      </c>
      <c r="B25" s="98" t="s">
        <v>4358</v>
      </c>
      <c r="C25" s="101"/>
      <c r="D25" s="101"/>
      <c r="E25" s="101">
        <f ca="1">IFERROR(__xludf.DUMMYFUNCTION("GOOGLEFINANCE(""BOM:""&amp;A25,""PRICE"")"),152.5)</f>
        <v>152.5</v>
      </c>
      <c r="F25" s="112">
        <f ca="1">IFERROR(__xludf.DUMMYFUNCTION("GOOGLEFINANCE(""BOM:""&amp;A25,""MARKETCAP"")/10000000"),745.8515732)</f>
        <v>745.85157319999996</v>
      </c>
      <c r="G25" s="95">
        <f t="shared" ca="1" si="0"/>
        <v>1.4821345822330443E-3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540125</v>
      </c>
      <c r="B26" s="98" t="s">
        <v>4359</v>
      </c>
      <c r="C26" s="101"/>
      <c r="D26" s="101"/>
      <c r="E26" s="101">
        <f ca="1">IFERROR(__xludf.DUMMYFUNCTION("GOOGLEFINANCE(""BOM:""&amp;A26,""PRICE"")"),57.96)</f>
        <v>57.96</v>
      </c>
      <c r="F26" s="112">
        <f ca="1">IFERROR(__xludf.DUMMYFUNCTION("GOOGLEFINANCE(""BOM:""&amp;A26,""MARKETCAP"")/10000000"),684.6360054)</f>
        <v>684.63600540000004</v>
      </c>
      <c r="G26" s="95">
        <f t="shared" ca="1" si="0"/>
        <v>1.3604887839703352E-3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512595</v>
      </c>
      <c r="B27" s="98" t="s">
        <v>4360</v>
      </c>
      <c r="C27" s="101"/>
      <c r="D27" s="101"/>
      <c r="E27" s="101">
        <f ca="1">IFERROR(__xludf.DUMMYFUNCTION("GOOGLEFINANCE(""BOM:""&amp;A27,""PRICE"")"),94)</f>
        <v>94</v>
      </c>
      <c r="F27" s="112">
        <f ca="1">IFERROR(__xludf.DUMMYFUNCTION("GOOGLEFINANCE(""BOM:""&amp;A27,""MARKETCAP"")/10000000"),545.298606)</f>
        <v>545.29860599999995</v>
      </c>
      <c r="G27" s="95">
        <f t="shared" ca="1" si="0"/>
        <v>1.0836015510814658E-3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544060</v>
      </c>
      <c r="B28" s="98" t="s">
        <v>4361</v>
      </c>
      <c r="C28" s="101"/>
      <c r="D28" s="101"/>
      <c r="E28" s="101">
        <f ca="1">IFERROR(__xludf.DUMMYFUNCTION("GOOGLEFINANCE(""BOM:""&amp;A28,""PRICE"")"),127.3)</f>
        <v>127.3</v>
      </c>
      <c r="F28" s="112">
        <f ca="1">IFERROR(__xludf.DUMMYFUNCTION("GOOGLEFINANCE(""BOM:""&amp;A28,""MARKETCAP"")/10000000"),512.3200073)</f>
        <v>512.32000730000004</v>
      </c>
      <c r="G28" s="95">
        <f t="shared" ca="1" si="0"/>
        <v>1.0180674376423181E-3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539518</v>
      </c>
      <c r="B29" s="98" t="s">
        <v>4362</v>
      </c>
      <c r="C29" s="101"/>
      <c r="D29" s="101"/>
      <c r="E29" s="101">
        <f ca="1">IFERROR(__xludf.DUMMYFUNCTION("GOOGLEFINANCE(""BOM:""&amp;A29,""PRICE"")"),132.4)</f>
        <v>132.4</v>
      </c>
      <c r="F29" s="112">
        <f ca="1">IFERROR(__xludf.DUMMYFUNCTION("GOOGLEFINANCE(""BOM:""&amp;A29,""MARKETCAP"")/10000000"),315.4019414)</f>
        <v>315.4019414</v>
      </c>
      <c r="G29" s="95">
        <f t="shared" ca="1" si="0"/>
        <v>6.2675757677463351E-4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523676</v>
      </c>
      <c r="B30" s="98" t="s">
        <v>4363</v>
      </c>
      <c r="C30" s="101"/>
      <c r="D30" s="101"/>
      <c r="E30" s="101">
        <f ca="1">IFERROR(__xludf.DUMMYFUNCTION("GOOGLEFINANCE(""BOM:""&amp;A30,""PRICE"")"),261.65)</f>
        <v>261.64999999999998</v>
      </c>
      <c r="F30" s="112">
        <f ca="1">IFERROR(__xludf.DUMMYFUNCTION("GOOGLEFINANCE(""BOM:""&amp;A30,""MARKETCAP"")/10000000"),182.2151227)</f>
        <v>182.21512269999999</v>
      </c>
      <c r="G30" s="95">
        <f t="shared" ca="1" si="0"/>
        <v>3.6209259920282945E-4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523373</v>
      </c>
      <c r="B31" s="98" t="s">
        <v>4364</v>
      </c>
      <c r="C31" s="101"/>
      <c r="D31" s="101"/>
      <c r="E31" s="101">
        <f ca="1">IFERROR(__xludf.DUMMYFUNCTION("GOOGLEFINANCE(""BOM:""&amp;A31,""PRICE"")"),16)</f>
        <v>16</v>
      </c>
      <c r="F31" s="112">
        <f ca="1">IFERROR(__xludf.DUMMYFUNCTION("GOOGLEFINANCE(""BOM:""&amp;A31,""MARKETCAP"")/10000000"),188.5528)</f>
        <v>188.55279999999999</v>
      </c>
      <c r="G31" s="95">
        <f t="shared" ca="1" si="0"/>
        <v>3.7468664744900044E-4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521167</v>
      </c>
      <c r="B32" s="98" t="s">
        <v>4365</v>
      </c>
      <c r="C32" s="101"/>
      <c r="D32" s="101"/>
      <c r="E32" s="101">
        <f ca="1">IFERROR(__xludf.DUMMYFUNCTION("GOOGLEFINANCE(""BOM:""&amp;A32,""PRICE"")"),40.26)</f>
        <v>40.26</v>
      </c>
      <c r="F32" s="112">
        <f ca="1">IFERROR(__xludf.DUMMYFUNCTION("GOOGLEFINANCE(""BOM:""&amp;A32,""MARKETCAP"")/10000000"),169.2472)</f>
        <v>169.24719999999999</v>
      </c>
      <c r="G32" s="95">
        <f t="shared" ca="1" si="0"/>
        <v>3.3632311988011037E-4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526827</v>
      </c>
      <c r="B33" s="98" t="s">
        <v>4366</v>
      </c>
      <c r="C33" s="101"/>
      <c r="D33" s="101"/>
      <c r="E33" s="101">
        <f ca="1">IFERROR(__xludf.DUMMYFUNCTION("GOOGLEFINANCE(""BOM:""&amp;A33,""PRICE"")"),294.3)</f>
        <v>294.3</v>
      </c>
      <c r="F33" s="112">
        <f ca="1">IFERROR(__xludf.DUMMYFUNCTION("GOOGLEFINANCE(""BOM:""&amp;A33,""MARKETCAP"")/10000000"),177.6809)</f>
        <v>177.68090000000001</v>
      </c>
      <c r="G33" s="95">
        <f t="shared" ca="1" si="0"/>
        <v>3.5308232355457523E-4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509009</v>
      </c>
      <c r="B34" s="98" t="s">
        <v>4367</v>
      </c>
      <c r="C34" s="101"/>
      <c r="D34" s="101"/>
      <c r="E34" s="101">
        <f ca="1">IFERROR(__xludf.DUMMYFUNCTION("GOOGLEFINANCE(""BOM:""&amp;A34,""PRICE"")"),102.89)</f>
        <v>102.89</v>
      </c>
      <c r="F34" s="112">
        <f ca="1">IFERROR(__xludf.DUMMYFUNCTION("GOOGLEFINANCE(""BOM:""&amp;A34,""MARKETCAP"")/10000000"),136.2355)</f>
        <v>136.2355</v>
      </c>
      <c r="G34" s="95">
        <f t="shared" ca="1" si="0"/>
        <v>2.7072322849906397E-4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540252</v>
      </c>
      <c r="B35" s="98" t="s">
        <v>4368</v>
      </c>
      <c r="C35" s="101"/>
      <c r="D35" s="101"/>
      <c r="E35" s="101">
        <f ca="1">IFERROR(__xludf.DUMMYFUNCTION("GOOGLEFINANCE(""BOM:""&amp;A35,""PRICE"")"),11.84)</f>
        <v>11.84</v>
      </c>
      <c r="F35" s="112">
        <f ca="1">IFERROR(__xludf.DUMMYFUNCTION("GOOGLEFINANCE(""BOM:""&amp;A35,""MARKETCAP"")/10000000"),131.842)</f>
        <v>131.84200000000001</v>
      </c>
      <c r="G35" s="95">
        <f t="shared" ca="1" si="0"/>
        <v>2.6199259291281342E-4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542579</v>
      </c>
      <c r="B36" s="98" t="s">
        <v>4369</v>
      </c>
      <c r="C36" s="101"/>
      <c r="D36" s="101"/>
      <c r="E36" s="101">
        <f ca="1">IFERROR(__xludf.DUMMYFUNCTION("GOOGLEFINANCE(""BOM:""&amp;A36,""PRICE"")"),4.04)</f>
        <v>4.04</v>
      </c>
      <c r="F36" s="112">
        <f ca="1">IFERROR(__xludf.DUMMYFUNCTION("GOOGLEFINANCE(""BOM:""&amp;A36,""MARKETCAP"")/10000000"),134.6590567)</f>
        <v>134.65905670000001</v>
      </c>
      <c r="G36" s="95">
        <f t="shared" ca="1" si="0"/>
        <v>2.6759056616272933E-4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539401</v>
      </c>
      <c r="B37" s="98" t="s">
        <v>4370</v>
      </c>
      <c r="C37" s="101"/>
      <c r="D37" s="101"/>
      <c r="E37" s="101">
        <f ca="1">IFERROR(__xludf.DUMMYFUNCTION("GOOGLEFINANCE(""BOM:""&amp;A37,""PRICE"")"),262)</f>
        <v>262</v>
      </c>
      <c r="F37" s="112">
        <f ca="1">IFERROR(__xludf.DUMMYFUNCTION("GOOGLEFINANCE(""BOM:""&amp;A37,""MARKETCAP"")/10000000"),113.1054)</f>
        <v>113.1054</v>
      </c>
      <c r="G37" s="95">
        <f t="shared" ca="1" si="0"/>
        <v>2.2475976561673006E-4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543848</v>
      </c>
      <c r="B38" s="98" t="s">
        <v>4371</v>
      </c>
      <c r="C38" s="101"/>
      <c r="D38" s="101"/>
      <c r="E38" s="101">
        <f ca="1">IFERROR(__xludf.DUMMYFUNCTION("GOOGLEFINANCE(""BOM:""&amp;A38,""PRICE"")"),85.89)</f>
        <v>85.89</v>
      </c>
      <c r="F38" s="112">
        <f ca="1">IFERROR(__xludf.DUMMYFUNCTION("GOOGLEFINANCE(""BOM:""&amp;A38,""MARKETCAP"")/10000000"),101.8924228)</f>
        <v>101.89242280000001</v>
      </c>
      <c r="G38" s="95">
        <f t="shared" ca="1" si="0"/>
        <v>2.0247766301740468E-4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531119</v>
      </c>
      <c r="B39" s="98" t="s">
        <v>4372</v>
      </c>
      <c r="C39" s="101"/>
      <c r="D39" s="101"/>
      <c r="E39" s="101">
        <f ca="1">IFERROR(__xludf.DUMMYFUNCTION("GOOGLEFINANCE(""BOM:""&amp;A39,""PRICE"")"),251.2)</f>
        <v>251.2</v>
      </c>
      <c r="F39" s="112">
        <f ca="1">IFERROR(__xludf.DUMMYFUNCTION("GOOGLEFINANCE(""BOM:""&amp;A39,""MARKETCAP"")/10000000"),100.9823987)</f>
        <v>100.9823987</v>
      </c>
      <c r="G39" s="95">
        <f t="shared" ca="1" si="0"/>
        <v>2.0066928955847542E-4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544391</v>
      </c>
      <c r="B40" s="98" t="s">
        <v>4373</v>
      </c>
      <c r="C40" s="101"/>
      <c r="D40" s="101"/>
      <c r="E40" s="101">
        <f ca="1">IFERROR(__xludf.DUMMYFUNCTION("GOOGLEFINANCE(""BOM:""&amp;A40,""PRICE"")"),47.6)</f>
        <v>47.6</v>
      </c>
      <c r="F40" s="112">
        <f ca="1">IFERROR(__xludf.DUMMYFUNCTION("GOOGLEFINANCE(""BOM:""&amp;A40,""MARKETCAP"")/10000000"),86.4804388)</f>
        <v>86.480438800000002</v>
      </c>
      <c r="G40" s="95">
        <f t="shared" ca="1" si="0"/>
        <v>1.7185141606961267E-4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526849</v>
      </c>
      <c r="B41" s="98" t="s">
        <v>4374</v>
      </c>
      <c r="C41" s="101"/>
      <c r="D41" s="101"/>
      <c r="E41" s="101">
        <f ca="1">IFERROR(__xludf.DUMMYFUNCTION("GOOGLEFINANCE(""BOM:""&amp;A41,""PRICE"")"),108)</f>
        <v>108</v>
      </c>
      <c r="F41" s="112">
        <f ca="1">IFERROR(__xludf.DUMMYFUNCTION("GOOGLEFINANCE(""BOM:""&amp;A41,""MARKETCAP"")/10000000"),71.0075754)</f>
        <v>71.007575399999993</v>
      </c>
      <c r="G41" s="95">
        <f t="shared" ca="1" si="0"/>
        <v>1.4110419134644576E-4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526365</v>
      </c>
      <c r="B42" s="98" t="s">
        <v>4375</v>
      </c>
      <c r="C42" s="101"/>
      <c r="D42" s="101"/>
      <c r="E42" s="101">
        <f ca="1">IFERROR(__xludf.DUMMYFUNCTION("GOOGLEFINANCE(""BOM:""&amp;A42,""PRICE"")"),32.09)</f>
        <v>32.090000000000003</v>
      </c>
      <c r="F42" s="112">
        <f ca="1">IFERROR(__xludf.DUMMYFUNCTION("GOOGLEFINANCE(""BOM:""&amp;A42,""MARKETCAP"")/10000000"),66.9936194)</f>
        <v>66.9936194</v>
      </c>
      <c r="G42" s="95">
        <f t="shared" ca="1" si="0"/>
        <v>1.3312777457274736E-4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4.4">
      <c r="A43" s="99">
        <v>539220</v>
      </c>
      <c r="B43" s="98" t="s">
        <v>4376</v>
      </c>
      <c r="C43" s="101"/>
      <c r="D43" s="101"/>
      <c r="E43" s="101">
        <f ca="1">IFERROR(__xludf.DUMMYFUNCTION("GOOGLEFINANCE(""BOM:""&amp;A43,""PRICE"")"),39.5)</f>
        <v>39.5</v>
      </c>
      <c r="F43" s="112">
        <f ca="1">IFERROR(__xludf.DUMMYFUNCTION("GOOGLEFINANCE(""BOM:""&amp;A43,""MARKETCAP"")/10000000"),57.0775)</f>
        <v>57.077500000000001</v>
      </c>
      <c r="G43" s="95">
        <f t="shared" ca="1" si="0"/>
        <v>1.134227501250065E-4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4.4">
      <c r="A44" s="99">
        <v>540545</v>
      </c>
      <c r="B44" s="98" t="s">
        <v>4377</v>
      </c>
      <c r="C44" s="101"/>
      <c r="D44" s="101"/>
      <c r="E44" s="101">
        <f ca="1">IFERROR(__xludf.DUMMYFUNCTION("GOOGLEFINANCE(""BOM:""&amp;A44,""PRICE"")"),38.01)</f>
        <v>38.01</v>
      </c>
      <c r="F44" s="112">
        <f ca="1">IFERROR(__xludf.DUMMYFUNCTION("GOOGLEFINANCE(""BOM:""&amp;A44,""MARKETCAP"")/10000000"),57.12009)</f>
        <v>57.120089999999998</v>
      </c>
      <c r="G44" s="95">
        <f t="shared" ca="1" si="0"/>
        <v>1.1350738373593591E-4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4.4">
      <c r="A45" s="99">
        <v>512047</v>
      </c>
      <c r="B45" s="98" t="s">
        <v>4378</v>
      </c>
      <c r="C45" s="101"/>
      <c r="D45" s="101"/>
      <c r="E45" s="101">
        <f ca="1">IFERROR(__xludf.DUMMYFUNCTION("GOOGLEFINANCE(""BOM:""&amp;A45,""PRICE"")"),4.91)</f>
        <v>4.91</v>
      </c>
      <c r="F45" s="112">
        <f ca="1">IFERROR(__xludf.DUMMYFUNCTION("GOOGLEFINANCE(""BOM:""&amp;A45,""MARKETCAP"")/10000000"),57.9232681)</f>
        <v>57.923268100000001</v>
      </c>
      <c r="G45" s="95">
        <f t="shared" ca="1" si="0"/>
        <v>1.1510343592711769E-4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544425</v>
      </c>
      <c r="B46" s="98" t="s">
        <v>4379</v>
      </c>
      <c r="C46" s="101"/>
      <c r="D46" s="101"/>
      <c r="E46" s="101">
        <f ca="1">IFERROR(__xludf.DUMMYFUNCTION("GOOGLEFINANCE(""BOM:""&amp;A46,""PRICE"")"),88.2)</f>
        <v>88.2</v>
      </c>
      <c r="F46" s="112">
        <f ca="1">IFERROR(__xludf.DUMMYFUNCTION("GOOGLEFINANCE(""BOM:""&amp;A46,""MARKETCAP"")/10000000"),53.5229245)</f>
        <v>53.522924500000002</v>
      </c>
      <c r="G46" s="95">
        <f t="shared" ca="1" si="0"/>
        <v>1.0635920093772657E-4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4.4">
      <c r="A47" s="99">
        <v>544635</v>
      </c>
      <c r="B47" s="98" t="s">
        <v>4380</v>
      </c>
      <c r="C47" s="101"/>
      <c r="D47" s="101"/>
      <c r="E47" s="101">
        <f ca="1">IFERROR(__xludf.DUMMYFUNCTION("GOOGLEFINANCE(""BOM:""&amp;A47,""PRICE"")"),62.1)</f>
        <v>62.1</v>
      </c>
      <c r="F47" s="112">
        <f ca="1">IFERROR(__xludf.DUMMYFUNCTION("GOOGLEFINANCE(""BOM:""&amp;A47,""MARKETCAP"")/10000000"),51.2624868)</f>
        <v>51.262486799999998</v>
      </c>
      <c r="G47" s="95">
        <f t="shared" ca="1" si="0"/>
        <v>1.0186732479703637E-4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4.4">
      <c r="A48" s="99">
        <v>544400</v>
      </c>
      <c r="B48" s="98" t="s">
        <v>4381</v>
      </c>
      <c r="C48" s="101"/>
      <c r="D48" s="101"/>
      <c r="E48" s="101">
        <f ca="1">IFERROR(__xludf.DUMMYFUNCTION("GOOGLEFINANCE(""BOM:""&amp;A48,""PRICE"")"),44.85)</f>
        <v>44.85</v>
      </c>
      <c r="F48" s="112">
        <f ca="1">IFERROR(__xludf.DUMMYFUNCTION("GOOGLEFINANCE(""BOM:""&amp;A48,""MARKETCAP"")/10000000"),40.30054)</f>
        <v>40.300539999999998</v>
      </c>
      <c r="G48" s="95">
        <f t="shared" ca="1" si="0"/>
        <v>8.008406251715351E-5</v>
      </c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ht="14.4">
      <c r="A49" s="99">
        <v>530525</v>
      </c>
      <c r="B49" s="98" t="s">
        <v>4382</v>
      </c>
      <c r="C49" s="101"/>
      <c r="D49" s="101"/>
      <c r="E49" s="101">
        <f ca="1">IFERROR(__xludf.DUMMYFUNCTION("GOOGLEFINANCE(""BOM:""&amp;A49,""PRICE"")"),2.75)</f>
        <v>2.75</v>
      </c>
      <c r="F49" s="112">
        <f ca="1">IFERROR(__xludf.DUMMYFUNCTION("GOOGLEFINANCE(""BOM:""&amp;A49,""MARKETCAP"")/10000000"),43.10625)</f>
        <v>43.106250000000003</v>
      </c>
      <c r="G49" s="95">
        <f t="shared" ca="1" si="0"/>
        <v>8.5659487934406056E-5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4.4">
      <c r="A50" s="99">
        <v>541338</v>
      </c>
      <c r="B50" s="98" t="s">
        <v>4383</v>
      </c>
      <c r="C50" s="101"/>
      <c r="D50" s="101"/>
      <c r="E50" s="101">
        <f ca="1">IFERROR(__xludf.DUMMYFUNCTION("GOOGLEFINANCE(""BOM:""&amp;A50,""PRICE"")"),13.65)</f>
        <v>13.65</v>
      </c>
      <c r="F50" s="112">
        <f ca="1">IFERROR(__xludf.DUMMYFUNCTION("GOOGLEFINANCE(""BOM:""&amp;A50,""MARKETCAP"")/10000000"),41.7444151)</f>
        <v>41.744415099999998</v>
      </c>
      <c r="G50" s="95">
        <f t="shared" ca="1" si="0"/>
        <v>8.2953289177028559E-5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4.4">
      <c r="A51" s="99">
        <v>512587</v>
      </c>
      <c r="B51" s="98" t="s">
        <v>4384</v>
      </c>
      <c r="C51" s="101"/>
      <c r="D51" s="101"/>
      <c r="E51" s="101">
        <f ca="1">IFERROR(__xludf.DUMMYFUNCTION("GOOGLEFINANCE(""BOM:""&amp;A51,""PRICE"")"),32.75)</f>
        <v>32.75</v>
      </c>
      <c r="F51" s="112">
        <f ca="1">IFERROR(__xludf.DUMMYFUNCTION("GOOGLEFINANCE(""BOM:""&amp;A51,""MARKETCAP"")/10000000"),35.9451555)</f>
        <v>35.945155499999998</v>
      </c>
      <c r="G51" s="95">
        <f t="shared" ca="1" si="0"/>
        <v>7.1429168945398846E-5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4.4">
      <c r="A52" s="99">
        <v>543518</v>
      </c>
      <c r="B52" s="98" t="s">
        <v>4385</v>
      </c>
      <c r="C52" s="101"/>
      <c r="D52" s="101"/>
      <c r="E52" s="101">
        <f ca="1">IFERROR(__xludf.DUMMYFUNCTION("GOOGLEFINANCE(""BOM:""&amp;A52,""PRICE"")"),26)</f>
        <v>26</v>
      </c>
      <c r="F52" s="112">
        <f ca="1">IFERROR(__xludf.DUMMYFUNCTION("GOOGLEFINANCE(""BOM:""&amp;A52,""MARKETCAP"")/10000000"),26.518024)</f>
        <v>26.518024</v>
      </c>
      <c r="G52" s="95">
        <f t="shared" ca="1" si="0"/>
        <v>5.2695847049378924E-5</v>
      </c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ht="14.4">
      <c r="A53" s="99">
        <v>539559</v>
      </c>
      <c r="B53" s="98" t="s">
        <v>4386</v>
      </c>
      <c r="C53" s="101"/>
      <c r="D53" s="101"/>
      <c r="E53" s="101">
        <f ca="1">IFERROR(__xludf.DUMMYFUNCTION("GOOGLEFINANCE(""BOM:""&amp;A53,""PRICE"")"),1.8)</f>
        <v>1.8</v>
      </c>
      <c r="F53" s="112">
        <f ca="1">IFERROR(__xludf.DUMMYFUNCTION("GOOGLEFINANCE(""BOM:""&amp;A53,""MARKETCAP"")/10000000"),24.7938)</f>
        <v>24.793800000000001</v>
      </c>
      <c r="G53" s="95">
        <f t="shared" ca="1" si="0"/>
        <v>4.9269519198447485E-5</v>
      </c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ht="14.4">
      <c r="A54" s="99">
        <v>523387</v>
      </c>
      <c r="B54" s="98" t="s">
        <v>4387</v>
      </c>
      <c r="C54" s="101"/>
      <c r="D54" s="101"/>
      <c r="E54" s="101">
        <f ca="1">IFERROR(__xludf.DUMMYFUNCTION("GOOGLEFINANCE(""BOM:""&amp;A54,""PRICE"")"),1.34)</f>
        <v>1.34</v>
      </c>
      <c r="F54" s="112">
        <f ca="1">IFERROR(__xludf.DUMMYFUNCTION("GOOGLEFINANCE(""BOM:""&amp;A54,""MARKETCAP"")/10000000"),26.785207)</f>
        <v>26.785207</v>
      </c>
      <c r="G54" s="95">
        <f t="shared" ca="1" si="0"/>
        <v>5.3226785346372476E-5</v>
      </c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ht="14.4">
      <c r="A55" s="99">
        <v>539884</v>
      </c>
      <c r="B55" s="98" t="s">
        <v>4388</v>
      </c>
      <c r="C55" s="101"/>
      <c r="D55" s="101"/>
      <c r="E55" s="101">
        <f ca="1">IFERROR(__xludf.DUMMYFUNCTION("GOOGLEFINANCE(""BOM:""&amp;A55,""PRICE"")"),2.58)</f>
        <v>2.58</v>
      </c>
      <c r="F55" s="112">
        <f ca="1">IFERROR(__xludf.DUMMYFUNCTION("GOOGLEFINANCE(""BOM:""&amp;A55,""MARKETCAP"")/10000000"),25.815118)</f>
        <v>25.815117999999998</v>
      </c>
      <c r="G55" s="95">
        <f t="shared" ca="1" si="0"/>
        <v>5.1299052662810342E-5</v>
      </c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ht="14.4">
      <c r="A56" s="99">
        <v>506184</v>
      </c>
      <c r="B56" s="98" t="s">
        <v>4389</v>
      </c>
      <c r="C56" s="101"/>
      <c r="D56" s="101"/>
      <c r="E56" s="101">
        <f ca="1">IFERROR(__xludf.DUMMYFUNCTION("GOOGLEFINANCE(""BOM:""&amp;A56,""PRICE"")"),1.38)</f>
        <v>1.38</v>
      </c>
      <c r="F56" s="112">
        <f ca="1">IFERROR(__xludf.DUMMYFUNCTION("GOOGLEFINANCE(""BOM:""&amp;A56,""MARKETCAP"")/10000000"),27.107916)</f>
        <v>27.107915999999999</v>
      </c>
      <c r="G56" s="95">
        <f t="shared" ca="1" si="0"/>
        <v>5.3868063297755953E-5</v>
      </c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ht="14.4">
      <c r="A57" s="99">
        <v>540953</v>
      </c>
      <c r="B57" s="98" t="s">
        <v>4390</v>
      </c>
      <c r="C57" s="101"/>
      <c r="D57" s="101"/>
      <c r="E57" s="101">
        <f ca="1">IFERROR(__xludf.DUMMYFUNCTION("GOOGLEFINANCE(""BOM:""&amp;A57,""PRICE"")"),1.99)</f>
        <v>1.99</v>
      </c>
      <c r="F57" s="112">
        <f ca="1">IFERROR(__xludf.DUMMYFUNCTION("GOOGLEFINANCE(""BOM:""&amp;A57,""MARKETCAP"")/10000000"),25.14964)</f>
        <v>25.149640000000002</v>
      </c>
      <c r="G57" s="95">
        <f t="shared" ca="1" si="0"/>
        <v>4.9976634110706818E-5</v>
      </c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ht="14.4">
      <c r="A58" s="99">
        <v>542728</v>
      </c>
      <c r="B58" s="98" t="s">
        <v>4391</v>
      </c>
      <c r="C58" s="101"/>
      <c r="D58" s="101"/>
      <c r="E58" s="101">
        <f ca="1">IFERROR(__xludf.DUMMYFUNCTION("GOOGLEFINANCE(""BOM:""&amp;A58,""PRICE"")"),32.38)</f>
        <v>32.380000000000003</v>
      </c>
      <c r="F58" s="112">
        <f ca="1">IFERROR(__xludf.DUMMYFUNCTION("GOOGLEFINANCE(""BOM:""&amp;A58,""MARKETCAP"")/10000000"),23.74087)</f>
        <v>23.740870000000001</v>
      </c>
      <c r="G58" s="95">
        <f t="shared" ca="1" si="0"/>
        <v>4.7177167285887839E-5</v>
      </c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ht="14.4">
      <c r="A59" s="99">
        <v>543970</v>
      </c>
      <c r="B59" s="98" t="s">
        <v>4392</v>
      </c>
      <c r="C59" s="101"/>
      <c r="D59" s="101"/>
      <c r="E59" s="101">
        <f ca="1">IFERROR(__xludf.DUMMYFUNCTION("GOOGLEFINANCE(""BOM:""&amp;A59,""PRICE"")"),51.45)</f>
        <v>51.45</v>
      </c>
      <c r="F59" s="112">
        <f ca="1">IFERROR(__xludf.DUMMYFUNCTION("GOOGLEFINANCE(""BOM:""&amp;A59,""MARKETCAP"")/10000000"),23.78874)</f>
        <v>23.788740000000001</v>
      </c>
      <c r="G59" s="95">
        <f t="shared" ca="1" si="0"/>
        <v>4.7272293159454202E-5</v>
      </c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ht="14.4">
      <c r="A60" s="99">
        <v>531613</v>
      </c>
      <c r="B60" s="98" t="s">
        <v>4393</v>
      </c>
      <c r="C60" s="101"/>
      <c r="D60" s="101"/>
      <c r="E60" s="101">
        <f ca="1">IFERROR(__xludf.DUMMYFUNCTION("GOOGLEFINANCE(""BOM:""&amp;A60,""PRICE"")"),2.7)</f>
        <v>2.7</v>
      </c>
      <c r="F60" s="112">
        <f ca="1">IFERROR(__xludf.DUMMYFUNCTION("GOOGLEFINANCE(""BOM:""&amp;A60,""MARKETCAP"")/10000000"),21.734409)</f>
        <v>21.734408999999999</v>
      </c>
      <c r="G60" s="95">
        <f t="shared" ca="1" si="0"/>
        <v>4.3189986266421833E-5</v>
      </c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ht="14.4">
      <c r="A61" s="99">
        <v>530675</v>
      </c>
      <c r="B61" s="98" t="s">
        <v>4394</v>
      </c>
      <c r="C61" s="101"/>
      <c r="D61" s="101"/>
      <c r="E61" s="101">
        <f ca="1">IFERROR(__xludf.DUMMYFUNCTION("GOOGLEFINANCE(""BOM:""&amp;A61,""PRICE"")"),63.23)</f>
        <v>63.23</v>
      </c>
      <c r="F61" s="112">
        <f ca="1">IFERROR(__xludf.DUMMYFUNCTION("GOOGLEFINANCE(""BOM:""&amp;A61,""MARKETCAP"")/10000000"),21.2629779)</f>
        <v>21.262977899999999</v>
      </c>
      <c r="G61" s="95">
        <f t="shared" ca="1" si="0"/>
        <v>4.2253172077705495E-5</v>
      </c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</row>
    <row r="62" spans="1:25" ht="14.4">
      <c r="A62" s="99">
        <v>544139</v>
      </c>
      <c r="B62" s="98" t="s">
        <v>4395</v>
      </c>
      <c r="C62" s="101"/>
      <c r="D62" s="101"/>
      <c r="E62" s="101">
        <f ca="1">IFERROR(__xludf.DUMMYFUNCTION("GOOGLEFINANCE(""BOM:""&amp;A62,""PRICE"")"),39.4)</f>
        <v>39.4</v>
      </c>
      <c r="F62" s="112">
        <f ca="1">IFERROR(__xludf.DUMMYFUNCTION("GOOGLEFINANCE(""BOM:""&amp;A62,""MARKETCAP"")/10000000"),21.2228108)</f>
        <v>21.222810800000001</v>
      </c>
      <c r="G62" s="95">
        <f t="shared" ca="1" si="0"/>
        <v>4.2173353183280444E-5</v>
      </c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</row>
    <row r="63" spans="1:25" ht="14.4">
      <c r="A63" s="99">
        <v>531626</v>
      </c>
      <c r="B63" s="98" t="s">
        <v>4396</v>
      </c>
      <c r="C63" s="101"/>
      <c r="D63" s="101"/>
      <c r="E63" s="101">
        <f ca="1">IFERROR(__xludf.DUMMYFUNCTION("GOOGLEFINANCE(""BOM:""&amp;A63,""PRICE"")"),4.8)</f>
        <v>4.8</v>
      </c>
      <c r="F63" s="112">
        <f ca="1">IFERROR(__xludf.DUMMYFUNCTION("GOOGLEFINANCE(""BOM:""&amp;A63,""MARKETCAP"")/10000000"),19.8316807)</f>
        <v>19.8316807</v>
      </c>
      <c r="G63" s="95">
        <f t="shared" ca="1" si="0"/>
        <v>3.9408939855372327E-5</v>
      </c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</row>
    <row r="64" spans="1:25" ht="14.4">
      <c r="A64" s="99">
        <v>521210</v>
      </c>
      <c r="B64" s="98" t="s">
        <v>4397</v>
      </c>
      <c r="C64" s="101"/>
      <c r="D64" s="101"/>
      <c r="E64" s="101">
        <f ca="1">IFERROR(__xludf.DUMMYFUNCTION("GOOGLEFINANCE(""BOM:""&amp;A64,""PRICE"")"),13.4)</f>
        <v>13.4</v>
      </c>
      <c r="F64" s="112">
        <f ca="1">IFERROR(__xludf.DUMMYFUNCTION("GOOGLEFINANCE(""BOM:""&amp;A64,""MARKETCAP"")/10000000"),15.67947)</f>
        <v>15.67947</v>
      </c>
      <c r="G64" s="95">
        <f t="shared" ca="1" si="0"/>
        <v>3.1157787357584614E-5</v>
      </c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</row>
    <row r="65" spans="1:25" ht="14.4">
      <c r="A65" s="99">
        <v>542034</v>
      </c>
      <c r="B65" s="98" t="s">
        <v>4398</v>
      </c>
      <c r="C65" s="101"/>
      <c r="D65" s="101"/>
      <c r="E65" s="101">
        <f ca="1">IFERROR(__xludf.DUMMYFUNCTION("GOOGLEFINANCE(""BOM:""&amp;A65,""PRICE"")"),11.02)</f>
        <v>11.02</v>
      </c>
      <c r="F65" s="112">
        <f ca="1">IFERROR(__xludf.DUMMYFUNCTION("GOOGLEFINANCE(""BOM:""&amp;A65,""MARKETCAP"")/10000000"),14.5877366)</f>
        <v>14.587736599999999</v>
      </c>
      <c r="G65" s="95">
        <f t="shared" ca="1" si="0"/>
        <v>2.8988326455629833E-5</v>
      </c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</row>
    <row r="66" spans="1:25" ht="14.4">
      <c r="A66" s="99">
        <v>544168</v>
      </c>
      <c r="B66" s="98" t="s">
        <v>4399</v>
      </c>
      <c r="C66" s="101"/>
      <c r="D66" s="101"/>
      <c r="E66" s="101">
        <f ca="1">IFERROR(__xludf.DUMMYFUNCTION("GOOGLEFINANCE(""BOM:""&amp;A66,""PRICE"")"),29.05)</f>
        <v>29.05</v>
      </c>
      <c r="F66" s="112">
        <f ca="1">IFERROR(__xludf.DUMMYFUNCTION("GOOGLEFINANCE(""BOM:""&amp;A66,""MARKETCAP"")/10000000"),13.9149496)</f>
        <v>13.9149496</v>
      </c>
      <c r="G66" s="95">
        <f t="shared" ca="1" si="0"/>
        <v>2.7651383671023768E-5</v>
      </c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</row>
    <row r="67" spans="1:25" ht="14.4">
      <c r="A67" s="99">
        <v>534532</v>
      </c>
      <c r="B67" s="98" t="s">
        <v>4400</v>
      </c>
      <c r="C67" s="101"/>
      <c r="D67" s="101"/>
      <c r="E67" s="101">
        <f ca="1">IFERROR(__xludf.DUMMYFUNCTION("GOOGLEFINANCE(""BOM:""&amp;A67,""PRICE"")"),4.65)</f>
        <v>4.6500000000000004</v>
      </c>
      <c r="F67" s="112">
        <f ca="1">IFERROR(__xludf.DUMMYFUNCTION("GOOGLEFINANCE(""BOM:""&amp;A67,""MARKETCAP"")/10000000"),14.0343846)</f>
        <v>14.034384599999999</v>
      </c>
      <c r="G67" s="95">
        <f t="shared" ca="1" si="0"/>
        <v>2.788872143391072E-5</v>
      </c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</row>
    <row r="68" spans="1:25" ht="14.4">
      <c r="A68" s="99">
        <v>540148</v>
      </c>
      <c r="B68" s="98" t="s">
        <v>4401</v>
      </c>
      <c r="C68" s="101"/>
      <c r="D68" s="101"/>
      <c r="E68" s="101">
        <f ca="1">IFERROR(__xludf.DUMMYFUNCTION("GOOGLEFINANCE(""BOM:""&amp;A68,""PRICE"")"),26.6)</f>
        <v>26.6</v>
      </c>
      <c r="F68" s="112">
        <f ca="1">IFERROR(__xludf.DUMMYFUNCTION("GOOGLEFINANCE(""BOM:""&amp;A68,""MARKETCAP"")/10000000"),12.23706)</f>
        <v>12.23706</v>
      </c>
      <c r="G68" s="95">
        <f t="shared" ca="1" si="0"/>
        <v>2.431713019394178E-5</v>
      </c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</row>
    <row r="69" spans="1:25" ht="14.4">
      <c r="A69" s="99">
        <v>540936</v>
      </c>
      <c r="B69" s="98" t="s">
        <v>4402</v>
      </c>
      <c r="C69" s="101"/>
      <c r="D69" s="101"/>
      <c r="E69" s="101">
        <f ca="1">IFERROR(__xludf.DUMMYFUNCTION("GOOGLEFINANCE(""BOM:""&amp;A69,""PRICE"")"),3.02)</f>
        <v>3.02</v>
      </c>
      <c r="F69" s="112">
        <f ca="1">IFERROR(__xludf.DUMMYFUNCTION("GOOGLEFINANCE(""BOM:""&amp;A69,""MARKETCAP"")/10000000"),13.9245826)</f>
        <v>13.924582600000001</v>
      </c>
      <c r="G69" s="95">
        <f t="shared" ca="1" si="0"/>
        <v>2.7670526088823327E-5</v>
      </c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</row>
    <row r="70" spans="1:25" ht="14.4">
      <c r="A70" s="99">
        <v>523826</v>
      </c>
      <c r="B70" s="98" t="s">
        <v>4403</v>
      </c>
      <c r="C70" s="101"/>
      <c r="D70" s="101"/>
      <c r="E70" s="101">
        <f ca="1">IFERROR(__xludf.DUMMYFUNCTION("GOOGLEFINANCE(""BOM:""&amp;A70,""PRICE"")"),20.38)</f>
        <v>20.38</v>
      </c>
      <c r="F70" s="112">
        <f ca="1">IFERROR(__xludf.DUMMYFUNCTION("GOOGLEFINANCE(""BOM:""&amp;A70,""MARKETCAP"")/10000000"),11.7959496)</f>
        <v>11.7959496</v>
      </c>
      <c r="G70" s="95">
        <f t="shared" ca="1" si="0"/>
        <v>2.3440568419569364E-5</v>
      </c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</row>
    <row r="71" spans="1:25" ht="14.4">
      <c r="A71" s="99">
        <v>526115</v>
      </c>
      <c r="B71" s="98" t="s">
        <v>4404</v>
      </c>
      <c r="C71" s="101"/>
      <c r="D71" s="101"/>
      <c r="E71" s="101">
        <f ca="1">IFERROR(__xludf.DUMMYFUNCTION("GOOGLEFINANCE(""BOM:""&amp;A71,""PRICE"")"),12.79)</f>
        <v>12.79</v>
      </c>
      <c r="F71" s="112">
        <f ca="1">IFERROR(__xludf.DUMMYFUNCTION("GOOGLEFINANCE(""BOM:""&amp;A71,""MARKETCAP"")/10000000"),10.5325598)</f>
        <v>10.5325598</v>
      </c>
      <c r="G71" s="95">
        <f t="shared" ca="1" si="0"/>
        <v>2.092999690547218E-5</v>
      </c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</row>
    <row r="72" spans="1:25" ht="14.4">
      <c r="A72" s="99">
        <v>531680</v>
      </c>
      <c r="B72" s="98" t="s">
        <v>4405</v>
      </c>
      <c r="C72" s="101"/>
      <c r="D72" s="101"/>
      <c r="E72" s="101">
        <f ca="1">IFERROR(__xludf.DUMMYFUNCTION("GOOGLEFINANCE(""BOM:""&amp;A72,""PRICE"")"),20.5)</f>
        <v>20.5</v>
      </c>
      <c r="F72" s="112">
        <f ca="1">IFERROR(__xludf.DUMMYFUNCTION("GOOGLEFINANCE(""BOM:""&amp;A72,""MARKETCAP"")/10000000"),9.91134)</f>
        <v>9.9113399999999992</v>
      </c>
      <c r="G72" s="95">
        <f t="shared" ca="1" si="0"/>
        <v>1.9695526962883479E-5</v>
      </c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</row>
    <row r="73" spans="1:25" ht="14.4">
      <c r="A73" s="99">
        <v>540269</v>
      </c>
      <c r="B73" s="98" t="s">
        <v>4406</v>
      </c>
      <c r="C73" s="101"/>
      <c r="D73" s="101"/>
      <c r="E73" s="101">
        <f ca="1">IFERROR(__xludf.DUMMYFUNCTION("GOOGLEFINANCE(""BOM:""&amp;A73,""PRICE"")"),7.5)</f>
        <v>7.5</v>
      </c>
      <c r="F73" s="112">
        <f ca="1">IFERROR(__xludf.DUMMYFUNCTION("GOOGLEFINANCE(""BOM:""&amp;A73,""MARKETCAP"")/10000000"),9.294803)</f>
        <v>9.2948029999999999</v>
      </c>
      <c r="G73" s="95">
        <f t="shared" ca="1" si="0"/>
        <v>1.8470362544438014E-5</v>
      </c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</row>
    <row r="74" spans="1:25" ht="14.4">
      <c r="A74" s="99">
        <v>542850</v>
      </c>
      <c r="B74" s="98" t="s">
        <v>4407</v>
      </c>
      <c r="C74" s="101"/>
      <c r="D74" s="101"/>
      <c r="E74" s="101">
        <f ca="1">IFERROR(__xludf.DUMMYFUNCTION("GOOGLEFINANCE(""BOM:""&amp;A74,""PRICE"")"),7.22)</f>
        <v>7.22</v>
      </c>
      <c r="F74" s="112">
        <f ca="1">IFERROR(__xludf.DUMMYFUNCTION("GOOGLEFINANCE(""BOM:""&amp;A74,""MARKETCAP"")/10000000"),9.977228)</f>
        <v>9.9772280000000002</v>
      </c>
      <c r="G74" s="95">
        <f t="shared" ca="1" si="0"/>
        <v>1.9826457682698408E-5</v>
      </c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</row>
    <row r="75" spans="1:25" ht="14.4">
      <c r="A75" s="99">
        <v>523790</v>
      </c>
      <c r="B75" s="98" t="s">
        <v>4408</v>
      </c>
      <c r="C75" s="101"/>
      <c r="D75" s="101"/>
      <c r="E75" s="101">
        <f ca="1">IFERROR(__xludf.DUMMYFUNCTION("GOOGLEFINANCE(""BOM:""&amp;A75,""PRICE"")"),6.58)</f>
        <v>6.58</v>
      </c>
      <c r="F75" s="112">
        <f ca="1">IFERROR(__xludf.DUMMYFUNCTION("GOOGLEFINANCE(""BOM:""&amp;A75,""MARKETCAP"")/10000000"),8.930902)</f>
        <v>8.9309019999999997</v>
      </c>
      <c r="G75" s="95">
        <f t="shared" ca="1" si="0"/>
        <v>1.7747229047118757E-5</v>
      </c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</row>
    <row r="76" spans="1:25" ht="14.4">
      <c r="A76" s="99">
        <v>544398</v>
      </c>
      <c r="B76" s="98" t="s">
        <v>4409</v>
      </c>
      <c r="C76" s="101"/>
      <c r="D76" s="101"/>
      <c r="E76" s="101">
        <f ca="1">IFERROR(__xludf.DUMMYFUNCTION("GOOGLEFINANCE(""BOM:""&amp;A76,""PRICE"")"),8.75)</f>
        <v>8.75</v>
      </c>
      <c r="F76" s="112">
        <f ca="1">IFERROR(__xludf.DUMMYFUNCTION("GOOGLEFINANCE(""BOM:""&amp;A76,""MARKETCAP"")/10000000"),10.9356537)</f>
        <v>10.9356537</v>
      </c>
      <c r="G76" s="95">
        <f t="shared" ca="1" si="0"/>
        <v>2.1731013395273141E-5</v>
      </c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</row>
    <row r="77" spans="1:25" ht="14.4">
      <c r="A77" s="99">
        <v>526468</v>
      </c>
      <c r="B77" s="98" t="s">
        <v>4410</v>
      </c>
      <c r="C77" s="101"/>
      <c r="D77" s="101"/>
      <c r="E77" s="101">
        <f ca="1">IFERROR(__xludf.DUMMYFUNCTION("GOOGLEFINANCE(""BOM:""&amp;A77,""PRICE"")"),18.4)</f>
        <v>18.399999999999999</v>
      </c>
      <c r="F77" s="112">
        <f ca="1">IFERROR(__xludf.DUMMYFUNCTION("GOOGLEFINANCE(""BOM:""&amp;A77,""MARKETCAP"")/10000000"),8.2314238)</f>
        <v>8.2314238</v>
      </c>
      <c r="G77" s="95">
        <f t="shared" ca="1" si="0"/>
        <v>1.6357246285146187E-5</v>
      </c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ht="14.4">
      <c r="A78" s="99">
        <v>512604</v>
      </c>
      <c r="B78" s="98" t="s">
        <v>4411</v>
      </c>
      <c r="C78" s="101"/>
      <c r="D78" s="101"/>
      <c r="E78" s="101">
        <f ca="1">IFERROR(__xludf.DUMMYFUNCTION("GOOGLEFINANCE(""BOM:""&amp;A78,""PRICE"")"),6.5)</f>
        <v>6.5</v>
      </c>
      <c r="F78" s="112">
        <f ca="1">IFERROR(__xludf.DUMMYFUNCTION("GOOGLEFINANCE(""BOM:""&amp;A78,""MARKETCAP"")/10000000"),7.5075)</f>
        <v>7.5075000000000003</v>
      </c>
      <c r="G78" s="95">
        <f t="shared" ca="1" si="0"/>
        <v>1.4918685936901341E-5</v>
      </c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ht="14.4">
      <c r="A79" s="99">
        <v>543545</v>
      </c>
      <c r="B79" s="98" t="s">
        <v>4412</v>
      </c>
      <c r="C79" s="101"/>
      <c r="D79" s="101"/>
      <c r="E79" s="101">
        <f ca="1">IFERROR(__xludf.DUMMYFUNCTION("GOOGLEFINANCE(""BOM:""&amp;A79,""PRICE"")"),0.67)</f>
        <v>0.67</v>
      </c>
      <c r="F79" s="112">
        <f ca="1">IFERROR(__xludf.DUMMYFUNCTION("GOOGLEFINANCE(""BOM:""&amp;A79,""MARKETCAP"")/10000000"),8.7805177)</f>
        <v>8.7805177000000008</v>
      </c>
      <c r="G79" s="95">
        <f t="shared" ca="1" si="0"/>
        <v>1.7448389734226214E-5</v>
      </c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</row>
    <row r="80" spans="1:25" ht="14.4">
      <c r="A80" s="99">
        <v>543171</v>
      </c>
      <c r="B80" s="98" t="s">
        <v>4413</v>
      </c>
      <c r="C80" s="101"/>
      <c r="D80" s="101"/>
      <c r="E80" s="101">
        <f ca="1">IFERROR(__xludf.DUMMYFUNCTION("GOOGLEFINANCE(""BOM:""&amp;A80,""PRICE"")"),1.16)</f>
        <v>1.1599999999999999</v>
      </c>
      <c r="F80" s="112">
        <f ca="1">IFERROR(__xludf.DUMMYFUNCTION("GOOGLEFINANCE(""BOM:""&amp;A80,""MARKETCAP"")/10000000"),5.8517915)</f>
        <v>5.8517915</v>
      </c>
      <c r="G80" s="95">
        <f t="shared" ca="1" si="0"/>
        <v>1.1628510097466373E-5</v>
      </c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5" ht="14.4">
      <c r="A81" s="99">
        <v>539405</v>
      </c>
      <c r="B81" s="98" t="s">
        <v>4414</v>
      </c>
      <c r="C81" s="101"/>
      <c r="D81" s="101"/>
      <c r="E81" s="101">
        <f ca="1">IFERROR(__xludf.DUMMYFUNCTION("GOOGLEFINANCE(""BOM:""&amp;A81,""PRICE"")"),15.72)</f>
        <v>15.72</v>
      </c>
      <c r="F81" s="112">
        <f ca="1">IFERROR(__xludf.DUMMYFUNCTION("GOOGLEFINANCE(""BOM:""&amp;A81,""MARKETCAP"")/10000000"),5.4234)</f>
        <v>5.4234</v>
      </c>
      <c r="G81" s="95">
        <f t="shared" ca="1" si="0"/>
        <v>1.0777222951740357E-5</v>
      </c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5" ht="14.4">
      <c r="A82" s="99">
        <v>512091</v>
      </c>
      <c r="B82" s="98" t="s">
        <v>4415</v>
      </c>
      <c r="C82" s="101"/>
      <c r="D82" s="101"/>
      <c r="E82" s="101">
        <f ca="1">IFERROR(__xludf.DUMMYFUNCTION("GOOGLEFINANCE(""BOM:""&amp;A82,""PRICE"")"),12.19)</f>
        <v>12.19</v>
      </c>
      <c r="F82" s="112">
        <f ca="1">IFERROR(__xludf.DUMMYFUNCTION("GOOGLEFINANCE(""BOM:""&amp;A82,""MARKETCAP"")/10000000"),1.777926)</f>
        <v>1.7779259999999999</v>
      </c>
      <c r="G82" s="95">
        <f t="shared" ca="1" si="0"/>
        <v>3.5330429055013321E-6</v>
      </c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</row>
    <row r="83" spans="1:25" ht="14.4">
      <c r="A83" s="99">
        <v>519455</v>
      </c>
      <c r="B83" s="98" t="s">
        <v>4416</v>
      </c>
      <c r="C83" s="101"/>
      <c r="D83" s="101"/>
      <c r="E83" s="101" t="str">
        <f ca="1">IFERROR(__xludf.DUMMYFUNCTION("GOOGLEFINANCE(""BOM:""&amp;A83,""PRICE"")"),"#N/A")</f>
        <v>#N/A</v>
      </c>
      <c r="F83" s="112"/>
      <c r="G83" s="95">
        <f t="shared" ca="1" si="0"/>
        <v>0</v>
      </c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5" ht="14.4">
      <c r="A84" s="99">
        <v>544662</v>
      </c>
      <c r="B84" s="98" t="s">
        <v>4417</v>
      </c>
      <c r="C84" s="101"/>
      <c r="D84" s="101"/>
      <c r="E84" s="101">
        <f ca="1">IFERROR(__xludf.DUMMYFUNCTION("GOOGLEFINANCE(""BOM:""&amp;A84,""PRICE"")"),135)</f>
        <v>135</v>
      </c>
      <c r="F84" s="101"/>
      <c r="G84" s="95">
        <f t="shared" ca="1" si="0"/>
        <v>0</v>
      </c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</row>
    <row r="85" spans="1:25" ht="13.2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</row>
    <row r="86" spans="1:25" ht="13.2">
      <c r="A86" s="101"/>
      <c r="B86" s="101"/>
      <c r="C86" s="101"/>
      <c r="D86" s="101"/>
      <c r="E86" s="101"/>
      <c r="F86" s="112">
        <f t="shared" ref="F86:O86" ca="1" si="1">SUM(F2:F84)</f>
        <v>503227.96737950045</v>
      </c>
      <c r="G86" s="95">
        <f t="shared" ca="1" si="1"/>
        <v>0.99999999999999922</v>
      </c>
      <c r="H86" s="101">
        <f t="shared" si="1"/>
        <v>659206</v>
      </c>
      <c r="I86" s="101">
        <f t="shared" si="1"/>
        <v>312616</v>
      </c>
      <c r="J86" s="101">
        <f t="shared" si="1"/>
        <v>7385</v>
      </c>
      <c r="K86" s="101">
        <f t="shared" si="1"/>
        <v>4503</v>
      </c>
      <c r="L86" s="101">
        <f t="shared" si="1"/>
        <v>285431</v>
      </c>
      <c r="M86" s="101">
        <f t="shared" si="1"/>
        <v>131872</v>
      </c>
      <c r="N86" s="101">
        <f t="shared" si="1"/>
        <v>3280</v>
      </c>
      <c r="O86" s="101">
        <f t="shared" si="1"/>
        <v>1876</v>
      </c>
      <c r="P86" s="95">
        <f t="shared" ref="P86:Q86" si="2">J86/H86</f>
        <v>1.1202871333088595E-2</v>
      </c>
      <c r="Q86" s="95">
        <f t="shared" si="2"/>
        <v>1.4404253141233975E-2</v>
      </c>
      <c r="R86" s="95">
        <f>P86-Q86</f>
        <v>-3.2013818081453801E-3</v>
      </c>
      <c r="S86" s="95">
        <f t="shared" ref="S86:T86" si="3">N86/L86</f>
        <v>1.1491393716870277E-2</v>
      </c>
      <c r="T86" s="95">
        <f t="shared" si="3"/>
        <v>1.4225916039796166E-2</v>
      </c>
      <c r="U86" s="95">
        <f>S86-T86</f>
        <v>-2.7345223229258888E-3</v>
      </c>
      <c r="V86" s="95">
        <f>(H86/I86)-1</f>
        <v>1.1086764592983083</v>
      </c>
      <c r="W86" s="95">
        <f>(J86/K86)-1</f>
        <v>0.64001776593382198</v>
      </c>
      <c r="X86" s="95">
        <f>(L86/M86)-1</f>
        <v>1.1644549259888377</v>
      </c>
      <c r="Y86" s="95">
        <f>(N86/O86)-1</f>
        <v>0.74840085287846492</v>
      </c>
    </row>
  </sheetData>
  <autoFilter ref="A1:Y84" xr:uid="{00000000-0009-0000-0000-000080000000}"/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532155</v>
      </c>
      <c r="B2" s="98" t="s">
        <v>1420</v>
      </c>
      <c r="C2" s="101" t="str">
        <f>VLOOKUP(A2,'BSE ALL CAP'!$B$4:$Y$1038,2,)</f>
        <v>Energy</v>
      </c>
      <c r="D2" s="101" t="str">
        <f>VLOOKUP(A2,'BSE ALL CAP'!$B$4:$Y$1038,3,)</f>
        <v>Gas Transmission/Marketing</v>
      </c>
      <c r="E2" s="101">
        <f ca="1">IFERROR(__xludf.DUMMYFUNCTION("GOOGLEFINANCE(""BOM:""&amp;A2,""PRICE"")"),142.85)</f>
        <v>142.85</v>
      </c>
      <c r="F2" s="112">
        <f ca="1">IFERROR(__xludf.DUMMYFUNCTION("GOOGLEFINANCE(""BOM:""&amp;A2,""MARKETCAP"")/10000000"),94565.9874033)</f>
        <v>94565.987403299994</v>
      </c>
      <c r="G2" s="95">
        <f t="shared" ref="G2:G4" ca="1" si="0">F2/$F$6</f>
        <v>0.83494590956310366</v>
      </c>
      <c r="H2" s="101">
        <f>VLOOKUP(A2,'BSE ALL CAP'!$B$4:$Y$1038,7,)</f>
        <v>106389</v>
      </c>
      <c r="I2" s="101">
        <f>VLOOKUP(A2,'BSE ALL CAP'!$B$4:$Y$1038,8,)</f>
        <v>105740</v>
      </c>
      <c r="J2" s="101">
        <f>VLOOKUP(A2,'BSE ALL CAP'!$B$4:$Y$1038,9,)</f>
        <v>6100</v>
      </c>
      <c r="K2" s="101">
        <f>VLOOKUP(A2,'BSE ALL CAP'!$B$4:$Y$1038,10,)</f>
        <v>9957</v>
      </c>
      <c r="L2" s="101">
        <f>VLOOKUP(A2,'BSE ALL CAP'!$B$4:$Y$1038,11,)</f>
        <v>35303</v>
      </c>
      <c r="M2" s="101">
        <f>VLOOKUP(A2,'BSE ALL CAP'!$B$4:$Y$1038,12,)</f>
        <v>36937</v>
      </c>
      <c r="N2" s="101">
        <f>VLOOKUP(A2,'BSE ALL CAP'!$B$4:$Y$1038,13,)</f>
        <v>1729</v>
      </c>
      <c r="O2" s="101">
        <f>VLOOKUP(A2,'BSE ALL CAP'!$B$4:$Y$1038,14,)</f>
        <v>4084</v>
      </c>
      <c r="P2" s="95">
        <f>VLOOKUP(A2,'BSE ALL CAP'!$B$4:$Y$1038,15,)</f>
        <v>5.7336754739681736E-2</v>
      </c>
      <c r="Q2" s="95">
        <f>VLOOKUP(A2,'BSE ALL CAP'!$B$4:$Y$1038,16,)</f>
        <v>9.4164932854170602E-2</v>
      </c>
      <c r="R2" s="95">
        <f>VLOOKUP(A2,'BSE ALL CAP'!$B$4:$Y$1038,17,)</f>
        <v>-3.6828178114488866E-2</v>
      </c>
      <c r="S2" s="95">
        <f>VLOOKUP(A2,'BSE ALL CAP'!$B$4:$Y$1038,18,)</f>
        <v>4.8976007704727646E-2</v>
      </c>
      <c r="T2" s="95">
        <f>VLOOKUP(A2,'BSE ALL CAP'!$B$4:$Y$1038,19,)</f>
        <v>0.11056664049597964</v>
      </c>
      <c r="U2" s="95">
        <f>VLOOKUP(A2,'BSE ALL CAP'!$B$4:$Y$1038,20,)</f>
        <v>-6.1590632791251994E-2</v>
      </c>
      <c r="V2" s="95">
        <f>VLOOKUP(A2,'BSE ALL CAP'!$B$4:$Y$1038,21,)</f>
        <v>6.1376962360506493E-3</v>
      </c>
      <c r="W2" s="95">
        <f>VLOOKUP(A2,'BSE ALL CAP'!$B$4:$Y$1038,22,)</f>
        <v>-0.3873656723912825</v>
      </c>
      <c r="X2" s="95">
        <f>VLOOKUP(A2,'BSE ALL CAP'!$B$4:$Y$1038,23,)</f>
        <v>-4.4237485448195613E-2</v>
      </c>
      <c r="Y2" s="95">
        <f>VLOOKUP(A2,'BSE ALL CAP'!$B$4:$Y$1038,24,)</f>
        <v>-0.57664054848188051</v>
      </c>
    </row>
    <row r="3" spans="1:25" ht="15.75" customHeight="1">
      <c r="A3" s="99">
        <v>532702</v>
      </c>
      <c r="B3" s="98" t="s">
        <v>4418</v>
      </c>
      <c r="C3" s="101" t="str">
        <f>VLOOKUP(A3,'BSE ALL CAP'!$B$4:$Y$1038,2,)</f>
        <v>Energy</v>
      </c>
      <c r="D3" s="101" t="str">
        <f>VLOOKUP(A3,'BSE ALL CAP'!$B$4:$Y$1038,3,)</f>
        <v>Gas Transmission/Marketing</v>
      </c>
      <c r="E3" s="101">
        <f ca="1">IFERROR(__xludf.DUMMYFUNCTION("GOOGLEFINANCE(""BOM:""&amp;A3,""PRICE"")"),237.2)</f>
        <v>237.2</v>
      </c>
      <c r="F3" s="112">
        <f ca="1">IFERROR(__xludf.DUMMYFUNCTION("GOOGLEFINANCE(""BOM:""&amp;A3,""MARKETCAP"")/10000000"),13385.3491911)</f>
        <v>13385.3491911</v>
      </c>
      <c r="G3" s="95">
        <f t="shared" ca="1" si="0"/>
        <v>0.11818247619537617</v>
      </c>
      <c r="H3" s="101">
        <f>VLOOKUP(A3,'BSE ALL CAP'!$B$4:$Y$1038,7,)</f>
        <v>12599</v>
      </c>
      <c r="I3" s="101">
        <f>VLOOKUP(A3,'BSE ALL CAP'!$B$4:$Y$1038,8,)</f>
        <v>13590</v>
      </c>
      <c r="J3" s="101">
        <f>VLOOKUP(A3,'BSE ALL CAP'!$B$4:$Y$1038,9,)</f>
        <v>1232</v>
      </c>
      <c r="K3" s="101">
        <f>VLOOKUP(A3,'BSE ALL CAP'!$B$4:$Y$1038,10,)</f>
        <v>1285</v>
      </c>
      <c r="L3" s="101">
        <f>VLOOKUP(A3,'BSE ALL CAP'!$B$4:$Y$1038,11,)</f>
        <v>4091</v>
      </c>
      <c r="M3" s="101">
        <f>VLOOKUP(A3,'BSE ALL CAP'!$B$4:$Y$1038,12,)</f>
        <v>4540</v>
      </c>
      <c r="N3" s="101">
        <f>VLOOKUP(A3,'BSE ALL CAP'!$B$4:$Y$1038,13,)</f>
        <v>379</v>
      </c>
      <c r="O3" s="101">
        <f>VLOOKUP(A3,'BSE ALL CAP'!$B$4:$Y$1038,14,)</f>
        <v>335</v>
      </c>
      <c r="P3" s="95">
        <f>VLOOKUP(A3,'BSE ALL CAP'!$B$4:$Y$1038,15,)</f>
        <v>9.7785538534804345E-2</v>
      </c>
      <c r="Q3" s="95">
        <f>VLOOKUP(A3,'BSE ALL CAP'!$B$4:$Y$1038,16,)</f>
        <v>9.4554819720382641E-2</v>
      </c>
      <c r="R3" s="95">
        <f>VLOOKUP(A3,'BSE ALL CAP'!$B$4:$Y$1038,17,)</f>
        <v>3.2307188144217042E-3</v>
      </c>
      <c r="S3" s="95">
        <f>VLOOKUP(A3,'BSE ALL CAP'!$B$4:$Y$1038,18,)</f>
        <v>9.2642385724761675E-2</v>
      </c>
      <c r="T3" s="95">
        <f>VLOOKUP(A3,'BSE ALL CAP'!$B$4:$Y$1038,19,)</f>
        <v>7.3788546255506612E-2</v>
      </c>
      <c r="U3" s="95">
        <f>VLOOKUP(A3,'BSE ALL CAP'!$B$4:$Y$1038,20,)</f>
        <v>1.8853839469255063E-2</v>
      </c>
      <c r="V3" s="95">
        <f>VLOOKUP(A3,'BSE ALL CAP'!$B$4:$Y$1038,21,)</f>
        <v>-7.2921265636497479E-2</v>
      </c>
      <c r="W3" s="95">
        <f>VLOOKUP(A3,'BSE ALL CAP'!$B$4:$Y$1038,22,)</f>
        <v>-4.1245136186770393E-2</v>
      </c>
      <c r="X3" s="95">
        <f>VLOOKUP(A3,'BSE ALL CAP'!$B$4:$Y$1038,23,)</f>
        <v>-9.8898678414096941E-2</v>
      </c>
      <c r="Y3" s="95">
        <f>VLOOKUP(A3,'BSE ALL CAP'!$B$4:$Y$1038,24,)</f>
        <v>0.13134328358208958</v>
      </c>
    </row>
    <row r="4" spans="1:25" ht="15.75" customHeight="1">
      <c r="A4" s="99">
        <v>542543</v>
      </c>
      <c r="B4" s="98" t="s">
        <v>4419</v>
      </c>
      <c r="C4" s="101"/>
      <c r="D4" s="101"/>
      <c r="E4" s="101">
        <f ca="1">IFERROR(__xludf.DUMMYFUNCTION("GOOGLEFINANCE(""BOM:""&amp;A4,""PRICE"")"),79.95)</f>
        <v>79.95</v>
      </c>
      <c r="F4" s="112">
        <f ca="1">IFERROR(__xludf.DUMMYFUNCTION("GOOGLEFINANCE(""BOM:""&amp;A4,""MARKETCAP"")/10000000"),5308.6797973)</f>
        <v>5308.6797973000002</v>
      </c>
      <c r="G4" s="95">
        <f t="shared" ca="1" si="0"/>
        <v>4.6871614241520053E-2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101"/>
      <c r="B5" s="101"/>
      <c r="C5" s="101"/>
      <c r="D5" s="101"/>
      <c r="E5" s="101"/>
      <c r="F5" s="112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>
      <c r="A6" s="101"/>
      <c r="B6" s="101"/>
      <c r="C6" s="101"/>
      <c r="D6" s="101"/>
      <c r="E6" s="101"/>
      <c r="F6" s="112">
        <f t="shared" ref="F6:G6" ca="1" si="1">SUM(F2:F4)</f>
        <v>113260.0163917</v>
      </c>
      <c r="G6" s="95">
        <f t="shared" ca="1" si="1"/>
        <v>0.99999999999999989</v>
      </c>
      <c r="H6" s="101">
        <f t="shared" ref="H6:O6" si="2">SUM(H2:H5)</f>
        <v>118988</v>
      </c>
      <c r="I6" s="101">
        <f t="shared" si="2"/>
        <v>119330</v>
      </c>
      <c r="J6" s="101">
        <f t="shared" si="2"/>
        <v>7332</v>
      </c>
      <c r="K6" s="101">
        <f t="shared" si="2"/>
        <v>11242</v>
      </c>
      <c r="L6" s="101">
        <f t="shared" si="2"/>
        <v>39394</v>
      </c>
      <c r="M6" s="101">
        <f t="shared" si="2"/>
        <v>41477</v>
      </c>
      <c r="N6" s="101">
        <f t="shared" si="2"/>
        <v>2108</v>
      </c>
      <c r="O6" s="101">
        <f t="shared" si="2"/>
        <v>4419</v>
      </c>
      <c r="P6" s="95">
        <f t="shared" ref="P6:Q6" si="3">J6/H6</f>
        <v>6.1619659125289945E-2</v>
      </c>
      <c r="Q6" s="95">
        <f t="shared" si="3"/>
        <v>9.4209335456297658E-2</v>
      </c>
      <c r="R6" s="95">
        <f>P6-Q6</f>
        <v>-3.2589676331007712E-2</v>
      </c>
      <c r="S6" s="95">
        <f t="shared" ref="S6:T6" si="4">N6/L6</f>
        <v>5.3510686906635525E-2</v>
      </c>
      <c r="T6" s="95">
        <f t="shared" si="4"/>
        <v>0.10654097451599681</v>
      </c>
      <c r="U6" s="95">
        <f>S6-T6</f>
        <v>-5.3030287609361286E-2</v>
      </c>
      <c r="V6" s="95">
        <f>(H6/I6)-1</f>
        <v>-2.866001843626953E-3</v>
      </c>
      <c r="W6" s="95">
        <f>(J6/K6)-1</f>
        <v>-0.34780288204945742</v>
      </c>
      <c r="X6" s="95">
        <f>(L6/M6)-1</f>
        <v>-5.0220604190274076E-2</v>
      </c>
      <c r="Y6" s="95">
        <f>(N6/O6)-1</f>
        <v>-0.52296899751074899</v>
      </c>
    </row>
    <row r="7" spans="1:25">
      <c r="F7" s="94"/>
    </row>
    <row r="8" spans="1:25">
      <c r="F8" s="94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4" xr:uid="{00000000-0009-0000-0000-000081000000}"/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outlinePr summaryBelow="0" summaryRight="0"/>
  </sheetPr>
  <dimension ref="A1:Y42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532827</v>
      </c>
      <c r="B2" s="98" t="s">
        <v>97</v>
      </c>
      <c r="C2" s="101" t="str">
        <f>VLOOKUP(A2,'BSE ALL CAP'!$B$4:$Y$1038,2,)</f>
        <v>Consumer Discretionary</v>
      </c>
      <c r="D2" s="101" t="str">
        <f>VLOOKUP(A2,'BSE ALL CAP'!$B$4:$Y$1038,3,)</f>
        <v>Garments &amp; Apparels</v>
      </c>
      <c r="E2" s="101">
        <f ca="1">IFERROR(__xludf.DUMMYFUNCTION("GOOGLEFINANCE(""BOM:""&amp;A2,""PRICE"")"),34623.5)</f>
        <v>34623.5</v>
      </c>
      <c r="F2" s="112">
        <f ca="1">IFERROR(__xludf.DUMMYFUNCTION("GOOGLEFINANCE(""BOM:""&amp;A2,""MARKETCAP"")/10000000"),38737.39051)</f>
        <v>38737.390509999997</v>
      </c>
      <c r="G2" s="95">
        <f t="shared" ref="G2:G40" ca="1" si="0">F2/$F$42</f>
        <v>0.46992432084879221</v>
      </c>
      <c r="H2" s="101">
        <f>VLOOKUP(A2,'BSE ALL CAP'!$B$4:$Y$1038,7,)</f>
        <v>3994</v>
      </c>
      <c r="I2" s="101">
        <f>VLOOKUP(A2,'BSE ALL CAP'!$B$4:$Y$1038,8,)</f>
        <v>3836</v>
      </c>
      <c r="J2" s="101">
        <f>VLOOKUP(A2,'BSE ALL CAP'!$B$4:$Y$1038,9,)</f>
        <v>585</v>
      </c>
      <c r="K2" s="101">
        <f>VLOOKUP(A2,'BSE ALL CAP'!$B$4:$Y$1038,10,)</f>
        <v>565</v>
      </c>
      <c r="L2" s="101">
        <f>VLOOKUP(A2,'BSE ALL CAP'!$B$4:$Y$1038,11,)</f>
        <v>1386</v>
      </c>
      <c r="M2" s="101">
        <f>VLOOKUP(A2,'BSE ALL CAP'!$B$4:$Y$1038,12,)</f>
        <v>1313</v>
      </c>
      <c r="N2" s="101">
        <f>VLOOKUP(A2,'BSE ALL CAP'!$B$4:$Y$1038,13,)</f>
        <v>189</v>
      </c>
      <c r="O2" s="101">
        <f>VLOOKUP(A2,'BSE ALL CAP'!$B$4:$Y$1038,14,)</f>
        <v>204</v>
      </c>
      <c r="P2" s="95">
        <f>VLOOKUP(A2,'BSE ALL CAP'!$B$4:$Y$1038,15,)</f>
        <v>0.14646970455683525</v>
      </c>
      <c r="Q2" s="95">
        <f>VLOOKUP(A2,'BSE ALL CAP'!$B$4:$Y$1038,16,)</f>
        <v>0.14728884254431698</v>
      </c>
      <c r="R2" s="95">
        <f>VLOOKUP(A2,'BSE ALL CAP'!$B$4:$Y$1038,17,)</f>
        <v>-8.1913798748173283E-4</v>
      </c>
      <c r="S2" s="95">
        <f>VLOOKUP(A2,'BSE ALL CAP'!$B$4:$Y$1038,18,)</f>
        <v>0.13636363636363635</v>
      </c>
      <c r="T2" s="95">
        <f>VLOOKUP(A2,'BSE ALL CAP'!$B$4:$Y$1038,19,)</f>
        <v>0.15536938309215537</v>
      </c>
      <c r="U2" s="95">
        <f>VLOOKUP(A2,'BSE ALL CAP'!$B$4:$Y$1038,20,)</f>
        <v>-1.9005746728519013E-2</v>
      </c>
      <c r="V2" s="95">
        <f>VLOOKUP(A2,'BSE ALL CAP'!$B$4:$Y$1038,21,)</f>
        <v>4.1188738269030134E-2</v>
      </c>
      <c r="W2" s="95">
        <f>VLOOKUP(A2,'BSE ALL CAP'!$B$4:$Y$1038,22,)</f>
        <v>3.539823008849563E-2</v>
      </c>
      <c r="X2" s="95">
        <f>VLOOKUP(A2,'BSE ALL CAP'!$B$4:$Y$1038,23,)</f>
        <v>5.5597867479055596E-2</v>
      </c>
      <c r="Y2" s="95">
        <f>VLOOKUP(A2,'BSE ALL CAP'!$B$4:$Y$1038,24,)</f>
        <v>-7.3529411764705843E-2</v>
      </c>
    </row>
    <row r="3" spans="1:25" ht="15.75" customHeight="1">
      <c r="A3" s="99">
        <v>500101</v>
      </c>
      <c r="B3" s="98" t="s">
        <v>4420</v>
      </c>
      <c r="C3" s="101" t="str">
        <f>VLOOKUP(A3,'BSE ALL CAP'!$B$4:$Y$1038,2,)</f>
        <v>Consumer Discretionary</v>
      </c>
      <c r="D3" s="101" t="str">
        <f>VLOOKUP(A3,'BSE ALL CAP'!$B$4:$Y$1038,3,)</f>
        <v>Garments &amp; Apparels</v>
      </c>
      <c r="E3" s="101">
        <f ca="1">IFERROR(__xludf.DUMMYFUNCTION("GOOGLEFINANCE(""BOM:""&amp;A3,""PRICE"")"),373.65)</f>
        <v>373.65</v>
      </c>
      <c r="F3" s="112">
        <f ca="1">IFERROR(__xludf.DUMMYFUNCTION("GOOGLEFINANCE(""BOM:""&amp;A3,""MARKETCAP"")/10000000"),9782.1171919)</f>
        <v>9782.1171919000008</v>
      </c>
      <c r="G3" s="95">
        <f t="shared" ca="1" si="0"/>
        <v>0.11866712541414558</v>
      </c>
      <c r="H3" s="101">
        <f>VLOOKUP(A3,'BSE ALL CAP'!$B$4:$Y$1038,7,)</f>
        <v>6750</v>
      </c>
      <c r="I3" s="101">
        <f>VLOOKUP(A3,'BSE ALL CAP'!$B$4:$Y$1038,8,)</f>
        <v>6108</v>
      </c>
      <c r="J3" s="101">
        <f>VLOOKUP(A3,'BSE ALL CAP'!$B$4:$Y$1038,9,)</f>
        <v>262</v>
      </c>
      <c r="K3" s="101">
        <f>VLOOKUP(A3,'BSE ALL CAP'!$B$4:$Y$1038,10,)</f>
        <v>213</v>
      </c>
      <c r="L3" s="101">
        <f>VLOOKUP(A3,'BSE ALL CAP'!$B$4:$Y$1038,11,)</f>
        <v>2373</v>
      </c>
      <c r="M3" s="101">
        <f>VLOOKUP(A3,'BSE ALL CAP'!$B$4:$Y$1038,12,)</f>
        <v>2089</v>
      </c>
      <c r="N3" s="101">
        <f>VLOOKUP(A3,'BSE ALL CAP'!$B$4:$Y$1038,13,)</f>
        <v>101</v>
      </c>
      <c r="O3" s="101">
        <f>VLOOKUP(A3,'BSE ALL CAP'!$B$4:$Y$1038,14,)</f>
        <v>106</v>
      </c>
      <c r="P3" s="95">
        <f>VLOOKUP(A3,'BSE ALL CAP'!$B$4:$Y$1038,15,)</f>
        <v>3.8814814814814816E-2</v>
      </c>
      <c r="Q3" s="95">
        <f>VLOOKUP(A3,'BSE ALL CAP'!$B$4:$Y$1038,16,)</f>
        <v>3.4872298624754418E-2</v>
      </c>
      <c r="R3" s="95">
        <f>VLOOKUP(A3,'BSE ALL CAP'!$B$4:$Y$1038,17,)</f>
        <v>3.9425161900603981E-3</v>
      </c>
      <c r="S3" s="95">
        <f>VLOOKUP(A3,'BSE ALL CAP'!$B$4:$Y$1038,18,)</f>
        <v>4.2562157606405394E-2</v>
      </c>
      <c r="T3" s="95">
        <f>VLOOKUP(A3,'BSE ALL CAP'!$B$4:$Y$1038,19,)</f>
        <v>5.0741981809478219E-2</v>
      </c>
      <c r="U3" s="95">
        <f>VLOOKUP(A3,'BSE ALL CAP'!$B$4:$Y$1038,20,)</f>
        <v>-8.1798242030728247E-3</v>
      </c>
      <c r="V3" s="95">
        <f>VLOOKUP(A3,'BSE ALL CAP'!$B$4:$Y$1038,21,)</f>
        <v>0.10510805500982312</v>
      </c>
      <c r="W3" s="95">
        <f>VLOOKUP(A3,'BSE ALL CAP'!$B$4:$Y$1038,22,)</f>
        <v>0.2300469483568075</v>
      </c>
      <c r="X3" s="95">
        <f>VLOOKUP(A3,'BSE ALL CAP'!$B$4:$Y$1038,23,)</f>
        <v>0.13595021541407371</v>
      </c>
      <c r="Y3" s="95">
        <f>VLOOKUP(A3,'BSE ALL CAP'!$B$4:$Y$1038,24,)</f>
        <v>-4.7169811320754707E-2</v>
      </c>
    </row>
    <row r="4" spans="1:25" ht="15.75" customHeight="1">
      <c r="A4" s="99">
        <v>532808</v>
      </c>
      <c r="B4" s="98" t="s">
        <v>4421</v>
      </c>
      <c r="C4" s="101" t="str">
        <f>VLOOKUP(A4,'BSE ALL CAP'!$B$4:$Y$1038,2,)</f>
        <v>Consumer Discretionary</v>
      </c>
      <c r="D4" s="101" t="str">
        <f>VLOOKUP(A4,'BSE ALL CAP'!$B$4:$Y$1038,3,)</f>
        <v>Garments &amp; Apparels</v>
      </c>
      <c r="E4" s="101">
        <f ca="1">IFERROR(__xludf.DUMMYFUNCTION("GOOGLEFINANCE(""BOM:""&amp;A4,""PRICE"")"),1529.95)</f>
        <v>1529.95</v>
      </c>
      <c r="F4" s="112">
        <f ca="1">IFERROR(__xludf.DUMMYFUNCTION("GOOGLEFINANCE(""BOM:""&amp;A4,""MARKETCAP"")/10000000"),7098.8278139)</f>
        <v>7098.8278139000004</v>
      </c>
      <c r="G4" s="95">
        <f t="shared" ca="1" si="0"/>
        <v>8.6116070167615272E-2</v>
      </c>
      <c r="H4" s="101">
        <f>VLOOKUP(A4,'BSE ALL CAP'!$B$4:$Y$1038,7,)</f>
        <v>3737</v>
      </c>
      <c r="I4" s="101">
        <f>VLOOKUP(A4,'BSE ALL CAP'!$B$4:$Y$1038,8,)</f>
        <v>3305</v>
      </c>
      <c r="J4" s="101">
        <f>VLOOKUP(A4,'BSE ALL CAP'!$B$4:$Y$1038,9,)</f>
        <v>189</v>
      </c>
      <c r="K4" s="101">
        <f>VLOOKUP(A4,'BSE ALL CAP'!$B$4:$Y$1038,10,)</f>
        <v>165</v>
      </c>
      <c r="L4" s="101">
        <f>VLOOKUP(A4,'BSE ALL CAP'!$B$4:$Y$1038,11,)</f>
        <v>1170</v>
      </c>
      <c r="M4" s="101">
        <f>VLOOKUP(A4,'BSE ALL CAP'!$B$4:$Y$1038,12,)</f>
        <v>1022</v>
      </c>
      <c r="N4" s="101">
        <f>VLOOKUP(A4,'BSE ALL CAP'!$B$4:$Y$1038,13,)</f>
        <v>51</v>
      </c>
      <c r="O4" s="101">
        <f>VLOOKUP(A4,'BSE ALL CAP'!$B$4:$Y$1038,14,)</f>
        <v>48</v>
      </c>
      <c r="P4" s="95">
        <f>VLOOKUP(A4,'BSE ALL CAP'!$B$4:$Y$1038,15,)</f>
        <v>5.0575327803050574E-2</v>
      </c>
      <c r="Q4" s="95">
        <f>VLOOKUP(A4,'BSE ALL CAP'!$B$4:$Y$1038,16,)</f>
        <v>4.9924357034795766E-2</v>
      </c>
      <c r="R4" s="95">
        <f>VLOOKUP(A4,'BSE ALL CAP'!$B$4:$Y$1038,17,)</f>
        <v>6.5097076825480771E-4</v>
      </c>
      <c r="S4" s="95">
        <f>VLOOKUP(A4,'BSE ALL CAP'!$B$4:$Y$1038,18,)</f>
        <v>4.3589743589743588E-2</v>
      </c>
      <c r="T4" s="95">
        <f>VLOOKUP(A4,'BSE ALL CAP'!$B$4:$Y$1038,19,)</f>
        <v>4.6966731898238745E-2</v>
      </c>
      <c r="U4" s="95">
        <f>VLOOKUP(A4,'BSE ALL CAP'!$B$4:$Y$1038,20,)</f>
        <v>-3.3769883084951574E-3</v>
      </c>
      <c r="V4" s="95">
        <f>VLOOKUP(A4,'BSE ALL CAP'!$B$4:$Y$1038,21,)</f>
        <v>0.13071104387291976</v>
      </c>
      <c r="W4" s="95">
        <f>VLOOKUP(A4,'BSE ALL CAP'!$B$4:$Y$1038,22,)</f>
        <v>0.1454545454545455</v>
      </c>
      <c r="X4" s="95">
        <f>VLOOKUP(A4,'BSE ALL CAP'!$B$4:$Y$1038,23,)</f>
        <v>0.14481409001956957</v>
      </c>
      <c r="Y4" s="95">
        <f>VLOOKUP(A4,'BSE ALL CAP'!$B$4:$Y$1038,24,)</f>
        <v>6.25E-2</v>
      </c>
    </row>
    <row r="5" spans="1:25" ht="15.75" customHeight="1">
      <c r="A5" s="99">
        <v>532630</v>
      </c>
      <c r="B5" s="98" t="s">
        <v>4422</v>
      </c>
      <c r="C5" s="101" t="str">
        <f>VLOOKUP(A5,'BSE ALL CAP'!$B$4:$Y$1038,2,)</f>
        <v>Consumer Discretionary</v>
      </c>
      <c r="D5" s="101" t="str">
        <f>VLOOKUP(A5,'BSE ALL CAP'!$B$4:$Y$1038,3,)</f>
        <v>Garments &amp; Apparels</v>
      </c>
      <c r="E5" s="101">
        <f ca="1">IFERROR(__xludf.DUMMYFUNCTION("GOOGLEFINANCE(""BOM:""&amp;A5,""PRICE"")"),621.2)</f>
        <v>621.20000000000005</v>
      </c>
      <c r="F5" s="112">
        <f ca="1">IFERROR(__xludf.DUMMYFUNCTION("GOOGLEFINANCE(""BOM:""&amp;A5,""MARKETCAP"")/10000000"),4547.1879489)</f>
        <v>4547.1879489000003</v>
      </c>
      <c r="G5" s="95">
        <f t="shared" ca="1" si="0"/>
        <v>5.5162058686091017E-2</v>
      </c>
      <c r="H5" s="101">
        <f>VLOOKUP(A5,'BSE ALL CAP'!$B$4:$Y$1038,7,)</f>
        <v>2918</v>
      </c>
      <c r="I5" s="101">
        <f>VLOOKUP(A5,'BSE ALL CAP'!$B$4:$Y$1038,8,)</f>
        <v>2848</v>
      </c>
      <c r="J5" s="101">
        <f>VLOOKUP(A5,'BSE ALL CAP'!$B$4:$Y$1038,9,)</f>
        <v>64</v>
      </c>
      <c r="K5" s="101">
        <f>VLOOKUP(A5,'BSE ALL CAP'!$B$4:$Y$1038,10,)</f>
        <v>105</v>
      </c>
      <c r="L5" s="101">
        <f>VLOOKUP(A5,'BSE ALL CAP'!$B$4:$Y$1038,11,)</f>
        <v>978</v>
      </c>
      <c r="M5" s="101">
        <f>VLOOKUP(A5,'BSE ALL CAP'!$B$4:$Y$1038,12,)</f>
        <v>987</v>
      </c>
      <c r="N5" s="101">
        <f>VLOOKUP(A5,'BSE ALL CAP'!$B$4:$Y$1038,13,)</f>
        <v>14</v>
      </c>
      <c r="O5" s="101">
        <f>VLOOKUP(A5,'BSE ALL CAP'!$B$4:$Y$1038,14,)</f>
        <v>50</v>
      </c>
      <c r="P5" s="95">
        <f>VLOOKUP(A5,'BSE ALL CAP'!$B$4:$Y$1038,15,)</f>
        <v>2.193283070596299E-2</v>
      </c>
      <c r="Q5" s="95">
        <f>VLOOKUP(A5,'BSE ALL CAP'!$B$4:$Y$1038,16,)</f>
        <v>3.6867977528089887E-2</v>
      </c>
      <c r="R5" s="95">
        <f>VLOOKUP(A5,'BSE ALL CAP'!$B$4:$Y$1038,17,)</f>
        <v>-1.4935146822126898E-2</v>
      </c>
      <c r="S5" s="95">
        <f>VLOOKUP(A5,'BSE ALL CAP'!$B$4:$Y$1038,18,)</f>
        <v>1.4314928425357873E-2</v>
      </c>
      <c r="T5" s="95">
        <f>VLOOKUP(A5,'BSE ALL CAP'!$B$4:$Y$1038,19,)</f>
        <v>5.0658561296859167E-2</v>
      </c>
      <c r="U5" s="95">
        <f>VLOOKUP(A5,'BSE ALL CAP'!$B$4:$Y$1038,20,)</f>
        <v>-3.6343632871501295E-2</v>
      </c>
      <c r="V5" s="95">
        <f>VLOOKUP(A5,'BSE ALL CAP'!$B$4:$Y$1038,21,)</f>
        <v>2.4578651685393194E-2</v>
      </c>
      <c r="W5" s="95">
        <f>VLOOKUP(A5,'BSE ALL CAP'!$B$4:$Y$1038,22,)</f>
        <v>-0.39047619047619042</v>
      </c>
      <c r="X5" s="95">
        <f>VLOOKUP(A5,'BSE ALL CAP'!$B$4:$Y$1038,23,)</f>
        <v>-9.1185410334346795E-3</v>
      </c>
      <c r="Y5" s="95">
        <f>VLOOKUP(A5,'BSE ALL CAP'!$B$4:$Y$1038,24,)</f>
        <v>-0.72</v>
      </c>
    </row>
    <row r="6" spans="1:25" ht="15.75" customHeight="1">
      <c r="A6" s="99">
        <v>521248</v>
      </c>
      <c r="B6" s="98" t="s">
        <v>4423</v>
      </c>
      <c r="C6" s="101" t="str">
        <f>VLOOKUP(A6,'BSE ALL CAP'!$B$4:$Y$1038,2,)</f>
        <v>Consumer Discretionary</v>
      </c>
      <c r="D6" s="101" t="str">
        <f>VLOOKUP(A6,'BSE ALL CAP'!$B$4:$Y$1038,3,)</f>
        <v>Garments &amp; Apparels</v>
      </c>
      <c r="E6" s="101">
        <f ca="1">IFERROR(__xludf.DUMMYFUNCTION("GOOGLEFINANCE(""BOM:""&amp;A6,""PRICE"")"),159.75)</f>
        <v>159.75</v>
      </c>
      <c r="F6" s="112">
        <f ca="1">IFERROR(__xludf.DUMMYFUNCTION("GOOGLEFINANCE(""BOM:""&amp;A6,""MARKETCAP"")/10000000"),3181.0258446)</f>
        <v>3181.0258445999998</v>
      </c>
      <c r="G6" s="95">
        <f t="shared" ca="1" si="0"/>
        <v>3.8589109641761224E-2</v>
      </c>
      <c r="H6" s="101">
        <f>VLOOKUP(A6,'BSE ALL CAP'!$B$4:$Y$1038,7,)</f>
        <v>500</v>
      </c>
      <c r="I6" s="101">
        <f>VLOOKUP(A6,'BSE ALL CAP'!$B$4:$Y$1038,8,)</f>
        <v>682</v>
      </c>
      <c r="J6" s="101">
        <f>VLOOKUP(A6,'BSE ALL CAP'!$B$4:$Y$1038,9,)</f>
        <v>-3</v>
      </c>
      <c r="K6" s="101">
        <f>VLOOKUP(A6,'BSE ALL CAP'!$B$4:$Y$1038,10,)</f>
        <v>103</v>
      </c>
      <c r="L6" s="101">
        <f>VLOOKUP(A6,'BSE ALL CAP'!$B$4:$Y$1038,11,)</f>
        <v>181</v>
      </c>
      <c r="M6" s="101">
        <f>VLOOKUP(A6,'BSE ALL CAP'!$B$4:$Y$1038,12,)</f>
        <v>276</v>
      </c>
      <c r="N6" s="101">
        <f>VLOOKUP(A6,'BSE ALL CAP'!$B$4:$Y$1038,13,)</f>
        <v>-17</v>
      </c>
      <c r="O6" s="101">
        <f>VLOOKUP(A6,'BSE ALL CAP'!$B$4:$Y$1038,14,)</f>
        <v>40</v>
      </c>
      <c r="P6" s="95">
        <f>VLOOKUP(A6,'BSE ALL CAP'!$B$4:$Y$1038,15,)</f>
        <v>-6.0000000000000001E-3</v>
      </c>
      <c r="Q6" s="95">
        <f>VLOOKUP(A6,'BSE ALL CAP'!$B$4:$Y$1038,16,)</f>
        <v>0.15102639296187684</v>
      </c>
      <c r="R6" s="95">
        <f>VLOOKUP(A6,'BSE ALL CAP'!$B$4:$Y$1038,17,)</f>
        <v>-0.15702639296187684</v>
      </c>
      <c r="S6" s="95">
        <f>VLOOKUP(A6,'BSE ALL CAP'!$B$4:$Y$1038,18,)</f>
        <v>-9.3922651933701654E-2</v>
      </c>
      <c r="T6" s="95">
        <f>VLOOKUP(A6,'BSE ALL CAP'!$B$4:$Y$1038,19,)</f>
        <v>0.14492753623188406</v>
      </c>
      <c r="U6" s="95">
        <f>VLOOKUP(A6,'BSE ALL CAP'!$B$4:$Y$1038,20,)</f>
        <v>-0.23885018816558573</v>
      </c>
      <c r="V6" s="95">
        <f>VLOOKUP(A6,'BSE ALL CAP'!$B$4:$Y$1038,21,)</f>
        <v>-0.26686217008797652</v>
      </c>
      <c r="W6" s="95">
        <f>VLOOKUP(A6,'BSE ALL CAP'!$B$4:$Y$1038,22,)</f>
        <v>-1.029126213592233</v>
      </c>
      <c r="X6" s="95">
        <f>VLOOKUP(A6,'BSE ALL CAP'!$B$4:$Y$1038,23,)</f>
        <v>-0.34420289855072461</v>
      </c>
      <c r="Y6" s="95">
        <f>VLOOKUP(A6,'BSE ALL CAP'!$B$4:$Y$1038,24,)</f>
        <v>-1.425</v>
      </c>
    </row>
    <row r="7" spans="1:25" ht="15.75" customHeight="1">
      <c r="A7" s="99">
        <v>532732</v>
      </c>
      <c r="B7" s="98" t="s">
        <v>4424</v>
      </c>
      <c r="C7" s="101" t="str">
        <f>VLOOKUP(A7,'BSE ALL CAP'!$B$4:$Y$1038,2,)</f>
        <v>Consumer Discretionary</v>
      </c>
      <c r="D7" s="101" t="str">
        <f>VLOOKUP(A7,'BSE ALL CAP'!$B$4:$Y$1038,3,)</f>
        <v>Garments &amp; Apparels</v>
      </c>
      <c r="E7" s="101">
        <f ca="1">IFERROR(__xludf.DUMMYFUNCTION("GOOGLEFINANCE(""BOM:""&amp;A7,""PRICE"")"),446.85)</f>
        <v>446.85</v>
      </c>
      <c r="F7" s="112">
        <f ca="1">IFERROR(__xludf.DUMMYFUNCTION("GOOGLEFINANCE(""BOM:""&amp;A7,""MARKETCAP"")/10000000"),2754.3379422)</f>
        <v>2754.3379421999998</v>
      </c>
      <c r="G7" s="95">
        <f t="shared" ca="1" si="0"/>
        <v>3.3412947280025626E-2</v>
      </c>
      <c r="H7" s="101">
        <f>VLOOKUP(A7,'BSE ALL CAP'!$B$4:$Y$1038,7,)</f>
        <v>888</v>
      </c>
      <c r="I7" s="101">
        <f>VLOOKUP(A7,'BSE ALL CAP'!$B$4:$Y$1038,8,)</f>
        <v>714</v>
      </c>
      <c r="J7" s="101">
        <f>VLOOKUP(A7,'BSE ALL CAP'!$B$4:$Y$1038,9,)</f>
        <v>117</v>
      </c>
      <c r="K7" s="101">
        <f>VLOOKUP(A7,'BSE ALL CAP'!$B$4:$Y$1038,10,)</f>
        <v>118</v>
      </c>
      <c r="L7" s="101">
        <f>VLOOKUP(A7,'BSE ALL CAP'!$B$4:$Y$1038,11,)</f>
        <v>301</v>
      </c>
      <c r="M7" s="101">
        <f>VLOOKUP(A7,'BSE ALL CAP'!$B$4:$Y$1038,12,)</f>
        <v>255</v>
      </c>
      <c r="N7" s="101">
        <f>VLOOKUP(A7,'BSE ALL CAP'!$B$4:$Y$1038,13,)</f>
        <v>37</v>
      </c>
      <c r="O7" s="101">
        <f>VLOOKUP(A7,'BSE ALL CAP'!$B$4:$Y$1038,14,)</f>
        <v>26</v>
      </c>
      <c r="P7" s="95">
        <f>VLOOKUP(A7,'BSE ALL CAP'!$B$4:$Y$1038,15,)</f>
        <v>0.13175675675675674</v>
      </c>
      <c r="Q7" s="95">
        <f>VLOOKUP(A7,'BSE ALL CAP'!$B$4:$Y$1038,16,)</f>
        <v>0.16526610644257703</v>
      </c>
      <c r="R7" s="95">
        <f>VLOOKUP(A7,'BSE ALL CAP'!$B$4:$Y$1038,17,)</f>
        <v>-3.3509349685820283E-2</v>
      </c>
      <c r="S7" s="95">
        <f>VLOOKUP(A7,'BSE ALL CAP'!$B$4:$Y$1038,18,)</f>
        <v>0.12292358803986711</v>
      </c>
      <c r="T7" s="95">
        <f>VLOOKUP(A7,'BSE ALL CAP'!$B$4:$Y$1038,19,)</f>
        <v>0.10196078431372549</v>
      </c>
      <c r="U7" s="95">
        <f>VLOOKUP(A7,'BSE ALL CAP'!$B$4:$Y$1038,20,)</f>
        <v>2.0962803726141621E-2</v>
      </c>
      <c r="V7" s="95">
        <f>VLOOKUP(A7,'BSE ALL CAP'!$B$4:$Y$1038,21,)</f>
        <v>0.24369747899159666</v>
      </c>
      <c r="W7" s="95">
        <f>VLOOKUP(A7,'BSE ALL CAP'!$B$4:$Y$1038,22,)</f>
        <v>-8.4745762711864181E-3</v>
      </c>
      <c r="X7" s="95">
        <f>VLOOKUP(A7,'BSE ALL CAP'!$B$4:$Y$1038,23,)</f>
        <v>0.18039215686274512</v>
      </c>
      <c r="Y7" s="95">
        <f>VLOOKUP(A7,'BSE ALL CAP'!$B$4:$Y$1038,24,)</f>
        <v>0.42307692307692313</v>
      </c>
    </row>
    <row r="8" spans="1:25" ht="15.75" customHeight="1">
      <c r="A8" s="99">
        <v>539542</v>
      </c>
      <c r="B8" s="98" t="s">
        <v>4425</v>
      </c>
      <c r="C8" s="101" t="e">
        <f>VLOOKUP(A8,'BSE ALL CAP'!$B$4:$Y$1038,2,)</f>
        <v>#N/A</v>
      </c>
      <c r="D8" s="101" t="e">
        <f>VLOOKUP(A8,'BSE ALL CAP'!$B$4:$Y$1038,3,)</f>
        <v>#N/A</v>
      </c>
      <c r="E8" s="101">
        <f ca="1">IFERROR(__xludf.DUMMYFUNCTION("GOOGLEFINANCE(""BOM:""&amp;A8,""PRICE"")"),1076.8)</f>
        <v>1076.8</v>
      </c>
      <c r="F8" s="112">
        <f ca="1">IFERROR(__xludf.DUMMYFUNCTION("GOOGLEFINANCE(""BOM:""&amp;A8,""MARKETCAP"")/10000000"),3228.3453532)</f>
        <v>3228.3453531999999</v>
      </c>
      <c r="G8" s="95">
        <f t="shared" ca="1" si="0"/>
        <v>3.9163143866808289E-2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533267</v>
      </c>
      <c r="B9" s="98" t="s">
        <v>4426</v>
      </c>
      <c r="C9" s="101" t="str">
        <f>VLOOKUP(A9,'BSE ALL CAP'!$B$4:$Y$1038,2,)</f>
        <v>Consumer Discretionary</v>
      </c>
      <c r="D9" s="101" t="str">
        <f>VLOOKUP(A9,'BSE ALL CAP'!$B$4:$Y$1038,3,)</f>
        <v>Garments &amp; Apparels</v>
      </c>
      <c r="E9" s="101">
        <f ca="1">IFERROR(__xludf.DUMMYFUNCTION("GOOGLEFINANCE(""BOM:""&amp;A9,""PRICE"")"),230.6)</f>
        <v>230.6</v>
      </c>
      <c r="F9" s="112">
        <f ca="1">IFERROR(__xludf.DUMMYFUNCTION("GOOGLEFINANCE(""BOM:""&amp;A9,""MARKETCAP"")/10000000"),1927.939953)</f>
        <v>1927.9399530000001</v>
      </c>
      <c r="G9" s="95">
        <f t="shared" ca="1" si="0"/>
        <v>2.3387891159496108E-2</v>
      </c>
      <c r="H9" s="101">
        <f>VLOOKUP(A9,'BSE ALL CAP'!$B$4:$Y$1038,7,)</f>
        <v>599</v>
      </c>
      <c r="I9" s="101">
        <f>VLOOKUP(A9,'BSE ALL CAP'!$B$4:$Y$1038,8,)</f>
        <v>501</v>
      </c>
      <c r="J9" s="101">
        <f>VLOOKUP(A9,'BSE ALL CAP'!$B$4:$Y$1038,9,)</f>
        <v>66</v>
      </c>
      <c r="K9" s="101">
        <f>VLOOKUP(A9,'BSE ALL CAP'!$B$4:$Y$1038,10,)</f>
        <v>52</v>
      </c>
      <c r="L9" s="101">
        <f>VLOOKUP(A9,'BSE ALL CAP'!$B$4:$Y$1038,11,)</f>
        <v>264</v>
      </c>
      <c r="M9" s="101">
        <f>VLOOKUP(A9,'BSE ALL CAP'!$B$4:$Y$1038,12,)</f>
        <v>222</v>
      </c>
      <c r="N9" s="101">
        <f>VLOOKUP(A9,'BSE ALL CAP'!$B$4:$Y$1038,13,)</f>
        <v>45</v>
      </c>
      <c r="O9" s="101">
        <f>VLOOKUP(A9,'BSE ALL CAP'!$B$4:$Y$1038,14,)</f>
        <v>34</v>
      </c>
      <c r="P9" s="95">
        <f>VLOOKUP(A9,'BSE ALL CAP'!$B$4:$Y$1038,15,)</f>
        <v>0.11018363939899833</v>
      </c>
      <c r="Q9" s="95">
        <f>VLOOKUP(A9,'BSE ALL CAP'!$B$4:$Y$1038,16,)</f>
        <v>0.10379241516966067</v>
      </c>
      <c r="R9" s="95">
        <f>VLOOKUP(A9,'BSE ALL CAP'!$B$4:$Y$1038,17,)</f>
        <v>6.3912242293376609E-3</v>
      </c>
      <c r="S9" s="95">
        <f>VLOOKUP(A9,'BSE ALL CAP'!$B$4:$Y$1038,18,)</f>
        <v>0.17045454545454544</v>
      </c>
      <c r="T9" s="95">
        <f>VLOOKUP(A9,'BSE ALL CAP'!$B$4:$Y$1038,19,)</f>
        <v>0.15315315315315314</v>
      </c>
      <c r="U9" s="95">
        <f>VLOOKUP(A9,'BSE ALL CAP'!$B$4:$Y$1038,20,)</f>
        <v>1.7301392301392299E-2</v>
      </c>
      <c r="V9" s="95">
        <f>VLOOKUP(A9,'BSE ALL CAP'!$B$4:$Y$1038,21,)</f>
        <v>0.1956087824351298</v>
      </c>
      <c r="W9" s="95">
        <f>VLOOKUP(A9,'BSE ALL CAP'!$B$4:$Y$1038,22,)</f>
        <v>0.26923076923076916</v>
      </c>
      <c r="X9" s="95">
        <f>VLOOKUP(A9,'BSE ALL CAP'!$B$4:$Y$1038,23,)</f>
        <v>0.18918918918918926</v>
      </c>
      <c r="Y9" s="95">
        <f>VLOOKUP(A9,'BSE ALL CAP'!$B$4:$Y$1038,24,)</f>
        <v>0.32352941176470584</v>
      </c>
    </row>
    <row r="10" spans="1:25" ht="15.75" customHeight="1">
      <c r="A10" s="99">
        <v>540048</v>
      </c>
      <c r="B10" s="98" t="s">
        <v>4427</v>
      </c>
      <c r="C10" s="101"/>
      <c r="D10" s="101"/>
      <c r="E10" s="101">
        <f ca="1">IFERROR(__xludf.DUMMYFUNCTION("GOOGLEFINANCE(""BOM:""&amp;A10,""PRICE"")"),737)</f>
        <v>737</v>
      </c>
      <c r="F10" s="112">
        <f ca="1">IFERROR(__xludf.DUMMYFUNCTION("GOOGLEFINANCE(""BOM:""&amp;A10,""MARKETCAP"")/10000000"),1852.735456)</f>
        <v>1852.7354560000001</v>
      </c>
      <c r="G10" s="95">
        <f t="shared" ca="1" si="0"/>
        <v>2.2475583393995566E-2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542725</v>
      </c>
      <c r="B11" s="98" t="s">
        <v>4428</v>
      </c>
      <c r="C11" s="101"/>
      <c r="D11" s="101"/>
      <c r="E11" s="101">
        <f ca="1">IFERROR(__xludf.DUMMYFUNCTION("GOOGLEFINANCE(""BOM:""&amp;A11,""PRICE"")"),30.57)</f>
        <v>30.57</v>
      </c>
      <c r="F11" s="112">
        <f ca="1">IFERROR(__xludf.DUMMYFUNCTION("GOOGLEFINANCE(""BOM:""&amp;A11,""MARKETCAP"")/10000000"),1454.2839981)</f>
        <v>1454.2839981</v>
      </c>
      <c r="G11" s="95">
        <f t="shared" ca="1" si="0"/>
        <v>1.7641958096067136E-2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541403</v>
      </c>
      <c r="B12" s="98" t="s">
        <v>4429</v>
      </c>
      <c r="C12" s="101"/>
      <c r="D12" s="101"/>
      <c r="E12" s="101">
        <f ca="1">IFERROR(__xludf.DUMMYFUNCTION("GOOGLEFINANCE(""BOM:""&amp;A12,""PRICE"")"),247)</f>
        <v>247</v>
      </c>
      <c r="F12" s="112">
        <f ca="1">IFERROR(__xludf.DUMMYFUNCTION("GOOGLEFINANCE(""BOM:""&amp;A12,""MARKETCAP"")/10000000"),1400.888164)</f>
        <v>1400.888164</v>
      </c>
      <c r="G12" s="95">
        <f t="shared" ca="1" si="0"/>
        <v>1.6994211803783462E-2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538836</v>
      </c>
      <c r="B13" s="98" t="s">
        <v>4430</v>
      </c>
      <c r="C13" s="101"/>
      <c r="D13" s="101"/>
      <c r="E13" s="101">
        <f ca="1">IFERROR(__xludf.DUMMYFUNCTION("GOOGLEFINANCE(""BOM:""&amp;A13,""PRICE"")"),510.05)</f>
        <v>510.05</v>
      </c>
      <c r="F13" s="112">
        <f ca="1">IFERROR(__xludf.DUMMYFUNCTION("GOOGLEFINANCE(""BOM:""&amp;A13,""MARKETCAP"")/10000000"),1056.6094252)</f>
        <v>1056.6094252</v>
      </c>
      <c r="G13" s="95">
        <f t="shared" ca="1" si="0"/>
        <v>1.2817757210862337E-2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533552</v>
      </c>
      <c r="B14" s="98" t="s">
        <v>4431</v>
      </c>
      <c r="C14" s="101"/>
      <c r="D14" s="101"/>
      <c r="E14" s="101">
        <f ca="1">IFERROR(__xludf.DUMMYFUNCTION("GOOGLEFINANCE(""BOM:""&amp;A14,""PRICE"")"),124.9)</f>
        <v>124.9</v>
      </c>
      <c r="F14" s="112">
        <f ca="1">IFERROR(__xludf.DUMMYFUNCTION("GOOGLEFINANCE(""BOM:""&amp;A14,""MARKETCAP"")/10000000"),998.0249559)</f>
        <v>998.02495590000001</v>
      </c>
      <c r="G14" s="95">
        <f t="shared" ca="1" si="0"/>
        <v>1.2107067446125021E-2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543926</v>
      </c>
      <c r="B15" s="98" t="s">
        <v>4432</v>
      </c>
      <c r="C15" s="101"/>
      <c r="D15" s="101"/>
      <c r="E15" s="101">
        <f ca="1">IFERROR(__xludf.DUMMYFUNCTION("GOOGLEFINANCE(""BOM:""&amp;A15,""PRICE"")"),919)</f>
        <v>919</v>
      </c>
      <c r="F15" s="112">
        <f ca="1">IFERROR(__xludf.DUMMYFUNCTION("GOOGLEFINANCE(""BOM:""&amp;A15,""MARKETCAP"")/10000000"),886.0998)</f>
        <v>886.09979999999996</v>
      </c>
      <c r="G15" s="95">
        <f t="shared" ca="1" si="0"/>
        <v>1.0749300384902221E-2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530521</v>
      </c>
      <c r="B16" s="98" t="s">
        <v>4433</v>
      </c>
      <c r="C16" s="101"/>
      <c r="D16" s="101"/>
      <c r="E16" s="101">
        <f ca="1">IFERROR(__xludf.DUMMYFUNCTION("GOOGLEFINANCE(""BOM:""&amp;A16,""PRICE"")"),354.1)</f>
        <v>354.1</v>
      </c>
      <c r="F16" s="112">
        <f ca="1">IFERROR(__xludf.DUMMYFUNCTION("GOOGLEFINANCE(""BOM:""&amp;A16,""MARKETCAP"")/10000000"),514.2711241)</f>
        <v>514.27112409999995</v>
      </c>
      <c r="G16" s="95">
        <f t="shared" ca="1" si="0"/>
        <v>6.2386367678135433E-3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538598</v>
      </c>
      <c r="B17" s="98" t="s">
        <v>4434</v>
      </c>
      <c r="C17" s="101"/>
      <c r="D17" s="101"/>
      <c r="E17" s="101">
        <f ca="1">IFERROR(__xludf.DUMMYFUNCTION("GOOGLEFINANCE(""BOM:""&amp;A17,""PRICE"")"),20.49)</f>
        <v>20.49</v>
      </c>
      <c r="F17" s="112">
        <f ca="1">IFERROR(__xludf.DUMMYFUNCTION("GOOGLEFINANCE(""BOM:""&amp;A17,""MARKETCAP"")/10000000"),507.3528843)</f>
        <v>507.35288430000003</v>
      </c>
      <c r="G17" s="95">
        <f t="shared" ca="1" si="0"/>
        <v>6.1547114156748958E-3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533941</v>
      </c>
      <c r="B18" s="98" t="s">
        <v>4435</v>
      </c>
      <c r="C18" s="101"/>
      <c r="D18" s="101"/>
      <c r="E18" s="101">
        <f ca="1">IFERROR(__xludf.DUMMYFUNCTION("GOOGLEFINANCE(""BOM:""&amp;A18,""PRICE"")"),253.4)</f>
        <v>253.4</v>
      </c>
      <c r="F18" s="112">
        <f ca="1">IFERROR(__xludf.DUMMYFUNCTION("GOOGLEFINANCE(""BOM:""&amp;A18,""MARKETCAP"")/10000000"),371.5273735)</f>
        <v>371.52737350000001</v>
      </c>
      <c r="G18" s="95">
        <f t="shared" ca="1" si="0"/>
        <v>4.5070085096117407E-3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539399</v>
      </c>
      <c r="B19" s="98" t="s">
        <v>4436</v>
      </c>
      <c r="C19" s="101"/>
      <c r="D19" s="101"/>
      <c r="E19" s="101">
        <f ca="1">IFERROR(__xludf.DUMMYFUNCTION("GOOGLEFINANCE(""BOM:""&amp;A19,""PRICE"")"),274.7)</f>
        <v>274.7</v>
      </c>
      <c r="F19" s="112">
        <f ca="1">IFERROR(__xludf.DUMMYFUNCTION("GOOGLEFINANCE(""BOM:""&amp;A19,""MARKETCAP"")/10000000"),369.0931156)</f>
        <v>369.09311559999998</v>
      </c>
      <c r="G19" s="95">
        <f t="shared" ca="1" si="0"/>
        <v>4.4774784618886489E-3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544230</v>
      </c>
      <c r="B20" s="98" t="s">
        <v>4437</v>
      </c>
      <c r="C20" s="101"/>
      <c r="D20" s="101"/>
      <c r="E20" s="101">
        <f ca="1">IFERROR(__xludf.DUMMYFUNCTION("GOOGLEFINANCE(""BOM:""&amp;A20,""PRICE"")"),57.66)</f>
        <v>57.66</v>
      </c>
      <c r="F20" s="112">
        <f ca="1">IFERROR(__xludf.DUMMYFUNCTION("GOOGLEFINANCE(""BOM:""&amp;A20,""MARKETCAP"")/10000000"),229.0848369)</f>
        <v>229.0848369</v>
      </c>
      <c r="G20" s="95">
        <f t="shared" ca="1" si="0"/>
        <v>2.7790342865041074E-3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521163</v>
      </c>
      <c r="B21" s="98" t="s">
        <v>4438</v>
      </c>
      <c r="C21" s="101"/>
      <c r="D21" s="101"/>
      <c r="E21" s="101">
        <f ca="1">IFERROR(__xludf.DUMMYFUNCTION("GOOGLEFINANCE(""BOM:""&amp;A21,""PRICE"")"),67.12)</f>
        <v>67.12</v>
      </c>
      <c r="F21" s="112">
        <f ca="1">IFERROR(__xludf.DUMMYFUNCTION("GOOGLEFINANCE(""BOM:""&amp;A21,""MARKETCAP"")/10000000"),184.436187)</f>
        <v>184.43618699999999</v>
      </c>
      <c r="G21" s="95">
        <f t="shared" ca="1" si="0"/>
        <v>2.2374003198161177E-3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541144</v>
      </c>
      <c r="B22" s="98" t="s">
        <v>4439</v>
      </c>
      <c r="C22" s="101"/>
      <c r="D22" s="101"/>
      <c r="E22" s="101">
        <f ca="1">IFERROR(__xludf.DUMMYFUNCTION("GOOGLEFINANCE(""BOM:""&amp;A22,""PRICE"")"),95)</f>
        <v>95</v>
      </c>
      <c r="F22" s="112">
        <f ca="1">IFERROR(__xludf.DUMMYFUNCTION("GOOGLEFINANCE(""BOM:""&amp;A22,""MARKETCAP"")/10000000"),147.365995)</f>
        <v>147.365995</v>
      </c>
      <c r="G22" s="95">
        <f t="shared" ca="1" si="0"/>
        <v>1.7877008287046207E-3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532613</v>
      </c>
      <c r="B23" s="98" t="s">
        <v>4440</v>
      </c>
      <c r="C23" s="101"/>
      <c r="D23" s="101"/>
      <c r="E23" s="101">
        <f ca="1">IFERROR(__xludf.DUMMYFUNCTION("GOOGLEFINANCE(""BOM:""&amp;A23,""PRICE"")"),21.79)</f>
        <v>21.79</v>
      </c>
      <c r="F23" s="112">
        <f ca="1">IFERROR(__xludf.DUMMYFUNCTION("GOOGLEFINANCE(""BOM:""&amp;A23,""MARKETCAP"")/10000000"),196.3020354)</f>
        <v>196.30203539999999</v>
      </c>
      <c r="G23" s="95">
        <f t="shared" ca="1" si="0"/>
        <v>2.3813452442741881E-3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533329</v>
      </c>
      <c r="B24" s="98" t="s">
        <v>4441</v>
      </c>
      <c r="C24" s="101"/>
      <c r="D24" s="101"/>
      <c r="E24" s="101">
        <f ca="1">IFERROR(__xludf.DUMMYFUNCTION("GOOGLEFINANCE(""BOM:""&amp;A24,""PRICE"")"),31.44)</f>
        <v>31.44</v>
      </c>
      <c r="F24" s="112">
        <f ca="1">IFERROR(__xludf.DUMMYFUNCTION("GOOGLEFINANCE(""BOM:""&amp;A24,""MARKETCAP"")/10000000"),159.9602319)</f>
        <v>159.9602319</v>
      </c>
      <c r="G24" s="95">
        <f t="shared" ca="1" si="0"/>
        <v>1.9404818535471043E-3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532022</v>
      </c>
      <c r="B25" s="98" t="s">
        <v>4442</v>
      </c>
      <c r="C25" s="101"/>
      <c r="D25" s="101"/>
      <c r="E25" s="101">
        <f ca="1">IFERROR(__xludf.DUMMYFUNCTION("GOOGLEFINANCE(""BOM:""&amp;A25,""PRICE"")"),0.17)</f>
        <v>0.17</v>
      </c>
      <c r="F25" s="112">
        <f ca="1">IFERROR(__xludf.DUMMYFUNCTION("GOOGLEFINANCE(""BOM:""&amp;A25,""MARKETCAP"")/10000000"),141.6792764)</f>
        <v>141.67927639999999</v>
      </c>
      <c r="G25" s="95">
        <f t="shared" ca="1" si="0"/>
        <v>1.7187150931973893E-3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540952</v>
      </c>
      <c r="B26" s="98" t="s">
        <v>4443</v>
      </c>
      <c r="C26" s="101"/>
      <c r="D26" s="101"/>
      <c r="E26" s="101">
        <f ca="1">IFERROR(__xludf.DUMMYFUNCTION("GOOGLEFINANCE(""BOM:""&amp;A26,""PRICE"")"),7.43)</f>
        <v>7.43</v>
      </c>
      <c r="F26" s="112">
        <f ca="1">IFERROR(__xludf.DUMMYFUNCTION("GOOGLEFINANCE(""BOM:""&amp;A26,""MARKETCAP"")/10000000"),126.2703805)</f>
        <v>126.2703805</v>
      </c>
      <c r="G26" s="95">
        <f t="shared" ca="1" si="0"/>
        <v>1.5317893647085802E-3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531234</v>
      </c>
      <c r="B27" s="98" t="s">
        <v>4444</v>
      </c>
      <c r="C27" s="101"/>
      <c r="D27" s="101"/>
      <c r="E27" s="101">
        <f ca="1">IFERROR(__xludf.DUMMYFUNCTION("GOOGLEFINANCE(""BOM:""&amp;A27,""PRICE"")"),69.25)</f>
        <v>69.25</v>
      </c>
      <c r="F27" s="112">
        <f ca="1">IFERROR(__xludf.DUMMYFUNCTION("GOOGLEFINANCE(""BOM:""&amp;A27,""MARKETCAP"")/10000000"),117.1711385)</f>
        <v>117.1711385</v>
      </c>
      <c r="G27" s="95">
        <f t="shared" ca="1" si="0"/>
        <v>1.421406216520398E-3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507852</v>
      </c>
      <c r="B28" s="98" t="s">
        <v>4445</v>
      </c>
      <c r="C28" s="101"/>
      <c r="D28" s="101"/>
      <c r="E28" s="101">
        <f ca="1">IFERROR(__xludf.DUMMYFUNCTION("GOOGLEFINANCE(""BOM:""&amp;A28,""PRICE"")"),91.71)</f>
        <v>91.71</v>
      </c>
      <c r="F28" s="112">
        <f ca="1">IFERROR(__xludf.DUMMYFUNCTION("GOOGLEFINANCE(""BOM:""&amp;A28,""MARKETCAP"")/10000000"),99.0153424)</f>
        <v>99.015342399999994</v>
      </c>
      <c r="G28" s="95">
        <f t="shared" ca="1" si="0"/>
        <v>1.2011577682012175E-3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533343</v>
      </c>
      <c r="B29" s="98" t="s">
        <v>4446</v>
      </c>
      <c r="C29" s="101"/>
      <c r="D29" s="101"/>
      <c r="E29" s="101">
        <f ca="1">IFERROR(__xludf.DUMMYFUNCTION("GOOGLEFINANCE(""BOM:""&amp;A29,""PRICE"")"),64.05)</f>
        <v>64.05</v>
      </c>
      <c r="F29" s="112">
        <f ca="1">IFERROR(__xludf.DUMMYFUNCTION("GOOGLEFINANCE(""BOM:""&amp;A29,""MARKETCAP"")/10000000"),94.6903993)</f>
        <v>94.690399299999996</v>
      </c>
      <c r="G29" s="95">
        <f t="shared" ca="1" si="0"/>
        <v>1.1486917677241716E-3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543670</v>
      </c>
      <c r="B30" s="98" t="s">
        <v>4447</v>
      </c>
      <c r="C30" s="101"/>
      <c r="D30" s="101"/>
      <c r="E30" s="101">
        <f ca="1">IFERROR(__xludf.DUMMYFUNCTION("GOOGLEFINANCE(""BOM:""&amp;A30,""PRICE"")"),1.08)</f>
        <v>1.08</v>
      </c>
      <c r="F30" s="112">
        <f ca="1">IFERROR(__xludf.DUMMYFUNCTION("GOOGLEFINANCE(""BOM:""&amp;A30,""MARKETCAP"")/10000000"),49.7587987)</f>
        <v>49.7587987</v>
      </c>
      <c r="G30" s="95">
        <f t="shared" ca="1" si="0"/>
        <v>6.0362531852301753E-4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532946</v>
      </c>
      <c r="B31" s="98" t="s">
        <v>4448</v>
      </c>
      <c r="C31" s="101"/>
      <c r="D31" s="101"/>
      <c r="E31" s="101">
        <f ca="1">IFERROR(__xludf.DUMMYFUNCTION("GOOGLEFINANCE(""BOM:""&amp;A31,""PRICE"")"),31.56)</f>
        <v>31.56</v>
      </c>
      <c r="F31" s="112">
        <f ca="1">IFERROR(__xludf.DUMMYFUNCTION("GOOGLEFINANCE(""BOM:""&amp;A31,""MARKETCAP"")/10000000"),43.7663342)</f>
        <v>43.766334200000003</v>
      </c>
      <c r="G31" s="95">
        <f t="shared" ca="1" si="0"/>
        <v>5.309305713214463E-4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532695</v>
      </c>
      <c r="B32" s="98" t="s">
        <v>4449</v>
      </c>
      <c r="C32" s="101"/>
      <c r="D32" s="101"/>
      <c r="E32" s="101">
        <f ca="1">IFERROR(__xludf.DUMMYFUNCTION("GOOGLEFINANCE(""BOM:""&amp;A32,""PRICE"")"),6.94)</f>
        <v>6.94</v>
      </c>
      <c r="F32" s="112">
        <f ca="1">IFERROR(__xludf.DUMMYFUNCTION("GOOGLEFINANCE(""BOM:""&amp;A32,""MARKETCAP"")/10000000"),44.2801689)</f>
        <v>44.2801689</v>
      </c>
      <c r="G32" s="95">
        <f t="shared" ca="1" si="0"/>
        <v>5.3716391381682441E-4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539216</v>
      </c>
      <c r="B33" s="98" t="s">
        <v>4450</v>
      </c>
      <c r="C33" s="101"/>
      <c r="D33" s="101"/>
      <c r="E33" s="101">
        <f ca="1">IFERROR(__xludf.DUMMYFUNCTION("GOOGLEFINANCE(""BOM:""&amp;A33,""PRICE"")"),1.45)</f>
        <v>1.45</v>
      </c>
      <c r="F33" s="112">
        <f ca="1">IFERROR(__xludf.DUMMYFUNCTION("GOOGLEFINANCE(""BOM:""&amp;A33,""MARKETCAP"")/10000000"),29.1113609)</f>
        <v>29.111360900000001</v>
      </c>
      <c r="G33" s="95">
        <f t="shared" ca="1" si="0"/>
        <v>3.5315069806741571E-4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526161</v>
      </c>
      <c r="B34" s="98" t="s">
        <v>4451</v>
      </c>
      <c r="C34" s="101"/>
      <c r="D34" s="101"/>
      <c r="E34" s="101">
        <f ca="1">IFERROR(__xludf.DUMMYFUNCTION("GOOGLEFINANCE(""BOM:""&amp;A34,""PRICE"")"),92)</f>
        <v>92</v>
      </c>
      <c r="F34" s="112">
        <f ca="1">IFERROR(__xludf.DUMMYFUNCTION("GOOGLEFINANCE(""BOM:""&amp;A34,""MARKETCAP"")/10000000"),25.4317992)</f>
        <v>25.4317992</v>
      </c>
      <c r="G34" s="95">
        <f t="shared" ca="1" si="0"/>
        <v>3.0851383662349998E-4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544331</v>
      </c>
      <c r="B35" s="98" t="s">
        <v>4452</v>
      </c>
      <c r="C35" s="101"/>
      <c r="D35" s="101"/>
      <c r="E35" s="101">
        <f ca="1">IFERROR(__xludf.DUMMYFUNCTION("GOOGLEFINANCE(""BOM:""&amp;A35,""PRICE"")"),24.5)</f>
        <v>24.5</v>
      </c>
      <c r="F35" s="112">
        <f ca="1">IFERROR(__xludf.DUMMYFUNCTION("GOOGLEFINANCE(""BOM:""&amp;A35,""MARKETCAP"")/10000000"),16.20134)</f>
        <v>16.201339999999998</v>
      </c>
      <c r="G35" s="95">
        <f t="shared" ca="1" si="0"/>
        <v>1.9653888907088314E-4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544508</v>
      </c>
      <c r="B36" s="98" t="s">
        <v>4453</v>
      </c>
      <c r="C36" s="101"/>
      <c r="D36" s="101"/>
      <c r="E36" s="101">
        <f ca="1">IFERROR(__xludf.DUMMYFUNCTION("GOOGLEFINANCE(""BOM:""&amp;A36,""PRICE"")"),58.9)</f>
        <v>58.9</v>
      </c>
      <c r="F36" s="112">
        <f ca="1">IFERROR(__xludf.DUMMYFUNCTION("GOOGLEFINANCE(""BOM:""&amp;A36,""MARKETCAP"")/10000000"),13.8813049)</f>
        <v>13.8813049</v>
      </c>
      <c r="G36" s="95">
        <f t="shared" ca="1" si="0"/>
        <v>1.6839448119107474E-4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506146</v>
      </c>
      <c r="B37" s="98" t="s">
        <v>4454</v>
      </c>
      <c r="C37" s="101"/>
      <c r="D37" s="101"/>
      <c r="E37" s="101">
        <f ca="1">IFERROR(__xludf.DUMMYFUNCTION("GOOGLEFINANCE(""BOM:""&amp;A37,""PRICE"")"),0.55)</f>
        <v>0.55000000000000004</v>
      </c>
      <c r="F37" s="112">
        <f ca="1">IFERROR(__xludf.DUMMYFUNCTION("GOOGLEFINANCE(""BOM:""&amp;A37,""MARKETCAP"")/10000000"),15.7631378)</f>
        <v>15.763137800000001</v>
      </c>
      <c r="G37" s="95">
        <f t="shared" ca="1" si="0"/>
        <v>1.9122304645685144E-4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544221</v>
      </c>
      <c r="B38" s="98" t="s">
        <v>4455</v>
      </c>
      <c r="C38" s="101"/>
      <c r="D38" s="101"/>
      <c r="E38" s="101">
        <f ca="1">IFERROR(__xludf.DUMMYFUNCTION("GOOGLEFINANCE(""BOM:""&amp;A38,""PRICE"")"),14.5)</f>
        <v>14.5</v>
      </c>
      <c r="F38" s="112">
        <f ca="1">IFERROR(__xludf.DUMMYFUNCTION("GOOGLEFINANCE(""BOM:""&amp;A38,""MARKETCAP"")/10000000"),11.33784)</f>
        <v>11.33784</v>
      </c>
      <c r="G38" s="95">
        <f t="shared" ca="1" si="0"/>
        <v>1.3753964042871898E-4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544015</v>
      </c>
      <c r="B39" s="98" t="s">
        <v>4456</v>
      </c>
      <c r="C39" s="101"/>
      <c r="D39" s="101"/>
      <c r="E39" s="101">
        <f ca="1">IFERROR(__xludf.DUMMYFUNCTION("GOOGLEFINANCE(""BOM:""&amp;A39,""PRICE"")"),34.23)</f>
        <v>34.229999999999997</v>
      </c>
      <c r="F39" s="112">
        <f ca="1">IFERROR(__xludf.DUMMYFUNCTION("GOOGLEFINANCE(""BOM:""&amp;A39,""MARKETCAP"")/10000000"),10.8954054)</f>
        <v>10.8954054</v>
      </c>
      <c r="G39" s="95">
        <f t="shared" ca="1" si="0"/>
        <v>1.3217245445703264E-4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521206</v>
      </c>
      <c r="B40" s="98" t="s">
        <v>4457</v>
      </c>
      <c r="C40" s="101"/>
      <c r="D40" s="101"/>
      <c r="E40" s="101">
        <f ca="1">IFERROR(__xludf.DUMMYFUNCTION("GOOGLEFINANCE(""BOM:""&amp;A40,""PRICE"")"),1.18)</f>
        <v>1.18</v>
      </c>
      <c r="F40" s="112">
        <f ca="1">IFERROR(__xludf.DUMMYFUNCTION("GOOGLEFINANCE(""BOM:""&amp;A40,""MARKETCAP"")/10000000"),8.7909996)</f>
        <v>8.7909995999999992</v>
      </c>
      <c r="G40" s="95">
        <f t="shared" ca="1" si="0"/>
        <v>1.0664385138553835E-4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3.2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3.2">
      <c r="A42" s="101"/>
      <c r="B42" s="101"/>
      <c r="C42" s="101"/>
      <c r="D42" s="101"/>
      <c r="E42" s="101"/>
      <c r="F42" s="112">
        <f ca="1">SUM(F1:F40)</f>
        <v>82433.25316729999</v>
      </c>
      <c r="G42" s="95">
        <f t="shared" ref="G42:O42" ca="1" si="1">SUM(G2:G40)</f>
        <v>1</v>
      </c>
      <c r="H42" s="101">
        <f t="shared" si="1"/>
        <v>19386</v>
      </c>
      <c r="I42" s="101">
        <f t="shared" si="1"/>
        <v>17994</v>
      </c>
      <c r="J42" s="101">
        <f t="shared" si="1"/>
        <v>1280</v>
      </c>
      <c r="K42" s="101">
        <f t="shared" si="1"/>
        <v>1321</v>
      </c>
      <c r="L42" s="101">
        <f t="shared" si="1"/>
        <v>6653</v>
      </c>
      <c r="M42" s="101">
        <f t="shared" si="1"/>
        <v>6164</v>
      </c>
      <c r="N42" s="101">
        <f t="shared" si="1"/>
        <v>420</v>
      </c>
      <c r="O42" s="101">
        <f t="shared" si="1"/>
        <v>508</v>
      </c>
      <c r="P42" s="95">
        <f t="shared" ref="P42:Q42" si="2">J42/H42</f>
        <v>6.6027029815330651E-2</v>
      </c>
      <c r="Q42" s="95">
        <f t="shared" si="2"/>
        <v>7.3413360008891856E-2</v>
      </c>
      <c r="R42" s="95">
        <f>P42-Q42</f>
        <v>-7.3863301935612052E-3</v>
      </c>
      <c r="S42" s="95">
        <f t="shared" ref="S42:T42" si="3">N42/L42</f>
        <v>6.31294153013678E-2</v>
      </c>
      <c r="T42" s="95">
        <f t="shared" si="3"/>
        <v>8.2414016872160933E-2</v>
      </c>
      <c r="U42" s="95">
        <f>S42-T42</f>
        <v>-1.9284601570793133E-2</v>
      </c>
      <c r="V42" s="95">
        <f>(H42/I42)-1</f>
        <v>7.7359119706568835E-2</v>
      </c>
      <c r="W42" s="95">
        <f>(J42/K42)-1</f>
        <v>-3.1037093111279335E-2</v>
      </c>
      <c r="X42" s="95">
        <f>(L42/M42)-1</f>
        <v>7.9331602855288841E-2</v>
      </c>
      <c r="Y42" s="95">
        <f>(N42/O42)-1</f>
        <v>-0.17322834645669294</v>
      </c>
    </row>
  </sheetData>
  <autoFilter ref="A1:Y40" xr:uid="{00000000-0009-0000-0000-000082000000}"/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343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540203</v>
      </c>
      <c r="B2" s="98" t="s">
        <v>4458</v>
      </c>
      <c r="C2" s="101" t="str">
        <f>VLOOKUP(A2,'BSE ALL CAP'!$B$4:$Y$1038,2,)</f>
        <v>Consumer Discretionary</v>
      </c>
      <c r="D2" s="101" t="str">
        <f>VLOOKUP(A2,'BSE ALL CAP'!$B$4:$Y$1038,3,)</f>
        <v>Furniture, Home Furnishing</v>
      </c>
      <c r="E2" s="101">
        <f ca="1">IFERROR(__xludf.DUMMYFUNCTION("GOOGLEFINANCE(""BOM:""&amp;A2,""PRICE"")"),502.45)</f>
        <v>502.45</v>
      </c>
      <c r="F2" s="112">
        <f ca="1">IFERROR(__xludf.DUMMYFUNCTION("GOOGLEFINANCE(""BOM:""&amp;A2,""MARKETCAP"")/10000000"),5469.2353833)</f>
        <v>5469.2353832999997</v>
      </c>
      <c r="G2" s="95">
        <f t="shared" ref="G2:G13" ca="1" si="0">F2/$F$15</f>
        <v>0.28925850344705095</v>
      </c>
      <c r="H2" s="101">
        <f>VLOOKUP(A2,'BSE ALL CAP'!$B$4:$Y$1038,7,)</f>
        <v>2771</v>
      </c>
      <c r="I2" s="101">
        <f>VLOOKUP(A2,'BSE ALL CAP'!$B$4:$Y$1038,8,)</f>
        <v>2590</v>
      </c>
      <c r="J2" s="101">
        <f>VLOOKUP(A2,'BSE ALL CAP'!$B$4:$Y$1038,9,)</f>
        <v>69</v>
      </c>
      <c r="K2" s="101">
        <f>VLOOKUP(A2,'BSE ALL CAP'!$B$4:$Y$1038,10,)</f>
        <v>77</v>
      </c>
      <c r="L2" s="101">
        <f>VLOOKUP(A2,'BSE ALL CAP'!$B$4:$Y$1038,11,)</f>
        <v>1074</v>
      </c>
      <c r="M2" s="101">
        <f>VLOOKUP(A2,'BSE ALL CAP'!$B$4:$Y$1038,12,)</f>
        <v>967</v>
      </c>
      <c r="N2" s="101">
        <f>VLOOKUP(A2,'BSE ALL CAP'!$B$4:$Y$1038,13,)</f>
        <v>53</v>
      </c>
      <c r="O2" s="101">
        <f>VLOOKUP(A2,'BSE ALL CAP'!$B$4:$Y$1038,14,)</f>
        <v>17</v>
      </c>
      <c r="P2" s="95">
        <f>VLOOKUP(A2,'BSE ALL CAP'!$B$4:$Y$1038,15,)</f>
        <v>2.4900757849151932E-2</v>
      </c>
      <c r="Q2" s="95">
        <f>VLOOKUP(A2,'BSE ALL CAP'!$B$4:$Y$1038,16,)</f>
        <v>2.9729729729729731E-2</v>
      </c>
      <c r="R2" s="95">
        <f>VLOOKUP(A2,'BSE ALL CAP'!$B$4:$Y$1038,17,)</f>
        <v>-4.8289718805777995E-3</v>
      </c>
      <c r="S2" s="95">
        <f>VLOOKUP(A2,'BSE ALL CAP'!$B$4:$Y$1038,18,)</f>
        <v>4.9348230912476726E-2</v>
      </c>
      <c r="T2" s="95">
        <f>VLOOKUP(A2,'BSE ALL CAP'!$B$4:$Y$1038,19,)</f>
        <v>1.7580144777662874E-2</v>
      </c>
      <c r="U2" s="95">
        <f>VLOOKUP(A2,'BSE ALL CAP'!$B$4:$Y$1038,20,)</f>
        <v>3.1768086134813855E-2</v>
      </c>
      <c r="V2" s="95">
        <f>VLOOKUP(A2,'BSE ALL CAP'!$B$4:$Y$1038,21,)</f>
        <v>6.98841698841699E-2</v>
      </c>
      <c r="W2" s="95">
        <f>VLOOKUP(A2,'BSE ALL CAP'!$B$4:$Y$1038,22,)</f>
        <v>-0.10389610389610393</v>
      </c>
      <c r="X2" s="95">
        <f>VLOOKUP(A2,'BSE ALL CAP'!$B$4:$Y$1038,23,)</f>
        <v>0.11065149948293684</v>
      </c>
      <c r="Y2" s="95">
        <f>VLOOKUP(A2,'BSE ALL CAP'!$B$4:$Y$1038,24,)</f>
        <v>2.1176470588235294</v>
      </c>
    </row>
    <row r="3" spans="1:25" ht="15.75" customHeight="1">
      <c r="A3" s="99">
        <v>544642</v>
      </c>
      <c r="B3" s="98" t="s">
        <v>4459</v>
      </c>
      <c r="C3" s="101" t="e">
        <f>VLOOKUP(A3,'BSE ALL CAP'!$B$4:$Y$1038,2,)</f>
        <v>#N/A</v>
      </c>
      <c r="D3" s="101" t="e">
        <f>VLOOKUP(A3,'BSE ALL CAP'!$B$4:$Y$1038,3,)</f>
        <v>#N/A</v>
      </c>
      <c r="E3" s="101">
        <f ca="1">IFERROR(__xludf.DUMMYFUNCTION("GOOGLEFINANCE(""BOM:""&amp;A3,""PRICE"")"),146.1)</f>
        <v>146.1</v>
      </c>
      <c r="F3" s="112">
        <f ca="1">IFERROR(__xludf.DUMMYFUNCTION("GOOGLEFINANCE(""BOM:""&amp;A3,""MARKETCAP"")/10000000"),4821.4732592)</f>
        <v>4821.4732592</v>
      </c>
      <c r="G3" s="95">
        <f t="shared" ca="1" si="0"/>
        <v>0.25499947280101681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505509</v>
      </c>
      <c r="B4" s="98" t="s">
        <v>4460</v>
      </c>
      <c r="C4" s="101" t="str">
        <f>VLOOKUP(A4,'BSE ALL CAP'!$B$4:$Y$1038,2,)</f>
        <v>Consumer Discretionary</v>
      </c>
      <c r="D4" s="101" t="str">
        <f>VLOOKUP(A4,'BSE ALL CAP'!$B$4:$Y$1038,3,)</f>
        <v>Furniture, Home Furnishing</v>
      </c>
      <c r="E4" s="101">
        <f ca="1">IFERROR(__xludf.DUMMYFUNCTION("GOOGLEFINANCE(""BOM:""&amp;A4,""PRICE"")"),132.9)</f>
        <v>132.9</v>
      </c>
      <c r="F4" s="112">
        <f ca="1">IFERROR(__xludf.DUMMYFUNCTION("GOOGLEFINANCE(""BOM:""&amp;A4,""MARKETCAP"")/10000000"),3522.4313718)</f>
        <v>3522.4313717999999</v>
      </c>
      <c r="G4" s="95">
        <f t="shared" ca="1" si="0"/>
        <v>0.18629536958912818</v>
      </c>
      <c r="H4" s="101">
        <f>VLOOKUP(A4,'BSE ALL CAP'!$B$4:$Y$1038,7,)</f>
        <v>963</v>
      </c>
      <c r="I4" s="101">
        <f>VLOOKUP(A4,'BSE ALL CAP'!$B$4:$Y$1038,8,)</f>
        <v>1037</v>
      </c>
      <c r="J4" s="101">
        <f>VLOOKUP(A4,'BSE ALL CAP'!$B$4:$Y$1038,9,)</f>
        <v>125</v>
      </c>
      <c r="K4" s="101">
        <f>VLOOKUP(A4,'BSE ALL CAP'!$B$4:$Y$1038,10,)</f>
        <v>144</v>
      </c>
      <c r="L4" s="101">
        <f>VLOOKUP(A4,'BSE ALL CAP'!$B$4:$Y$1038,11,)</f>
        <v>311</v>
      </c>
      <c r="M4" s="101">
        <f>VLOOKUP(A4,'BSE ALL CAP'!$B$4:$Y$1038,12,)</f>
        <v>367</v>
      </c>
      <c r="N4" s="101">
        <f>VLOOKUP(A4,'BSE ALL CAP'!$B$4:$Y$1038,13,)</f>
        <v>22</v>
      </c>
      <c r="O4" s="101">
        <f>VLOOKUP(A4,'BSE ALL CAP'!$B$4:$Y$1038,14,)</f>
        <v>46</v>
      </c>
      <c r="P4" s="95">
        <f>VLOOKUP(A4,'BSE ALL CAP'!$B$4:$Y$1038,15,)</f>
        <v>0.12980269989615784</v>
      </c>
      <c r="Q4" s="95">
        <f>VLOOKUP(A4,'BSE ALL CAP'!$B$4:$Y$1038,16,)</f>
        <v>0.13886210221793635</v>
      </c>
      <c r="R4" s="95">
        <f>VLOOKUP(A4,'BSE ALL CAP'!$B$4:$Y$1038,17,)</f>
        <v>-9.0594023217785147E-3</v>
      </c>
      <c r="S4" s="95">
        <f>VLOOKUP(A4,'BSE ALL CAP'!$B$4:$Y$1038,18,)</f>
        <v>7.0739549839228297E-2</v>
      </c>
      <c r="T4" s="95">
        <f>VLOOKUP(A4,'BSE ALL CAP'!$B$4:$Y$1038,19,)</f>
        <v>0.12534059945504086</v>
      </c>
      <c r="U4" s="95">
        <f>VLOOKUP(A4,'BSE ALL CAP'!$B$4:$Y$1038,20,)</f>
        <v>-5.4601049615812566E-2</v>
      </c>
      <c r="V4" s="95">
        <f>VLOOKUP(A4,'BSE ALL CAP'!$B$4:$Y$1038,21,)</f>
        <v>-7.1359691417550608E-2</v>
      </c>
      <c r="W4" s="95">
        <f>VLOOKUP(A4,'BSE ALL CAP'!$B$4:$Y$1038,22,)</f>
        <v>-0.13194444444444442</v>
      </c>
      <c r="X4" s="95">
        <f>VLOOKUP(A4,'BSE ALL CAP'!$B$4:$Y$1038,23,)</f>
        <v>-0.15258855585831066</v>
      </c>
      <c r="Y4" s="95">
        <f>VLOOKUP(A4,'BSE ALL CAP'!$B$4:$Y$1038,24,)</f>
        <v>-0.52173913043478259</v>
      </c>
    </row>
    <row r="5" spans="1:25" ht="15.75" customHeight="1">
      <c r="A5" s="99">
        <v>544519</v>
      </c>
      <c r="B5" s="98" t="s">
        <v>4461</v>
      </c>
      <c r="C5" s="101"/>
      <c r="D5" s="101"/>
      <c r="E5" s="101">
        <f ca="1">IFERROR(__xludf.DUMMYFUNCTION("GOOGLEFINANCE(""BOM:""&amp;A5,""PRICE"")"),219.5)</f>
        <v>219.5</v>
      </c>
      <c r="F5" s="112">
        <f ca="1">IFERROR(__xludf.DUMMYFUNCTION("GOOGLEFINANCE(""BOM:""&amp;A5,""MARKETCAP"")/10000000"),2244.4142062)</f>
        <v>2244.4142062000001</v>
      </c>
      <c r="G5" s="95">
        <f t="shared" ca="1" si="0"/>
        <v>0.1187032279471929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509675</v>
      </c>
      <c r="B6" s="98" t="s">
        <v>4462</v>
      </c>
      <c r="C6" s="101"/>
      <c r="D6" s="101"/>
      <c r="E6" s="101">
        <f ca="1">IFERROR(__xludf.DUMMYFUNCTION("GOOGLEFINANCE(""BOM:""&amp;A6,""PRICE"")"),1407.25)</f>
        <v>1407.25</v>
      </c>
      <c r="F6" s="112">
        <f ca="1">IFERROR(__xludf.DUMMYFUNCTION("GOOGLEFINANCE(""BOM:""&amp;A6,""MARKETCAP"")/10000000"),1059.2704671)</f>
        <v>1059.2704670999999</v>
      </c>
      <c r="G6" s="95">
        <f t="shared" ca="1" si="0"/>
        <v>5.6023002958437068E-2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544202</v>
      </c>
      <c r="B7" s="98" t="s">
        <v>4463</v>
      </c>
      <c r="C7" s="101"/>
      <c r="D7" s="101"/>
      <c r="E7" s="101">
        <f ca="1">IFERROR(__xludf.DUMMYFUNCTION("GOOGLEFINANCE(""BOM:""&amp;A7,""PRICE"")"),128)</f>
        <v>128</v>
      </c>
      <c r="F7" s="112">
        <f ca="1">IFERROR(__xludf.DUMMYFUNCTION("GOOGLEFINANCE(""BOM:""&amp;A7,""MARKETCAP"")/10000000"),731.208448)</f>
        <v>731.20844799999998</v>
      </c>
      <c r="G7" s="95">
        <f t="shared" ca="1" si="0"/>
        <v>3.8672363969221225E-2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541276</v>
      </c>
      <c r="B8" s="98" t="s">
        <v>4464</v>
      </c>
      <c r="C8" s="101"/>
      <c r="D8" s="101"/>
      <c r="E8" s="101">
        <f ca="1">IFERROR(__xludf.DUMMYFUNCTION("GOOGLEFINANCE(""BOM:""&amp;A8,""PRICE"")"),20)</f>
        <v>20</v>
      </c>
      <c r="F8" s="112">
        <f ca="1">IFERROR(__xludf.DUMMYFUNCTION("GOOGLEFINANCE(""BOM:""&amp;A8,""MARKETCAP"")/10000000"),976.868)</f>
        <v>976.86800000000005</v>
      </c>
      <c r="G8" s="95">
        <f t="shared" ca="1" si="0"/>
        <v>5.1664877435722956E-2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540904</v>
      </c>
      <c r="B9" s="98" t="s">
        <v>4465</v>
      </c>
      <c r="C9" s="101"/>
      <c r="D9" s="101"/>
      <c r="E9" s="101">
        <f ca="1">IFERROR(__xludf.DUMMYFUNCTION("GOOGLEFINANCE(""BOM:""&amp;A9,""PRICE"")"),72.06)</f>
        <v>72.06</v>
      </c>
      <c r="F9" s="112">
        <f ca="1">IFERROR(__xludf.DUMMYFUNCTION("GOOGLEFINANCE(""BOM:""&amp;A9,""MARKETCAP"")/10000000"),31.7568337)</f>
        <v>31.756833700000001</v>
      </c>
      <c r="G9" s="95">
        <f t="shared" ca="1" si="0"/>
        <v>1.6795646094018193E-3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541337</v>
      </c>
      <c r="B10" s="98" t="s">
        <v>4466</v>
      </c>
      <c r="C10" s="101"/>
      <c r="D10" s="101"/>
      <c r="E10" s="101">
        <f ca="1">IFERROR(__xludf.DUMMYFUNCTION("GOOGLEFINANCE(""BOM:""&amp;A10,""PRICE"")"),26.83)</f>
        <v>26.83</v>
      </c>
      <c r="F10" s="112">
        <f ca="1">IFERROR(__xludf.DUMMYFUNCTION("GOOGLEFINANCE(""BOM:""&amp;A10,""MARKETCAP"")/10000000"),24.9438509)</f>
        <v>24.943850900000001</v>
      </c>
      <c r="G10" s="95">
        <f t="shared" ca="1" si="0"/>
        <v>1.3192376037739467E-3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543519</v>
      </c>
      <c r="B11" s="98" t="s">
        <v>4467</v>
      </c>
      <c r="C11" s="101"/>
      <c r="D11" s="101"/>
      <c r="E11" s="101">
        <f ca="1">IFERROR(__xludf.DUMMYFUNCTION("GOOGLEFINANCE(""BOM:""&amp;A11,""PRICE"")"),95.75)</f>
        <v>95.75</v>
      </c>
      <c r="F11" s="112">
        <f ca="1">IFERROR(__xludf.DUMMYFUNCTION("GOOGLEFINANCE(""BOM:""&amp;A11,""MARKETCAP"")/10000000"),19.9926)</f>
        <v>19.992599999999999</v>
      </c>
      <c r="G11" s="95">
        <f t="shared" ca="1" si="0"/>
        <v>1.0573744135558077E-3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544188</v>
      </c>
      <c r="B12" s="98" t="s">
        <v>4468</v>
      </c>
      <c r="C12" s="101"/>
      <c r="D12" s="101"/>
      <c r="E12" s="101">
        <f ca="1">IFERROR(__xludf.DUMMYFUNCTION("GOOGLEFINANCE(""BOM:""&amp;A12,""PRICE"")"),9)</f>
        <v>9</v>
      </c>
      <c r="F12" s="112">
        <f ca="1">IFERROR(__xludf.DUMMYFUNCTION("GOOGLEFINANCE(""BOM:""&amp;A12,""MARKETCAP"")/10000000"),6.182942)</f>
        <v>6.1829419999999997</v>
      </c>
      <c r="G12" s="95">
        <f t="shared" ca="1" si="0"/>
        <v>3.2700522549841302E-4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531928</v>
      </c>
      <c r="B13" s="98" t="s">
        <v>4469</v>
      </c>
      <c r="C13" s="101"/>
      <c r="D13" s="101"/>
      <c r="E13" s="101">
        <f ca="1">IFERROR(__xludf.DUMMYFUNCTION("GOOGLEFINANCE(""BOM:""&amp;A13,""PRICE"")"),9.37)</f>
        <v>9.3699999999999992</v>
      </c>
      <c r="F13" s="112"/>
      <c r="G13" s="95">
        <f t="shared" ca="1" si="0"/>
        <v>0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>
      <c r="A14" s="101"/>
      <c r="B14" s="101"/>
      <c r="C14" s="101"/>
      <c r="D14" s="101"/>
      <c r="E14" s="101"/>
      <c r="F14" s="335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>
      <c r="A15" s="101"/>
      <c r="B15" s="101"/>
      <c r="C15" s="101"/>
      <c r="D15" s="101"/>
      <c r="E15" s="101"/>
      <c r="F15" s="112">
        <f t="shared" ref="F15:O15" ca="1" si="1">SUM(F1:F13)</f>
        <v>18907.777362199999</v>
      </c>
      <c r="G15" s="95">
        <f t="shared" ca="1" si="1"/>
        <v>1</v>
      </c>
      <c r="H15" s="112">
        <f t="shared" si="1"/>
        <v>3734</v>
      </c>
      <c r="I15" s="112">
        <f t="shared" si="1"/>
        <v>3627</v>
      </c>
      <c r="J15" s="112">
        <f t="shared" si="1"/>
        <v>194</v>
      </c>
      <c r="K15" s="112">
        <f t="shared" si="1"/>
        <v>221</v>
      </c>
      <c r="L15" s="101">
        <f t="shared" si="1"/>
        <v>1385</v>
      </c>
      <c r="M15" s="101">
        <f t="shared" si="1"/>
        <v>1334</v>
      </c>
      <c r="N15" s="112">
        <f t="shared" si="1"/>
        <v>75</v>
      </c>
      <c r="O15" s="112">
        <f t="shared" si="1"/>
        <v>63</v>
      </c>
      <c r="P15" s="95">
        <f t="shared" ref="P15:Q15" si="2">J15/H15</f>
        <v>5.195500803427959E-2</v>
      </c>
      <c r="Q15" s="95">
        <f t="shared" si="2"/>
        <v>6.093189964157706E-2</v>
      </c>
      <c r="R15" s="95">
        <f>P15-Q15</f>
        <v>-8.97689160729747E-3</v>
      </c>
      <c r="S15" s="95">
        <f t="shared" ref="S15:T15" si="3">N15/L15</f>
        <v>5.4151624548736461E-2</v>
      </c>
      <c r="T15" s="95">
        <f t="shared" si="3"/>
        <v>4.7226386806596701E-2</v>
      </c>
      <c r="U15" s="95">
        <f>S15-T15</f>
        <v>6.9252377421397601E-3</v>
      </c>
      <c r="V15" s="95">
        <f>(H15/I15)-1</f>
        <v>2.9500964984835898E-2</v>
      </c>
      <c r="W15" s="95">
        <f>(J15/K15)-1</f>
        <v>-0.12217194570135748</v>
      </c>
      <c r="X15" s="95">
        <f>(L15/M15)-1</f>
        <v>3.8230884557721057E-2</v>
      </c>
      <c r="Y15" s="95">
        <f>(N15/O15)-1</f>
        <v>0.19047619047619047</v>
      </c>
    </row>
    <row r="16" spans="1:25">
      <c r="F16" s="50"/>
    </row>
    <row r="17" spans="6:6">
      <c r="F17" s="50"/>
    </row>
    <row r="18" spans="6:6">
      <c r="F18" s="50"/>
    </row>
    <row r="19" spans="6:6">
      <c r="F19" s="50"/>
    </row>
    <row r="20" spans="6:6">
      <c r="F20" s="50"/>
    </row>
    <row r="21" spans="6:6">
      <c r="F21" s="50"/>
    </row>
    <row r="22" spans="6:6">
      <c r="F22" s="50"/>
    </row>
    <row r="23" spans="6:6">
      <c r="F23" s="50"/>
    </row>
    <row r="24" spans="6:6">
      <c r="F24" s="50"/>
    </row>
    <row r="25" spans="6:6" ht="13.2">
      <c r="F25" s="50"/>
    </row>
    <row r="26" spans="6:6" ht="13.2">
      <c r="F26" s="50"/>
    </row>
    <row r="27" spans="6:6" ht="13.2">
      <c r="F27" s="50"/>
    </row>
    <row r="28" spans="6:6" ht="13.2">
      <c r="F28" s="50"/>
    </row>
    <row r="29" spans="6:6" ht="13.2">
      <c r="F29" s="50"/>
    </row>
    <row r="30" spans="6:6" ht="13.2">
      <c r="F30" s="50"/>
    </row>
    <row r="31" spans="6:6" ht="13.2">
      <c r="F31" s="50"/>
    </row>
    <row r="32" spans="6:6" ht="13.2">
      <c r="F32" s="50"/>
    </row>
    <row r="33" spans="6:6" ht="13.2">
      <c r="F33" s="50"/>
    </row>
    <row r="34" spans="6:6" ht="13.2">
      <c r="F34" s="50"/>
    </row>
    <row r="35" spans="6:6" ht="13.2">
      <c r="F35" s="50"/>
    </row>
    <row r="36" spans="6:6" ht="13.2">
      <c r="F36" s="50"/>
    </row>
    <row r="37" spans="6:6" ht="13.2">
      <c r="F37" s="50"/>
    </row>
    <row r="38" spans="6:6" ht="13.2">
      <c r="F38" s="50"/>
    </row>
    <row r="39" spans="6:6" ht="13.2">
      <c r="F39" s="50"/>
    </row>
    <row r="40" spans="6:6" ht="13.2">
      <c r="F40" s="50"/>
    </row>
    <row r="41" spans="6:6" ht="13.2">
      <c r="F41" s="50"/>
    </row>
    <row r="42" spans="6:6" ht="13.2">
      <c r="F42" s="50"/>
    </row>
    <row r="43" spans="6:6" ht="13.2">
      <c r="F43" s="50"/>
    </row>
    <row r="44" spans="6:6" ht="13.2">
      <c r="F44" s="50"/>
    </row>
    <row r="45" spans="6:6" ht="13.2">
      <c r="F45" s="50"/>
    </row>
    <row r="46" spans="6:6" ht="13.2">
      <c r="F46" s="50"/>
    </row>
    <row r="47" spans="6:6" ht="13.2">
      <c r="F47" s="50"/>
    </row>
    <row r="48" spans="6:6" ht="13.2">
      <c r="F48" s="50"/>
    </row>
    <row r="49" spans="6:6" ht="13.2">
      <c r="F49" s="50"/>
    </row>
    <row r="50" spans="6:6" ht="13.2">
      <c r="F50" s="50"/>
    </row>
    <row r="51" spans="6:6" ht="13.2">
      <c r="F51" s="50"/>
    </row>
    <row r="52" spans="6:6" ht="13.2">
      <c r="F52" s="50"/>
    </row>
    <row r="53" spans="6:6" ht="13.2">
      <c r="F53" s="50"/>
    </row>
    <row r="54" spans="6:6" ht="13.2">
      <c r="F54" s="50"/>
    </row>
    <row r="55" spans="6:6" ht="13.2">
      <c r="F55" s="50"/>
    </row>
    <row r="56" spans="6:6" ht="13.2">
      <c r="F56" s="50"/>
    </row>
    <row r="57" spans="6:6" ht="13.2">
      <c r="F57" s="50"/>
    </row>
    <row r="58" spans="6:6" ht="13.2">
      <c r="F58" s="50"/>
    </row>
    <row r="59" spans="6:6" ht="13.2">
      <c r="F59" s="50"/>
    </row>
    <row r="60" spans="6:6" ht="13.2">
      <c r="F60" s="50"/>
    </row>
    <row r="61" spans="6:6" ht="13.2">
      <c r="F61" s="50"/>
    </row>
    <row r="62" spans="6:6" ht="13.2">
      <c r="F62" s="50"/>
    </row>
    <row r="63" spans="6:6" ht="13.2">
      <c r="F63" s="50"/>
    </row>
    <row r="64" spans="6:6" ht="13.2">
      <c r="F64" s="50"/>
    </row>
    <row r="65" spans="6:6" ht="13.2">
      <c r="F65" s="50"/>
    </row>
    <row r="66" spans="6:6" ht="13.2">
      <c r="F66" s="50"/>
    </row>
    <row r="67" spans="6:6" ht="13.2">
      <c r="F67" s="50"/>
    </row>
    <row r="68" spans="6:6" ht="13.2">
      <c r="F68" s="50"/>
    </row>
    <row r="69" spans="6:6" ht="13.2">
      <c r="F69" s="50"/>
    </row>
    <row r="70" spans="6:6" ht="13.2">
      <c r="F70" s="50"/>
    </row>
    <row r="71" spans="6:6" ht="13.2">
      <c r="F71" s="50"/>
    </row>
    <row r="72" spans="6:6" ht="13.2">
      <c r="F72" s="50"/>
    </row>
    <row r="73" spans="6:6" ht="13.2">
      <c r="F73" s="50"/>
    </row>
    <row r="74" spans="6:6" ht="13.2">
      <c r="F74" s="50"/>
    </row>
    <row r="75" spans="6:6" ht="13.2">
      <c r="F75" s="50"/>
    </row>
    <row r="76" spans="6:6" ht="13.2">
      <c r="F76" s="50"/>
    </row>
    <row r="77" spans="6:6" ht="13.2">
      <c r="F77" s="50"/>
    </row>
    <row r="78" spans="6:6" ht="13.2">
      <c r="F78" s="50"/>
    </row>
    <row r="79" spans="6:6" ht="13.2">
      <c r="F79" s="50"/>
    </row>
    <row r="80" spans="6:6" ht="13.2">
      <c r="F80" s="50"/>
    </row>
    <row r="81" spans="6:6" ht="13.2">
      <c r="F81" s="50"/>
    </row>
    <row r="82" spans="6:6" ht="13.2">
      <c r="F82" s="50"/>
    </row>
    <row r="83" spans="6:6" ht="13.2">
      <c r="F83" s="50"/>
    </row>
    <row r="84" spans="6:6" ht="13.2">
      <c r="F84" s="50"/>
    </row>
    <row r="85" spans="6:6" ht="13.2">
      <c r="F85" s="50"/>
    </row>
    <row r="86" spans="6:6" ht="13.2">
      <c r="F86" s="50"/>
    </row>
    <row r="87" spans="6:6" ht="13.2">
      <c r="F87" s="50"/>
    </row>
    <row r="88" spans="6:6" ht="13.2">
      <c r="F88" s="50"/>
    </row>
    <row r="89" spans="6:6" ht="13.2">
      <c r="F89" s="50"/>
    </row>
    <row r="90" spans="6:6" ht="13.2">
      <c r="F90" s="50"/>
    </row>
    <row r="91" spans="6:6" ht="13.2">
      <c r="F91" s="50"/>
    </row>
    <row r="92" spans="6:6" ht="13.2">
      <c r="F92" s="50"/>
    </row>
    <row r="93" spans="6:6" ht="13.2">
      <c r="F93" s="50"/>
    </row>
    <row r="94" spans="6:6" ht="13.2">
      <c r="F94" s="50"/>
    </row>
    <row r="95" spans="6:6" ht="13.2">
      <c r="F95" s="50"/>
    </row>
    <row r="96" spans="6:6" ht="13.2">
      <c r="F96" s="50"/>
    </row>
    <row r="97" spans="6:6" ht="13.2">
      <c r="F97" s="50"/>
    </row>
    <row r="98" spans="6:6" ht="13.2">
      <c r="F98" s="50"/>
    </row>
    <row r="99" spans="6:6" ht="13.2">
      <c r="F99" s="50"/>
    </row>
    <row r="100" spans="6:6" ht="13.2">
      <c r="F100" s="50"/>
    </row>
    <row r="101" spans="6:6" ht="13.2">
      <c r="F101" s="50"/>
    </row>
    <row r="102" spans="6:6" ht="13.2">
      <c r="F102" s="50"/>
    </row>
    <row r="103" spans="6:6" ht="13.2">
      <c r="F103" s="50"/>
    </row>
    <row r="104" spans="6:6" ht="13.2">
      <c r="F104" s="50"/>
    </row>
    <row r="105" spans="6:6" ht="13.2">
      <c r="F105" s="50"/>
    </row>
    <row r="106" spans="6:6" ht="13.2">
      <c r="F106" s="50"/>
    </row>
    <row r="107" spans="6:6" ht="13.2">
      <c r="F107" s="50"/>
    </row>
    <row r="108" spans="6:6" ht="13.2">
      <c r="F108" s="50"/>
    </row>
    <row r="109" spans="6:6" ht="13.2">
      <c r="F109" s="50"/>
    </row>
    <row r="110" spans="6:6" ht="13.2">
      <c r="F110" s="50"/>
    </row>
    <row r="111" spans="6:6" ht="13.2">
      <c r="F111" s="50"/>
    </row>
    <row r="112" spans="6:6" ht="13.2">
      <c r="F112" s="50"/>
    </row>
    <row r="113" spans="6:6" ht="13.2">
      <c r="F113" s="50"/>
    </row>
    <row r="114" spans="6:6" ht="13.2">
      <c r="F114" s="50"/>
    </row>
    <row r="115" spans="6:6" ht="13.2">
      <c r="F115" s="50"/>
    </row>
    <row r="116" spans="6:6" ht="13.2">
      <c r="F116" s="50"/>
    </row>
    <row r="117" spans="6:6" ht="13.2">
      <c r="F117" s="50"/>
    </row>
    <row r="118" spans="6:6" ht="13.2">
      <c r="F118" s="50"/>
    </row>
    <row r="119" spans="6:6" ht="13.2">
      <c r="F119" s="50"/>
    </row>
    <row r="120" spans="6:6" ht="13.2">
      <c r="F120" s="50"/>
    </row>
    <row r="121" spans="6:6" ht="13.2">
      <c r="F121" s="50"/>
    </row>
    <row r="122" spans="6:6" ht="13.2">
      <c r="F122" s="50"/>
    </row>
    <row r="123" spans="6:6" ht="13.2">
      <c r="F123" s="50"/>
    </row>
    <row r="124" spans="6:6" ht="13.2">
      <c r="F124" s="50"/>
    </row>
    <row r="125" spans="6:6" ht="13.2">
      <c r="F125" s="50"/>
    </row>
    <row r="126" spans="6:6" ht="13.2">
      <c r="F126" s="50"/>
    </row>
    <row r="127" spans="6:6" ht="13.2">
      <c r="F127" s="50"/>
    </row>
    <row r="128" spans="6:6" ht="13.2">
      <c r="F128" s="50"/>
    </row>
    <row r="129" spans="6:6" ht="13.2">
      <c r="F129" s="50"/>
    </row>
    <row r="130" spans="6:6" ht="13.2">
      <c r="F130" s="50"/>
    </row>
    <row r="131" spans="6:6" ht="13.2">
      <c r="F131" s="50"/>
    </row>
    <row r="132" spans="6:6" ht="13.2">
      <c r="F132" s="50"/>
    </row>
    <row r="133" spans="6:6" ht="13.2">
      <c r="F133" s="50"/>
    </row>
    <row r="134" spans="6:6" ht="13.2">
      <c r="F134" s="50"/>
    </row>
    <row r="135" spans="6:6" ht="13.2">
      <c r="F135" s="50"/>
    </row>
    <row r="136" spans="6:6" ht="13.2">
      <c r="F136" s="50"/>
    </row>
    <row r="137" spans="6:6" ht="13.2">
      <c r="F137" s="50"/>
    </row>
    <row r="138" spans="6:6" ht="13.2">
      <c r="F138" s="50"/>
    </row>
    <row r="139" spans="6:6" ht="13.2">
      <c r="F139" s="50"/>
    </row>
    <row r="140" spans="6:6" ht="13.2">
      <c r="F140" s="50"/>
    </row>
    <row r="141" spans="6:6" ht="13.2">
      <c r="F141" s="50"/>
    </row>
    <row r="142" spans="6:6" ht="13.2">
      <c r="F142" s="50"/>
    </row>
    <row r="143" spans="6:6" ht="13.2">
      <c r="F143" s="50"/>
    </row>
    <row r="144" spans="6:6" ht="13.2">
      <c r="F144" s="50"/>
    </row>
    <row r="145" spans="6:6" ht="13.2">
      <c r="F145" s="50"/>
    </row>
    <row r="146" spans="6:6" ht="13.2">
      <c r="F146" s="50"/>
    </row>
    <row r="147" spans="6:6" ht="13.2">
      <c r="F147" s="50"/>
    </row>
    <row r="148" spans="6:6" ht="13.2">
      <c r="F148" s="50"/>
    </row>
    <row r="149" spans="6:6" ht="13.2">
      <c r="F149" s="50"/>
    </row>
    <row r="150" spans="6:6" ht="13.2">
      <c r="F150" s="50"/>
    </row>
    <row r="151" spans="6:6" ht="13.2">
      <c r="F151" s="50"/>
    </row>
    <row r="152" spans="6:6" ht="13.2">
      <c r="F152" s="50"/>
    </row>
    <row r="153" spans="6:6" ht="13.2">
      <c r="F153" s="50"/>
    </row>
    <row r="154" spans="6:6" ht="13.2">
      <c r="F154" s="50"/>
    </row>
    <row r="155" spans="6:6" ht="13.2">
      <c r="F155" s="50"/>
    </row>
    <row r="156" spans="6:6" ht="13.2">
      <c r="F156" s="50"/>
    </row>
    <row r="157" spans="6:6" ht="13.2">
      <c r="F157" s="50"/>
    </row>
    <row r="158" spans="6:6" ht="13.2">
      <c r="F158" s="50"/>
    </row>
    <row r="159" spans="6:6" ht="13.2">
      <c r="F159" s="50"/>
    </row>
    <row r="160" spans="6:6" ht="13.2">
      <c r="F160" s="50"/>
    </row>
    <row r="161" spans="6:6" ht="13.2">
      <c r="F161" s="50"/>
    </row>
    <row r="162" spans="6:6" ht="13.2">
      <c r="F162" s="50"/>
    </row>
    <row r="163" spans="6:6" ht="13.2">
      <c r="F163" s="50"/>
    </row>
    <row r="164" spans="6:6" ht="13.2">
      <c r="F164" s="50"/>
    </row>
    <row r="165" spans="6:6" ht="13.2">
      <c r="F165" s="50"/>
    </row>
    <row r="166" spans="6:6" ht="13.2">
      <c r="F166" s="50"/>
    </row>
    <row r="167" spans="6:6" ht="13.2">
      <c r="F167" s="50"/>
    </row>
    <row r="168" spans="6:6" ht="13.2">
      <c r="F168" s="50"/>
    </row>
    <row r="169" spans="6:6" ht="13.2">
      <c r="F169" s="50"/>
    </row>
    <row r="170" spans="6:6" ht="13.2">
      <c r="F170" s="50"/>
    </row>
    <row r="171" spans="6:6" ht="13.2">
      <c r="F171" s="50"/>
    </row>
    <row r="172" spans="6:6" ht="13.2">
      <c r="F172" s="50"/>
    </row>
    <row r="173" spans="6:6" ht="13.2">
      <c r="F173" s="50"/>
    </row>
    <row r="174" spans="6:6" ht="13.2">
      <c r="F174" s="50"/>
    </row>
    <row r="175" spans="6:6" ht="13.2">
      <c r="F175" s="50"/>
    </row>
    <row r="176" spans="6:6" ht="13.2">
      <c r="F176" s="50"/>
    </row>
    <row r="177" spans="6:6" ht="13.2">
      <c r="F177" s="50"/>
    </row>
    <row r="178" spans="6:6" ht="13.2">
      <c r="F178" s="50"/>
    </row>
    <row r="179" spans="6:6" ht="13.2">
      <c r="F179" s="50"/>
    </row>
    <row r="180" spans="6:6" ht="13.2">
      <c r="F180" s="50"/>
    </row>
    <row r="181" spans="6:6" ht="13.2">
      <c r="F181" s="50"/>
    </row>
    <row r="182" spans="6:6" ht="13.2">
      <c r="F182" s="50"/>
    </row>
    <row r="183" spans="6:6" ht="13.2">
      <c r="F183" s="50"/>
    </row>
    <row r="184" spans="6:6" ht="13.2">
      <c r="F184" s="50"/>
    </row>
    <row r="185" spans="6:6" ht="13.2">
      <c r="F185" s="50"/>
    </row>
    <row r="186" spans="6:6" ht="13.2">
      <c r="F186" s="50"/>
    </row>
    <row r="187" spans="6:6" ht="13.2">
      <c r="F187" s="50"/>
    </row>
    <row r="188" spans="6:6" ht="13.2">
      <c r="F188" s="50"/>
    </row>
    <row r="189" spans="6:6" ht="13.2">
      <c r="F189" s="50"/>
    </row>
    <row r="190" spans="6:6" ht="13.2">
      <c r="F190" s="50"/>
    </row>
    <row r="191" spans="6:6" ht="13.2">
      <c r="F191" s="50"/>
    </row>
    <row r="192" spans="6:6" ht="13.2">
      <c r="F192" s="50"/>
    </row>
    <row r="193" spans="6:6" ht="13.2">
      <c r="F193" s="50"/>
    </row>
    <row r="194" spans="6:6" ht="13.2">
      <c r="F194" s="50"/>
    </row>
    <row r="195" spans="6:6" ht="13.2">
      <c r="F195" s="50"/>
    </row>
    <row r="196" spans="6:6" ht="13.2">
      <c r="F196" s="50"/>
    </row>
    <row r="197" spans="6:6" ht="13.2">
      <c r="F197" s="50"/>
    </row>
    <row r="198" spans="6:6" ht="13.2">
      <c r="F198" s="50"/>
    </row>
    <row r="199" spans="6:6" ht="13.2">
      <c r="F199" s="50"/>
    </row>
    <row r="200" spans="6:6" ht="13.2">
      <c r="F200" s="50"/>
    </row>
    <row r="201" spans="6:6" ht="13.2">
      <c r="F201" s="50"/>
    </row>
    <row r="202" spans="6:6" ht="13.2">
      <c r="F202" s="50"/>
    </row>
    <row r="203" spans="6:6" ht="13.2">
      <c r="F203" s="50"/>
    </row>
    <row r="204" spans="6:6" ht="13.2">
      <c r="F204" s="50"/>
    </row>
    <row r="205" spans="6:6" ht="13.2">
      <c r="F205" s="50"/>
    </row>
    <row r="206" spans="6:6" ht="13.2">
      <c r="F206" s="50"/>
    </row>
    <row r="207" spans="6:6" ht="13.2">
      <c r="F207" s="50"/>
    </row>
    <row r="208" spans="6:6" ht="13.2">
      <c r="F208" s="50"/>
    </row>
    <row r="209" spans="6:6" ht="13.2">
      <c r="F209" s="50"/>
    </row>
    <row r="210" spans="6:6" ht="13.2">
      <c r="F210" s="50"/>
    </row>
    <row r="211" spans="6:6" ht="13.2">
      <c r="F211" s="50"/>
    </row>
    <row r="212" spans="6:6" ht="13.2">
      <c r="F212" s="50"/>
    </row>
    <row r="213" spans="6:6" ht="13.2">
      <c r="F213" s="50"/>
    </row>
    <row r="214" spans="6:6" ht="13.2">
      <c r="F214" s="50"/>
    </row>
    <row r="215" spans="6:6" ht="13.2">
      <c r="F215" s="50"/>
    </row>
    <row r="216" spans="6:6" ht="13.2">
      <c r="F216" s="50"/>
    </row>
    <row r="217" spans="6:6" ht="13.2">
      <c r="F217" s="50"/>
    </row>
    <row r="218" spans="6:6" ht="13.2">
      <c r="F218" s="50"/>
    </row>
    <row r="219" spans="6:6" ht="13.2">
      <c r="F219" s="50"/>
    </row>
    <row r="220" spans="6:6" ht="13.2">
      <c r="F220" s="50"/>
    </row>
    <row r="221" spans="6:6" ht="13.2">
      <c r="F221" s="50"/>
    </row>
    <row r="222" spans="6:6" ht="13.2">
      <c r="F222" s="50"/>
    </row>
    <row r="223" spans="6:6" ht="13.2">
      <c r="F223" s="50"/>
    </row>
    <row r="224" spans="6:6" ht="13.2">
      <c r="F224" s="50"/>
    </row>
    <row r="225" spans="6:6" ht="13.2">
      <c r="F225" s="50"/>
    </row>
    <row r="226" spans="6:6" ht="13.2">
      <c r="F226" s="50"/>
    </row>
    <row r="227" spans="6:6" ht="13.2">
      <c r="F227" s="50"/>
    </row>
    <row r="228" spans="6:6" ht="13.2">
      <c r="F228" s="50"/>
    </row>
    <row r="229" spans="6:6" ht="13.2">
      <c r="F229" s="50"/>
    </row>
    <row r="230" spans="6:6" ht="13.2">
      <c r="F230" s="50"/>
    </row>
    <row r="231" spans="6:6" ht="13.2">
      <c r="F231" s="50"/>
    </row>
    <row r="232" spans="6:6" ht="13.2">
      <c r="F232" s="50"/>
    </row>
    <row r="233" spans="6:6" ht="13.2">
      <c r="F233" s="50"/>
    </row>
    <row r="234" spans="6:6" ht="13.2">
      <c r="F234" s="50"/>
    </row>
    <row r="235" spans="6:6" ht="13.2">
      <c r="F235" s="50"/>
    </row>
    <row r="236" spans="6:6" ht="13.2">
      <c r="F236" s="50"/>
    </row>
    <row r="237" spans="6:6" ht="13.2">
      <c r="F237" s="50"/>
    </row>
    <row r="238" spans="6:6" ht="13.2">
      <c r="F238" s="50"/>
    </row>
    <row r="239" spans="6:6" ht="13.2">
      <c r="F239" s="50"/>
    </row>
    <row r="240" spans="6:6" ht="13.2">
      <c r="F240" s="50"/>
    </row>
    <row r="241" spans="6:6" ht="13.2">
      <c r="F241" s="50"/>
    </row>
    <row r="242" spans="6:6" ht="13.2">
      <c r="F242" s="50"/>
    </row>
    <row r="243" spans="6:6" ht="13.2">
      <c r="F243" s="50"/>
    </row>
    <row r="244" spans="6:6" ht="13.2">
      <c r="F244" s="50"/>
    </row>
    <row r="245" spans="6:6" ht="13.2">
      <c r="F245" s="50"/>
    </row>
    <row r="246" spans="6:6" ht="13.2">
      <c r="F246" s="50"/>
    </row>
    <row r="247" spans="6:6" ht="13.2">
      <c r="F247" s="50"/>
    </row>
    <row r="248" spans="6:6" ht="13.2">
      <c r="F248" s="50"/>
    </row>
    <row r="249" spans="6:6" ht="13.2">
      <c r="F249" s="50"/>
    </row>
    <row r="250" spans="6:6" ht="13.2">
      <c r="F250" s="50"/>
    </row>
    <row r="251" spans="6:6" ht="13.2">
      <c r="F251" s="50"/>
    </row>
    <row r="252" spans="6:6" ht="13.2">
      <c r="F252" s="50"/>
    </row>
    <row r="253" spans="6:6" ht="13.2">
      <c r="F253" s="50"/>
    </row>
    <row r="254" spans="6:6" ht="13.2">
      <c r="F254" s="50"/>
    </row>
    <row r="255" spans="6:6" ht="13.2">
      <c r="F255" s="50"/>
    </row>
    <row r="256" spans="6:6" ht="13.2">
      <c r="F256" s="50"/>
    </row>
    <row r="257" spans="6:6" ht="13.2">
      <c r="F257" s="50"/>
    </row>
    <row r="258" spans="6:6" ht="13.2">
      <c r="F258" s="50"/>
    </row>
    <row r="259" spans="6:6" ht="13.2">
      <c r="F259" s="50"/>
    </row>
    <row r="260" spans="6:6" ht="13.2">
      <c r="F260" s="50"/>
    </row>
    <row r="261" spans="6:6" ht="13.2">
      <c r="F261" s="50"/>
    </row>
    <row r="262" spans="6:6" ht="13.2">
      <c r="F262" s="50"/>
    </row>
    <row r="263" spans="6:6" ht="13.2">
      <c r="F263" s="50"/>
    </row>
    <row r="264" spans="6:6" ht="13.2">
      <c r="F264" s="50"/>
    </row>
    <row r="265" spans="6:6" ht="13.2">
      <c r="F265" s="50"/>
    </row>
    <row r="266" spans="6:6" ht="13.2">
      <c r="F266" s="50"/>
    </row>
    <row r="267" spans="6:6" ht="13.2">
      <c r="F267" s="50"/>
    </row>
    <row r="268" spans="6:6" ht="13.2">
      <c r="F268" s="50"/>
    </row>
    <row r="269" spans="6:6" ht="13.2">
      <c r="F269" s="50"/>
    </row>
    <row r="270" spans="6:6" ht="13.2">
      <c r="F270" s="50"/>
    </row>
    <row r="271" spans="6:6" ht="13.2">
      <c r="F271" s="50"/>
    </row>
    <row r="272" spans="6:6" ht="13.2">
      <c r="F272" s="50"/>
    </row>
    <row r="273" spans="6:6" ht="13.2">
      <c r="F273" s="50"/>
    </row>
    <row r="274" spans="6:6" ht="13.2">
      <c r="F274" s="50"/>
    </row>
    <row r="275" spans="6:6" ht="13.2">
      <c r="F275" s="50"/>
    </row>
    <row r="276" spans="6:6" ht="13.2">
      <c r="F276" s="50"/>
    </row>
    <row r="277" spans="6:6" ht="13.2">
      <c r="F277" s="50"/>
    </row>
    <row r="278" spans="6:6" ht="13.2">
      <c r="F278" s="50"/>
    </row>
    <row r="279" spans="6:6" ht="13.2">
      <c r="F279" s="50"/>
    </row>
    <row r="280" spans="6:6" ht="13.2">
      <c r="F280" s="50"/>
    </row>
    <row r="281" spans="6:6" ht="13.2">
      <c r="F281" s="50"/>
    </row>
    <row r="282" spans="6:6" ht="13.2">
      <c r="F282" s="50"/>
    </row>
    <row r="283" spans="6:6" ht="13.2">
      <c r="F283" s="50"/>
    </row>
    <row r="284" spans="6:6" ht="13.2">
      <c r="F284" s="50"/>
    </row>
    <row r="285" spans="6:6" ht="13.2">
      <c r="F285" s="50"/>
    </row>
    <row r="286" spans="6:6" ht="13.2">
      <c r="F286" s="50"/>
    </row>
    <row r="287" spans="6:6" ht="13.2">
      <c r="F287" s="50"/>
    </row>
    <row r="288" spans="6:6" ht="13.2">
      <c r="F288" s="50"/>
    </row>
    <row r="289" spans="6:6" ht="13.2">
      <c r="F289" s="50"/>
    </row>
    <row r="290" spans="6:6" ht="13.2">
      <c r="F290" s="50"/>
    </row>
    <row r="291" spans="6:6" ht="13.2">
      <c r="F291" s="50"/>
    </row>
    <row r="292" spans="6:6" ht="13.2">
      <c r="F292" s="50"/>
    </row>
    <row r="293" spans="6:6" ht="13.2">
      <c r="F293" s="50"/>
    </row>
    <row r="294" spans="6:6" ht="13.2">
      <c r="F294" s="50"/>
    </row>
    <row r="295" spans="6:6" ht="13.2">
      <c r="F295" s="50"/>
    </row>
    <row r="296" spans="6:6" ht="13.2">
      <c r="F296" s="50"/>
    </row>
    <row r="297" spans="6:6" ht="13.2">
      <c r="F297" s="50"/>
    </row>
    <row r="298" spans="6:6" ht="13.2">
      <c r="F298" s="50"/>
    </row>
    <row r="299" spans="6:6" ht="13.2">
      <c r="F299" s="50"/>
    </row>
    <row r="300" spans="6:6" ht="13.2">
      <c r="F300" s="50"/>
    </row>
    <row r="301" spans="6:6" ht="13.2">
      <c r="F301" s="50"/>
    </row>
    <row r="302" spans="6:6" ht="13.2">
      <c r="F302" s="50"/>
    </row>
    <row r="303" spans="6:6" ht="13.2">
      <c r="F303" s="50"/>
    </row>
    <row r="304" spans="6:6" ht="13.2">
      <c r="F304" s="50"/>
    </row>
    <row r="305" spans="6:6" ht="13.2">
      <c r="F305" s="50"/>
    </row>
    <row r="306" spans="6:6" ht="13.2">
      <c r="F306" s="50"/>
    </row>
    <row r="307" spans="6:6" ht="13.2">
      <c r="F307" s="50"/>
    </row>
    <row r="308" spans="6:6" ht="13.2">
      <c r="F308" s="50"/>
    </row>
    <row r="309" spans="6:6" ht="13.2">
      <c r="F309" s="50"/>
    </row>
    <row r="310" spans="6:6" ht="13.2">
      <c r="F310" s="50"/>
    </row>
    <row r="311" spans="6:6" ht="13.2">
      <c r="F311" s="50"/>
    </row>
    <row r="312" spans="6:6" ht="13.2">
      <c r="F312" s="50"/>
    </row>
    <row r="313" spans="6:6" ht="13.2">
      <c r="F313" s="50"/>
    </row>
    <row r="314" spans="6:6" ht="13.2">
      <c r="F314" s="50"/>
    </row>
    <row r="315" spans="6:6" ht="13.2">
      <c r="F315" s="50"/>
    </row>
    <row r="316" spans="6:6" ht="13.2">
      <c r="F316" s="50"/>
    </row>
    <row r="317" spans="6:6" ht="13.2">
      <c r="F317" s="50"/>
    </row>
    <row r="318" spans="6:6" ht="13.2">
      <c r="F318" s="50"/>
    </row>
    <row r="319" spans="6:6" ht="13.2">
      <c r="F319" s="50"/>
    </row>
    <row r="320" spans="6:6" ht="13.2">
      <c r="F320" s="50"/>
    </row>
    <row r="321" spans="6:6" ht="13.2">
      <c r="F321" s="50"/>
    </row>
    <row r="322" spans="6:6" ht="13.2">
      <c r="F322" s="50"/>
    </row>
    <row r="323" spans="6:6" ht="13.2">
      <c r="F323" s="50"/>
    </row>
    <row r="324" spans="6:6" ht="13.2">
      <c r="F324" s="50"/>
    </row>
    <row r="325" spans="6:6" ht="13.2">
      <c r="F325" s="50"/>
    </row>
    <row r="326" spans="6:6" ht="13.2">
      <c r="F326" s="50"/>
    </row>
    <row r="327" spans="6:6" ht="13.2">
      <c r="F327" s="50"/>
    </row>
    <row r="328" spans="6:6" ht="13.2">
      <c r="F328" s="50"/>
    </row>
    <row r="329" spans="6:6" ht="13.2">
      <c r="F329" s="50"/>
    </row>
    <row r="330" spans="6:6" ht="13.2">
      <c r="F330" s="50"/>
    </row>
    <row r="331" spans="6:6" ht="13.2">
      <c r="F331" s="50"/>
    </row>
    <row r="332" spans="6:6" ht="13.2">
      <c r="F332" s="50"/>
    </row>
    <row r="333" spans="6:6" ht="13.2">
      <c r="F333" s="50"/>
    </row>
    <row r="334" spans="6:6" ht="13.2">
      <c r="F334" s="50"/>
    </row>
    <row r="335" spans="6:6" ht="13.2">
      <c r="F335" s="50"/>
    </row>
    <row r="336" spans="6:6" ht="13.2">
      <c r="F336" s="50"/>
    </row>
    <row r="337" spans="6:6" ht="13.2">
      <c r="F337" s="50"/>
    </row>
    <row r="338" spans="6:6" ht="13.2">
      <c r="F338" s="50"/>
    </row>
    <row r="339" spans="6:6" ht="13.2">
      <c r="F339" s="50"/>
    </row>
    <row r="340" spans="6:6" ht="13.2">
      <c r="F340" s="50"/>
    </row>
    <row r="341" spans="6:6" ht="13.2">
      <c r="F341" s="50"/>
    </row>
    <row r="342" spans="6:6" ht="13.2">
      <c r="F342" s="50"/>
    </row>
    <row r="343" spans="6:6" ht="13.2">
      <c r="F343" s="50"/>
    </row>
    <row r="344" spans="6:6" ht="13.2">
      <c r="F344" s="50"/>
    </row>
    <row r="345" spans="6:6" ht="13.2">
      <c r="F345" s="50"/>
    </row>
    <row r="346" spans="6:6" ht="13.2">
      <c r="F346" s="50"/>
    </row>
    <row r="347" spans="6:6" ht="13.2">
      <c r="F347" s="50"/>
    </row>
    <row r="348" spans="6:6" ht="13.2">
      <c r="F348" s="50"/>
    </row>
    <row r="349" spans="6:6" ht="13.2">
      <c r="F349" s="50"/>
    </row>
    <row r="350" spans="6:6" ht="13.2">
      <c r="F350" s="50"/>
    </row>
    <row r="351" spans="6:6" ht="13.2">
      <c r="F351" s="50"/>
    </row>
    <row r="352" spans="6:6" ht="13.2">
      <c r="F352" s="50"/>
    </row>
    <row r="353" spans="6:6" ht="13.2">
      <c r="F353" s="50"/>
    </row>
    <row r="354" spans="6:6" ht="13.2">
      <c r="F354" s="50"/>
    </row>
    <row r="355" spans="6:6" ht="13.2">
      <c r="F355" s="50"/>
    </row>
    <row r="356" spans="6:6" ht="13.2">
      <c r="F356" s="50"/>
    </row>
    <row r="357" spans="6:6" ht="13.2">
      <c r="F357" s="50"/>
    </row>
    <row r="358" spans="6:6" ht="13.2">
      <c r="F358" s="50"/>
    </row>
    <row r="359" spans="6:6" ht="13.2">
      <c r="F359" s="50"/>
    </row>
    <row r="360" spans="6:6" ht="13.2">
      <c r="F360" s="50"/>
    </row>
    <row r="361" spans="6:6" ht="13.2">
      <c r="F361" s="50"/>
    </row>
    <row r="362" spans="6:6" ht="13.2">
      <c r="F362" s="50"/>
    </row>
    <row r="363" spans="6:6" ht="13.2">
      <c r="F363" s="50"/>
    </row>
    <row r="364" spans="6:6" ht="13.2">
      <c r="F364" s="50"/>
    </row>
    <row r="365" spans="6:6" ht="13.2">
      <c r="F365" s="50"/>
    </row>
    <row r="366" spans="6:6" ht="13.2">
      <c r="F366" s="50"/>
    </row>
    <row r="367" spans="6:6" ht="13.2">
      <c r="F367" s="50"/>
    </row>
    <row r="368" spans="6:6" ht="13.2">
      <c r="F368" s="50"/>
    </row>
    <row r="369" spans="6:6" ht="13.2">
      <c r="F369" s="50"/>
    </row>
    <row r="370" spans="6:6" ht="13.2">
      <c r="F370" s="50"/>
    </row>
    <row r="371" spans="6:6" ht="13.2">
      <c r="F371" s="50"/>
    </row>
    <row r="372" spans="6:6" ht="13.2">
      <c r="F372" s="50"/>
    </row>
    <row r="373" spans="6:6" ht="13.2">
      <c r="F373" s="50"/>
    </row>
    <row r="374" spans="6:6" ht="13.2">
      <c r="F374" s="50"/>
    </row>
    <row r="375" spans="6:6" ht="13.2">
      <c r="F375" s="50"/>
    </row>
    <row r="376" spans="6:6" ht="13.2">
      <c r="F376" s="50"/>
    </row>
    <row r="377" spans="6:6" ht="13.2">
      <c r="F377" s="50"/>
    </row>
    <row r="378" spans="6:6" ht="13.2">
      <c r="F378" s="50"/>
    </row>
    <row r="379" spans="6:6" ht="13.2">
      <c r="F379" s="50"/>
    </row>
    <row r="380" spans="6:6" ht="13.2">
      <c r="F380" s="50"/>
    </row>
    <row r="381" spans="6:6" ht="13.2">
      <c r="F381" s="50"/>
    </row>
    <row r="382" spans="6:6" ht="13.2">
      <c r="F382" s="50"/>
    </row>
    <row r="383" spans="6:6" ht="13.2">
      <c r="F383" s="50"/>
    </row>
    <row r="384" spans="6:6" ht="13.2">
      <c r="F384" s="50"/>
    </row>
    <row r="385" spans="6:6" ht="13.2">
      <c r="F385" s="50"/>
    </row>
    <row r="386" spans="6:6" ht="13.2">
      <c r="F386" s="50"/>
    </row>
    <row r="387" spans="6:6" ht="13.2">
      <c r="F387" s="50"/>
    </row>
    <row r="388" spans="6:6" ht="13.2">
      <c r="F388" s="50"/>
    </row>
    <row r="389" spans="6:6" ht="13.2">
      <c r="F389" s="50"/>
    </row>
    <row r="390" spans="6:6" ht="13.2">
      <c r="F390" s="50"/>
    </row>
    <row r="391" spans="6:6" ht="13.2">
      <c r="F391" s="50"/>
    </row>
    <row r="392" spans="6:6" ht="13.2">
      <c r="F392" s="50"/>
    </row>
    <row r="393" spans="6:6" ht="13.2">
      <c r="F393" s="50"/>
    </row>
    <row r="394" spans="6:6" ht="13.2">
      <c r="F394" s="50"/>
    </row>
    <row r="395" spans="6:6" ht="13.2">
      <c r="F395" s="50"/>
    </row>
    <row r="396" spans="6:6" ht="13.2">
      <c r="F396" s="50"/>
    </row>
    <row r="397" spans="6:6" ht="13.2">
      <c r="F397" s="50"/>
    </row>
    <row r="398" spans="6:6" ht="13.2">
      <c r="F398" s="50"/>
    </row>
    <row r="399" spans="6:6" ht="13.2">
      <c r="F399" s="50"/>
    </row>
    <row r="400" spans="6:6" ht="13.2">
      <c r="F400" s="50"/>
    </row>
    <row r="401" spans="6:6" ht="13.2">
      <c r="F401" s="50"/>
    </row>
    <row r="402" spans="6:6" ht="13.2">
      <c r="F402" s="50"/>
    </row>
    <row r="403" spans="6:6" ht="13.2">
      <c r="F403" s="50"/>
    </row>
    <row r="404" spans="6:6" ht="13.2">
      <c r="F404" s="50"/>
    </row>
    <row r="405" spans="6:6" ht="13.2">
      <c r="F405" s="50"/>
    </row>
    <row r="406" spans="6:6" ht="13.2">
      <c r="F406" s="50"/>
    </row>
    <row r="407" spans="6:6" ht="13.2">
      <c r="F407" s="50"/>
    </row>
    <row r="408" spans="6:6" ht="13.2">
      <c r="F408" s="50"/>
    </row>
    <row r="409" spans="6:6" ht="13.2">
      <c r="F409" s="50"/>
    </row>
    <row r="410" spans="6:6" ht="13.2">
      <c r="F410" s="50"/>
    </row>
    <row r="411" spans="6:6" ht="13.2">
      <c r="F411" s="50"/>
    </row>
    <row r="412" spans="6:6" ht="13.2">
      <c r="F412" s="50"/>
    </row>
    <row r="413" spans="6:6" ht="13.2">
      <c r="F413" s="50"/>
    </row>
    <row r="414" spans="6:6" ht="13.2">
      <c r="F414" s="50"/>
    </row>
    <row r="415" spans="6:6" ht="13.2">
      <c r="F415" s="50"/>
    </row>
    <row r="416" spans="6:6" ht="13.2">
      <c r="F416" s="50"/>
    </row>
    <row r="417" spans="6:6" ht="13.2">
      <c r="F417" s="50"/>
    </row>
    <row r="418" spans="6:6" ht="13.2">
      <c r="F418" s="50"/>
    </row>
    <row r="419" spans="6:6" ht="13.2">
      <c r="F419" s="50"/>
    </row>
    <row r="420" spans="6:6" ht="13.2">
      <c r="F420" s="50"/>
    </row>
    <row r="421" spans="6:6" ht="13.2">
      <c r="F421" s="50"/>
    </row>
    <row r="422" spans="6:6" ht="13.2">
      <c r="F422" s="50"/>
    </row>
    <row r="423" spans="6:6" ht="13.2">
      <c r="F423" s="50"/>
    </row>
    <row r="424" spans="6:6" ht="13.2">
      <c r="F424" s="50"/>
    </row>
    <row r="425" spans="6:6" ht="13.2">
      <c r="F425" s="50"/>
    </row>
    <row r="426" spans="6:6" ht="13.2">
      <c r="F426" s="50"/>
    </row>
    <row r="427" spans="6:6" ht="13.2">
      <c r="F427" s="50"/>
    </row>
    <row r="428" spans="6:6" ht="13.2">
      <c r="F428" s="50"/>
    </row>
    <row r="429" spans="6:6" ht="13.2">
      <c r="F429" s="50"/>
    </row>
    <row r="430" spans="6:6" ht="13.2">
      <c r="F430" s="50"/>
    </row>
    <row r="431" spans="6:6" ht="13.2">
      <c r="F431" s="50"/>
    </row>
    <row r="432" spans="6:6" ht="13.2">
      <c r="F432" s="50"/>
    </row>
    <row r="433" spans="6:6" ht="13.2">
      <c r="F433" s="50"/>
    </row>
    <row r="434" spans="6:6" ht="13.2">
      <c r="F434" s="50"/>
    </row>
    <row r="435" spans="6:6" ht="13.2">
      <c r="F435" s="50"/>
    </row>
    <row r="436" spans="6:6" ht="13.2">
      <c r="F436" s="50"/>
    </row>
    <row r="437" spans="6:6" ht="13.2">
      <c r="F437" s="50"/>
    </row>
    <row r="438" spans="6:6" ht="13.2">
      <c r="F438" s="50"/>
    </row>
    <row r="439" spans="6:6" ht="13.2">
      <c r="F439" s="50"/>
    </row>
    <row r="440" spans="6:6" ht="13.2">
      <c r="F440" s="50"/>
    </row>
    <row r="441" spans="6:6" ht="13.2">
      <c r="F441" s="50"/>
    </row>
    <row r="442" spans="6:6" ht="13.2">
      <c r="F442" s="50"/>
    </row>
    <row r="443" spans="6:6" ht="13.2">
      <c r="F443" s="50"/>
    </row>
    <row r="444" spans="6:6" ht="13.2">
      <c r="F444" s="50"/>
    </row>
    <row r="445" spans="6:6" ht="13.2">
      <c r="F445" s="50"/>
    </row>
    <row r="446" spans="6:6" ht="13.2">
      <c r="F446" s="50"/>
    </row>
    <row r="447" spans="6:6" ht="13.2">
      <c r="F447" s="50"/>
    </row>
    <row r="448" spans="6:6" ht="13.2">
      <c r="F448" s="50"/>
    </row>
    <row r="449" spans="6:6" ht="13.2">
      <c r="F449" s="50"/>
    </row>
    <row r="450" spans="6:6" ht="13.2">
      <c r="F450" s="50"/>
    </row>
    <row r="451" spans="6:6" ht="13.2">
      <c r="F451" s="50"/>
    </row>
    <row r="452" spans="6:6" ht="13.2">
      <c r="F452" s="50"/>
    </row>
    <row r="453" spans="6:6" ht="13.2">
      <c r="F453" s="50"/>
    </row>
    <row r="454" spans="6:6" ht="13.2">
      <c r="F454" s="50"/>
    </row>
    <row r="455" spans="6:6" ht="13.2">
      <c r="F455" s="50"/>
    </row>
    <row r="456" spans="6:6" ht="13.2">
      <c r="F456" s="50"/>
    </row>
    <row r="457" spans="6:6" ht="13.2">
      <c r="F457" s="50"/>
    </row>
    <row r="458" spans="6:6" ht="13.2">
      <c r="F458" s="50"/>
    </row>
    <row r="459" spans="6:6" ht="13.2">
      <c r="F459" s="50"/>
    </row>
    <row r="460" spans="6:6" ht="13.2">
      <c r="F460" s="50"/>
    </row>
    <row r="461" spans="6:6" ht="13.2">
      <c r="F461" s="50"/>
    </row>
    <row r="462" spans="6:6" ht="13.2">
      <c r="F462" s="50"/>
    </row>
    <row r="463" spans="6:6" ht="13.2">
      <c r="F463" s="50"/>
    </row>
    <row r="464" spans="6:6" ht="13.2">
      <c r="F464" s="50"/>
    </row>
    <row r="465" spans="6:6" ht="13.2">
      <c r="F465" s="50"/>
    </row>
    <row r="466" spans="6:6" ht="13.2">
      <c r="F466" s="50"/>
    </row>
    <row r="467" spans="6:6" ht="13.2">
      <c r="F467" s="50"/>
    </row>
    <row r="468" spans="6:6" ht="13.2">
      <c r="F468" s="50"/>
    </row>
    <row r="469" spans="6:6" ht="13.2">
      <c r="F469" s="50"/>
    </row>
    <row r="470" spans="6:6" ht="13.2">
      <c r="F470" s="50"/>
    </row>
    <row r="471" spans="6:6" ht="13.2">
      <c r="F471" s="50"/>
    </row>
    <row r="472" spans="6:6" ht="13.2">
      <c r="F472" s="50"/>
    </row>
    <row r="473" spans="6:6" ht="13.2">
      <c r="F473" s="50"/>
    </row>
    <row r="474" spans="6:6" ht="13.2">
      <c r="F474" s="50"/>
    </row>
    <row r="475" spans="6:6" ht="13.2">
      <c r="F475" s="50"/>
    </row>
    <row r="476" spans="6:6" ht="13.2">
      <c r="F476" s="50"/>
    </row>
    <row r="477" spans="6:6" ht="13.2">
      <c r="F477" s="50"/>
    </row>
    <row r="478" spans="6:6" ht="13.2">
      <c r="F478" s="50"/>
    </row>
    <row r="479" spans="6:6" ht="13.2">
      <c r="F479" s="50"/>
    </row>
    <row r="480" spans="6:6" ht="13.2">
      <c r="F480" s="50"/>
    </row>
    <row r="481" spans="6:6" ht="13.2">
      <c r="F481" s="50"/>
    </row>
    <row r="482" spans="6:6" ht="13.2">
      <c r="F482" s="50"/>
    </row>
    <row r="483" spans="6:6" ht="13.2">
      <c r="F483" s="50"/>
    </row>
    <row r="484" spans="6:6" ht="13.2">
      <c r="F484" s="50"/>
    </row>
    <row r="485" spans="6:6" ht="13.2">
      <c r="F485" s="50"/>
    </row>
    <row r="486" spans="6:6" ht="13.2">
      <c r="F486" s="50"/>
    </row>
    <row r="487" spans="6:6" ht="13.2">
      <c r="F487" s="50"/>
    </row>
    <row r="488" spans="6:6" ht="13.2">
      <c r="F488" s="50"/>
    </row>
    <row r="489" spans="6:6" ht="13.2">
      <c r="F489" s="50"/>
    </row>
    <row r="490" spans="6:6" ht="13.2">
      <c r="F490" s="50"/>
    </row>
    <row r="491" spans="6:6" ht="13.2">
      <c r="F491" s="50"/>
    </row>
    <row r="492" spans="6:6" ht="13.2">
      <c r="F492" s="50"/>
    </row>
    <row r="493" spans="6:6" ht="13.2">
      <c r="F493" s="50"/>
    </row>
    <row r="494" spans="6:6" ht="13.2">
      <c r="F494" s="50"/>
    </row>
    <row r="495" spans="6:6" ht="13.2">
      <c r="F495" s="50"/>
    </row>
    <row r="496" spans="6:6" ht="13.2">
      <c r="F496" s="50"/>
    </row>
    <row r="497" spans="6:6" ht="13.2">
      <c r="F497" s="50"/>
    </row>
    <row r="498" spans="6:6" ht="13.2">
      <c r="F498" s="50"/>
    </row>
    <row r="499" spans="6:6" ht="13.2">
      <c r="F499" s="50"/>
    </row>
    <row r="500" spans="6:6" ht="13.2">
      <c r="F500" s="50"/>
    </row>
    <row r="501" spans="6:6" ht="13.2">
      <c r="F501" s="50"/>
    </row>
    <row r="502" spans="6:6" ht="13.2">
      <c r="F502" s="50"/>
    </row>
    <row r="503" spans="6:6" ht="13.2">
      <c r="F503" s="50"/>
    </row>
    <row r="504" spans="6:6" ht="13.2">
      <c r="F504" s="50"/>
    </row>
    <row r="505" spans="6:6" ht="13.2">
      <c r="F505" s="50"/>
    </row>
    <row r="506" spans="6:6" ht="13.2">
      <c r="F506" s="50"/>
    </row>
    <row r="507" spans="6:6" ht="13.2">
      <c r="F507" s="50"/>
    </row>
    <row r="508" spans="6:6" ht="13.2">
      <c r="F508" s="50"/>
    </row>
    <row r="509" spans="6:6" ht="13.2">
      <c r="F509" s="50"/>
    </row>
    <row r="510" spans="6:6" ht="13.2">
      <c r="F510" s="50"/>
    </row>
    <row r="511" spans="6:6" ht="13.2">
      <c r="F511" s="50"/>
    </row>
    <row r="512" spans="6:6" ht="13.2">
      <c r="F512" s="50"/>
    </row>
    <row r="513" spans="6:6" ht="13.2">
      <c r="F513" s="50"/>
    </row>
    <row r="514" spans="6:6" ht="13.2">
      <c r="F514" s="50"/>
    </row>
    <row r="515" spans="6:6" ht="13.2">
      <c r="F515" s="50"/>
    </row>
    <row r="516" spans="6:6" ht="13.2">
      <c r="F516" s="50"/>
    </row>
    <row r="517" spans="6:6" ht="13.2">
      <c r="F517" s="50"/>
    </row>
    <row r="518" spans="6:6" ht="13.2">
      <c r="F518" s="50"/>
    </row>
    <row r="519" spans="6:6" ht="13.2">
      <c r="F519" s="50"/>
    </row>
    <row r="520" spans="6:6" ht="13.2">
      <c r="F520" s="50"/>
    </row>
    <row r="521" spans="6:6" ht="13.2">
      <c r="F521" s="50"/>
    </row>
    <row r="522" spans="6:6" ht="13.2">
      <c r="F522" s="50"/>
    </row>
    <row r="523" spans="6:6" ht="13.2">
      <c r="F523" s="50"/>
    </row>
    <row r="524" spans="6:6" ht="13.2">
      <c r="F524" s="50"/>
    </row>
    <row r="525" spans="6:6" ht="13.2">
      <c r="F525" s="50"/>
    </row>
    <row r="526" spans="6:6" ht="13.2">
      <c r="F526" s="50"/>
    </row>
    <row r="527" spans="6:6" ht="13.2">
      <c r="F527" s="50"/>
    </row>
    <row r="528" spans="6:6" ht="13.2">
      <c r="F528" s="50"/>
    </row>
    <row r="529" spans="6:6" ht="13.2">
      <c r="F529" s="50"/>
    </row>
    <row r="530" spans="6:6" ht="13.2">
      <c r="F530" s="50"/>
    </row>
    <row r="531" spans="6:6" ht="13.2">
      <c r="F531" s="50"/>
    </row>
    <row r="532" spans="6:6" ht="13.2">
      <c r="F532" s="50"/>
    </row>
    <row r="533" spans="6:6" ht="13.2">
      <c r="F533" s="50"/>
    </row>
    <row r="534" spans="6:6" ht="13.2">
      <c r="F534" s="50"/>
    </row>
    <row r="535" spans="6:6" ht="13.2">
      <c r="F535" s="50"/>
    </row>
    <row r="536" spans="6:6" ht="13.2">
      <c r="F536" s="50"/>
    </row>
    <row r="537" spans="6:6" ht="13.2">
      <c r="F537" s="50"/>
    </row>
    <row r="538" spans="6:6" ht="13.2">
      <c r="F538" s="50"/>
    </row>
    <row r="539" spans="6:6" ht="13.2">
      <c r="F539" s="50"/>
    </row>
    <row r="540" spans="6:6" ht="13.2">
      <c r="F540" s="50"/>
    </row>
    <row r="541" spans="6:6" ht="13.2">
      <c r="F541" s="50"/>
    </row>
    <row r="542" spans="6:6" ht="13.2">
      <c r="F542" s="50"/>
    </row>
    <row r="543" spans="6:6" ht="13.2">
      <c r="F543" s="50"/>
    </row>
    <row r="544" spans="6:6" ht="13.2">
      <c r="F544" s="50"/>
    </row>
    <row r="545" spans="6:6" ht="13.2">
      <c r="F545" s="50"/>
    </row>
    <row r="546" spans="6:6" ht="13.2">
      <c r="F546" s="50"/>
    </row>
    <row r="547" spans="6:6" ht="13.2">
      <c r="F547" s="50"/>
    </row>
    <row r="548" spans="6:6" ht="13.2">
      <c r="F548" s="50"/>
    </row>
    <row r="549" spans="6:6" ht="13.2">
      <c r="F549" s="50"/>
    </row>
    <row r="550" spans="6:6" ht="13.2">
      <c r="F550" s="50"/>
    </row>
    <row r="551" spans="6:6" ht="13.2">
      <c r="F551" s="50"/>
    </row>
    <row r="552" spans="6:6" ht="13.2">
      <c r="F552" s="50"/>
    </row>
    <row r="553" spans="6:6" ht="13.2">
      <c r="F553" s="50"/>
    </row>
    <row r="554" spans="6:6" ht="13.2">
      <c r="F554" s="50"/>
    </row>
    <row r="555" spans="6:6" ht="13.2">
      <c r="F555" s="50"/>
    </row>
    <row r="556" spans="6:6" ht="13.2">
      <c r="F556" s="50"/>
    </row>
    <row r="557" spans="6:6" ht="13.2">
      <c r="F557" s="50"/>
    </row>
    <row r="558" spans="6:6" ht="13.2">
      <c r="F558" s="50"/>
    </row>
    <row r="559" spans="6:6" ht="13.2">
      <c r="F559" s="50"/>
    </row>
    <row r="560" spans="6:6" ht="13.2">
      <c r="F560" s="50"/>
    </row>
    <row r="561" spans="6:6" ht="13.2">
      <c r="F561" s="50"/>
    </row>
    <row r="562" spans="6:6" ht="13.2">
      <c r="F562" s="50"/>
    </row>
    <row r="563" spans="6:6" ht="13.2">
      <c r="F563" s="50"/>
    </row>
    <row r="564" spans="6:6" ht="13.2">
      <c r="F564" s="50"/>
    </row>
    <row r="565" spans="6:6" ht="13.2">
      <c r="F565" s="50"/>
    </row>
    <row r="566" spans="6:6" ht="13.2">
      <c r="F566" s="50"/>
    </row>
    <row r="567" spans="6:6" ht="13.2">
      <c r="F567" s="50"/>
    </row>
    <row r="568" spans="6:6" ht="13.2">
      <c r="F568" s="50"/>
    </row>
    <row r="569" spans="6:6" ht="13.2">
      <c r="F569" s="50"/>
    </row>
    <row r="570" spans="6:6" ht="13.2">
      <c r="F570" s="50"/>
    </row>
    <row r="571" spans="6:6" ht="13.2">
      <c r="F571" s="50"/>
    </row>
    <row r="572" spans="6:6" ht="13.2">
      <c r="F572" s="50"/>
    </row>
    <row r="573" spans="6:6" ht="13.2">
      <c r="F573" s="50"/>
    </row>
    <row r="574" spans="6:6" ht="13.2">
      <c r="F574" s="50"/>
    </row>
    <row r="575" spans="6:6" ht="13.2">
      <c r="F575" s="50"/>
    </row>
    <row r="576" spans="6:6" ht="13.2">
      <c r="F576" s="50"/>
    </row>
    <row r="577" spans="6:6" ht="13.2">
      <c r="F577" s="50"/>
    </row>
    <row r="578" spans="6:6" ht="13.2">
      <c r="F578" s="50"/>
    </row>
    <row r="579" spans="6:6" ht="13.2">
      <c r="F579" s="50"/>
    </row>
    <row r="580" spans="6:6" ht="13.2">
      <c r="F580" s="50"/>
    </row>
    <row r="581" spans="6:6" ht="13.2">
      <c r="F581" s="50"/>
    </row>
    <row r="582" spans="6:6" ht="13.2">
      <c r="F582" s="50"/>
    </row>
    <row r="583" spans="6:6" ht="13.2">
      <c r="F583" s="50"/>
    </row>
    <row r="584" spans="6:6" ht="13.2">
      <c r="F584" s="50"/>
    </row>
    <row r="585" spans="6:6" ht="13.2">
      <c r="F585" s="50"/>
    </row>
    <row r="586" spans="6:6" ht="13.2">
      <c r="F586" s="50"/>
    </row>
    <row r="587" spans="6:6" ht="13.2">
      <c r="F587" s="50"/>
    </row>
    <row r="588" spans="6:6" ht="13.2">
      <c r="F588" s="50"/>
    </row>
    <row r="589" spans="6:6" ht="13.2">
      <c r="F589" s="50"/>
    </row>
    <row r="590" spans="6:6" ht="13.2">
      <c r="F590" s="50"/>
    </row>
    <row r="591" spans="6:6" ht="13.2">
      <c r="F591" s="50"/>
    </row>
    <row r="592" spans="6:6" ht="13.2">
      <c r="F592" s="50"/>
    </row>
    <row r="593" spans="6:6" ht="13.2">
      <c r="F593" s="50"/>
    </row>
    <row r="594" spans="6:6" ht="13.2">
      <c r="F594" s="50"/>
    </row>
    <row r="595" spans="6:6" ht="13.2">
      <c r="F595" s="50"/>
    </row>
    <row r="596" spans="6:6" ht="13.2">
      <c r="F596" s="50"/>
    </row>
    <row r="597" spans="6:6" ht="13.2">
      <c r="F597" s="50"/>
    </row>
    <row r="598" spans="6:6" ht="13.2">
      <c r="F598" s="50"/>
    </row>
    <row r="599" spans="6:6" ht="13.2">
      <c r="F599" s="50"/>
    </row>
    <row r="600" spans="6:6" ht="13.2">
      <c r="F600" s="50"/>
    </row>
    <row r="601" spans="6:6" ht="13.2">
      <c r="F601" s="50"/>
    </row>
    <row r="602" spans="6:6" ht="13.2">
      <c r="F602" s="50"/>
    </row>
    <row r="603" spans="6:6" ht="13.2">
      <c r="F603" s="50"/>
    </row>
    <row r="604" spans="6:6" ht="13.2">
      <c r="F604" s="50"/>
    </row>
    <row r="605" spans="6:6" ht="13.2">
      <c r="F605" s="50"/>
    </row>
    <row r="606" spans="6:6" ht="13.2">
      <c r="F606" s="50"/>
    </row>
    <row r="607" spans="6:6" ht="13.2">
      <c r="F607" s="50"/>
    </row>
    <row r="608" spans="6:6" ht="13.2">
      <c r="F608" s="50"/>
    </row>
    <row r="609" spans="6:6" ht="13.2">
      <c r="F609" s="50"/>
    </row>
    <row r="610" spans="6:6" ht="13.2">
      <c r="F610" s="50"/>
    </row>
    <row r="611" spans="6:6" ht="13.2">
      <c r="F611" s="50"/>
    </row>
    <row r="612" spans="6:6" ht="13.2">
      <c r="F612" s="50"/>
    </row>
    <row r="613" spans="6:6" ht="13.2">
      <c r="F613" s="50"/>
    </row>
    <row r="614" spans="6:6" ht="13.2">
      <c r="F614" s="50"/>
    </row>
    <row r="615" spans="6:6" ht="13.2">
      <c r="F615" s="50"/>
    </row>
    <row r="616" spans="6:6" ht="13.2">
      <c r="F616" s="50"/>
    </row>
    <row r="617" spans="6:6" ht="13.2">
      <c r="F617" s="50"/>
    </row>
    <row r="618" spans="6:6" ht="13.2">
      <c r="F618" s="50"/>
    </row>
    <row r="619" spans="6:6" ht="13.2">
      <c r="F619" s="50"/>
    </row>
    <row r="620" spans="6:6" ht="13.2">
      <c r="F620" s="50"/>
    </row>
    <row r="621" spans="6:6" ht="13.2">
      <c r="F621" s="50"/>
    </row>
    <row r="622" spans="6:6" ht="13.2">
      <c r="F622" s="50"/>
    </row>
    <row r="623" spans="6:6" ht="13.2">
      <c r="F623" s="50"/>
    </row>
    <row r="624" spans="6:6" ht="13.2">
      <c r="F624" s="50"/>
    </row>
    <row r="625" spans="6:6" ht="13.2">
      <c r="F625" s="50"/>
    </row>
    <row r="626" spans="6:6" ht="13.2">
      <c r="F626" s="50"/>
    </row>
    <row r="627" spans="6:6" ht="13.2">
      <c r="F627" s="50"/>
    </row>
    <row r="628" spans="6:6" ht="13.2">
      <c r="F628" s="50"/>
    </row>
    <row r="629" spans="6:6" ht="13.2">
      <c r="F629" s="50"/>
    </row>
    <row r="630" spans="6:6" ht="13.2">
      <c r="F630" s="50"/>
    </row>
    <row r="631" spans="6:6" ht="13.2">
      <c r="F631" s="50"/>
    </row>
    <row r="632" spans="6:6" ht="13.2">
      <c r="F632" s="50"/>
    </row>
    <row r="633" spans="6:6" ht="13.2">
      <c r="F633" s="50"/>
    </row>
    <row r="634" spans="6:6" ht="13.2">
      <c r="F634" s="50"/>
    </row>
    <row r="635" spans="6:6" ht="13.2">
      <c r="F635" s="50"/>
    </row>
    <row r="636" spans="6:6" ht="13.2">
      <c r="F636" s="50"/>
    </row>
    <row r="637" spans="6:6" ht="13.2">
      <c r="F637" s="50"/>
    </row>
    <row r="638" spans="6:6" ht="13.2">
      <c r="F638" s="50"/>
    </row>
    <row r="639" spans="6:6" ht="13.2">
      <c r="F639" s="50"/>
    </row>
    <row r="640" spans="6:6" ht="13.2">
      <c r="F640" s="50"/>
    </row>
    <row r="641" spans="6:6" ht="13.2">
      <c r="F641" s="50"/>
    </row>
    <row r="642" spans="6:6" ht="13.2">
      <c r="F642" s="50"/>
    </row>
    <row r="643" spans="6:6" ht="13.2">
      <c r="F643" s="50"/>
    </row>
    <row r="644" spans="6:6" ht="13.2">
      <c r="F644" s="50"/>
    </row>
    <row r="645" spans="6:6" ht="13.2">
      <c r="F645" s="50"/>
    </row>
    <row r="646" spans="6:6" ht="13.2">
      <c r="F646" s="50"/>
    </row>
    <row r="647" spans="6:6" ht="13.2">
      <c r="F647" s="50"/>
    </row>
    <row r="648" spans="6:6" ht="13.2">
      <c r="F648" s="50"/>
    </row>
    <row r="649" spans="6:6" ht="13.2">
      <c r="F649" s="50"/>
    </row>
    <row r="650" spans="6:6" ht="13.2">
      <c r="F650" s="50"/>
    </row>
    <row r="651" spans="6:6" ht="13.2">
      <c r="F651" s="50"/>
    </row>
    <row r="652" spans="6:6" ht="13.2">
      <c r="F652" s="50"/>
    </row>
    <row r="653" spans="6:6" ht="13.2">
      <c r="F653" s="50"/>
    </row>
    <row r="654" spans="6:6" ht="13.2">
      <c r="F654" s="50"/>
    </row>
    <row r="655" spans="6:6" ht="13.2">
      <c r="F655" s="50"/>
    </row>
    <row r="656" spans="6:6" ht="13.2">
      <c r="F656" s="50"/>
    </row>
    <row r="657" spans="6:6" ht="13.2">
      <c r="F657" s="50"/>
    </row>
    <row r="658" spans="6:6" ht="13.2">
      <c r="F658" s="50"/>
    </row>
    <row r="659" spans="6:6" ht="13.2">
      <c r="F659" s="50"/>
    </row>
    <row r="660" spans="6:6" ht="13.2">
      <c r="F660" s="50"/>
    </row>
    <row r="661" spans="6:6" ht="13.2">
      <c r="F661" s="50"/>
    </row>
    <row r="662" spans="6:6" ht="13.2">
      <c r="F662" s="50"/>
    </row>
    <row r="663" spans="6:6" ht="13.2">
      <c r="F663" s="50"/>
    </row>
    <row r="664" spans="6:6" ht="13.2">
      <c r="F664" s="50"/>
    </row>
    <row r="665" spans="6:6" ht="13.2">
      <c r="F665" s="50"/>
    </row>
    <row r="666" spans="6:6" ht="13.2">
      <c r="F666" s="50"/>
    </row>
    <row r="667" spans="6:6" ht="13.2">
      <c r="F667" s="50"/>
    </row>
    <row r="668" spans="6:6" ht="13.2">
      <c r="F668" s="50"/>
    </row>
    <row r="669" spans="6:6" ht="13.2">
      <c r="F669" s="50"/>
    </row>
    <row r="670" spans="6:6" ht="13.2">
      <c r="F670" s="50"/>
    </row>
    <row r="671" spans="6:6" ht="13.2">
      <c r="F671" s="50"/>
    </row>
    <row r="672" spans="6:6" ht="13.2">
      <c r="F672" s="50"/>
    </row>
    <row r="673" spans="6:6" ht="13.2">
      <c r="F673" s="50"/>
    </row>
    <row r="674" spans="6:6" ht="13.2">
      <c r="F674" s="50"/>
    </row>
    <row r="675" spans="6:6" ht="13.2">
      <c r="F675" s="50"/>
    </row>
    <row r="676" spans="6:6" ht="13.2">
      <c r="F676" s="50"/>
    </row>
    <row r="677" spans="6:6" ht="13.2">
      <c r="F677" s="50"/>
    </row>
    <row r="678" spans="6:6" ht="13.2">
      <c r="F678" s="50"/>
    </row>
    <row r="679" spans="6:6" ht="13.2">
      <c r="F679" s="50"/>
    </row>
    <row r="680" spans="6:6" ht="13.2">
      <c r="F680" s="50"/>
    </row>
    <row r="681" spans="6:6" ht="13.2">
      <c r="F681" s="50"/>
    </row>
    <row r="682" spans="6:6" ht="13.2">
      <c r="F682" s="50"/>
    </row>
    <row r="683" spans="6:6" ht="13.2">
      <c r="F683" s="50"/>
    </row>
    <row r="684" spans="6:6" ht="13.2">
      <c r="F684" s="50"/>
    </row>
    <row r="685" spans="6:6" ht="13.2">
      <c r="F685" s="50"/>
    </row>
    <row r="686" spans="6:6" ht="13.2">
      <c r="F686" s="50"/>
    </row>
    <row r="687" spans="6:6" ht="13.2">
      <c r="F687" s="50"/>
    </row>
    <row r="688" spans="6:6" ht="13.2">
      <c r="F688" s="50"/>
    </row>
    <row r="689" spans="6:6" ht="13.2">
      <c r="F689" s="50"/>
    </row>
    <row r="690" spans="6:6" ht="13.2">
      <c r="F690" s="50"/>
    </row>
    <row r="691" spans="6:6" ht="13.2">
      <c r="F691" s="50"/>
    </row>
    <row r="692" spans="6:6" ht="13.2">
      <c r="F692" s="50"/>
    </row>
    <row r="693" spans="6:6" ht="13.2">
      <c r="F693" s="50"/>
    </row>
    <row r="694" spans="6:6" ht="13.2">
      <c r="F694" s="50"/>
    </row>
    <row r="695" spans="6:6" ht="13.2">
      <c r="F695" s="50"/>
    </row>
    <row r="696" spans="6:6" ht="13.2">
      <c r="F696" s="50"/>
    </row>
    <row r="697" spans="6:6" ht="13.2">
      <c r="F697" s="50"/>
    </row>
    <row r="698" spans="6:6" ht="13.2">
      <c r="F698" s="50"/>
    </row>
    <row r="699" spans="6:6" ht="13.2">
      <c r="F699" s="50"/>
    </row>
    <row r="700" spans="6:6" ht="13.2">
      <c r="F700" s="50"/>
    </row>
    <row r="701" spans="6:6" ht="13.2">
      <c r="F701" s="50"/>
    </row>
    <row r="702" spans="6:6" ht="13.2">
      <c r="F702" s="50"/>
    </row>
    <row r="703" spans="6:6" ht="13.2">
      <c r="F703" s="50"/>
    </row>
    <row r="704" spans="6:6" ht="13.2">
      <c r="F704" s="50"/>
    </row>
    <row r="705" spans="6:6" ht="13.2">
      <c r="F705" s="50"/>
    </row>
    <row r="706" spans="6:6" ht="13.2">
      <c r="F706" s="50"/>
    </row>
    <row r="707" spans="6:6" ht="13.2">
      <c r="F707" s="50"/>
    </row>
    <row r="708" spans="6:6" ht="13.2">
      <c r="F708" s="50"/>
    </row>
    <row r="709" spans="6:6" ht="13.2">
      <c r="F709" s="50"/>
    </row>
    <row r="710" spans="6:6" ht="13.2">
      <c r="F710" s="50"/>
    </row>
    <row r="711" spans="6:6" ht="13.2">
      <c r="F711" s="50"/>
    </row>
    <row r="712" spans="6:6" ht="13.2">
      <c r="F712" s="50"/>
    </row>
    <row r="713" spans="6:6" ht="13.2">
      <c r="F713" s="50"/>
    </row>
    <row r="714" spans="6:6" ht="13.2">
      <c r="F714" s="50"/>
    </row>
    <row r="715" spans="6:6" ht="13.2">
      <c r="F715" s="50"/>
    </row>
    <row r="716" spans="6:6" ht="13.2">
      <c r="F716" s="50"/>
    </row>
    <row r="717" spans="6:6" ht="13.2">
      <c r="F717" s="50"/>
    </row>
    <row r="718" spans="6:6" ht="13.2">
      <c r="F718" s="50"/>
    </row>
    <row r="719" spans="6:6" ht="13.2">
      <c r="F719" s="50"/>
    </row>
    <row r="720" spans="6:6" ht="13.2">
      <c r="F720" s="50"/>
    </row>
    <row r="721" spans="6:6" ht="13.2">
      <c r="F721" s="50"/>
    </row>
    <row r="722" spans="6:6" ht="13.2">
      <c r="F722" s="50"/>
    </row>
    <row r="723" spans="6:6" ht="13.2">
      <c r="F723" s="50"/>
    </row>
    <row r="724" spans="6:6" ht="13.2">
      <c r="F724" s="50"/>
    </row>
    <row r="725" spans="6:6" ht="13.2">
      <c r="F725" s="50"/>
    </row>
    <row r="726" spans="6:6" ht="13.2">
      <c r="F726" s="50"/>
    </row>
    <row r="727" spans="6:6" ht="13.2">
      <c r="F727" s="50"/>
    </row>
    <row r="728" spans="6:6" ht="13.2">
      <c r="F728" s="50"/>
    </row>
    <row r="729" spans="6:6" ht="13.2">
      <c r="F729" s="50"/>
    </row>
    <row r="730" spans="6:6" ht="13.2">
      <c r="F730" s="50"/>
    </row>
    <row r="731" spans="6:6" ht="13.2">
      <c r="F731" s="50"/>
    </row>
    <row r="732" spans="6:6" ht="13.2">
      <c r="F732" s="50"/>
    </row>
    <row r="733" spans="6:6" ht="13.2">
      <c r="F733" s="50"/>
    </row>
    <row r="734" spans="6:6" ht="13.2">
      <c r="F734" s="50"/>
    </row>
    <row r="735" spans="6:6" ht="13.2">
      <c r="F735" s="50"/>
    </row>
    <row r="736" spans="6:6" ht="13.2">
      <c r="F736" s="50"/>
    </row>
    <row r="737" spans="6:6" ht="13.2">
      <c r="F737" s="50"/>
    </row>
    <row r="738" spans="6:6" ht="13.2">
      <c r="F738" s="50"/>
    </row>
    <row r="739" spans="6:6" ht="13.2">
      <c r="F739" s="50"/>
    </row>
    <row r="740" spans="6:6" ht="13.2">
      <c r="F740" s="50"/>
    </row>
    <row r="741" spans="6:6" ht="13.2">
      <c r="F741" s="50"/>
    </row>
    <row r="742" spans="6:6" ht="13.2">
      <c r="F742" s="50"/>
    </row>
    <row r="743" spans="6:6" ht="13.2">
      <c r="F743" s="50"/>
    </row>
    <row r="744" spans="6:6" ht="13.2">
      <c r="F744" s="50"/>
    </row>
    <row r="745" spans="6:6" ht="13.2">
      <c r="F745" s="50"/>
    </row>
    <row r="746" spans="6:6" ht="13.2">
      <c r="F746" s="50"/>
    </row>
    <row r="747" spans="6:6" ht="13.2">
      <c r="F747" s="50"/>
    </row>
    <row r="748" spans="6:6" ht="13.2">
      <c r="F748" s="50"/>
    </row>
    <row r="749" spans="6:6" ht="13.2">
      <c r="F749" s="50"/>
    </row>
    <row r="750" spans="6:6" ht="13.2">
      <c r="F750" s="50"/>
    </row>
    <row r="751" spans="6:6" ht="13.2">
      <c r="F751" s="50"/>
    </row>
    <row r="752" spans="6:6" ht="13.2">
      <c r="F752" s="50"/>
    </row>
    <row r="753" spans="6:6" ht="13.2">
      <c r="F753" s="50"/>
    </row>
    <row r="754" spans="6:6" ht="13.2">
      <c r="F754" s="50"/>
    </row>
    <row r="755" spans="6:6" ht="13.2">
      <c r="F755" s="50"/>
    </row>
    <row r="756" spans="6:6" ht="13.2">
      <c r="F756" s="50"/>
    </row>
    <row r="757" spans="6:6" ht="13.2">
      <c r="F757" s="50"/>
    </row>
    <row r="758" spans="6:6" ht="13.2">
      <c r="F758" s="50"/>
    </row>
    <row r="759" spans="6:6" ht="13.2">
      <c r="F759" s="50"/>
    </row>
    <row r="760" spans="6:6" ht="13.2">
      <c r="F760" s="50"/>
    </row>
    <row r="761" spans="6:6" ht="13.2">
      <c r="F761" s="50"/>
    </row>
    <row r="762" spans="6:6" ht="13.2">
      <c r="F762" s="50"/>
    </row>
    <row r="763" spans="6:6" ht="13.2">
      <c r="F763" s="50"/>
    </row>
    <row r="764" spans="6:6" ht="13.2">
      <c r="F764" s="50"/>
    </row>
    <row r="765" spans="6:6" ht="13.2">
      <c r="F765" s="50"/>
    </row>
    <row r="766" spans="6:6" ht="13.2">
      <c r="F766" s="50"/>
    </row>
    <row r="767" spans="6:6" ht="13.2">
      <c r="F767" s="50"/>
    </row>
    <row r="768" spans="6:6" ht="13.2">
      <c r="F768" s="50"/>
    </row>
    <row r="769" spans="6:6" ht="13.2">
      <c r="F769" s="50"/>
    </row>
    <row r="770" spans="6:6" ht="13.2">
      <c r="F770" s="50"/>
    </row>
    <row r="771" spans="6:6" ht="13.2">
      <c r="F771" s="50"/>
    </row>
    <row r="772" spans="6:6" ht="13.2">
      <c r="F772" s="50"/>
    </row>
    <row r="773" spans="6:6" ht="13.2">
      <c r="F773" s="50"/>
    </row>
    <row r="774" spans="6:6" ht="13.2">
      <c r="F774" s="50"/>
    </row>
    <row r="775" spans="6:6" ht="13.2">
      <c r="F775" s="50"/>
    </row>
    <row r="776" spans="6:6" ht="13.2">
      <c r="F776" s="50"/>
    </row>
    <row r="777" spans="6:6" ht="13.2">
      <c r="F777" s="50"/>
    </row>
    <row r="778" spans="6:6" ht="13.2">
      <c r="F778" s="50"/>
    </row>
    <row r="779" spans="6:6" ht="13.2">
      <c r="F779" s="50"/>
    </row>
    <row r="780" spans="6:6" ht="13.2">
      <c r="F780" s="50"/>
    </row>
    <row r="781" spans="6:6" ht="13.2">
      <c r="F781" s="50"/>
    </row>
    <row r="782" spans="6:6" ht="13.2">
      <c r="F782" s="50"/>
    </row>
    <row r="783" spans="6:6" ht="13.2">
      <c r="F783" s="50"/>
    </row>
    <row r="784" spans="6:6" ht="13.2">
      <c r="F784" s="50"/>
    </row>
    <row r="785" spans="6:6" ht="13.2">
      <c r="F785" s="50"/>
    </row>
    <row r="786" spans="6:6" ht="13.2">
      <c r="F786" s="50"/>
    </row>
    <row r="787" spans="6:6" ht="13.2">
      <c r="F787" s="50"/>
    </row>
    <row r="788" spans="6:6" ht="13.2">
      <c r="F788" s="50"/>
    </row>
    <row r="789" spans="6:6" ht="13.2">
      <c r="F789" s="50"/>
    </row>
    <row r="790" spans="6:6" ht="13.2">
      <c r="F790" s="50"/>
    </row>
    <row r="791" spans="6:6" ht="13.2">
      <c r="F791" s="50"/>
    </row>
    <row r="792" spans="6:6" ht="13.2">
      <c r="F792" s="50"/>
    </row>
    <row r="793" spans="6:6" ht="13.2">
      <c r="F793" s="50"/>
    </row>
    <row r="794" spans="6:6" ht="13.2">
      <c r="F794" s="50"/>
    </row>
    <row r="795" spans="6:6" ht="13.2">
      <c r="F795" s="50"/>
    </row>
    <row r="796" spans="6:6" ht="13.2">
      <c r="F796" s="50"/>
    </row>
    <row r="797" spans="6:6" ht="13.2">
      <c r="F797" s="50"/>
    </row>
    <row r="798" spans="6:6" ht="13.2">
      <c r="F798" s="50"/>
    </row>
    <row r="799" spans="6:6" ht="13.2">
      <c r="F799" s="50"/>
    </row>
    <row r="800" spans="6:6" ht="13.2">
      <c r="F800" s="50"/>
    </row>
    <row r="801" spans="6:6" ht="13.2">
      <c r="F801" s="50"/>
    </row>
    <row r="802" spans="6:6" ht="13.2">
      <c r="F802" s="50"/>
    </row>
    <row r="803" spans="6:6" ht="13.2">
      <c r="F803" s="50"/>
    </row>
    <row r="804" spans="6:6" ht="13.2">
      <c r="F804" s="50"/>
    </row>
    <row r="805" spans="6:6" ht="13.2">
      <c r="F805" s="50"/>
    </row>
    <row r="806" spans="6:6" ht="13.2">
      <c r="F806" s="50"/>
    </row>
    <row r="807" spans="6:6" ht="13.2">
      <c r="F807" s="50"/>
    </row>
    <row r="808" spans="6:6" ht="13.2">
      <c r="F808" s="50"/>
    </row>
    <row r="809" spans="6:6" ht="13.2">
      <c r="F809" s="50"/>
    </row>
    <row r="810" spans="6:6" ht="13.2">
      <c r="F810" s="50"/>
    </row>
    <row r="811" spans="6:6" ht="13.2">
      <c r="F811" s="50"/>
    </row>
    <row r="812" spans="6:6" ht="13.2">
      <c r="F812" s="50"/>
    </row>
    <row r="813" spans="6:6" ht="13.2">
      <c r="F813" s="50"/>
    </row>
    <row r="814" spans="6:6" ht="13.2">
      <c r="F814" s="50"/>
    </row>
    <row r="815" spans="6:6" ht="13.2">
      <c r="F815" s="50"/>
    </row>
    <row r="816" spans="6:6" ht="13.2">
      <c r="F816" s="50"/>
    </row>
    <row r="817" spans="6:6" ht="13.2">
      <c r="F817" s="50"/>
    </row>
    <row r="818" spans="6:6" ht="13.2">
      <c r="F818" s="50"/>
    </row>
    <row r="819" spans="6:6" ht="13.2">
      <c r="F819" s="50"/>
    </row>
    <row r="820" spans="6:6" ht="13.2">
      <c r="F820" s="50"/>
    </row>
    <row r="821" spans="6:6" ht="13.2">
      <c r="F821" s="50"/>
    </row>
    <row r="822" spans="6:6" ht="13.2">
      <c r="F822" s="50"/>
    </row>
    <row r="823" spans="6:6" ht="13.2">
      <c r="F823" s="50"/>
    </row>
    <row r="824" spans="6:6" ht="13.2">
      <c r="F824" s="50"/>
    </row>
    <row r="825" spans="6:6" ht="13.2">
      <c r="F825" s="50"/>
    </row>
    <row r="826" spans="6:6" ht="13.2">
      <c r="F826" s="50"/>
    </row>
    <row r="827" spans="6:6" ht="13.2">
      <c r="F827" s="50"/>
    </row>
    <row r="828" spans="6:6" ht="13.2">
      <c r="F828" s="50"/>
    </row>
    <row r="829" spans="6:6" ht="13.2">
      <c r="F829" s="50"/>
    </row>
    <row r="830" spans="6:6" ht="13.2">
      <c r="F830" s="50"/>
    </row>
    <row r="831" spans="6:6" ht="13.2">
      <c r="F831" s="50"/>
    </row>
    <row r="832" spans="6:6" ht="13.2">
      <c r="F832" s="50"/>
    </row>
    <row r="833" spans="6:6" ht="13.2">
      <c r="F833" s="50"/>
    </row>
    <row r="834" spans="6:6" ht="13.2">
      <c r="F834" s="50"/>
    </row>
    <row r="835" spans="6:6" ht="13.2">
      <c r="F835" s="50"/>
    </row>
    <row r="836" spans="6:6" ht="13.2">
      <c r="F836" s="50"/>
    </row>
    <row r="837" spans="6:6" ht="13.2">
      <c r="F837" s="50"/>
    </row>
    <row r="838" spans="6:6" ht="13.2">
      <c r="F838" s="50"/>
    </row>
    <row r="839" spans="6:6" ht="13.2">
      <c r="F839" s="50"/>
    </row>
    <row r="840" spans="6:6" ht="13.2">
      <c r="F840" s="50"/>
    </row>
    <row r="841" spans="6:6" ht="13.2">
      <c r="F841" s="50"/>
    </row>
    <row r="842" spans="6:6" ht="13.2">
      <c r="F842" s="50"/>
    </row>
    <row r="843" spans="6:6" ht="13.2">
      <c r="F843" s="50"/>
    </row>
    <row r="844" spans="6:6" ht="13.2">
      <c r="F844" s="50"/>
    </row>
    <row r="845" spans="6:6" ht="13.2">
      <c r="F845" s="50"/>
    </row>
    <row r="846" spans="6:6" ht="13.2">
      <c r="F846" s="50"/>
    </row>
    <row r="847" spans="6:6" ht="13.2">
      <c r="F847" s="50"/>
    </row>
    <row r="848" spans="6:6" ht="13.2">
      <c r="F848" s="50"/>
    </row>
    <row r="849" spans="6:6" ht="13.2">
      <c r="F849" s="50"/>
    </row>
    <row r="850" spans="6:6" ht="13.2">
      <c r="F850" s="50"/>
    </row>
    <row r="851" spans="6:6" ht="13.2">
      <c r="F851" s="50"/>
    </row>
    <row r="852" spans="6:6" ht="13.2">
      <c r="F852" s="50"/>
    </row>
    <row r="853" spans="6:6" ht="13.2">
      <c r="F853" s="50"/>
    </row>
    <row r="854" spans="6:6" ht="13.2">
      <c r="F854" s="50"/>
    </row>
    <row r="855" spans="6:6" ht="13.2">
      <c r="F855" s="50"/>
    </row>
    <row r="856" spans="6:6" ht="13.2">
      <c r="F856" s="50"/>
    </row>
    <row r="857" spans="6:6" ht="13.2">
      <c r="F857" s="50"/>
    </row>
    <row r="858" spans="6:6" ht="13.2">
      <c r="F858" s="50"/>
    </row>
    <row r="859" spans="6:6" ht="13.2">
      <c r="F859" s="50"/>
    </row>
    <row r="860" spans="6:6" ht="13.2">
      <c r="F860" s="50"/>
    </row>
    <row r="861" spans="6:6" ht="13.2">
      <c r="F861" s="50"/>
    </row>
    <row r="862" spans="6:6" ht="13.2">
      <c r="F862" s="50"/>
    </row>
    <row r="863" spans="6:6" ht="13.2">
      <c r="F863" s="50"/>
    </row>
    <row r="864" spans="6:6" ht="13.2">
      <c r="F864" s="50"/>
    </row>
    <row r="865" spans="6:6" ht="13.2">
      <c r="F865" s="50"/>
    </row>
    <row r="866" spans="6:6" ht="13.2">
      <c r="F866" s="50"/>
    </row>
    <row r="867" spans="6:6" ht="13.2">
      <c r="F867" s="50"/>
    </row>
    <row r="868" spans="6:6" ht="13.2">
      <c r="F868" s="50"/>
    </row>
    <row r="869" spans="6:6" ht="13.2">
      <c r="F869" s="50"/>
    </row>
    <row r="870" spans="6:6" ht="13.2">
      <c r="F870" s="50"/>
    </row>
    <row r="871" spans="6:6" ht="13.2">
      <c r="F871" s="50"/>
    </row>
    <row r="872" spans="6:6" ht="13.2">
      <c r="F872" s="50"/>
    </row>
    <row r="873" spans="6:6" ht="13.2">
      <c r="F873" s="50"/>
    </row>
    <row r="874" spans="6:6" ht="13.2">
      <c r="F874" s="50"/>
    </row>
    <row r="875" spans="6:6" ht="13.2">
      <c r="F875" s="50"/>
    </row>
    <row r="876" spans="6:6" ht="13.2">
      <c r="F876" s="50"/>
    </row>
    <row r="877" spans="6:6" ht="13.2">
      <c r="F877" s="50"/>
    </row>
    <row r="878" spans="6:6" ht="13.2">
      <c r="F878" s="50"/>
    </row>
    <row r="879" spans="6:6" ht="13.2">
      <c r="F879" s="50"/>
    </row>
    <row r="880" spans="6:6" ht="13.2">
      <c r="F880" s="50"/>
    </row>
    <row r="881" spans="6:6" ht="13.2">
      <c r="F881" s="50"/>
    </row>
    <row r="882" spans="6:6" ht="13.2">
      <c r="F882" s="50"/>
    </row>
    <row r="883" spans="6:6" ht="13.2">
      <c r="F883" s="50"/>
    </row>
    <row r="884" spans="6:6" ht="13.2">
      <c r="F884" s="50"/>
    </row>
    <row r="885" spans="6:6" ht="13.2">
      <c r="F885" s="50"/>
    </row>
    <row r="886" spans="6:6" ht="13.2">
      <c r="F886" s="50"/>
    </row>
    <row r="887" spans="6:6" ht="13.2">
      <c r="F887" s="50"/>
    </row>
    <row r="888" spans="6:6" ht="13.2">
      <c r="F888" s="50"/>
    </row>
    <row r="889" spans="6:6" ht="13.2">
      <c r="F889" s="50"/>
    </row>
    <row r="890" spans="6:6" ht="13.2">
      <c r="F890" s="50"/>
    </row>
    <row r="891" spans="6:6" ht="13.2">
      <c r="F891" s="50"/>
    </row>
    <row r="892" spans="6:6" ht="13.2">
      <c r="F892" s="50"/>
    </row>
    <row r="893" spans="6:6" ht="13.2">
      <c r="F893" s="50"/>
    </row>
    <row r="894" spans="6:6" ht="13.2">
      <c r="F894" s="50"/>
    </row>
    <row r="895" spans="6:6" ht="13.2">
      <c r="F895" s="50"/>
    </row>
    <row r="896" spans="6:6" ht="13.2">
      <c r="F896" s="50"/>
    </row>
    <row r="897" spans="6:6" ht="13.2">
      <c r="F897" s="50"/>
    </row>
    <row r="898" spans="6:6" ht="13.2">
      <c r="F898" s="50"/>
    </row>
    <row r="899" spans="6:6" ht="13.2">
      <c r="F899" s="50"/>
    </row>
    <row r="900" spans="6:6" ht="13.2">
      <c r="F900" s="50"/>
    </row>
    <row r="901" spans="6:6" ht="13.2">
      <c r="F901" s="50"/>
    </row>
    <row r="902" spans="6:6" ht="13.2">
      <c r="F902" s="50"/>
    </row>
    <row r="903" spans="6:6" ht="13.2">
      <c r="F903" s="50"/>
    </row>
    <row r="904" spans="6:6" ht="13.2">
      <c r="F904" s="50"/>
    </row>
    <row r="905" spans="6:6" ht="13.2">
      <c r="F905" s="50"/>
    </row>
    <row r="906" spans="6:6" ht="13.2">
      <c r="F906" s="50"/>
    </row>
    <row r="907" spans="6:6" ht="13.2">
      <c r="F907" s="50"/>
    </row>
    <row r="908" spans="6:6" ht="13.2">
      <c r="F908" s="50"/>
    </row>
    <row r="909" spans="6:6" ht="13.2">
      <c r="F909" s="50"/>
    </row>
    <row r="910" spans="6:6" ht="13.2">
      <c r="F910" s="50"/>
    </row>
    <row r="911" spans="6:6" ht="13.2">
      <c r="F911" s="50"/>
    </row>
    <row r="912" spans="6:6" ht="13.2">
      <c r="F912" s="50"/>
    </row>
    <row r="913" spans="6:6" ht="13.2">
      <c r="F913" s="50"/>
    </row>
    <row r="914" spans="6:6" ht="13.2">
      <c r="F914" s="50"/>
    </row>
    <row r="915" spans="6:6" ht="13.2">
      <c r="F915" s="50"/>
    </row>
    <row r="916" spans="6:6" ht="13.2">
      <c r="F916" s="50"/>
    </row>
    <row r="917" spans="6:6" ht="13.2">
      <c r="F917" s="50"/>
    </row>
    <row r="918" spans="6:6" ht="13.2">
      <c r="F918" s="50"/>
    </row>
    <row r="919" spans="6:6" ht="13.2">
      <c r="F919" s="50"/>
    </row>
    <row r="920" spans="6:6" ht="13.2">
      <c r="F920" s="50"/>
    </row>
    <row r="921" spans="6:6" ht="13.2">
      <c r="F921" s="50"/>
    </row>
    <row r="922" spans="6:6" ht="13.2">
      <c r="F922" s="50"/>
    </row>
    <row r="923" spans="6:6" ht="13.2">
      <c r="F923" s="50"/>
    </row>
    <row r="924" spans="6:6" ht="13.2">
      <c r="F924" s="50"/>
    </row>
    <row r="925" spans="6:6" ht="13.2">
      <c r="F925" s="50"/>
    </row>
    <row r="926" spans="6:6" ht="13.2">
      <c r="F926" s="50"/>
    </row>
    <row r="927" spans="6:6" ht="13.2">
      <c r="F927" s="50"/>
    </row>
    <row r="928" spans="6:6" ht="13.2">
      <c r="F928" s="50"/>
    </row>
    <row r="929" spans="6:6" ht="13.2">
      <c r="F929" s="50"/>
    </row>
    <row r="930" spans="6:6" ht="13.2">
      <c r="F930" s="50"/>
    </row>
    <row r="931" spans="6:6" ht="13.2">
      <c r="F931" s="50"/>
    </row>
    <row r="932" spans="6:6" ht="13.2">
      <c r="F932" s="50"/>
    </row>
    <row r="933" spans="6:6" ht="13.2">
      <c r="F933" s="50"/>
    </row>
    <row r="934" spans="6:6" ht="13.2">
      <c r="F934" s="50"/>
    </row>
    <row r="935" spans="6:6" ht="13.2">
      <c r="F935" s="50"/>
    </row>
    <row r="936" spans="6:6" ht="13.2">
      <c r="F936" s="50"/>
    </row>
    <row r="937" spans="6:6" ht="13.2">
      <c r="F937" s="50"/>
    </row>
    <row r="938" spans="6:6" ht="13.2">
      <c r="F938" s="50"/>
    </row>
    <row r="939" spans="6:6" ht="13.2">
      <c r="F939" s="50"/>
    </row>
    <row r="940" spans="6:6" ht="13.2">
      <c r="F940" s="50"/>
    </row>
    <row r="941" spans="6:6" ht="13.2">
      <c r="F941" s="50"/>
    </row>
    <row r="942" spans="6:6" ht="13.2">
      <c r="F942" s="50"/>
    </row>
    <row r="943" spans="6:6" ht="13.2">
      <c r="F943" s="50"/>
    </row>
    <row r="944" spans="6:6" ht="13.2">
      <c r="F944" s="50"/>
    </row>
    <row r="945" spans="6:6" ht="13.2">
      <c r="F945" s="50"/>
    </row>
    <row r="946" spans="6:6" ht="13.2">
      <c r="F946" s="50"/>
    </row>
    <row r="947" spans="6:6" ht="13.2">
      <c r="F947" s="50"/>
    </row>
    <row r="948" spans="6:6" ht="13.2">
      <c r="F948" s="50"/>
    </row>
    <row r="949" spans="6:6" ht="13.2">
      <c r="F949" s="50"/>
    </row>
    <row r="950" spans="6:6" ht="13.2">
      <c r="F950" s="50"/>
    </row>
    <row r="951" spans="6:6" ht="13.2">
      <c r="F951" s="50"/>
    </row>
    <row r="952" spans="6:6" ht="13.2">
      <c r="F952" s="50"/>
    </row>
    <row r="953" spans="6:6" ht="13.2">
      <c r="F953" s="50"/>
    </row>
    <row r="954" spans="6:6" ht="13.2">
      <c r="F954" s="50"/>
    </row>
    <row r="955" spans="6:6" ht="13.2">
      <c r="F955" s="50"/>
    </row>
    <row r="956" spans="6:6" ht="13.2">
      <c r="F956" s="50"/>
    </row>
    <row r="957" spans="6:6" ht="13.2">
      <c r="F957" s="50"/>
    </row>
    <row r="958" spans="6:6" ht="13.2">
      <c r="F958" s="50"/>
    </row>
    <row r="959" spans="6:6" ht="13.2">
      <c r="F959" s="50"/>
    </row>
    <row r="960" spans="6:6" ht="13.2">
      <c r="F960" s="50"/>
    </row>
    <row r="961" spans="6:6" ht="13.2">
      <c r="F961" s="50"/>
    </row>
    <row r="962" spans="6:6" ht="13.2">
      <c r="F962" s="50"/>
    </row>
    <row r="963" spans="6:6" ht="13.2">
      <c r="F963" s="50"/>
    </row>
    <row r="964" spans="6:6" ht="13.2">
      <c r="F964" s="50"/>
    </row>
    <row r="965" spans="6:6" ht="13.2">
      <c r="F965" s="50"/>
    </row>
    <row r="966" spans="6:6" ht="13.2">
      <c r="F966" s="50"/>
    </row>
    <row r="967" spans="6:6" ht="13.2">
      <c r="F967" s="50"/>
    </row>
    <row r="968" spans="6:6" ht="13.2">
      <c r="F968" s="50"/>
    </row>
    <row r="969" spans="6:6" ht="13.2">
      <c r="F969" s="50"/>
    </row>
    <row r="970" spans="6:6" ht="13.2">
      <c r="F970" s="50"/>
    </row>
    <row r="971" spans="6:6" ht="13.2">
      <c r="F971" s="50"/>
    </row>
    <row r="972" spans="6:6" ht="13.2">
      <c r="F972" s="50"/>
    </row>
    <row r="973" spans="6:6" ht="13.2">
      <c r="F973" s="50"/>
    </row>
    <row r="974" spans="6:6" ht="13.2">
      <c r="F974" s="50"/>
    </row>
    <row r="975" spans="6:6" ht="13.2">
      <c r="F975" s="50"/>
    </row>
    <row r="976" spans="6:6" ht="13.2">
      <c r="F976" s="50"/>
    </row>
    <row r="977" spans="6:6" ht="13.2">
      <c r="F977" s="50"/>
    </row>
    <row r="978" spans="6:6" ht="13.2">
      <c r="F978" s="50"/>
    </row>
    <row r="979" spans="6:6" ht="13.2">
      <c r="F979" s="50"/>
    </row>
    <row r="980" spans="6:6" ht="13.2">
      <c r="F980" s="50"/>
    </row>
    <row r="981" spans="6:6" ht="13.2">
      <c r="F981" s="50"/>
    </row>
    <row r="982" spans="6:6" ht="13.2">
      <c r="F982" s="50"/>
    </row>
    <row r="983" spans="6:6" ht="13.2">
      <c r="F983" s="50"/>
    </row>
    <row r="984" spans="6:6" ht="13.2">
      <c r="F984" s="50"/>
    </row>
    <row r="985" spans="6:6" ht="13.2">
      <c r="F985" s="50"/>
    </row>
    <row r="986" spans="6:6" ht="13.2">
      <c r="F986" s="50"/>
    </row>
    <row r="987" spans="6:6" ht="13.2">
      <c r="F987" s="50"/>
    </row>
    <row r="988" spans="6:6" ht="13.2">
      <c r="F988" s="50"/>
    </row>
    <row r="989" spans="6:6" ht="13.2">
      <c r="F989" s="50"/>
    </row>
    <row r="990" spans="6:6" ht="13.2">
      <c r="F990" s="50"/>
    </row>
    <row r="991" spans="6:6" ht="13.2">
      <c r="F991" s="50"/>
    </row>
    <row r="992" spans="6:6" ht="13.2">
      <c r="F992" s="50"/>
    </row>
    <row r="993" spans="6:6" ht="13.2">
      <c r="F993" s="50"/>
    </row>
    <row r="994" spans="6:6" ht="13.2">
      <c r="F994" s="50"/>
    </row>
    <row r="995" spans="6:6" ht="13.2">
      <c r="F995" s="50"/>
    </row>
    <row r="996" spans="6:6" ht="13.2">
      <c r="F996" s="50"/>
    </row>
    <row r="997" spans="6:6" ht="13.2">
      <c r="F997" s="50"/>
    </row>
    <row r="998" spans="6:6" ht="13.2">
      <c r="F998" s="50"/>
    </row>
    <row r="999" spans="6:6" ht="13.2">
      <c r="F999" s="50"/>
    </row>
    <row r="1000" spans="6:6" ht="13.2">
      <c r="F1000" s="50"/>
    </row>
  </sheetData>
  <autoFilter ref="A1:Y13" xr:uid="{00000000-0009-0000-0000-000083000000}"/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540954</v>
      </c>
      <c r="B2" s="98" t="s">
        <v>4470</v>
      </c>
      <c r="C2" s="101" t="e">
        <f>VLOOKUP(A2,'BSE ALL CAP'!$B$4:$Y$1038,2,)</f>
        <v>#N/A</v>
      </c>
      <c r="D2" s="101" t="e">
        <f>VLOOKUP(A2,'BSE ALL CAP'!$B$4:$Y$1038,3,)</f>
        <v>#N/A</v>
      </c>
      <c r="E2" s="101">
        <f ca="1">IFERROR(__xludf.DUMMYFUNCTION("GOOGLEFINANCE(""BOM:""&amp;A2,""PRICE"")"),33.45)</f>
        <v>33.450000000000003</v>
      </c>
      <c r="F2" s="112">
        <f ca="1">IFERROR(__xludf.DUMMYFUNCTION("GOOGLEFINANCE(""BOM:""&amp;A2,""MARKETCAP"")/10000000"),213.9887198)</f>
        <v>213.98871980000001</v>
      </c>
      <c r="G2" s="95">
        <f t="shared" ref="G2:G4" ca="1" si="0">F2/$F$6</f>
        <v>0.79603465917027749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.75" customHeight="1">
      <c r="A3" s="99">
        <v>526490</v>
      </c>
      <c r="B3" s="98" t="s">
        <v>4471</v>
      </c>
      <c r="C3" s="101" t="e">
        <f>VLOOKUP(A3,'BSE ALL CAP'!$B$4:$Y$1038,2,)</f>
        <v>#N/A</v>
      </c>
      <c r="D3" s="101" t="e">
        <f>VLOOKUP(A3,'BSE ALL CAP'!$B$4:$Y$1038,3,)</f>
        <v>#N/A</v>
      </c>
      <c r="E3" s="101">
        <f ca="1">IFERROR(__xludf.DUMMYFUNCTION("GOOGLEFINANCE(""BOM:""&amp;A3,""PRICE"")"),6.88)</f>
        <v>6.88</v>
      </c>
      <c r="F3" s="112">
        <f ca="1">IFERROR(__xludf.DUMMYFUNCTION("GOOGLEFINANCE(""BOM:""&amp;A3,""MARKETCAP"")/10000000"),43.9621687)</f>
        <v>43.962168699999999</v>
      </c>
      <c r="G3" s="95">
        <f t="shared" ca="1" si="0"/>
        <v>0.16353857348274459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516062</v>
      </c>
      <c r="B4" s="98" t="s">
        <v>4472</v>
      </c>
      <c r="C4" s="101" t="e">
        <f>VLOOKUP(A4,'BSE ALL CAP'!$B$4:$Y$1038,2,)</f>
        <v>#N/A</v>
      </c>
      <c r="D4" s="101" t="e">
        <f>VLOOKUP(A4,'BSE ALL CAP'!$B$4:$Y$1038,3,)</f>
        <v>#N/A</v>
      </c>
      <c r="E4" s="101">
        <f ca="1">IFERROR(__xludf.DUMMYFUNCTION("GOOGLEFINANCE(""BOM:""&amp;A4,""PRICE"")"),4.41)</f>
        <v>4.41</v>
      </c>
      <c r="F4" s="112">
        <f ca="1">IFERROR(__xludf.DUMMYFUNCTION("GOOGLEFINANCE(""BOM:""&amp;A4,""MARKETCAP"")/10000000"),10.8674567)</f>
        <v>10.8674567</v>
      </c>
      <c r="G4" s="95">
        <f t="shared" ca="1" si="0"/>
        <v>4.0426767346977921E-2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101"/>
      <c r="B5" s="101"/>
      <c r="C5" s="101"/>
      <c r="D5" s="101"/>
      <c r="E5" s="101"/>
      <c r="F5" s="112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>
      <c r="A6" s="101"/>
      <c r="B6" s="101"/>
      <c r="C6" s="101"/>
      <c r="D6" s="101"/>
      <c r="E6" s="101"/>
      <c r="F6" s="112">
        <f t="shared" ref="F6:G6" ca="1" si="1">SUM(F2:F4)</f>
        <v>268.81834520000001</v>
      </c>
      <c r="G6" s="95">
        <f t="shared" ca="1" si="1"/>
        <v>1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F7" s="94"/>
    </row>
    <row r="8" spans="1:25">
      <c r="F8" s="94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4" xr:uid="{00000000-0009-0000-0000-000084000000}"/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>
      <c r="A2" s="101">
        <v>543426</v>
      </c>
      <c r="B2" s="101" t="s">
        <v>4473</v>
      </c>
      <c r="C2" s="101" t="str">
        <f>VLOOKUP(A2,'BSE ALL CAP'!$B$4:$Y$1038,2,)</f>
        <v>Consumer Discretionary</v>
      </c>
      <c r="D2" s="101" t="str">
        <f>VLOOKUP(A2,'BSE ALL CAP'!$B$4:$Y$1038,3,)</f>
        <v>Footwear</v>
      </c>
      <c r="E2" s="101">
        <f ca="1">IFERROR(__xludf.DUMMYFUNCTION("GOOGLEFINANCE(""BOM:""&amp;A2,""PRICE"")"),960)</f>
        <v>960</v>
      </c>
      <c r="F2" s="112">
        <f ca="1">IFERROR(__xludf.DUMMYFUNCTION("GOOGLEFINANCE(""BOM:""&amp;A2,""MARKETCAP"")/10000000"),26164.4736)</f>
        <v>26164.473600000001</v>
      </c>
      <c r="G2" s="95">
        <f t="shared" ref="G2:G13" ca="1" si="0">F2/$F$15</f>
        <v>0.46351084479478272</v>
      </c>
      <c r="H2" s="101">
        <f>VLOOKUP(A2,'BSE ALL CAP'!$B$4:$Y$1038,7,)</f>
        <v>2090</v>
      </c>
      <c r="I2" s="101">
        <f>VLOOKUP(A2,'BSE ALL CAP'!$B$4:$Y$1038,8,)</f>
        <v>1864</v>
      </c>
      <c r="J2" s="101">
        <f>VLOOKUP(A2,'BSE ALL CAP'!$B$4:$Y$1038,9,)</f>
        <v>298</v>
      </c>
      <c r="K2" s="101">
        <f>VLOOKUP(A2,'BSE ALL CAP'!$B$4:$Y$1038,10,)</f>
        <v>259</v>
      </c>
      <c r="L2" s="101">
        <f>VLOOKUP(A2,'BSE ALL CAP'!$B$4:$Y$1038,11,)</f>
        <v>811</v>
      </c>
      <c r="M2" s="101">
        <f>VLOOKUP(A2,'BSE ALL CAP'!$B$4:$Y$1038,12,)</f>
        <v>703</v>
      </c>
      <c r="N2" s="101">
        <f>VLOOKUP(A2,'BSE ALL CAP'!$B$4:$Y$1038,13,)</f>
        <v>130</v>
      </c>
      <c r="O2" s="101">
        <f>VLOOKUP(A2,'BSE ALL CAP'!$B$4:$Y$1038,14,)</f>
        <v>99</v>
      </c>
      <c r="P2" s="95">
        <f>VLOOKUP(A2,'BSE ALL CAP'!$B$4:$Y$1038,15,)</f>
        <v>0.14258373205741626</v>
      </c>
      <c r="Q2" s="95">
        <f>VLOOKUP(A2,'BSE ALL CAP'!$B$4:$Y$1038,16,)</f>
        <v>0.13894849785407726</v>
      </c>
      <c r="R2" s="95">
        <f>VLOOKUP(A2,'BSE ALL CAP'!$B$4:$Y$1038,17,)</f>
        <v>3.6352342033389995E-3</v>
      </c>
      <c r="S2" s="95">
        <f>VLOOKUP(A2,'BSE ALL CAP'!$B$4:$Y$1038,18,)</f>
        <v>0.16029593094944514</v>
      </c>
      <c r="T2" s="95">
        <f>VLOOKUP(A2,'BSE ALL CAP'!$B$4:$Y$1038,19,)</f>
        <v>0.14082503556187767</v>
      </c>
      <c r="U2" s="95">
        <f>VLOOKUP(A2,'BSE ALL CAP'!$B$4:$Y$1038,20,)</f>
        <v>1.9470895387567466E-2</v>
      </c>
      <c r="V2" s="95">
        <f>VLOOKUP(A2,'BSE ALL CAP'!$B$4:$Y$1038,21,)</f>
        <v>0.12124463519313311</v>
      </c>
      <c r="W2" s="95">
        <f>VLOOKUP(A2,'BSE ALL CAP'!$B$4:$Y$1038,22,)</f>
        <v>0.1505791505791505</v>
      </c>
      <c r="X2" s="95">
        <f>VLOOKUP(A2,'BSE ALL CAP'!$B$4:$Y$1038,23,)</f>
        <v>0.15362731152204834</v>
      </c>
      <c r="Y2" s="95">
        <f>VLOOKUP(A2,'BSE ALL CAP'!$B$4:$Y$1038,24,)</f>
        <v>0.31313131313131315</v>
      </c>
    </row>
    <row r="3" spans="1:25">
      <c r="A3" s="101">
        <v>500043</v>
      </c>
      <c r="B3" s="101" t="s">
        <v>4474</v>
      </c>
      <c r="C3" s="101" t="str">
        <f>VLOOKUP(A3,'BSE ALL CAP'!$B$4:$Y$1038,2,)</f>
        <v>Consumer Discretionary</v>
      </c>
      <c r="D3" s="101" t="str">
        <f>VLOOKUP(A3,'BSE ALL CAP'!$B$4:$Y$1038,3,)</f>
        <v>Footwear</v>
      </c>
      <c r="E3" s="101">
        <f ca="1">IFERROR(__xludf.DUMMYFUNCTION("GOOGLEFINANCE(""BOM:""&amp;A3,""PRICE"")"),665.75)</f>
        <v>665.75</v>
      </c>
      <c r="F3" s="112">
        <f ca="1">IFERROR(__xludf.DUMMYFUNCTION("GOOGLEFINANCE(""BOM:""&amp;A3,""MARKETCAP"")/10000000"),8549.77865)</f>
        <v>8549.7786500000002</v>
      </c>
      <c r="G3" s="95">
        <f t="shared" ca="1" si="0"/>
        <v>0.15146167988909576</v>
      </c>
      <c r="H3" s="101">
        <f>VLOOKUP(A3,'BSE ALL CAP'!$B$4:$Y$1038,7,)</f>
        <v>2687</v>
      </c>
      <c r="I3" s="101">
        <f>VLOOKUP(A3,'BSE ALL CAP'!$B$4:$Y$1038,8,)</f>
        <v>2700</v>
      </c>
      <c r="J3" s="101">
        <f>VLOOKUP(A3,'BSE ALL CAP'!$B$4:$Y$1038,9,)</f>
        <v>131</v>
      </c>
      <c r="K3" s="101">
        <f>VLOOKUP(A3,'BSE ALL CAP'!$B$4:$Y$1038,10,)</f>
        <v>284</v>
      </c>
      <c r="L3" s="101">
        <f>VLOOKUP(A3,'BSE ALL CAP'!$B$4:$Y$1038,11,)</f>
        <v>944</v>
      </c>
      <c r="M3" s="101">
        <f>VLOOKUP(A3,'BSE ALL CAP'!$B$4:$Y$1038,12,)</f>
        <v>918</v>
      </c>
      <c r="N3" s="101">
        <f>VLOOKUP(A3,'BSE ALL CAP'!$B$4:$Y$1038,13,)</f>
        <v>66</v>
      </c>
      <c r="O3" s="101">
        <f>VLOOKUP(A3,'BSE ALL CAP'!$B$4:$Y$1038,14,)</f>
        <v>58</v>
      </c>
      <c r="P3" s="95">
        <f>VLOOKUP(A3,'BSE ALL CAP'!$B$4:$Y$1038,15,)</f>
        <v>4.8753256419799031E-2</v>
      </c>
      <c r="Q3" s="95">
        <f>VLOOKUP(A3,'BSE ALL CAP'!$B$4:$Y$1038,16,)</f>
        <v>0.10518518518518519</v>
      </c>
      <c r="R3" s="95">
        <f>VLOOKUP(A3,'BSE ALL CAP'!$B$4:$Y$1038,17,)</f>
        <v>-5.6431928765386156E-2</v>
      </c>
      <c r="S3" s="95">
        <f>VLOOKUP(A3,'BSE ALL CAP'!$B$4:$Y$1038,18,)</f>
        <v>6.991525423728813E-2</v>
      </c>
      <c r="T3" s="95">
        <f>VLOOKUP(A3,'BSE ALL CAP'!$B$4:$Y$1038,19,)</f>
        <v>6.3180827886710242E-2</v>
      </c>
      <c r="U3" s="95">
        <f>VLOOKUP(A3,'BSE ALL CAP'!$B$4:$Y$1038,20,)</f>
        <v>6.7344263505778879E-3</v>
      </c>
      <c r="V3" s="95">
        <f>VLOOKUP(A3,'BSE ALL CAP'!$B$4:$Y$1038,21,)</f>
        <v>-4.8148148148148273E-3</v>
      </c>
      <c r="W3" s="95">
        <f>VLOOKUP(A3,'BSE ALL CAP'!$B$4:$Y$1038,22,)</f>
        <v>-0.53873239436619724</v>
      </c>
      <c r="X3" s="95">
        <f>VLOOKUP(A3,'BSE ALL CAP'!$B$4:$Y$1038,23,)</f>
        <v>2.8322440087146017E-2</v>
      </c>
      <c r="Y3" s="95">
        <f>VLOOKUP(A3,'BSE ALL CAP'!$B$4:$Y$1038,24,)</f>
        <v>0.13793103448275867</v>
      </c>
    </row>
    <row r="4" spans="1:25">
      <c r="A4" s="101">
        <v>530517</v>
      </c>
      <c r="B4" s="101" t="s">
        <v>4475</v>
      </c>
      <c r="C4" s="101" t="str">
        <f>VLOOKUP(A4,'BSE ALL CAP'!$B$4:$Y$1038,2,)</f>
        <v>Consumer Discretionary</v>
      </c>
      <c r="D4" s="101" t="str">
        <f>VLOOKUP(A4,'BSE ALL CAP'!$B$4:$Y$1038,3,)</f>
        <v>Footwear</v>
      </c>
      <c r="E4" s="101">
        <f ca="1">IFERROR(__xludf.DUMMYFUNCTION("GOOGLEFINANCE(""BOM:""&amp;A4,""PRICE"")"),273)</f>
        <v>273</v>
      </c>
      <c r="F4" s="112">
        <f ca="1">IFERROR(__xludf.DUMMYFUNCTION("GOOGLEFINANCE(""BOM:""&amp;A4,""MARKETCAP"")/10000000"),6786.5639916)</f>
        <v>6786.5639916</v>
      </c>
      <c r="G4" s="95">
        <f t="shared" ca="1" si="0"/>
        <v>0.12022584734899343</v>
      </c>
      <c r="H4" s="101">
        <f>VLOOKUP(A4,'BSE ALL CAP'!$B$4:$Y$1038,7,)</f>
        <v>1951</v>
      </c>
      <c r="I4" s="101">
        <f>VLOOKUP(A4,'BSE ALL CAP'!$B$4:$Y$1038,8,)</f>
        <v>2094</v>
      </c>
      <c r="J4" s="101">
        <f>VLOOKUP(A4,'BSE ALL CAP'!$B$4:$Y$1038,9,)</f>
        <v>112</v>
      </c>
      <c r="K4" s="101">
        <f>VLOOKUP(A4,'BSE ALL CAP'!$B$4:$Y$1038,10,)</f>
        <v>114</v>
      </c>
      <c r="L4" s="101">
        <f>VLOOKUP(A4,'BSE ALL CAP'!$B$4:$Y$1038,11,)</f>
        <v>668</v>
      </c>
      <c r="M4" s="101">
        <f>VLOOKUP(A4,'BSE ALL CAP'!$B$4:$Y$1038,12,)</f>
        <v>667</v>
      </c>
      <c r="N4" s="101">
        <f>VLOOKUP(A4,'BSE ALL CAP'!$B$4:$Y$1038,13,)</f>
        <v>27</v>
      </c>
      <c r="O4" s="101">
        <f>VLOOKUP(A4,'BSE ALL CAP'!$B$4:$Y$1038,14,)</f>
        <v>33</v>
      </c>
      <c r="P4" s="95">
        <f>VLOOKUP(A4,'BSE ALL CAP'!$B$4:$Y$1038,15,)</f>
        <v>5.7406458226550487E-2</v>
      </c>
      <c r="Q4" s="95">
        <f>VLOOKUP(A4,'BSE ALL CAP'!$B$4:$Y$1038,16,)</f>
        <v>5.4441260744985676E-2</v>
      </c>
      <c r="R4" s="95">
        <f>VLOOKUP(A4,'BSE ALL CAP'!$B$4:$Y$1038,17,)</f>
        <v>2.9651974815648116E-3</v>
      </c>
      <c r="S4" s="95">
        <f>VLOOKUP(A4,'BSE ALL CAP'!$B$4:$Y$1038,18,)</f>
        <v>4.0419161676646706E-2</v>
      </c>
      <c r="T4" s="95">
        <f>VLOOKUP(A4,'BSE ALL CAP'!$B$4:$Y$1038,19,)</f>
        <v>4.9475262368815595E-2</v>
      </c>
      <c r="U4" s="95">
        <f>VLOOKUP(A4,'BSE ALL CAP'!$B$4:$Y$1038,20,)</f>
        <v>-9.0561006921688891E-3</v>
      </c>
      <c r="V4" s="95">
        <f>VLOOKUP(A4,'BSE ALL CAP'!$B$4:$Y$1038,21,)</f>
        <v>-6.8290353390639935E-2</v>
      </c>
      <c r="W4" s="95">
        <f>VLOOKUP(A4,'BSE ALL CAP'!$B$4:$Y$1038,22,)</f>
        <v>-1.7543859649122862E-2</v>
      </c>
      <c r="X4" s="95">
        <f>VLOOKUP(A4,'BSE ALL CAP'!$B$4:$Y$1038,23,)</f>
        <v>1.4992503748125774E-3</v>
      </c>
      <c r="Y4" s="95">
        <f>VLOOKUP(A4,'BSE ALL CAP'!$B$4:$Y$1038,24,)</f>
        <v>-0.18181818181818177</v>
      </c>
    </row>
    <row r="5" spans="1:25">
      <c r="A5" s="101">
        <v>543523</v>
      </c>
      <c r="B5" s="101" t="s">
        <v>4476</v>
      </c>
      <c r="C5" s="101" t="str">
        <f>VLOOKUP(A5,'BSE ALL CAP'!$B$4:$Y$1038,2,)</f>
        <v>Consumer Discretionary</v>
      </c>
      <c r="D5" s="101" t="str">
        <f>VLOOKUP(A5,'BSE ALL CAP'!$B$4:$Y$1038,3,)</f>
        <v>Footwear</v>
      </c>
      <c r="E5" s="101">
        <f ca="1">IFERROR(__xludf.DUMMYFUNCTION("GOOGLEFINANCE(""BOM:""&amp;A5,""PRICE"")"),232.05)</f>
        <v>232.05</v>
      </c>
      <c r="F5" s="112">
        <f ca="1">IFERROR(__xludf.DUMMYFUNCTION("GOOGLEFINANCE(""BOM:""&amp;A5,""MARKETCAP"")/10000000"),7090.3712367)</f>
        <v>7090.3712366999998</v>
      </c>
      <c r="G5" s="95">
        <f t="shared" ca="1" si="0"/>
        <v>0.12560787623991965</v>
      </c>
      <c r="H5" s="101">
        <f>VLOOKUP(A5,'BSE ALL CAP'!$B$4:$Y$1038,7,)</f>
        <v>1319</v>
      </c>
      <c r="I5" s="101">
        <f>VLOOKUP(A5,'BSE ALL CAP'!$B$4:$Y$1038,8,)</f>
        <v>1187</v>
      </c>
      <c r="J5" s="101">
        <f>VLOOKUP(A5,'BSE ALL CAP'!$B$4:$Y$1038,9,)</f>
        <v>106</v>
      </c>
      <c r="K5" s="101">
        <f>VLOOKUP(A5,'BSE ALL CAP'!$B$4:$Y$1038,10,)</f>
        <v>86</v>
      </c>
      <c r="L5" s="101">
        <f>VLOOKUP(A5,'BSE ALL CAP'!$B$4:$Y$1038,11,)</f>
        <v>589</v>
      </c>
      <c r="M5" s="101">
        <f>VLOOKUP(A5,'BSE ALL CAP'!$B$4:$Y$1038,12,)</f>
        <v>515</v>
      </c>
      <c r="N5" s="101">
        <f>VLOOKUP(A5,'BSE ALL CAP'!$B$4:$Y$1038,13,)</f>
        <v>64</v>
      </c>
      <c r="O5" s="101">
        <f>VLOOKUP(A5,'BSE ALL CAP'!$B$4:$Y$1038,14,)</f>
        <v>46</v>
      </c>
      <c r="P5" s="95">
        <f>VLOOKUP(A5,'BSE ALL CAP'!$B$4:$Y$1038,15,)</f>
        <v>8.0363912054586803E-2</v>
      </c>
      <c r="Q5" s="95">
        <f>VLOOKUP(A5,'BSE ALL CAP'!$B$4:$Y$1038,16,)</f>
        <v>7.2451558550968825E-2</v>
      </c>
      <c r="R5" s="95">
        <f>VLOOKUP(A5,'BSE ALL CAP'!$B$4:$Y$1038,17,)</f>
        <v>7.9123535036179776E-3</v>
      </c>
      <c r="S5" s="95">
        <f>VLOOKUP(A5,'BSE ALL CAP'!$B$4:$Y$1038,18,)</f>
        <v>0.10865874363327674</v>
      </c>
      <c r="T5" s="95">
        <f>VLOOKUP(A5,'BSE ALL CAP'!$B$4:$Y$1038,19,)</f>
        <v>8.9320388349514557E-2</v>
      </c>
      <c r="U5" s="95">
        <f>VLOOKUP(A5,'BSE ALL CAP'!$B$4:$Y$1038,20,)</f>
        <v>1.9338355283762182E-2</v>
      </c>
      <c r="V5" s="95">
        <f>VLOOKUP(A5,'BSE ALL CAP'!$B$4:$Y$1038,21,)</f>
        <v>0.11120471777590568</v>
      </c>
      <c r="W5" s="95">
        <f>VLOOKUP(A5,'BSE ALL CAP'!$B$4:$Y$1038,22,)</f>
        <v>0.23255813953488369</v>
      </c>
      <c r="X5" s="95">
        <f>VLOOKUP(A5,'BSE ALL CAP'!$B$4:$Y$1038,23,)</f>
        <v>0.14368932038834958</v>
      </c>
      <c r="Y5" s="95">
        <f>VLOOKUP(A5,'BSE ALL CAP'!$B$4:$Y$1038,24,)</f>
        <v>0.39130434782608692</v>
      </c>
    </row>
    <row r="6" spans="1:25">
      <c r="A6" s="101">
        <v>543957</v>
      </c>
      <c r="B6" s="101" t="s">
        <v>4477</v>
      </c>
      <c r="C6" s="101" t="str">
        <f>VLOOKUP(A6,'BSE ALL CAP'!$B$4:$Y$1038,2,)</f>
        <v>Consumer Discretionary</v>
      </c>
      <c r="D6" s="101" t="str">
        <f>VLOOKUP(A6,'BSE ALL CAP'!$B$4:$Y$1038,3,)</f>
        <v>Footwear</v>
      </c>
      <c r="E6" s="101">
        <f ca="1">IFERROR(__xludf.DUMMYFUNCTION("GOOGLEFINANCE(""BOM:""&amp;A6,""PRICE"")"),115)</f>
        <v>115</v>
      </c>
      <c r="F6" s="112">
        <f ca="1">IFERROR(__xludf.DUMMYFUNCTION("GOOGLEFINANCE(""BOM:""&amp;A6,""MARKETCAP"")/10000000"),6357.8403256)</f>
        <v>6357.8403256000001</v>
      </c>
      <c r="G6" s="95">
        <f t="shared" ca="1" si="0"/>
        <v>0.11263088971104666</v>
      </c>
      <c r="H6" s="101">
        <f>VLOOKUP(A6,'BSE ALL CAP'!$B$4:$Y$1038,7,)</f>
        <v>1743</v>
      </c>
      <c r="I6" s="101">
        <f>VLOOKUP(A6,'BSE ALL CAP'!$B$4:$Y$1038,8,)</f>
        <v>1514</v>
      </c>
      <c r="J6" s="101">
        <f>VLOOKUP(A6,'BSE ALL CAP'!$B$4:$Y$1038,9,)</f>
        <v>170</v>
      </c>
      <c r="K6" s="101">
        <f>VLOOKUP(A6,'BSE ALL CAP'!$B$4:$Y$1038,10,)</f>
        <v>128</v>
      </c>
      <c r="L6" s="101">
        <f>VLOOKUP(A6,'BSE ALL CAP'!$B$4:$Y$1038,11,)</f>
        <v>786</v>
      </c>
      <c r="M6" s="101">
        <f>VLOOKUP(A6,'BSE ALL CAP'!$B$4:$Y$1038,12,)</f>
        <v>661</v>
      </c>
      <c r="N6" s="101">
        <f>VLOOKUP(A6,'BSE ALL CAP'!$B$4:$Y$1038,13,)</f>
        <v>104</v>
      </c>
      <c r="O6" s="101">
        <f>VLOOKUP(A6,'BSE ALL CAP'!$B$4:$Y$1038,14,)</f>
        <v>73</v>
      </c>
      <c r="P6" s="95">
        <f>VLOOKUP(A6,'BSE ALL CAP'!$B$4:$Y$1038,15,)</f>
        <v>9.7532989099254161E-2</v>
      </c>
      <c r="Q6" s="95">
        <f>VLOOKUP(A6,'BSE ALL CAP'!$B$4:$Y$1038,16,)</f>
        <v>8.4544253632760899E-2</v>
      </c>
      <c r="R6" s="95">
        <f>VLOOKUP(A6,'BSE ALL CAP'!$B$4:$Y$1038,17,)</f>
        <v>1.2988735466493262E-2</v>
      </c>
      <c r="S6" s="95">
        <f>VLOOKUP(A6,'BSE ALL CAP'!$B$4:$Y$1038,18,)</f>
        <v>0.13231552162849872</v>
      </c>
      <c r="T6" s="95">
        <f>VLOOKUP(A6,'BSE ALL CAP'!$B$4:$Y$1038,19,)</f>
        <v>0.11043872919818457</v>
      </c>
      <c r="U6" s="95">
        <f>VLOOKUP(A6,'BSE ALL CAP'!$B$4:$Y$1038,20,)</f>
        <v>2.1876792430314151E-2</v>
      </c>
      <c r="V6" s="95">
        <f>VLOOKUP(A6,'BSE ALL CAP'!$B$4:$Y$1038,21,)</f>
        <v>0.15125495376486131</v>
      </c>
      <c r="W6" s="95">
        <f>VLOOKUP(A6,'BSE ALL CAP'!$B$4:$Y$1038,22,)</f>
        <v>0.328125</v>
      </c>
      <c r="X6" s="95">
        <f>VLOOKUP(A6,'BSE ALL CAP'!$B$4:$Y$1038,23,)</f>
        <v>0.18910741301059009</v>
      </c>
      <c r="Y6" s="95">
        <f>VLOOKUP(A6,'BSE ALL CAP'!$B$4:$Y$1038,24,)</f>
        <v>0.42465753424657526</v>
      </c>
    </row>
    <row r="7" spans="1:25">
      <c r="A7" s="101">
        <v>535601</v>
      </c>
      <c r="B7" s="101" t="s">
        <v>4478</v>
      </c>
      <c r="C7" s="101"/>
      <c r="D7" s="101"/>
      <c r="E7" s="101">
        <f ca="1">IFERROR(__xludf.DUMMYFUNCTION("GOOGLEFINANCE(""BOM:""&amp;A7,""PRICE"")"),181.5)</f>
        <v>181.5</v>
      </c>
      <c r="F7" s="112">
        <f ca="1">IFERROR(__xludf.DUMMYFUNCTION("GOOGLEFINANCE(""BOM:""&amp;A7,""MARKETCAP"")/10000000"),430.4516217)</f>
        <v>430.45162169999998</v>
      </c>
      <c r="G7" s="95">
        <f t="shared" ca="1" si="0"/>
        <v>7.6255688483429377E-3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>
        <v>526596</v>
      </c>
      <c r="B8" s="101" t="s">
        <v>4479</v>
      </c>
      <c r="C8" s="101"/>
      <c r="D8" s="101"/>
      <c r="E8" s="101">
        <f ca="1">IFERROR(__xludf.DUMMYFUNCTION("GOOGLEFINANCE(""BOM:""&amp;A8,""PRICE"")"),252)</f>
        <v>252</v>
      </c>
      <c r="F8" s="112">
        <f ca="1">IFERROR(__xludf.DUMMYFUNCTION("GOOGLEFINANCE(""BOM:""&amp;A8,""MARKETCAP"")/10000000"),429.755256)</f>
        <v>429.75525599999997</v>
      </c>
      <c r="G8" s="95">
        <f t="shared" ca="1" si="0"/>
        <v>7.6132325384737753E-3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A9" s="101">
        <v>532829</v>
      </c>
      <c r="B9" s="101" t="s">
        <v>4480</v>
      </c>
      <c r="C9" s="101"/>
      <c r="D9" s="101"/>
      <c r="E9" s="101">
        <f ca="1">IFERROR(__xludf.DUMMYFUNCTION("GOOGLEFINANCE(""BOM:""&amp;A9,""PRICE"")"),193.55)</f>
        <v>193.55</v>
      </c>
      <c r="F9" s="112">
        <f ca="1">IFERROR(__xludf.DUMMYFUNCTION("GOOGLEFINANCE(""BOM:""&amp;A9,""MARKETCAP"")/10000000"),342.1729858)</f>
        <v>342.17298579999999</v>
      </c>
      <c r="G9" s="95">
        <f t="shared" ca="1" si="0"/>
        <v>6.0616885376249714E-3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>
      <c r="A10" s="101">
        <v>540775</v>
      </c>
      <c r="B10" s="101" t="s">
        <v>4481</v>
      </c>
      <c r="C10" s="101"/>
      <c r="D10" s="101"/>
      <c r="E10" s="101">
        <f ca="1">IFERROR(__xludf.DUMMYFUNCTION("GOOGLEFINANCE(""BOM:""&amp;A10,""PRICE"")"),84.5)</f>
        <v>84.5</v>
      </c>
      <c r="F10" s="112">
        <f ca="1">IFERROR(__xludf.DUMMYFUNCTION("GOOGLEFINANCE(""BOM:""&amp;A10,""MARKETCAP"")/10000000"),155.7567705)</f>
        <v>155.75677049999999</v>
      </c>
      <c r="G10" s="95">
        <f t="shared" ca="1" si="0"/>
        <v>2.7592740209748411E-3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>
      <c r="A11" s="101">
        <v>514412</v>
      </c>
      <c r="B11" s="101" t="s">
        <v>4482</v>
      </c>
      <c r="C11" s="101"/>
      <c r="D11" s="101"/>
      <c r="E11" s="101">
        <f ca="1">IFERROR(__xludf.DUMMYFUNCTION("GOOGLEFINANCE(""BOM:""&amp;A11,""PRICE"")"),152.45)</f>
        <v>152.44999999999999</v>
      </c>
      <c r="F11" s="112">
        <f ca="1">IFERROR(__xludf.DUMMYFUNCTION("GOOGLEFINANCE(""BOM:""&amp;A11,""MARKETCAP"")/10000000"),49.582837)</f>
        <v>49.582836999999998</v>
      </c>
      <c r="G11" s="95">
        <f t="shared" ca="1" si="0"/>
        <v>8.7837359224349188E-4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>
      <c r="A12" s="101">
        <v>544615</v>
      </c>
      <c r="B12" s="101" t="s">
        <v>4483</v>
      </c>
      <c r="C12" s="101"/>
      <c r="D12" s="101"/>
      <c r="E12" s="101">
        <f ca="1">IFERROR(__xludf.DUMMYFUNCTION("GOOGLEFINANCE(""BOM:""&amp;A12,""PRICE"")"),32.34)</f>
        <v>32.340000000000003</v>
      </c>
      <c r="F12" s="112">
        <f ca="1">IFERROR(__xludf.DUMMYFUNCTION("GOOGLEFINANCE(""BOM:""&amp;A12,""MARKETCAP"")/10000000"),60.1891945)</f>
        <v>60.189194499999999</v>
      </c>
      <c r="G12" s="95">
        <f t="shared" ca="1" si="0"/>
        <v>1.0662681319991275E-3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>
      <c r="A13" s="101">
        <v>544437</v>
      </c>
      <c r="B13" s="101" t="s">
        <v>4484</v>
      </c>
      <c r="C13" s="101"/>
      <c r="D13" s="101"/>
      <c r="E13" s="101">
        <f ca="1">IFERROR(__xludf.DUMMYFUNCTION("GOOGLEFINANCE(""BOM:""&amp;A13,""PRICE"")"),44.4)</f>
        <v>44.4</v>
      </c>
      <c r="F13" s="112">
        <f ca="1">IFERROR(__xludf.DUMMYFUNCTION("GOOGLEFINANCE(""BOM:""&amp;A13,""MARKETCAP"")/10000000"),31.524001)</f>
        <v>31.524000999999998</v>
      </c>
      <c r="G13" s="95">
        <f t="shared" ca="1" si="0"/>
        <v>5.5845634650267045E-4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>
      <c r="A14" s="101"/>
      <c r="B14" s="101"/>
      <c r="C14" s="101"/>
      <c r="D14" s="101"/>
      <c r="E14" s="101"/>
      <c r="F14" s="112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>
      <c r="A15" s="101"/>
      <c r="B15" s="101"/>
      <c r="C15" s="101"/>
      <c r="D15" s="101"/>
      <c r="E15" s="101"/>
      <c r="F15" s="112">
        <f t="shared" ref="F15:O15" ca="1" si="1">SUM(F2:F13)</f>
        <v>56448.460470400001</v>
      </c>
      <c r="G15" s="95">
        <f t="shared" ca="1" si="1"/>
        <v>1.0000000000000002</v>
      </c>
      <c r="H15" s="101">
        <f t="shared" si="1"/>
        <v>9790</v>
      </c>
      <c r="I15" s="101">
        <f t="shared" si="1"/>
        <v>9359</v>
      </c>
      <c r="J15" s="101">
        <f t="shared" si="1"/>
        <v>817</v>
      </c>
      <c r="K15" s="101">
        <f t="shared" si="1"/>
        <v>871</v>
      </c>
      <c r="L15" s="101">
        <f t="shared" si="1"/>
        <v>3798</v>
      </c>
      <c r="M15" s="101">
        <f t="shared" si="1"/>
        <v>3464</v>
      </c>
      <c r="N15" s="101">
        <f t="shared" si="1"/>
        <v>391</v>
      </c>
      <c r="O15" s="101">
        <f t="shared" si="1"/>
        <v>309</v>
      </c>
      <c r="P15" s="95">
        <f t="shared" ref="P15:Q15" si="2">J15/H15</f>
        <v>8.3452502553626143E-2</v>
      </c>
      <c r="Q15" s="95">
        <f t="shared" si="2"/>
        <v>9.3065498450689177E-2</v>
      </c>
      <c r="R15" s="95">
        <f>P15-Q15</f>
        <v>-9.6129958970630341E-3</v>
      </c>
      <c r="S15" s="95">
        <f t="shared" ref="S15:T15" si="3">N15/L15</f>
        <v>0.10294892048446551</v>
      </c>
      <c r="T15" s="95">
        <f t="shared" si="3"/>
        <v>8.9203233256351044E-2</v>
      </c>
      <c r="U15" s="95">
        <f>S15-T15</f>
        <v>1.3745687228114464E-2</v>
      </c>
      <c r="V15" s="95">
        <f>(H15/I15)-1</f>
        <v>4.6051928624853078E-2</v>
      </c>
      <c r="W15" s="95">
        <f>(J15/K15)-1</f>
        <v>-6.1997703788748582E-2</v>
      </c>
      <c r="X15" s="95">
        <f>(L15/M15)-1</f>
        <v>9.6420323325635104E-2</v>
      </c>
      <c r="Y15" s="95">
        <f>(N15/O15)-1</f>
        <v>0.2653721682847896</v>
      </c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3" xr:uid="{00000000-0009-0000-0000-000085000000}"/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543396</v>
      </c>
      <c r="B2" s="98" t="s">
        <v>4485</v>
      </c>
      <c r="C2" s="101" t="str">
        <f>VLOOKUP(A2,'BSE ALL CAP'!$B$4:$Y$1038,2,)</f>
        <v>Financial Services</v>
      </c>
      <c r="D2" s="101" t="str">
        <f>VLOOKUP(A2,'BSE ALL CAP'!$B$4:$Y$1038,3,)</f>
        <v>Financial Technology (Fintech)</v>
      </c>
      <c r="E2" s="101">
        <f ca="1">IFERROR(__xludf.DUMMYFUNCTION("GOOGLEFINANCE(""BOM:""&amp;A2,""PRICE"")"),1026.8)</f>
        <v>1026.8</v>
      </c>
      <c r="F2" s="112">
        <f ca="1">IFERROR(__xludf.DUMMYFUNCTION("GOOGLEFINANCE(""BOM:""&amp;A2,""MARKETCAP"")/10000000"),65736.0522464)</f>
        <v>65736.052246399995</v>
      </c>
      <c r="G2" s="95">
        <f t="shared" ref="G2:G10" ca="1" si="0">F2/$F$12</f>
        <v>0.41884742487275495</v>
      </c>
      <c r="H2" s="101">
        <f>VLOOKUP(A2,'BSE ALL CAP'!$B$4:$Y$1038,7,)</f>
        <v>6849</v>
      </c>
      <c r="I2" s="101">
        <f>VLOOKUP(A2,'BSE ALL CAP'!$B$4:$Y$1038,8,)</f>
        <v>5490</v>
      </c>
      <c r="J2" s="101">
        <f>VLOOKUP(A2,'BSE ALL CAP'!$B$4:$Y$1038,9,)</f>
        <v>369</v>
      </c>
      <c r="K2" s="101">
        <f>VLOOKUP(A2,'BSE ALL CAP'!$B$4:$Y$1038,10,)</f>
        <v>-119</v>
      </c>
      <c r="L2" s="101">
        <f>VLOOKUP(A2,'BSE ALL CAP'!$B$4:$Y$1038,11,)</f>
        <v>2406</v>
      </c>
      <c r="M2" s="101">
        <f>VLOOKUP(A2,'BSE ALL CAP'!$B$4:$Y$1038,12,)</f>
        <v>2017</v>
      </c>
      <c r="N2" s="101">
        <f>VLOOKUP(A2,'BSE ALL CAP'!$B$4:$Y$1038,13,)</f>
        <v>225</v>
      </c>
      <c r="O2" s="101">
        <f>VLOOKUP(A2,'BSE ALL CAP'!$B$4:$Y$1038,14,)</f>
        <v>-208</v>
      </c>
      <c r="P2" s="95">
        <f>VLOOKUP(A2,'BSE ALL CAP'!$B$4:$Y$1038,15,)</f>
        <v>5.387647831800263E-2</v>
      </c>
      <c r="Q2" s="95">
        <f>VLOOKUP(A2,'BSE ALL CAP'!$B$4:$Y$1038,16,)</f>
        <v>-2.1675774134790528E-2</v>
      </c>
      <c r="R2" s="95">
        <f>VLOOKUP(A2,'BSE ALL CAP'!$B$4:$Y$1038,17,)</f>
        <v>7.555225245279315E-2</v>
      </c>
      <c r="S2" s="95">
        <f>VLOOKUP(A2,'BSE ALL CAP'!$B$4:$Y$1038,18,)</f>
        <v>9.3516209476309231E-2</v>
      </c>
      <c r="T2" s="95">
        <f>VLOOKUP(A2,'BSE ALL CAP'!$B$4:$Y$1038,19,)</f>
        <v>-0.10312345066931086</v>
      </c>
      <c r="U2" s="95">
        <f>VLOOKUP(A2,'BSE ALL CAP'!$B$4:$Y$1038,20,)</f>
        <v>0.19663966014562009</v>
      </c>
      <c r="V2" s="95">
        <f>VLOOKUP(A2,'BSE ALL CAP'!$B$4:$Y$1038,21,)</f>
        <v>0.24754098360655741</v>
      </c>
      <c r="W2" s="95">
        <f>VLOOKUP(A2,'BSE ALL CAP'!$B$4:$Y$1038,22,)</f>
        <v>-4.1008403361344534</v>
      </c>
      <c r="X2" s="95">
        <f>VLOOKUP(A2,'BSE ALL CAP'!$B$4:$Y$1038,23,)</f>
        <v>0.19286068418443225</v>
      </c>
      <c r="Y2" s="95">
        <f>VLOOKUP(A2,'BSE ALL CAP'!$B$4:$Y$1038,24,)</f>
        <v>-2.0817307692307692</v>
      </c>
    </row>
    <row r="3" spans="1:25" ht="15.75" customHeight="1">
      <c r="A3" s="99">
        <v>543390</v>
      </c>
      <c r="B3" s="98" t="s">
        <v>4486</v>
      </c>
      <c r="C3" s="101" t="str">
        <f>VLOOKUP(A3,'BSE ALL CAP'!$B$4:$Y$1038,2,)</f>
        <v>Financial Services</v>
      </c>
      <c r="D3" s="101" t="str">
        <f>VLOOKUP(A3,'BSE ALL CAP'!$B$4:$Y$1038,3,)</f>
        <v>Financial Technology (Fintech)</v>
      </c>
      <c r="E3" s="101">
        <f ca="1">IFERROR(__xludf.DUMMYFUNCTION("GOOGLEFINANCE(""BOM:""&amp;A3,""PRICE"")"),1472.75)</f>
        <v>1472.75</v>
      </c>
      <c r="F3" s="112">
        <f ca="1">IFERROR(__xludf.DUMMYFUNCTION("GOOGLEFINANCE(""BOM:""&amp;A3,""MARKETCAP"")/10000000"),68051.2804239)</f>
        <v>68051.280423899996</v>
      </c>
      <c r="G3" s="95">
        <f t="shared" ca="1" si="0"/>
        <v>0.43359925932280474</v>
      </c>
      <c r="H3" s="101">
        <f>VLOOKUP(A3,'BSE ALL CAP'!$B$4:$Y$1038,7,)</f>
        <v>5000</v>
      </c>
      <c r="I3" s="101">
        <f>VLOOKUP(A3,'BSE ALL CAP'!$B$4:$Y$1038,8,)</f>
        <v>3776</v>
      </c>
      <c r="J3" s="101">
        <f>VLOOKUP(A3,'BSE ALL CAP'!$B$4:$Y$1038,9,)</f>
        <v>408</v>
      </c>
      <c r="K3" s="101">
        <f>VLOOKUP(A3,'BSE ALL CAP'!$B$4:$Y$1038,10,)</f>
        <v>182</v>
      </c>
      <c r="L3" s="101">
        <f>VLOOKUP(A3,'BSE ALL CAP'!$B$4:$Y$1038,11,)</f>
        <v>1856</v>
      </c>
      <c r="M3" s="101">
        <f>VLOOKUP(A3,'BSE ALL CAP'!$B$4:$Y$1038,12,)</f>
        <v>1392</v>
      </c>
      <c r="N3" s="101">
        <f>VLOOKUP(A3,'BSE ALL CAP'!$B$4:$Y$1038,13,)</f>
        <v>189</v>
      </c>
      <c r="O3" s="101">
        <f>VLOOKUP(A3,'BSE ALL CAP'!$B$4:$Y$1038,14,)</f>
        <v>71</v>
      </c>
      <c r="P3" s="95">
        <f>VLOOKUP(A3,'BSE ALL CAP'!$B$4:$Y$1038,15,)</f>
        <v>8.1600000000000006E-2</v>
      </c>
      <c r="Q3" s="95">
        <f>VLOOKUP(A3,'BSE ALL CAP'!$B$4:$Y$1038,16,)</f>
        <v>4.8199152542372885E-2</v>
      </c>
      <c r="R3" s="95">
        <f>VLOOKUP(A3,'BSE ALL CAP'!$B$4:$Y$1038,17,)</f>
        <v>3.3400847457627121E-2</v>
      </c>
      <c r="S3" s="95">
        <f>VLOOKUP(A3,'BSE ALL CAP'!$B$4:$Y$1038,18,)</f>
        <v>0.10183189655172414</v>
      </c>
      <c r="T3" s="95">
        <f>VLOOKUP(A3,'BSE ALL CAP'!$B$4:$Y$1038,19,)</f>
        <v>5.1005747126436782E-2</v>
      </c>
      <c r="U3" s="95">
        <f>VLOOKUP(A3,'BSE ALL CAP'!$B$4:$Y$1038,20,)</f>
        <v>5.0826149425287362E-2</v>
      </c>
      <c r="V3" s="95">
        <f>VLOOKUP(A3,'BSE ALL CAP'!$B$4:$Y$1038,21,)</f>
        <v>0.32415254237288127</v>
      </c>
      <c r="W3" s="95">
        <f>VLOOKUP(A3,'BSE ALL CAP'!$B$4:$Y$1038,22,)</f>
        <v>1.2417582417582418</v>
      </c>
      <c r="X3" s="95">
        <f>VLOOKUP(A3,'BSE ALL CAP'!$B$4:$Y$1038,23,)</f>
        <v>0.33333333333333326</v>
      </c>
      <c r="Y3" s="95">
        <f>VLOOKUP(A3,'BSE ALL CAP'!$B$4:$Y$1038,24,)</f>
        <v>1.6619718309859155</v>
      </c>
    </row>
    <row r="4" spans="1:25" ht="15.75" customHeight="1">
      <c r="A4" s="99">
        <v>544606</v>
      </c>
      <c r="B4" s="98" t="s">
        <v>4487</v>
      </c>
      <c r="C4" s="101"/>
      <c r="D4" s="101"/>
      <c r="E4" s="101">
        <f ca="1">IFERROR(__xludf.DUMMYFUNCTION("GOOGLEFINANCE(""BOM:""&amp;A4,""PRICE"")"),156.4)</f>
        <v>156.4</v>
      </c>
      <c r="F4" s="112">
        <f ca="1">IFERROR(__xludf.DUMMYFUNCTION("GOOGLEFINANCE(""BOM:""&amp;A4,""MARKETCAP"")/10000000"),17938.3678121)</f>
        <v>17938.367812100001</v>
      </c>
      <c r="G4" s="95">
        <f t="shared" ca="1" si="0"/>
        <v>0.11429708520304199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544533</v>
      </c>
      <c r="B5" s="98" t="s">
        <v>4488</v>
      </c>
      <c r="C5" s="101"/>
      <c r="D5" s="101"/>
      <c r="E5" s="101">
        <f ca="1">IFERROR(__xludf.DUMMYFUNCTION("GOOGLEFINANCE(""BOM:""&amp;A5,""PRICE"")"),228)</f>
        <v>228</v>
      </c>
      <c r="F5" s="112">
        <f ca="1">IFERROR(__xludf.DUMMYFUNCTION("GOOGLEFINANCE(""BOM:""&amp;A5,""MARKETCAP"")/10000000"),3702.4404341)</f>
        <v>3702.4404340999999</v>
      </c>
      <c r="G5" s="95">
        <f t="shared" ca="1" si="0"/>
        <v>2.3590671915538958E-2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544305</v>
      </c>
      <c r="B6" s="98" t="s">
        <v>4489</v>
      </c>
      <c r="C6" s="101"/>
      <c r="D6" s="101"/>
      <c r="E6" s="101">
        <f ca="1">IFERROR(__xludf.DUMMYFUNCTION("GOOGLEFINANCE(""BOM:""&amp;A6,""PRICE"")"),171.9)</f>
        <v>171.9</v>
      </c>
      <c r="F6" s="112">
        <f ca="1">IFERROR(__xludf.DUMMYFUNCTION("GOOGLEFINANCE(""BOM:""&amp;A6,""MARKETCAP"")/10000000"),1352.6647496)</f>
        <v>1352.6647496000001</v>
      </c>
      <c r="G6" s="95">
        <f t="shared" ca="1" si="0"/>
        <v>8.6187126808658834E-3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511147</v>
      </c>
      <c r="B7" s="98" t="s">
        <v>4490</v>
      </c>
      <c r="C7" s="101"/>
      <c r="D7" s="101"/>
      <c r="E7" s="101">
        <f ca="1">IFERROR(__xludf.DUMMYFUNCTION("GOOGLEFINANCE(""BOM:""&amp;A7,""PRICE"")"),60)</f>
        <v>60</v>
      </c>
      <c r="F7" s="112">
        <f ca="1">IFERROR(__xludf.DUMMYFUNCTION("GOOGLEFINANCE(""BOM:""&amp;A7,""MARKETCAP"")/10000000"),76.95786)</f>
        <v>76.957859999999997</v>
      </c>
      <c r="G7" s="95">
        <f t="shared" ca="1" si="0"/>
        <v>4.9034890875247609E-4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543281</v>
      </c>
      <c r="B8" s="98" t="s">
        <v>4491</v>
      </c>
      <c r="C8" s="101"/>
      <c r="D8" s="101"/>
      <c r="E8" s="101">
        <f ca="1">IFERROR(__xludf.DUMMYFUNCTION("GOOGLEFINANCE(""BOM:""&amp;A8,""PRICE"")"),2.5)</f>
        <v>2.5</v>
      </c>
      <c r="F8" s="112">
        <f ca="1">IFERROR(__xludf.DUMMYFUNCTION("GOOGLEFINANCE(""BOM:""&amp;A8,""MARKETCAP"")/10000000"),52.23845)</f>
        <v>52.23845</v>
      </c>
      <c r="G8" s="95">
        <f t="shared" ca="1" si="0"/>
        <v>3.3284536436461179E-4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543451</v>
      </c>
      <c r="B9" s="98" t="s">
        <v>4492</v>
      </c>
      <c r="C9" s="101"/>
      <c r="D9" s="101"/>
      <c r="E9" s="101">
        <f ca="1">IFERROR(__xludf.DUMMYFUNCTION("GOOGLEFINANCE(""BOM:""&amp;A9,""PRICE"")"),2.77)</f>
        <v>2.77</v>
      </c>
      <c r="F9" s="112">
        <f ca="1">IFERROR(__xludf.DUMMYFUNCTION("GOOGLEFINANCE(""BOM:""&amp;A9,""MARKETCAP"")/10000000"),35.1010441)</f>
        <v>35.101044100000003</v>
      </c>
      <c r="G9" s="95">
        <f t="shared" ca="1" si="0"/>
        <v>2.2365173187647813E-4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539807</v>
      </c>
      <c r="B10" s="98" t="s">
        <v>4493</v>
      </c>
      <c r="C10" s="101"/>
      <c r="D10" s="101"/>
      <c r="E10" s="101"/>
      <c r="F10" s="112"/>
      <c r="G10" s="95">
        <f t="shared" ca="1" si="0"/>
        <v>0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>
      <c r="A11" s="101"/>
      <c r="B11" s="101"/>
      <c r="C11" s="101"/>
      <c r="D11" s="101"/>
      <c r="E11" s="101"/>
      <c r="F11" s="112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>
      <c r="A12" s="101"/>
      <c r="B12" s="101"/>
      <c r="C12" s="101"/>
      <c r="D12" s="101"/>
      <c r="E12" s="101"/>
      <c r="F12" s="112">
        <f t="shared" ref="F12:G12" ca="1" si="1">SUM(F2:F10)</f>
        <v>156945.10302019998</v>
      </c>
      <c r="G12" s="95">
        <f t="shared" ca="1" si="1"/>
        <v>1</v>
      </c>
      <c r="H12" s="101">
        <f t="shared" ref="H12:O12" si="2">SUM(H2:H11)</f>
        <v>11849</v>
      </c>
      <c r="I12" s="101">
        <f t="shared" si="2"/>
        <v>9266</v>
      </c>
      <c r="J12" s="101">
        <f t="shared" si="2"/>
        <v>777</v>
      </c>
      <c r="K12" s="101">
        <f t="shared" si="2"/>
        <v>63</v>
      </c>
      <c r="L12" s="101">
        <f t="shared" si="2"/>
        <v>4262</v>
      </c>
      <c r="M12" s="101">
        <f t="shared" si="2"/>
        <v>3409</v>
      </c>
      <c r="N12" s="101">
        <f t="shared" si="2"/>
        <v>414</v>
      </c>
      <c r="O12" s="101">
        <f t="shared" si="2"/>
        <v>-137</v>
      </c>
      <c r="P12" s="95">
        <f t="shared" ref="P12:Q12" si="3">J12/H12</f>
        <v>6.5575154021436405E-2</v>
      </c>
      <c r="Q12" s="95">
        <f t="shared" si="3"/>
        <v>6.7990502913878696E-3</v>
      </c>
      <c r="R12" s="95">
        <f>P12-Q12</f>
        <v>5.8776103730048532E-2</v>
      </c>
      <c r="S12" s="95">
        <f t="shared" ref="S12:T12" si="4">N12/L12</f>
        <v>9.7137494134209287E-2</v>
      </c>
      <c r="T12" s="95">
        <f t="shared" si="4"/>
        <v>-4.0187738339689055E-2</v>
      </c>
      <c r="U12" s="95">
        <f>S12-T12</f>
        <v>0.13732523247389833</v>
      </c>
      <c r="V12" s="95">
        <f>(H12/I12)-1</f>
        <v>0.27876106194690276</v>
      </c>
      <c r="W12" s="95">
        <f>(J12/K12)-1</f>
        <v>11.333333333333334</v>
      </c>
      <c r="X12" s="95">
        <f>(L12/M12)-1</f>
        <v>0.25022000586682314</v>
      </c>
      <c r="Y12" s="95">
        <f>(N12/O12)-1</f>
        <v>-4.0218978102189782</v>
      </c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0" xr:uid="{00000000-0009-0000-0000-000086000000}"/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outlinePr summaryBelow="0" summaryRight="0"/>
  </sheetPr>
  <dimension ref="A1:Y8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543415</v>
      </c>
      <c r="B2" s="98" t="s">
        <v>4494</v>
      </c>
      <c r="C2" s="101" t="str">
        <f>VLOOKUP(A2,'BSE ALL CAP'!$B$4:$Y$1038,2,)</f>
        <v>Financial Services</v>
      </c>
      <c r="D2" s="101" t="str">
        <f>VLOOKUP(A2,'BSE ALL CAP'!$B$4:$Y$1038,3,)</f>
        <v>Financial Products Distributor</v>
      </c>
      <c r="E2" s="101">
        <f ca="1">IFERROR(__xludf.DUMMYFUNCTION("GOOGLEFINANCE(""BOM:""&amp;A2,""PRICE"")"),3252.3)</f>
        <v>3252.3</v>
      </c>
      <c r="F2" s="112">
        <f ca="1">IFERROR(__xludf.DUMMYFUNCTION("GOOGLEFINANCE(""BOM:""&amp;A2,""MARKETCAP"")/10000000"),26981.70475)</f>
        <v>26981.704750000001</v>
      </c>
      <c r="G2" s="95">
        <f t="shared" ref="G2:G6" ca="1" si="0">F2/$F$8</f>
        <v>0.73976317542545478</v>
      </c>
      <c r="H2" s="101">
        <f>VLOOKUP(A2,'BSE ALL CAP'!$B$4:$Y$1038,7,)</f>
        <v>896</v>
      </c>
      <c r="I2" s="101">
        <f>VLOOKUP(A2,'BSE ALL CAP'!$B$4:$Y$1038,8,)</f>
        <v>738</v>
      </c>
      <c r="J2" s="101">
        <f>VLOOKUP(A2,'BSE ALL CAP'!$B$4:$Y$1038,9,)</f>
        <v>293</v>
      </c>
      <c r="K2" s="101">
        <f>VLOOKUP(A2,'BSE ALL CAP'!$B$4:$Y$1038,10,)</f>
        <v>227</v>
      </c>
      <c r="L2" s="101">
        <f>VLOOKUP(A2,'BSE ALL CAP'!$B$4:$Y$1038,11,)</f>
        <v>305</v>
      </c>
      <c r="M2" s="101">
        <f>VLOOKUP(A2,'BSE ALL CAP'!$B$4:$Y$1038,12,)</f>
        <v>244</v>
      </c>
      <c r="N2" s="101">
        <f>VLOOKUP(A2,'BSE ALL CAP'!$B$4:$Y$1038,13,)</f>
        <v>100</v>
      </c>
      <c r="O2" s="101">
        <f>VLOOKUP(A2,'BSE ALL CAP'!$B$4:$Y$1038,14,)</f>
        <v>77</v>
      </c>
      <c r="P2" s="95">
        <f>VLOOKUP(A2,'BSE ALL CAP'!$B$4:$Y$1038,15,)</f>
        <v>0.32700892857142855</v>
      </c>
      <c r="Q2" s="95">
        <f>VLOOKUP(A2,'BSE ALL CAP'!$B$4:$Y$1038,16,)</f>
        <v>0.30758807588075882</v>
      </c>
      <c r="R2" s="95">
        <f>VLOOKUP(A2,'BSE ALL CAP'!$B$4:$Y$1038,17,)</f>
        <v>1.9420852690669732E-2</v>
      </c>
      <c r="S2" s="95">
        <f>VLOOKUP(A2,'BSE ALL CAP'!$B$4:$Y$1038,18,)</f>
        <v>0.32786885245901637</v>
      </c>
      <c r="T2" s="95">
        <f>VLOOKUP(A2,'BSE ALL CAP'!$B$4:$Y$1038,19,)</f>
        <v>0.3155737704918033</v>
      </c>
      <c r="U2" s="95">
        <f>VLOOKUP(A2,'BSE ALL CAP'!$B$4:$Y$1038,20,)</f>
        <v>1.2295081967213073E-2</v>
      </c>
      <c r="V2" s="95">
        <f>VLOOKUP(A2,'BSE ALL CAP'!$B$4:$Y$1038,21,)</f>
        <v>0.21409214092140916</v>
      </c>
      <c r="W2" s="95">
        <f>VLOOKUP(A2,'BSE ALL CAP'!$B$4:$Y$1038,22,)</f>
        <v>0.29074889867841414</v>
      </c>
      <c r="X2" s="95">
        <f>VLOOKUP(A2,'BSE ALL CAP'!$B$4:$Y$1038,23,)</f>
        <v>0.25</v>
      </c>
      <c r="Y2" s="95">
        <f>VLOOKUP(A2,'BSE ALL CAP'!$B$4:$Y$1038,24,)</f>
        <v>0.29870129870129869</v>
      </c>
    </row>
    <row r="3" spans="1:25" ht="15.75" customHeight="1">
      <c r="A3" s="99">
        <v>543527</v>
      </c>
      <c r="B3" s="98" t="s">
        <v>4495</v>
      </c>
      <c r="C3" s="101" t="str">
        <f>VLOOKUP(A3,'BSE ALL CAP'!$B$4:$Y$1038,2,)</f>
        <v>Financial Services</v>
      </c>
      <c r="D3" s="101" t="str">
        <f>VLOOKUP(A3,'BSE ALL CAP'!$B$4:$Y$1038,3,)</f>
        <v>Financial Products Distributor</v>
      </c>
      <c r="E3" s="101">
        <f ca="1">IFERROR(__xludf.DUMMYFUNCTION("GOOGLEFINANCE(""BOM:""&amp;A3,""PRICE"")"),2247.05)</f>
        <v>2247.0500000000002</v>
      </c>
      <c r="F3" s="112">
        <f ca="1">IFERROR(__xludf.DUMMYFUNCTION("GOOGLEFINANCE(""BOM:""&amp;A3,""MARKETCAP"")/10000000"),9303.6665248)</f>
        <v>9303.6665248000008</v>
      </c>
      <c r="G3" s="95">
        <f t="shared" ca="1" si="0"/>
        <v>0.25508061685707806</v>
      </c>
      <c r="H3" s="101">
        <f>VLOOKUP(A3,'BSE ALL CAP'!$B$4:$Y$1038,7,)</f>
        <v>935</v>
      </c>
      <c r="I3" s="101">
        <f>VLOOKUP(A3,'BSE ALL CAP'!$B$4:$Y$1038,8,)</f>
        <v>746</v>
      </c>
      <c r="J3" s="101">
        <f>VLOOKUP(A3,'BSE ALL CAP'!$B$4:$Y$1038,9,)</f>
        <v>155</v>
      </c>
      <c r="K3" s="101">
        <f>VLOOKUP(A3,'BSE ALL CAP'!$B$4:$Y$1038,10,)</f>
        <v>120</v>
      </c>
      <c r="L3" s="101">
        <f>VLOOKUP(A3,'BSE ALL CAP'!$B$4:$Y$1038,11,)</f>
        <v>339</v>
      </c>
      <c r="M3" s="101">
        <f>VLOOKUP(A3,'BSE ALL CAP'!$B$4:$Y$1038,12,)</f>
        <v>260</v>
      </c>
      <c r="N3" s="101">
        <f>VLOOKUP(A3,'BSE ALL CAP'!$B$4:$Y$1038,13,)</f>
        <v>55</v>
      </c>
      <c r="O3" s="101">
        <f>VLOOKUP(A3,'BSE ALL CAP'!$B$4:$Y$1038,14,)</f>
        <v>40</v>
      </c>
      <c r="P3" s="95">
        <f>VLOOKUP(A3,'BSE ALL CAP'!$B$4:$Y$1038,15,)</f>
        <v>0.16577540106951871</v>
      </c>
      <c r="Q3" s="95">
        <f>VLOOKUP(A3,'BSE ALL CAP'!$B$4:$Y$1038,16,)</f>
        <v>0.16085790884718498</v>
      </c>
      <c r="R3" s="95">
        <f>VLOOKUP(A3,'BSE ALL CAP'!$B$4:$Y$1038,17,)</f>
        <v>4.9174922223337303E-3</v>
      </c>
      <c r="S3" s="95">
        <f>VLOOKUP(A3,'BSE ALL CAP'!$B$4:$Y$1038,18,)</f>
        <v>0.16224188790560473</v>
      </c>
      <c r="T3" s="95">
        <f>VLOOKUP(A3,'BSE ALL CAP'!$B$4:$Y$1038,19,)</f>
        <v>0.15384615384615385</v>
      </c>
      <c r="U3" s="95">
        <f>VLOOKUP(A3,'BSE ALL CAP'!$B$4:$Y$1038,20,)</f>
        <v>8.3957340594508767E-3</v>
      </c>
      <c r="V3" s="95">
        <f>VLOOKUP(A3,'BSE ALL CAP'!$B$4:$Y$1038,21,)</f>
        <v>0.25335120643431641</v>
      </c>
      <c r="W3" s="95">
        <f>VLOOKUP(A3,'BSE ALL CAP'!$B$4:$Y$1038,22,)</f>
        <v>0.29166666666666674</v>
      </c>
      <c r="X3" s="95">
        <f>VLOOKUP(A3,'BSE ALL CAP'!$B$4:$Y$1038,23,)</f>
        <v>0.30384615384615388</v>
      </c>
      <c r="Y3" s="95">
        <f>VLOOKUP(A3,'BSE ALL CAP'!$B$4:$Y$1038,24,)</f>
        <v>0.375</v>
      </c>
    </row>
    <row r="4" spans="1:25" ht="15.75" customHeight="1">
      <c r="A4" s="99">
        <v>543753</v>
      </c>
      <c r="B4" s="98" t="s">
        <v>4496</v>
      </c>
      <c r="C4" s="101"/>
      <c r="D4" s="101"/>
      <c r="E4" s="101">
        <f ca="1">IFERROR(__xludf.DUMMYFUNCTION("GOOGLEFINANCE(""BOM:""&amp;A4,""PRICE"")"),62.4)</f>
        <v>62.4</v>
      </c>
      <c r="F4" s="112">
        <f ca="1">IFERROR(__xludf.DUMMYFUNCTION("GOOGLEFINANCE(""BOM:""&amp;A4,""MARKETCAP"")/10000000"),127.1087407)</f>
        <v>127.1087407</v>
      </c>
      <c r="G4" s="95">
        <f t="shared" ca="1" si="0"/>
        <v>3.4849675554530237E-3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544560</v>
      </c>
      <c r="B5" s="98" t="s">
        <v>4497</v>
      </c>
      <c r="C5" s="101"/>
      <c r="D5" s="101"/>
      <c r="E5" s="101">
        <f ca="1">IFERROR(__xludf.DUMMYFUNCTION("GOOGLEFINANCE(""BOM:""&amp;A5,""PRICE"")"),64.8)</f>
        <v>64.8</v>
      </c>
      <c r="F5" s="112">
        <f ca="1">IFERROR(__xludf.DUMMYFUNCTION("GOOGLEFINANCE(""BOM:""&amp;A5,""MARKETCAP"")/10000000"),51.4835829)</f>
        <v>51.483582900000002</v>
      </c>
      <c r="G5" s="95">
        <f t="shared" ca="1" si="0"/>
        <v>1.4115364140727114E-3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543623</v>
      </c>
      <c r="B6" s="98" t="s">
        <v>4498</v>
      </c>
      <c r="C6" s="101"/>
      <c r="D6" s="101"/>
      <c r="E6" s="101">
        <f ca="1">IFERROR(__xludf.DUMMYFUNCTION("GOOGLEFINANCE(""BOM:""&amp;A6,""PRICE"")"),34.3)</f>
        <v>34.299999999999997</v>
      </c>
      <c r="F6" s="112">
        <f ca="1">IFERROR(__xludf.DUMMYFUNCTION("GOOGLEFINANCE(""BOM:""&amp;A6,""MARKETCAP"")/10000000"),9.472288)</f>
        <v>9.4722880000000007</v>
      </c>
      <c r="G6" s="95">
        <f t="shared" ca="1" si="0"/>
        <v>2.5970374794144279E-4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101"/>
      <c r="B7" s="101"/>
      <c r="C7" s="101"/>
      <c r="D7" s="101"/>
      <c r="E7" s="101"/>
      <c r="F7" s="101"/>
      <c r="G7" s="95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12">
        <f t="shared" ref="F8:O8" ca="1" si="1">SUM(F2:F6)</f>
        <v>36473.435886400002</v>
      </c>
      <c r="G8" s="95">
        <f t="shared" ca="1" si="1"/>
        <v>1</v>
      </c>
      <c r="H8" s="101">
        <f t="shared" si="1"/>
        <v>1831</v>
      </c>
      <c r="I8" s="101">
        <f t="shared" si="1"/>
        <v>1484</v>
      </c>
      <c r="J8" s="101">
        <f t="shared" si="1"/>
        <v>448</v>
      </c>
      <c r="K8" s="101">
        <f t="shared" si="1"/>
        <v>347</v>
      </c>
      <c r="L8" s="101">
        <f t="shared" si="1"/>
        <v>644</v>
      </c>
      <c r="M8" s="101">
        <f t="shared" si="1"/>
        <v>504</v>
      </c>
      <c r="N8" s="101">
        <f t="shared" si="1"/>
        <v>155</v>
      </c>
      <c r="O8" s="101">
        <f t="shared" si="1"/>
        <v>117</v>
      </c>
      <c r="P8" s="95">
        <f t="shared" ref="P8:Q8" si="2">J8/H8</f>
        <v>0.24467504096122339</v>
      </c>
      <c r="Q8" s="95">
        <f t="shared" si="2"/>
        <v>0.23382749326145552</v>
      </c>
      <c r="R8" s="95">
        <f>P8-Q8</f>
        <v>1.0847547699767868E-2</v>
      </c>
      <c r="S8" s="95">
        <f t="shared" ref="S8:T8" si="3">N8/L8</f>
        <v>0.24068322981366461</v>
      </c>
      <c r="T8" s="95">
        <f t="shared" si="3"/>
        <v>0.23214285714285715</v>
      </c>
      <c r="U8" s="95">
        <f>S8-T8</f>
        <v>8.5403726708074557E-3</v>
      </c>
      <c r="V8" s="95">
        <f>(H8/I8)-1</f>
        <v>0.23382749326145547</v>
      </c>
      <c r="W8" s="95">
        <f>(J8/K8)-1</f>
        <v>0.29106628242074928</v>
      </c>
      <c r="X8" s="95">
        <f>(L8/M8)-1</f>
        <v>0.27777777777777768</v>
      </c>
      <c r="Y8" s="95">
        <f>(N8/O8)-1</f>
        <v>0.32478632478632474</v>
      </c>
    </row>
  </sheetData>
  <autoFilter ref="A1:Y6" xr:uid="{00000000-0009-0000-0000-000087000000}"/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outlinePr summaryBelow="0" summaryRight="0"/>
  </sheetPr>
  <dimension ref="A1:Y31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532689</v>
      </c>
      <c r="B2" s="98" t="s">
        <v>4499</v>
      </c>
      <c r="C2" s="101" t="str">
        <f>VLOOKUP(A2,'BSE ALL CAP'!$B$4:$Y$1038,2,)</f>
        <v>Consumer Discretionary</v>
      </c>
      <c r="D2" s="101" t="str">
        <f>VLOOKUP(A2,'BSE ALL CAP'!$B$4:$Y$1038,3,)</f>
        <v>Film Production, Distribution &amp; Exhibition</v>
      </c>
      <c r="E2" s="101">
        <f ca="1">IFERROR(__xludf.DUMMYFUNCTION("GOOGLEFINANCE(""BOM:""&amp;A2,""PRICE"")"),939.55)</f>
        <v>939.55</v>
      </c>
      <c r="F2" s="112">
        <f ca="1">IFERROR(__xludf.DUMMYFUNCTION("GOOGLEFINANCE(""BOM:""&amp;A2,""MARKETCAP"")/10000000"),9254.364)</f>
        <v>9254.3639999999996</v>
      </c>
      <c r="G2" s="95">
        <f t="shared" ref="G2:G29" ca="1" si="0">F2/$F$31</f>
        <v>0.68805816493523742</v>
      </c>
      <c r="H2" s="101">
        <f>VLOOKUP(A2,'BSE ALL CAP'!$B$4:$Y$1038,7,)</f>
        <v>1571</v>
      </c>
      <c r="I2" s="101">
        <f>VLOOKUP(A2,'BSE ALL CAP'!$B$4:$Y$1038,8,)</f>
        <v>1530</v>
      </c>
      <c r="J2" s="101">
        <f>VLOOKUP(A2,'BSE ALL CAP'!$B$4:$Y$1038,9,)</f>
        <v>146</v>
      </c>
      <c r="K2" s="101">
        <f>VLOOKUP(A2,'BSE ALL CAP'!$B$4:$Y$1038,10,)</f>
        <v>-135</v>
      </c>
      <c r="L2" s="101">
        <f>VLOOKUP(A2,'BSE ALL CAP'!$B$4:$Y$1038,11,)</f>
        <v>1879</v>
      </c>
      <c r="M2" s="101">
        <f>VLOOKUP(A2,'BSE ALL CAP'!$B$4:$Y$1038,12,)</f>
        <v>1717</v>
      </c>
      <c r="N2" s="101">
        <f>VLOOKUP(A2,'BSE ALL CAP'!$B$4:$Y$1038,13,)</f>
        <v>95</v>
      </c>
      <c r="O2" s="101">
        <f>VLOOKUP(A2,'BSE ALL CAP'!$B$4:$Y$1038,14,)</f>
        <v>35</v>
      </c>
      <c r="P2" s="95">
        <f>VLOOKUP(A2,'BSE ALL CAP'!$B$4:$Y$1038,15,)</f>
        <v>9.2934436664544873E-2</v>
      </c>
      <c r="Q2" s="95">
        <f>VLOOKUP(A2,'BSE ALL CAP'!$B$4:$Y$1038,16,)</f>
        <v>-8.8235294117647065E-2</v>
      </c>
      <c r="R2" s="95">
        <f>VLOOKUP(A2,'BSE ALL CAP'!$B$4:$Y$1038,17,)</f>
        <v>0.18116973078219195</v>
      </c>
      <c r="S2" s="95">
        <f>VLOOKUP(A2,'BSE ALL CAP'!$B$4:$Y$1038,18,)</f>
        <v>5.0558807876530068E-2</v>
      </c>
      <c r="T2" s="95">
        <f>VLOOKUP(A2,'BSE ALL CAP'!$B$4:$Y$1038,19,)</f>
        <v>2.03843913803145E-2</v>
      </c>
      <c r="U2" s="95">
        <f>VLOOKUP(A2,'BSE ALL CAP'!$B$4:$Y$1038,20,)</f>
        <v>3.0174416496215568E-2</v>
      </c>
      <c r="V2" s="95">
        <f>VLOOKUP(A2,'BSE ALL CAP'!$B$4:$Y$1038,21,)</f>
        <v>2.6797385620914937E-2</v>
      </c>
      <c r="W2" s="95">
        <f>VLOOKUP(A2,'BSE ALL CAP'!$B$4:$Y$1038,22,)</f>
        <v>-2.0814814814814815</v>
      </c>
      <c r="X2" s="95">
        <f>VLOOKUP(A2,'BSE ALL CAP'!$B$4:$Y$1038,23,)</f>
        <v>9.4350611531741402E-2</v>
      </c>
      <c r="Y2" s="95">
        <f>VLOOKUP(A2,'BSE ALL CAP'!$B$4:$Y$1038,24,)</f>
        <v>1.7142857142857144</v>
      </c>
    </row>
    <row r="3" spans="1:25" ht="15.75" customHeight="1">
      <c r="A3" s="99">
        <v>539469</v>
      </c>
      <c r="B3" s="98" t="s">
        <v>4500</v>
      </c>
      <c r="C3" s="101" t="str">
        <f>VLOOKUP(A3,'BSE ALL CAP'!$B$4:$Y$1038,2,)</f>
        <v>Consumer Discretionary</v>
      </c>
      <c r="D3" s="101" t="str">
        <f>VLOOKUP(A3,'BSE ALL CAP'!$B$4:$Y$1038,3,)</f>
        <v>Film Production, Distribution &amp; Exhibition</v>
      </c>
      <c r="E3" s="101">
        <f ca="1">IFERROR(__xludf.DUMMYFUNCTION("GOOGLEFINANCE(""BOM:""&amp;A3,""PRICE"")"),36.99)</f>
        <v>36.99</v>
      </c>
      <c r="F3" s="112">
        <f ca="1">IFERROR(__xludf.DUMMYFUNCTION("GOOGLEFINANCE(""BOM:""&amp;A3,""MARKETCAP"")/10000000"),949.1313)</f>
        <v>949.13130000000001</v>
      </c>
      <c r="G3" s="95">
        <f t="shared" ca="1" si="0"/>
        <v>7.0567522582923731E-2</v>
      </c>
      <c r="H3" s="101">
        <f>VLOOKUP(A3,'BSE ALL CAP'!$B$4:$Y$1038,7,)</f>
        <v>244</v>
      </c>
      <c r="I3" s="101">
        <f>VLOOKUP(A3,'BSE ALL CAP'!$B$4:$Y$1038,8,)</f>
        <v>152</v>
      </c>
      <c r="J3" s="101">
        <f>VLOOKUP(A3,'BSE ALL CAP'!$B$4:$Y$1038,9,)</f>
        <v>3</v>
      </c>
      <c r="K3" s="101">
        <f>VLOOKUP(A3,'BSE ALL CAP'!$B$4:$Y$1038,10,)</f>
        <v>9</v>
      </c>
      <c r="L3" s="101">
        <f>VLOOKUP(A3,'BSE ALL CAP'!$B$4:$Y$1038,11,)</f>
        <v>29</v>
      </c>
      <c r="M3" s="101">
        <f>VLOOKUP(A3,'BSE ALL CAP'!$B$4:$Y$1038,12,)</f>
        <v>34</v>
      </c>
      <c r="N3" s="101">
        <f>VLOOKUP(A3,'BSE ALL CAP'!$B$4:$Y$1038,13,)</f>
        <v>-2</v>
      </c>
      <c r="O3" s="101">
        <f>VLOOKUP(A3,'BSE ALL CAP'!$B$4:$Y$1038,14,)</f>
        <v>1</v>
      </c>
      <c r="P3" s="95">
        <f>VLOOKUP(A3,'BSE ALL CAP'!$B$4:$Y$1038,15,)</f>
        <v>1.2295081967213115E-2</v>
      </c>
      <c r="Q3" s="95">
        <f>VLOOKUP(A3,'BSE ALL CAP'!$B$4:$Y$1038,16,)</f>
        <v>5.921052631578947E-2</v>
      </c>
      <c r="R3" s="95">
        <f>VLOOKUP(A3,'BSE ALL CAP'!$B$4:$Y$1038,17,)</f>
        <v>-4.6915444348576356E-2</v>
      </c>
      <c r="S3" s="95">
        <f>VLOOKUP(A3,'BSE ALL CAP'!$B$4:$Y$1038,18,)</f>
        <v>-6.8965517241379309E-2</v>
      </c>
      <c r="T3" s="95">
        <f>VLOOKUP(A3,'BSE ALL CAP'!$B$4:$Y$1038,19,)</f>
        <v>2.9411764705882353E-2</v>
      </c>
      <c r="U3" s="95">
        <f>VLOOKUP(A3,'BSE ALL CAP'!$B$4:$Y$1038,20,)</f>
        <v>-9.8377281947261669E-2</v>
      </c>
      <c r="V3" s="95">
        <f>VLOOKUP(A3,'BSE ALL CAP'!$B$4:$Y$1038,21,)</f>
        <v>0.60526315789473695</v>
      </c>
      <c r="W3" s="95">
        <f>VLOOKUP(A3,'BSE ALL CAP'!$B$4:$Y$1038,22,)</f>
        <v>-0.66666666666666674</v>
      </c>
      <c r="X3" s="95">
        <f>VLOOKUP(A3,'BSE ALL CAP'!$B$4:$Y$1038,23,)</f>
        <v>-0.1470588235294118</v>
      </c>
      <c r="Y3" s="95">
        <f>VLOOKUP(A3,'BSE ALL CAP'!$B$4:$Y$1038,24,)</f>
        <v>-3</v>
      </c>
    </row>
    <row r="4" spans="1:25" ht="15.75" customHeight="1">
      <c r="A4" s="99">
        <v>512267</v>
      </c>
      <c r="B4" s="98" t="s">
        <v>4501</v>
      </c>
      <c r="C4" s="101" t="str">
        <f>VLOOKUP(A4,'BSE ALL CAP'!$B$4:$Y$1038,2,)</f>
        <v>Consumer Discretionary</v>
      </c>
      <c r="D4" s="101" t="str">
        <f>VLOOKUP(A4,'BSE ALL CAP'!$B$4:$Y$1038,3,)</f>
        <v>Film Production, Distribution &amp; Exhibition</v>
      </c>
      <c r="E4" s="101">
        <f ca="1">IFERROR(__xludf.DUMMYFUNCTION("GOOGLEFINANCE(""BOM:""&amp;A4,""PRICE"")"),9.46)</f>
        <v>9.4600000000000009</v>
      </c>
      <c r="F4" s="112">
        <f ca="1">IFERROR(__xludf.DUMMYFUNCTION("GOOGLEFINANCE(""BOM:""&amp;A4,""MARKETCAP"")/10000000"),1071.5739363)</f>
        <v>1071.5739363</v>
      </c>
      <c r="G4" s="95">
        <f t="shared" ca="1" si="0"/>
        <v>7.9671082335102339E-2</v>
      </c>
      <c r="H4" s="101">
        <f>VLOOKUP(A4,'BSE ALL CAP'!$B$4:$Y$1038,7,)</f>
        <v>956</v>
      </c>
      <c r="I4" s="101">
        <f>VLOOKUP(A4,'BSE ALL CAP'!$B$4:$Y$1038,8,)</f>
        <v>1615</v>
      </c>
      <c r="J4" s="101">
        <f>VLOOKUP(A4,'BSE ALL CAP'!$B$4:$Y$1038,9,)</f>
        <v>6</v>
      </c>
      <c r="K4" s="101">
        <f>VLOOKUP(A4,'BSE ALL CAP'!$B$4:$Y$1038,10,)</f>
        <v>5</v>
      </c>
      <c r="L4" s="101">
        <f>VLOOKUP(A4,'BSE ALL CAP'!$B$4:$Y$1038,11,)</f>
        <v>336</v>
      </c>
      <c r="M4" s="101">
        <f>VLOOKUP(A4,'BSE ALL CAP'!$B$4:$Y$1038,12,)</f>
        <v>258</v>
      </c>
      <c r="N4" s="101">
        <f>VLOOKUP(A4,'BSE ALL CAP'!$B$4:$Y$1038,13,)</f>
        <v>2</v>
      </c>
      <c r="O4" s="101">
        <f>VLOOKUP(A4,'BSE ALL CAP'!$B$4:$Y$1038,14,)</f>
        <v>1</v>
      </c>
      <c r="P4" s="95">
        <f>VLOOKUP(A4,'BSE ALL CAP'!$B$4:$Y$1038,15,)</f>
        <v>6.2761506276150627E-3</v>
      </c>
      <c r="Q4" s="95">
        <f>VLOOKUP(A4,'BSE ALL CAP'!$B$4:$Y$1038,16,)</f>
        <v>3.0959752321981426E-3</v>
      </c>
      <c r="R4" s="95">
        <f>VLOOKUP(A4,'BSE ALL CAP'!$B$4:$Y$1038,17,)</f>
        <v>3.1801753954169201E-3</v>
      </c>
      <c r="S4" s="95">
        <f>VLOOKUP(A4,'BSE ALL CAP'!$B$4:$Y$1038,18,)</f>
        <v>5.9523809523809521E-3</v>
      </c>
      <c r="T4" s="95">
        <f>VLOOKUP(A4,'BSE ALL CAP'!$B$4:$Y$1038,19,)</f>
        <v>3.875968992248062E-3</v>
      </c>
      <c r="U4" s="95">
        <f>VLOOKUP(A4,'BSE ALL CAP'!$B$4:$Y$1038,20,)</f>
        <v>2.0764119601328901E-3</v>
      </c>
      <c r="V4" s="95">
        <f>VLOOKUP(A4,'BSE ALL CAP'!$B$4:$Y$1038,21,)</f>
        <v>-0.40804953560371515</v>
      </c>
      <c r="W4" s="95">
        <f>VLOOKUP(A4,'BSE ALL CAP'!$B$4:$Y$1038,22,)</f>
        <v>0.19999999999999996</v>
      </c>
      <c r="X4" s="95">
        <f>VLOOKUP(A4,'BSE ALL CAP'!$B$4:$Y$1038,23,)</f>
        <v>0.30232558139534893</v>
      </c>
      <c r="Y4" s="95">
        <f>VLOOKUP(A4,'BSE ALL CAP'!$B$4:$Y$1038,24,)</f>
        <v>1</v>
      </c>
    </row>
    <row r="5" spans="1:25" ht="15.75" customHeight="1">
      <c r="A5" s="99">
        <v>531910</v>
      </c>
      <c r="B5" s="98" t="s">
        <v>4502</v>
      </c>
      <c r="C5" s="101"/>
      <c r="D5" s="101"/>
      <c r="E5" s="101">
        <f ca="1">IFERROR(__xludf.DUMMYFUNCTION("GOOGLEFINANCE(""BOM:""&amp;A5,""PRICE"")"),200)</f>
        <v>200</v>
      </c>
      <c r="F5" s="112">
        <f ca="1">IFERROR(__xludf.DUMMYFUNCTION("GOOGLEFINANCE(""BOM:""&amp;A5,""MARKETCAP"")/10000000"),509.614)</f>
        <v>509.61399999999998</v>
      </c>
      <c r="G5" s="95">
        <f t="shared" ca="1" si="0"/>
        <v>3.788959172832472E-2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532011</v>
      </c>
      <c r="B6" s="98" t="s">
        <v>4503</v>
      </c>
      <c r="C6" s="101"/>
      <c r="D6" s="101"/>
      <c r="E6" s="101">
        <f ca="1">IFERROR(__xludf.DUMMYFUNCTION("GOOGLEFINANCE(""BOM:""&amp;A6,""PRICE"")"),53.09)</f>
        <v>53.09</v>
      </c>
      <c r="F6" s="112">
        <f ca="1">IFERROR(__xludf.DUMMYFUNCTION("GOOGLEFINANCE(""BOM:""&amp;A6,""MARKETCAP"")/10000000"),339.5290793)</f>
        <v>339.52907929999998</v>
      </c>
      <c r="G6" s="95">
        <f t="shared" ca="1" si="0"/>
        <v>2.524384768583867E-2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539141</v>
      </c>
      <c r="B7" s="98" t="s">
        <v>4504</v>
      </c>
      <c r="C7" s="101"/>
      <c r="D7" s="101"/>
      <c r="E7" s="101">
        <f ca="1">IFERROR(__xludf.DUMMYFUNCTION("GOOGLEFINANCE(""BOM:""&amp;A7,""PRICE"")"),63.87)</f>
        <v>63.87</v>
      </c>
      <c r="F7" s="112">
        <f ca="1">IFERROR(__xludf.DUMMYFUNCTION("GOOGLEFINANCE(""BOM:""&amp;A7,""MARKETCAP"")/10000000"),247.6381658)</f>
        <v>247.6381658</v>
      </c>
      <c r="G7" s="95">
        <f t="shared" ca="1" si="0"/>
        <v>1.8411795983848924E-2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532807</v>
      </c>
      <c r="B8" s="98" t="s">
        <v>4505</v>
      </c>
      <c r="C8" s="101"/>
      <c r="D8" s="101"/>
      <c r="E8" s="101">
        <f ca="1">IFERROR(__xludf.DUMMYFUNCTION("GOOGLEFINANCE(""BOM:""&amp;A8,""PRICE"")"),82.11)</f>
        <v>82.11</v>
      </c>
      <c r="F8" s="112">
        <f ca="1">IFERROR(__xludf.DUMMYFUNCTION("GOOGLEFINANCE(""BOM:""&amp;A8,""MARKETCAP"")/10000000"),277.558083)</f>
        <v>277.55808300000001</v>
      </c>
      <c r="G8" s="95">
        <f t="shared" ca="1" si="0"/>
        <v>2.063632954700316E-2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540151</v>
      </c>
      <c r="B9" s="98" t="s">
        <v>4506</v>
      </c>
      <c r="C9" s="101"/>
      <c r="D9" s="101"/>
      <c r="E9" s="101">
        <f ca="1">IFERROR(__xludf.DUMMYFUNCTION("GOOGLEFINANCE(""BOM:""&amp;A9,""PRICE"")"),109)</f>
        <v>109</v>
      </c>
      <c r="F9" s="112">
        <f ca="1">IFERROR(__xludf.DUMMYFUNCTION("GOOGLEFINANCE(""BOM:""&amp;A9,""MARKETCAP"")/10000000"),191.2173)</f>
        <v>191.21729999999999</v>
      </c>
      <c r="G9" s="95">
        <f t="shared" ca="1" si="0"/>
        <v>1.4216927769630714E-2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543614</v>
      </c>
      <c r="B10" s="98" t="s">
        <v>4507</v>
      </c>
      <c r="C10" s="101"/>
      <c r="D10" s="101"/>
      <c r="E10" s="101">
        <f ca="1">IFERROR(__xludf.DUMMYFUNCTION("GOOGLEFINANCE(""BOM:""&amp;A10,""PRICE"")"),304)</f>
        <v>304</v>
      </c>
      <c r="F10" s="112">
        <f ca="1">IFERROR(__xludf.DUMMYFUNCTION("GOOGLEFINANCE(""BOM:""&amp;A10,""MARKETCAP"")/10000000"),131.505688)</f>
        <v>131.50568799999999</v>
      </c>
      <c r="G10" s="95">
        <f t="shared" ca="1" si="0"/>
        <v>9.7773939261332141E-3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532357</v>
      </c>
      <c r="B11" s="98" t="s">
        <v>4508</v>
      </c>
      <c r="C11" s="101"/>
      <c r="D11" s="101"/>
      <c r="E11" s="101">
        <f ca="1">IFERROR(__xludf.DUMMYFUNCTION("GOOGLEFINANCE(""BOM:""&amp;A11,""PRICE"")"),41)</f>
        <v>41</v>
      </c>
      <c r="F11" s="112">
        <f ca="1">IFERROR(__xludf.DUMMYFUNCTION("GOOGLEFINANCE(""BOM:""&amp;A11,""MARKETCAP"")/10000000"),93.5478528)</f>
        <v>93.547852800000001</v>
      </c>
      <c r="G11" s="95">
        <f t="shared" ca="1" si="0"/>
        <v>6.9552444588520312E-3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523277</v>
      </c>
      <c r="B12" s="98" t="s">
        <v>4509</v>
      </c>
      <c r="C12" s="101"/>
      <c r="D12" s="101"/>
      <c r="E12" s="101">
        <f ca="1">IFERROR(__xludf.DUMMYFUNCTION("GOOGLEFINANCE(""BOM:""&amp;A12,""PRICE"")"),0.33)</f>
        <v>0.33</v>
      </c>
      <c r="F12" s="112">
        <f ca="1">IFERROR(__xludf.DUMMYFUNCTION("GOOGLEFINANCE(""BOM:""&amp;A12,""MARKETCAP"")/10000000"),61.5326934)</f>
        <v>61.532693399999999</v>
      </c>
      <c r="G12" s="95">
        <f t="shared" ca="1" si="0"/>
        <v>4.5749304981224639E-3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531512</v>
      </c>
      <c r="B13" s="98" t="s">
        <v>4510</v>
      </c>
      <c r="C13" s="101"/>
      <c r="D13" s="101"/>
      <c r="E13" s="101">
        <f ca="1">IFERROR(__xludf.DUMMYFUNCTION("GOOGLEFINANCE(""BOM:""&amp;A13,""PRICE"")"),13.72)</f>
        <v>13.72</v>
      </c>
      <c r="F13" s="112">
        <f ca="1">IFERROR(__xludf.DUMMYFUNCTION("GOOGLEFINANCE(""BOM:""&amp;A13,""MARKETCAP"")/10000000"),53.0766167)</f>
        <v>53.076616700000002</v>
      </c>
      <c r="G13" s="95">
        <f t="shared" ca="1" si="0"/>
        <v>3.9462246662842508E-3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532380</v>
      </c>
      <c r="B14" s="98" t="s">
        <v>4511</v>
      </c>
      <c r="C14" s="101"/>
      <c r="D14" s="101"/>
      <c r="E14" s="101">
        <f ca="1">IFERROR(__xludf.DUMMYFUNCTION("GOOGLEFINANCE(""BOM:""&amp;A14,""PRICE"")"),12.29)</f>
        <v>12.29</v>
      </c>
      <c r="F14" s="112">
        <f ca="1">IFERROR(__xludf.DUMMYFUNCTION("GOOGLEFINANCE(""BOM:""&amp;A14,""MARKETCAP"")/10000000"),64.5224997)</f>
        <v>64.522499699999997</v>
      </c>
      <c r="G14" s="95">
        <f t="shared" ca="1" si="0"/>
        <v>4.7972213693578949E-3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532355</v>
      </c>
      <c r="B15" s="98" t="s">
        <v>4512</v>
      </c>
      <c r="C15" s="101"/>
      <c r="D15" s="101"/>
      <c r="E15" s="101">
        <f ca="1">IFERROR(__xludf.DUMMYFUNCTION("GOOGLEFINANCE(""BOM:""&amp;A15,""PRICE"")"),7.39)</f>
        <v>7.39</v>
      </c>
      <c r="F15" s="112">
        <f ca="1">IFERROR(__xludf.DUMMYFUNCTION("GOOGLEFINANCE(""BOM:""&amp;A15,""MARKETCAP"")/10000000"),38.6127493)</f>
        <v>38.612749299999997</v>
      </c>
      <c r="G15" s="95">
        <f t="shared" ca="1" si="0"/>
        <v>2.8708420618059082E-3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532387</v>
      </c>
      <c r="B16" s="98" t="s">
        <v>4513</v>
      </c>
      <c r="C16" s="101"/>
      <c r="D16" s="101"/>
      <c r="E16" s="101">
        <f ca="1">IFERROR(__xludf.DUMMYFUNCTION("GOOGLEFINANCE(""BOM:""&amp;A16,""PRICE"")"),19.44)</f>
        <v>19.440000000000001</v>
      </c>
      <c r="F16" s="112">
        <f ca="1">IFERROR(__xludf.DUMMYFUNCTION("GOOGLEFINANCE(""BOM:""&amp;A16,""MARKETCAP"")/10000000"),27.8344884)</f>
        <v>27.834488400000001</v>
      </c>
      <c r="G16" s="95">
        <f t="shared" ca="1" si="0"/>
        <v>2.0694827878409748E-3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511246</v>
      </c>
      <c r="B17" s="98" t="s">
        <v>4514</v>
      </c>
      <c r="C17" s="101"/>
      <c r="D17" s="101"/>
      <c r="E17" s="101">
        <f ca="1">IFERROR(__xludf.DUMMYFUNCTION("GOOGLEFINANCE(""BOM:""&amp;A17,""PRICE"")"),4.11)</f>
        <v>4.1100000000000003</v>
      </c>
      <c r="F17" s="112">
        <f ca="1">IFERROR(__xludf.DUMMYFUNCTION("GOOGLEFINANCE(""BOM:""&amp;A17,""MARKETCAP"")/10000000"),22.1940007)</f>
        <v>22.1940007</v>
      </c>
      <c r="G17" s="95">
        <f t="shared" ca="1" si="0"/>
        <v>1.6501148424908913E-3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503685</v>
      </c>
      <c r="B18" s="98" t="s">
        <v>4515</v>
      </c>
      <c r="C18" s="101"/>
      <c r="D18" s="101"/>
      <c r="E18" s="101">
        <f ca="1">IFERROR(__xludf.DUMMYFUNCTION("GOOGLEFINANCE(""BOM:""&amp;A18,""PRICE"")"),16.2)</f>
        <v>16.2</v>
      </c>
      <c r="F18" s="112">
        <f ca="1">IFERROR(__xludf.DUMMYFUNCTION("GOOGLEFINANCE(""BOM:""&amp;A18,""MARKETCAP"")/10000000"),23.8464011)</f>
        <v>23.846401100000001</v>
      </c>
      <c r="G18" s="95">
        <f t="shared" ca="1" si="0"/>
        <v>1.7729701340011728E-3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542654</v>
      </c>
      <c r="B19" s="98" t="s">
        <v>4516</v>
      </c>
      <c r="C19" s="101"/>
      <c r="D19" s="101"/>
      <c r="E19" s="101">
        <f ca="1">IFERROR(__xludf.DUMMYFUNCTION("GOOGLEFINANCE(""BOM:""&amp;A19,""PRICE"")"),12.25)</f>
        <v>12.25</v>
      </c>
      <c r="F19" s="112">
        <f ca="1">IFERROR(__xludf.DUMMYFUNCTION("GOOGLEFINANCE(""BOM:""&amp;A19,""MARKETCAP"")/10000000"),13.4455877)</f>
        <v>13.445587700000001</v>
      </c>
      <c r="G19" s="95">
        <f t="shared" ca="1" si="0"/>
        <v>9.9967392673746148E-4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511092</v>
      </c>
      <c r="B20" s="98" t="s">
        <v>4517</v>
      </c>
      <c r="C20" s="101"/>
      <c r="D20" s="101"/>
      <c r="E20" s="101">
        <f ca="1">IFERROR(__xludf.DUMMYFUNCTION("GOOGLEFINANCE(""BOM:""&amp;A20,""PRICE"")"),5.58)</f>
        <v>5.58</v>
      </c>
      <c r="F20" s="112">
        <f ca="1">IFERROR(__xludf.DUMMYFUNCTION("GOOGLEFINANCE(""BOM:""&amp;A20,""MARKETCAP"")/10000000"),16.1029813)</f>
        <v>16.1029813</v>
      </c>
      <c r="G20" s="95">
        <f t="shared" ca="1" si="0"/>
        <v>1.1972500501670827E-3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535647</v>
      </c>
      <c r="B21" s="98" t="s">
        <v>4518</v>
      </c>
      <c r="C21" s="101"/>
      <c r="D21" s="101"/>
      <c r="E21" s="101">
        <f ca="1">IFERROR(__xludf.DUMMYFUNCTION("GOOGLEFINANCE(""BOM:""&amp;A21,""PRICE"")"),18.9)</f>
        <v>18.899999999999999</v>
      </c>
      <c r="F21" s="112">
        <f ca="1">IFERROR(__xludf.DUMMYFUNCTION("GOOGLEFINANCE(""BOM:""&amp;A21,""MARKETCAP"")/10000000"),12.27083)</f>
        <v>12.27083</v>
      </c>
      <c r="G21" s="95">
        <f t="shared" ca="1" si="0"/>
        <v>9.1233117392316315E-4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511664</v>
      </c>
      <c r="B22" s="98" t="s">
        <v>4519</v>
      </c>
      <c r="C22" s="101"/>
      <c r="D22" s="101"/>
      <c r="E22" s="101">
        <f ca="1">IFERROR(__xludf.DUMMYFUNCTION("GOOGLEFINANCE(""BOM:""&amp;A22,""PRICE"")"),9.25)</f>
        <v>9.25</v>
      </c>
      <c r="F22" s="112">
        <f ca="1">IFERROR(__xludf.DUMMYFUNCTION("GOOGLEFINANCE(""BOM:""&amp;A22,""MARKETCAP"")/10000000"),10.4780577)</f>
        <v>10.478057700000001</v>
      </c>
      <c r="G22" s="95">
        <f t="shared" ca="1" si="0"/>
        <v>7.7903928926369604E-4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543247</v>
      </c>
      <c r="B23" s="98" t="s">
        <v>4520</v>
      </c>
      <c r="C23" s="101"/>
      <c r="D23" s="101"/>
      <c r="E23" s="101">
        <f ca="1">IFERROR(__xludf.DUMMYFUNCTION("GOOGLEFINANCE(""BOM:""&amp;A23,""PRICE"")"),32)</f>
        <v>32</v>
      </c>
      <c r="F23" s="112">
        <f ca="1">IFERROR(__xludf.DUMMYFUNCTION("GOOGLEFINANCE(""BOM:""&amp;A23,""MARKETCAP"")/10000000"),10.24019)</f>
        <v>10.24019</v>
      </c>
      <c r="G23" s="95">
        <f t="shared" ca="1" si="0"/>
        <v>7.6135392340177777E-4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531486</v>
      </c>
      <c r="B24" s="98" t="s">
        <v>4521</v>
      </c>
      <c r="C24" s="101"/>
      <c r="D24" s="101"/>
      <c r="E24" s="101">
        <f ca="1">IFERROR(__xludf.DUMMYFUNCTION("GOOGLEFINANCE(""BOM:""&amp;A24,""PRICE"")"),3.14)</f>
        <v>3.14</v>
      </c>
      <c r="F24" s="112">
        <f ca="1">IFERROR(__xludf.DUMMYFUNCTION("GOOGLEFINANCE(""BOM:""&amp;A24,""MARKETCAP"")/10000000"),9.5992817)</f>
        <v>9.5992817000000006</v>
      </c>
      <c r="G24" s="95">
        <f t="shared" ca="1" si="0"/>
        <v>7.1370265435835535E-4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532350</v>
      </c>
      <c r="B25" s="98" t="s">
        <v>4522</v>
      </c>
      <c r="C25" s="101"/>
      <c r="D25" s="101"/>
      <c r="E25" s="101">
        <f ca="1">IFERROR(__xludf.DUMMYFUNCTION("GOOGLEFINANCE(""BOM:""&amp;A25,""PRICE"")"),4.03)</f>
        <v>4.03</v>
      </c>
      <c r="F25" s="112">
        <f ca="1">IFERROR(__xludf.DUMMYFUNCTION("GOOGLEFINANCE(""BOM:""&amp;A25,""MARKETCAP"")/10000000"),6.8510003)</f>
        <v>6.8510002999999999</v>
      </c>
      <c r="G25" s="95">
        <f t="shared" ca="1" si="0"/>
        <v>5.0936906030374005E-4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531668</v>
      </c>
      <c r="B26" s="98" t="s">
        <v>4523</v>
      </c>
      <c r="C26" s="101"/>
      <c r="D26" s="101"/>
      <c r="E26" s="101">
        <f ca="1">IFERROR(__xludf.DUMMYFUNCTION("GOOGLEFINANCE(""BOM:""&amp;A26,""PRICE"")"),2.5)</f>
        <v>2.5</v>
      </c>
      <c r="F26" s="112">
        <f ca="1">IFERROR(__xludf.DUMMYFUNCTION("GOOGLEFINANCE(""BOM:""&amp;A26,""MARKETCAP"")/10000000"),4.992525)</f>
        <v>4.9925249999999997</v>
      </c>
      <c r="G26" s="95">
        <f t="shared" ca="1" si="0"/>
        <v>3.711921845621478E-4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540159</v>
      </c>
      <c r="B27" s="98" t="s">
        <v>4524</v>
      </c>
      <c r="C27" s="101"/>
      <c r="D27" s="101"/>
      <c r="E27" s="101">
        <f ca="1">IFERROR(__xludf.DUMMYFUNCTION("GOOGLEFINANCE(""BOM:""&amp;A27,""PRICE"")"),4.29)</f>
        <v>4.29</v>
      </c>
      <c r="F27" s="112">
        <f ca="1">IFERROR(__xludf.DUMMYFUNCTION("GOOGLEFINANCE(""BOM:""&amp;A27,""MARKETCAP"")/10000000"),3.7091185)</f>
        <v>3.7091185000000002</v>
      </c>
      <c r="G27" s="95">
        <f t="shared" ca="1" si="0"/>
        <v>2.7577143806287939E-4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532378</v>
      </c>
      <c r="B28" s="98" t="s">
        <v>4525</v>
      </c>
      <c r="C28" s="101"/>
      <c r="D28" s="101"/>
      <c r="E28" s="101">
        <f ca="1">IFERROR(__xludf.DUMMYFUNCTION("GOOGLEFINANCE(""BOM:""&amp;A28,""PRICE"")"),5)</f>
        <v>5</v>
      </c>
      <c r="F28" s="112">
        <f ca="1">IFERROR(__xludf.DUMMYFUNCTION("GOOGLEFINANCE(""BOM:""&amp;A28,""MARKETCAP"")/10000000"),4.98495)</f>
        <v>4.9849500000000004</v>
      </c>
      <c r="G28" s="95">
        <f t="shared" ca="1" si="0"/>
        <v>3.7062898642131563E-4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539352</v>
      </c>
      <c r="B29" s="98" t="s">
        <v>4526</v>
      </c>
      <c r="C29" s="101"/>
      <c r="D29" s="101"/>
      <c r="E29" s="101">
        <f ca="1">IFERROR(__xludf.DUMMYFUNCTION("GOOGLEFINANCE(""BOM:""&amp;A29,""PRICE"")"),0.68)</f>
        <v>0.68</v>
      </c>
      <c r="F29" s="101"/>
      <c r="G29" s="95">
        <f t="shared" ca="1" si="0"/>
        <v>0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3.2">
      <c r="A30" s="101"/>
      <c r="B30" s="101"/>
      <c r="C30" s="101"/>
      <c r="D30" s="101"/>
      <c r="E30" s="101"/>
      <c r="F30" s="101"/>
      <c r="G30" s="95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3.2">
      <c r="A31" s="101"/>
      <c r="B31" s="101"/>
      <c r="C31" s="101"/>
      <c r="D31" s="101"/>
      <c r="E31" s="101"/>
      <c r="F31" s="112">
        <f t="shared" ref="F31:O31" ca="1" si="1">SUM(F2:F29)</f>
        <v>13449.973376699998</v>
      </c>
      <c r="G31" s="95">
        <f t="shared" ca="1" si="1"/>
        <v>1</v>
      </c>
      <c r="H31" s="101">
        <f t="shared" si="1"/>
        <v>2771</v>
      </c>
      <c r="I31" s="101">
        <f t="shared" si="1"/>
        <v>3297</v>
      </c>
      <c r="J31" s="101">
        <f t="shared" si="1"/>
        <v>155</v>
      </c>
      <c r="K31" s="101">
        <f t="shared" si="1"/>
        <v>-121</v>
      </c>
      <c r="L31" s="101">
        <f t="shared" si="1"/>
        <v>2244</v>
      </c>
      <c r="M31" s="101">
        <f t="shared" si="1"/>
        <v>2009</v>
      </c>
      <c r="N31" s="101">
        <f t="shared" si="1"/>
        <v>95</v>
      </c>
      <c r="O31" s="101">
        <f t="shared" si="1"/>
        <v>37</v>
      </c>
      <c r="P31" s="95">
        <f t="shared" ref="P31:Q31" si="2">J31/H31</f>
        <v>5.5936485023457237E-2</v>
      </c>
      <c r="Q31" s="95">
        <f t="shared" si="2"/>
        <v>-3.6700030330603581E-2</v>
      </c>
      <c r="R31" s="95">
        <f>P31-Q31</f>
        <v>9.2636515354060811E-2</v>
      </c>
      <c r="S31" s="95">
        <f t="shared" ref="S31:T31" si="3">N31/L31</f>
        <v>4.233511586452763E-2</v>
      </c>
      <c r="T31" s="95">
        <f t="shared" si="3"/>
        <v>1.841712294673967E-2</v>
      </c>
      <c r="U31" s="95">
        <f>S31-T31</f>
        <v>2.3917992917787959E-2</v>
      </c>
      <c r="V31" s="95">
        <f>(H31/I31)-1</f>
        <v>-0.15953897482559898</v>
      </c>
      <c r="W31" s="95">
        <f>(J31/K31)-1</f>
        <v>-2.28099173553719</v>
      </c>
      <c r="X31" s="95">
        <f>(L31/M31)-1</f>
        <v>0.11697361871577905</v>
      </c>
      <c r="Y31" s="95">
        <f>(N31/O31)-1</f>
        <v>1.5675675675675675</v>
      </c>
    </row>
  </sheetData>
  <autoFilter ref="A1:Y29" xr:uid="{00000000-0009-0000-0000-000088000000}"/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outlinePr summaryBelow="0" summaryRight="0"/>
  </sheetPr>
  <dimension ref="A1:Y21"/>
  <sheetViews>
    <sheetView workbookViewId="0"/>
  </sheetViews>
  <sheetFormatPr defaultColWidth="12.6640625" defaultRowHeight="15.75" customHeight="1"/>
  <cols>
    <col min="4" max="4" width="15.21875" customWidth="1"/>
  </cols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543257</v>
      </c>
      <c r="B2" s="98" t="s">
        <v>1422</v>
      </c>
      <c r="C2" s="174" t="str">
        <f>VLOOKUP(A2,'BSE ALL CAP'!$B$4:$Y$1034,2,)</f>
        <v>Financial Services</v>
      </c>
      <c r="D2" s="174" t="str">
        <f>VLOOKUP(A2,'BSE ALL CAP'!$B$4:$Y$1034,3,)</f>
        <v>Financial Institution</v>
      </c>
      <c r="E2" s="11">
        <f ca="1">IFERROR(__xludf.DUMMYFUNCTION("GOOGLEFINANCE(""BOM:""&amp;A2,""PRICE"")"),92.64)</f>
        <v>92.64</v>
      </c>
      <c r="F2" s="20">
        <f ca="1">IFERROR(__xludf.DUMMYFUNCTION("GOOGLEFINANCE(""BOM:""&amp;A2,""MARKETCAP"")/10000000"),121188.2819103)</f>
        <v>121188.28191029999</v>
      </c>
      <c r="G2" s="13">
        <f t="shared" ref="G2:G10" ca="1" si="0">F2/$F$12</f>
        <v>0.28508639278722231</v>
      </c>
      <c r="H2" s="174">
        <f>VLOOKUP(A2,'BSE ALL CAP'!$B$4:$Y$1034,7,)</f>
        <v>20009</v>
      </c>
      <c r="I2" s="174">
        <f>VLOOKUP(A2,'BSE ALL CAP'!$B$4:$Y$1034,8,)</f>
        <v>20433</v>
      </c>
      <c r="J2" s="174">
        <f>VLOOKUP(A2,'BSE ALL CAP'!$B$4:$Y$1034,9,)</f>
        <v>5325</v>
      </c>
      <c r="K2" s="174">
        <f>VLOOKUP(A2,'BSE ALL CAP'!$B$4:$Y$1034,10,)</f>
        <v>4820</v>
      </c>
      <c r="L2" s="174">
        <f>VLOOKUP(A2,'BSE ALL CAP'!$B$4:$Y$1034,11,)</f>
        <v>6719</v>
      </c>
      <c r="M2" s="174">
        <f>VLOOKUP(A2,'BSE ALL CAP'!$B$4:$Y$1034,12,)</f>
        <v>6766</v>
      </c>
      <c r="N2" s="174">
        <f>VLOOKUP(A2,'BSE ALL CAP'!$B$4:$Y$1034,13,)</f>
        <v>1802</v>
      </c>
      <c r="O2" s="174">
        <f>VLOOKUP(A2,'BSE ALL CAP'!$B$4:$Y$1034,14,)</f>
        <v>1631</v>
      </c>
      <c r="P2" s="344">
        <f>VLOOKUP(A2,'BSE ALL CAP'!$B$4:$Y$1034,15,)</f>
        <v>0.26613024139137387</v>
      </c>
      <c r="Q2" s="344">
        <f>VLOOKUP(A2,'BSE ALL CAP'!$B$4:$Y$1034,16,)</f>
        <v>0.2358929183184065</v>
      </c>
      <c r="R2" s="344">
        <f>VLOOKUP(A2,'BSE ALL CAP'!$B$4:$Y$1034,17,)</f>
        <v>3.0237323072967365E-2</v>
      </c>
      <c r="S2" s="345">
        <f>VLOOKUP(A2,'BSE ALL CAP'!$B$4:$Y$1034,18,)</f>
        <v>0.26819467182616463</v>
      </c>
      <c r="T2" s="346">
        <f>VLOOKUP(A2,'BSE ALL CAP'!$B$4:$Y$1034,19,)</f>
        <v>0.2410582323381614</v>
      </c>
      <c r="U2" s="344">
        <f>VLOOKUP(A2,'BSE ALL CAP'!$B$4:$Y$1034,20,)</f>
        <v>2.7136439488003233E-2</v>
      </c>
      <c r="V2" s="344">
        <f>VLOOKUP(A2,'BSE ALL CAP'!$B$4:$Y$1034,21,)</f>
        <v>-2.0750746341702153E-2</v>
      </c>
      <c r="W2" s="344">
        <f>VLOOKUP(A2,'BSE ALL CAP'!$B$4:$Y$1034,22,)</f>
        <v>0.10477178423236522</v>
      </c>
      <c r="X2" s="344">
        <f>VLOOKUP(A2,'BSE ALL CAP'!$B$4:$Y$1034,23,)</f>
        <v>-6.9464971918415941E-3</v>
      </c>
      <c r="Y2" s="344">
        <f>VLOOKUP(A2,'BSE ALL CAP'!$B$4:$Y$1034,24,)</f>
        <v>0.1048436541998774</v>
      </c>
    </row>
    <row r="3" spans="1:25" ht="15.75" customHeight="1">
      <c r="A3" s="99">
        <v>532810</v>
      </c>
      <c r="B3" s="98" t="s">
        <v>4527</v>
      </c>
      <c r="C3" s="174" t="str">
        <f>VLOOKUP(A3,'BSE ALL CAP'!$B$4:$Y$1034,2,)</f>
        <v>Financial Services</v>
      </c>
      <c r="D3" s="174" t="str">
        <f>VLOOKUP(A3,'BSE ALL CAP'!$B$4:$Y$1034,3,)</f>
        <v>Financial Institution</v>
      </c>
      <c r="E3" s="11">
        <f ca="1">IFERROR(__xludf.DUMMYFUNCTION("GOOGLEFINANCE(""BOM:""&amp;A3,""PRICE"")"),405.25)</f>
        <v>405.25</v>
      </c>
      <c r="F3" s="20">
        <f ca="1">IFERROR(__xludf.DUMMYFUNCTION("GOOGLEFINANCE(""BOM:""&amp;A3,""MARKETCAP"")/10000000"),133867.9549155)</f>
        <v>133867.95491550001</v>
      </c>
      <c r="G3" s="13">
        <f t="shared" ca="1" si="0"/>
        <v>0.31491437765336278</v>
      </c>
      <c r="H3" s="174">
        <f>VLOOKUP(A3,'BSE ALL CAP'!$B$4:$Y$1034,7,)</f>
        <v>86671</v>
      </c>
      <c r="I3" s="174">
        <f>VLOOKUP(A3,'BSE ALL CAP'!$B$4:$Y$1034,8,)</f>
        <v>77313</v>
      </c>
      <c r="J3" s="174">
        <f>VLOOKUP(A3,'BSE ALL CAP'!$B$4:$Y$1034,9,)</f>
        <v>25028</v>
      </c>
      <c r="K3" s="174">
        <f>VLOOKUP(A3,'BSE ALL CAP'!$B$4:$Y$1034,10,)</f>
        <v>22156</v>
      </c>
      <c r="L3" s="174">
        <f>VLOOKUP(A3,'BSE ALL CAP'!$B$4:$Y$1034,11,)</f>
        <v>29141</v>
      </c>
      <c r="M3" s="174">
        <f>VLOOKUP(A3,'BSE ALL CAP'!$B$4:$Y$1034,12,)</f>
        <v>26822</v>
      </c>
      <c r="N3" s="174">
        <f>VLOOKUP(A3,'BSE ALL CAP'!$B$4:$Y$1034,13,)</f>
        <v>8212</v>
      </c>
      <c r="O3" s="174">
        <f>VLOOKUP(A3,'BSE ALL CAP'!$B$4:$Y$1034,14,)</f>
        <v>7760</v>
      </c>
      <c r="P3" s="344">
        <f>VLOOKUP(A3,'BSE ALL CAP'!$B$4:$Y$1034,15,)</f>
        <v>0.28877017687577161</v>
      </c>
      <c r="Q3" s="344">
        <f>VLOOKUP(A3,'BSE ALL CAP'!$B$4:$Y$1034,16,)</f>
        <v>0.28657534955311526</v>
      </c>
      <c r="R3" s="344">
        <f>VLOOKUP(A3,'BSE ALL CAP'!$B$4:$Y$1034,17,)</f>
        <v>2.1948273226563564E-3</v>
      </c>
      <c r="S3" s="345">
        <f>VLOOKUP(A3,'BSE ALL CAP'!$B$4:$Y$1034,18,)</f>
        <v>0.2818022717133935</v>
      </c>
      <c r="T3" s="346">
        <f>VLOOKUP(A3,'BSE ALL CAP'!$B$4:$Y$1034,19,)</f>
        <v>0.2893147416300052</v>
      </c>
      <c r="U3" s="344">
        <f>VLOOKUP(A3,'BSE ALL CAP'!$B$4:$Y$1034,20,)</f>
        <v>-7.5124699166116971E-3</v>
      </c>
      <c r="V3" s="344">
        <f>VLOOKUP(A3,'BSE ALL CAP'!$B$4:$Y$1034,21,)</f>
        <v>0.12104044597933084</v>
      </c>
      <c r="W3" s="344">
        <f>VLOOKUP(A3,'BSE ALL CAP'!$B$4:$Y$1034,22,)</f>
        <v>0.12962628633327311</v>
      </c>
      <c r="X3" s="344">
        <f>VLOOKUP(A3,'BSE ALL CAP'!$B$4:$Y$1034,23,)</f>
        <v>8.6458877041234894E-2</v>
      </c>
      <c r="Y3" s="344">
        <f>VLOOKUP(A3,'BSE ALL CAP'!$B$4:$Y$1034,24,)</f>
        <v>5.8247422680412386E-2</v>
      </c>
    </row>
    <row r="4" spans="1:25" ht="15.75" customHeight="1">
      <c r="A4" s="99">
        <v>532955</v>
      </c>
      <c r="B4" s="98" t="s">
        <v>4528</v>
      </c>
      <c r="C4" s="174" t="str">
        <f>VLOOKUP(A4,'BSE ALL CAP'!$B$4:$Y$1034,2,)</f>
        <v>Financial Services</v>
      </c>
      <c r="D4" s="174" t="str">
        <f>VLOOKUP(A4,'BSE ALL CAP'!$B$4:$Y$1034,3,)</f>
        <v>Financial Institution</v>
      </c>
      <c r="E4" s="11">
        <f ca="1">IFERROR(__xludf.DUMMYFUNCTION("GOOGLEFINANCE(""BOM:""&amp;A4,""PRICE"")"),327.9)</f>
        <v>327.9</v>
      </c>
      <c r="F4" s="20">
        <f ca="1">IFERROR(__xludf.DUMMYFUNCTION("GOOGLEFINANCE(""BOM:""&amp;A4,""MARKETCAP"")/10000000"),86332.854973)</f>
        <v>86332.854972999994</v>
      </c>
      <c r="G4" s="13">
        <f t="shared" ca="1" si="0"/>
        <v>0.20309160106331314</v>
      </c>
      <c r="H4" s="174">
        <f>VLOOKUP(A4,'BSE ALL CAP'!$B$4:$Y$1034,7,)</f>
        <v>45045</v>
      </c>
      <c r="I4" s="174">
        <f>VLOOKUP(A4,'BSE ALL CAP'!$B$4:$Y$1034,8,)</f>
        <v>41086</v>
      </c>
      <c r="J4" s="174">
        <f>VLOOKUP(A4,'BSE ALL CAP'!$B$4:$Y$1034,9,)</f>
        <v>12933</v>
      </c>
      <c r="K4" s="174">
        <f>VLOOKUP(A4,'BSE ALL CAP'!$B$4:$Y$1034,10,)</f>
        <v>11574</v>
      </c>
      <c r="L4" s="174">
        <f>VLOOKUP(A4,'BSE ALL CAP'!$B$4:$Y$1034,11,)</f>
        <v>15058</v>
      </c>
      <c r="M4" s="174">
        <f>VLOOKUP(A4,'BSE ALL CAP'!$B$4:$Y$1034,12,)</f>
        <v>14287</v>
      </c>
      <c r="N4" s="174">
        <f>VLOOKUP(A4,'BSE ALL CAP'!$B$4:$Y$1034,13,)</f>
        <v>4052</v>
      </c>
      <c r="O4" s="174">
        <f>VLOOKUP(A4,'BSE ALL CAP'!$B$4:$Y$1034,14,)</f>
        <v>4076</v>
      </c>
      <c r="P4" s="344">
        <f>VLOOKUP(A4,'BSE ALL CAP'!$B$4:$Y$1034,15,)</f>
        <v>0.28711288711288713</v>
      </c>
      <c r="Q4" s="344">
        <f>VLOOKUP(A4,'BSE ALL CAP'!$B$4:$Y$1034,16,)</f>
        <v>0.28170179623229324</v>
      </c>
      <c r="R4" s="344">
        <f>VLOOKUP(A4,'BSE ALL CAP'!$B$4:$Y$1034,17,)</f>
        <v>5.4110908805938829E-3</v>
      </c>
      <c r="S4" s="345">
        <f>VLOOKUP(A4,'BSE ALL CAP'!$B$4:$Y$1034,18,)</f>
        <v>0.26909284101474301</v>
      </c>
      <c r="T4" s="346">
        <f>VLOOKUP(A4,'BSE ALL CAP'!$B$4:$Y$1034,19,)</f>
        <v>0.28529432351088402</v>
      </c>
      <c r="U4" s="344">
        <f>VLOOKUP(A4,'BSE ALL CAP'!$B$4:$Y$1034,20,)</f>
        <v>-1.6201482496141006E-2</v>
      </c>
      <c r="V4" s="344">
        <f>VLOOKUP(A4,'BSE ALL CAP'!$B$4:$Y$1034,21,)</f>
        <v>9.6358857031592304E-2</v>
      </c>
      <c r="W4" s="344">
        <f>VLOOKUP(A4,'BSE ALL CAP'!$B$4:$Y$1034,22,)</f>
        <v>0.11741835147744939</v>
      </c>
      <c r="X4" s="344">
        <f>VLOOKUP(A4,'BSE ALL CAP'!$B$4:$Y$1034,23,)</f>
        <v>5.3965143137117755E-2</v>
      </c>
      <c r="Y4" s="344">
        <f>VLOOKUP(A4,'BSE ALL CAP'!$B$4:$Y$1034,24,)</f>
        <v>-5.8881256133463955E-3</v>
      </c>
    </row>
    <row r="5" spans="1:25" ht="15.75" customHeight="1">
      <c r="A5" s="99">
        <v>540530</v>
      </c>
      <c r="B5" s="98" t="s">
        <v>4529</v>
      </c>
      <c r="C5" s="174" t="str">
        <f>VLOOKUP(A5,'BSE ALL CAP'!$B$4:$Y$1034,2,)</f>
        <v>Financial Services</v>
      </c>
      <c r="D5" s="174" t="str">
        <f>VLOOKUP(A5,'BSE ALL CAP'!$B$4:$Y$1034,3,)</f>
        <v>Financial Institution</v>
      </c>
      <c r="E5" s="11">
        <f ca="1">IFERROR(__xludf.DUMMYFUNCTION("GOOGLEFINANCE(""BOM:""&amp;A5,""PRICE"")"),169.25)</f>
        <v>169.25</v>
      </c>
      <c r="F5" s="20">
        <f ca="1">IFERROR(__xludf.DUMMYFUNCTION("GOOGLEFINANCE(""BOM:""&amp;A5,""MARKETCAP"")/10000000"),33900.047225)</f>
        <v>33900.047225000002</v>
      </c>
      <c r="G5" s="13">
        <f t="shared" ca="1" si="0"/>
        <v>7.9747332220165251E-2</v>
      </c>
      <c r="H5" s="174">
        <f>VLOOKUP(A5,'BSE ALL CAP'!$B$4:$Y$1034,7,)</f>
        <v>9702</v>
      </c>
      <c r="I5" s="174">
        <f>VLOOKUP(A5,'BSE ALL CAP'!$B$4:$Y$1034,8,)</f>
        <v>7493</v>
      </c>
      <c r="J5" s="174">
        <f>VLOOKUP(A5,'BSE ALL CAP'!$B$4:$Y$1034,9,)</f>
        <v>2053</v>
      </c>
      <c r="K5" s="174">
        <f>VLOOKUP(A5,'BSE ALL CAP'!$B$4:$Y$1034,10,)</f>
        <v>1981</v>
      </c>
      <c r="L5" s="174">
        <f>VLOOKUP(A5,'BSE ALL CAP'!$B$4:$Y$1034,11,)</f>
        <v>3506</v>
      </c>
      <c r="M5" s="174">
        <f>VLOOKUP(A5,'BSE ALL CAP'!$B$4:$Y$1034,12,)</f>
        <v>2770</v>
      </c>
      <c r="N5" s="174">
        <f>VLOOKUP(A5,'BSE ALL CAP'!$B$4:$Y$1034,13,)</f>
        <v>713</v>
      </c>
      <c r="O5" s="174">
        <f>VLOOKUP(A5,'BSE ALL CAP'!$B$4:$Y$1034,14,)</f>
        <v>735</v>
      </c>
      <c r="P5" s="344">
        <f>VLOOKUP(A5,'BSE ALL CAP'!$B$4:$Y$1034,15,)</f>
        <v>0.21160585446299732</v>
      </c>
      <c r="Q5" s="344">
        <f>VLOOKUP(A5,'BSE ALL CAP'!$B$4:$Y$1034,16,)</f>
        <v>0.26438008808221009</v>
      </c>
      <c r="R5" s="344">
        <f>VLOOKUP(A5,'BSE ALL CAP'!$B$4:$Y$1034,17,)</f>
        <v>-5.2774233619212768E-2</v>
      </c>
      <c r="S5" s="345">
        <f>VLOOKUP(A5,'BSE ALL CAP'!$B$4:$Y$1034,18,)</f>
        <v>0.2033656588705077</v>
      </c>
      <c r="T5" s="346">
        <f>VLOOKUP(A5,'BSE ALL CAP'!$B$4:$Y$1034,19,)</f>
        <v>0.26534296028880866</v>
      </c>
      <c r="U5" s="344">
        <f>VLOOKUP(A5,'BSE ALL CAP'!$B$4:$Y$1034,20,)</f>
        <v>-6.1977301418300962E-2</v>
      </c>
      <c r="V5" s="344">
        <f>VLOOKUP(A5,'BSE ALL CAP'!$B$4:$Y$1034,21,)</f>
        <v>0.29480848792206049</v>
      </c>
      <c r="W5" s="344">
        <f>VLOOKUP(A5,'BSE ALL CAP'!$B$4:$Y$1034,22,)</f>
        <v>3.6345280161534488E-2</v>
      </c>
      <c r="X5" s="344">
        <f>VLOOKUP(A5,'BSE ALL CAP'!$B$4:$Y$1034,23,)</f>
        <v>0.26570397111913358</v>
      </c>
      <c r="Y5" s="344">
        <f>VLOOKUP(A5,'BSE ALL CAP'!$B$4:$Y$1034,24,)</f>
        <v>-2.9931972789115635E-2</v>
      </c>
    </row>
    <row r="6" spans="1:25" ht="15.75" customHeight="1">
      <c r="A6" s="99">
        <v>544026</v>
      </c>
      <c r="B6" s="98" t="s">
        <v>1421</v>
      </c>
      <c r="C6" s="174" t="str">
        <f>VLOOKUP(A6,'BSE ALL CAP'!$B$4:$Y$1034,2,)</f>
        <v>Financial Services</v>
      </c>
      <c r="D6" s="174" t="str">
        <f>VLOOKUP(A6,'BSE ALL CAP'!$B$4:$Y$1034,3,)</f>
        <v>Financial Institution</v>
      </c>
      <c r="E6" s="11">
        <f ca="1">IFERROR(__xludf.DUMMYFUNCTION("GOOGLEFINANCE(""BOM:""&amp;A6,""PRICE"")"),115.25)</f>
        <v>115.25</v>
      </c>
      <c r="F6" s="20">
        <f ca="1">IFERROR(__xludf.DUMMYFUNCTION("GOOGLEFINANCE(""BOM:""&amp;A6,""MARKETCAP"")/10000000"),30938.0048298)</f>
        <v>30938.0048298</v>
      </c>
      <c r="G6" s="13">
        <f t="shared" ca="1" si="0"/>
        <v>7.2779348447976608E-2</v>
      </c>
      <c r="H6" s="174">
        <f>VLOOKUP(A6,'BSE ALL CAP'!$B$4:$Y$1034,7,)</f>
        <v>6157</v>
      </c>
      <c r="I6" s="174">
        <f>VLOOKUP(A6,'BSE ALL CAP'!$B$4:$Y$1034,8,)</f>
        <v>4840</v>
      </c>
      <c r="J6" s="174">
        <f>VLOOKUP(A6,'BSE ALL CAP'!$B$4:$Y$1034,9,)</f>
        <v>1381</v>
      </c>
      <c r="K6" s="174">
        <f>VLOOKUP(A6,'BSE ALL CAP'!$B$4:$Y$1034,10,)</f>
        <v>1197</v>
      </c>
      <c r="L6" s="174">
        <f>VLOOKUP(A6,'BSE ALL CAP'!$B$4:$Y$1034,11,)</f>
        <v>2139</v>
      </c>
      <c r="M6" s="174">
        <f>VLOOKUP(A6,'BSE ALL CAP'!$B$4:$Y$1034,12,)</f>
        <v>1698</v>
      </c>
      <c r="N6" s="174">
        <f>VLOOKUP(A6,'BSE ALL CAP'!$B$4:$Y$1034,13,)</f>
        <v>585</v>
      </c>
      <c r="O6" s="174">
        <f>VLOOKUP(A6,'BSE ALL CAP'!$B$4:$Y$1034,14,)</f>
        <v>425</v>
      </c>
      <c r="P6" s="344">
        <f>VLOOKUP(A6,'BSE ALL CAP'!$B$4:$Y$1034,15,)</f>
        <v>0.2242975475069027</v>
      </c>
      <c r="Q6" s="344">
        <f>VLOOKUP(A6,'BSE ALL CAP'!$B$4:$Y$1034,16,)</f>
        <v>0.24731404958677686</v>
      </c>
      <c r="R6" s="344">
        <f>VLOOKUP(A6,'BSE ALL CAP'!$B$4:$Y$1034,17,)</f>
        <v>-2.3016502079874157E-2</v>
      </c>
      <c r="S6" s="345">
        <f>VLOOKUP(A6,'BSE ALL CAP'!$B$4:$Y$1034,18,)</f>
        <v>0.27349228611500703</v>
      </c>
      <c r="T6" s="346">
        <f>VLOOKUP(A6,'BSE ALL CAP'!$B$4:$Y$1034,19,)</f>
        <v>0.25029446407538281</v>
      </c>
      <c r="U6" s="344">
        <f>VLOOKUP(A6,'BSE ALL CAP'!$B$4:$Y$1034,20,)</f>
        <v>2.3197822039624227E-2</v>
      </c>
      <c r="V6" s="344">
        <f>VLOOKUP(A6,'BSE ALL CAP'!$B$4:$Y$1034,21,)</f>
        <v>0.27210743801652892</v>
      </c>
      <c r="W6" s="344">
        <f>VLOOKUP(A6,'BSE ALL CAP'!$B$4:$Y$1034,22,)</f>
        <v>0.15371762740183792</v>
      </c>
      <c r="X6" s="344">
        <f>VLOOKUP(A6,'BSE ALL CAP'!$B$4:$Y$1034,23,)</f>
        <v>0.25971731448763258</v>
      </c>
      <c r="Y6" s="344">
        <f>VLOOKUP(A6,'BSE ALL CAP'!$B$4:$Y$1034,24,)</f>
        <v>0.37647058823529411</v>
      </c>
    </row>
    <row r="7" spans="1:25" ht="15.75" customHeight="1">
      <c r="A7" s="99">
        <v>500106</v>
      </c>
      <c r="B7" s="98" t="s">
        <v>4530</v>
      </c>
      <c r="C7" s="174" t="str">
        <f>VLOOKUP(A7,'BSE ALL CAP'!$B$4:$Y$1034,2,)</f>
        <v>Financial Services</v>
      </c>
      <c r="D7" s="174" t="str">
        <f>VLOOKUP(A7,'BSE ALL CAP'!$B$4:$Y$1034,3,)</f>
        <v>Financial Institution</v>
      </c>
      <c r="E7" s="11">
        <f ca="1">IFERROR(__xludf.DUMMYFUNCTION("GOOGLEFINANCE(""BOM:""&amp;A7,""PRICE"")"),52.87)</f>
        <v>52.87</v>
      </c>
      <c r="F7" s="20">
        <f ca="1">IFERROR(__xludf.DUMMYFUNCTION("GOOGLEFINANCE(""BOM:""&amp;A7,""MARKETCAP"")/10000000"),14244.8325432)</f>
        <v>14244.8325432</v>
      </c>
      <c r="G7" s="13">
        <f t="shared" ca="1" si="0"/>
        <v>3.3509905921471524E-2</v>
      </c>
      <c r="H7" s="174">
        <f>VLOOKUP(A7,'BSE ALL CAP'!$B$4:$Y$1034,7,)</f>
        <v>1664</v>
      </c>
      <c r="I7" s="174">
        <f>VLOOKUP(A7,'BSE ALL CAP'!$B$4:$Y$1034,8,)</f>
        <v>1648</v>
      </c>
      <c r="J7" s="174">
        <f>VLOOKUP(A7,'BSE ALL CAP'!$B$4:$Y$1034,9,)</f>
        <v>401</v>
      </c>
      <c r="K7" s="174">
        <f>VLOOKUP(A7,'BSE ALL CAP'!$B$4:$Y$1034,10,)</f>
        <v>88</v>
      </c>
      <c r="L7" s="174">
        <f>VLOOKUP(A7,'BSE ALL CAP'!$B$4:$Y$1034,11,)</f>
        <v>467</v>
      </c>
      <c r="M7" s="174">
        <f>VLOOKUP(A7,'BSE ALL CAP'!$B$4:$Y$1034,12,)</f>
        <v>457</v>
      </c>
      <c r="N7" s="174">
        <f>VLOOKUP(A7,'BSE ALL CAP'!$B$4:$Y$1034,13,)</f>
        <v>21</v>
      </c>
      <c r="O7" s="174">
        <f>VLOOKUP(A7,'BSE ALL CAP'!$B$4:$Y$1034,14,)</f>
        <v>-9</v>
      </c>
      <c r="P7" s="344">
        <f>VLOOKUP(A7,'BSE ALL CAP'!$B$4:$Y$1034,15,)</f>
        <v>0.24098557692307693</v>
      </c>
      <c r="Q7" s="344">
        <f>VLOOKUP(A7,'BSE ALL CAP'!$B$4:$Y$1034,16,)</f>
        <v>5.3398058252427182E-2</v>
      </c>
      <c r="R7" s="344">
        <f>VLOOKUP(A7,'BSE ALL CAP'!$B$4:$Y$1034,17,)</f>
        <v>0.18758751867064974</v>
      </c>
      <c r="S7" s="345">
        <f>VLOOKUP(A7,'BSE ALL CAP'!$B$4:$Y$1034,18,)</f>
        <v>4.4967880085653104E-2</v>
      </c>
      <c r="T7" s="346">
        <f>VLOOKUP(A7,'BSE ALL CAP'!$B$4:$Y$1034,19,)</f>
        <v>-1.9693654266958426E-2</v>
      </c>
      <c r="U7" s="344">
        <f>VLOOKUP(A7,'BSE ALL CAP'!$B$4:$Y$1034,20,)</f>
        <v>6.466153435261153E-2</v>
      </c>
      <c r="V7" s="344">
        <f>VLOOKUP(A7,'BSE ALL CAP'!$B$4:$Y$1034,21,)</f>
        <v>9.7087378640776656E-3</v>
      </c>
      <c r="W7" s="344">
        <f>VLOOKUP(A7,'BSE ALL CAP'!$B$4:$Y$1034,22,)</f>
        <v>3.5568181818181817</v>
      </c>
      <c r="X7" s="344">
        <f>VLOOKUP(A7,'BSE ALL CAP'!$B$4:$Y$1034,23,)</f>
        <v>2.1881838074398141E-2</v>
      </c>
      <c r="Y7" s="344">
        <f>VLOOKUP(A7,'BSE ALL CAP'!$B$4:$Y$1034,24,)</f>
        <v>-3.3333333333333335</v>
      </c>
    </row>
    <row r="8" spans="1:25" ht="15.75" customHeight="1">
      <c r="A8" s="99">
        <v>526650</v>
      </c>
      <c r="B8" s="98" t="s">
        <v>4531</v>
      </c>
      <c r="C8" s="174" t="str">
        <f>VLOOKUP(A8,'BSE ALL CAP'!$B$4:$Y$1034,2,)</f>
        <v>Financial Services</v>
      </c>
      <c r="D8" s="174" t="str">
        <f>VLOOKUP(A8,'BSE ALL CAP'!$B$4:$Y$1034,3,)</f>
        <v>Financial Institution</v>
      </c>
      <c r="E8" s="11">
        <f ca="1">IFERROR(__xludf.DUMMYFUNCTION("GOOGLEFINANCE(""BOM:""&amp;A8,""PRICE"")"),64.82)</f>
        <v>64.819999999999993</v>
      </c>
      <c r="F8" s="20">
        <f ca="1">IFERROR(__xludf.DUMMYFUNCTION("GOOGLEFINANCE(""BOM:""&amp;A8,""MARKETCAP"")/10000000"),2991.9165809)</f>
        <v>2991.9165809000001</v>
      </c>
      <c r="G8" s="13">
        <f t="shared" ca="1" si="0"/>
        <v>7.038260565492567E-3</v>
      </c>
      <c r="H8" s="174">
        <f>VLOOKUP(A8,'BSE ALL CAP'!$B$4:$Y$1034,7,)</f>
        <v>202</v>
      </c>
      <c r="I8" s="174">
        <f>VLOOKUP(A8,'BSE ALL CAP'!$B$4:$Y$1034,8,)</f>
        <v>190</v>
      </c>
      <c r="J8" s="174">
        <f>VLOOKUP(A8,'BSE ALL CAP'!$B$4:$Y$1034,9,)</f>
        <v>91</v>
      </c>
      <c r="K8" s="174">
        <f>VLOOKUP(A8,'BSE ALL CAP'!$B$4:$Y$1034,10,)</f>
        <v>73</v>
      </c>
      <c r="L8" s="174">
        <f>VLOOKUP(A8,'BSE ALL CAP'!$B$4:$Y$1034,11,)</f>
        <v>705</v>
      </c>
      <c r="M8" s="174">
        <f>VLOOKUP(A8,'BSE ALL CAP'!$B$4:$Y$1034,12,)</f>
        <v>641</v>
      </c>
      <c r="N8" s="174">
        <f>VLOOKUP(A8,'BSE ALL CAP'!$B$4:$Y$1034,13,)</f>
        <v>31</v>
      </c>
      <c r="O8" s="174">
        <f>VLOOKUP(A8,'BSE ALL CAP'!$B$4:$Y$1034,14,)</f>
        <v>22</v>
      </c>
      <c r="P8" s="344">
        <f>VLOOKUP(A8,'BSE ALL CAP'!$B$4:$Y$1034,15,)</f>
        <v>0.45049504950495051</v>
      </c>
      <c r="Q8" s="344">
        <f>VLOOKUP(A8,'BSE ALL CAP'!$B$4:$Y$1034,16,)</f>
        <v>0.38421052631578945</v>
      </c>
      <c r="R8" s="344">
        <f>VLOOKUP(A8,'BSE ALL CAP'!$B$4:$Y$1034,17,)</f>
        <v>6.628452318916106E-2</v>
      </c>
      <c r="S8" s="345">
        <f>VLOOKUP(A8,'BSE ALL CAP'!$B$4:$Y$1034,18,)</f>
        <v>4.397163120567376E-2</v>
      </c>
      <c r="T8" s="346">
        <f>VLOOKUP(A8,'BSE ALL CAP'!$B$4:$Y$1034,19,)</f>
        <v>3.4321372854914198E-2</v>
      </c>
      <c r="U8" s="344">
        <f>VLOOKUP(A8,'BSE ALL CAP'!$B$4:$Y$1034,20,)</f>
        <v>9.6502583507595621E-3</v>
      </c>
      <c r="V8" s="344">
        <f>VLOOKUP(A8,'BSE ALL CAP'!$B$4:$Y$1034,21,)</f>
        <v>6.315789473684208E-2</v>
      </c>
      <c r="W8" s="344">
        <f>VLOOKUP(A8,'BSE ALL CAP'!$B$4:$Y$1034,22,)</f>
        <v>0.24657534246575352</v>
      </c>
      <c r="X8" s="344">
        <f>VLOOKUP(A8,'BSE ALL CAP'!$B$4:$Y$1034,23,)</f>
        <v>9.9843993759750393E-2</v>
      </c>
      <c r="Y8" s="344">
        <f>VLOOKUP(A8,'BSE ALL CAP'!$B$4:$Y$1034,24,)</f>
        <v>0.40909090909090917</v>
      </c>
    </row>
    <row r="9" spans="1:25" ht="15.75" customHeight="1">
      <c r="A9" s="99">
        <v>530927</v>
      </c>
      <c r="B9" s="98" t="s">
        <v>4532</v>
      </c>
      <c r="C9" s="174"/>
      <c r="D9" s="174"/>
      <c r="E9" s="11">
        <f ca="1">IFERROR(__xludf.DUMMYFUNCTION("GOOGLEFINANCE(""BOM:""&amp;A9,""PRICE"")"),74.01)</f>
        <v>74.010000000000005</v>
      </c>
      <c r="F9" s="20">
        <f ca="1">IFERROR(__xludf.DUMMYFUNCTION("GOOGLEFINANCE(""BOM:""&amp;A9,""MARKETCAP"")/10000000"),1536.878)</f>
        <v>1536.8779999999999</v>
      </c>
      <c r="G9" s="13">
        <f t="shared" ca="1" si="0"/>
        <v>3.6153908469330493E-3</v>
      </c>
      <c r="H9" s="174"/>
      <c r="I9" s="174"/>
      <c r="J9" s="174"/>
      <c r="K9" s="174"/>
      <c r="L9" s="174"/>
      <c r="M9" s="174"/>
      <c r="N9" s="174"/>
      <c r="O9" s="174"/>
      <c r="P9" s="344"/>
      <c r="Q9" s="344"/>
      <c r="R9" s="344"/>
      <c r="S9" s="345"/>
      <c r="T9" s="346"/>
      <c r="U9" s="344"/>
      <c r="V9" s="344"/>
      <c r="W9" s="344"/>
      <c r="X9" s="344"/>
      <c r="Y9" s="344"/>
    </row>
    <row r="10" spans="1:25" ht="15.75" customHeight="1">
      <c r="A10" s="99">
        <v>532160</v>
      </c>
      <c r="B10" s="98" t="s">
        <v>4533</v>
      </c>
      <c r="C10" s="174"/>
      <c r="D10" s="174"/>
      <c r="E10" s="11">
        <f ca="1">IFERROR(__xludf.DUMMYFUNCTION("GOOGLEFINANCE(""BOM:""&amp;A10,""PRICE"")"),10.37)</f>
        <v>10.37</v>
      </c>
      <c r="F10" s="20">
        <f ca="1">IFERROR(__xludf.DUMMYFUNCTION("GOOGLEFINANCE(""BOM:""&amp;A10,""MARKETCAP"")/10000000"),92.4112169)</f>
        <v>92.411216899999999</v>
      </c>
      <c r="G10" s="13">
        <f t="shared" ca="1" si="0"/>
        <v>2.173904940627719E-4</v>
      </c>
      <c r="H10" s="174"/>
      <c r="I10" s="174"/>
      <c r="J10" s="174"/>
      <c r="K10" s="174"/>
      <c r="L10" s="174"/>
      <c r="M10" s="174"/>
      <c r="N10" s="174"/>
      <c r="O10" s="174"/>
      <c r="P10" s="344"/>
      <c r="Q10" s="344"/>
      <c r="R10" s="344"/>
      <c r="S10" s="345"/>
      <c r="T10" s="346"/>
      <c r="U10" s="344"/>
      <c r="V10" s="344"/>
      <c r="W10" s="344"/>
      <c r="X10" s="344"/>
      <c r="Y10" s="344"/>
    </row>
    <row r="12" spans="1:25">
      <c r="A12" s="101"/>
      <c r="B12" s="101"/>
      <c r="C12" s="101"/>
      <c r="D12" s="101"/>
      <c r="E12" s="101"/>
      <c r="F12" s="148">
        <f ca="1">SUM(F2:F10)</f>
        <v>425093.1821946</v>
      </c>
      <c r="G12" s="347">
        <f ca="1">F12/$F$12</f>
        <v>1</v>
      </c>
      <c r="H12" s="148">
        <f t="shared" ref="H12:O12" si="1">SUM(H2:H10)</f>
        <v>169450</v>
      </c>
      <c r="I12" s="148">
        <f t="shared" si="1"/>
        <v>153003</v>
      </c>
      <c r="J12" s="148">
        <f t="shared" si="1"/>
        <v>47212</v>
      </c>
      <c r="K12" s="148">
        <f t="shared" si="1"/>
        <v>41889</v>
      </c>
      <c r="L12" s="148">
        <f t="shared" si="1"/>
        <v>57735</v>
      </c>
      <c r="M12" s="148">
        <f t="shared" si="1"/>
        <v>53441</v>
      </c>
      <c r="N12" s="148">
        <f t="shared" si="1"/>
        <v>15416</v>
      </c>
      <c r="O12" s="148">
        <f t="shared" si="1"/>
        <v>14640</v>
      </c>
      <c r="P12" s="347">
        <f t="shared" ref="P12:Q12" si="2">J12/H12</f>
        <v>0.27861906167010919</v>
      </c>
      <c r="Q12" s="347">
        <f t="shared" si="2"/>
        <v>0.27377894551087234</v>
      </c>
      <c r="R12" s="348">
        <f>P12-Q12</f>
        <v>4.8401161592368513E-3</v>
      </c>
      <c r="S12" s="347">
        <f t="shared" ref="S12:T12" si="3">N12/L12</f>
        <v>0.26701307698969429</v>
      </c>
      <c r="T12" s="347">
        <f t="shared" si="3"/>
        <v>0.27394696955521042</v>
      </c>
      <c r="U12" s="347">
        <f>S12-T12</f>
        <v>-6.933892565516131E-3</v>
      </c>
      <c r="V12" s="347">
        <f>(H12/I12)-1</f>
        <v>0.10749462428841272</v>
      </c>
      <c r="W12" s="347">
        <f>(J12/K12)-1</f>
        <v>0.12707393349089258</v>
      </c>
      <c r="X12" s="347">
        <f>(L12/M12)-1</f>
        <v>8.0350292846316451E-2</v>
      </c>
      <c r="Y12" s="347">
        <f>(N12/O12)-1</f>
        <v>5.3005464480874398E-2</v>
      </c>
    </row>
    <row r="21" spans="12:12">
      <c r="L21" s="70" t="s">
        <v>1504</v>
      </c>
    </row>
  </sheetData>
  <autoFilter ref="A1:Y10" xr:uid="{00000000-0009-0000-0000-000089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500290</v>
      </c>
      <c r="B2" s="98" t="s">
        <v>1541</v>
      </c>
      <c r="C2" s="334" t="str">
        <f>VLOOKUP(A2,'BSE ALL CAP'!$B$4:$Y$1038,2,)</f>
        <v>Consumer Discretionary</v>
      </c>
      <c r="D2" s="334" t="str">
        <f>VLOOKUP(A2,'BSE ALL CAP'!$B$4:$Y$1038,3,)</f>
        <v>Tyres &amp; Rubber Products</v>
      </c>
      <c r="E2" s="101">
        <f ca="1">IFERROR(__xludf.DUMMYFUNCTION("GOOGLEFINANCE(""BOM:""&amp;A2,""PRICE"")"),126670)</f>
        <v>126670</v>
      </c>
      <c r="F2" s="112">
        <f ca="1">IFERROR(__xludf.DUMMYFUNCTION("GOOGLEFINANCE(""BOM:""&amp;A2,""MARKETCAP"")/10000000"),53658.941236)</f>
        <v>53658.941235999999</v>
      </c>
      <c r="G2" s="95">
        <f t="shared" ref="G2:G18" ca="1" si="0">F2/$F$20</f>
        <v>0.35451773389531083</v>
      </c>
      <c r="H2" s="101">
        <f>VLOOKUP(A2,'BSE ALL CAP'!$B$4:$Y$1038,7,)</f>
        <v>23105</v>
      </c>
      <c r="I2" s="101">
        <f>VLOOKUP(A2,'BSE ALL CAP'!$B$4:$Y$1038,8,)</f>
        <v>21078</v>
      </c>
      <c r="J2" s="101">
        <f>VLOOKUP(A2,'BSE ALL CAP'!$B$4:$Y$1038,9,)</f>
        <v>1718</v>
      </c>
      <c r="K2" s="101">
        <f>VLOOKUP(A2,'BSE ALL CAP'!$B$4:$Y$1038,10,)</f>
        <v>1357</v>
      </c>
      <c r="L2" s="101">
        <f>VLOOKUP(A2,'BSE ALL CAP'!$B$4:$Y$1038,11,)</f>
        <v>8050</v>
      </c>
      <c r="M2" s="101">
        <f>VLOOKUP(A2,'BSE ALL CAP'!$B$4:$Y$1038,12,)</f>
        <v>7001</v>
      </c>
      <c r="N2" s="101">
        <f>VLOOKUP(A2,'BSE ALL CAP'!$B$4:$Y$1038,13,)</f>
        <v>692</v>
      </c>
      <c r="O2" s="101">
        <f>VLOOKUP(A2,'BSE ALL CAP'!$B$4:$Y$1038,14,)</f>
        <v>315</v>
      </c>
      <c r="P2" s="95">
        <f>VLOOKUP(A2,'BSE ALL CAP'!$B$4:$Y$1038,15,)</f>
        <v>7.4356199956719327E-2</v>
      </c>
      <c r="Q2" s="95">
        <f>VLOOKUP(A2,'BSE ALL CAP'!$B$4:$Y$1038,16,)</f>
        <v>6.4379922193756517E-2</v>
      </c>
      <c r="R2" s="95">
        <f>VLOOKUP(A2,'BSE ALL CAP'!$B$4:$Y$1038,17,)</f>
        <v>9.9762777629628097E-3</v>
      </c>
      <c r="S2" s="95">
        <f>VLOOKUP(A2,'BSE ALL CAP'!$B$4:$Y$1038,18,)</f>
        <v>8.5962732919254659E-2</v>
      </c>
      <c r="T2" s="95">
        <f>VLOOKUP(A2,'BSE ALL CAP'!$B$4:$Y$1038,19,)</f>
        <v>4.4993572346807599E-2</v>
      </c>
      <c r="U2" s="95">
        <f>VLOOKUP(A2,'BSE ALL CAP'!$B$4:$Y$1038,20,)</f>
        <v>4.0969160572447059E-2</v>
      </c>
      <c r="V2" s="95">
        <f>VLOOKUP(A2,'BSE ALL CAP'!$B$4:$Y$1038,21,)</f>
        <v>9.6166619223835292E-2</v>
      </c>
      <c r="W2" s="95">
        <f>VLOOKUP(A2,'BSE ALL CAP'!$B$4:$Y$1038,22,)</f>
        <v>0.2660280029476787</v>
      </c>
      <c r="X2" s="95">
        <f>VLOOKUP(A2,'BSE ALL CAP'!$B$4:$Y$1038,23,)</f>
        <v>0.14983573775174985</v>
      </c>
      <c r="Y2" s="95">
        <f>VLOOKUP(A2,'BSE ALL CAP'!$B$4:$Y$1038,24,)</f>
        <v>1.196825396825397</v>
      </c>
    </row>
    <row r="3" spans="1:25" ht="15.75" customHeight="1">
      <c r="A3" s="99">
        <v>502355</v>
      </c>
      <c r="B3" s="98" t="s">
        <v>1402</v>
      </c>
      <c r="C3" s="334" t="str">
        <f>VLOOKUP(A3,'BSE ALL CAP'!$B$4:$Y$1038,2,)</f>
        <v>Consumer Discretionary</v>
      </c>
      <c r="D3" s="334" t="str">
        <f>VLOOKUP(A3,'BSE ALL CAP'!$B$4:$Y$1038,3,)</f>
        <v>Tyres &amp; Rubber Products</v>
      </c>
      <c r="E3" s="101">
        <f ca="1">IFERROR(__xludf.DUMMYFUNCTION("GOOGLEFINANCE(""BOM:""&amp;A3,""PRICE"")"),2130.05)</f>
        <v>2130.0500000000002</v>
      </c>
      <c r="F3" s="112">
        <f ca="1">IFERROR(__xludf.DUMMYFUNCTION("GOOGLEFINANCE(""BOM:""&amp;A3,""MARKETCAP"")/10000000"),41298.3330169)</f>
        <v>41298.333016899996</v>
      </c>
      <c r="G3" s="95">
        <f t="shared" ca="1" si="0"/>
        <v>0.27285278273404662</v>
      </c>
      <c r="H3" s="101">
        <f>VLOOKUP(A3,'BSE ALL CAP'!$B$4:$Y$1038,7,)</f>
        <v>7890</v>
      </c>
      <c r="I3" s="101">
        <f>VLOOKUP(A3,'BSE ALL CAP'!$B$4:$Y$1038,8,)</f>
        <v>7694</v>
      </c>
      <c r="J3" s="101">
        <f>VLOOKUP(A3,'BSE ALL CAP'!$B$4:$Y$1038,9,)</f>
        <v>944</v>
      </c>
      <c r="K3" s="101">
        <f>VLOOKUP(A3,'BSE ALL CAP'!$B$4:$Y$1038,10,)</f>
        <v>1286</v>
      </c>
      <c r="L3" s="101">
        <f>VLOOKUP(A3,'BSE ALL CAP'!$B$4:$Y$1038,11,)</f>
        <v>2737</v>
      </c>
      <c r="M3" s="101">
        <f>VLOOKUP(A3,'BSE ALL CAP'!$B$4:$Y$1038,12,)</f>
        <v>2560</v>
      </c>
      <c r="N3" s="101">
        <f>VLOOKUP(A3,'BSE ALL CAP'!$B$4:$Y$1038,13,)</f>
        <v>382</v>
      </c>
      <c r="O3" s="101">
        <f>VLOOKUP(A3,'BSE ALL CAP'!$B$4:$Y$1038,14,)</f>
        <v>449</v>
      </c>
      <c r="P3" s="95">
        <f>VLOOKUP(A3,'BSE ALL CAP'!$B$4:$Y$1038,15,)</f>
        <v>0.11964512040557668</v>
      </c>
      <c r="Q3" s="95">
        <f>VLOOKUP(A3,'BSE ALL CAP'!$B$4:$Y$1038,16,)</f>
        <v>0.16714322848973226</v>
      </c>
      <c r="R3" s="95">
        <f>VLOOKUP(A3,'BSE ALL CAP'!$B$4:$Y$1038,17,)</f>
        <v>-4.7498108084155582E-2</v>
      </c>
      <c r="S3" s="95">
        <f>VLOOKUP(A3,'BSE ALL CAP'!$B$4:$Y$1038,18,)</f>
        <v>0.13956887102667154</v>
      </c>
      <c r="T3" s="95">
        <f>VLOOKUP(A3,'BSE ALL CAP'!$B$4:$Y$1038,19,)</f>
        <v>0.17539062499999999</v>
      </c>
      <c r="U3" s="95">
        <f>VLOOKUP(A3,'BSE ALL CAP'!$B$4:$Y$1038,20,)</f>
        <v>-3.5821753973328457E-2</v>
      </c>
      <c r="V3" s="95">
        <f>VLOOKUP(A3,'BSE ALL CAP'!$B$4:$Y$1038,21,)</f>
        <v>2.5474395632960833E-2</v>
      </c>
      <c r="W3" s="95">
        <f>VLOOKUP(A3,'BSE ALL CAP'!$B$4:$Y$1038,22,)</f>
        <v>-0.2659409020217729</v>
      </c>
      <c r="X3" s="95">
        <f>VLOOKUP(A3,'BSE ALL CAP'!$B$4:$Y$1038,23,)</f>
        <v>6.9140624999999956E-2</v>
      </c>
      <c r="Y3" s="95">
        <f>VLOOKUP(A3,'BSE ALL CAP'!$B$4:$Y$1038,24,)</f>
        <v>-0.1492204899777283</v>
      </c>
    </row>
    <row r="4" spans="1:25" ht="15.75" customHeight="1">
      <c r="A4" s="99">
        <v>500877</v>
      </c>
      <c r="B4" s="98" t="s">
        <v>1542</v>
      </c>
      <c r="C4" s="334" t="str">
        <f>VLOOKUP(A4,'BSE ALL CAP'!$B$4:$Y$1038,2,)</f>
        <v>Consumer Discretionary</v>
      </c>
      <c r="D4" s="334" t="str">
        <f>VLOOKUP(A4,'BSE ALL CAP'!$B$4:$Y$1038,3,)</f>
        <v>Tyres &amp; Rubber Products</v>
      </c>
      <c r="E4" s="101">
        <f ca="1">IFERROR(__xludf.DUMMYFUNCTION("GOOGLEFINANCE(""BOM:""&amp;A4,""PRICE"")"),409.45)</f>
        <v>409.45</v>
      </c>
      <c r="F4" s="112">
        <f ca="1">IFERROR(__xludf.DUMMYFUNCTION("GOOGLEFINANCE(""BOM:""&amp;A4,""MARKETCAP"")/10000000"),25979.92674)</f>
        <v>25979.926739999999</v>
      </c>
      <c r="G4" s="95">
        <f t="shared" ca="1" si="0"/>
        <v>0.17164603964365463</v>
      </c>
      <c r="H4" s="101">
        <f>VLOOKUP(A4,'BSE ALL CAP'!$B$4:$Y$1038,7,)</f>
        <v>21134</v>
      </c>
      <c r="I4" s="101">
        <f>VLOOKUP(A4,'BSE ALL CAP'!$B$4:$Y$1038,8,)</f>
        <v>19699</v>
      </c>
      <c r="J4" s="101">
        <f>VLOOKUP(A4,'BSE ALL CAP'!$B$4:$Y$1038,9,)</f>
        <v>741</v>
      </c>
      <c r="K4" s="101">
        <f>VLOOKUP(A4,'BSE ALL CAP'!$B$4:$Y$1038,10,)</f>
        <v>936</v>
      </c>
      <c r="L4" s="101">
        <f>VLOOKUP(A4,'BSE ALL CAP'!$B$4:$Y$1038,11,)</f>
        <v>7743</v>
      </c>
      <c r="M4" s="101">
        <f>VLOOKUP(A4,'BSE ALL CAP'!$B$4:$Y$1038,12,)</f>
        <v>6927</v>
      </c>
      <c r="N4" s="101">
        <f>VLOOKUP(A4,'BSE ALL CAP'!$B$4:$Y$1038,13,)</f>
        <v>470</v>
      </c>
      <c r="O4" s="101">
        <f>VLOOKUP(A4,'BSE ALL CAP'!$B$4:$Y$1038,14,)</f>
        <v>337</v>
      </c>
      <c r="P4" s="95">
        <f>VLOOKUP(A4,'BSE ALL CAP'!$B$4:$Y$1038,15,)</f>
        <v>3.5061985426327248E-2</v>
      </c>
      <c r="Q4" s="95">
        <f>VLOOKUP(A4,'BSE ALL CAP'!$B$4:$Y$1038,16,)</f>
        <v>4.7515102289456317E-2</v>
      </c>
      <c r="R4" s="95">
        <f>VLOOKUP(A4,'BSE ALL CAP'!$B$4:$Y$1038,17,)</f>
        <v>-1.2453116863129068E-2</v>
      </c>
      <c r="S4" s="95">
        <f>VLOOKUP(A4,'BSE ALL CAP'!$B$4:$Y$1038,18,)</f>
        <v>6.0699987085109132E-2</v>
      </c>
      <c r="T4" s="95">
        <f>VLOOKUP(A4,'BSE ALL CAP'!$B$4:$Y$1038,19,)</f>
        <v>4.8650209325826477E-2</v>
      </c>
      <c r="U4" s="95">
        <f>VLOOKUP(A4,'BSE ALL CAP'!$B$4:$Y$1038,20,)</f>
        <v>1.2049777759282655E-2</v>
      </c>
      <c r="V4" s="95">
        <f>VLOOKUP(A4,'BSE ALL CAP'!$B$4:$Y$1038,21,)</f>
        <v>7.2846337377531878E-2</v>
      </c>
      <c r="W4" s="95">
        <f>VLOOKUP(A4,'BSE ALL CAP'!$B$4:$Y$1038,22,)</f>
        <v>-0.20833333333333337</v>
      </c>
      <c r="X4" s="95">
        <f>VLOOKUP(A4,'BSE ALL CAP'!$B$4:$Y$1038,23,)</f>
        <v>0.11779991338241658</v>
      </c>
      <c r="Y4" s="95">
        <f>VLOOKUP(A4,'BSE ALL CAP'!$B$4:$Y$1038,24,)</f>
        <v>0.39465875370919878</v>
      </c>
    </row>
    <row r="5" spans="1:25" ht="15.75" customHeight="1">
      <c r="A5" s="99">
        <v>500878</v>
      </c>
      <c r="B5" s="98" t="s">
        <v>1543</v>
      </c>
      <c r="C5" s="334" t="str">
        <f>VLOOKUP(A5,'BSE ALL CAP'!$B$4:$Y$1038,2,)</f>
        <v>Consumer Discretionary</v>
      </c>
      <c r="D5" s="334" t="str">
        <f>VLOOKUP(A5,'BSE ALL CAP'!$B$4:$Y$1038,3,)</f>
        <v>Tyres &amp; Rubber Products</v>
      </c>
      <c r="E5" s="101">
        <f ca="1">IFERROR(__xludf.DUMMYFUNCTION("GOOGLEFINANCE(""BOM:""&amp;A5,""PRICE"")"),3332.4)</f>
        <v>3332.4</v>
      </c>
      <c r="F5" s="112">
        <f ca="1">IFERROR(__xludf.DUMMYFUNCTION("GOOGLEFINANCE(""BOM:""&amp;A5,""MARKETCAP"")/10000000"),13437.349841)</f>
        <v>13437.349840999999</v>
      </c>
      <c r="G5" s="95">
        <f t="shared" ca="1" si="0"/>
        <v>8.8778844782606267E-2</v>
      </c>
      <c r="H5" s="101">
        <f>VLOOKUP(A5,'BSE ALL CAP'!$B$4:$Y$1038,7,)</f>
        <v>11459</v>
      </c>
      <c r="I5" s="101">
        <f>VLOOKUP(A5,'BSE ALL CAP'!$B$4:$Y$1038,8,)</f>
        <v>9797</v>
      </c>
      <c r="J5" s="101">
        <f>VLOOKUP(A5,'BSE ALL CAP'!$B$4:$Y$1038,9,)</f>
        <v>453</v>
      </c>
      <c r="K5" s="101">
        <f>VLOOKUP(A5,'BSE ALL CAP'!$B$4:$Y$1038,10,)</f>
        <v>372</v>
      </c>
      <c r="L5" s="101">
        <f>VLOOKUP(A5,'BSE ALL CAP'!$B$4:$Y$1038,11,)</f>
        <v>4157</v>
      </c>
      <c r="M5" s="101">
        <f>VLOOKUP(A5,'BSE ALL CAP'!$B$4:$Y$1038,12,)</f>
        <v>3299</v>
      </c>
      <c r="N5" s="101">
        <f>VLOOKUP(A5,'BSE ALL CAP'!$B$4:$Y$1038,13,)</f>
        <v>155</v>
      </c>
      <c r="O5" s="101">
        <f>VLOOKUP(A5,'BSE ALL CAP'!$B$4:$Y$1038,14,)</f>
        <v>97</v>
      </c>
      <c r="P5" s="95">
        <f>VLOOKUP(A5,'BSE ALL CAP'!$B$4:$Y$1038,15,)</f>
        <v>3.9532245396631471E-2</v>
      </c>
      <c r="Q5" s="95">
        <f>VLOOKUP(A5,'BSE ALL CAP'!$B$4:$Y$1038,16,)</f>
        <v>3.7970807390017354E-2</v>
      </c>
      <c r="R5" s="95">
        <f>VLOOKUP(A5,'BSE ALL CAP'!$B$4:$Y$1038,17,)</f>
        <v>1.5614380066141173E-3</v>
      </c>
      <c r="S5" s="95">
        <f>VLOOKUP(A5,'BSE ALL CAP'!$B$4:$Y$1038,18,)</f>
        <v>3.7286504690882849E-2</v>
      </c>
      <c r="T5" s="95">
        <f>VLOOKUP(A5,'BSE ALL CAP'!$B$4:$Y$1038,19,)</f>
        <v>2.9402849348287359E-2</v>
      </c>
      <c r="U5" s="95">
        <f>VLOOKUP(A5,'BSE ALL CAP'!$B$4:$Y$1038,20,)</f>
        <v>7.88365534259549E-3</v>
      </c>
      <c r="V5" s="95">
        <f>VLOOKUP(A5,'BSE ALL CAP'!$B$4:$Y$1038,21,)</f>
        <v>0.1696437685005614</v>
      </c>
      <c r="W5" s="95">
        <f>VLOOKUP(A5,'BSE ALL CAP'!$B$4:$Y$1038,22,)</f>
        <v>0.217741935483871</v>
      </c>
      <c r="X5" s="95">
        <f>VLOOKUP(A5,'BSE ALL CAP'!$B$4:$Y$1038,23,)</f>
        <v>0.26007881176113967</v>
      </c>
      <c r="Y5" s="95">
        <f>VLOOKUP(A5,'BSE ALL CAP'!$B$4:$Y$1038,24,)</f>
        <v>0.597938144329897</v>
      </c>
    </row>
    <row r="6" spans="1:25" ht="15.75" customHeight="1">
      <c r="A6" s="99">
        <v>530007</v>
      </c>
      <c r="B6" s="98" t="s">
        <v>1544</v>
      </c>
      <c r="C6" s="334" t="str">
        <f>VLOOKUP(A6,'BSE ALL CAP'!$B$4:$Y$1038,2,)</f>
        <v>Consumer Discretionary</v>
      </c>
      <c r="D6" s="334" t="str">
        <f>VLOOKUP(A6,'BSE ALL CAP'!$B$4:$Y$1038,3,)</f>
        <v>Tyres &amp; Rubber Products</v>
      </c>
      <c r="E6" s="101">
        <f ca="1">IFERROR(__xludf.DUMMYFUNCTION("GOOGLEFINANCE(""BOM:""&amp;A6,""PRICE"")"),392.85)</f>
        <v>392.85</v>
      </c>
      <c r="F6" s="112">
        <f ca="1">IFERROR(__xludf.DUMMYFUNCTION("GOOGLEFINANCE(""BOM:""&amp;A6,""MARKETCAP"")/10000000"),11329.77342)</f>
        <v>11329.77342</v>
      </c>
      <c r="G6" s="95">
        <f t="shared" ca="1" si="0"/>
        <v>7.4854358022833453E-2</v>
      </c>
      <c r="H6" s="101">
        <f>VLOOKUP(A6,'BSE ALL CAP'!$B$4:$Y$1038,7,)</f>
        <v>12103</v>
      </c>
      <c r="I6" s="101">
        <f>VLOOKUP(A6,'BSE ALL CAP'!$B$4:$Y$1038,8,)</f>
        <v>12934</v>
      </c>
      <c r="J6" s="101">
        <f>VLOOKUP(A6,'BSE ALL CAP'!$B$4:$Y$1038,9,)</f>
        <v>598</v>
      </c>
      <c r="K6" s="101">
        <f>VLOOKUP(A6,'BSE ALL CAP'!$B$4:$Y$1038,10,)</f>
        <v>411</v>
      </c>
      <c r="L6" s="101">
        <f>VLOOKUP(A6,'BSE ALL CAP'!$B$4:$Y$1038,11,)</f>
        <v>4223</v>
      </c>
      <c r="M6" s="101">
        <f>VLOOKUP(A6,'BSE ALL CAP'!$B$4:$Y$1038,12,)</f>
        <v>3674</v>
      </c>
      <c r="N6" s="101">
        <f>VLOOKUP(A6,'BSE ALL CAP'!$B$4:$Y$1038,13,)</f>
        <v>208</v>
      </c>
      <c r="O6" s="101">
        <f>VLOOKUP(A6,'BSE ALL CAP'!$B$4:$Y$1038,14,)</f>
        <v>53</v>
      </c>
      <c r="P6" s="95">
        <f>VLOOKUP(A6,'BSE ALL CAP'!$B$4:$Y$1038,15,)</f>
        <v>4.9409237379162189E-2</v>
      </c>
      <c r="Q6" s="95">
        <f>VLOOKUP(A6,'BSE ALL CAP'!$B$4:$Y$1038,16,)</f>
        <v>3.1776712540590689E-2</v>
      </c>
      <c r="R6" s="95">
        <f>VLOOKUP(A6,'BSE ALL CAP'!$B$4:$Y$1038,17,)</f>
        <v>1.7632524838571501E-2</v>
      </c>
      <c r="S6" s="95">
        <f>VLOOKUP(A6,'BSE ALL CAP'!$B$4:$Y$1038,18,)</f>
        <v>4.9254084773857447E-2</v>
      </c>
      <c r="T6" s="95">
        <f>VLOOKUP(A6,'BSE ALL CAP'!$B$4:$Y$1038,19,)</f>
        <v>1.442569406641263E-2</v>
      </c>
      <c r="U6" s="95">
        <f>VLOOKUP(A6,'BSE ALL CAP'!$B$4:$Y$1038,20,)</f>
        <v>3.4828390707444819E-2</v>
      </c>
      <c r="V6" s="95">
        <f>VLOOKUP(A6,'BSE ALL CAP'!$B$4:$Y$1038,21,)</f>
        <v>-6.424926550177823E-2</v>
      </c>
      <c r="W6" s="95">
        <f>VLOOKUP(A6,'BSE ALL CAP'!$B$4:$Y$1038,22,)</f>
        <v>0.45498783454987834</v>
      </c>
      <c r="X6" s="95">
        <f>VLOOKUP(A6,'BSE ALL CAP'!$B$4:$Y$1038,23,)</f>
        <v>0.14942841589548173</v>
      </c>
      <c r="Y6" s="95">
        <f>VLOOKUP(A6,'BSE ALL CAP'!$B$4:$Y$1038,24,)</f>
        <v>2.9245283018867925</v>
      </c>
    </row>
    <row r="7" spans="1:25" ht="15.75" customHeight="1">
      <c r="A7" s="99">
        <v>509243</v>
      </c>
      <c r="B7" s="98" t="s">
        <v>1545</v>
      </c>
      <c r="C7" s="334" t="str">
        <f>VLOOKUP(A7,'BSE ALL CAP'!$B$4:$Y$1038,2,)</f>
        <v>Consumer Discretionary</v>
      </c>
      <c r="D7" s="334" t="str">
        <f>VLOOKUP(A7,'BSE ALL CAP'!$B$4:$Y$1038,3,)</f>
        <v>Tyres &amp; Rubber Products</v>
      </c>
      <c r="E7" s="101">
        <f ca="1">IFERROR(__xludf.DUMMYFUNCTION("GOOGLEFINANCE(""BOM:""&amp;A7,""PRICE"")"),3460.3)</f>
        <v>3460.3</v>
      </c>
      <c r="F7" s="112">
        <f ca="1">IFERROR(__xludf.DUMMYFUNCTION("GOOGLEFINANCE(""BOM:""&amp;A7,""MARKETCAP"")/10000000"),2673.0758059)</f>
        <v>2673.0758059</v>
      </c>
      <c r="G7" s="95">
        <f t="shared" ca="1" si="0"/>
        <v>1.7660668574695351E-2</v>
      </c>
      <c r="H7" s="101">
        <f>VLOOKUP(A7,'BSE ALL CAP'!$B$4:$Y$1038,7,)</f>
        <v>2665</v>
      </c>
      <c r="I7" s="101">
        <f>VLOOKUP(A7,'BSE ALL CAP'!$B$4:$Y$1038,8,)</f>
        <v>2435</v>
      </c>
      <c r="J7" s="101">
        <f>VLOOKUP(A7,'BSE ALL CAP'!$B$4:$Y$1038,9,)</f>
        <v>35</v>
      </c>
      <c r="K7" s="101">
        <f>VLOOKUP(A7,'BSE ALL CAP'!$B$4:$Y$1038,10,)</f>
        <v>11</v>
      </c>
      <c r="L7" s="101">
        <f>VLOOKUP(A7,'BSE ALL CAP'!$B$4:$Y$1038,11,)</f>
        <v>916</v>
      </c>
      <c r="M7" s="101">
        <f>VLOOKUP(A7,'BSE ALL CAP'!$B$4:$Y$1038,12,)</f>
        <v>803</v>
      </c>
      <c r="N7" s="101">
        <f>VLOOKUP(A7,'BSE ALL CAP'!$B$4:$Y$1038,13,)</f>
        <v>11</v>
      </c>
      <c r="O7" s="101">
        <f>VLOOKUP(A7,'BSE ALL CAP'!$B$4:$Y$1038,14,)</f>
        <v>-6</v>
      </c>
      <c r="P7" s="95">
        <f>VLOOKUP(A7,'BSE ALL CAP'!$B$4:$Y$1038,15,)</f>
        <v>1.3133208255159476E-2</v>
      </c>
      <c r="Q7" s="95">
        <f>VLOOKUP(A7,'BSE ALL CAP'!$B$4:$Y$1038,16,)</f>
        <v>4.517453798767967E-3</v>
      </c>
      <c r="R7" s="95">
        <f>VLOOKUP(A7,'BSE ALL CAP'!$B$4:$Y$1038,17,)</f>
        <v>8.6157544563915077E-3</v>
      </c>
      <c r="S7" s="95">
        <f>VLOOKUP(A7,'BSE ALL CAP'!$B$4:$Y$1038,18,)</f>
        <v>1.2008733624454149E-2</v>
      </c>
      <c r="T7" s="95">
        <f>VLOOKUP(A7,'BSE ALL CAP'!$B$4:$Y$1038,19,)</f>
        <v>-7.4719800747198011E-3</v>
      </c>
      <c r="U7" s="95">
        <f>VLOOKUP(A7,'BSE ALL CAP'!$B$4:$Y$1038,20,)</f>
        <v>1.9480713699173952E-2</v>
      </c>
      <c r="V7" s="95">
        <f>VLOOKUP(A7,'BSE ALL CAP'!$B$4:$Y$1038,21,)</f>
        <v>9.4455852156057452E-2</v>
      </c>
      <c r="W7" s="95">
        <f>VLOOKUP(A7,'BSE ALL CAP'!$B$4:$Y$1038,22,)</f>
        <v>2.1818181818181817</v>
      </c>
      <c r="X7" s="95">
        <f>VLOOKUP(A7,'BSE ALL CAP'!$B$4:$Y$1038,23,)</f>
        <v>0.14072229140722281</v>
      </c>
      <c r="Y7" s="95">
        <f>VLOOKUP(A7,'BSE ALL CAP'!$B$4:$Y$1038,24,)</f>
        <v>-2.833333333333333</v>
      </c>
    </row>
    <row r="8" spans="1:25" ht="15.75" customHeight="1">
      <c r="A8" s="99">
        <v>500168</v>
      </c>
      <c r="B8" s="98" t="s">
        <v>1546</v>
      </c>
      <c r="C8" s="334"/>
      <c r="D8" s="334"/>
      <c r="E8" s="101">
        <f ca="1">IFERROR(__xludf.DUMMYFUNCTION("GOOGLEFINANCE(""BOM:""&amp;A8,""PRICE"")"),706.3)</f>
        <v>706.3</v>
      </c>
      <c r="F8" s="112">
        <f ca="1">IFERROR(__xludf.DUMMYFUNCTION("GOOGLEFINANCE(""BOM:""&amp;A8,""MARKETCAP"")/10000000"),1629.1868668)</f>
        <v>1629.1868668</v>
      </c>
      <c r="G8" s="95">
        <f t="shared" ca="1" si="0"/>
        <v>1.0763828409689898E-2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544254</v>
      </c>
      <c r="B9" s="98" t="s">
        <v>1547</v>
      </c>
      <c r="C9" s="334"/>
      <c r="D9" s="334"/>
      <c r="E9" s="101">
        <f ca="1">IFERROR(__xludf.DUMMYFUNCTION("GOOGLEFINANCE(""BOM:""&amp;A9,""PRICE"")"),96.16)</f>
        <v>96.16</v>
      </c>
      <c r="F9" s="112">
        <f ca="1">IFERROR(__xludf.DUMMYFUNCTION("GOOGLEFINANCE(""BOM:""&amp;A9,""MARKETCAP"")/10000000"),378.8896857)</f>
        <v>378.88968569999997</v>
      </c>
      <c r="G9" s="95">
        <f t="shared" ca="1" si="0"/>
        <v>2.5032754966203587E-3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500890</v>
      </c>
      <c r="B10" s="98" t="s">
        <v>1548</v>
      </c>
      <c r="C10" s="334"/>
      <c r="D10" s="334"/>
      <c r="E10" s="101">
        <f ca="1">IFERROR(__xludf.DUMMYFUNCTION("GOOGLEFINANCE(""BOM:""&amp;A10,""PRICE"")"),112.5)</f>
        <v>112.5</v>
      </c>
      <c r="F10" s="112">
        <f ca="1">IFERROR(__xludf.DUMMYFUNCTION("GOOGLEFINANCE(""BOM:""&amp;A10,""MARKETCAP"")/10000000"),283.1987388)</f>
        <v>283.1987388</v>
      </c>
      <c r="G10" s="95">
        <f t="shared" ca="1" si="0"/>
        <v>1.8710576990294389E-3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509162</v>
      </c>
      <c r="B11" s="98" t="s">
        <v>1549</v>
      </c>
      <c r="C11" s="334"/>
      <c r="D11" s="334"/>
      <c r="E11" s="101">
        <f ca="1">IFERROR(__xludf.DUMMYFUNCTION("GOOGLEFINANCE(""BOM:""&amp;A11,""PRICE"")"),90.25)</f>
        <v>90.25</v>
      </c>
      <c r="F11" s="112">
        <f ca="1">IFERROR(__xludf.DUMMYFUNCTION("GOOGLEFINANCE(""BOM:""&amp;A11,""MARKETCAP"")/10000000"),236.90625)</f>
        <v>236.90625</v>
      </c>
      <c r="G11" s="95">
        <f t="shared" ca="1" si="0"/>
        <v>1.5652091703831168E-3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542013</v>
      </c>
      <c r="B12" s="98" t="s">
        <v>1550</v>
      </c>
      <c r="C12" s="101"/>
      <c r="D12" s="101"/>
      <c r="E12" s="101">
        <f ca="1">IFERROR(__xludf.DUMMYFUNCTION("GOOGLEFINANCE(""BOM:""&amp;A12,""PRICE"")"),175)</f>
        <v>175</v>
      </c>
      <c r="F12" s="112">
        <f ca="1">IFERROR(__xludf.DUMMYFUNCTION("GOOGLEFINANCE(""BOM:""&amp;A12,""MARKETCAP"")/10000000"),175.523075)</f>
        <v>175.52307500000001</v>
      </c>
      <c r="G12" s="95">
        <f t="shared" ca="1" si="0"/>
        <v>1.1596584159507975E-3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523888</v>
      </c>
      <c r="B13" s="98" t="s">
        <v>1551</v>
      </c>
      <c r="C13" s="101"/>
      <c r="D13" s="101"/>
      <c r="E13" s="101">
        <f ca="1">IFERROR(__xludf.DUMMYFUNCTION("GOOGLEFINANCE(""BOM:""&amp;A13,""PRICE"")"),127.2)</f>
        <v>127.2</v>
      </c>
      <c r="F13" s="112">
        <f ca="1">IFERROR(__xludf.DUMMYFUNCTION("GOOGLEFINANCE(""BOM:""&amp;A13,""MARKETCAP"")/10000000"),189.6585026)</f>
        <v>189.65850259999999</v>
      </c>
      <c r="G13" s="95">
        <f t="shared" ca="1" si="0"/>
        <v>1.2530493708403649E-3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509196</v>
      </c>
      <c r="B14" s="98" t="s">
        <v>1552</v>
      </c>
      <c r="C14" s="101"/>
      <c r="D14" s="101"/>
      <c r="E14" s="101">
        <f ca="1">IFERROR(__xludf.DUMMYFUNCTION("GOOGLEFINANCE(""BOM:""&amp;A14,""PRICE"")"),62.87)</f>
        <v>62.87</v>
      </c>
      <c r="F14" s="112">
        <f ca="1">IFERROR(__xludf.DUMMYFUNCTION("GOOGLEFINANCE(""BOM:""&amp;A14,""MARKETCAP"")/10000000"),39.1747992)</f>
        <v>39.174799200000002</v>
      </c>
      <c r="G14" s="95">
        <f t="shared" ca="1" si="0"/>
        <v>2.5882286750880228E-4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508571</v>
      </c>
      <c r="B15" s="98" t="s">
        <v>1553</v>
      </c>
      <c r="C15" s="101"/>
      <c r="D15" s="101"/>
      <c r="E15" s="101">
        <f ca="1">IFERROR(__xludf.DUMMYFUNCTION("GOOGLEFINANCE(""BOM:""&amp;A15,""PRICE"")"),130)</f>
        <v>130</v>
      </c>
      <c r="F15" s="112"/>
      <c r="G15" s="95">
        <f t="shared" ca="1" si="0"/>
        <v>0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530369</v>
      </c>
      <c r="B16" s="98" t="s">
        <v>1554</v>
      </c>
      <c r="C16" s="101"/>
      <c r="D16" s="101"/>
      <c r="E16" s="101">
        <f ca="1">IFERROR(__xludf.DUMMYFUNCTION("GOOGLEFINANCE(""BOM:""&amp;A16,""PRICE"")"),42)</f>
        <v>42</v>
      </c>
      <c r="F16" s="112">
        <f ca="1">IFERROR(__xludf.DUMMYFUNCTION("GOOGLEFINANCE(""BOM:""&amp;A16,""MARKETCAP"")/10000000"),17.66856)</f>
        <v>17.668559999999999</v>
      </c>
      <c r="G16" s="95">
        <f t="shared" ca="1" si="0"/>
        <v>1.1673390693349931E-4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531346</v>
      </c>
      <c r="B17" s="98" t="s">
        <v>1555</v>
      </c>
      <c r="C17" s="101"/>
      <c r="D17" s="101"/>
      <c r="E17" s="101">
        <f ca="1">IFERROR(__xludf.DUMMYFUNCTION("GOOGLEFINANCE(""BOM:""&amp;A17,""PRICE"")"),27.45)</f>
        <v>27.45</v>
      </c>
      <c r="F17" s="112">
        <f ca="1">IFERROR(__xludf.DUMMYFUNCTION("GOOGLEFINANCE(""BOM:""&amp;A17,""MARKETCAP"")/10000000"),14.3643108)</f>
        <v>14.3643108</v>
      </c>
      <c r="G17" s="95">
        <f t="shared" ca="1" si="0"/>
        <v>9.4903156798916213E-5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539040</v>
      </c>
      <c r="B18" s="98" t="s">
        <v>1556</v>
      </c>
      <c r="C18" s="101"/>
      <c r="D18" s="101"/>
      <c r="E18" s="101">
        <f ca="1">IFERROR(__xludf.DUMMYFUNCTION("GOOGLEFINANCE(""BOM:""&amp;A18,""PRICE"")"),6.38)</f>
        <v>6.38</v>
      </c>
      <c r="F18" s="112">
        <f ca="1">IFERROR(__xludf.DUMMYFUNCTION("GOOGLEFINANCE(""BOM:""&amp;A18,""MARKETCAP"")/10000000"),15.5949532)</f>
        <v>15.594953200000001</v>
      </c>
      <c r="G18" s="95">
        <f t="shared" ca="1" si="0"/>
        <v>1.0303385309731396E-4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>
      <c r="A19" s="101"/>
      <c r="B19" s="101"/>
      <c r="C19" s="101"/>
      <c r="D19" s="101"/>
      <c r="E19" s="101"/>
      <c r="F19" s="112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>
      <c r="A20" s="101"/>
      <c r="B20" s="101"/>
      <c r="C20" s="101"/>
      <c r="D20" s="101"/>
      <c r="E20" s="101"/>
      <c r="F20" s="112">
        <f ca="1">SUM(F1:F18)</f>
        <v>151357.56580190005</v>
      </c>
      <c r="G20" s="95">
        <f ca="1">F20/$F$20</f>
        <v>1</v>
      </c>
      <c r="H20" s="101">
        <f t="shared" ref="H20:O20" si="1">SUM(H2:H18)</f>
        <v>78356</v>
      </c>
      <c r="I20" s="101">
        <f t="shared" si="1"/>
        <v>73637</v>
      </c>
      <c r="J20" s="101">
        <f t="shared" si="1"/>
        <v>4489</v>
      </c>
      <c r="K20" s="101">
        <f t="shared" si="1"/>
        <v>4373</v>
      </c>
      <c r="L20" s="101">
        <f t="shared" si="1"/>
        <v>27826</v>
      </c>
      <c r="M20" s="101">
        <f t="shared" si="1"/>
        <v>24264</v>
      </c>
      <c r="N20" s="101">
        <f t="shared" si="1"/>
        <v>1918</v>
      </c>
      <c r="O20" s="101">
        <f t="shared" si="1"/>
        <v>1245</v>
      </c>
      <c r="P20" s="95">
        <f t="shared" ref="P20:Q20" si="2">J20/H20</f>
        <v>5.7289805503088466E-2</v>
      </c>
      <c r="Q20" s="95">
        <f t="shared" si="2"/>
        <v>5.9385906541548406E-2</v>
      </c>
      <c r="R20" s="95">
        <f>P20-Q20</f>
        <v>-2.0961010384599396E-3</v>
      </c>
      <c r="S20" s="95">
        <f t="shared" ref="S20:T20" si="3">N20/L20</f>
        <v>6.8928340401063756E-2</v>
      </c>
      <c r="T20" s="95">
        <f t="shared" si="3"/>
        <v>5.1310583580613252E-2</v>
      </c>
      <c r="U20" s="95">
        <f>S20-T20</f>
        <v>1.7617756820450504E-2</v>
      </c>
      <c r="V20" s="95">
        <f>(H20/I20)-1</f>
        <v>6.4084631367383293E-2</v>
      </c>
      <c r="W20" s="95">
        <f>(J20/K20)-1</f>
        <v>2.6526412074091121E-2</v>
      </c>
      <c r="X20" s="95">
        <f>(L20/M20)-1</f>
        <v>0.14680184635674243</v>
      </c>
      <c r="Y20" s="95">
        <f>(N20/O20)-1</f>
        <v>0.54056224899598404</v>
      </c>
    </row>
    <row r="21" spans="1:25">
      <c r="F21" s="94"/>
    </row>
    <row r="22" spans="1:25">
      <c r="F22" s="94"/>
    </row>
    <row r="23" spans="1:25">
      <c r="F23" s="94"/>
    </row>
    <row r="24" spans="1:25">
      <c r="F24" s="94"/>
    </row>
    <row r="25" spans="1:25" ht="13.2">
      <c r="F25" s="94"/>
    </row>
    <row r="26" spans="1:25" ht="13.2">
      <c r="F26" s="94"/>
    </row>
    <row r="27" spans="1:25" ht="13.2">
      <c r="F27" s="94"/>
    </row>
    <row r="28" spans="1:25" ht="13.2">
      <c r="F28" s="94"/>
    </row>
    <row r="29" spans="1:25" ht="13.2">
      <c r="F29" s="94"/>
    </row>
    <row r="30" spans="1:25" ht="13.2">
      <c r="F30" s="94"/>
    </row>
    <row r="31" spans="1:25" ht="13.2">
      <c r="F31" s="94"/>
    </row>
    <row r="32" spans="1:25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8" xr:uid="{00000000-0009-0000-0000-000015000000}"/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outlinePr summaryBelow="0" summaryRight="0"/>
  </sheetPr>
  <dimension ref="A1:Y25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506395</v>
      </c>
      <c r="B2" s="98" t="s">
        <v>4534</v>
      </c>
      <c r="C2" s="101" t="str">
        <f>VLOOKUP(A2,'BSE ALL CAP'!$B$4:$Y$1038,2,)</f>
        <v>Commodities</v>
      </c>
      <c r="D2" s="101" t="str">
        <f>VLOOKUP(A2,'BSE ALL CAP'!$B$4:$Y$1038,3,)</f>
        <v>Fertilizers</v>
      </c>
      <c r="E2" s="101">
        <f ca="1">IFERROR(__xludf.DUMMYFUNCTION("GOOGLEFINANCE(""BOM:""&amp;A2,""PRICE"")"),1892.65)</f>
        <v>1892.65</v>
      </c>
      <c r="F2" s="112">
        <f ca="1">IFERROR(__xludf.DUMMYFUNCTION("GOOGLEFINANCE(""BOM:""&amp;A2,""MARKETCAP"")/10000000"),55760.70236)</f>
        <v>55760.702360000003</v>
      </c>
      <c r="G2" s="95">
        <f t="shared" ref="G2:G23" ca="1" si="0">F2/$F$25</f>
        <v>0.34962549666145759</v>
      </c>
      <c r="H2" s="101">
        <f>VLOOKUP(A2,'BSE ALL CAP'!$B$4:$Y$1038,7,)</f>
        <v>25476</v>
      </c>
      <c r="I2" s="101">
        <f>VLOOKUP(A2,'BSE ALL CAP'!$B$4:$Y$1038,8,)</f>
        <v>19097</v>
      </c>
      <c r="J2" s="101">
        <f>VLOOKUP(A2,'BSE ALL CAP'!$B$4:$Y$1038,9,)</f>
        <v>1783</v>
      </c>
      <c r="K2" s="101">
        <f>VLOOKUP(A2,'BSE ALL CAP'!$B$4:$Y$1038,10,)</f>
        <v>1476</v>
      </c>
      <c r="L2" s="101">
        <f>VLOOKUP(A2,'BSE ALL CAP'!$B$4:$Y$1038,11,)</f>
        <v>8779</v>
      </c>
      <c r="M2" s="101">
        <f>VLOOKUP(A2,'BSE ALL CAP'!$B$4:$Y$1038,12,)</f>
        <v>6935</v>
      </c>
      <c r="N2" s="101">
        <f>VLOOKUP(A2,'BSE ALL CAP'!$B$4:$Y$1038,13,)</f>
        <v>488</v>
      </c>
      <c r="O2" s="101">
        <f>VLOOKUP(A2,'BSE ALL CAP'!$B$4:$Y$1038,14,)</f>
        <v>508</v>
      </c>
      <c r="P2" s="95">
        <f>VLOOKUP(A2,'BSE ALL CAP'!$B$4:$Y$1038,15,)</f>
        <v>6.998743915842362E-2</v>
      </c>
      <c r="Q2" s="95">
        <f>VLOOKUP(A2,'BSE ALL CAP'!$B$4:$Y$1038,16,)</f>
        <v>7.7289626642928211E-2</v>
      </c>
      <c r="R2" s="95">
        <f>VLOOKUP(A2,'BSE ALL CAP'!$B$4:$Y$1038,17,)</f>
        <v>-7.3021874845045909E-3</v>
      </c>
      <c r="S2" s="95">
        <f>VLOOKUP(A2,'BSE ALL CAP'!$B$4:$Y$1038,18,)</f>
        <v>5.5587196719444128E-2</v>
      </c>
      <c r="T2" s="95">
        <f>VLOOKUP(A2,'BSE ALL CAP'!$B$4:$Y$1038,19,)</f>
        <v>7.3251622206200434E-2</v>
      </c>
      <c r="U2" s="95">
        <f>VLOOKUP(A2,'BSE ALL CAP'!$B$4:$Y$1038,20,)</f>
        <v>-1.7664425486756306E-2</v>
      </c>
      <c r="V2" s="95">
        <f>VLOOKUP(A2,'BSE ALL CAP'!$B$4:$Y$1038,21,)</f>
        <v>0.33403152327590724</v>
      </c>
      <c r="W2" s="95">
        <f>VLOOKUP(A2,'BSE ALL CAP'!$B$4:$Y$1038,22,)</f>
        <v>0.2079945799457994</v>
      </c>
      <c r="X2" s="95">
        <f>VLOOKUP(A2,'BSE ALL CAP'!$B$4:$Y$1038,23,)</f>
        <v>0.2658976207642394</v>
      </c>
      <c r="Y2" s="95">
        <f>VLOOKUP(A2,'BSE ALL CAP'!$B$4:$Y$1038,24,)</f>
        <v>-3.9370078740157521E-2</v>
      </c>
    </row>
    <row r="3" spans="1:25" ht="15.75" customHeight="1">
      <c r="A3" s="99">
        <v>590024</v>
      </c>
      <c r="B3" s="98" t="s">
        <v>4535</v>
      </c>
      <c r="C3" s="101" t="e">
        <f>VLOOKUP(A3,'BSE ALL CAP'!$B$4:$Y$1038,2,)</f>
        <v>#N/A</v>
      </c>
      <c r="D3" s="101" t="e">
        <f>VLOOKUP(A3,'BSE ALL CAP'!$B$4:$Y$1038,3,)</f>
        <v>#N/A</v>
      </c>
      <c r="E3" s="101">
        <f ca="1">IFERROR(__xludf.DUMMYFUNCTION("GOOGLEFINANCE(""BOM:""&amp;A3,""PRICE"")"),785.8)</f>
        <v>785.8</v>
      </c>
      <c r="F3" s="112">
        <f ca="1">IFERROR(__xludf.DUMMYFUNCTION("GOOGLEFINANCE(""BOM:""&amp;A3,""MARKETCAP"")/10000000"),50772.4982132)</f>
        <v>50772.4982132</v>
      </c>
      <c r="G3" s="95">
        <f t="shared" ca="1" si="0"/>
        <v>0.3183489295010562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500085</v>
      </c>
      <c r="B4" s="98" t="s">
        <v>4536</v>
      </c>
      <c r="C4" s="101" t="str">
        <f>VLOOKUP(A4,'BSE ALL CAP'!$B$4:$Y$1038,2,)</f>
        <v>Commodities</v>
      </c>
      <c r="D4" s="101" t="str">
        <f>VLOOKUP(A4,'BSE ALL CAP'!$B$4:$Y$1038,3,)</f>
        <v>Fertilizers</v>
      </c>
      <c r="E4" s="101">
        <f ca="1">IFERROR(__xludf.DUMMYFUNCTION("GOOGLEFINANCE(""BOM:""&amp;A4,""PRICE"")"),446.6)</f>
        <v>446.6</v>
      </c>
      <c r="F4" s="112">
        <f ca="1">IFERROR(__xludf.DUMMYFUNCTION("GOOGLEFINANCE(""BOM:""&amp;A4,""MARKETCAP"")/10000000"),17909.15334)</f>
        <v>17909.153340000001</v>
      </c>
      <c r="G4" s="95">
        <f t="shared" ca="1" si="0"/>
        <v>0.11229228410464559</v>
      </c>
      <c r="H4" s="101">
        <f>VLOOKUP(A4,'BSE ALL CAP'!$B$4:$Y$1038,7,)</f>
        <v>18009</v>
      </c>
      <c r="I4" s="101">
        <f>VLOOKUP(A4,'BSE ALL CAP'!$B$4:$Y$1038,8,)</f>
        <v>14197</v>
      </c>
      <c r="J4" s="101">
        <f>VLOOKUP(A4,'BSE ALL CAP'!$B$4:$Y$1038,9,)</f>
        <v>1784</v>
      </c>
      <c r="K4" s="101">
        <f>VLOOKUP(A4,'BSE ALL CAP'!$B$4:$Y$1038,10,)</f>
        <v>1519</v>
      </c>
      <c r="L4" s="101">
        <f>VLOOKUP(A4,'BSE ALL CAP'!$B$4:$Y$1038,11,)</f>
        <v>5898</v>
      </c>
      <c r="M4" s="101">
        <f>VLOOKUP(A4,'BSE ALL CAP'!$B$4:$Y$1038,12,)</f>
        <v>4918</v>
      </c>
      <c r="N4" s="101">
        <f>VLOOKUP(A4,'BSE ALL CAP'!$B$4:$Y$1038,13,)</f>
        <v>586</v>
      </c>
      <c r="O4" s="101">
        <f>VLOOKUP(A4,'BSE ALL CAP'!$B$4:$Y$1038,14,)</f>
        <v>534</v>
      </c>
      <c r="P4" s="95">
        <f>VLOOKUP(A4,'BSE ALL CAP'!$B$4:$Y$1038,15,)</f>
        <v>9.9061580320950637E-2</v>
      </c>
      <c r="Q4" s="95">
        <f>VLOOKUP(A4,'BSE ALL CAP'!$B$4:$Y$1038,16,)</f>
        <v>0.10699443544410792</v>
      </c>
      <c r="R4" s="95">
        <f>VLOOKUP(A4,'BSE ALL CAP'!$B$4:$Y$1038,17,)</f>
        <v>-7.9328551231572786E-3</v>
      </c>
      <c r="S4" s="95">
        <f>VLOOKUP(A4,'BSE ALL CAP'!$B$4:$Y$1038,18,)</f>
        <v>9.9355713801288575E-2</v>
      </c>
      <c r="T4" s="95">
        <f>VLOOKUP(A4,'BSE ALL CAP'!$B$4:$Y$1038,19,)</f>
        <v>0.10858072387149248</v>
      </c>
      <c r="U4" s="95">
        <f>VLOOKUP(A4,'BSE ALL CAP'!$B$4:$Y$1038,20,)</f>
        <v>-9.225010070203904E-3</v>
      </c>
      <c r="V4" s="95">
        <f>VLOOKUP(A4,'BSE ALL CAP'!$B$4:$Y$1038,21,)</f>
        <v>0.26850743114742559</v>
      </c>
      <c r="W4" s="95">
        <f>VLOOKUP(A4,'BSE ALL CAP'!$B$4:$Y$1038,22,)</f>
        <v>0.17445687952600397</v>
      </c>
      <c r="X4" s="95">
        <f>VLOOKUP(A4,'BSE ALL CAP'!$B$4:$Y$1038,23,)</f>
        <v>0.1992679951199674</v>
      </c>
      <c r="Y4" s="95">
        <f>VLOOKUP(A4,'BSE ALL CAP'!$B$4:$Y$1038,24,)</f>
        <v>9.7378277153558068E-2</v>
      </c>
    </row>
    <row r="5" spans="1:25" ht="15.75" customHeight="1">
      <c r="A5" s="99">
        <v>543530</v>
      </c>
      <c r="B5" s="98" t="s">
        <v>4537</v>
      </c>
      <c r="C5" s="101" t="str">
        <f>VLOOKUP(A5,'BSE ALL CAP'!$B$4:$Y$1038,2,)</f>
        <v>Commodities</v>
      </c>
      <c r="D5" s="101" t="str">
        <f>VLOOKUP(A5,'BSE ALL CAP'!$B$4:$Y$1038,3,)</f>
        <v>Fertilizers</v>
      </c>
      <c r="E5" s="101">
        <f ca="1">IFERROR(__xludf.DUMMYFUNCTION("GOOGLEFINANCE(""BOM:""&amp;A5,""PRICE"")"),115.7)</f>
        <v>115.7</v>
      </c>
      <c r="F5" s="112">
        <f ca="1">IFERROR(__xludf.DUMMYFUNCTION("GOOGLEFINANCE(""BOM:""&amp;A5,""MARKETCAP"")/10000000"),12022.0089168)</f>
        <v>12022.008916799999</v>
      </c>
      <c r="G5" s="95">
        <f t="shared" ca="1" si="0"/>
        <v>7.5379266410027179E-2</v>
      </c>
      <c r="H5" s="101">
        <f>VLOOKUP(A5,'BSE ALL CAP'!$B$4:$Y$1038,7,)</f>
        <v>17124</v>
      </c>
      <c r="I5" s="101">
        <f>VLOOKUP(A5,'BSE ALL CAP'!$B$4:$Y$1038,8,)</f>
        <v>12765</v>
      </c>
      <c r="J5" s="101">
        <f>VLOOKUP(A5,'BSE ALL CAP'!$B$4:$Y$1038,9,)</f>
        <v>841</v>
      </c>
      <c r="K5" s="101">
        <f>VLOOKUP(A5,'BSE ALL CAP'!$B$4:$Y$1038,10,)</f>
        <v>490</v>
      </c>
      <c r="L5" s="101">
        <f>VLOOKUP(A5,'BSE ALL CAP'!$B$4:$Y$1038,11,)</f>
        <v>5749</v>
      </c>
      <c r="M5" s="101">
        <f>VLOOKUP(A5,'BSE ALL CAP'!$B$4:$Y$1038,12,)</f>
        <v>4990</v>
      </c>
      <c r="N5" s="101">
        <f>VLOOKUP(A5,'BSE ALL CAP'!$B$4:$Y$1038,13,)</f>
        <v>182</v>
      </c>
      <c r="O5" s="101">
        <f>VLOOKUP(A5,'BSE ALL CAP'!$B$4:$Y$1038,14,)</f>
        <v>209</v>
      </c>
      <c r="P5" s="95">
        <f>VLOOKUP(A5,'BSE ALL CAP'!$B$4:$Y$1038,15,)</f>
        <v>4.9112356925951881E-2</v>
      </c>
      <c r="Q5" s="95">
        <f>VLOOKUP(A5,'BSE ALL CAP'!$B$4:$Y$1038,16,)</f>
        <v>3.8386212299255776E-2</v>
      </c>
      <c r="R5" s="95">
        <f>VLOOKUP(A5,'BSE ALL CAP'!$B$4:$Y$1038,17,)</f>
        <v>1.0726144626696105E-2</v>
      </c>
      <c r="S5" s="95">
        <f>VLOOKUP(A5,'BSE ALL CAP'!$B$4:$Y$1038,18,)</f>
        <v>3.1657679596451556E-2</v>
      </c>
      <c r="T5" s="95">
        <f>VLOOKUP(A5,'BSE ALL CAP'!$B$4:$Y$1038,19,)</f>
        <v>4.1883767535070143E-2</v>
      </c>
      <c r="U5" s="95">
        <f>VLOOKUP(A5,'BSE ALL CAP'!$B$4:$Y$1038,20,)</f>
        <v>-1.0226087938618587E-2</v>
      </c>
      <c r="V5" s="95">
        <f>VLOOKUP(A5,'BSE ALL CAP'!$B$4:$Y$1038,21,)</f>
        <v>0.34148061104582839</v>
      </c>
      <c r="W5" s="95">
        <f>VLOOKUP(A5,'BSE ALL CAP'!$B$4:$Y$1038,22,)</f>
        <v>0.71632653061224483</v>
      </c>
      <c r="X5" s="95">
        <f>VLOOKUP(A5,'BSE ALL CAP'!$B$4:$Y$1038,23,)</f>
        <v>0.15210420841683359</v>
      </c>
      <c r="Y5" s="95">
        <f>VLOOKUP(A5,'BSE ALL CAP'!$B$4:$Y$1038,24,)</f>
        <v>-0.12918660287081341</v>
      </c>
    </row>
    <row r="6" spans="1:25" ht="15.75" customHeight="1">
      <c r="A6" s="99">
        <v>524230</v>
      </c>
      <c r="B6" s="98" t="s">
        <v>4538</v>
      </c>
      <c r="C6" s="101" t="str">
        <f>VLOOKUP(A6,'BSE ALL CAP'!$B$4:$Y$1038,2,)</f>
        <v>Commodities</v>
      </c>
      <c r="D6" s="101" t="str">
        <f>VLOOKUP(A6,'BSE ALL CAP'!$B$4:$Y$1038,3,)</f>
        <v>Fertilizers</v>
      </c>
      <c r="E6" s="101">
        <f ca="1">IFERROR(__xludf.DUMMYFUNCTION("GOOGLEFINANCE(""BOM:""&amp;A6,""PRICE"")"),116.9)</f>
        <v>116.9</v>
      </c>
      <c r="F6" s="112">
        <f ca="1">IFERROR(__xludf.DUMMYFUNCTION("GOOGLEFINANCE(""BOM:""&amp;A6,""MARKETCAP"")/10000000"),6454.7496)</f>
        <v>6454.7496000000001</v>
      </c>
      <c r="G6" s="95">
        <f t="shared" ca="1" si="0"/>
        <v>4.0471962138414939E-2</v>
      </c>
      <c r="H6" s="101">
        <f>VLOOKUP(A6,'BSE ALL CAP'!$B$4:$Y$1038,7,)</f>
        <v>12899</v>
      </c>
      <c r="I6" s="101">
        <f>VLOOKUP(A6,'BSE ALL CAP'!$B$4:$Y$1038,8,)</f>
        <v>13204</v>
      </c>
      <c r="J6" s="101">
        <f>VLOOKUP(A6,'BSE ALL CAP'!$B$4:$Y$1038,9,)</f>
        <v>241</v>
      </c>
      <c r="K6" s="101">
        <f>VLOOKUP(A6,'BSE ALL CAP'!$B$4:$Y$1038,10,)</f>
        <v>170</v>
      </c>
      <c r="L6" s="101">
        <f>VLOOKUP(A6,'BSE ALL CAP'!$B$4:$Y$1038,11,)</f>
        <v>4236</v>
      </c>
      <c r="M6" s="101">
        <f>VLOOKUP(A6,'BSE ALL CAP'!$B$4:$Y$1038,12,)</f>
        <v>4518</v>
      </c>
      <c r="N6" s="101">
        <f>VLOOKUP(A6,'BSE ALL CAP'!$B$4:$Y$1038,13,)</f>
        <v>81</v>
      </c>
      <c r="O6" s="101">
        <f>VLOOKUP(A6,'BSE ALL CAP'!$B$4:$Y$1038,14,)</f>
        <v>80</v>
      </c>
      <c r="P6" s="95">
        <f>VLOOKUP(A6,'BSE ALL CAP'!$B$4:$Y$1038,15,)</f>
        <v>1.8683618885184897E-2</v>
      </c>
      <c r="Q6" s="95">
        <f>VLOOKUP(A6,'BSE ALL CAP'!$B$4:$Y$1038,16,)</f>
        <v>1.2874886398061194E-2</v>
      </c>
      <c r="R6" s="95">
        <f>VLOOKUP(A6,'BSE ALL CAP'!$B$4:$Y$1038,17,)</f>
        <v>5.808732487123703E-3</v>
      </c>
      <c r="S6" s="95">
        <f>VLOOKUP(A6,'BSE ALL CAP'!$B$4:$Y$1038,18,)</f>
        <v>1.9121813031161474E-2</v>
      </c>
      <c r="T6" s="95">
        <f>VLOOKUP(A6,'BSE ALL CAP'!$B$4:$Y$1038,19,)</f>
        <v>1.7706949977866312E-2</v>
      </c>
      <c r="U6" s="95">
        <f>VLOOKUP(A6,'BSE ALL CAP'!$B$4:$Y$1038,20,)</f>
        <v>1.4148630532951623E-3</v>
      </c>
      <c r="V6" s="95">
        <f>VLOOKUP(A6,'BSE ALL CAP'!$B$4:$Y$1038,21,)</f>
        <v>-2.3099060890639178E-2</v>
      </c>
      <c r="W6" s="95">
        <f>VLOOKUP(A6,'BSE ALL CAP'!$B$4:$Y$1038,22,)</f>
        <v>0.41764705882352948</v>
      </c>
      <c r="X6" s="95">
        <f>VLOOKUP(A6,'BSE ALL CAP'!$B$4:$Y$1038,23,)</f>
        <v>-6.2416998671978696E-2</v>
      </c>
      <c r="Y6" s="95">
        <f>VLOOKUP(A6,'BSE ALL CAP'!$B$4:$Y$1038,24,)</f>
        <v>1.2499999999999956E-2</v>
      </c>
    </row>
    <row r="7" spans="1:25" ht="15.75" customHeight="1">
      <c r="A7" s="99">
        <v>500690</v>
      </c>
      <c r="B7" s="98" t="s">
        <v>4539</v>
      </c>
      <c r="C7" s="101" t="str">
        <f>VLOOKUP(A7,'BSE ALL CAP'!$B$4:$Y$1038,2,)</f>
        <v>Commodities</v>
      </c>
      <c r="D7" s="101" t="str">
        <f>VLOOKUP(A7,'BSE ALL CAP'!$B$4:$Y$1038,3,)</f>
        <v>Fertilizers</v>
      </c>
      <c r="E7" s="101">
        <f ca="1">IFERROR(__xludf.DUMMYFUNCTION("GOOGLEFINANCE(""BOM:""&amp;A7,""PRICE"")"),152.15)</f>
        <v>152.15</v>
      </c>
      <c r="F7" s="112">
        <f ca="1">IFERROR(__xludf.DUMMYFUNCTION("GOOGLEFINANCE(""BOM:""&amp;A7,""MARKETCAP"")/10000000"),6062.4366606)</f>
        <v>6062.4366606000003</v>
      </c>
      <c r="G7" s="95">
        <f t="shared" ca="1" si="0"/>
        <v>3.8012118548230271E-2</v>
      </c>
      <c r="H7" s="101">
        <f>VLOOKUP(A7,'BSE ALL CAP'!$B$4:$Y$1038,7,)</f>
        <v>8313</v>
      </c>
      <c r="I7" s="101">
        <f>VLOOKUP(A7,'BSE ALL CAP'!$B$4:$Y$1038,8,)</f>
        <v>7612</v>
      </c>
      <c r="J7" s="101">
        <f>VLOOKUP(A7,'BSE ALL CAP'!$B$4:$Y$1038,9,)</f>
        <v>621</v>
      </c>
      <c r="K7" s="101">
        <f>VLOOKUP(A7,'BSE ALL CAP'!$B$4:$Y$1038,10,)</f>
        <v>519</v>
      </c>
      <c r="L7" s="101">
        <f>VLOOKUP(A7,'BSE ALL CAP'!$B$4:$Y$1038,11,)</f>
        <v>2941</v>
      </c>
      <c r="M7" s="101">
        <f>VLOOKUP(A7,'BSE ALL CAP'!$B$4:$Y$1038,12,)</f>
        <v>2841</v>
      </c>
      <c r="N7" s="101">
        <f>VLOOKUP(A7,'BSE ALL CAP'!$B$4:$Y$1038,13,)</f>
        <v>158</v>
      </c>
      <c r="O7" s="101">
        <f>VLOOKUP(A7,'BSE ALL CAP'!$B$4:$Y$1038,14,)</f>
        <v>134</v>
      </c>
      <c r="P7" s="95">
        <f>VLOOKUP(A7,'BSE ALL CAP'!$B$4:$Y$1038,15,)</f>
        <v>7.4702273547455789E-2</v>
      </c>
      <c r="Q7" s="95">
        <f>VLOOKUP(A7,'BSE ALL CAP'!$B$4:$Y$1038,16,)</f>
        <v>6.8181818181818177E-2</v>
      </c>
      <c r="R7" s="95">
        <f>VLOOKUP(A7,'BSE ALL CAP'!$B$4:$Y$1038,17,)</f>
        <v>6.5204553656376119E-3</v>
      </c>
      <c r="S7" s="95">
        <f>VLOOKUP(A7,'BSE ALL CAP'!$B$4:$Y$1038,18,)</f>
        <v>5.3723223393403602E-2</v>
      </c>
      <c r="T7" s="95">
        <f>VLOOKUP(A7,'BSE ALL CAP'!$B$4:$Y$1038,19,)</f>
        <v>4.7166490672298486E-2</v>
      </c>
      <c r="U7" s="95">
        <f>VLOOKUP(A7,'BSE ALL CAP'!$B$4:$Y$1038,20,)</f>
        <v>6.5567327211051157E-3</v>
      </c>
      <c r="V7" s="95">
        <f>VLOOKUP(A7,'BSE ALL CAP'!$B$4:$Y$1038,21,)</f>
        <v>9.2091434576983655E-2</v>
      </c>
      <c r="W7" s="95">
        <f>VLOOKUP(A7,'BSE ALL CAP'!$B$4:$Y$1038,22,)</f>
        <v>0.19653179190751446</v>
      </c>
      <c r="X7" s="95">
        <f>VLOOKUP(A7,'BSE ALL CAP'!$B$4:$Y$1038,23,)</f>
        <v>3.5198873636043571E-2</v>
      </c>
      <c r="Y7" s="95">
        <f>VLOOKUP(A7,'BSE ALL CAP'!$B$4:$Y$1038,24,)</f>
        <v>0.17910447761194037</v>
      </c>
    </row>
    <row r="8" spans="1:25" ht="15.75" customHeight="1">
      <c r="A8" s="99">
        <v>523630</v>
      </c>
      <c r="B8" s="98" t="s">
        <v>4540</v>
      </c>
      <c r="C8" s="101" t="str">
        <f>VLOOKUP(A8,'BSE ALL CAP'!$B$4:$Y$1038,2,)</f>
        <v>Commodities</v>
      </c>
      <c r="D8" s="101" t="str">
        <f>VLOOKUP(A8,'BSE ALL CAP'!$B$4:$Y$1038,3,)</f>
        <v>Fertilizers</v>
      </c>
      <c r="E8" s="101">
        <f ca="1">IFERROR(__xludf.DUMMYFUNCTION("GOOGLEFINANCE(""BOM:""&amp;A8,""PRICE"")"),69.84)</f>
        <v>69.84</v>
      </c>
      <c r="F8" s="112">
        <f ca="1">IFERROR(__xludf.DUMMYFUNCTION("GOOGLEFINANCE(""BOM:""&amp;A8,""MARKETCAP"")/10000000"),3431.1054493)</f>
        <v>3431.1054493000001</v>
      </c>
      <c r="G8" s="95">
        <f t="shared" ca="1" si="0"/>
        <v>2.1513393770841053E-2</v>
      </c>
      <c r="H8" s="101">
        <f>VLOOKUP(A8,'BSE ALL CAP'!$B$4:$Y$1038,7,)</f>
        <v>17166</v>
      </c>
      <c r="I8" s="101">
        <f>VLOOKUP(A8,'BSE ALL CAP'!$B$4:$Y$1038,8,)</f>
        <v>15137</v>
      </c>
      <c r="J8" s="101">
        <f>VLOOKUP(A8,'BSE ALL CAP'!$B$4:$Y$1038,9,)</f>
        <v>51</v>
      </c>
      <c r="K8" s="101">
        <f>VLOOKUP(A8,'BSE ALL CAP'!$B$4:$Y$1038,10,)</f>
        <v>-21</v>
      </c>
      <c r="L8" s="101">
        <f>VLOOKUP(A8,'BSE ALL CAP'!$B$4:$Y$1038,11,)</f>
        <v>6869</v>
      </c>
      <c r="M8" s="101">
        <f>VLOOKUP(A8,'BSE ALL CAP'!$B$4:$Y$1038,12,)</f>
        <v>5855</v>
      </c>
      <c r="N8" s="101">
        <f>VLOOKUP(A8,'BSE ALL CAP'!$B$4:$Y$1038,13,)</f>
        <v>93</v>
      </c>
      <c r="O8" s="101">
        <f>VLOOKUP(A8,'BSE ALL CAP'!$B$4:$Y$1038,14,)</f>
        <v>30</v>
      </c>
      <c r="P8" s="95">
        <f>VLOOKUP(A8,'BSE ALL CAP'!$B$4:$Y$1038,15,)</f>
        <v>2.9709891646277527E-3</v>
      </c>
      <c r="Q8" s="95">
        <f>VLOOKUP(A8,'BSE ALL CAP'!$B$4:$Y$1038,16,)</f>
        <v>-1.3873290612406686E-3</v>
      </c>
      <c r="R8" s="95">
        <f>VLOOKUP(A8,'BSE ALL CAP'!$B$4:$Y$1038,17,)</f>
        <v>4.3583182258684211E-3</v>
      </c>
      <c r="S8" s="95">
        <f>VLOOKUP(A8,'BSE ALL CAP'!$B$4:$Y$1038,18,)</f>
        <v>1.3539088659193479E-2</v>
      </c>
      <c r="T8" s="95">
        <f>VLOOKUP(A8,'BSE ALL CAP'!$B$4:$Y$1038,19,)</f>
        <v>5.1238257899231428E-3</v>
      </c>
      <c r="U8" s="95">
        <f>VLOOKUP(A8,'BSE ALL CAP'!$B$4:$Y$1038,20,)</f>
        <v>8.415262869270336E-3</v>
      </c>
      <c r="V8" s="95">
        <f>VLOOKUP(A8,'BSE ALL CAP'!$B$4:$Y$1038,21,)</f>
        <v>0.13404241263130068</v>
      </c>
      <c r="W8" s="95">
        <f>VLOOKUP(A8,'BSE ALL CAP'!$B$4:$Y$1038,22,)</f>
        <v>-3.4285714285714284</v>
      </c>
      <c r="X8" s="95">
        <f>VLOOKUP(A8,'BSE ALL CAP'!$B$4:$Y$1038,23,)</f>
        <v>0.17318531169940221</v>
      </c>
      <c r="Y8" s="95">
        <f>VLOOKUP(A8,'BSE ALL CAP'!$B$4:$Y$1038,24,)</f>
        <v>2.1</v>
      </c>
    </row>
    <row r="9" spans="1:25" ht="15.75" customHeight="1">
      <c r="A9" s="99">
        <v>509732</v>
      </c>
      <c r="B9" s="98" t="s">
        <v>4541</v>
      </c>
      <c r="C9" s="101"/>
      <c r="D9" s="101"/>
      <c r="E9" s="101">
        <f ca="1">IFERROR(__xludf.DUMMYFUNCTION("GOOGLEFINANCE(""BOM:""&amp;A9,""PRICE"")"),161.2)</f>
        <v>161.19999999999999</v>
      </c>
      <c r="F9" s="112">
        <f ca="1">IFERROR(__xludf.DUMMYFUNCTION("GOOGLEFINANCE(""BOM:""&amp;A9,""MARKETCAP"")/10000000"),1741.309771)</f>
        <v>1741.309771</v>
      </c>
      <c r="G9" s="95">
        <f t="shared" ca="1" si="0"/>
        <v>1.0918196288073513E-2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590030</v>
      </c>
      <c r="B10" s="98" t="s">
        <v>4542</v>
      </c>
      <c r="C10" s="101"/>
      <c r="D10" s="101"/>
      <c r="E10" s="101">
        <f ca="1">IFERROR(__xludf.DUMMYFUNCTION("GOOGLEFINANCE(""BOM:""&amp;A10,""PRICE"")"),62.21)</f>
        <v>62.21</v>
      </c>
      <c r="F10" s="112">
        <f ca="1">IFERROR(__xludf.DUMMYFUNCTION("GOOGLEFINANCE(""BOM:""&amp;A10,""MARKETCAP"")/10000000"),1268.8827372)</f>
        <v>1268.8827372000001</v>
      </c>
      <c r="G10" s="95">
        <f t="shared" ca="1" si="0"/>
        <v>7.9560288594381287E-3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590134</v>
      </c>
      <c r="B11" s="98" t="s">
        <v>4543</v>
      </c>
      <c r="C11" s="101"/>
      <c r="D11" s="101"/>
      <c r="E11" s="101">
        <f ca="1">IFERROR(__xludf.DUMMYFUNCTION("GOOGLEFINANCE(""BOM:""&amp;A11,""PRICE"")"),60.41)</f>
        <v>60.41</v>
      </c>
      <c r="F11" s="112">
        <f ca="1">IFERROR(__xludf.DUMMYFUNCTION("GOOGLEFINANCE(""BOM:""&amp;A11,""MARKETCAP"")/10000000"),973.6956306)</f>
        <v>973.69563059999996</v>
      </c>
      <c r="G11" s="95">
        <f t="shared" ca="1" si="0"/>
        <v>6.1051745052950242E-3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534742</v>
      </c>
      <c r="B12" s="98" t="s">
        <v>4544</v>
      </c>
      <c r="C12" s="101"/>
      <c r="D12" s="101"/>
      <c r="E12" s="101">
        <f ca="1">IFERROR(__xludf.DUMMYFUNCTION("GOOGLEFINANCE(""BOM:""&amp;A12,""PRICE"")"),205.25)</f>
        <v>205.25</v>
      </c>
      <c r="F12" s="112">
        <f ca="1">IFERROR(__xludf.DUMMYFUNCTION("GOOGLEFINANCE(""BOM:""&amp;A12,""MARKETCAP"")/10000000"),865.9741943)</f>
        <v>865.97419430000002</v>
      </c>
      <c r="G12" s="95">
        <f t="shared" ca="1" si="0"/>
        <v>5.4297497155511628E-3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507794</v>
      </c>
      <c r="B13" s="98" t="s">
        <v>4545</v>
      </c>
      <c r="C13" s="101"/>
      <c r="D13" s="101"/>
      <c r="E13" s="101">
        <f ca="1">IFERROR(__xludf.DUMMYFUNCTION("GOOGLEFINANCE(""BOM:""&amp;A13,""PRICE"")"),52.71)</f>
        <v>52.71</v>
      </c>
      <c r="F13" s="112">
        <f ca="1">IFERROR(__xludf.DUMMYFUNCTION("GOOGLEFINANCE(""BOM:""&amp;A13,""MARKETCAP"")/10000000"),510.2601871)</f>
        <v>510.2601871</v>
      </c>
      <c r="G13" s="95">
        <f t="shared" ca="1" si="0"/>
        <v>3.1993852980837126E-3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532935</v>
      </c>
      <c r="B14" s="98" t="s">
        <v>4546</v>
      </c>
      <c r="C14" s="101"/>
      <c r="D14" s="101"/>
      <c r="E14" s="101">
        <f ca="1">IFERROR(__xludf.DUMMYFUNCTION("GOOGLEFINANCE(""BOM:""&amp;A14,""PRICE"")"),360.35)</f>
        <v>360.35</v>
      </c>
      <c r="F14" s="112">
        <f ca="1">IFERROR(__xludf.DUMMYFUNCTION("GOOGLEFINANCE(""BOM:""&amp;A14,""MARKETCAP"")/10000000"),465.945128)</f>
        <v>465.94512800000001</v>
      </c>
      <c r="G14" s="95">
        <f t="shared" ca="1" si="0"/>
        <v>2.9215251942530667E-3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524037</v>
      </c>
      <c r="B15" s="98" t="s">
        <v>4547</v>
      </c>
      <c r="C15" s="101"/>
      <c r="D15" s="101"/>
      <c r="E15" s="101">
        <f ca="1">IFERROR(__xludf.DUMMYFUNCTION("GOOGLEFINANCE(""BOM:""&amp;A15,""PRICE"")"),118.95)</f>
        <v>118.95</v>
      </c>
      <c r="F15" s="112">
        <f ca="1">IFERROR(__xludf.DUMMYFUNCTION("GOOGLEFINANCE(""BOM:""&amp;A15,""MARKETCAP"")/10000000"),420.4260473)</f>
        <v>420.42604729999999</v>
      </c>
      <c r="G15" s="95">
        <f t="shared" ca="1" si="0"/>
        <v>2.6361157477478364E-3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539917</v>
      </c>
      <c r="B16" s="98" t="s">
        <v>4548</v>
      </c>
      <c r="C16" s="101"/>
      <c r="D16" s="101"/>
      <c r="E16" s="101">
        <f ca="1">IFERROR(__xludf.DUMMYFUNCTION("GOOGLEFINANCE(""BOM:""&amp;A16,""PRICE"")"),3.97)</f>
        <v>3.97</v>
      </c>
      <c r="F16" s="112">
        <f ca="1">IFERROR(__xludf.DUMMYFUNCTION("GOOGLEFINANCE(""BOM:""&amp;A16,""MARKETCAP"")/10000000"),236.8337026)</f>
        <v>236.83370260000001</v>
      </c>
      <c r="G16" s="95">
        <f t="shared" ca="1" si="0"/>
        <v>1.4849723441987316E-3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544100</v>
      </c>
      <c r="B17" s="98" t="s">
        <v>4549</v>
      </c>
      <c r="C17" s="101"/>
      <c r="D17" s="101"/>
      <c r="E17" s="101">
        <f ca="1">IFERROR(__xludf.DUMMYFUNCTION("GOOGLEFINANCE(""BOM:""&amp;A17,""PRICE"")"),24)</f>
        <v>24</v>
      </c>
      <c r="F17" s="112">
        <f ca="1">IFERROR(__xludf.DUMMYFUNCTION("GOOGLEFINANCE(""BOM:""&amp;A17,""MARKETCAP"")/10000000"),217.847947)</f>
        <v>217.847947</v>
      </c>
      <c r="G17" s="95">
        <f t="shared" ca="1" si="0"/>
        <v>1.365929650147145E-3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531862</v>
      </c>
      <c r="B18" s="98" t="s">
        <v>4550</v>
      </c>
      <c r="C18" s="101"/>
      <c r="D18" s="101"/>
      <c r="E18" s="101">
        <f ca="1">IFERROR(__xludf.DUMMYFUNCTION("GOOGLEFINANCE(""BOM:""&amp;A18,""PRICE"")"),23.31)</f>
        <v>23.31</v>
      </c>
      <c r="F18" s="112">
        <f ca="1">IFERROR(__xludf.DUMMYFUNCTION("GOOGLEFINANCE(""BOM:""&amp;A18,""MARKETCAP"")/10000000"),123.2052352)</f>
        <v>123.2052352</v>
      </c>
      <c r="G18" s="95">
        <f t="shared" ca="1" si="0"/>
        <v>7.7250984519506498E-4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524687</v>
      </c>
      <c r="B19" s="98" t="s">
        <v>4551</v>
      </c>
      <c r="C19" s="101"/>
      <c r="D19" s="101"/>
      <c r="E19" s="101">
        <f ca="1">IFERROR(__xludf.DUMMYFUNCTION("GOOGLEFINANCE(""BOM:""&amp;A19,""PRICE"")"),10.38)</f>
        <v>10.38</v>
      </c>
      <c r="F19" s="112">
        <f ca="1">IFERROR(__xludf.DUMMYFUNCTION("GOOGLEFINANCE(""BOM:""&amp;A19,""MARKETCAP"")/10000000"),94.071346)</f>
        <v>94.071346000000005</v>
      </c>
      <c r="G19" s="95">
        <f t="shared" ca="1" si="0"/>
        <v>5.8983728100339195E-4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524204</v>
      </c>
      <c r="B20" s="98" t="s">
        <v>4552</v>
      </c>
      <c r="C20" s="101"/>
      <c r="D20" s="101"/>
      <c r="E20" s="101">
        <f ca="1">IFERROR(__xludf.DUMMYFUNCTION("GOOGLEFINANCE(""BOM:""&amp;A20,""PRICE"")"),106.9)</f>
        <v>106.9</v>
      </c>
      <c r="F20" s="112">
        <f ca="1">IFERROR(__xludf.DUMMYFUNCTION("GOOGLEFINANCE(""BOM:""&amp;A20,""MARKETCAP"")/10000000"),59.9709008)</f>
        <v>59.970900800000003</v>
      </c>
      <c r="G20" s="95">
        <f t="shared" ca="1" si="0"/>
        <v>3.7602388581955813E-4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542123</v>
      </c>
      <c r="B21" s="98" t="s">
        <v>4553</v>
      </c>
      <c r="C21" s="101"/>
      <c r="D21" s="101"/>
      <c r="E21" s="101">
        <f ca="1">IFERROR(__xludf.DUMMYFUNCTION("GOOGLEFINANCE(""BOM:""&amp;A21,""PRICE"")"),139)</f>
        <v>139</v>
      </c>
      <c r="F21" s="112">
        <f ca="1">IFERROR(__xludf.DUMMYFUNCTION("GOOGLEFINANCE(""BOM:""&amp;A21,""MARKETCAP"")/10000000"),50.143972)</f>
        <v>50.143971999999998</v>
      </c>
      <c r="G21" s="95">
        <f t="shared" ca="1" si="0"/>
        <v>3.1440800372081648E-4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530433</v>
      </c>
      <c r="B22" s="98" t="s">
        <v>4554</v>
      </c>
      <c r="C22" s="101"/>
      <c r="D22" s="101"/>
      <c r="E22" s="101">
        <f ca="1">IFERROR(__xludf.DUMMYFUNCTION("GOOGLEFINANCE(""BOM:""&amp;A22,""PRICE"")"),40)</f>
        <v>40</v>
      </c>
      <c r="F22" s="112">
        <f ca="1">IFERROR(__xludf.DUMMYFUNCTION("GOOGLEFINANCE(""BOM:""&amp;A22,""MARKETCAP"")/10000000"),39.971992)</f>
        <v>39.971992</v>
      </c>
      <c r="G22" s="95">
        <f t="shared" ca="1" si="0"/>
        <v>2.5062861413261095E-4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506543</v>
      </c>
      <c r="B23" s="98" t="s">
        <v>4555</v>
      </c>
      <c r="C23" s="101"/>
      <c r="D23" s="101"/>
      <c r="E23" s="101">
        <f ca="1">IFERROR(__xludf.DUMMYFUNCTION("GOOGLEFINANCE(""BOM:""&amp;A23,""PRICE"")"),9.91)</f>
        <v>9.91</v>
      </c>
      <c r="F23" s="112">
        <f ca="1">IFERROR(__xludf.DUMMYFUNCTION("GOOGLEFINANCE(""BOM:""&amp;A23,""MARKETCAP"")/10000000"),5.7516786)</f>
        <v>5.7516786</v>
      </c>
      <c r="G23" s="95">
        <f t="shared" ca="1" si="0"/>
        <v>3.6063632666948294E-5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>
      <c r="A24" s="101"/>
      <c r="B24" s="101"/>
      <c r="C24" s="101"/>
      <c r="D24" s="101"/>
      <c r="E24" s="101"/>
      <c r="F24" s="101"/>
      <c r="G24" s="95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3.2">
      <c r="A25" s="101"/>
      <c r="B25" s="101"/>
      <c r="C25" s="101"/>
      <c r="D25" s="101"/>
      <c r="E25" s="101"/>
      <c r="F25" s="112">
        <f ca="1">SUM(F1:F23)</f>
        <v>159486.94500960008</v>
      </c>
      <c r="G25" s="95">
        <f t="shared" ref="G25:O25" ca="1" si="1">SUM(G2:G23)</f>
        <v>0.99999999999999978</v>
      </c>
      <c r="H25" s="101">
        <f t="shared" si="1"/>
        <v>98987</v>
      </c>
      <c r="I25" s="101">
        <f t="shared" si="1"/>
        <v>82012</v>
      </c>
      <c r="J25" s="101">
        <f t="shared" si="1"/>
        <v>5321</v>
      </c>
      <c r="K25" s="101">
        <f t="shared" si="1"/>
        <v>4153</v>
      </c>
      <c r="L25" s="101">
        <f t="shared" si="1"/>
        <v>34472</v>
      </c>
      <c r="M25" s="101">
        <f t="shared" si="1"/>
        <v>30057</v>
      </c>
      <c r="N25" s="101">
        <f t="shared" si="1"/>
        <v>1588</v>
      </c>
      <c r="O25" s="101">
        <f t="shared" si="1"/>
        <v>1495</v>
      </c>
      <c r="P25" s="95">
        <f t="shared" ref="P25:Q25" si="2">J25/H25</f>
        <v>5.3754533423580872E-2</v>
      </c>
      <c r="Q25" s="95">
        <f t="shared" si="2"/>
        <v>5.0638930888162709E-2</v>
      </c>
      <c r="R25" s="95">
        <f>P25-Q25</f>
        <v>3.1156025354181632E-3</v>
      </c>
      <c r="S25" s="95">
        <f t="shared" ref="S25:T25" si="3">N25/L25</f>
        <v>4.6066372708284987E-2</v>
      </c>
      <c r="T25" s="95">
        <f t="shared" si="3"/>
        <v>4.9738829557174701E-2</v>
      </c>
      <c r="U25" s="95">
        <f>S25-T25</f>
        <v>-3.672456848889713E-3</v>
      </c>
      <c r="V25" s="95">
        <f>(H25/I25)-1</f>
        <v>0.20698190508706049</v>
      </c>
      <c r="W25" s="95">
        <f>(J25/K25)-1</f>
        <v>0.28124247531904656</v>
      </c>
      <c r="X25" s="95">
        <f>(L25/M25)-1</f>
        <v>0.14688758026416471</v>
      </c>
      <c r="Y25" s="95">
        <f>(N25/O25)-1</f>
        <v>6.2207357859531687E-2</v>
      </c>
    </row>
  </sheetData>
  <autoFilter ref="A1:Y23" xr:uid="{00000000-0009-0000-0000-00008A000000}"/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533047</v>
      </c>
      <c r="B2" s="98" t="s">
        <v>4556</v>
      </c>
      <c r="C2" s="101" t="str">
        <f>VLOOKUP(A2,'BSE ALL CAP'!$B$4:$Y$1038,2,)</f>
        <v>Commodities</v>
      </c>
      <c r="D2" s="101" t="str">
        <f>VLOOKUP(A2,'BSE ALL CAP'!$B$4:$Y$1038,3,)</f>
        <v>Ferro &amp; Silica Manganese</v>
      </c>
      <c r="E2" s="101">
        <f ca="1">IFERROR(__xludf.DUMMYFUNCTION("GOOGLEFINANCE(""BOM:""&amp;A2,""PRICE"")"),1283.65)</f>
        <v>1283.6500000000001</v>
      </c>
      <c r="F2" s="112">
        <f ca="1">IFERROR(__xludf.DUMMYFUNCTION("GOOGLEFINANCE(""BOM:""&amp;A2,""MARKETCAP"")/10000000"),6927.70644)</f>
        <v>6927.7064399999999</v>
      </c>
      <c r="G2" s="95">
        <f t="shared" ref="G2:G11" ca="1" si="0">F2/$F$13</f>
        <v>0.64584190945840936</v>
      </c>
      <c r="H2" s="101">
        <f>VLOOKUP(A2,'BSE ALL CAP'!$B$4:$Y$1038,7,)</f>
        <v>2063</v>
      </c>
      <c r="I2" s="101">
        <f>VLOOKUP(A2,'BSE ALL CAP'!$B$4:$Y$1038,8,)</f>
        <v>1997</v>
      </c>
      <c r="J2" s="101">
        <f>VLOOKUP(A2,'BSE ALL CAP'!$B$4:$Y$1038,9,)</f>
        <v>322</v>
      </c>
      <c r="K2" s="101">
        <f>VLOOKUP(A2,'BSE ALL CAP'!$B$4:$Y$1038,10,)</f>
        <v>332</v>
      </c>
      <c r="L2" s="101">
        <f>VLOOKUP(A2,'BSE ALL CAP'!$B$4:$Y$1038,11,)</f>
        <v>703</v>
      </c>
      <c r="M2" s="101">
        <f>VLOOKUP(A2,'BSE ALL CAP'!$B$4:$Y$1038,12,)</f>
        <v>643</v>
      </c>
      <c r="N2" s="101">
        <f>VLOOKUP(A2,'BSE ALL CAP'!$B$4:$Y$1038,13,)</f>
        <v>131</v>
      </c>
      <c r="O2" s="101">
        <f>VLOOKUP(A2,'BSE ALL CAP'!$B$4:$Y$1038,14,)</f>
        <v>93</v>
      </c>
      <c r="P2" s="95">
        <f>VLOOKUP(A2,'BSE ALL CAP'!$B$4:$Y$1038,15,)</f>
        <v>0.15608337372758119</v>
      </c>
      <c r="Q2" s="95">
        <f>VLOOKUP(A2,'BSE ALL CAP'!$B$4:$Y$1038,16,)</f>
        <v>0.16624937406109164</v>
      </c>
      <c r="R2" s="95">
        <f>VLOOKUP(A2,'BSE ALL CAP'!$B$4:$Y$1038,17,)</f>
        <v>-1.016600033351045E-2</v>
      </c>
      <c r="S2" s="95">
        <f>VLOOKUP(A2,'BSE ALL CAP'!$B$4:$Y$1038,18,)</f>
        <v>0.18634423897581792</v>
      </c>
      <c r="T2" s="95">
        <f>VLOOKUP(A2,'BSE ALL CAP'!$B$4:$Y$1038,19,)</f>
        <v>0.14463452566096424</v>
      </c>
      <c r="U2" s="95">
        <f>VLOOKUP(A2,'BSE ALL CAP'!$B$4:$Y$1038,20,)</f>
        <v>4.170971331485368E-2</v>
      </c>
      <c r="V2" s="95">
        <f>VLOOKUP(A2,'BSE ALL CAP'!$B$4:$Y$1038,21,)</f>
        <v>3.3049574361542211E-2</v>
      </c>
      <c r="W2" s="95">
        <f>VLOOKUP(A2,'BSE ALL CAP'!$B$4:$Y$1038,22,)</f>
        <v>-3.0120481927710885E-2</v>
      </c>
      <c r="X2" s="95">
        <f>VLOOKUP(A2,'BSE ALL CAP'!$B$4:$Y$1038,23,)</f>
        <v>9.3312597200622127E-2</v>
      </c>
      <c r="Y2" s="95">
        <f>VLOOKUP(A2,'BSE ALL CAP'!$B$4:$Y$1038,24,)</f>
        <v>0.40860215053763449</v>
      </c>
    </row>
    <row r="3" spans="1:25" ht="15.75" customHeight="1">
      <c r="A3" s="99">
        <v>590078</v>
      </c>
      <c r="B3" s="98" t="s">
        <v>4557</v>
      </c>
      <c r="C3" s="101" t="e">
        <f>VLOOKUP(A3,'BSE ALL CAP'!$B$4:$Y$1038,2,)</f>
        <v>#N/A</v>
      </c>
      <c r="D3" s="101" t="e">
        <f>VLOOKUP(A3,'BSE ALL CAP'!$B$4:$Y$1038,3,)</f>
        <v>#N/A</v>
      </c>
      <c r="E3" s="101">
        <f ca="1">IFERROR(__xludf.DUMMYFUNCTION("GOOGLEFINANCE(""BOM:""&amp;A3,""PRICE"")"),913.85)</f>
        <v>913.85</v>
      </c>
      <c r="F3" s="112">
        <f ca="1">IFERROR(__xludf.DUMMYFUNCTION("GOOGLEFINANCE(""BOM:""&amp;A3,""MARKETCAP"")/10000000"),2660.42093)</f>
        <v>2660.4209300000002</v>
      </c>
      <c r="G3" s="95">
        <f t="shared" ca="1" si="0"/>
        <v>0.24802022837941118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532721</v>
      </c>
      <c r="B4" s="98" t="s">
        <v>4558</v>
      </c>
      <c r="C4" s="101" t="e">
        <f>VLOOKUP(A4,'BSE ALL CAP'!$B$4:$Y$1038,2,)</f>
        <v>#N/A</v>
      </c>
      <c r="D4" s="101" t="e">
        <f>VLOOKUP(A4,'BSE ALL CAP'!$B$4:$Y$1038,3,)</f>
        <v>#N/A</v>
      </c>
      <c r="E4" s="101">
        <f ca="1">IFERROR(__xludf.DUMMYFUNCTION("GOOGLEFINANCE(""BOM:""&amp;A4,""PRICE"")"),31.09)</f>
        <v>31.09</v>
      </c>
      <c r="F4" s="112">
        <f ca="1">IFERROR(__xludf.DUMMYFUNCTION("GOOGLEFINANCE(""BOM:""&amp;A4,""MARKETCAP"")/10000000"),402.3486236)</f>
        <v>402.3486236</v>
      </c>
      <c r="G4" s="95">
        <f t="shared" ca="1" si="0"/>
        <v>3.7509326583674764E-2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544510</v>
      </c>
      <c r="B5" s="98" t="s">
        <v>4559</v>
      </c>
      <c r="C5" s="101"/>
      <c r="D5" s="101"/>
      <c r="E5" s="101">
        <f ca="1">IFERROR(__xludf.DUMMYFUNCTION("GOOGLEFINANCE(""BOM:""&amp;A5,""PRICE"")"),82)</f>
        <v>82</v>
      </c>
      <c r="F5" s="112">
        <f ca="1">IFERROR(__xludf.DUMMYFUNCTION("GOOGLEFINANCE(""BOM:""&amp;A5,""MARKETCAP"")/10000000"),204.401318)</f>
        <v>204.401318</v>
      </c>
      <c r="G5" s="95">
        <f t="shared" ca="1" si="0"/>
        <v>1.9055503961703024E-2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532362</v>
      </c>
      <c r="B6" s="98" t="s">
        <v>4560</v>
      </c>
      <c r="C6" s="101"/>
      <c r="D6" s="101"/>
      <c r="E6" s="101">
        <f ca="1">IFERROR(__xludf.DUMMYFUNCTION("GOOGLEFINANCE(""BOM:""&amp;A6,""PRICE"")"),162.8)</f>
        <v>162.80000000000001</v>
      </c>
      <c r="F6" s="112">
        <f ca="1">IFERROR(__xludf.DUMMYFUNCTION("GOOGLEFINANCE(""BOM:""&amp;A6,""MARKETCAP"")/10000000"),213.1947439)</f>
        <v>213.19474389999999</v>
      </c>
      <c r="G6" s="95">
        <f t="shared" ca="1" si="0"/>
        <v>1.9875279312047838E-2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539252</v>
      </c>
      <c r="B7" s="98" t="s">
        <v>4561</v>
      </c>
      <c r="C7" s="101"/>
      <c r="D7" s="101"/>
      <c r="E7" s="101">
        <f ca="1">IFERROR(__xludf.DUMMYFUNCTION("GOOGLEFINANCE(""BOM:""&amp;A7,""PRICE"")"),4.24)</f>
        <v>4.24</v>
      </c>
      <c r="F7" s="112">
        <f ca="1">IFERROR(__xludf.DUMMYFUNCTION("GOOGLEFINANCE(""BOM:""&amp;A7,""MARKETCAP"")/10000000"),90.1734825)</f>
        <v>90.173482500000006</v>
      </c>
      <c r="G7" s="95">
        <f t="shared" ca="1" si="0"/>
        <v>8.4065072076458351E-3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522165</v>
      </c>
      <c r="B8" s="98" t="s">
        <v>4562</v>
      </c>
      <c r="C8" s="101"/>
      <c r="D8" s="101"/>
      <c r="E8" s="101">
        <f ca="1">IFERROR(__xludf.DUMMYFUNCTION("GOOGLEFINANCE(""BOM:""&amp;A8,""PRICE"")"),35.81)</f>
        <v>35.81</v>
      </c>
      <c r="F8" s="112">
        <f ca="1">IFERROR(__xludf.DUMMYFUNCTION("GOOGLEFINANCE(""BOM:""&amp;A8,""MARKETCAP"")/10000000"),99.5200045)</f>
        <v>99.520004499999999</v>
      </c>
      <c r="G8" s="95">
        <f t="shared" ca="1" si="0"/>
        <v>9.277845458992847E-3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513005</v>
      </c>
      <c r="B9" s="98" t="s">
        <v>4563</v>
      </c>
      <c r="C9" s="101"/>
      <c r="D9" s="101"/>
      <c r="E9" s="101">
        <f ca="1">IFERROR(__xludf.DUMMYFUNCTION("GOOGLEFINANCE(""BOM:""&amp;A9,""PRICE"")"),41.88)</f>
        <v>41.88</v>
      </c>
      <c r="F9" s="112">
        <f ca="1">IFERROR(__xludf.DUMMYFUNCTION("GOOGLEFINANCE(""BOM:""&amp;A9,""MARKETCAP"")/10000000"),68.6595395)</f>
        <v>68.659539499999994</v>
      </c>
      <c r="G9" s="95">
        <f t="shared" ca="1" si="0"/>
        <v>6.4008497584685589E-3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532656</v>
      </c>
      <c r="B10" s="98" t="s">
        <v>4564</v>
      </c>
      <c r="C10" s="101"/>
      <c r="D10" s="101"/>
      <c r="E10" s="101">
        <f ca="1">IFERROR(__xludf.DUMMYFUNCTION("GOOGLEFINANCE(""BOM:""&amp;A10,""PRICE"")"),2.44)</f>
        <v>2.44</v>
      </c>
      <c r="F10" s="112">
        <f ca="1">IFERROR(__xludf.DUMMYFUNCTION("GOOGLEFINANCE(""BOM:""&amp;A10,""MARKETCAP"")/10000000"),47.7135423)</f>
        <v>47.7135423</v>
      </c>
      <c r="G10" s="95">
        <f t="shared" ca="1" si="0"/>
        <v>4.4481395874587009E-3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532614</v>
      </c>
      <c r="B11" s="98" t="s">
        <v>4565</v>
      </c>
      <c r="C11" s="101"/>
      <c r="D11" s="101"/>
      <c r="E11" s="101">
        <f ca="1">IFERROR(__xludf.DUMMYFUNCTION("GOOGLEFINANCE(""BOM:""&amp;A11,""PRICE"")"),1.41)</f>
        <v>1.41</v>
      </c>
      <c r="F11" s="112">
        <f ca="1">IFERROR(__xludf.DUMMYFUNCTION("GOOGLEFINANCE(""BOM:""&amp;A11,""MARKETCAP"")/10000000"),12.490197)</f>
        <v>12.490197</v>
      </c>
      <c r="G11" s="95">
        <f t="shared" ca="1" si="0"/>
        <v>1.164410292187799E-3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>
      <c r="A12" s="101"/>
      <c r="B12" s="101"/>
      <c r="C12" s="101"/>
      <c r="D12" s="101"/>
      <c r="E12" s="101"/>
      <c r="F12" s="112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>
      <c r="A13" s="101"/>
      <c r="B13" s="101"/>
      <c r="C13" s="101"/>
      <c r="D13" s="101"/>
      <c r="E13" s="101"/>
      <c r="F13" s="112">
        <f ca="1">SUM(F1:F11)</f>
        <v>10726.628821300001</v>
      </c>
      <c r="G13" s="95">
        <f t="shared" ref="G13:O13" ca="1" si="1">SUM(G2:G11)</f>
        <v>0.99999999999999978</v>
      </c>
      <c r="H13" s="101">
        <f t="shared" si="1"/>
        <v>2063</v>
      </c>
      <c r="I13" s="101">
        <f t="shared" si="1"/>
        <v>1997</v>
      </c>
      <c r="J13" s="101">
        <f t="shared" si="1"/>
        <v>322</v>
      </c>
      <c r="K13" s="101">
        <f t="shared" si="1"/>
        <v>332</v>
      </c>
      <c r="L13" s="101">
        <f t="shared" si="1"/>
        <v>703</v>
      </c>
      <c r="M13" s="101">
        <f t="shared" si="1"/>
        <v>643</v>
      </c>
      <c r="N13" s="101">
        <f t="shared" si="1"/>
        <v>131</v>
      </c>
      <c r="O13" s="101">
        <f t="shared" si="1"/>
        <v>93</v>
      </c>
      <c r="P13" s="95">
        <f t="shared" ref="P13:Q13" si="2">J13/H13</f>
        <v>0.15608337372758119</v>
      </c>
      <c r="Q13" s="95">
        <f t="shared" si="2"/>
        <v>0.16624937406109164</v>
      </c>
      <c r="R13" s="95">
        <f>P13-Q13</f>
        <v>-1.016600033351045E-2</v>
      </c>
      <c r="S13" s="95">
        <f t="shared" ref="S13:T13" si="3">N13/L13</f>
        <v>0.18634423897581792</v>
      </c>
      <c r="T13" s="95">
        <f t="shared" si="3"/>
        <v>0.14463452566096424</v>
      </c>
      <c r="U13" s="95">
        <f>S13-T13</f>
        <v>4.170971331485368E-2</v>
      </c>
      <c r="V13" s="95">
        <f>(H13/I13)-1</f>
        <v>3.3049574361542211E-2</v>
      </c>
      <c r="W13" s="95">
        <f>(J13/K13)-1</f>
        <v>-3.0120481927710885E-2</v>
      </c>
      <c r="X13" s="95">
        <f>(L13/M13)-1</f>
        <v>9.3312597200622127E-2</v>
      </c>
      <c r="Y13" s="95">
        <f>(N13/O13)-1</f>
        <v>0.40860215053763449</v>
      </c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1" xr:uid="{00000000-0009-0000-0000-00008B000000}"/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>
      <c r="A2" s="101">
        <v>532725</v>
      </c>
      <c r="B2" s="101" t="s">
        <v>1393</v>
      </c>
      <c r="C2" s="101" t="str">
        <f>VLOOKUP(A2,'BSE ALL CAP'!$B$4:$Y$1038,2,)</f>
        <v>Commodities</v>
      </c>
      <c r="D2" s="101" t="str">
        <f>VLOOKUP(A2,'BSE ALL CAP'!$B$4:$Y$1038,3,)</f>
        <v>Explosives</v>
      </c>
      <c r="E2" s="101">
        <f ca="1">IFERROR(__xludf.DUMMYFUNCTION("GOOGLEFINANCE(""BOM:""&amp;A2,""PRICE"")"),13281)</f>
        <v>13281</v>
      </c>
      <c r="F2" s="112">
        <f ca="1">IFERROR(__xludf.DUMMYFUNCTION("GOOGLEFINANCE(""BOM:""&amp;A2,""MARKETCAP"")/10000000"),120487.48826)</f>
        <v>120487.48826</v>
      </c>
      <c r="G2" s="95">
        <f t="shared" ref="G2:G6" ca="1" si="0">F2/$F$8</f>
        <v>0.96591549866294357</v>
      </c>
      <c r="H2" s="101">
        <f>VLOOKUP(A2,'BSE ALL CAP'!$B$4:$Y$1038,7,)</f>
        <v>6385</v>
      </c>
      <c r="I2" s="101">
        <f>VLOOKUP(A2,'BSE ALL CAP'!$B$4:$Y$1038,8,)</f>
        <v>5374</v>
      </c>
      <c r="J2" s="101">
        <f>VLOOKUP(A2,'BSE ALL CAP'!$B$4:$Y$1038,9,)</f>
        <v>1181</v>
      </c>
      <c r="K2" s="101">
        <f>VLOOKUP(A2,'BSE ALL CAP'!$B$4:$Y$1038,10,)</f>
        <v>942</v>
      </c>
      <c r="L2" s="101">
        <f>VLOOKUP(A2,'BSE ALL CAP'!$B$4:$Y$1038,11,)</f>
        <v>2548</v>
      </c>
      <c r="M2" s="101">
        <f>VLOOKUP(A2,'BSE ALL CAP'!$B$4:$Y$1038,12,)</f>
        <v>1973</v>
      </c>
      <c r="N2" s="101">
        <f>VLOOKUP(A2,'BSE ALL CAP'!$B$4:$Y$1038,13,)</f>
        <v>467</v>
      </c>
      <c r="O2" s="101">
        <f>VLOOKUP(A2,'BSE ALL CAP'!$B$4:$Y$1038,14,)</f>
        <v>337</v>
      </c>
      <c r="P2" s="95">
        <f>VLOOKUP(A2,'BSE ALL CAP'!$B$4:$Y$1038,15,)</f>
        <v>0.18496476115896632</v>
      </c>
      <c r="Q2" s="95">
        <f>VLOOKUP(A2,'BSE ALL CAP'!$B$4:$Y$1038,16,)</f>
        <v>0.17528842575362857</v>
      </c>
      <c r="R2" s="95">
        <f>VLOOKUP(A2,'BSE ALL CAP'!$B$4:$Y$1038,17,)</f>
        <v>9.6763354053377437E-3</v>
      </c>
      <c r="S2" s="95">
        <f>VLOOKUP(A2,'BSE ALL CAP'!$B$4:$Y$1038,18,)</f>
        <v>0.18328100470957615</v>
      </c>
      <c r="T2" s="95">
        <f>VLOOKUP(A2,'BSE ALL CAP'!$B$4:$Y$1038,19,)</f>
        <v>0.17080587937151545</v>
      </c>
      <c r="U2" s="95">
        <f>VLOOKUP(A2,'BSE ALL CAP'!$B$4:$Y$1038,20,)</f>
        <v>1.2475125338060694E-2</v>
      </c>
      <c r="V2" s="95">
        <f>VLOOKUP(A2,'BSE ALL CAP'!$B$4:$Y$1038,21,)</f>
        <v>0.18812802381838489</v>
      </c>
      <c r="W2" s="95">
        <f>VLOOKUP(A2,'BSE ALL CAP'!$B$4:$Y$1038,22,)</f>
        <v>0.25371549893842893</v>
      </c>
      <c r="X2" s="95">
        <f>VLOOKUP(A2,'BSE ALL CAP'!$B$4:$Y$1038,23,)</f>
        <v>0.29143436391282318</v>
      </c>
      <c r="Y2" s="95">
        <f>VLOOKUP(A2,'BSE ALL CAP'!$B$4:$Y$1038,24,)</f>
        <v>0.3857566765578635</v>
      </c>
    </row>
    <row r="3" spans="1:25">
      <c r="A3" s="101">
        <v>526247</v>
      </c>
      <c r="B3" s="101" t="s">
        <v>4566</v>
      </c>
      <c r="C3" s="101" t="str">
        <f>VLOOKUP(A3,'BSE ALL CAP'!$B$4:$Y$1038,2,)</f>
        <v>Commodities</v>
      </c>
      <c r="D3" s="101" t="str">
        <f>VLOOKUP(A3,'BSE ALL CAP'!$B$4:$Y$1038,3,)</f>
        <v>Explosives</v>
      </c>
      <c r="E3" s="101">
        <f ca="1">IFERROR(__xludf.DUMMYFUNCTION("GOOGLEFINANCE(""BOM:""&amp;A3,""PRICE"")"),429.05)</f>
        <v>429.05</v>
      </c>
      <c r="F3" s="112">
        <f ca="1">IFERROR(__xludf.DUMMYFUNCTION("GOOGLEFINANCE(""BOM:""&amp;A3,""MARKETCAP"")/10000000"),2292.3535002)</f>
        <v>2292.3535001999999</v>
      </c>
      <c r="G3" s="95">
        <f t="shared" ca="1" si="0"/>
        <v>1.837717597265669E-2</v>
      </c>
      <c r="H3" s="101">
        <f>VLOOKUP(A3,'BSE ALL CAP'!$B$4:$Y$1038,7,)</f>
        <v>299</v>
      </c>
      <c r="I3" s="101">
        <f>VLOOKUP(A3,'BSE ALL CAP'!$B$4:$Y$1038,8,)</f>
        <v>343</v>
      </c>
      <c r="J3" s="101">
        <f>VLOOKUP(A3,'BSE ALL CAP'!$B$4:$Y$1038,9,)</f>
        <v>39</v>
      </c>
      <c r="K3" s="101">
        <f>VLOOKUP(A3,'BSE ALL CAP'!$B$4:$Y$1038,10,)</f>
        <v>24</v>
      </c>
      <c r="L3" s="101">
        <f>VLOOKUP(A3,'BSE ALL CAP'!$B$4:$Y$1038,11,)</f>
        <v>81</v>
      </c>
      <c r="M3" s="101">
        <f>VLOOKUP(A3,'BSE ALL CAP'!$B$4:$Y$1038,12,)</f>
        <v>165</v>
      </c>
      <c r="N3" s="101">
        <f>VLOOKUP(A3,'BSE ALL CAP'!$B$4:$Y$1038,13,)</f>
        <v>6</v>
      </c>
      <c r="O3" s="101">
        <f>VLOOKUP(A3,'BSE ALL CAP'!$B$4:$Y$1038,14,)</f>
        <v>9</v>
      </c>
      <c r="P3" s="95">
        <f>VLOOKUP(A3,'BSE ALL CAP'!$B$4:$Y$1038,15,)</f>
        <v>0.13043478260869565</v>
      </c>
      <c r="Q3" s="95">
        <f>VLOOKUP(A3,'BSE ALL CAP'!$B$4:$Y$1038,16,)</f>
        <v>6.9970845481049565E-2</v>
      </c>
      <c r="R3" s="95">
        <f>VLOOKUP(A3,'BSE ALL CAP'!$B$4:$Y$1038,17,)</f>
        <v>6.0463937127646084E-2</v>
      </c>
      <c r="S3" s="95">
        <f>VLOOKUP(A3,'BSE ALL CAP'!$B$4:$Y$1038,18,)</f>
        <v>7.407407407407407E-2</v>
      </c>
      <c r="T3" s="95">
        <f>VLOOKUP(A3,'BSE ALL CAP'!$B$4:$Y$1038,19,)</f>
        <v>5.4545454545454543E-2</v>
      </c>
      <c r="U3" s="95">
        <f>VLOOKUP(A3,'BSE ALL CAP'!$B$4:$Y$1038,20,)</f>
        <v>1.9528619528619527E-2</v>
      </c>
      <c r="V3" s="95">
        <f>VLOOKUP(A3,'BSE ALL CAP'!$B$4:$Y$1038,21,)</f>
        <v>-0.1282798833819242</v>
      </c>
      <c r="W3" s="95">
        <f>VLOOKUP(A3,'BSE ALL CAP'!$B$4:$Y$1038,22,)</f>
        <v>0.625</v>
      </c>
      <c r="X3" s="95">
        <f>VLOOKUP(A3,'BSE ALL CAP'!$B$4:$Y$1038,23,)</f>
        <v>-0.50909090909090904</v>
      </c>
      <c r="Y3" s="95">
        <f>VLOOKUP(A3,'BSE ALL CAP'!$B$4:$Y$1038,24,)</f>
        <v>-0.33333333333333337</v>
      </c>
    </row>
    <row r="4" spans="1:25">
      <c r="A4" s="101">
        <v>506480</v>
      </c>
      <c r="B4" s="101" t="s">
        <v>4567</v>
      </c>
      <c r="C4" s="101"/>
      <c r="D4" s="101"/>
      <c r="E4" s="101">
        <f ca="1">IFERROR(__xludf.DUMMYFUNCTION("GOOGLEFINANCE(""BOM:""&amp;A4,""PRICE"")"),271.25)</f>
        <v>271.25</v>
      </c>
      <c r="F4" s="112">
        <f ca="1">IFERROR(__xludf.DUMMYFUNCTION("GOOGLEFINANCE(""BOM:""&amp;A4,""MARKETCAP"")/10000000"),1347.8757009)</f>
        <v>1347.8757009000001</v>
      </c>
      <c r="G4" s="95">
        <f t="shared" ca="1" si="0"/>
        <v>1.0805553743149199E-2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101">
        <v>506528</v>
      </c>
      <c r="B5" s="101" t="s">
        <v>4568</v>
      </c>
      <c r="C5" s="101"/>
      <c r="D5" s="101"/>
      <c r="E5" s="101">
        <f ca="1">IFERROR(__xludf.DUMMYFUNCTION("GOOGLEFINANCE(""BOM:""&amp;A5,""PRICE"")"),3236.35)</f>
        <v>3236.35</v>
      </c>
      <c r="F5" s="112">
        <f ca="1">IFERROR(__xludf.DUMMYFUNCTION("GOOGLEFINANCE(""BOM:""&amp;A5,""MARKETCAP"")/10000000"),323.6350097)</f>
        <v>323.63500970000001</v>
      </c>
      <c r="G5" s="95">
        <f t="shared" ca="1" si="0"/>
        <v>2.5944940532297732E-3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>
      <c r="A6" s="101">
        <v>544369</v>
      </c>
      <c r="B6" s="101" t="s">
        <v>4569</v>
      </c>
      <c r="C6" s="101"/>
      <c r="D6" s="101"/>
      <c r="E6" s="101">
        <f ca="1">IFERROR(__xludf.DUMMYFUNCTION("GOOGLEFINANCE(""BOM:""&amp;A6,""PRICE"")"),189.95)</f>
        <v>189.95</v>
      </c>
      <c r="F6" s="112">
        <f ca="1">IFERROR(__xludf.DUMMYFUNCTION("GOOGLEFINANCE(""BOM:""&amp;A6,""MARKETCAP"")/10000000"),287.8078665)</f>
        <v>287.80786649999999</v>
      </c>
      <c r="G6" s="95">
        <f t="shared" ca="1" si="0"/>
        <v>2.3072775680207827E-3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101"/>
      <c r="B7" s="101"/>
      <c r="C7" s="101"/>
      <c r="D7" s="101"/>
      <c r="E7" s="101"/>
      <c r="F7" s="112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12">
        <f ca="1">SUM(F2:F6)</f>
        <v>124739.1603373</v>
      </c>
      <c r="G8" s="95">
        <f ca="1">F8/$F$8</f>
        <v>1</v>
      </c>
      <c r="H8" s="101">
        <f t="shared" ref="H8:O8" si="1">SUM(H2:H7)</f>
        <v>6684</v>
      </c>
      <c r="I8" s="101">
        <f t="shared" si="1"/>
        <v>5717</v>
      </c>
      <c r="J8" s="101">
        <f t="shared" si="1"/>
        <v>1220</v>
      </c>
      <c r="K8" s="101">
        <f t="shared" si="1"/>
        <v>966</v>
      </c>
      <c r="L8" s="101">
        <f t="shared" si="1"/>
        <v>2629</v>
      </c>
      <c r="M8" s="101">
        <f t="shared" si="1"/>
        <v>2138</v>
      </c>
      <c r="N8" s="101">
        <f t="shared" si="1"/>
        <v>473</v>
      </c>
      <c r="O8" s="101">
        <f t="shared" si="1"/>
        <v>346</v>
      </c>
      <c r="P8" s="95">
        <f t="shared" ref="P8:Q8" si="2">J8/H8</f>
        <v>0.18252543387193298</v>
      </c>
      <c r="Q8" s="95">
        <f t="shared" si="2"/>
        <v>0.16896973937379745</v>
      </c>
      <c r="R8" s="95">
        <f>P8-Q8</f>
        <v>1.355569449813554E-2</v>
      </c>
      <c r="S8" s="95">
        <f t="shared" ref="S8:T8" si="3">N8/L8</f>
        <v>0.1799163179916318</v>
      </c>
      <c r="T8" s="95">
        <f t="shared" si="3"/>
        <v>0.1618334892422825</v>
      </c>
      <c r="U8" s="95">
        <f>S8-T8</f>
        <v>1.80828287493493E-2</v>
      </c>
      <c r="V8" s="95">
        <f>(H8/I8)-1</f>
        <v>0.16914465628826303</v>
      </c>
      <c r="W8" s="95">
        <f>(J8/K8)-1</f>
        <v>0.26293995859213259</v>
      </c>
      <c r="X8" s="95">
        <f>(L8/M8)-1</f>
        <v>0.22965388213283444</v>
      </c>
      <c r="Y8" s="95">
        <f>(N8/O8)-1</f>
        <v>0.36705202312138718</v>
      </c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7" xr:uid="{00000000-0009-0000-0000-00008C000000}"/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534091</v>
      </c>
      <c r="B2" s="98" t="s">
        <v>4570</v>
      </c>
      <c r="C2" s="101" t="str">
        <f>VLOOKUP(A2,'BSE ALL CAP'!$B$4:$Y$1038,2,)</f>
        <v>Financial Services</v>
      </c>
      <c r="D2" s="101" t="str">
        <f>VLOOKUP(A2,'BSE ALL CAP'!$B$4:$Y$1038,3,)</f>
        <v>Exchange and Data Platform</v>
      </c>
      <c r="E2" s="101">
        <f ca="1">IFERROR(__xludf.DUMMYFUNCTION("GOOGLEFINANCE(""BOM:""&amp;A2,""PRICE"")"),2562.9)</f>
        <v>2562.9</v>
      </c>
      <c r="F2" s="112">
        <f ca="1">IFERROR(__xludf.DUMMYFUNCTION("GOOGLEFINANCE(""BOM:""&amp;A2,""MARKETCAP"")/10000000"),65231.9382)</f>
        <v>65231.938199999997</v>
      </c>
      <c r="G2" s="95">
        <f t="shared" ref="G2:G3" ca="1" si="0">F2/$F$5</f>
        <v>0.85394307246355339</v>
      </c>
      <c r="H2" s="101">
        <f>VLOOKUP(A2,'BSE ALL CAP'!$B$4:$Y$1038,7,)</f>
        <v>1503</v>
      </c>
      <c r="I2" s="101">
        <f>VLOOKUP(A2,'BSE ALL CAP'!$B$4:$Y$1038,8,)</f>
        <v>888</v>
      </c>
      <c r="J2" s="101">
        <f>VLOOKUP(A2,'BSE ALL CAP'!$B$4:$Y$1038,9,)</f>
        <v>801</v>
      </c>
      <c r="K2" s="101">
        <f>VLOOKUP(A2,'BSE ALL CAP'!$B$4:$Y$1038,10,)</f>
        <v>424</v>
      </c>
      <c r="L2" s="101">
        <f>VLOOKUP(A2,'BSE ALL CAP'!$B$4:$Y$1038,11,)</f>
        <v>697</v>
      </c>
      <c r="M2" s="101">
        <f>VLOOKUP(A2,'BSE ALL CAP'!$B$4:$Y$1038,12,)</f>
        <v>324</v>
      </c>
      <c r="N2" s="101">
        <f>VLOOKUP(A2,'BSE ALL CAP'!$B$4:$Y$1038,13,)</f>
        <v>401</v>
      </c>
      <c r="O2" s="101">
        <f>VLOOKUP(A2,'BSE ALL CAP'!$B$4:$Y$1038,14,)</f>
        <v>160</v>
      </c>
      <c r="P2" s="95">
        <f>VLOOKUP(A2,'BSE ALL CAP'!$B$4:$Y$1038,15,)</f>
        <v>0.53293413173652693</v>
      </c>
      <c r="Q2" s="95">
        <f>VLOOKUP(A2,'BSE ALL CAP'!$B$4:$Y$1038,16,)</f>
        <v>0.47747747747747749</v>
      </c>
      <c r="R2" s="95">
        <f>VLOOKUP(A2,'BSE ALL CAP'!$B$4:$Y$1038,17,)</f>
        <v>5.5456654259049443E-2</v>
      </c>
      <c r="S2" s="95">
        <f>VLOOKUP(A2,'BSE ALL CAP'!$B$4:$Y$1038,18,)</f>
        <v>0.57532281205164992</v>
      </c>
      <c r="T2" s="95">
        <f>VLOOKUP(A2,'BSE ALL CAP'!$B$4:$Y$1038,19,)</f>
        <v>0.49382716049382713</v>
      </c>
      <c r="U2" s="95">
        <f>VLOOKUP(A2,'BSE ALL CAP'!$B$4:$Y$1038,20,)</f>
        <v>8.149565155782279E-2</v>
      </c>
      <c r="V2" s="95">
        <f>VLOOKUP(A2,'BSE ALL CAP'!$B$4:$Y$1038,21,)</f>
        <v>0.69256756756756754</v>
      </c>
      <c r="W2" s="95">
        <f>VLOOKUP(A2,'BSE ALL CAP'!$B$4:$Y$1038,22,)</f>
        <v>0.88915094339622636</v>
      </c>
      <c r="X2" s="95">
        <f>VLOOKUP(A2,'BSE ALL CAP'!$B$4:$Y$1038,23,)</f>
        <v>1.1512345679012346</v>
      </c>
      <c r="Y2" s="95">
        <f>VLOOKUP(A2,'BSE ALL CAP'!$B$4:$Y$1038,24,)</f>
        <v>1.5062500000000001</v>
      </c>
    </row>
    <row r="3" spans="1:25" ht="15.75" customHeight="1">
      <c r="A3" s="99">
        <v>540750</v>
      </c>
      <c r="B3" s="98" t="s">
        <v>1416</v>
      </c>
      <c r="C3" s="101" t="str">
        <f>VLOOKUP(A3,'BSE ALL CAP'!$B$4:$Y$1038,2,)</f>
        <v>Financial Services</v>
      </c>
      <c r="D3" s="101" t="str">
        <f>VLOOKUP(A3,'BSE ALL CAP'!$B$4:$Y$1038,3,)</f>
        <v>Exchange and Data Platform</v>
      </c>
      <c r="E3" s="101">
        <f ca="1">IFERROR(__xludf.DUMMYFUNCTION("GOOGLEFINANCE(""BOM:""&amp;A3,""PRICE"")"),125.45)</f>
        <v>125.45</v>
      </c>
      <c r="F3" s="112">
        <f ca="1">IFERROR(__xludf.DUMMYFUNCTION("GOOGLEFINANCE(""BOM:""&amp;A3,""MARKETCAP"")/10000000"),11157.1564639)</f>
        <v>11157.156463900001</v>
      </c>
      <c r="G3" s="95">
        <f t="shared" ca="1" si="0"/>
        <v>0.14605692753644658</v>
      </c>
      <c r="H3" s="101">
        <f>VLOOKUP(A3,'BSE ALL CAP'!$B$4:$Y$1038,7,)</f>
        <v>441</v>
      </c>
      <c r="I3" s="101">
        <f>VLOOKUP(A3,'BSE ALL CAP'!$B$4:$Y$1038,8,)</f>
        <v>395</v>
      </c>
      <c r="J3" s="101">
        <f>VLOOKUP(A3,'BSE ALL CAP'!$B$4:$Y$1038,9,)</f>
        <v>363</v>
      </c>
      <c r="K3" s="101">
        <f>VLOOKUP(A3,'BSE ALL CAP'!$B$4:$Y$1038,10,)</f>
        <v>312</v>
      </c>
      <c r="L3" s="101">
        <f>VLOOKUP(A3,'BSE ALL CAP'!$B$4:$Y$1038,11,)</f>
        <v>145</v>
      </c>
      <c r="M3" s="101">
        <f>VLOOKUP(A3,'BSE ALL CAP'!$B$4:$Y$1038,12,)</f>
        <v>132</v>
      </c>
      <c r="N3" s="101">
        <f>VLOOKUP(A3,'BSE ALL CAP'!$B$4:$Y$1038,13,)</f>
        <v>119</v>
      </c>
      <c r="O3" s="101">
        <f>VLOOKUP(A3,'BSE ALL CAP'!$B$4:$Y$1038,14,)</f>
        <v>107</v>
      </c>
      <c r="P3" s="95">
        <f>VLOOKUP(A3,'BSE ALL CAP'!$B$4:$Y$1038,15,)</f>
        <v>0.8231292517006803</v>
      </c>
      <c r="Q3" s="95">
        <f>VLOOKUP(A3,'BSE ALL CAP'!$B$4:$Y$1038,16,)</f>
        <v>0.78987341772151898</v>
      </c>
      <c r="R3" s="95">
        <f>VLOOKUP(A3,'BSE ALL CAP'!$B$4:$Y$1038,17,)</f>
        <v>3.325583397916132E-2</v>
      </c>
      <c r="S3" s="95">
        <f>VLOOKUP(A3,'BSE ALL CAP'!$B$4:$Y$1038,18,)</f>
        <v>0.82068965517241377</v>
      </c>
      <c r="T3" s="95">
        <f>VLOOKUP(A3,'BSE ALL CAP'!$B$4:$Y$1038,19,)</f>
        <v>0.81060606060606055</v>
      </c>
      <c r="U3" s="95">
        <f>VLOOKUP(A3,'BSE ALL CAP'!$B$4:$Y$1038,20,)</f>
        <v>1.0083594566353216E-2</v>
      </c>
      <c r="V3" s="95">
        <f>VLOOKUP(A3,'BSE ALL CAP'!$B$4:$Y$1038,21,)</f>
        <v>0.1164556962025316</v>
      </c>
      <c r="W3" s="95">
        <f>VLOOKUP(A3,'BSE ALL CAP'!$B$4:$Y$1038,22,)</f>
        <v>0.16346153846153855</v>
      </c>
      <c r="X3" s="95">
        <f>VLOOKUP(A3,'BSE ALL CAP'!$B$4:$Y$1038,23,)</f>
        <v>9.8484848484848397E-2</v>
      </c>
      <c r="Y3" s="95">
        <f>VLOOKUP(A3,'BSE ALL CAP'!$B$4:$Y$1038,24,)</f>
        <v>0.11214953271028039</v>
      </c>
    </row>
    <row r="4" spans="1:25">
      <c r="A4" s="101"/>
      <c r="B4" s="101"/>
      <c r="C4" s="101"/>
      <c r="D4" s="101"/>
      <c r="E4" s="101"/>
      <c r="F4" s="112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101"/>
      <c r="B5" s="101"/>
      <c r="C5" s="101"/>
      <c r="D5" s="101"/>
      <c r="E5" s="101"/>
      <c r="F5" s="112">
        <f ca="1">SUM((F2:F3))</f>
        <v>76389.094663900003</v>
      </c>
      <c r="G5" s="95">
        <f ca="1">F5/$F$5</f>
        <v>1</v>
      </c>
      <c r="H5" s="101">
        <f>SUM(H2:H3)</f>
        <v>1944</v>
      </c>
      <c r="I5" s="101">
        <f t="shared" ref="I5:O5" si="1">SUM(I2:I4)</f>
        <v>1283</v>
      </c>
      <c r="J5" s="101">
        <f t="shared" si="1"/>
        <v>1164</v>
      </c>
      <c r="K5" s="101">
        <f t="shared" si="1"/>
        <v>736</v>
      </c>
      <c r="L5" s="101">
        <f t="shared" si="1"/>
        <v>842</v>
      </c>
      <c r="M5" s="101">
        <f t="shared" si="1"/>
        <v>456</v>
      </c>
      <c r="N5" s="101">
        <f t="shared" si="1"/>
        <v>520</v>
      </c>
      <c r="O5" s="101">
        <f t="shared" si="1"/>
        <v>267</v>
      </c>
      <c r="P5" s="95">
        <f t="shared" ref="P5:Q5" si="2">J5/H5</f>
        <v>0.59876543209876543</v>
      </c>
      <c r="Q5" s="95">
        <f t="shared" si="2"/>
        <v>0.57365549493374901</v>
      </c>
      <c r="R5" s="95">
        <f>P5-Q5</f>
        <v>2.5109937165016416E-2</v>
      </c>
      <c r="S5" s="95">
        <f t="shared" ref="S5:T5" si="3">N5/L5</f>
        <v>0.61757719714964365</v>
      </c>
      <c r="T5" s="95">
        <f t="shared" si="3"/>
        <v>0.58552631578947367</v>
      </c>
      <c r="U5" s="95">
        <f>S5-T5</f>
        <v>3.205088136016998E-2</v>
      </c>
      <c r="V5" s="95">
        <f>(H5/I5)-1</f>
        <v>0.51519875292283701</v>
      </c>
      <c r="W5" s="95">
        <f>(J5/K5)-1</f>
        <v>0.58152173913043481</v>
      </c>
      <c r="X5" s="95">
        <f>(L5/M5)-1</f>
        <v>0.84649122807017552</v>
      </c>
      <c r="Y5" s="95">
        <f>(N5/O5)-1</f>
        <v>0.94756554307116114</v>
      </c>
    </row>
    <row r="6" spans="1:25">
      <c r="F6" s="94"/>
    </row>
    <row r="7" spans="1:25">
      <c r="F7" s="94"/>
    </row>
    <row r="8" spans="1:25">
      <c r="F8" s="94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3" xr:uid="{00000000-0009-0000-0000-00008D000000}"/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543320</v>
      </c>
      <c r="B2" s="98" t="s">
        <v>121</v>
      </c>
      <c r="C2" s="101" t="str">
        <f>VLOOKUP(A2,'BSE ALL CAP'!$B$4:$Y$1038,2,)</f>
        <v>Consumer Discretionary</v>
      </c>
      <c r="D2" s="101" t="str">
        <f>VLOOKUP(A2,'BSE ALL CAP'!$B$4:$Y$1038,3,)</f>
        <v>E-Retail/ E-Commerce</v>
      </c>
      <c r="E2" s="101">
        <f ca="1">IFERROR(__xludf.DUMMYFUNCTION("GOOGLEFINANCE(""BOM:""&amp;A2,""PRICE"")"),232.7)</f>
        <v>232.7</v>
      </c>
      <c r="F2" s="112">
        <f ca="1">IFERROR(__xludf.DUMMYFUNCTION("GOOGLEFINANCE(""BOM:""&amp;A2,""MARKETCAP"")/10000000"),212021.45299)</f>
        <v>212021.45298999999</v>
      </c>
      <c r="G2" s="95">
        <f t="shared" ref="G2:G17" ca="1" si="0">F2/$F$19</f>
        <v>0.46204301625527949</v>
      </c>
      <c r="H2" s="101">
        <f>VLOOKUP(A2,'BSE ALL CAP'!$B$4:$Y$1038,7,)</f>
        <v>37072</v>
      </c>
      <c r="I2" s="101">
        <f>VLOOKUP(A2,'BSE ALL CAP'!$B$4:$Y$1038,8,)</f>
        <v>14410</v>
      </c>
      <c r="J2" s="101">
        <f>VLOOKUP(A2,'BSE ALL CAP'!$B$4:$Y$1038,9,)</f>
        <v>192</v>
      </c>
      <c r="K2" s="101">
        <f>VLOOKUP(A2,'BSE ALL CAP'!$B$4:$Y$1038,10,)</f>
        <v>488</v>
      </c>
      <c r="L2" s="101">
        <f>VLOOKUP(A2,'BSE ALL CAP'!$B$4:$Y$1038,11,)</f>
        <v>16315</v>
      </c>
      <c r="M2" s="101">
        <f>VLOOKUP(A2,'BSE ALL CAP'!$B$4:$Y$1038,12,)</f>
        <v>5405</v>
      </c>
      <c r="N2" s="101">
        <f>VLOOKUP(A2,'BSE ALL CAP'!$B$4:$Y$1038,13,)</f>
        <v>102</v>
      </c>
      <c r="O2" s="101">
        <f>VLOOKUP(A2,'BSE ALL CAP'!$B$4:$Y$1038,14,)</f>
        <v>59</v>
      </c>
      <c r="P2" s="95">
        <f>VLOOKUP(A2,'BSE ALL CAP'!$B$4:$Y$1038,15,)</f>
        <v>5.1791109192921882E-3</v>
      </c>
      <c r="Q2" s="95">
        <f>VLOOKUP(A2,'BSE ALL CAP'!$B$4:$Y$1038,16,)</f>
        <v>3.3865371269951421E-2</v>
      </c>
      <c r="R2" s="95">
        <f>VLOOKUP(A2,'BSE ALL CAP'!$B$4:$Y$1038,17,)</f>
        <v>-2.8686260350659232E-2</v>
      </c>
      <c r="S2" s="95">
        <f>VLOOKUP(A2,'BSE ALL CAP'!$B$4:$Y$1038,18,)</f>
        <v>6.251915415262029E-3</v>
      </c>
      <c r="T2" s="95">
        <f>VLOOKUP(A2,'BSE ALL CAP'!$B$4:$Y$1038,19,)</f>
        <v>1.091581868640148E-2</v>
      </c>
      <c r="U2" s="95">
        <f>VLOOKUP(A2,'BSE ALL CAP'!$B$4:$Y$1038,20,)</f>
        <v>-4.6639032711394508E-3</v>
      </c>
      <c r="V2" s="95">
        <f>VLOOKUP(A2,'BSE ALL CAP'!$B$4:$Y$1038,21,)</f>
        <v>1.5726578764746701</v>
      </c>
      <c r="W2" s="95">
        <f>VLOOKUP(A2,'BSE ALL CAP'!$B$4:$Y$1038,22,)</f>
        <v>-0.60655737704918034</v>
      </c>
      <c r="X2" s="95">
        <f>VLOOKUP(A2,'BSE ALL CAP'!$B$4:$Y$1038,23,)</f>
        <v>2.0185013876040703</v>
      </c>
      <c r="Y2" s="95">
        <f>VLOOKUP(A2,'BSE ALL CAP'!$B$4:$Y$1038,24,)</f>
        <v>0.72881355932203395</v>
      </c>
    </row>
    <row r="3" spans="1:25" ht="15.75" customHeight="1">
      <c r="A3" s="99">
        <v>544285</v>
      </c>
      <c r="B3" s="98" t="s">
        <v>4571</v>
      </c>
      <c r="C3" s="101" t="str">
        <f>VLOOKUP(A3,'BSE ALL CAP'!$B$4:$Y$1038,2,)</f>
        <v>Consumer Discretionary</v>
      </c>
      <c r="D3" s="101" t="str">
        <f>VLOOKUP(A3,'BSE ALL CAP'!$B$4:$Y$1038,3,)</f>
        <v>E-Retail/ E-Commerce</v>
      </c>
      <c r="E3" s="101">
        <f ca="1">IFERROR(__xludf.DUMMYFUNCTION("GOOGLEFINANCE(""BOM:""&amp;A3,""PRICE"")"),272.7)</f>
        <v>272.7</v>
      </c>
      <c r="F3" s="112">
        <f ca="1">IFERROR(__xludf.DUMMYFUNCTION("GOOGLEFINANCE(""BOM:""&amp;A3,""MARKETCAP"")/10000000"),62350.9063924)</f>
        <v>62350.9063924</v>
      </c>
      <c r="G3" s="95">
        <f t="shared" ca="1" si="0"/>
        <v>0.13587682024400546</v>
      </c>
      <c r="H3" s="101">
        <f>VLOOKUP(A3,'BSE ALL CAP'!$B$4:$Y$1038,7,)</f>
        <v>166</v>
      </c>
      <c r="I3" s="101">
        <f>VLOOKUP(A3,'BSE ALL CAP'!$B$4:$Y$1038,8,)</f>
        <v>108</v>
      </c>
      <c r="J3" s="101">
        <f>VLOOKUP(A3,'BSE ALL CAP'!$B$4:$Y$1038,9,)</f>
        <v>-33</v>
      </c>
      <c r="K3" s="101">
        <f>VLOOKUP(A3,'BSE ALL CAP'!$B$4:$Y$1038,10,)</f>
        <v>-20</v>
      </c>
      <c r="L3" s="101">
        <f>VLOOKUP(A3,'BSE ALL CAP'!$B$4:$Y$1038,11,)</f>
        <v>61</v>
      </c>
      <c r="M3" s="101">
        <f>VLOOKUP(A3,'BSE ALL CAP'!$B$4:$Y$1038,12,)</f>
        <v>39</v>
      </c>
      <c r="N3" s="101">
        <f>VLOOKUP(A3,'BSE ALL CAP'!$B$4:$Y$1038,13,)</f>
        <v>-10</v>
      </c>
      <c r="O3" s="101">
        <f>VLOOKUP(A3,'BSE ALL CAP'!$B$4:$Y$1038,14,)</f>
        <v>-7</v>
      </c>
      <c r="P3" s="95">
        <f>VLOOKUP(A3,'BSE ALL CAP'!$B$4:$Y$1038,15,)</f>
        <v>-0.19879518072289157</v>
      </c>
      <c r="Q3" s="95">
        <f>VLOOKUP(A3,'BSE ALL CAP'!$B$4:$Y$1038,16,)</f>
        <v>-0.18518518518518517</v>
      </c>
      <c r="R3" s="95">
        <f>VLOOKUP(A3,'BSE ALL CAP'!$B$4:$Y$1038,17,)</f>
        <v>-1.3609995537706393E-2</v>
      </c>
      <c r="S3" s="95">
        <f>VLOOKUP(A3,'BSE ALL CAP'!$B$4:$Y$1038,18,)</f>
        <v>-0.16393442622950818</v>
      </c>
      <c r="T3" s="95">
        <f>VLOOKUP(A3,'BSE ALL CAP'!$B$4:$Y$1038,19,)</f>
        <v>-0.17948717948717949</v>
      </c>
      <c r="U3" s="95">
        <f>VLOOKUP(A3,'BSE ALL CAP'!$B$4:$Y$1038,20,)</f>
        <v>1.5552753257671303E-2</v>
      </c>
      <c r="V3" s="95">
        <f>VLOOKUP(A3,'BSE ALL CAP'!$B$4:$Y$1038,21,)</f>
        <v>0.53703703703703698</v>
      </c>
      <c r="W3" s="95">
        <f>VLOOKUP(A3,'BSE ALL CAP'!$B$4:$Y$1038,22,)</f>
        <v>0.64999999999999991</v>
      </c>
      <c r="X3" s="95">
        <f>VLOOKUP(A3,'BSE ALL CAP'!$B$4:$Y$1038,23,)</f>
        <v>0.5641025641025641</v>
      </c>
      <c r="Y3" s="95">
        <f>VLOOKUP(A3,'BSE ALL CAP'!$B$4:$Y$1038,24,)</f>
        <v>0.4285714285714286</v>
      </c>
    </row>
    <row r="4" spans="1:25" ht="15.75" customHeight="1">
      <c r="A4" s="99">
        <v>543384</v>
      </c>
      <c r="B4" s="98" t="s">
        <v>4572</v>
      </c>
      <c r="C4" s="101" t="str">
        <f>VLOOKUP(A4,'BSE ALL CAP'!$B$4:$Y$1038,2,)</f>
        <v>Consumer Discretionary</v>
      </c>
      <c r="D4" s="101" t="str">
        <f>VLOOKUP(A4,'BSE ALL CAP'!$B$4:$Y$1038,3,)</f>
        <v>E-Retail/ E-Commerce</v>
      </c>
      <c r="E4" s="101">
        <f ca="1">IFERROR(__xludf.DUMMYFUNCTION("GOOGLEFINANCE(""BOM:""&amp;A4,""PRICE"")"),252.8)</f>
        <v>252.8</v>
      </c>
      <c r="F4" s="112">
        <f ca="1">IFERROR(__xludf.DUMMYFUNCTION("GOOGLEFINANCE(""BOM:""&amp;A4,""MARKETCAP"")/10000000"),72436.7814458)</f>
        <v>72436.781445800007</v>
      </c>
      <c r="G4" s="95">
        <f t="shared" ca="1" si="0"/>
        <v>0.15785623820161473</v>
      </c>
      <c r="H4" s="101">
        <f>VLOOKUP(A4,'BSE ALL CAP'!$B$4:$Y$1038,7,)</f>
        <v>7374</v>
      </c>
      <c r="I4" s="101">
        <f>VLOOKUP(A4,'BSE ALL CAP'!$B$4:$Y$1038,8,)</f>
        <v>5888</v>
      </c>
      <c r="J4" s="101">
        <f>VLOOKUP(A4,'BSE ALL CAP'!$B$4:$Y$1038,9,)</f>
        <v>125</v>
      </c>
      <c r="K4" s="101">
        <f>VLOOKUP(A4,'BSE ALL CAP'!$B$4:$Y$1038,10,)</f>
        <v>53</v>
      </c>
      <c r="L4" s="101">
        <f>VLOOKUP(A4,'BSE ALL CAP'!$B$4:$Y$1038,11,)</f>
        <v>2873</v>
      </c>
      <c r="M4" s="101">
        <f>VLOOKUP(A4,'BSE ALL CAP'!$B$4:$Y$1038,12,)</f>
        <v>2267</v>
      </c>
      <c r="N4" s="101">
        <f>VLOOKUP(A4,'BSE ALL CAP'!$B$4:$Y$1038,13,)</f>
        <v>68</v>
      </c>
      <c r="O4" s="101">
        <f>VLOOKUP(A4,'BSE ALL CAP'!$B$4:$Y$1038,14,)</f>
        <v>26</v>
      </c>
      <c r="P4" s="95">
        <f>VLOOKUP(A4,'BSE ALL CAP'!$B$4:$Y$1038,15,)</f>
        <v>1.6951451044209385E-2</v>
      </c>
      <c r="Q4" s="95">
        <f>VLOOKUP(A4,'BSE ALL CAP'!$B$4:$Y$1038,16,)</f>
        <v>9.001358695652174E-3</v>
      </c>
      <c r="R4" s="95">
        <f>VLOOKUP(A4,'BSE ALL CAP'!$B$4:$Y$1038,17,)</f>
        <v>7.9500923485572115E-3</v>
      </c>
      <c r="S4" s="95">
        <f>VLOOKUP(A4,'BSE ALL CAP'!$B$4:$Y$1038,18,)</f>
        <v>2.3668639053254437E-2</v>
      </c>
      <c r="T4" s="95">
        <f>VLOOKUP(A4,'BSE ALL CAP'!$B$4:$Y$1038,19,)</f>
        <v>1.1468901632112925E-2</v>
      </c>
      <c r="U4" s="95">
        <f>VLOOKUP(A4,'BSE ALL CAP'!$B$4:$Y$1038,20,)</f>
        <v>1.2199737421141513E-2</v>
      </c>
      <c r="V4" s="95">
        <f>VLOOKUP(A4,'BSE ALL CAP'!$B$4:$Y$1038,21,)</f>
        <v>0.25237771739130443</v>
      </c>
      <c r="W4" s="95">
        <f>VLOOKUP(A4,'BSE ALL CAP'!$B$4:$Y$1038,22,)</f>
        <v>1.358490566037736</v>
      </c>
      <c r="X4" s="95">
        <f>VLOOKUP(A4,'BSE ALL CAP'!$B$4:$Y$1038,23,)</f>
        <v>0.26731363034847822</v>
      </c>
      <c r="Y4" s="95">
        <f>VLOOKUP(A4,'BSE ALL CAP'!$B$4:$Y$1038,24,)</f>
        <v>1.6153846153846154</v>
      </c>
    </row>
    <row r="5" spans="1:25" ht="15.75" customHeight="1">
      <c r="A5" s="99">
        <v>544632</v>
      </c>
      <c r="B5" s="98" t="s">
        <v>4573</v>
      </c>
      <c r="C5" s="101" t="e">
        <f>VLOOKUP(A5,'BSE ALL CAP'!$B$4:$Y$1038,2,)</f>
        <v>#N/A</v>
      </c>
      <c r="D5" s="101" t="e">
        <f>VLOOKUP(A5,'BSE ALL CAP'!$B$4:$Y$1038,3,)</f>
        <v>#N/A</v>
      </c>
      <c r="E5" s="101">
        <f ca="1">IFERROR(__xludf.DUMMYFUNCTION("GOOGLEFINANCE(""BOM:""&amp;A5,""PRICE"")"),150.45)</f>
        <v>150.44999999999999</v>
      </c>
      <c r="F5" s="112">
        <f ca="1">IFERROR(__xludf.DUMMYFUNCTION("GOOGLEFINANCE(""BOM:""&amp;A5,""MARKETCAP"")/10000000"),68666.1910371)</f>
        <v>68666.191037099998</v>
      </c>
      <c r="G5" s="95">
        <f t="shared" ca="1" si="0"/>
        <v>0.1496392632637949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544515</v>
      </c>
      <c r="B6" s="98" t="s">
        <v>4574</v>
      </c>
      <c r="C6" s="101" t="e">
        <f>VLOOKUP(A6,'BSE ALL CAP'!$B$4:$Y$1038,2,)</f>
        <v>#N/A</v>
      </c>
      <c r="D6" s="101" t="e">
        <f>VLOOKUP(A6,'BSE ALL CAP'!$B$4:$Y$1038,3,)</f>
        <v>#N/A</v>
      </c>
      <c r="E6" s="101">
        <f ca="1">IFERROR(__xludf.DUMMYFUNCTION("GOOGLEFINANCE(""BOM:""&amp;A6,""PRICE"")"),123.1)</f>
        <v>123.1</v>
      </c>
      <c r="F6" s="112">
        <f ca="1">IFERROR(__xludf.DUMMYFUNCTION("GOOGLEFINANCE(""BOM:""&amp;A6,""MARKETCAP"")/10000000"),18996.573287)</f>
        <v>18996.573286999999</v>
      </c>
      <c r="G6" s="95">
        <f t="shared" ca="1" si="0"/>
        <v>4.1397858076436859E-2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544226</v>
      </c>
      <c r="B7" s="98" t="s">
        <v>4575</v>
      </c>
      <c r="C7" s="101" t="str">
        <f>VLOOKUP(A7,'BSE ALL CAP'!$B$4:$Y$1038,2,)</f>
        <v>Consumer Discretionary</v>
      </c>
      <c r="D7" s="101" t="str">
        <f>VLOOKUP(A7,'BSE ALL CAP'!$B$4:$Y$1038,3,)</f>
        <v>E-Retail/ E-Commerce</v>
      </c>
      <c r="E7" s="101">
        <f ca="1">IFERROR(__xludf.DUMMYFUNCTION("GOOGLEFINANCE(""BOM:""&amp;A7,""PRICE"")"),225.5)</f>
        <v>225.5</v>
      </c>
      <c r="F7" s="112">
        <f ca="1">IFERROR(__xludf.DUMMYFUNCTION("GOOGLEFINANCE(""BOM:""&amp;A7,""MARKETCAP"")/10000000"),10943.021576)</f>
        <v>10943.021575999999</v>
      </c>
      <c r="G7" s="95">
        <f t="shared" ca="1" si="0"/>
        <v>2.384733537393556E-2</v>
      </c>
      <c r="H7" s="101">
        <f>VLOOKUP(A7,'BSE ALL CAP'!$B$4:$Y$1038,7,)</f>
        <v>6385</v>
      </c>
      <c r="I7" s="101">
        <f>VLOOKUP(A7,'BSE ALL CAP'!$B$4:$Y$1038,8,)</f>
        <v>5729</v>
      </c>
      <c r="J7" s="101">
        <f>VLOOKUP(A7,'BSE ALL CAP'!$B$4:$Y$1038,9,)</f>
        <v>-155</v>
      </c>
      <c r="K7" s="101">
        <f>VLOOKUP(A7,'BSE ALL CAP'!$B$4:$Y$1038,10,)</f>
        <v>-153</v>
      </c>
      <c r="L7" s="101">
        <f>VLOOKUP(A7,'BSE ALL CAP'!$B$4:$Y$1038,11,)</f>
        <v>2423</v>
      </c>
      <c r="M7" s="101">
        <f>VLOOKUP(A7,'BSE ALL CAP'!$B$4:$Y$1038,12,)</f>
        <v>2172</v>
      </c>
      <c r="N7" s="101">
        <f>VLOOKUP(A7,'BSE ALL CAP'!$B$4:$Y$1038,13,)</f>
        <v>-38</v>
      </c>
      <c r="O7" s="101">
        <f>VLOOKUP(A7,'BSE ALL CAP'!$B$4:$Y$1038,14,)</f>
        <v>-14</v>
      </c>
      <c r="P7" s="95">
        <f>VLOOKUP(A7,'BSE ALL CAP'!$B$4:$Y$1038,15,)</f>
        <v>-2.4275646045418951E-2</v>
      </c>
      <c r="Q7" s="95">
        <f>VLOOKUP(A7,'BSE ALL CAP'!$B$4:$Y$1038,16,)</f>
        <v>-2.6706231454005934E-2</v>
      </c>
      <c r="R7" s="95">
        <f>VLOOKUP(A7,'BSE ALL CAP'!$B$4:$Y$1038,17,)</f>
        <v>2.4305854085869827E-3</v>
      </c>
      <c r="S7" s="95">
        <f>VLOOKUP(A7,'BSE ALL CAP'!$B$4:$Y$1038,18,)</f>
        <v>-1.5683037556747832E-2</v>
      </c>
      <c r="T7" s="95">
        <f>VLOOKUP(A7,'BSE ALL CAP'!$B$4:$Y$1038,19,)</f>
        <v>-6.4456721915285451E-3</v>
      </c>
      <c r="U7" s="95">
        <f>VLOOKUP(A7,'BSE ALL CAP'!$B$4:$Y$1038,20,)</f>
        <v>-9.2373653652192862E-3</v>
      </c>
      <c r="V7" s="95">
        <f>VLOOKUP(A7,'BSE ALL CAP'!$B$4:$Y$1038,21,)</f>
        <v>0.11450514924070521</v>
      </c>
      <c r="W7" s="95">
        <f>VLOOKUP(A7,'BSE ALL CAP'!$B$4:$Y$1038,22,)</f>
        <v>1.3071895424836555E-2</v>
      </c>
      <c r="X7" s="95">
        <f>VLOOKUP(A7,'BSE ALL CAP'!$B$4:$Y$1038,23,)</f>
        <v>0.11556169429097607</v>
      </c>
      <c r="Y7" s="95">
        <f>VLOOKUP(A7,'BSE ALL CAP'!$B$4:$Y$1038,24,)</f>
        <v>1.7142857142857144</v>
      </c>
    </row>
    <row r="8" spans="1:25" ht="15.75" customHeight="1">
      <c r="A8" s="99">
        <v>543333</v>
      </c>
      <c r="B8" s="98" t="s">
        <v>4576</v>
      </c>
      <c r="C8" s="101" t="str">
        <f>VLOOKUP(A8,'BSE ALL CAP'!$B$4:$Y$1038,2,)</f>
        <v>Consumer Discretionary</v>
      </c>
      <c r="D8" s="101" t="str">
        <f>VLOOKUP(A8,'BSE ALL CAP'!$B$4:$Y$1038,3,)</f>
        <v>E-Retail/ E-Commerce</v>
      </c>
      <c r="E8" s="101">
        <f ca="1">IFERROR(__xludf.DUMMYFUNCTION("GOOGLEFINANCE(""BOM:""&amp;A8,""PRICE"")"),1741.4)</f>
        <v>1741.4</v>
      </c>
      <c r="F8" s="112">
        <f ca="1">IFERROR(__xludf.DUMMYFUNCTION("GOOGLEFINANCE(""BOM:""&amp;A8,""MARKETCAP"")/10000000"),8333.1711215)</f>
        <v>8333.1711214999996</v>
      </c>
      <c r="G8" s="95">
        <f t="shared" ca="1" si="0"/>
        <v>1.8159877057963795E-2</v>
      </c>
      <c r="H8" s="101">
        <f>VLOOKUP(A8,'BSE ALL CAP'!$B$4:$Y$1038,7,)</f>
        <v>576</v>
      </c>
      <c r="I8" s="101">
        <f>VLOOKUP(A8,'BSE ALL CAP'!$B$4:$Y$1038,8,)</f>
        <v>471</v>
      </c>
      <c r="J8" s="101">
        <f>VLOOKUP(A8,'BSE ALL CAP'!$B$4:$Y$1038,9,)</f>
        <v>172</v>
      </c>
      <c r="K8" s="101">
        <f>VLOOKUP(A8,'BSE ALL CAP'!$B$4:$Y$1038,10,)</f>
        <v>99</v>
      </c>
      <c r="L8" s="101">
        <f>VLOOKUP(A8,'BSE ALL CAP'!$B$4:$Y$1038,11,)</f>
        <v>209</v>
      </c>
      <c r="M8" s="101">
        <f>VLOOKUP(A8,'BSE ALL CAP'!$B$4:$Y$1038,12,)</f>
        <v>176</v>
      </c>
      <c r="N8" s="101">
        <f>VLOOKUP(A8,'BSE ALL CAP'!$B$4:$Y$1038,13,)</f>
        <v>61</v>
      </c>
      <c r="O8" s="101">
        <f>VLOOKUP(A8,'BSE ALL CAP'!$B$4:$Y$1038,14,)</f>
        <v>45</v>
      </c>
      <c r="P8" s="95">
        <f>VLOOKUP(A8,'BSE ALL CAP'!$B$4:$Y$1038,15,)</f>
        <v>0.2986111111111111</v>
      </c>
      <c r="Q8" s="95">
        <f>VLOOKUP(A8,'BSE ALL CAP'!$B$4:$Y$1038,16,)</f>
        <v>0.21019108280254778</v>
      </c>
      <c r="R8" s="95">
        <f>VLOOKUP(A8,'BSE ALL CAP'!$B$4:$Y$1038,17,)</f>
        <v>8.8420028308563325E-2</v>
      </c>
      <c r="S8" s="95">
        <f>VLOOKUP(A8,'BSE ALL CAP'!$B$4:$Y$1038,18,)</f>
        <v>0.291866028708134</v>
      </c>
      <c r="T8" s="95">
        <f>VLOOKUP(A8,'BSE ALL CAP'!$B$4:$Y$1038,19,)</f>
        <v>0.25568181818181818</v>
      </c>
      <c r="U8" s="95">
        <f>VLOOKUP(A8,'BSE ALL CAP'!$B$4:$Y$1038,20,)</f>
        <v>3.6184210526315819E-2</v>
      </c>
      <c r="V8" s="95">
        <f>VLOOKUP(A8,'BSE ALL CAP'!$B$4:$Y$1038,21,)</f>
        <v>0.22292993630573243</v>
      </c>
      <c r="W8" s="95">
        <f>VLOOKUP(A8,'BSE ALL CAP'!$B$4:$Y$1038,22,)</f>
        <v>0.73737373737373746</v>
      </c>
      <c r="X8" s="95">
        <f>VLOOKUP(A8,'BSE ALL CAP'!$B$4:$Y$1038,23,)</f>
        <v>0.1875</v>
      </c>
      <c r="Y8" s="95">
        <f>VLOOKUP(A8,'BSE ALL CAP'!$B$4:$Y$1038,24,)</f>
        <v>0.35555555555555562</v>
      </c>
    </row>
    <row r="9" spans="1:25" ht="15.75" customHeight="1">
      <c r="A9" s="99">
        <v>534597</v>
      </c>
      <c r="B9" s="98" t="s">
        <v>4577</v>
      </c>
      <c r="C9" s="101" t="str">
        <f>VLOOKUP(A9,'BSE ALL CAP'!$B$4:$Y$1038,2,)</f>
        <v>Consumer Discretionary</v>
      </c>
      <c r="D9" s="101" t="str">
        <f>VLOOKUP(A9,'BSE ALL CAP'!$B$4:$Y$1038,3,)</f>
        <v>E-Retail/ E-Commerce</v>
      </c>
      <c r="E9" s="101">
        <f ca="1">IFERROR(__xludf.DUMMYFUNCTION("GOOGLEFINANCE(""BOM:""&amp;A9,""PRICE"")"),28.96)</f>
        <v>28.96</v>
      </c>
      <c r="F9" s="112">
        <f ca="1">IFERROR(__xludf.DUMMYFUNCTION("GOOGLEFINANCE(""BOM:""&amp;A9,""MARKETCAP"")/10000000"),3996.2870517)</f>
        <v>3996.2870517000001</v>
      </c>
      <c r="G9" s="95">
        <f t="shared" ca="1" si="0"/>
        <v>8.7088193064900586E-3</v>
      </c>
      <c r="H9" s="101">
        <f>VLOOKUP(A9,'BSE ALL CAP'!$B$4:$Y$1038,7,)</f>
        <v>5833</v>
      </c>
      <c r="I9" s="101">
        <f>VLOOKUP(A9,'BSE ALL CAP'!$B$4:$Y$1038,8,)</f>
        <v>5773</v>
      </c>
      <c r="J9" s="101">
        <f>VLOOKUP(A9,'BSE ALL CAP'!$B$4:$Y$1038,9,)</f>
        <v>-56</v>
      </c>
      <c r="K9" s="101">
        <f>VLOOKUP(A9,'BSE ALL CAP'!$B$4:$Y$1038,10,)</f>
        <v>439</v>
      </c>
      <c r="L9" s="101">
        <f>VLOOKUP(A9,'BSE ALL CAP'!$B$4:$Y$1038,11,)</f>
        <v>2006</v>
      </c>
      <c r="M9" s="101">
        <f>VLOOKUP(A9,'BSE ALL CAP'!$B$4:$Y$1038,12,)</f>
        <v>1921</v>
      </c>
      <c r="N9" s="101">
        <f>VLOOKUP(A9,'BSE ALL CAP'!$B$4:$Y$1038,13,)</f>
        <v>-162</v>
      </c>
      <c r="O9" s="101">
        <f>VLOOKUP(A9,'BSE ALL CAP'!$B$4:$Y$1038,14,)</f>
        <v>-170</v>
      </c>
      <c r="P9" s="95">
        <f>VLOOKUP(A9,'BSE ALL CAP'!$B$4:$Y$1038,15,)</f>
        <v>-9.6005486027773007E-3</v>
      </c>
      <c r="Q9" s="95">
        <f>VLOOKUP(A9,'BSE ALL CAP'!$B$4:$Y$1038,16,)</f>
        <v>7.6043651481032398E-2</v>
      </c>
      <c r="R9" s="95">
        <f>VLOOKUP(A9,'BSE ALL CAP'!$B$4:$Y$1038,17,)</f>
        <v>-8.5644200083809699E-2</v>
      </c>
      <c r="S9" s="95">
        <f>VLOOKUP(A9,'BSE ALL CAP'!$B$4:$Y$1038,18,)</f>
        <v>-8.0757726819541381E-2</v>
      </c>
      <c r="T9" s="95">
        <f>VLOOKUP(A9,'BSE ALL CAP'!$B$4:$Y$1038,19,)</f>
        <v>-8.8495575221238937E-2</v>
      </c>
      <c r="U9" s="95">
        <f>VLOOKUP(A9,'BSE ALL CAP'!$B$4:$Y$1038,20,)</f>
        <v>7.7378484016975557E-3</v>
      </c>
      <c r="V9" s="95">
        <f>VLOOKUP(A9,'BSE ALL CAP'!$B$4:$Y$1038,21,)</f>
        <v>1.0393209769617107E-2</v>
      </c>
      <c r="W9" s="95">
        <f>VLOOKUP(A9,'BSE ALL CAP'!$B$4:$Y$1038,22,)</f>
        <v>-1.1275626423690206</v>
      </c>
      <c r="X9" s="95">
        <f>VLOOKUP(A9,'BSE ALL CAP'!$B$4:$Y$1038,23,)</f>
        <v>4.4247787610619538E-2</v>
      </c>
      <c r="Y9" s="95">
        <f>VLOOKUP(A9,'BSE ALL CAP'!$B$4:$Y$1038,24,)</f>
        <v>-4.705882352941182E-2</v>
      </c>
    </row>
    <row r="10" spans="1:25" ht="15.75" customHeight="1">
      <c r="A10" s="99">
        <v>543787</v>
      </c>
      <c r="B10" s="98" t="s">
        <v>4578</v>
      </c>
      <c r="C10" s="101"/>
      <c r="D10" s="101"/>
      <c r="E10" s="101">
        <f ca="1">IFERROR(__xludf.DUMMYFUNCTION("GOOGLEFINANCE(""BOM:""&amp;A10,""PRICE"")"),825)</f>
        <v>825</v>
      </c>
      <c r="F10" s="112">
        <f ca="1">IFERROR(__xludf.DUMMYFUNCTION("GOOGLEFINANCE(""BOM:""&amp;A10,""MARKETCAP"")/10000000"),854.57625)</f>
        <v>854.57624999999996</v>
      </c>
      <c r="G10" s="95">
        <f t="shared" ca="1" si="0"/>
        <v>1.8623162071658332E-3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533181</v>
      </c>
      <c r="B11" s="98" t="s">
        <v>4579</v>
      </c>
      <c r="C11" s="101"/>
      <c r="D11" s="101"/>
      <c r="E11" s="101">
        <f ca="1">IFERROR(__xludf.DUMMYFUNCTION("GOOGLEFINANCE(""BOM:""&amp;A11,""PRICE"")"),63.6)</f>
        <v>63.6</v>
      </c>
      <c r="F11" s="112">
        <f ca="1">IFERROR(__xludf.DUMMYFUNCTION("GOOGLEFINANCE(""BOM:""&amp;A11,""MARKETCAP"")/10000000"),104.378379)</f>
        <v>104.378379</v>
      </c>
      <c r="G11" s="95">
        <f t="shared" ca="1" si="0"/>
        <v>2.2746425130513263E-4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544079</v>
      </c>
      <c r="B12" s="98" t="s">
        <v>4580</v>
      </c>
      <c r="C12" s="101"/>
      <c r="D12" s="101"/>
      <c r="E12" s="101">
        <f ca="1">IFERROR(__xludf.DUMMYFUNCTION("GOOGLEFINANCE(""BOM:""&amp;A12,""PRICE"")"),19.08)</f>
        <v>19.079999999999998</v>
      </c>
      <c r="F12" s="112">
        <f ca="1">IFERROR(__xludf.DUMMYFUNCTION("GOOGLEFINANCE(""BOM:""&amp;A12,""MARKETCAP"")/10000000"),73.591232)</f>
        <v>73.591232000000005</v>
      </c>
      <c r="G12" s="95">
        <f t="shared" ca="1" si="0"/>
        <v>1.6037204878897689E-4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543637</v>
      </c>
      <c r="B13" s="98" t="s">
        <v>4581</v>
      </c>
      <c r="C13" s="101"/>
      <c r="D13" s="101"/>
      <c r="E13" s="101">
        <f ca="1">IFERROR(__xludf.DUMMYFUNCTION("GOOGLEFINANCE(""BOM:""&amp;A13,""PRICE"")"),14.78)</f>
        <v>14.78</v>
      </c>
      <c r="F13" s="112">
        <f ca="1">IFERROR(__xludf.DUMMYFUNCTION("GOOGLEFINANCE(""BOM:""&amp;A13,""MARKETCAP"")/10000000"),33.3045123)</f>
        <v>33.304512299999999</v>
      </c>
      <c r="G13" s="95">
        <f t="shared" ca="1" si="0"/>
        <v>7.257811462469714E-5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543521</v>
      </c>
      <c r="B14" s="98" t="s">
        <v>4582</v>
      </c>
      <c r="C14" s="101"/>
      <c r="D14" s="101"/>
      <c r="E14" s="101">
        <f ca="1">IFERROR(__xludf.DUMMYFUNCTION("GOOGLEFINANCE(""BOM:""&amp;A14,""PRICE"")"),9.76)</f>
        <v>9.76</v>
      </c>
      <c r="F14" s="112">
        <f ca="1">IFERROR(__xludf.DUMMYFUNCTION("GOOGLEFINANCE(""BOM:""&amp;A14,""MARKETCAP"")/10000000"),24.3512)</f>
        <v>24.351199999999999</v>
      </c>
      <c r="G14" s="95">
        <f t="shared" ca="1" si="0"/>
        <v>5.3066808753386997E-5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543941</v>
      </c>
      <c r="B15" s="98" t="s">
        <v>4583</v>
      </c>
      <c r="C15" s="101"/>
      <c r="D15" s="101"/>
      <c r="E15" s="101">
        <f ca="1">IFERROR(__xludf.DUMMYFUNCTION("GOOGLEFINANCE(""BOM:""&amp;A15,""PRICE"")"),67.99)</f>
        <v>67.989999999999995</v>
      </c>
      <c r="F15" s="112">
        <f ca="1">IFERROR(__xludf.DUMMYFUNCTION("GOOGLEFINANCE(""BOM:""&amp;A15,""MARKETCAP"")/10000000"),20.9564686)</f>
        <v>20.956468600000001</v>
      </c>
      <c r="G15" s="95">
        <f t="shared" ca="1" si="0"/>
        <v>4.566891616604356E-5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541865</v>
      </c>
      <c r="B16" s="98" t="s">
        <v>4584</v>
      </c>
      <c r="C16" s="101"/>
      <c r="D16" s="101"/>
      <c r="E16" s="101">
        <f ca="1">IFERROR(__xludf.DUMMYFUNCTION("GOOGLEFINANCE(""BOM:""&amp;A16,""PRICE"")"),6.41)</f>
        <v>6.41</v>
      </c>
      <c r="F16" s="112">
        <f ca="1">IFERROR(__xludf.DUMMYFUNCTION("GOOGLEFINANCE(""BOM:""&amp;A16,""MARKETCAP"")/10000000"),18.65824)</f>
        <v>18.658239999999999</v>
      </c>
      <c r="G16" s="95">
        <f t="shared" ca="1" si="0"/>
        <v>4.0660552816895898E-5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544173</v>
      </c>
      <c r="B17" s="98" t="s">
        <v>4585</v>
      </c>
      <c r="C17" s="101"/>
      <c r="D17" s="101"/>
      <c r="E17" s="101">
        <f ca="1">IFERROR(__xludf.DUMMYFUNCTION("GOOGLEFINANCE(""BOM:""&amp;A17,""PRICE"")"),10.45)</f>
        <v>10.45</v>
      </c>
      <c r="F17" s="112">
        <f ca="1">IFERROR(__xludf.DUMMYFUNCTION("GOOGLEFINANCE(""BOM:""&amp;A17,""MARKETCAP"")/10000000"),3.967149)</f>
        <v>3.967149</v>
      </c>
      <c r="G17" s="95">
        <f t="shared" ca="1" si="0"/>
        <v>8.6453208580764186E-6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>
      <c r="A18" s="101"/>
      <c r="B18" s="101"/>
      <c r="C18" s="101"/>
      <c r="D18" s="101"/>
      <c r="E18" s="101"/>
      <c r="F18" s="112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>
      <c r="A19" s="101"/>
      <c r="B19" s="101"/>
      <c r="C19" s="101"/>
      <c r="D19" s="101"/>
      <c r="E19" s="101"/>
      <c r="F19" s="112">
        <f ca="1">SUM(F2:F17)</f>
        <v>458878.16833240003</v>
      </c>
      <c r="G19" s="95">
        <f ca="1">F19/$F$19</f>
        <v>1</v>
      </c>
      <c r="H19" s="101">
        <f t="shared" ref="H19:O19" si="1">SUM(H2:H17)</f>
        <v>57406</v>
      </c>
      <c r="I19" s="101">
        <f t="shared" si="1"/>
        <v>32379</v>
      </c>
      <c r="J19" s="101">
        <f t="shared" si="1"/>
        <v>245</v>
      </c>
      <c r="K19" s="101">
        <f t="shared" si="1"/>
        <v>906</v>
      </c>
      <c r="L19" s="101">
        <f t="shared" si="1"/>
        <v>23887</v>
      </c>
      <c r="M19" s="101">
        <f t="shared" si="1"/>
        <v>11980</v>
      </c>
      <c r="N19" s="101">
        <f t="shared" si="1"/>
        <v>21</v>
      </c>
      <c r="O19" s="101">
        <f t="shared" si="1"/>
        <v>-61</v>
      </c>
      <c r="P19" s="95">
        <f t="shared" ref="P19:Q19" si="2">J19/H19</f>
        <v>4.267846566560987E-3</v>
      </c>
      <c r="Q19" s="95">
        <f t="shared" si="2"/>
        <v>2.7981098860372464E-2</v>
      </c>
      <c r="R19" s="95">
        <f>P19-Q19</f>
        <v>-2.3713252293811476E-2</v>
      </c>
      <c r="S19" s="95">
        <f t="shared" ref="S19:T19" si="3">N19/L19</f>
        <v>8.7913928078034074E-4</v>
      </c>
      <c r="T19" s="95">
        <f t="shared" si="3"/>
        <v>-5.0918196994991652E-3</v>
      </c>
      <c r="U19" s="95">
        <f>S19-T19</f>
        <v>5.9709589802795062E-3</v>
      </c>
      <c r="V19" s="95">
        <f>(H19/I19)-1</f>
        <v>0.77293925074894232</v>
      </c>
      <c r="W19" s="95">
        <f>(J19/K19)-1</f>
        <v>-0.72958057395143494</v>
      </c>
      <c r="X19" s="95">
        <f>(L19/M19)-1</f>
        <v>0.99390651085141912</v>
      </c>
      <c r="Y19" s="95">
        <f>(N19/O19)-1</f>
        <v>-1.3442622950819672</v>
      </c>
    </row>
    <row r="20" spans="1:25">
      <c r="F20" s="94"/>
    </row>
    <row r="21" spans="1:25">
      <c r="F21" s="94"/>
    </row>
    <row r="22" spans="1:25">
      <c r="F22" s="94"/>
    </row>
    <row r="23" spans="1:25">
      <c r="F23" s="94"/>
    </row>
    <row r="24" spans="1:25">
      <c r="F24" s="94"/>
    </row>
    <row r="25" spans="1:25" ht="13.2">
      <c r="F25" s="94"/>
    </row>
    <row r="26" spans="1:25" ht="13.2">
      <c r="F26" s="94"/>
    </row>
    <row r="27" spans="1:25" ht="13.2">
      <c r="F27" s="94"/>
    </row>
    <row r="28" spans="1:25" ht="13.2">
      <c r="F28" s="94"/>
    </row>
    <row r="29" spans="1:25" ht="13.2">
      <c r="F29" s="94"/>
    </row>
    <row r="30" spans="1:25" ht="13.2">
      <c r="F30" s="94"/>
    </row>
    <row r="31" spans="1:25" ht="13.2">
      <c r="F31" s="94"/>
    </row>
    <row r="32" spans="1:25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7" xr:uid="{00000000-0009-0000-0000-00008E000000}"/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511630</v>
      </c>
      <c r="B2" s="98" t="s">
        <v>4586</v>
      </c>
      <c r="C2" s="101" t="e">
        <f>VLOOKUP(A2,'BSE ALL CAP'!$B$4:$Y$1038,2,)</f>
        <v>#N/A</v>
      </c>
      <c r="D2" s="101" t="e">
        <f>VLOOKUP(A2,'BSE ALL CAP'!$B$4:$Y$1038,3,)</f>
        <v>#N/A</v>
      </c>
      <c r="E2" s="101">
        <f ca="1">IFERROR(__xludf.DUMMYFUNCTION("GOOGLEFINANCE(""BOM:""&amp;A2,""PRICE"")"),5.77)</f>
        <v>5.77</v>
      </c>
      <c r="F2" s="112">
        <f ca="1">IFERROR(__xludf.DUMMYFUNCTION("GOOGLEFINANCE(""BOM:""&amp;A2,""MARKETCAP"")/10000000"),106.0665531)</f>
        <v>106.06655309999999</v>
      </c>
      <c r="G2" s="95">
        <f t="shared" ref="G2:G6" ca="1" si="0">F2/$F$8</f>
        <v>0.3036162201870391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.75" customHeight="1">
      <c r="A3" s="99">
        <v>539515</v>
      </c>
      <c r="B3" s="98" t="s">
        <v>4587</v>
      </c>
      <c r="C3" s="101" t="e">
        <f>VLOOKUP(A3,'BSE ALL CAP'!$B$4:$Y$1038,2,)</f>
        <v>#N/A</v>
      </c>
      <c r="D3" s="101" t="e">
        <f>VLOOKUP(A3,'BSE ALL CAP'!$B$4:$Y$1038,3,)</f>
        <v>#N/A</v>
      </c>
      <c r="E3" s="101">
        <f ca="1">IFERROR(__xludf.DUMMYFUNCTION("GOOGLEFINANCE(""BOM:""&amp;A3,""PRICE"")"),35.79)</f>
        <v>35.79</v>
      </c>
      <c r="F3" s="112">
        <f ca="1">IFERROR(__xludf.DUMMYFUNCTION("GOOGLEFINANCE(""BOM:""&amp;A3,""MARKETCAP"")/10000000"),172.4049)</f>
        <v>172.4049</v>
      </c>
      <c r="G3" s="95">
        <f t="shared" ca="1" si="0"/>
        <v>0.4935101834635226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540789</v>
      </c>
      <c r="B4" s="98" t="s">
        <v>4588</v>
      </c>
      <c r="C4" s="101" t="e">
        <f>VLOOKUP(A4,'BSE ALL CAP'!$B$4:$Y$1038,2,)</f>
        <v>#N/A</v>
      </c>
      <c r="D4" s="101" t="e">
        <f>VLOOKUP(A4,'BSE ALL CAP'!$B$4:$Y$1038,3,)</f>
        <v>#N/A</v>
      </c>
      <c r="E4" s="101">
        <f ca="1">IFERROR(__xludf.DUMMYFUNCTION("GOOGLEFINANCE(""BOM:""&amp;A4,""PRICE"")"),2.88)</f>
        <v>2.88</v>
      </c>
      <c r="F4" s="112">
        <f ca="1">IFERROR(__xludf.DUMMYFUNCTION("GOOGLEFINANCE(""BOM:""&amp;A4,""MARKETCAP"")/10000000"),33.8999053)</f>
        <v>33.8999053</v>
      </c>
      <c r="G4" s="95">
        <f t="shared" ca="1" si="0"/>
        <v>9.7038706463673838E-2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532640</v>
      </c>
      <c r="B5" s="98" t="s">
        <v>4589</v>
      </c>
      <c r="C5" s="101" t="e">
        <f>VLOOKUP(A5,'BSE ALL CAP'!$B$4:$Y$1038,2,)</f>
        <v>#N/A</v>
      </c>
      <c r="D5" s="101" t="e">
        <f>VLOOKUP(A5,'BSE ALL CAP'!$B$4:$Y$1038,3,)</f>
        <v>#N/A</v>
      </c>
      <c r="E5" s="101">
        <f ca="1">IFERROR(__xludf.DUMMYFUNCTION("GOOGLEFINANCE(""BOM:""&amp;A5,""PRICE"")"),13.52)</f>
        <v>13.52</v>
      </c>
      <c r="F5" s="112">
        <f ca="1">IFERROR(__xludf.DUMMYFUNCTION("GOOGLEFINANCE(""BOM:""&amp;A5,""MARKETCAP"")/10000000"),27.6003643)</f>
        <v>27.600364299999999</v>
      </c>
      <c r="G5" s="95">
        <f t="shared" ca="1" si="0"/>
        <v>7.9006228067491455E-2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540081</v>
      </c>
      <c r="B6" s="98" t="s">
        <v>4590</v>
      </c>
      <c r="C6" s="101" t="e">
        <f>VLOOKUP(A6,'BSE ALL CAP'!$B$4:$Y$1038,2,)</f>
        <v>#N/A</v>
      </c>
      <c r="D6" s="101" t="e">
        <f>VLOOKUP(A6,'BSE ALL CAP'!$B$4:$Y$1038,3,)</f>
        <v>#N/A</v>
      </c>
      <c r="E6" s="101">
        <f ca="1">IFERROR(__xludf.DUMMYFUNCTION("GOOGLEFINANCE(""BOM:""&amp;A6,""PRICE"")"),9.19)</f>
        <v>9.19</v>
      </c>
      <c r="F6" s="112">
        <f ca="1">IFERROR(__xludf.DUMMYFUNCTION("GOOGLEFINANCE(""BOM:""&amp;A6,""MARKETCAP"")/10000000"),9.3724363)</f>
        <v>9.3724363000000004</v>
      </c>
      <c r="G6" s="95">
        <f t="shared" ca="1" si="0"/>
        <v>2.6828661818273026E-2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101"/>
      <c r="B7" s="101"/>
      <c r="C7" s="101"/>
      <c r="D7" s="101"/>
      <c r="E7" s="101"/>
      <c r="F7" s="112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12">
        <f ca="1">SUM(F2:F6)</f>
        <v>349.34415899999999</v>
      </c>
      <c r="G8" s="95">
        <f ca="1">F8/$F$8</f>
        <v>1</v>
      </c>
      <c r="H8" s="101"/>
      <c r="I8" s="101"/>
      <c r="J8" s="101"/>
      <c r="K8" s="101"/>
      <c r="L8" s="101"/>
      <c r="M8" s="101"/>
      <c r="N8" s="101"/>
      <c r="O8" s="101"/>
      <c r="P8" s="95" t="e">
        <f t="shared" ref="P8:Q8" si="1">J8/H8</f>
        <v>#DIV/0!</v>
      </c>
      <c r="Q8" s="95" t="e">
        <f t="shared" si="1"/>
        <v>#DIV/0!</v>
      </c>
      <c r="R8" s="101" t="e">
        <f>P8-Q8</f>
        <v>#DIV/0!</v>
      </c>
      <c r="S8" s="95" t="e">
        <f t="shared" ref="S8:T8" si="2">N8/L8</f>
        <v>#DIV/0!</v>
      </c>
      <c r="T8" s="95" t="e">
        <f t="shared" si="2"/>
        <v>#DIV/0!</v>
      </c>
      <c r="U8" s="101" t="e">
        <f>S8-T8</f>
        <v>#DIV/0!</v>
      </c>
      <c r="V8" s="95" t="e">
        <f>(H8/I8)-1</f>
        <v>#DIV/0!</v>
      </c>
      <c r="W8" s="95" t="e">
        <f>(J8/K8)-1</f>
        <v>#DIV/0!</v>
      </c>
      <c r="X8" s="95" t="e">
        <f>(L8/M8)-1</f>
        <v>#DIV/0!</v>
      </c>
      <c r="Y8" s="95" t="e">
        <f>(N8/O8)-1</f>
        <v>#DIV/0!</v>
      </c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6" xr:uid="{00000000-0009-0000-0000-00008F000000}"/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509488</v>
      </c>
      <c r="B2" s="98" t="s">
        <v>4591</v>
      </c>
      <c r="C2" s="101" t="str">
        <f>VLOOKUP(A2,'BSE ALL CAP'!$B$4:$Y$1038,2,)</f>
        <v>Industrials</v>
      </c>
      <c r="D2" s="101" t="str">
        <f>VLOOKUP(A2,'BSE ALL CAP'!$B$4:$Y$1038,3,)</f>
        <v>Electrodes &amp; Refractories</v>
      </c>
      <c r="E2" s="101">
        <f ca="1">IFERROR(__xludf.DUMMYFUNCTION("GOOGLEFINANCE(""BOM:""&amp;A2,""PRICE"")"),630.85)</f>
        <v>630.85</v>
      </c>
      <c r="F2" s="112">
        <f ca="1">IFERROR(__xludf.DUMMYFUNCTION("GOOGLEFINANCE(""BOM:""&amp;A2,""MARKETCAP"")/10000000"),12338.9457795)</f>
        <v>12338.9457795</v>
      </c>
      <c r="G2" s="95">
        <f t="shared" ref="G2:G12" ca="1" si="0">F2/$F$14</f>
        <v>0.27168054839414307</v>
      </c>
      <c r="H2" s="101">
        <f>VLOOKUP(A2,'BSE ALL CAP'!$B$4:$Y$1038,7,)</f>
        <v>2036</v>
      </c>
      <c r="I2" s="101">
        <f>VLOOKUP(A2,'BSE ALL CAP'!$B$4:$Y$1038,8,)</f>
        <v>1894</v>
      </c>
      <c r="J2" s="101">
        <f>VLOOKUP(A2,'BSE ALL CAP'!$B$4:$Y$1038,9,)</f>
        <v>2766</v>
      </c>
      <c r="K2" s="101">
        <f>VLOOKUP(A2,'BSE ALL CAP'!$B$4:$Y$1038,10,)</f>
        <v>409</v>
      </c>
      <c r="L2" s="101">
        <f>VLOOKUP(A2,'BSE ALL CAP'!$B$4:$Y$1038,11,)</f>
        <v>642</v>
      </c>
      <c r="M2" s="101">
        <f>VLOOKUP(A2,'BSE ALL CAP'!$B$4:$Y$1038,12,)</f>
        <v>523</v>
      </c>
      <c r="N2" s="101">
        <f>VLOOKUP(A2,'BSE ALL CAP'!$B$4:$Y$1038,13,)</f>
        <v>67</v>
      </c>
      <c r="O2" s="101">
        <f>VLOOKUP(A2,'BSE ALL CAP'!$B$4:$Y$1038,14,)</f>
        <v>-21</v>
      </c>
      <c r="P2" s="95">
        <f>VLOOKUP(A2,'BSE ALL CAP'!$B$4:$Y$1038,15,)</f>
        <v>1.3585461689587426</v>
      </c>
      <c r="Q2" s="95">
        <f>VLOOKUP(A2,'BSE ALL CAP'!$B$4:$Y$1038,16,)</f>
        <v>0.21594508975712778</v>
      </c>
      <c r="R2" s="95">
        <f>VLOOKUP(A2,'BSE ALL CAP'!$B$4:$Y$1038,17,)</f>
        <v>1.1426010792016148</v>
      </c>
      <c r="S2" s="95">
        <f>VLOOKUP(A2,'BSE ALL CAP'!$B$4:$Y$1038,18,)</f>
        <v>0.1043613707165109</v>
      </c>
      <c r="T2" s="95">
        <f>VLOOKUP(A2,'BSE ALL CAP'!$B$4:$Y$1038,19,)</f>
        <v>-4.0152963671128104E-2</v>
      </c>
      <c r="U2" s="95">
        <f>VLOOKUP(A2,'BSE ALL CAP'!$B$4:$Y$1038,20,)</f>
        <v>0.144514334387639</v>
      </c>
      <c r="V2" s="95">
        <f>VLOOKUP(A2,'BSE ALL CAP'!$B$4:$Y$1038,21,)</f>
        <v>7.4973600844773003E-2</v>
      </c>
      <c r="W2" s="95">
        <f>VLOOKUP(A2,'BSE ALL CAP'!$B$4:$Y$1038,22,)</f>
        <v>5.7628361858190713</v>
      </c>
      <c r="X2" s="95">
        <f>VLOOKUP(A2,'BSE ALL CAP'!$B$4:$Y$1038,23,)</f>
        <v>0.22753346080305925</v>
      </c>
      <c r="Y2" s="95">
        <f>VLOOKUP(A2,'BSE ALL CAP'!$B$4:$Y$1038,24,)</f>
        <v>-4.1904761904761907</v>
      </c>
    </row>
    <row r="3" spans="1:25" ht="15.75" customHeight="1">
      <c r="A3" s="99">
        <v>509631</v>
      </c>
      <c r="B3" s="98" t="s">
        <v>4592</v>
      </c>
      <c r="C3" s="101" t="str">
        <f>VLOOKUP(A3,'BSE ALL CAP'!$B$4:$Y$1038,2,)</f>
        <v>Industrials</v>
      </c>
      <c r="D3" s="101" t="str">
        <f>VLOOKUP(A3,'BSE ALL CAP'!$B$4:$Y$1038,3,)</f>
        <v>Electrodes &amp; Refractories</v>
      </c>
      <c r="E3" s="101">
        <f ca="1">IFERROR(__xludf.DUMMYFUNCTION("GOOGLEFINANCE(""BOM:""&amp;A3,""PRICE"")"),550.35)</f>
        <v>550.35</v>
      </c>
      <c r="F3" s="112">
        <f ca="1">IFERROR(__xludf.DUMMYFUNCTION("GOOGLEFINANCE(""BOM:""&amp;A3,""MARKETCAP"")/10000000"),10623.40587)</f>
        <v>10623.405870000001</v>
      </c>
      <c r="G3" s="95">
        <f t="shared" ca="1" si="0"/>
        <v>0.23390756261934983</v>
      </c>
      <c r="H3" s="101">
        <f>VLOOKUP(A3,'BSE ALL CAP'!$B$4:$Y$1038,7,)</f>
        <v>1972</v>
      </c>
      <c r="I3" s="101">
        <f>VLOOKUP(A3,'BSE ALL CAP'!$B$4:$Y$1038,8,)</f>
        <v>1617</v>
      </c>
      <c r="J3" s="101">
        <f>VLOOKUP(A3,'BSE ALL CAP'!$B$4:$Y$1038,9,)</f>
        <v>455</v>
      </c>
      <c r="K3" s="101">
        <f>VLOOKUP(A3,'BSE ALL CAP'!$B$4:$Y$1038,10,)</f>
        <v>189</v>
      </c>
      <c r="L3" s="101">
        <f>VLOOKUP(A3,'BSE ALL CAP'!$B$4:$Y$1038,11,)</f>
        <v>656</v>
      </c>
      <c r="M3" s="101">
        <f>VLOOKUP(A3,'BSE ALL CAP'!$B$4:$Y$1038,12,)</f>
        <v>478</v>
      </c>
      <c r="N3" s="101">
        <f>VLOOKUP(A3,'BSE ALL CAP'!$B$4:$Y$1038,13,)</f>
        <v>207</v>
      </c>
      <c r="O3" s="101">
        <f>VLOOKUP(A3,'BSE ALL CAP'!$B$4:$Y$1038,14,)</f>
        <v>83</v>
      </c>
      <c r="P3" s="95">
        <f>VLOOKUP(A3,'BSE ALL CAP'!$B$4:$Y$1038,15,)</f>
        <v>0.23073022312373226</v>
      </c>
      <c r="Q3" s="95">
        <f>VLOOKUP(A3,'BSE ALL CAP'!$B$4:$Y$1038,16,)</f>
        <v>0.11688311688311688</v>
      </c>
      <c r="R3" s="95">
        <f>VLOOKUP(A3,'BSE ALL CAP'!$B$4:$Y$1038,17,)</f>
        <v>0.11384710624061538</v>
      </c>
      <c r="S3" s="95">
        <f>VLOOKUP(A3,'BSE ALL CAP'!$B$4:$Y$1038,18,)</f>
        <v>0.31554878048780488</v>
      </c>
      <c r="T3" s="95">
        <f>VLOOKUP(A3,'BSE ALL CAP'!$B$4:$Y$1038,19,)</f>
        <v>0.17364016736401675</v>
      </c>
      <c r="U3" s="95">
        <f>VLOOKUP(A3,'BSE ALL CAP'!$B$4:$Y$1038,20,)</f>
        <v>0.14190861312378814</v>
      </c>
      <c r="V3" s="95">
        <f>VLOOKUP(A3,'BSE ALL CAP'!$B$4:$Y$1038,21,)</f>
        <v>0.2195423623995052</v>
      </c>
      <c r="W3" s="95">
        <f>VLOOKUP(A3,'BSE ALL CAP'!$B$4:$Y$1038,22,)</f>
        <v>1.4074074074074074</v>
      </c>
      <c r="X3" s="95">
        <f>VLOOKUP(A3,'BSE ALL CAP'!$B$4:$Y$1038,23,)</f>
        <v>0.37238493723849375</v>
      </c>
      <c r="Y3" s="95">
        <f>VLOOKUP(A3,'BSE ALL CAP'!$B$4:$Y$1038,24,)</f>
        <v>1.4939759036144578</v>
      </c>
    </row>
    <row r="4" spans="1:25" ht="15.75" customHeight="1">
      <c r="A4" s="99">
        <v>520113</v>
      </c>
      <c r="B4" s="98" t="s">
        <v>4593</v>
      </c>
      <c r="C4" s="101" t="str">
        <f>VLOOKUP(A4,'BSE ALL CAP'!$B$4:$Y$1038,2,)</f>
        <v>Industrials</v>
      </c>
      <c r="D4" s="101" t="str">
        <f>VLOOKUP(A4,'BSE ALL CAP'!$B$4:$Y$1038,3,)</f>
        <v>Electrodes &amp; Refractories</v>
      </c>
      <c r="E4" s="101">
        <f ca="1">IFERROR(__xludf.DUMMYFUNCTION("GOOGLEFINANCE(""BOM:""&amp;A4,""PRICE"")"),452.1)</f>
        <v>452.1</v>
      </c>
      <c r="F4" s="112">
        <f ca="1">IFERROR(__xludf.DUMMYFUNCTION("GOOGLEFINANCE(""BOM:""&amp;A4,""MARKETCAP"")/10000000"),9156.5718566)</f>
        <v>9156.5718565999996</v>
      </c>
      <c r="G4" s="95">
        <f t="shared" ca="1" si="0"/>
        <v>0.20161061632546293</v>
      </c>
      <c r="H4" s="101">
        <f>VLOOKUP(A4,'BSE ALL CAP'!$B$4:$Y$1038,7,)</f>
        <v>2104</v>
      </c>
      <c r="I4" s="101">
        <f>VLOOKUP(A4,'BSE ALL CAP'!$B$4:$Y$1038,8,)</f>
        <v>1869</v>
      </c>
      <c r="J4" s="101">
        <f>VLOOKUP(A4,'BSE ALL CAP'!$B$4:$Y$1038,9,)</f>
        <v>264</v>
      </c>
      <c r="K4" s="101">
        <f>VLOOKUP(A4,'BSE ALL CAP'!$B$4:$Y$1038,10,)</f>
        <v>264</v>
      </c>
      <c r="L4" s="101">
        <f>VLOOKUP(A4,'BSE ALL CAP'!$B$4:$Y$1038,11,)</f>
        <v>551</v>
      </c>
      <c r="M4" s="101">
        <f>VLOOKUP(A4,'BSE ALL CAP'!$B$4:$Y$1038,12,)</f>
        <v>509</v>
      </c>
      <c r="N4" s="101">
        <f>VLOOKUP(A4,'BSE ALL CAP'!$B$4:$Y$1038,13,)</f>
        <v>80</v>
      </c>
      <c r="O4" s="101">
        <f>VLOOKUP(A4,'BSE ALL CAP'!$B$4:$Y$1038,14,)</f>
        <v>60</v>
      </c>
      <c r="P4" s="95">
        <f>VLOOKUP(A4,'BSE ALL CAP'!$B$4:$Y$1038,15,)</f>
        <v>0.12547528517110265</v>
      </c>
      <c r="Q4" s="95">
        <f>VLOOKUP(A4,'BSE ALL CAP'!$B$4:$Y$1038,16,)</f>
        <v>0.14125200642054575</v>
      </c>
      <c r="R4" s="95">
        <f>VLOOKUP(A4,'BSE ALL CAP'!$B$4:$Y$1038,17,)</f>
        <v>-1.5776721249443099E-2</v>
      </c>
      <c r="S4" s="95">
        <f>VLOOKUP(A4,'BSE ALL CAP'!$B$4:$Y$1038,18,)</f>
        <v>0.14519056261343014</v>
      </c>
      <c r="T4" s="95">
        <f>VLOOKUP(A4,'BSE ALL CAP'!$B$4:$Y$1038,19,)</f>
        <v>0.11787819253438114</v>
      </c>
      <c r="U4" s="95">
        <f>VLOOKUP(A4,'BSE ALL CAP'!$B$4:$Y$1038,20,)</f>
        <v>2.7312370079048992E-2</v>
      </c>
      <c r="V4" s="95">
        <f>VLOOKUP(A4,'BSE ALL CAP'!$B$4:$Y$1038,21,)</f>
        <v>0.12573568753344033</v>
      </c>
      <c r="W4" s="95">
        <f>VLOOKUP(A4,'BSE ALL CAP'!$B$4:$Y$1038,22,)</f>
        <v>0</v>
      </c>
      <c r="X4" s="95">
        <f>VLOOKUP(A4,'BSE ALL CAP'!$B$4:$Y$1038,23,)</f>
        <v>8.25147347740669E-2</v>
      </c>
      <c r="Y4" s="95">
        <f>VLOOKUP(A4,'BSE ALL CAP'!$B$4:$Y$1038,24,)</f>
        <v>0.33333333333333326</v>
      </c>
    </row>
    <row r="5" spans="1:25" ht="15.75" customHeight="1">
      <c r="A5" s="99">
        <v>534076</v>
      </c>
      <c r="B5" s="98" t="s">
        <v>4594</v>
      </c>
      <c r="C5" s="101" t="str">
        <f>VLOOKUP(A5,'BSE ALL CAP'!$B$4:$Y$1038,2,)</f>
        <v>Industrials</v>
      </c>
      <c r="D5" s="101" t="str">
        <f>VLOOKUP(A5,'BSE ALL CAP'!$B$4:$Y$1038,3,)</f>
        <v>Electrodes &amp; Refractories</v>
      </c>
      <c r="E5" s="101">
        <f ca="1">IFERROR(__xludf.DUMMYFUNCTION("GOOGLEFINANCE(""BOM:""&amp;A5,""PRICE"")"),368)</f>
        <v>368</v>
      </c>
      <c r="F5" s="112">
        <f ca="1">IFERROR(__xludf.DUMMYFUNCTION("GOOGLEFINANCE(""BOM:""&amp;A5,""MARKETCAP"")/10000000"),7516.652)</f>
        <v>7516.652</v>
      </c>
      <c r="G5" s="95">
        <f t="shared" ca="1" si="0"/>
        <v>0.16550264292762648</v>
      </c>
      <c r="H5" s="101">
        <f>VLOOKUP(A5,'BSE ALL CAP'!$B$4:$Y$1038,7,)</f>
        <v>3087</v>
      </c>
      <c r="I5" s="101">
        <f>VLOOKUP(A5,'BSE ALL CAP'!$B$4:$Y$1038,8,)</f>
        <v>2756</v>
      </c>
      <c r="J5" s="101">
        <f>VLOOKUP(A5,'BSE ALL CAP'!$B$4:$Y$1038,9,)</f>
        <v>135</v>
      </c>
      <c r="K5" s="101">
        <f>VLOOKUP(A5,'BSE ALL CAP'!$B$4:$Y$1038,10,)</f>
        <v>166</v>
      </c>
      <c r="L5" s="101">
        <f>VLOOKUP(A5,'BSE ALL CAP'!$B$4:$Y$1038,11,)</f>
        <v>1092</v>
      </c>
      <c r="M5" s="101">
        <f>VLOOKUP(A5,'BSE ALL CAP'!$B$4:$Y$1038,12,)</f>
        <v>1010</v>
      </c>
      <c r="N5" s="101">
        <f>VLOOKUP(A5,'BSE ALL CAP'!$B$4:$Y$1038,13,)</f>
        <v>61</v>
      </c>
      <c r="O5" s="101">
        <f>VLOOKUP(A5,'BSE ALL CAP'!$B$4:$Y$1038,14,)</f>
        <v>47</v>
      </c>
      <c r="P5" s="95">
        <f>VLOOKUP(A5,'BSE ALL CAP'!$B$4:$Y$1038,15,)</f>
        <v>4.3731778425655975E-2</v>
      </c>
      <c r="Q5" s="95">
        <f>VLOOKUP(A5,'BSE ALL CAP'!$B$4:$Y$1038,16,)</f>
        <v>6.0232220609579099E-2</v>
      </c>
      <c r="R5" s="95">
        <f>VLOOKUP(A5,'BSE ALL CAP'!$B$4:$Y$1038,17,)</f>
        <v>-1.6500442183923124E-2</v>
      </c>
      <c r="S5" s="95">
        <f>VLOOKUP(A5,'BSE ALL CAP'!$B$4:$Y$1038,18,)</f>
        <v>5.5860805860805864E-2</v>
      </c>
      <c r="T5" s="95">
        <f>VLOOKUP(A5,'BSE ALL CAP'!$B$4:$Y$1038,19,)</f>
        <v>4.6534653465346534E-2</v>
      </c>
      <c r="U5" s="95">
        <f>VLOOKUP(A5,'BSE ALL CAP'!$B$4:$Y$1038,20,)</f>
        <v>9.3261523954593292E-3</v>
      </c>
      <c r="V5" s="95">
        <f>VLOOKUP(A5,'BSE ALL CAP'!$B$4:$Y$1038,21,)</f>
        <v>0.12010159651669094</v>
      </c>
      <c r="W5" s="95">
        <f>VLOOKUP(A5,'BSE ALL CAP'!$B$4:$Y$1038,22,)</f>
        <v>-0.18674698795180722</v>
      </c>
      <c r="X5" s="95">
        <f>VLOOKUP(A5,'BSE ALL CAP'!$B$4:$Y$1038,23,)</f>
        <v>8.118811881188126E-2</v>
      </c>
      <c r="Y5" s="95">
        <f>VLOOKUP(A5,'BSE ALL CAP'!$B$4:$Y$1038,24,)</f>
        <v>0.2978723404255319</v>
      </c>
    </row>
    <row r="6" spans="1:25" ht="15.75" customHeight="1">
      <c r="A6" s="99">
        <v>539837</v>
      </c>
      <c r="B6" s="98" t="s">
        <v>4595</v>
      </c>
      <c r="C6" s="101" t="str">
        <f>VLOOKUP(A6,'BSE ALL CAP'!$B$4:$Y$1038,2,)</f>
        <v>Industrials</v>
      </c>
      <c r="D6" s="101" t="str">
        <f>VLOOKUP(A6,'BSE ALL CAP'!$B$4:$Y$1038,3,)</f>
        <v>Electrodes &amp; Refractories</v>
      </c>
      <c r="E6" s="101">
        <f ca="1">IFERROR(__xludf.DUMMYFUNCTION("GOOGLEFINANCE(""BOM:""&amp;A6,""PRICE"")"),635.65)</f>
        <v>635.65</v>
      </c>
      <c r="F6" s="112">
        <f ca="1">IFERROR(__xludf.DUMMYFUNCTION("GOOGLEFINANCE(""BOM:""&amp;A6,""MARKETCAP"")/10000000"),2911.0471337)</f>
        <v>2911.0471336999999</v>
      </c>
      <c r="G6" s="95">
        <f t="shared" ca="1" si="0"/>
        <v>6.4095822756493392E-2</v>
      </c>
      <c r="H6" s="101">
        <f>VLOOKUP(A6,'BSE ALL CAP'!$B$4:$Y$1038,7,)</f>
        <v>186</v>
      </c>
      <c r="I6" s="101">
        <f>VLOOKUP(A6,'BSE ALL CAP'!$B$4:$Y$1038,8,)</f>
        <v>148</v>
      </c>
      <c r="J6" s="101">
        <f>VLOOKUP(A6,'BSE ALL CAP'!$B$4:$Y$1038,9,)</f>
        <v>39</v>
      </c>
      <c r="K6" s="101">
        <f>VLOOKUP(A6,'BSE ALL CAP'!$B$4:$Y$1038,10,)</f>
        <v>26</v>
      </c>
      <c r="L6" s="101">
        <f>VLOOKUP(A6,'BSE ALL CAP'!$B$4:$Y$1038,11,)</f>
        <v>64</v>
      </c>
      <c r="M6" s="101">
        <f>VLOOKUP(A6,'BSE ALL CAP'!$B$4:$Y$1038,12,)</f>
        <v>55</v>
      </c>
      <c r="N6" s="101">
        <f>VLOOKUP(A6,'BSE ALL CAP'!$B$4:$Y$1038,13,)</f>
        <v>14</v>
      </c>
      <c r="O6" s="101">
        <f>VLOOKUP(A6,'BSE ALL CAP'!$B$4:$Y$1038,14,)</f>
        <v>9</v>
      </c>
      <c r="P6" s="95">
        <f>VLOOKUP(A6,'BSE ALL CAP'!$B$4:$Y$1038,15,)</f>
        <v>0.20967741935483872</v>
      </c>
      <c r="Q6" s="95">
        <f>VLOOKUP(A6,'BSE ALL CAP'!$B$4:$Y$1038,16,)</f>
        <v>0.17567567567567569</v>
      </c>
      <c r="R6" s="95">
        <f>VLOOKUP(A6,'BSE ALL CAP'!$B$4:$Y$1038,17,)</f>
        <v>3.4001743679163032E-2</v>
      </c>
      <c r="S6" s="95">
        <f>VLOOKUP(A6,'BSE ALL CAP'!$B$4:$Y$1038,18,)</f>
        <v>0.21875</v>
      </c>
      <c r="T6" s="95">
        <f>VLOOKUP(A6,'BSE ALL CAP'!$B$4:$Y$1038,19,)</f>
        <v>0.16363636363636364</v>
      </c>
      <c r="U6" s="95">
        <f>VLOOKUP(A6,'BSE ALL CAP'!$B$4:$Y$1038,20,)</f>
        <v>5.5113636363636365E-2</v>
      </c>
      <c r="V6" s="95">
        <f>VLOOKUP(A6,'BSE ALL CAP'!$B$4:$Y$1038,21,)</f>
        <v>0.2567567567567568</v>
      </c>
      <c r="W6" s="95">
        <f>VLOOKUP(A6,'BSE ALL CAP'!$B$4:$Y$1038,22,)</f>
        <v>0.5</v>
      </c>
      <c r="X6" s="95">
        <f>VLOOKUP(A6,'BSE ALL CAP'!$B$4:$Y$1038,23,)</f>
        <v>0.16363636363636358</v>
      </c>
      <c r="Y6" s="95">
        <f>VLOOKUP(A6,'BSE ALL CAP'!$B$4:$Y$1038,24,)</f>
        <v>0.55555555555555558</v>
      </c>
    </row>
    <row r="7" spans="1:25" ht="15.75" customHeight="1">
      <c r="A7" s="99">
        <v>540774</v>
      </c>
      <c r="B7" s="98" t="s">
        <v>4596</v>
      </c>
      <c r="C7" s="101"/>
      <c r="D7" s="101"/>
      <c r="E7" s="101">
        <f ca="1">IFERROR(__xludf.DUMMYFUNCTION("GOOGLEFINANCE(""BOM:""&amp;A7,""PRICE"")"),142)</f>
        <v>142</v>
      </c>
      <c r="F7" s="112">
        <f ca="1">IFERROR(__xludf.DUMMYFUNCTION("GOOGLEFINANCE(""BOM:""&amp;A7,""MARKETCAP"")/10000000"),1024.0930461)</f>
        <v>1024.0930461</v>
      </c>
      <c r="G7" s="95">
        <f t="shared" ca="1" si="0"/>
        <v>2.2548616822137518E-2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523160</v>
      </c>
      <c r="B8" s="98" t="s">
        <v>4597</v>
      </c>
      <c r="C8" s="101"/>
      <c r="D8" s="101"/>
      <c r="E8" s="101">
        <f ca="1">IFERROR(__xludf.DUMMYFUNCTION("GOOGLEFINANCE(""BOM:""&amp;A8,""PRICE"")"),1265)</f>
        <v>1265</v>
      </c>
      <c r="F8" s="112">
        <f ca="1">IFERROR(__xludf.DUMMYFUNCTION("GOOGLEFINANCE(""BOM:""&amp;A8,""MARKETCAP"")/10000000"),708.4)</f>
        <v>708.4</v>
      </c>
      <c r="G8" s="95">
        <f t="shared" ca="1" si="0"/>
        <v>1.5597645367901905E-2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504879</v>
      </c>
      <c r="B9" s="98" t="s">
        <v>4598</v>
      </c>
      <c r="C9" s="101"/>
      <c r="D9" s="101"/>
      <c r="E9" s="101">
        <f ca="1">IFERROR(__xludf.DUMMYFUNCTION("GOOGLEFINANCE(""BOM:""&amp;A9,""PRICE"")"),39.15)</f>
        <v>39.15</v>
      </c>
      <c r="F9" s="112">
        <f ca="1">IFERROR(__xludf.DUMMYFUNCTION("GOOGLEFINANCE(""BOM:""&amp;A9,""MARKETCAP"")/10000000"),457.0217)</f>
        <v>457.02170000000001</v>
      </c>
      <c r="G9" s="95">
        <f t="shared" ca="1" si="0"/>
        <v>1.0062764542681613E-2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590031</v>
      </c>
      <c r="B10" s="98" t="s">
        <v>4599</v>
      </c>
      <c r="C10" s="101"/>
      <c r="D10" s="101"/>
      <c r="E10" s="101">
        <f ca="1">IFERROR(__xludf.DUMMYFUNCTION("GOOGLEFINANCE(""BOM:""&amp;A10,""PRICE"")"),712.9)</f>
        <v>712.9</v>
      </c>
      <c r="F10" s="112">
        <f ca="1">IFERROR(__xludf.DUMMYFUNCTION("GOOGLEFINANCE(""BOM:""&amp;A10,""MARKETCAP"")/10000000"),382.3012184)</f>
        <v>382.30121839999998</v>
      </c>
      <c r="G10" s="95">
        <f t="shared" ca="1" si="0"/>
        <v>8.4175590461886135E-3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508941</v>
      </c>
      <c r="B11" s="98" t="s">
        <v>4600</v>
      </c>
      <c r="C11" s="101"/>
      <c r="D11" s="101"/>
      <c r="E11" s="101">
        <f ca="1">IFERROR(__xludf.DUMMYFUNCTION("GOOGLEFINANCE(""BOM:""&amp;A11,""PRICE"")"),444.2)</f>
        <v>444.2</v>
      </c>
      <c r="F11" s="112">
        <f ca="1">IFERROR(__xludf.DUMMYFUNCTION("GOOGLEFINANCE(""BOM:""&amp;A11,""MARKETCAP"")/10000000"),213.2160058)</f>
        <v>213.2160058</v>
      </c>
      <c r="G11" s="95">
        <f t="shared" ca="1" si="0"/>
        <v>4.6946183585953073E-3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502294</v>
      </c>
      <c r="B12" s="98" t="s">
        <v>4601</v>
      </c>
      <c r="C12" s="101"/>
      <c r="D12" s="101"/>
      <c r="E12" s="101">
        <f ca="1">IFERROR(__xludf.DUMMYFUNCTION("GOOGLEFINANCE(""BOM:""&amp;A12,""PRICE"")"),41.97)</f>
        <v>41.97</v>
      </c>
      <c r="F12" s="112">
        <f ca="1">IFERROR(__xludf.DUMMYFUNCTION("GOOGLEFINANCE(""BOM:""&amp;A12,""MARKETCAP"")/10000000"),85.4569661)</f>
        <v>85.456966100000002</v>
      </c>
      <c r="G12" s="95">
        <f t="shared" ca="1" si="0"/>
        <v>1.8816028394192761E-3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>
      <c r="A13" s="101"/>
      <c r="B13" s="101"/>
      <c r="C13" s="101"/>
      <c r="D13" s="101"/>
      <c r="E13" s="101"/>
      <c r="F13" s="112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>
      <c r="A14" s="101"/>
      <c r="B14" s="101"/>
      <c r="C14" s="101"/>
      <c r="D14" s="101"/>
      <c r="E14" s="101"/>
      <c r="F14" s="112">
        <f ca="1">SUM(F1:F12)</f>
        <v>45417.111576200004</v>
      </c>
      <c r="G14" s="95">
        <f ca="1">F14/$F$14</f>
        <v>1</v>
      </c>
      <c r="H14" s="101">
        <f t="shared" ref="H14:O14" si="1">SUM(H2:H12)</f>
        <v>9385</v>
      </c>
      <c r="I14" s="101">
        <f t="shared" si="1"/>
        <v>8284</v>
      </c>
      <c r="J14" s="101">
        <f t="shared" si="1"/>
        <v>3659</v>
      </c>
      <c r="K14" s="101">
        <f t="shared" si="1"/>
        <v>1054</v>
      </c>
      <c r="L14" s="101">
        <f t="shared" si="1"/>
        <v>3005</v>
      </c>
      <c r="M14" s="101">
        <f t="shared" si="1"/>
        <v>2575</v>
      </c>
      <c r="N14" s="101">
        <f t="shared" si="1"/>
        <v>429</v>
      </c>
      <c r="O14" s="101">
        <f t="shared" si="1"/>
        <v>178</v>
      </c>
      <c r="P14" s="95">
        <f t="shared" ref="P14:Q14" si="2">J14/H14</f>
        <v>0.3898774640383591</v>
      </c>
      <c r="Q14" s="95">
        <f t="shared" si="2"/>
        <v>0.12723322066634477</v>
      </c>
      <c r="R14" s="95">
        <f>P14-Q14</f>
        <v>0.26264424337201431</v>
      </c>
      <c r="S14" s="95">
        <f t="shared" ref="S14:T14" si="3">N14/L14</f>
        <v>0.1427620632279534</v>
      </c>
      <c r="T14" s="95">
        <f t="shared" si="3"/>
        <v>6.9126213592233005E-2</v>
      </c>
      <c r="U14" s="95">
        <f>S14-T14</f>
        <v>7.3635849635720396E-2</v>
      </c>
      <c r="V14" s="95">
        <f>(H14/I14)-1</f>
        <v>0.13290680830516655</v>
      </c>
      <c r="W14" s="95">
        <f>(J14/K14)-1</f>
        <v>2.4715370018975333</v>
      </c>
      <c r="X14" s="95">
        <f>(L14/M14)-1</f>
        <v>0.16699029126213594</v>
      </c>
      <c r="Y14" s="95">
        <f>(N14/O14)-1</f>
        <v>1.4101123595505616</v>
      </c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2" xr:uid="{00000000-0009-0000-0000-000090000000}"/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544609</v>
      </c>
      <c r="B2" s="98" t="s">
        <v>4602</v>
      </c>
      <c r="C2" s="101" t="str">
        <f>VLOOKUP(A2,'BSE ALL CAP'!$B$4:$Y$1038,2,)</f>
        <v>Consumer Discretionary</v>
      </c>
      <c r="D2" s="101" t="str">
        <f>VLOOKUP(A2,'BSE ALL CAP'!$B$4:$Y$1038,3,)</f>
        <v>E-Learning</v>
      </c>
      <c r="E2" s="101">
        <f ca="1">IFERROR(__xludf.DUMMYFUNCTION("GOOGLEFINANCE(""BOM:""&amp;A2,""PRICE"")"),93.06)</f>
        <v>93.06</v>
      </c>
      <c r="F2" s="112">
        <f ca="1">IFERROR(__xludf.DUMMYFUNCTION("GOOGLEFINANCE(""BOM:""&amp;A2,""MARKETCAP"")/10000000"),26609.4349327)</f>
        <v>26609.434932700002</v>
      </c>
      <c r="G2" s="95">
        <f t="shared" ref="G2:G8" ca="1" si="0">F2/$F$10</f>
        <v>0.8324000333055388</v>
      </c>
      <c r="H2" s="101">
        <f>VLOOKUP(A2,'BSE ALL CAP'!$B$4:$Y$1038,7,)</f>
        <v>2981</v>
      </c>
      <c r="I2" s="101">
        <f>VLOOKUP(A2,'BSE ALL CAP'!$B$4:$Y$1038,8,)</f>
        <v>2277</v>
      </c>
      <c r="J2" s="101">
        <f>VLOOKUP(A2,'BSE ALL CAP'!$B$4:$Y$1038,9,)</f>
        <v>45</v>
      </c>
      <c r="K2" s="101">
        <f>VLOOKUP(A2,'BSE ALL CAP'!$B$4:$Y$1038,10,)</f>
        <v>46</v>
      </c>
      <c r="L2" s="101">
        <f>VLOOKUP(A2,'BSE ALL CAP'!$B$4:$Y$1038,11,)</f>
        <v>1082</v>
      </c>
      <c r="M2" s="101">
        <f>VLOOKUP(A2,'BSE ALL CAP'!$B$4:$Y$1038,12,)</f>
        <v>810</v>
      </c>
      <c r="N2" s="101">
        <f>VLOOKUP(A2,'BSE ALL CAP'!$B$4:$Y$1038,13,)</f>
        <v>102</v>
      </c>
      <c r="O2" s="101">
        <f>VLOOKUP(A2,'BSE ALL CAP'!$B$4:$Y$1038,14,)</f>
        <v>77</v>
      </c>
      <c r="P2" s="95">
        <f>VLOOKUP(A2,'BSE ALL CAP'!$B$4:$Y$1038,15,)</f>
        <v>1.5095605501509561E-2</v>
      </c>
      <c r="Q2" s="95">
        <f>VLOOKUP(A2,'BSE ALL CAP'!$B$4:$Y$1038,16,)</f>
        <v>2.0202020202020204E-2</v>
      </c>
      <c r="R2" s="95">
        <f>VLOOKUP(A2,'BSE ALL CAP'!$B$4:$Y$1038,17,)</f>
        <v>-5.1064147005106426E-3</v>
      </c>
      <c r="S2" s="95">
        <f>VLOOKUP(A2,'BSE ALL CAP'!$B$4:$Y$1038,18,)</f>
        <v>9.4269870609981515E-2</v>
      </c>
      <c r="T2" s="95">
        <f>VLOOKUP(A2,'BSE ALL CAP'!$B$4:$Y$1038,19,)</f>
        <v>9.5061728395061731E-2</v>
      </c>
      <c r="U2" s="95">
        <f>VLOOKUP(A2,'BSE ALL CAP'!$B$4:$Y$1038,20,)</f>
        <v>-7.9185778508021609E-4</v>
      </c>
      <c r="V2" s="95">
        <f>VLOOKUP(A2,'BSE ALL CAP'!$B$4:$Y$1038,21,)</f>
        <v>0.3091787439613527</v>
      </c>
      <c r="W2" s="95">
        <f>VLOOKUP(A2,'BSE ALL CAP'!$B$4:$Y$1038,22,)</f>
        <v>-2.1739130434782594E-2</v>
      </c>
      <c r="X2" s="95">
        <f>VLOOKUP(A2,'BSE ALL CAP'!$B$4:$Y$1038,23,)</f>
        <v>0.33580246913580236</v>
      </c>
      <c r="Y2" s="95">
        <f>VLOOKUP(A2,'BSE ALL CAP'!$B$4:$Y$1038,24,)</f>
        <v>0.32467532467532467</v>
      </c>
    </row>
    <row r="3" spans="1:25" ht="15.75" customHeight="1">
      <c r="A3" s="99">
        <v>532440</v>
      </c>
      <c r="B3" s="98" t="s">
        <v>4603</v>
      </c>
      <c r="C3" s="101" t="str">
        <f>VLOOKUP(A3,'BSE ALL CAP'!$B$4:$Y$1038,2,)</f>
        <v>Consumer Discretionary</v>
      </c>
      <c r="D3" s="101" t="str">
        <f>VLOOKUP(A3,'BSE ALL CAP'!$B$4:$Y$1038,3,)</f>
        <v>E-Learning</v>
      </c>
      <c r="E3" s="101">
        <f ca="1">IFERROR(__xludf.DUMMYFUNCTION("GOOGLEFINANCE(""BOM:""&amp;A3,""PRICE"")"),1657.25)</f>
        <v>1657.25</v>
      </c>
      <c r="F3" s="112">
        <f ca="1">IFERROR(__xludf.DUMMYFUNCTION("GOOGLEFINANCE(""BOM:""&amp;A3,""MARKETCAP"")/10000000"),2809.558008)</f>
        <v>2809.558008</v>
      </c>
      <c r="G3" s="95">
        <f t="shared" ca="1" si="0"/>
        <v>8.7888983187653993E-2</v>
      </c>
      <c r="H3" s="101">
        <f>VLOOKUP(A3,'BSE ALL CAP'!$B$4:$Y$1038,7,)</f>
        <v>563</v>
      </c>
      <c r="I3" s="101">
        <f>VLOOKUP(A3,'BSE ALL CAP'!$B$4:$Y$1038,8,)</f>
        <v>544</v>
      </c>
      <c r="J3" s="101">
        <f>VLOOKUP(A3,'BSE ALL CAP'!$B$4:$Y$1038,9,)</f>
        <v>126</v>
      </c>
      <c r="K3" s="101">
        <f>VLOOKUP(A3,'BSE ALL CAP'!$B$4:$Y$1038,10,)</f>
        <v>101</v>
      </c>
      <c r="L3" s="101">
        <f>VLOOKUP(A3,'BSE ALL CAP'!$B$4:$Y$1038,11,)</f>
        <v>182</v>
      </c>
      <c r="M3" s="101">
        <f>VLOOKUP(A3,'BSE ALL CAP'!$B$4:$Y$1038,12,)</f>
        <v>186</v>
      </c>
      <c r="N3" s="101">
        <f>VLOOKUP(A3,'BSE ALL CAP'!$B$4:$Y$1038,13,)</f>
        <v>35</v>
      </c>
      <c r="O3" s="101">
        <f>VLOOKUP(A3,'BSE ALL CAP'!$B$4:$Y$1038,14,)</f>
        <v>40</v>
      </c>
      <c r="P3" s="95">
        <f>VLOOKUP(A3,'BSE ALL CAP'!$B$4:$Y$1038,15,)</f>
        <v>0.22380106571936056</v>
      </c>
      <c r="Q3" s="95">
        <f>VLOOKUP(A3,'BSE ALL CAP'!$B$4:$Y$1038,16,)</f>
        <v>0.18566176470588236</v>
      </c>
      <c r="R3" s="95">
        <f>VLOOKUP(A3,'BSE ALL CAP'!$B$4:$Y$1038,17,)</f>
        <v>3.8139301013478205E-2</v>
      </c>
      <c r="S3" s="95">
        <f>VLOOKUP(A3,'BSE ALL CAP'!$B$4:$Y$1038,18,)</f>
        <v>0.19230769230769232</v>
      </c>
      <c r="T3" s="95">
        <f>VLOOKUP(A3,'BSE ALL CAP'!$B$4:$Y$1038,19,)</f>
        <v>0.21505376344086022</v>
      </c>
      <c r="U3" s="95">
        <f>VLOOKUP(A3,'BSE ALL CAP'!$B$4:$Y$1038,20,)</f>
        <v>-2.27460711331679E-2</v>
      </c>
      <c r="V3" s="95">
        <f>VLOOKUP(A3,'BSE ALL CAP'!$B$4:$Y$1038,21,)</f>
        <v>3.4926470588235281E-2</v>
      </c>
      <c r="W3" s="95">
        <f>VLOOKUP(A3,'BSE ALL CAP'!$B$4:$Y$1038,22,)</f>
        <v>0.24752475247524752</v>
      </c>
      <c r="X3" s="95">
        <f>VLOOKUP(A3,'BSE ALL CAP'!$B$4:$Y$1038,23,)</f>
        <v>-2.1505376344086002E-2</v>
      </c>
      <c r="Y3" s="95">
        <f>VLOOKUP(A3,'BSE ALL CAP'!$B$4:$Y$1038,24,)</f>
        <v>-0.125</v>
      </c>
    </row>
    <row r="4" spans="1:25" ht="15.75" customHeight="1">
      <c r="A4" s="99">
        <v>543514</v>
      </c>
      <c r="B4" s="98" t="s">
        <v>4604</v>
      </c>
      <c r="C4" s="101"/>
      <c r="D4" s="101"/>
      <c r="E4" s="101">
        <f ca="1">IFERROR(__xludf.DUMMYFUNCTION("GOOGLEFINANCE(""BOM:""&amp;A4,""PRICE"")"),145.15)</f>
        <v>145.15</v>
      </c>
      <c r="F4" s="112">
        <f ca="1">IFERROR(__xludf.DUMMYFUNCTION("GOOGLEFINANCE(""BOM:""&amp;A4,""MARKETCAP"")/10000000"),1387.823907)</f>
        <v>1387.823907</v>
      </c>
      <c r="G4" s="95">
        <f t="shared" ca="1" si="0"/>
        <v>4.3414099898430453E-2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544534</v>
      </c>
      <c r="B5" s="98" t="s">
        <v>4605</v>
      </c>
      <c r="C5" s="101"/>
      <c r="D5" s="101"/>
      <c r="E5" s="101">
        <f ca="1">IFERROR(__xludf.DUMMYFUNCTION("GOOGLEFINANCE(""BOM:""&amp;A5,""PRICE"")"),437.5)</f>
        <v>437.5</v>
      </c>
      <c r="F5" s="112">
        <f ca="1">IFERROR(__xludf.DUMMYFUNCTION("GOOGLEFINANCE(""BOM:""&amp;A5,""MARKETCAP"")/10000000"),971.426622)</f>
        <v>971.42662199999995</v>
      </c>
      <c r="G5" s="95">
        <f t="shared" ca="1" si="0"/>
        <v>3.0388302290214719E-2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544257</v>
      </c>
      <c r="B6" s="98" t="s">
        <v>4606</v>
      </c>
      <c r="C6" s="101"/>
      <c r="D6" s="101"/>
      <c r="E6" s="101">
        <f ca="1">IFERROR(__xludf.DUMMYFUNCTION("GOOGLEFINANCE(""BOM:""&amp;A6,""PRICE"")"),180)</f>
        <v>180</v>
      </c>
      <c r="F6" s="112">
        <f ca="1">IFERROR(__xludf.DUMMYFUNCTION("GOOGLEFINANCE(""BOM:""&amp;A6,""MARKETCAP"")/10000000"),102.510036)</f>
        <v>102.510036</v>
      </c>
      <c r="G6" s="95">
        <f t="shared" ca="1" si="0"/>
        <v>3.206733160488568E-3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517063</v>
      </c>
      <c r="B7" s="98" t="s">
        <v>4607</v>
      </c>
      <c r="C7" s="101"/>
      <c r="D7" s="101"/>
      <c r="E7" s="101">
        <f ca="1">IFERROR(__xludf.DUMMYFUNCTION("GOOGLEFINANCE(""BOM:""&amp;A7,""PRICE"")"),108.73)</f>
        <v>108.73</v>
      </c>
      <c r="F7" s="112">
        <f ca="1">IFERROR(__xludf.DUMMYFUNCTION("GOOGLEFINANCE(""BOM:""&amp;A7,""MARKETCAP"")/10000000"),68.5396429)</f>
        <v>68.539642900000004</v>
      </c>
      <c r="G7" s="95">
        <f t="shared" ca="1" si="0"/>
        <v>2.14406661310191E-3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532398</v>
      </c>
      <c r="B8" s="98" t="s">
        <v>4608</v>
      </c>
      <c r="C8" s="101"/>
      <c r="D8" s="101"/>
      <c r="E8" s="101">
        <f ca="1">IFERROR(__xludf.DUMMYFUNCTION("GOOGLEFINANCE(""BOM:""&amp;A8,""PRICE"")"),6.77)</f>
        <v>6.77</v>
      </c>
      <c r="F8" s="112">
        <f ca="1">IFERROR(__xludf.DUMMYFUNCTION("GOOGLEFINANCE(""BOM:""&amp;A8,""MARKETCAP"")/10000000"),17.8306717)</f>
        <v>17.8306717</v>
      </c>
      <c r="G8" s="95">
        <f t="shared" ca="1" si="0"/>
        <v>5.5778154457164627E-4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A9" s="101"/>
      <c r="B9" s="101"/>
      <c r="C9" s="101"/>
      <c r="D9" s="101"/>
      <c r="E9" s="101"/>
      <c r="F9" s="112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>
      <c r="A10" s="101"/>
      <c r="B10" s="101"/>
      <c r="C10" s="101"/>
      <c r="D10" s="101"/>
      <c r="E10" s="101"/>
      <c r="F10" s="112">
        <f ca="1">SUM(F2:F8)</f>
        <v>31967.123820299999</v>
      </c>
      <c r="G10" s="95">
        <f ca="1">F10/$F$10</f>
        <v>1</v>
      </c>
      <c r="H10" s="101">
        <f t="shared" ref="H10:O10" si="1">SUM(H2:H8)</f>
        <v>3544</v>
      </c>
      <c r="I10" s="101">
        <f t="shared" si="1"/>
        <v>2821</v>
      </c>
      <c r="J10" s="101">
        <f t="shared" si="1"/>
        <v>171</v>
      </c>
      <c r="K10" s="101">
        <f t="shared" si="1"/>
        <v>147</v>
      </c>
      <c r="L10" s="101">
        <f t="shared" si="1"/>
        <v>1264</v>
      </c>
      <c r="M10" s="101">
        <f t="shared" si="1"/>
        <v>996</v>
      </c>
      <c r="N10" s="101">
        <f t="shared" si="1"/>
        <v>137</v>
      </c>
      <c r="O10" s="101">
        <f t="shared" si="1"/>
        <v>117</v>
      </c>
      <c r="P10" s="95">
        <f t="shared" ref="P10:Q10" si="2">J10/H10</f>
        <v>4.8250564334085776E-2</v>
      </c>
      <c r="Q10" s="95">
        <f t="shared" si="2"/>
        <v>5.2109181141439205E-2</v>
      </c>
      <c r="R10" s="95">
        <f>P10-Q10</f>
        <v>-3.8586168073534294E-3</v>
      </c>
      <c r="S10" s="95">
        <f t="shared" ref="S10:T10" si="3">N10/L10</f>
        <v>0.10838607594936708</v>
      </c>
      <c r="T10" s="95">
        <f t="shared" si="3"/>
        <v>0.11746987951807229</v>
      </c>
      <c r="U10" s="95">
        <f>S10-T10</f>
        <v>-9.0838035687052093E-3</v>
      </c>
      <c r="V10" s="95">
        <f>(H10/I10)-1</f>
        <v>0.25629209500177241</v>
      </c>
      <c r="W10" s="95">
        <f>(J10/K10)-1</f>
        <v>0.16326530612244894</v>
      </c>
      <c r="X10" s="95">
        <f>(L10/M10)-1</f>
        <v>0.26907630522088355</v>
      </c>
      <c r="Y10" s="95">
        <f>(N10/O10)-1</f>
        <v>0.170940170940171</v>
      </c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8" xr:uid="{00000000-0009-0000-0000-000091000000}"/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outlinePr summaryBelow="0" summaryRight="0"/>
  </sheetPr>
  <dimension ref="A1:Y37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71">
        <v>543952</v>
      </c>
      <c r="B2" s="71" t="s">
        <v>134</v>
      </c>
      <c r="C2" s="101" t="str">
        <f>VLOOKUP(A2,'BSE ALL CAP'!$B$4:$Y$1038,2,)</f>
        <v>Consumer Discretionary</v>
      </c>
      <c r="D2" s="101" t="str">
        <f>VLOOKUP(A2,'BSE ALL CAP'!$B$4:$Y$1038,3,)</f>
        <v>Education</v>
      </c>
      <c r="E2" s="101">
        <f ca="1">IFERROR(__xludf.DUMMYFUNCTION("GOOGLEFINANCE(""BOM:""&amp;A2,""PRICE"")"),285.5)</f>
        <v>285.5</v>
      </c>
      <c r="F2" s="112">
        <f ca="1">IFERROR(__xludf.DUMMYFUNCTION("GOOGLEFINANCE(""BOM:""&amp;A2,""MARKETCAP"")/10000000"),3916.5808241)</f>
        <v>3916.5808241</v>
      </c>
      <c r="G2" s="95">
        <f t="shared" ref="G2:G21" ca="1" si="0">F2/$F$23</f>
        <v>0.42399247915500693</v>
      </c>
      <c r="H2" s="101">
        <f>VLOOKUP(A2,'BSE ALL CAP'!$B$4:$Y$1038,7,)</f>
        <v>1426</v>
      </c>
      <c r="I2" s="101">
        <f>VLOOKUP(A2,'BSE ALL CAP'!$B$4:$Y$1038,8,)</f>
        <v>1223</v>
      </c>
      <c r="J2" s="101">
        <f>VLOOKUP(A2,'BSE ALL CAP'!$B$4:$Y$1038,9,)</f>
        <v>170</v>
      </c>
      <c r="K2" s="101">
        <f>VLOOKUP(A2,'BSE ALL CAP'!$B$4:$Y$1038,10,)</f>
        <v>178</v>
      </c>
      <c r="L2" s="101">
        <f>VLOOKUP(A2,'BSE ALL CAP'!$B$4:$Y$1038,11,)</f>
        <v>499</v>
      </c>
      <c r="M2" s="101">
        <f>VLOOKUP(A2,'BSE ALL CAP'!$B$4:$Y$1038,12,)</f>
        <v>418</v>
      </c>
      <c r="N2" s="101">
        <f>VLOOKUP(A2,'BSE ALL CAP'!$B$4:$Y$1038,13,)</f>
        <v>74</v>
      </c>
      <c r="O2" s="101">
        <f>VLOOKUP(A2,'BSE ALL CAP'!$B$4:$Y$1038,14,)</f>
        <v>61</v>
      </c>
      <c r="P2" s="95">
        <f>VLOOKUP(A2,'BSE ALL CAP'!$B$4:$Y$1038,15,)</f>
        <v>0.11921458625525946</v>
      </c>
      <c r="Q2" s="95">
        <f>VLOOKUP(A2,'BSE ALL CAP'!$B$4:$Y$1038,16,)</f>
        <v>0.14554374488961569</v>
      </c>
      <c r="R2" s="95">
        <f>VLOOKUP(A2,'BSE ALL CAP'!$B$4:$Y$1038,17,)</f>
        <v>-2.6329158634356226E-2</v>
      </c>
      <c r="S2" s="95">
        <f>VLOOKUP(A2,'BSE ALL CAP'!$B$4:$Y$1038,18,)</f>
        <v>0.14829659318637275</v>
      </c>
      <c r="T2" s="95">
        <f>VLOOKUP(A2,'BSE ALL CAP'!$B$4:$Y$1038,19,)</f>
        <v>0.145933014354067</v>
      </c>
      <c r="U2" s="95">
        <f>VLOOKUP(A2,'BSE ALL CAP'!$B$4:$Y$1038,20,)</f>
        <v>2.3635788323057572E-3</v>
      </c>
      <c r="V2" s="95">
        <f>VLOOKUP(A2,'BSE ALL CAP'!$B$4:$Y$1038,21,)</f>
        <v>0.1659852820932135</v>
      </c>
      <c r="W2" s="95">
        <f>VLOOKUP(A2,'BSE ALL CAP'!$B$4:$Y$1038,22,)</f>
        <v>-4.49438202247191E-2</v>
      </c>
      <c r="X2" s="95">
        <f>VLOOKUP(A2,'BSE ALL CAP'!$B$4:$Y$1038,23,)</f>
        <v>0.19377990430622005</v>
      </c>
      <c r="Y2" s="95">
        <f>VLOOKUP(A2,'BSE ALL CAP'!$B$4:$Y$1038,24,)</f>
        <v>0.21311475409836067</v>
      </c>
    </row>
    <row r="3" spans="1:25" ht="15.75" customHeight="1">
      <c r="A3" s="71">
        <v>539921</v>
      </c>
      <c r="B3" s="71" t="s">
        <v>4609</v>
      </c>
      <c r="C3" s="101"/>
      <c r="D3" s="101"/>
      <c r="E3" s="101">
        <f ca="1">IFERROR(__xludf.DUMMYFUNCTION("GOOGLEFINANCE(""BOM:""&amp;A3,""PRICE"")"),157.35)</f>
        <v>157.35</v>
      </c>
      <c r="F3" s="112">
        <f ca="1">IFERROR(__xludf.DUMMYFUNCTION("GOOGLEFINANCE(""BOM:""&amp;A3,""MARKETCAP"")/10000000"),2533.3350982)</f>
        <v>2533.3350982000002</v>
      </c>
      <c r="G3" s="95">
        <f t="shared" ca="1" si="0"/>
        <v>0.27424814578236983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71">
        <v>500304</v>
      </c>
      <c r="B4" s="71" t="s">
        <v>4610</v>
      </c>
      <c r="C4" s="101"/>
      <c r="D4" s="101"/>
      <c r="E4" s="101">
        <f ca="1">IFERROR(__xludf.DUMMYFUNCTION("GOOGLEFINANCE(""BOM:""&amp;A4,""PRICE"")"),58.84)</f>
        <v>58.84</v>
      </c>
      <c r="F4" s="112">
        <f ca="1">IFERROR(__xludf.DUMMYFUNCTION("GOOGLEFINANCE(""BOM:""&amp;A4,""MARKETCAP"")/10000000"),803.7091482)</f>
        <v>803.70914819999996</v>
      </c>
      <c r="G4" s="95">
        <f t="shared" ca="1" si="0"/>
        <v>8.7006153982072454E-2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71">
        <v>532475</v>
      </c>
      <c r="B5" s="71" t="s">
        <v>4611</v>
      </c>
      <c r="C5" s="101"/>
      <c r="D5" s="101"/>
      <c r="E5" s="101">
        <f ca="1">IFERROR(__xludf.DUMMYFUNCTION("GOOGLEFINANCE(""BOM:""&amp;A5,""PRICE"")"),77.88)</f>
        <v>77.88</v>
      </c>
      <c r="F5" s="112">
        <f ca="1">IFERROR(__xludf.DUMMYFUNCTION("GOOGLEFINANCE(""BOM:""&amp;A5,""MARKETCAP"")/10000000"),450.3917508)</f>
        <v>450.39175080000001</v>
      </c>
      <c r="G5" s="95">
        <f t="shared" ca="1" si="0"/>
        <v>4.8757506506083105E-2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71">
        <v>544499</v>
      </c>
      <c r="B6" s="71" t="s">
        <v>4612</v>
      </c>
      <c r="C6" s="101"/>
      <c r="D6" s="101"/>
      <c r="E6" s="101">
        <f ca="1">IFERROR(__xludf.DUMMYFUNCTION("GOOGLEFINANCE(""BOM:""&amp;A6,""PRICE"")"),168)</f>
        <v>168</v>
      </c>
      <c r="F6" s="112">
        <f ca="1">IFERROR(__xludf.DUMMYFUNCTION("GOOGLEFINANCE(""BOM:""&amp;A6,""MARKETCAP"")/10000000"),307.8245392)</f>
        <v>307.8245392</v>
      </c>
      <c r="G6" s="95">
        <f t="shared" ca="1" si="0"/>
        <v>3.3323783009162597E-2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71">
        <v>540403</v>
      </c>
      <c r="B7" s="71" t="s">
        <v>4613</v>
      </c>
      <c r="C7" s="101"/>
      <c r="D7" s="101"/>
      <c r="E7" s="101">
        <f ca="1">IFERROR(__xludf.DUMMYFUNCTION("GOOGLEFINANCE(""BOM:""&amp;A7,""PRICE"")"),47.11)</f>
        <v>47.11</v>
      </c>
      <c r="F7" s="112">
        <f ca="1">IFERROR(__xludf.DUMMYFUNCTION("GOOGLEFINANCE(""BOM:""&amp;A7,""MARKETCAP"")/10000000"),273.2887162)</f>
        <v>273.28871620000001</v>
      </c>
      <c r="G7" s="95">
        <f t="shared" ca="1" si="0"/>
        <v>2.9585080842383402E-2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71">
        <v>509026</v>
      </c>
      <c r="B8" s="71" t="s">
        <v>4614</v>
      </c>
      <c r="C8" s="101"/>
      <c r="D8" s="101"/>
      <c r="E8" s="101">
        <f ca="1">IFERROR(__xludf.DUMMYFUNCTION("GOOGLEFINANCE(""BOM:""&amp;A8,""PRICE"")"),87.49)</f>
        <v>87.49</v>
      </c>
      <c r="F8" s="112">
        <f ca="1">IFERROR(__xludf.DUMMYFUNCTION("GOOGLEFINANCE(""BOM:""&amp;A8,""MARKETCAP"")/10000000"),153.9823962)</f>
        <v>153.98239620000001</v>
      </c>
      <c r="G8" s="95">
        <f t="shared" ca="1" si="0"/>
        <v>1.6669483113774131E-2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71">
        <v>540062</v>
      </c>
      <c r="B9" s="71" t="s">
        <v>4615</v>
      </c>
      <c r="C9" s="101"/>
      <c r="D9" s="101"/>
      <c r="E9" s="101">
        <f ca="1">IFERROR(__xludf.DUMMYFUNCTION("GOOGLEFINANCE(""BOM:""&amp;A9,""PRICE"")"),335)</f>
        <v>335</v>
      </c>
      <c r="F9" s="112">
        <f ca="1">IFERROR(__xludf.DUMMYFUNCTION("GOOGLEFINANCE(""BOM:""&amp;A9,""MARKETCAP"")/10000000"),175.7075)</f>
        <v>175.70750000000001</v>
      </c>
      <c r="G9" s="95">
        <f t="shared" ca="1" si="0"/>
        <v>1.9021350988779249E-2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71">
        <v>533287</v>
      </c>
      <c r="B10" s="71" t="s">
        <v>4616</v>
      </c>
      <c r="C10" s="101"/>
      <c r="D10" s="101"/>
      <c r="E10" s="101">
        <f ca="1">IFERROR(__xludf.DUMMYFUNCTION("GOOGLEFINANCE(""BOM:""&amp;A10,""PRICE"")"),4.7)</f>
        <v>4.7</v>
      </c>
      <c r="F10" s="112">
        <f ca="1">IFERROR(__xludf.DUMMYFUNCTION("GOOGLEFINANCE(""BOM:""&amp;A10,""MARKETCAP"")/10000000"),154.0468177)</f>
        <v>154.04681769999999</v>
      </c>
      <c r="G10" s="95">
        <f t="shared" ca="1" si="0"/>
        <v>1.6676457112964393E-2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71">
        <v>532339</v>
      </c>
      <c r="B11" s="71" t="s">
        <v>4617</v>
      </c>
      <c r="C11" s="101"/>
      <c r="D11" s="101"/>
      <c r="E11" s="101">
        <f ca="1">IFERROR(__xludf.DUMMYFUNCTION("GOOGLEFINANCE(""BOM:""&amp;A11,""PRICE"")"),13.37)</f>
        <v>13.37</v>
      </c>
      <c r="F11" s="112">
        <f ca="1">IFERROR(__xludf.DUMMYFUNCTION("GOOGLEFINANCE(""BOM:""&amp;A11,""MARKETCAP"")/10000000"),106.4234193)</f>
        <v>106.42341930000001</v>
      </c>
      <c r="G11" s="95">
        <f t="shared" ca="1" si="0"/>
        <v>1.1520949372857298E-2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71">
        <v>532019</v>
      </c>
      <c r="B12" s="71" t="s">
        <v>4618</v>
      </c>
      <c r="C12" s="101"/>
      <c r="D12" s="101"/>
      <c r="E12" s="101">
        <f ca="1">IFERROR(__xludf.DUMMYFUNCTION("GOOGLEFINANCE(""BOM:""&amp;A12,""PRICE"")"),5.12)</f>
        <v>5.12</v>
      </c>
      <c r="F12" s="112">
        <f ca="1">IFERROR(__xludf.DUMMYFUNCTION("GOOGLEFINANCE(""BOM:""&amp;A12,""MARKETCAP"")/10000000"),86.4883648)</f>
        <v>86.488364799999999</v>
      </c>
      <c r="G12" s="95">
        <f t="shared" ca="1" si="0"/>
        <v>9.3628646660295113E-3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71">
        <v>543443</v>
      </c>
      <c r="B13" s="71" t="s">
        <v>4619</v>
      </c>
      <c r="C13" s="101"/>
      <c r="D13" s="101"/>
      <c r="E13" s="101">
        <f ca="1">IFERROR(__xludf.DUMMYFUNCTION("GOOGLEFINANCE(""BOM:""&amp;A13,""PRICE"")"),19.26)</f>
        <v>19.260000000000002</v>
      </c>
      <c r="F13" s="112">
        <f ca="1">IFERROR(__xludf.DUMMYFUNCTION("GOOGLEFINANCE(""BOM:""&amp;A13,""MARKETCAP"")/10000000"),78.67933)</f>
        <v>78.679329999999993</v>
      </c>
      <c r="G13" s="95">
        <f t="shared" ca="1" si="0"/>
        <v>8.5174915782877149E-3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71">
        <v>508918</v>
      </c>
      <c r="B14" s="71" t="s">
        <v>4620</v>
      </c>
      <c r="C14" s="101"/>
      <c r="D14" s="101"/>
      <c r="E14" s="101">
        <f ca="1">IFERROR(__xludf.DUMMYFUNCTION("GOOGLEFINANCE(""BOM:""&amp;A14,""PRICE"")"),40)</f>
        <v>40</v>
      </c>
      <c r="F14" s="112">
        <f ca="1">IFERROR(__xludf.DUMMYFUNCTION("GOOGLEFINANCE(""BOM:""&amp;A14,""MARKETCAP"")/10000000"),59.98951)</f>
        <v>59.989510000000003</v>
      </c>
      <c r="G14" s="95">
        <f t="shared" ca="1" si="0"/>
        <v>6.4942106930830079E-3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71">
        <v>533540</v>
      </c>
      <c r="B15" s="71" t="s">
        <v>4621</v>
      </c>
      <c r="C15" s="101"/>
      <c r="D15" s="101"/>
      <c r="E15" s="101">
        <f ca="1">IFERROR(__xludf.DUMMYFUNCTION("GOOGLEFINANCE(""BOM:""&amp;A15,""PRICE"")"),7.75)</f>
        <v>7.75</v>
      </c>
      <c r="F15" s="112">
        <f ca="1">IFERROR(__xludf.DUMMYFUNCTION("GOOGLEFINANCE(""BOM:""&amp;A15,""MARKETCAP"")/10000000"),32.5398552)</f>
        <v>32.539855199999998</v>
      </c>
      <c r="G15" s="95">
        <f t="shared" ca="1" si="0"/>
        <v>3.5226271324972098E-3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71">
        <v>534741</v>
      </c>
      <c r="B16" s="71" t="s">
        <v>4622</v>
      </c>
      <c r="C16" s="101"/>
      <c r="D16" s="101"/>
      <c r="E16" s="101">
        <f ca="1">IFERROR(__xludf.DUMMYFUNCTION("GOOGLEFINANCE(""BOM:""&amp;A16,""PRICE"")"),0.49)</f>
        <v>0.49</v>
      </c>
      <c r="F16" s="112">
        <f ca="1">IFERROR(__xludf.DUMMYFUNCTION("GOOGLEFINANCE(""BOM:""&amp;A16,""MARKETCAP"")/10000000"),27.7420169)</f>
        <v>27.742016899999999</v>
      </c>
      <c r="G16" s="95">
        <f t="shared" ca="1" si="0"/>
        <v>3.0032334453085133E-3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71">
        <v>539761</v>
      </c>
      <c r="B17" s="71" t="s">
        <v>4623</v>
      </c>
      <c r="C17" s="101"/>
      <c r="D17" s="101"/>
      <c r="E17" s="101">
        <f ca="1">IFERROR(__xludf.DUMMYFUNCTION("GOOGLEFINANCE(""BOM:""&amp;A17,""PRICE"")"),0.86)</f>
        <v>0.86</v>
      </c>
      <c r="F17" s="112">
        <f ca="1">IFERROR(__xludf.DUMMYFUNCTION("GOOGLEFINANCE(""BOM:""&amp;A17,""MARKETCAP"")/10000000"),29.3668504)</f>
        <v>29.366850400000001</v>
      </c>
      <c r="G17" s="95">
        <f t="shared" ca="1" si="0"/>
        <v>3.1791310495759843E-3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71">
        <v>526677</v>
      </c>
      <c r="B18" s="71" t="s">
        <v>4624</v>
      </c>
      <c r="C18" s="101"/>
      <c r="D18" s="101"/>
      <c r="E18" s="101">
        <f ca="1">IFERROR(__xludf.DUMMYFUNCTION("GOOGLEFINANCE(""BOM:""&amp;A18,""PRICE"")"),1.89)</f>
        <v>1.89</v>
      </c>
      <c r="F18" s="112">
        <f ca="1">IFERROR(__xludf.DUMMYFUNCTION("GOOGLEFINANCE(""BOM:""&amp;A18,""MARKETCAP"")/10000000"),29.1181627)</f>
        <v>29.118162699999999</v>
      </c>
      <c r="G18" s="95">
        <f t="shared" ca="1" si="0"/>
        <v>3.1522091707245278E-3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71">
        <v>534312</v>
      </c>
      <c r="B19" s="71" t="s">
        <v>4625</v>
      </c>
      <c r="C19" s="101"/>
      <c r="D19" s="101"/>
      <c r="E19" s="101">
        <f ca="1">IFERROR(__xludf.DUMMYFUNCTION("GOOGLEFINANCE(""BOM:""&amp;A19,""PRICE"")"),1.29)</f>
        <v>1.29</v>
      </c>
      <c r="F19" s="112">
        <f ca="1">IFERROR(__xludf.DUMMYFUNCTION("GOOGLEFINANCE(""BOM:""&amp;A19,""MARKETCAP"")/10000000"),9.2451901)</f>
        <v>9.2451901000000003</v>
      </c>
      <c r="G19" s="95">
        <f t="shared" ca="1" si="0"/>
        <v>1.0008451878837678E-3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71">
        <v>543289</v>
      </c>
      <c r="B20" s="71" t="s">
        <v>4626</v>
      </c>
      <c r="C20" s="101"/>
      <c r="D20" s="101"/>
      <c r="E20" s="101">
        <f ca="1">IFERROR(__xludf.DUMMYFUNCTION("GOOGLEFINANCE(""BOM:""&amp;A20,""PRICE"")"),42.36)</f>
        <v>42.36</v>
      </c>
      <c r="F20" s="112">
        <f ca="1">IFERROR(__xludf.DUMMYFUNCTION("GOOGLEFINANCE(""BOM:""&amp;A20,""MARKETCAP"")/10000000"),8.923286)</f>
        <v>8.9232859999999992</v>
      </c>
      <c r="G20" s="95">
        <f t="shared" ca="1" si="0"/>
        <v>9.6599721115638211E-4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71">
        <v>542592</v>
      </c>
      <c r="B21" s="71" t="s">
        <v>4627</v>
      </c>
      <c r="C21" s="101"/>
      <c r="D21" s="101"/>
      <c r="E21" s="101">
        <f ca="1">IFERROR(__xludf.DUMMYFUNCTION("GOOGLEFINANCE(""BOM:""&amp;A21,""PRICE"")"),15.01)</f>
        <v>15.01</v>
      </c>
      <c r="F21" s="112"/>
      <c r="G21" s="95">
        <f t="shared" ca="1" si="0"/>
        <v>0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>
      <c r="A22" s="101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>
      <c r="A23" s="6"/>
      <c r="B23" s="6"/>
      <c r="C23" s="101"/>
      <c r="D23" s="101"/>
      <c r="E23" s="101"/>
      <c r="F23" s="112">
        <f ca="1">SUM(F2:F21)</f>
        <v>9237.3827760000004</v>
      </c>
      <c r="G23" s="95">
        <f ca="1">F23/$F$23</f>
        <v>1</v>
      </c>
      <c r="H23" s="101">
        <f t="shared" ref="H23:O23" si="1">SUM(H2:H21)</f>
        <v>1426</v>
      </c>
      <c r="I23" s="101">
        <f t="shared" si="1"/>
        <v>1223</v>
      </c>
      <c r="J23" s="101">
        <f t="shared" si="1"/>
        <v>170</v>
      </c>
      <c r="K23" s="101">
        <f t="shared" si="1"/>
        <v>178</v>
      </c>
      <c r="L23" s="101">
        <f t="shared" si="1"/>
        <v>499</v>
      </c>
      <c r="M23" s="101">
        <f t="shared" si="1"/>
        <v>418</v>
      </c>
      <c r="N23" s="101">
        <f t="shared" si="1"/>
        <v>74</v>
      </c>
      <c r="O23" s="101">
        <f t="shared" si="1"/>
        <v>61</v>
      </c>
      <c r="P23" s="95">
        <f t="shared" ref="P23:Q23" si="2">J23/H23</f>
        <v>0.11921458625525946</v>
      </c>
      <c r="Q23" s="95">
        <f t="shared" si="2"/>
        <v>0.14554374488961569</v>
      </c>
      <c r="R23" s="95">
        <f>P23-Q23</f>
        <v>-2.6329158634356226E-2</v>
      </c>
      <c r="S23" s="95">
        <f t="shared" ref="S23:T23" si="3">N23/L23</f>
        <v>0.14829659318637275</v>
      </c>
      <c r="T23" s="95">
        <f t="shared" si="3"/>
        <v>0.145933014354067</v>
      </c>
      <c r="U23" s="95">
        <f>S23-T23</f>
        <v>2.3635788323057572E-3</v>
      </c>
      <c r="V23" s="95">
        <f>(H23/I23)-1</f>
        <v>0.1659852820932135</v>
      </c>
      <c r="W23" s="95">
        <f>(J23/K23)-1</f>
        <v>-4.49438202247191E-2</v>
      </c>
      <c r="X23" s="95">
        <f>(L23/M23)-1</f>
        <v>0.19377990430622005</v>
      </c>
      <c r="Y23" s="95">
        <f>(N23/O23)-1</f>
        <v>0.21311475409836067</v>
      </c>
    </row>
    <row r="25" spans="1:25" ht="13.2">
      <c r="A25" s="1"/>
      <c r="B25" s="1"/>
    </row>
    <row r="27" spans="1:25" ht="13.2">
      <c r="A27" s="1"/>
      <c r="B27" s="1"/>
    </row>
    <row r="29" spans="1:25" ht="13.2">
      <c r="A29" s="1"/>
      <c r="B29" s="1"/>
    </row>
    <row r="31" spans="1:25" ht="13.2">
      <c r="A31" s="1"/>
      <c r="B31" s="1"/>
    </row>
    <row r="33" spans="1:2" ht="13.2">
      <c r="A33" s="1"/>
      <c r="B33" s="1"/>
    </row>
    <row r="35" spans="1:2" ht="13.2">
      <c r="A35" s="1"/>
      <c r="B35" s="1"/>
    </row>
    <row r="37" spans="1:2" ht="13.8">
      <c r="A37" s="349"/>
      <c r="B37" s="349"/>
    </row>
  </sheetData>
  <autoFilter ref="A1:Y21" xr:uid="{00000000-0009-0000-0000-000092000000}"/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531642</v>
      </c>
      <c r="B2" s="98" t="s">
        <v>4628</v>
      </c>
      <c r="C2" s="101" t="str">
        <f>VLOOKUP(A2,'BSE ALL CAP'!$B$4:$Y$1038,2,)</f>
        <v>Fast Moving Consumer Goods</v>
      </c>
      <c r="D2" s="101" t="str">
        <f>VLOOKUP(A2,'BSE ALL CAP'!$B$4:$Y$1038,3,)</f>
        <v>Edible Oil</v>
      </c>
      <c r="E2" s="101">
        <f ca="1">IFERROR(__xludf.DUMMYFUNCTION("GOOGLEFINANCE(""BOM:""&amp;A2,""PRICE"")"),747.6)</f>
        <v>747.6</v>
      </c>
      <c r="F2" s="112">
        <f ca="1">IFERROR(__xludf.DUMMYFUNCTION("GOOGLEFINANCE(""BOM:""&amp;A2,""MARKETCAP"")/10000000"),96916.7418212)</f>
        <v>96916.741821200005</v>
      </c>
      <c r="G2" s="95">
        <f t="shared" ref="G2:G31" ca="1" si="0">F2/$F$33</f>
        <v>0.52568613362077199</v>
      </c>
      <c r="H2" s="101">
        <f>VLOOKUP(A2,'BSE ALL CAP'!$B$4:$Y$1038,7,)</f>
        <v>10278</v>
      </c>
      <c r="I2" s="101">
        <f>VLOOKUP(A2,'BSE ALL CAP'!$B$4:$Y$1038,8,)</f>
        <v>8101</v>
      </c>
      <c r="J2" s="101">
        <f>VLOOKUP(A2,'BSE ALL CAP'!$B$4:$Y$1038,9,)</f>
        <v>1405</v>
      </c>
      <c r="K2" s="101">
        <f>VLOOKUP(A2,'BSE ALL CAP'!$B$4:$Y$1038,10,)</f>
        <v>1313</v>
      </c>
      <c r="L2" s="101">
        <f>VLOOKUP(A2,'BSE ALL CAP'!$B$4:$Y$1038,11,)</f>
        <v>3537</v>
      </c>
      <c r="M2" s="101">
        <f>VLOOKUP(A2,'BSE ALL CAP'!$B$4:$Y$1038,12,)</f>
        <v>2794</v>
      </c>
      <c r="N2" s="101">
        <f>VLOOKUP(A2,'BSE ALL CAP'!$B$4:$Y$1038,13,)</f>
        <v>460</v>
      </c>
      <c r="O2" s="101">
        <f>VLOOKUP(A2,'BSE ALL CAP'!$B$4:$Y$1038,14,)</f>
        <v>406</v>
      </c>
      <c r="P2" s="95">
        <f>VLOOKUP(A2,'BSE ALL CAP'!$B$4:$Y$1038,15,)</f>
        <v>0.1366997470324966</v>
      </c>
      <c r="Q2" s="95">
        <f>VLOOKUP(A2,'BSE ALL CAP'!$B$4:$Y$1038,16,)</f>
        <v>0.16207875570917171</v>
      </c>
      <c r="R2" s="95">
        <f>VLOOKUP(A2,'BSE ALL CAP'!$B$4:$Y$1038,17,)</f>
        <v>-2.5379008676675113E-2</v>
      </c>
      <c r="S2" s="95">
        <f>VLOOKUP(A2,'BSE ALL CAP'!$B$4:$Y$1038,18,)</f>
        <v>0.13005371783997738</v>
      </c>
      <c r="T2" s="95">
        <f>VLOOKUP(A2,'BSE ALL CAP'!$B$4:$Y$1038,19,)</f>
        <v>0.14531138153185397</v>
      </c>
      <c r="U2" s="95">
        <f>VLOOKUP(A2,'BSE ALL CAP'!$B$4:$Y$1038,20,)</f>
        <v>-1.5257663691876588E-2</v>
      </c>
      <c r="V2" s="95">
        <f>VLOOKUP(A2,'BSE ALL CAP'!$B$4:$Y$1038,21,)</f>
        <v>0.2687322552771263</v>
      </c>
      <c r="W2" s="95">
        <f>VLOOKUP(A2,'BSE ALL CAP'!$B$4:$Y$1038,22,)</f>
        <v>7.0068545316070097E-2</v>
      </c>
      <c r="X2" s="95">
        <f>VLOOKUP(A2,'BSE ALL CAP'!$B$4:$Y$1038,23,)</f>
        <v>0.26592698639942736</v>
      </c>
      <c r="Y2" s="95">
        <f>VLOOKUP(A2,'BSE ALL CAP'!$B$4:$Y$1038,24,)</f>
        <v>0.13300492610837433</v>
      </c>
    </row>
    <row r="3" spans="1:25" ht="15.75" customHeight="1">
      <c r="A3" s="99">
        <v>543458</v>
      </c>
      <c r="B3" s="98" t="s">
        <v>4629</v>
      </c>
      <c r="C3" s="101" t="str">
        <f>VLOOKUP(A3,'BSE ALL CAP'!$B$4:$Y$1038,2,)</f>
        <v>Fast Moving Consumer Goods</v>
      </c>
      <c r="D3" s="101" t="str">
        <f>VLOOKUP(A3,'BSE ALL CAP'!$B$4:$Y$1038,3,)</f>
        <v>Edible Oil</v>
      </c>
      <c r="E3" s="101">
        <f ca="1">IFERROR(__xludf.DUMMYFUNCTION("GOOGLEFINANCE(""BOM:""&amp;A3,""PRICE"")"),180)</f>
        <v>180</v>
      </c>
      <c r="F3" s="112">
        <f ca="1">IFERROR(__xludf.DUMMYFUNCTION("GOOGLEFINANCE(""BOM:""&amp;A3,""MARKETCAP"")/10000000"),23320.2562583)</f>
        <v>23320.2562583</v>
      </c>
      <c r="G3" s="95">
        <f t="shared" ca="1" si="0"/>
        <v>0.12649141022598551</v>
      </c>
      <c r="H3" s="101">
        <f>VLOOKUP(A3,'BSE ALL CAP'!$B$4:$Y$1038,7,)</f>
        <v>53266</v>
      </c>
      <c r="I3" s="101">
        <f>VLOOKUP(A3,'BSE ALL CAP'!$B$4:$Y$1038,8,)</f>
        <v>45443</v>
      </c>
      <c r="J3" s="101">
        <f>VLOOKUP(A3,'BSE ALL CAP'!$B$4:$Y$1038,9,)</f>
        <v>752</v>
      </c>
      <c r="K3" s="101">
        <f>VLOOKUP(A3,'BSE ALL CAP'!$B$4:$Y$1038,10,)</f>
        <v>1035</v>
      </c>
      <c r="L3" s="101">
        <f>VLOOKUP(A3,'BSE ALL CAP'!$B$4:$Y$1038,11,)</f>
        <v>18603</v>
      </c>
      <c r="M3" s="101">
        <f>VLOOKUP(A3,'BSE ALL CAP'!$B$4:$Y$1038,12,)</f>
        <v>16839</v>
      </c>
      <c r="N3" s="101">
        <f>VLOOKUP(A3,'BSE ALL CAP'!$B$4:$Y$1038,13,)</f>
        <v>269</v>
      </c>
      <c r="O3" s="101">
        <f>VLOOKUP(A3,'BSE ALL CAP'!$B$4:$Y$1038,14,)</f>
        <v>411</v>
      </c>
      <c r="P3" s="95">
        <f>VLOOKUP(A3,'BSE ALL CAP'!$B$4:$Y$1038,15,)</f>
        <v>1.4117823752487515E-2</v>
      </c>
      <c r="Q3" s="95">
        <f>VLOOKUP(A3,'BSE ALL CAP'!$B$4:$Y$1038,16,)</f>
        <v>2.2775785049402548E-2</v>
      </c>
      <c r="R3" s="95">
        <f>VLOOKUP(A3,'BSE ALL CAP'!$B$4:$Y$1038,17,)</f>
        <v>-8.657961296915033E-3</v>
      </c>
      <c r="S3" s="95">
        <f>VLOOKUP(A3,'BSE ALL CAP'!$B$4:$Y$1038,18,)</f>
        <v>1.4460033327957856E-2</v>
      </c>
      <c r="T3" s="95">
        <f>VLOOKUP(A3,'BSE ALL CAP'!$B$4:$Y$1038,19,)</f>
        <v>2.4407625155888117E-2</v>
      </c>
      <c r="U3" s="95">
        <f>VLOOKUP(A3,'BSE ALL CAP'!$B$4:$Y$1038,20,)</f>
        <v>-9.9475918279302612E-3</v>
      </c>
      <c r="V3" s="95">
        <f>VLOOKUP(A3,'BSE ALL CAP'!$B$4:$Y$1038,21,)</f>
        <v>0.17214972603041168</v>
      </c>
      <c r="W3" s="95">
        <f>VLOOKUP(A3,'BSE ALL CAP'!$B$4:$Y$1038,22,)</f>
        <v>-0.27342995169082129</v>
      </c>
      <c r="X3" s="95">
        <f>VLOOKUP(A3,'BSE ALL CAP'!$B$4:$Y$1038,23,)</f>
        <v>0.10475681453768049</v>
      </c>
      <c r="Y3" s="95">
        <f>VLOOKUP(A3,'BSE ALL CAP'!$B$4:$Y$1038,24,)</f>
        <v>-0.34549878345498786</v>
      </c>
    </row>
    <row r="4" spans="1:25" ht="15.75" customHeight="1">
      <c r="A4" s="99">
        <v>500368</v>
      </c>
      <c r="B4" s="98" t="s">
        <v>1513</v>
      </c>
      <c r="C4" s="101" t="str">
        <f>VLOOKUP(A4,'BSE ALL CAP'!$B$4:$Y$1038,2,)</f>
        <v>Fast Moving Consumer Goods</v>
      </c>
      <c r="D4" s="101" t="str">
        <f>VLOOKUP(A4,'BSE ALL CAP'!$B$4:$Y$1038,3,)</f>
        <v xml:space="preserve">	Edible Oil</v>
      </c>
      <c r="E4" s="101">
        <f ca="1">IFERROR(__xludf.DUMMYFUNCTION("GOOGLEFINANCE(""BOM:""&amp;A4,""PRICE"")"),471.9)</f>
        <v>471.9</v>
      </c>
      <c r="F4" s="112">
        <f ca="1">IFERROR(__xludf.DUMMYFUNCTION("GOOGLEFINANCE(""BOM:""&amp;A4,""MARKETCAP"")/10000000"),51325.8670082)</f>
        <v>51325.867008200003</v>
      </c>
      <c r="G4" s="95">
        <f t="shared" ca="1" si="0"/>
        <v>0.27839665340846803</v>
      </c>
      <c r="H4" s="101">
        <f>VLOOKUP(A4,'BSE ALL CAP'!$B$4:$Y$1038,7,)</f>
        <v>29013</v>
      </c>
      <c r="I4" s="101">
        <f>VLOOKUP(A4,'BSE ALL CAP'!$B$4:$Y$1038,8,)</f>
        <v>24246</v>
      </c>
      <c r="J4" s="101">
        <f>VLOOKUP(A4,'BSE ALL CAP'!$B$4:$Y$1038,9,)</f>
        <v>1290</v>
      </c>
      <c r="K4" s="101">
        <f>VLOOKUP(A4,'BSE ALL CAP'!$B$4:$Y$1038,10,)</f>
        <v>942</v>
      </c>
      <c r="L4" s="101">
        <f>VLOOKUP(A4,'BSE ALL CAP'!$B$4:$Y$1038,11,)</f>
        <v>10483</v>
      </c>
      <c r="M4" s="101">
        <f>VLOOKUP(A4,'BSE ALL CAP'!$B$4:$Y$1038,12,)</f>
        <v>8996</v>
      </c>
      <c r="N4" s="101">
        <f>VLOOKUP(A4,'BSE ALL CAP'!$B$4:$Y$1038,13,)</f>
        <v>590</v>
      </c>
      <c r="O4" s="101">
        <f>VLOOKUP(A4,'BSE ALL CAP'!$B$4:$Y$1038,14,)</f>
        <v>370</v>
      </c>
      <c r="P4" s="95">
        <f>VLOOKUP(A4,'BSE ALL CAP'!$B$4:$Y$1038,15,)</f>
        <v>4.446282700858236E-2</v>
      </c>
      <c r="Q4" s="95">
        <f>VLOOKUP(A4,'BSE ALL CAP'!$B$4:$Y$1038,16,)</f>
        <v>3.8851769364018809E-2</v>
      </c>
      <c r="R4" s="95">
        <f>VLOOKUP(A4,'BSE ALL CAP'!$B$4:$Y$1038,17,)</f>
        <v>5.611057644563551E-3</v>
      </c>
      <c r="S4" s="95">
        <f>VLOOKUP(A4,'BSE ALL CAP'!$B$4:$Y$1038,18,)</f>
        <v>5.6281598778975483E-2</v>
      </c>
      <c r="T4" s="95">
        <f>VLOOKUP(A4,'BSE ALL CAP'!$B$4:$Y$1038,19,)</f>
        <v>4.1129390840373502E-2</v>
      </c>
      <c r="U4" s="95">
        <f>VLOOKUP(A4,'BSE ALL CAP'!$B$4:$Y$1038,20,)</f>
        <v>1.5152207938601982E-2</v>
      </c>
      <c r="V4" s="95">
        <f>VLOOKUP(A4,'BSE ALL CAP'!$B$4:$Y$1038,21,)</f>
        <v>0.19660975006186598</v>
      </c>
      <c r="W4" s="95">
        <f>VLOOKUP(A4,'BSE ALL CAP'!$B$4:$Y$1038,22,)</f>
        <v>0.36942675159235661</v>
      </c>
      <c r="X4" s="95">
        <f>VLOOKUP(A4,'BSE ALL CAP'!$B$4:$Y$1038,23,)</f>
        <v>0.16529568697198749</v>
      </c>
      <c r="Y4" s="95">
        <f>VLOOKUP(A4,'BSE ALL CAP'!$B$4:$Y$1038,24,)</f>
        <v>0.59459459459459452</v>
      </c>
    </row>
    <row r="5" spans="1:25" ht="15.75" customHeight="1">
      <c r="A5" s="99">
        <v>539725</v>
      </c>
      <c r="B5" s="98" t="s">
        <v>4630</v>
      </c>
      <c r="C5" s="101" t="str">
        <f>VLOOKUP(A5,'BSE ALL CAP'!$B$4:$Y$1038,2,)</f>
        <v>Fast Moving Consumer Goods</v>
      </c>
      <c r="D5" s="101" t="str">
        <f>VLOOKUP(A5,'BSE ALL CAP'!$B$4:$Y$1038,3,)</f>
        <v>Edible Oil</v>
      </c>
      <c r="E5" s="101">
        <f ca="1">IFERROR(__xludf.DUMMYFUNCTION("GOOGLEFINANCE(""BOM:""&amp;A5,""PRICE"")"),196.15)</f>
        <v>196.15</v>
      </c>
      <c r="F5" s="112">
        <f ca="1">IFERROR(__xludf.DUMMYFUNCTION("GOOGLEFINANCE(""BOM:""&amp;A5,""MARKETCAP"")/10000000"),5783.1090205)</f>
        <v>5783.1090205</v>
      </c>
      <c r="G5" s="95">
        <f t="shared" ca="1" si="0"/>
        <v>3.1368163685307149E-2</v>
      </c>
      <c r="H5" s="101">
        <f>VLOOKUP(A5,'BSE ALL CAP'!$B$4:$Y$1038,7,)</f>
        <v>17876</v>
      </c>
      <c r="I5" s="101">
        <f>VLOOKUP(A5,'BSE ALL CAP'!$B$4:$Y$1038,8,)</f>
        <v>14088</v>
      </c>
      <c r="J5" s="101">
        <f>VLOOKUP(A5,'BSE ALL CAP'!$B$4:$Y$1038,9,)</f>
        <v>250</v>
      </c>
      <c r="K5" s="101">
        <f>VLOOKUP(A5,'BSE ALL CAP'!$B$4:$Y$1038,10,)</f>
        <v>196</v>
      </c>
      <c r="L5" s="101">
        <f>VLOOKUP(A5,'BSE ALL CAP'!$B$4:$Y$1038,11,)</f>
        <v>6314</v>
      </c>
      <c r="M5" s="101">
        <f>VLOOKUP(A5,'BSE ALL CAP'!$B$4:$Y$1038,12,)</f>
        <v>4988</v>
      </c>
      <c r="N5" s="101">
        <f>VLOOKUP(A5,'BSE ALL CAP'!$B$4:$Y$1038,13,)</f>
        <v>77</v>
      </c>
      <c r="O5" s="101">
        <f>VLOOKUP(A5,'BSE ALL CAP'!$B$4:$Y$1038,14,)</f>
        <v>72</v>
      </c>
      <c r="P5" s="95">
        <f>VLOOKUP(A5,'BSE ALL CAP'!$B$4:$Y$1038,15,)</f>
        <v>1.3985231595435221E-2</v>
      </c>
      <c r="Q5" s="95">
        <f>VLOOKUP(A5,'BSE ALL CAP'!$B$4:$Y$1038,16,)</f>
        <v>1.3912549687677456E-2</v>
      </c>
      <c r="R5" s="95">
        <f>VLOOKUP(A5,'BSE ALL CAP'!$B$4:$Y$1038,17,)</f>
        <v>7.2681907757764577E-5</v>
      </c>
      <c r="S5" s="95">
        <f>VLOOKUP(A5,'BSE ALL CAP'!$B$4:$Y$1038,18,)</f>
        <v>1.2195121951219513E-2</v>
      </c>
      <c r="T5" s="95">
        <f>VLOOKUP(A5,'BSE ALL CAP'!$B$4:$Y$1038,19,)</f>
        <v>1.4434643143544507E-2</v>
      </c>
      <c r="U5" s="95">
        <f>VLOOKUP(A5,'BSE ALL CAP'!$B$4:$Y$1038,20,)</f>
        <v>-2.239521192324994E-3</v>
      </c>
      <c r="V5" s="95">
        <f>VLOOKUP(A5,'BSE ALL CAP'!$B$4:$Y$1038,21,)</f>
        <v>0.26888131743327648</v>
      </c>
      <c r="W5" s="95">
        <f>VLOOKUP(A5,'BSE ALL CAP'!$B$4:$Y$1038,22,)</f>
        <v>0.27551020408163263</v>
      </c>
      <c r="X5" s="95">
        <f>VLOOKUP(A5,'BSE ALL CAP'!$B$4:$Y$1038,23,)</f>
        <v>0.26583801122694473</v>
      </c>
      <c r="Y5" s="95">
        <f>VLOOKUP(A5,'BSE ALL CAP'!$B$4:$Y$1038,24,)</f>
        <v>6.944444444444442E-2</v>
      </c>
    </row>
    <row r="6" spans="1:25" ht="15.75" customHeight="1">
      <c r="A6" s="99">
        <v>519477</v>
      </c>
      <c r="B6" s="98" t="s">
        <v>4631</v>
      </c>
      <c r="C6" s="101" t="e">
        <f>VLOOKUP(A6,'BSE ALL CAP'!$B$4:$Y$1038,2,)</f>
        <v>#N/A</v>
      </c>
      <c r="D6" s="101" t="e">
        <f>VLOOKUP(A6,'BSE ALL CAP'!$B$4:$Y$1038,3,)</f>
        <v>#N/A</v>
      </c>
      <c r="E6" s="101">
        <f ca="1">IFERROR(__xludf.DUMMYFUNCTION("GOOGLEFINANCE(""BOM:""&amp;A6,""PRICE"")"),711.3)</f>
        <v>711.3</v>
      </c>
      <c r="F6" s="112">
        <f ca="1">IFERROR(__xludf.DUMMYFUNCTION("GOOGLEFINANCE(""BOM:""&amp;A6,""MARKETCAP"")/10000000"),1990.6356102)</f>
        <v>1990.6356102</v>
      </c>
      <c r="G6" s="95">
        <f t="shared" ca="1" si="0"/>
        <v>1.0797407317968246E-2</v>
      </c>
      <c r="H6" s="101"/>
      <c r="I6" s="101"/>
      <c r="J6" s="101"/>
      <c r="K6" s="101"/>
      <c r="L6" s="101"/>
      <c r="M6" s="101"/>
      <c r="N6" s="101"/>
      <c r="O6" s="101"/>
      <c r="P6" s="101" t="e">
        <f>VLOOKUP(A6,'BSE ALL CAP'!$B$4:$Y$1038,15,)</f>
        <v>#N/A</v>
      </c>
      <c r="Q6" s="101" t="e">
        <f>VLOOKUP(A6,'BSE ALL CAP'!$B$4:$Y$1038,16,)</f>
        <v>#N/A</v>
      </c>
      <c r="R6" s="101" t="e">
        <f>VLOOKUP(A6,'BSE ALL CAP'!$B$4:$Y$1038,17,)</f>
        <v>#N/A</v>
      </c>
      <c r="S6" s="101" t="e">
        <f>VLOOKUP(A6,'BSE ALL CAP'!$B$4:$Y$1038,18,)</f>
        <v>#N/A</v>
      </c>
      <c r="T6" s="101" t="e">
        <f>VLOOKUP(A6,'BSE ALL CAP'!$B$4:$Y$1038,19,)</f>
        <v>#N/A</v>
      </c>
      <c r="U6" s="101" t="e">
        <f>VLOOKUP(A6,'BSE ALL CAP'!$B$4:$Y$1038,20,)</f>
        <v>#N/A</v>
      </c>
      <c r="V6" s="101" t="e">
        <f>VLOOKUP(A6,'BSE ALL CAP'!$B$4:$Y$1038,21,)</f>
        <v>#N/A</v>
      </c>
      <c r="W6" s="101" t="e">
        <f>VLOOKUP(A6,'BSE ALL CAP'!$B$4:$Y$1038,22,)</f>
        <v>#N/A</v>
      </c>
      <c r="X6" s="101" t="e">
        <f>VLOOKUP(A6,'BSE ALL CAP'!$B$4:$Y$1038,23,)</f>
        <v>#N/A</v>
      </c>
      <c r="Y6" s="101" t="e">
        <f>VLOOKUP(A6,'BSE ALL CAP'!$B$4:$Y$1038,24,)</f>
        <v>#N/A</v>
      </c>
    </row>
    <row r="7" spans="1:25" ht="15.75" customHeight="1">
      <c r="A7" s="99">
        <v>500215</v>
      </c>
      <c r="B7" s="98" t="s">
        <v>4632</v>
      </c>
      <c r="C7" s="101" t="str">
        <f>VLOOKUP(A7,'BSE ALL CAP'!$B$4:$Y$1038,2,)</f>
        <v>Fast Moving Consumer Goods</v>
      </c>
      <c r="D7" s="101" t="str">
        <f>VLOOKUP(A7,'BSE ALL CAP'!$B$4:$Y$1038,3,)</f>
        <v>Edible Oil</v>
      </c>
      <c r="E7" s="101">
        <f ca="1">IFERROR(__xludf.DUMMYFUNCTION("GOOGLEFINANCE(""BOM:""&amp;A7,""PRICE"")"),599.7)</f>
        <v>599.70000000000005</v>
      </c>
      <c r="F7" s="112">
        <f ca="1">IFERROR(__xludf.DUMMYFUNCTION("GOOGLEFINANCE(""BOM:""&amp;A7,""MARKETCAP"")/10000000"),2205.454)</f>
        <v>2205.4540000000002</v>
      </c>
      <c r="G7" s="95">
        <f t="shared" ca="1" si="0"/>
        <v>1.1962603822127858E-2</v>
      </c>
      <c r="H7" s="101">
        <f>VLOOKUP(A7,'BSE ALL CAP'!$B$4:$Y$1038,7,)</f>
        <v>1163</v>
      </c>
      <c r="I7" s="101">
        <f>VLOOKUP(A7,'BSE ALL CAP'!$B$4:$Y$1038,8,)</f>
        <v>595</v>
      </c>
      <c r="J7" s="101">
        <f>VLOOKUP(A7,'BSE ALL CAP'!$B$4:$Y$1038,9,)</f>
        <v>10</v>
      </c>
      <c r="K7" s="101">
        <f>VLOOKUP(A7,'BSE ALL CAP'!$B$4:$Y$1038,10,)</f>
        <v>4</v>
      </c>
      <c r="L7" s="101">
        <f>VLOOKUP(A7,'BSE ALL CAP'!$B$4:$Y$1038,11,)</f>
        <v>407</v>
      </c>
      <c r="M7" s="101">
        <f>VLOOKUP(A7,'BSE ALL CAP'!$B$4:$Y$1038,12,)</f>
        <v>208</v>
      </c>
      <c r="N7" s="101">
        <f>VLOOKUP(A7,'BSE ALL CAP'!$B$4:$Y$1038,13,)</f>
        <v>8</v>
      </c>
      <c r="O7" s="101">
        <f>VLOOKUP(A7,'BSE ALL CAP'!$B$4:$Y$1038,14,)</f>
        <v>4</v>
      </c>
      <c r="P7" s="95">
        <f>VLOOKUP(A7,'BSE ALL CAP'!$B$4:$Y$1038,15,)</f>
        <v>8.5984522785898538E-3</v>
      </c>
      <c r="Q7" s="95">
        <f>VLOOKUP(A7,'BSE ALL CAP'!$B$4:$Y$1038,16,)</f>
        <v>6.7226890756302525E-3</v>
      </c>
      <c r="R7" s="95">
        <f>VLOOKUP(A7,'BSE ALL CAP'!$B$4:$Y$1038,17,)</f>
        <v>1.8757632029596013E-3</v>
      </c>
      <c r="S7" s="95">
        <f>VLOOKUP(A7,'BSE ALL CAP'!$B$4:$Y$1038,18,)</f>
        <v>1.9656019656019656E-2</v>
      </c>
      <c r="T7" s="95">
        <f>VLOOKUP(A7,'BSE ALL CAP'!$B$4:$Y$1038,19,)</f>
        <v>1.9230769230769232E-2</v>
      </c>
      <c r="U7" s="95">
        <f>VLOOKUP(A7,'BSE ALL CAP'!$B$4:$Y$1038,20,)</f>
        <v>4.252504252504237E-4</v>
      </c>
      <c r="V7" s="95">
        <f>VLOOKUP(A7,'BSE ALL CAP'!$B$4:$Y$1038,21,)</f>
        <v>0.95462184873949574</v>
      </c>
      <c r="W7" s="95">
        <f>VLOOKUP(A7,'BSE ALL CAP'!$B$4:$Y$1038,22,)</f>
        <v>1.5</v>
      </c>
      <c r="X7" s="95">
        <f>VLOOKUP(A7,'BSE ALL CAP'!$B$4:$Y$1038,23,)</f>
        <v>0.95673076923076916</v>
      </c>
      <c r="Y7" s="95">
        <f>VLOOKUP(A7,'BSE ALL CAP'!$B$4:$Y$1038,24,)</f>
        <v>1</v>
      </c>
    </row>
    <row r="8" spans="1:25" ht="15.75" customHeight="1">
      <c r="A8" s="99">
        <v>543373</v>
      </c>
      <c r="B8" s="98" t="s">
        <v>4633</v>
      </c>
      <c r="C8" s="101"/>
      <c r="D8" s="101"/>
      <c r="E8" s="101">
        <f ca="1">IFERROR(__xludf.DUMMYFUNCTION("GOOGLEFINANCE(""BOM:""&amp;A8,""PRICE"")"),270.4)</f>
        <v>270.39999999999998</v>
      </c>
      <c r="F8" s="112">
        <f ca="1">IFERROR(__xludf.DUMMYFUNCTION("GOOGLEFINANCE(""BOM:""&amp;A8,""MARKETCAP"")/10000000"),598.1063992)</f>
        <v>598.10639920000006</v>
      </c>
      <c r="G8" s="95">
        <f t="shared" ca="1" si="0"/>
        <v>3.2441891316296106E-3</v>
      </c>
      <c r="H8" s="101"/>
      <c r="I8" s="101"/>
      <c r="J8" s="101"/>
      <c r="K8" s="101"/>
      <c r="L8" s="101"/>
      <c r="M8" s="101"/>
      <c r="N8" s="101"/>
      <c r="O8" s="101"/>
      <c r="P8" s="101" t="e">
        <f>VLOOKUP(A8,'BSE ALL CAP'!$B$4:$Y$1038,15,)</f>
        <v>#N/A</v>
      </c>
      <c r="Q8" s="101" t="e">
        <f>VLOOKUP(A8,'BSE ALL CAP'!$B$4:$Y$1038,16,)</f>
        <v>#N/A</v>
      </c>
      <c r="R8" s="101" t="e">
        <f>VLOOKUP(A8,'BSE ALL CAP'!$B$4:$Y$1038,17,)</f>
        <v>#N/A</v>
      </c>
      <c r="S8" s="101" t="e">
        <f>VLOOKUP(A8,'BSE ALL CAP'!$B$4:$Y$1038,18,)</f>
        <v>#N/A</v>
      </c>
      <c r="T8" s="101" t="e">
        <f>VLOOKUP(A8,'BSE ALL CAP'!$B$4:$Y$1038,19,)</f>
        <v>#N/A</v>
      </c>
      <c r="U8" s="101" t="e">
        <f>VLOOKUP(A8,'BSE ALL CAP'!$B$4:$Y$1038,20,)</f>
        <v>#N/A</v>
      </c>
      <c r="V8" s="101" t="e">
        <f>VLOOKUP(A8,'BSE ALL CAP'!$B$4:$Y$1038,21,)</f>
        <v>#N/A</v>
      </c>
      <c r="W8" s="101" t="e">
        <f>VLOOKUP(A8,'BSE ALL CAP'!$B$4:$Y$1038,22,)</f>
        <v>#N/A</v>
      </c>
      <c r="X8" s="101" t="e">
        <f>VLOOKUP(A8,'BSE ALL CAP'!$B$4:$Y$1038,23,)</f>
        <v>#N/A</v>
      </c>
      <c r="Y8" s="101" t="e">
        <f>VLOOKUP(A8,'BSE ALL CAP'!$B$4:$Y$1038,24,)</f>
        <v>#N/A</v>
      </c>
    </row>
    <row r="9" spans="1:25" ht="15.75" customHeight="1">
      <c r="A9" s="99">
        <v>533210</v>
      </c>
      <c r="B9" s="98" t="s">
        <v>4634</v>
      </c>
      <c r="C9" s="101"/>
      <c r="D9" s="101"/>
      <c r="E9" s="101">
        <f ca="1">IFERROR(__xludf.DUMMYFUNCTION("GOOGLEFINANCE(""BOM:""&amp;A9,""PRICE"")"),62.53)</f>
        <v>62.53</v>
      </c>
      <c r="F9" s="112">
        <f ca="1">IFERROR(__xludf.DUMMYFUNCTION("GOOGLEFINANCE(""BOM:""&amp;A9,""MARKETCAP"")/10000000"),313.4977231)</f>
        <v>313.49772309999997</v>
      </c>
      <c r="G9" s="95">
        <f t="shared" ca="1" si="0"/>
        <v>1.7004431108444975E-3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532980</v>
      </c>
      <c r="B10" s="98" t="s">
        <v>4635</v>
      </c>
      <c r="C10" s="101"/>
      <c r="D10" s="101"/>
      <c r="E10" s="101">
        <f ca="1">IFERROR(__xludf.DUMMYFUNCTION("GOOGLEFINANCE(""BOM:""&amp;A10,""PRICE"")"),39)</f>
        <v>39</v>
      </c>
      <c r="F10" s="112">
        <f ca="1">IFERROR(__xludf.DUMMYFUNCTION("GOOGLEFINANCE(""BOM:""&amp;A10,""MARKETCAP"")/10000000"),383.37078)</f>
        <v>383.37078000000002</v>
      </c>
      <c r="G10" s="95">
        <f t="shared" ca="1" si="0"/>
        <v>2.0794415835107593E-3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539854</v>
      </c>
      <c r="B11" s="98" t="s">
        <v>4636</v>
      </c>
      <c r="C11" s="101"/>
      <c r="D11" s="101"/>
      <c r="E11" s="101">
        <f ca="1">IFERROR(__xludf.DUMMYFUNCTION("GOOGLEFINANCE(""BOM:""&amp;A11,""PRICE"")"),245)</f>
        <v>245</v>
      </c>
      <c r="F11" s="112">
        <f ca="1">IFERROR(__xludf.DUMMYFUNCTION("GOOGLEFINANCE(""BOM:""&amp;A11,""MARKETCAP"")/10000000"),305.9904292)</f>
        <v>305.99042919999999</v>
      </c>
      <c r="G11" s="95">
        <f t="shared" ca="1" si="0"/>
        <v>1.6597227953439352E-3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519216</v>
      </c>
      <c r="B12" s="98" t="s">
        <v>4637</v>
      </c>
      <c r="C12" s="101"/>
      <c r="D12" s="101"/>
      <c r="E12" s="101">
        <f ca="1">IFERROR(__xludf.DUMMYFUNCTION("GOOGLEFINANCE(""BOM:""&amp;A12,""PRICE"")"),21.39)</f>
        <v>21.39</v>
      </c>
      <c r="F12" s="112">
        <f ca="1">IFERROR(__xludf.DUMMYFUNCTION("GOOGLEFINANCE(""BOM:""&amp;A12,""MARKETCAP"")/10000000"),172.1531106)</f>
        <v>172.15311059999999</v>
      </c>
      <c r="G12" s="95">
        <f t="shared" ca="1" si="0"/>
        <v>9.3377574814743796E-4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543919</v>
      </c>
      <c r="B13" s="98" t="s">
        <v>4638</v>
      </c>
      <c r="C13" s="101"/>
      <c r="D13" s="101"/>
      <c r="E13" s="101">
        <f ca="1">IFERROR(__xludf.DUMMYFUNCTION("GOOGLEFINANCE(""BOM:""&amp;A13,""PRICE"")"),5.18)</f>
        <v>5.18</v>
      </c>
      <c r="F13" s="112">
        <f ca="1">IFERROR(__xludf.DUMMYFUNCTION("GOOGLEFINANCE(""BOM:""&amp;A13,""MARKETCAP"")/10000000"),194.0672751)</f>
        <v>194.06727509999999</v>
      </c>
      <c r="G13" s="95">
        <f t="shared" ca="1" si="0"/>
        <v>1.0526403755694738E-3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531069</v>
      </c>
      <c r="B14" s="98" t="s">
        <v>4639</v>
      </c>
      <c r="C14" s="101"/>
      <c r="D14" s="101"/>
      <c r="E14" s="101">
        <f ca="1">IFERROR(__xludf.DUMMYFUNCTION("GOOGLEFINANCE(""BOM:""&amp;A14,""PRICE"")"),518)</f>
        <v>518</v>
      </c>
      <c r="F14" s="112">
        <f ca="1">IFERROR(__xludf.DUMMYFUNCTION("GOOGLEFINANCE(""BOM:""&amp;A14,""MARKETCAP"")/10000000"),165.8253716)</f>
        <v>165.82537160000001</v>
      </c>
      <c r="G14" s="95">
        <f t="shared" ca="1" si="0"/>
        <v>8.9945345679752671E-4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519471</v>
      </c>
      <c r="B15" s="98" t="s">
        <v>4640</v>
      </c>
      <c r="C15" s="101"/>
      <c r="D15" s="101"/>
      <c r="E15" s="101">
        <f ca="1">IFERROR(__xludf.DUMMYFUNCTION("GOOGLEFINANCE(""BOM:""&amp;A15,""PRICE"")"),173)</f>
        <v>173</v>
      </c>
      <c r="F15" s="112">
        <f ca="1">IFERROR(__xludf.DUMMYFUNCTION("GOOGLEFINANCE(""BOM:""&amp;A15,""MARKETCAP"")/10000000"),99.475)</f>
        <v>99.474999999999994</v>
      </c>
      <c r="G15" s="95">
        <f t="shared" ca="1" si="0"/>
        <v>5.3956238271402101E-4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519299</v>
      </c>
      <c r="B16" s="98" t="s">
        <v>4641</v>
      </c>
      <c r="C16" s="101"/>
      <c r="D16" s="101"/>
      <c r="E16" s="101">
        <f ca="1">IFERROR(__xludf.DUMMYFUNCTION("GOOGLEFINANCE(""BOM:""&amp;A16,""PRICE"")"),30.64)</f>
        <v>30.64</v>
      </c>
      <c r="F16" s="112">
        <f ca="1">IFERROR(__xludf.DUMMYFUNCTION("GOOGLEFINANCE(""BOM:""&amp;A16,""MARKETCAP"")/10000000"),64.3543856)</f>
        <v>64.354385600000001</v>
      </c>
      <c r="G16" s="95">
        <f t="shared" ca="1" si="0"/>
        <v>3.4906464571432907E-4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533093</v>
      </c>
      <c r="B17" s="98" t="s">
        <v>4642</v>
      </c>
      <c r="C17" s="101"/>
      <c r="D17" s="101"/>
      <c r="E17" s="101">
        <f ca="1">IFERROR(__xludf.DUMMYFUNCTION("GOOGLEFINANCE(""BOM:""&amp;A17,""PRICE"")"),40)</f>
        <v>40</v>
      </c>
      <c r="F17" s="112">
        <f ca="1">IFERROR(__xludf.DUMMYFUNCTION("GOOGLEFINANCE(""BOM:""&amp;A17,""MARKETCAP"")/10000000"),61.108849)</f>
        <v>61.108848999999999</v>
      </c>
      <c r="G17" s="95">
        <f t="shared" ca="1" si="0"/>
        <v>3.3146052949335335E-4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543678</v>
      </c>
      <c r="B18" s="98" t="s">
        <v>4643</v>
      </c>
      <c r="C18" s="101"/>
      <c r="D18" s="101"/>
      <c r="E18" s="101">
        <f ca="1">IFERROR(__xludf.DUMMYFUNCTION("GOOGLEFINANCE(""BOM:""&amp;A18,""PRICE"")"),24.55)</f>
        <v>24.55</v>
      </c>
      <c r="F18" s="112">
        <f ca="1">IFERROR(__xludf.DUMMYFUNCTION("GOOGLEFINANCE(""BOM:""&amp;A18,""MARKETCAP"")/10000000"),48.2288663)</f>
        <v>48.2288663</v>
      </c>
      <c r="G18" s="95">
        <f t="shared" ca="1" si="0"/>
        <v>2.6159821077078617E-4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519606</v>
      </c>
      <c r="B19" s="98" t="s">
        <v>4644</v>
      </c>
      <c r="C19" s="101"/>
      <c r="D19" s="101"/>
      <c r="E19" s="101">
        <f ca="1">IFERROR(__xludf.DUMMYFUNCTION("GOOGLEFINANCE(""BOM:""&amp;A19,""PRICE"")"),77.19)</f>
        <v>77.19</v>
      </c>
      <c r="F19" s="112">
        <f ca="1">IFERROR(__xludf.DUMMYFUNCTION("GOOGLEFINANCE(""BOM:""&amp;A19,""MARKETCAP"")/10000000"),144.4502057)</f>
        <v>144.4502057</v>
      </c>
      <c r="G19" s="95">
        <f t="shared" ca="1" si="0"/>
        <v>7.8351241187255558E-4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531153</v>
      </c>
      <c r="B20" s="98" t="s">
        <v>4645</v>
      </c>
      <c r="C20" s="101"/>
      <c r="D20" s="101"/>
      <c r="E20" s="101">
        <f ca="1">IFERROR(__xludf.DUMMYFUNCTION("GOOGLEFINANCE(""BOM:""&amp;A20,""PRICE"")"),2.23)</f>
        <v>2.23</v>
      </c>
      <c r="F20" s="112">
        <f ca="1">IFERROR(__xludf.DUMMYFUNCTION("GOOGLEFINANCE(""BOM:""&amp;A20,""MARKETCAP"")/10000000"),53.1700465)</f>
        <v>53.170046499999998</v>
      </c>
      <c r="G20" s="95">
        <f t="shared" ca="1" si="0"/>
        <v>2.8839966804277751E-4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519234</v>
      </c>
      <c r="B21" s="98" t="s">
        <v>4646</v>
      </c>
      <c r="C21" s="101"/>
      <c r="D21" s="101"/>
      <c r="E21" s="101">
        <f ca="1">IFERROR(__xludf.DUMMYFUNCTION("GOOGLEFINANCE(""BOM:""&amp;A21,""PRICE"")"),28.08)</f>
        <v>28.08</v>
      </c>
      <c r="F21" s="112">
        <f ca="1">IFERROR(__xludf.DUMMYFUNCTION("GOOGLEFINANCE(""BOM:""&amp;A21,""MARKETCAP"")/10000000"),40.0264994)</f>
        <v>40.026499399999999</v>
      </c>
      <c r="G21" s="95">
        <f t="shared" ca="1" si="0"/>
        <v>2.1710774956486891E-4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519494</v>
      </c>
      <c r="B22" s="98" t="s">
        <v>4647</v>
      </c>
      <c r="C22" s="101"/>
      <c r="D22" s="101"/>
      <c r="E22" s="101">
        <f ca="1">IFERROR(__xludf.DUMMYFUNCTION("GOOGLEFINANCE(""BOM:""&amp;A22,""PRICE"")"),64.8)</f>
        <v>64.8</v>
      </c>
      <c r="F22" s="112">
        <f ca="1">IFERROR(__xludf.DUMMYFUNCTION("GOOGLEFINANCE(""BOM:""&amp;A22,""MARKETCAP"")/10000000"),40.5067269)</f>
        <v>40.506726899999997</v>
      </c>
      <c r="G22" s="95">
        <f t="shared" ca="1" si="0"/>
        <v>2.197125517176188E-4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519359</v>
      </c>
      <c r="B23" s="98" t="s">
        <v>4648</v>
      </c>
      <c r="C23" s="101"/>
      <c r="D23" s="101"/>
      <c r="E23" s="101">
        <f ca="1">IFERROR(__xludf.DUMMYFUNCTION("GOOGLEFINANCE(""BOM:""&amp;A23,""PRICE"")"),63.35)</f>
        <v>63.35</v>
      </c>
      <c r="F23" s="112">
        <f ca="1">IFERROR(__xludf.DUMMYFUNCTION("GOOGLEFINANCE(""BOM:""&amp;A23,""MARKETCAP"")/10000000"),36.1601791)</f>
        <v>36.160179100000001</v>
      </c>
      <c r="G23" s="95">
        <f t="shared" ca="1" si="0"/>
        <v>1.9613644025696654E-4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544436</v>
      </c>
      <c r="B24" s="98" t="s">
        <v>4649</v>
      </c>
      <c r="C24" s="101"/>
      <c r="D24" s="101"/>
      <c r="E24" s="101">
        <f ca="1">IFERROR(__xludf.DUMMYFUNCTION("GOOGLEFINANCE(""BOM:""&amp;A24,""PRICE"")"),33.31)</f>
        <v>33.31</v>
      </c>
      <c r="F24" s="112">
        <f ca="1">IFERROR(__xludf.DUMMYFUNCTION("GOOGLEFINANCE(""BOM:""&amp;A24,""MARKETCAP"")/10000000"),27.9297632)</f>
        <v>27.9297632</v>
      </c>
      <c r="G24" s="95">
        <f t="shared" ca="1" si="0"/>
        <v>1.5149383846021998E-4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544539</v>
      </c>
      <c r="B25" s="98" t="s">
        <v>4650</v>
      </c>
      <c r="C25" s="101"/>
      <c r="D25" s="101"/>
      <c r="E25" s="101">
        <f ca="1">IFERROR(__xludf.DUMMYFUNCTION("GOOGLEFINANCE(""BOM:""&amp;A25,""PRICE"")"),17.8)</f>
        <v>17.8</v>
      </c>
      <c r="F25" s="112">
        <f ca="1">IFERROR(__xludf.DUMMYFUNCTION("GOOGLEFINANCE(""BOM:""&amp;A25,""MARKETCAP"")/10000000"),15.9345076)</f>
        <v>15.9345076</v>
      </c>
      <c r="G25" s="95">
        <f t="shared" ca="1" si="0"/>
        <v>8.6430368313955043E-5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531246</v>
      </c>
      <c r="B26" s="98" t="s">
        <v>4651</v>
      </c>
      <c r="C26" s="101"/>
      <c r="D26" s="101"/>
      <c r="E26" s="101">
        <f ca="1">IFERROR(__xludf.DUMMYFUNCTION("GOOGLEFINANCE(""BOM:""&amp;A26,""PRICE"")"),18.49)</f>
        <v>18.489999999999998</v>
      </c>
      <c r="F26" s="112">
        <f ca="1">IFERROR(__xludf.DUMMYFUNCTION("GOOGLEFINANCE(""BOM:""&amp;A26,""MARKETCAP"")/10000000"),19.9542043)</f>
        <v>19.954204300000001</v>
      </c>
      <c r="G26" s="95">
        <f t="shared" ca="1" si="0"/>
        <v>1.0823360660739247E-4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515059</v>
      </c>
      <c r="B27" s="98" t="s">
        <v>4652</v>
      </c>
      <c r="C27" s="101"/>
      <c r="D27" s="101"/>
      <c r="E27" s="101">
        <f ca="1">IFERROR(__xludf.DUMMYFUNCTION("GOOGLEFINANCE(""BOM:""&amp;A27,""PRICE"")"),32.4)</f>
        <v>32.4</v>
      </c>
      <c r="F27" s="112">
        <f ca="1">IFERROR(__xludf.DUMMYFUNCTION("GOOGLEFINANCE(""BOM:""&amp;A27,""MARKETCAP"")/10000000"),17.415004)</f>
        <v>17.415004</v>
      </c>
      <c r="G27" s="95">
        <f t="shared" ca="1" si="0"/>
        <v>9.446072936128884E-5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530119</v>
      </c>
      <c r="B28" s="98" t="s">
        <v>4653</v>
      </c>
      <c r="C28" s="101"/>
      <c r="D28" s="101"/>
      <c r="E28" s="101">
        <f ca="1">IFERROR(__xludf.DUMMYFUNCTION("GOOGLEFINANCE(""BOM:""&amp;A28,""PRICE"")"),37.55)</f>
        <v>37.549999999999997</v>
      </c>
      <c r="F28" s="112">
        <f ca="1">IFERROR(__xludf.DUMMYFUNCTION("GOOGLEFINANCE(""BOM:""&amp;A28,""MARKETCAP"")/10000000"),14.0699884)</f>
        <v>14.0699884</v>
      </c>
      <c r="G28" s="95">
        <f t="shared" ca="1" si="0"/>
        <v>7.6317029061197657E-5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519174</v>
      </c>
      <c r="B29" s="98" t="s">
        <v>4654</v>
      </c>
      <c r="C29" s="101"/>
      <c r="D29" s="101"/>
      <c r="E29" s="101">
        <f ca="1">IFERROR(__xludf.DUMMYFUNCTION("GOOGLEFINANCE(""BOM:""&amp;A29,""PRICE"")"),7)</f>
        <v>7</v>
      </c>
      <c r="F29" s="112">
        <f ca="1">IFERROR(__xludf.DUMMYFUNCTION("GOOGLEFINANCE(""BOM:""&amp;A29,""MARKETCAP"")/10000000"),3.22)</f>
        <v>3.22</v>
      </c>
      <c r="G29" s="95">
        <f t="shared" ca="1" si="0"/>
        <v>1.7465603139875828E-5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507663</v>
      </c>
      <c r="B30" s="98" t="s">
        <v>4655</v>
      </c>
      <c r="C30" s="101"/>
      <c r="D30" s="101"/>
      <c r="E30" s="101">
        <f ca="1">IFERROR(__xludf.DUMMYFUNCTION("GOOGLEFINANCE(""BOM:""&amp;A30,""PRICE"")"),3.59)</f>
        <v>3.59</v>
      </c>
      <c r="F30" s="112">
        <f ca="1">IFERROR(__xludf.DUMMYFUNCTION("GOOGLEFINANCE(""BOM:""&amp;A30,""MARKETCAP"")/10000000"),1.291634)</f>
        <v>1.2916339999999999</v>
      </c>
      <c r="G30" s="95">
        <f t="shared" ca="1" si="0"/>
        <v>7.0059524366367614E-6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507543</v>
      </c>
      <c r="B31" s="98" t="s">
        <v>4656</v>
      </c>
      <c r="C31" s="101"/>
      <c r="D31" s="101"/>
      <c r="E31" s="101">
        <f ca="1">IFERROR(__xludf.DUMMYFUNCTION("GOOGLEFINANCE(""BOM:""&amp;A31,""PRICE"")"),2.58)</f>
        <v>2.58</v>
      </c>
      <c r="F31" s="112"/>
      <c r="G31" s="95">
        <f t="shared" ca="1" si="0"/>
        <v>0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3.2">
      <c r="A32" s="101"/>
      <c r="B32" s="101"/>
      <c r="C32" s="101"/>
      <c r="D32" s="101"/>
      <c r="E32" s="101"/>
      <c r="F32" s="112"/>
      <c r="G32" s="95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3.2">
      <c r="A33" s="101"/>
      <c r="B33" s="101"/>
      <c r="C33" s="101"/>
      <c r="D33" s="101"/>
      <c r="E33" s="101"/>
      <c r="F33" s="112">
        <f ca="1">SUM(F2:F31)</f>
        <v>184362.37066720004</v>
      </c>
      <c r="G33" s="95">
        <f ca="1">F33/$F$33</f>
        <v>1</v>
      </c>
      <c r="H33" s="101">
        <f t="shared" ref="H33:O33" si="1">SUM(H2:H31)</f>
        <v>111596</v>
      </c>
      <c r="I33" s="101">
        <f t="shared" si="1"/>
        <v>92473</v>
      </c>
      <c r="J33" s="101">
        <f t="shared" si="1"/>
        <v>3707</v>
      </c>
      <c r="K33" s="101">
        <f t="shared" si="1"/>
        <v>3490</v>
      </c>
      <c r="L33" s="101">
        <f t="shared" si="1"/>
        <v>39344</v>
      </c>
      <c r="M33" s="101">
        <f t="shared" si="1"/>
        <v>33825</v>
      </c>
      <c r="N33" s="101">
        <f t="shared" si="1"/>
        <v>1404</v>
      </c>
      <c r="O33" s="101">
        <f t="shared" si="1"/>
        <v>1263</v>
      </c>
      <c r="P33" s="95">
        <f t="shared" ref="P33:Q33" si="2">J33/H33</f>
        <v>3.3218036488763036E-2</v>
      </c>
      <c r="Q33" s="95">
        <f t="shared" si="2"/>
        <v>3.7740745947465744E-2</v>
      </c>
      <c r="R33" s="95">
        <f>P33-Q33</f>
        <v>-4.5227094587027075E-3</v>
      </c>
      <c r="S33" s="95">
        <f t="shared" ref="S33:T33" si="3">N33/L33</f>
        <v>3.5685237901586009E-2</v>
      </c>
      <c r="T33" s="95">
        <f t="shared" si="3"/>
        <v>3.7339246119733924E-2</v>
      </c>
      <c r="U33" s="95">
        <f>S33-T33</f>
        <v>-1.6540082181479149E-3</v>
      </c>
      <c r="V33" s="95">
        <f>(H33/I33)-1</f>
        <v>0.20679549706400779</v>
      </c>
      <c r="W33" s="95">
        <f>(J33/K33)-1</f>
        <v>6.2177650429799503E-2</v>
      </c>
      <c r="X33" s="95">
        <f>(L33/M33)-1</f>
        <v>0.16316334072431626</v>
      </c>
      <c r="Y33" s="95">
        <f>(N33/O33)-1</f>
        <v>0.1116389548693586</v>
      </c>
    </row>
    <row r="34" spans="1:25" ht="13.2">
      <c r="F34" s="94"/>
    </row>
    <row r="35" spans="1:25" ht="13.2">
      <c r="F35" s="94"/>
    </row>
    <row r="36" spans="1:25" ht="13.2">
      <c r="F36" s="94"/>
    </row>
    <row r="37" spans="1:25" ht="13.2">
      <c r="F37" s="94"/>
    </row>
    <row r="38" spans="1:25" ht="13.2">
      <c r="F38" s="94"/>
    </row>
    <row r="39" spans="1:25" ht="13.2">
      <c r="F39" s="94"/>
    </row>
    <row r="40" spans="1:25" ht="13.2">
      <c r="F40" s="94"/>
    </row>
    <row r="41" spans="1:25" ht="13.2">
      <c r="F41" s="94"/>
    </row>
    <row r="42" spans="1:25" ht="13.2">
      <c r="F42" s="94"/>
    </row>
    <row r="43" spans="1:25" ht="13.2">
      <c r="F43" s="94"/>
    </row>
    <row r="44" spans="1:25" ht="13.2">
      <c r="F44" s="94"/>
    </row>
    <row r="45" spans="1:25" ht="13.2">
      <c r="F45" s="94"/>
    </row>
    <row r="46" spans="1:25" ht="13.2">
      <c r="F46" s="94"/>
    </row>
    <row r="47" spans="1:25" ht="13.2">
      <c r="F47" s="94"/>
    </row>
    <row r="48" spans="1:25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31" xr:uid="{00000000-0009-0000-0000-000093000000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532733</v>
      </c>
      <c r="B2" s="98" t="s">
        <v>1557</v>
      </c>
      <c r="C2" s="334" t="str">
        <f>VLOOKUP(A2,'BSE ALL CAP'!$B$4:$Y$1038,2,)</f>
        <v>Consumer Discretionary</v>
      </c>
      <c r="D2" s="334" t="str">
        <f>VLOOKUP(A2,'BSE ALL CAP'!$B$4:$Y$1038,3,)</f>
        <v>TV Broadcasting &amp; Software Production</v>
      </c>
      <c r="E2" s="101">
        <f ca="1">IFERROR(__xludf.DUMMYFUNCTION("GOOGLEFINANCE(""BOM:""&amp;A2,""PRICE"")"),589.8)</f>
        <v>589.79999999999995</v>
      </c>
      <c r="F2" s="112">
        <f ca="1">IFERROR(__xludf.DUMMYFUNCTION("GOOGLEFINANCE(""BOM:""&amp;A2,""MARKETCAP"")/10000000"),23215.5228238)</f>
        <v>23215.522823800002</v>
      </c>
      <c r="G2" s="95">
        <f t="shared" ref="G2:G21" ca="1" si="0">F2/$F$23</f>
        <v>0.61364864536534769</v>
      </c>
      <c r="H2" s="101">
        <f>VLOOKUP(A2,'BSE ALL CAP'!$B$4:$Y$1038,7,)</f>
        <v>3452</v>
      </c>
      <c r="I2" s="101">
        <f>VLOOKUP(A2,'BSE ALL CAP'!$B$4:$Y$1038,8,)</f>
        <v>3078</v>
      </c>
      <c r="J2" s="101">
        <f>VLOOKUP(A2,'BSE ALL CAP'!$B$4:$Y$1038,9,)</f>
        <v>1208</v>
      </c>
      <c r="K2" s="101">
        <f>VLOOKUP(A2,'BSE ALL CAP'!$B$4:$Y$1038,10,)</f>
        <v>1333</v>
      </c>
      <c r="L2" s="101">
        <f>VLOOKUP(A2,'BSE ALL CAP'!$B$4:$Y$1038,11,)</f>
        <v>862</v>
      </c>
      <c r="M2" s="101">
        <f>VLOOKUP(A2,'BSE ALL CAP'!$B$4:$Y$1038,12,)</f>
        <v>829</v>
      </c>
      <c r="N2" s="101">
        <f>VLOOKUP(A2,'BSE ALL CAP'!$B$4:$Y$1038,13,)</f>
        <v>324</v>
      </c>
      <c r="O2" s="101">
        <f>VLOOKUP(A2,'BSE ALL CAP'!$B$4:$Y$1038,14,)</f>
        <v>363</v>
      </c>
      <c r="P2" s="95">
        <f>VLOOKUP(A2,'BSE ALL CAP'!$B$4:$Y$1038,15,)</f>
        <v>0.34994206257242177</v>
      </c>
      <c r="Q2" s="95">
        <f>VLOOKUP(A2,'BSE ALL CAP'!$B$4:$Y$1038,16,)</f>
        <v>0.43307342430149448</v>
      </c>
      <c r="R2" s="95">
        <f>VLOOKUP(A2,'BSE ALL CAP'!$B$4:$Y$1038,17,)</f>
        <v>-8.3131361729072706E-2</v>
      </c>
      <c r="S2" s="95">
        <f>VLOOKUP(A2,'BSE ALL CAP'!$B$4:$Y$1038,18,)</f>
        <v>0.37587006960556846</v>
      </c>
      <c r="T2" s="95">
        <f>VLOOKUP(A2,'BSE ALL CAP'!$B$4:$Y$1038,19,)</f>
        <v>0.43787696019300359</v>
      </c>
      <c r="U2" s="95">
        <f>VLOOKUP(A2,'BSE ALL CAP'!$B$4:$Y$1038,20,)</f>
        <v>-6.2006890587435137E-2</v>
      </c>
      <c r="V2" s="95">
        <f>VLOOKUP(A2,'BSE ALL CAP'!$B$4:$Y$1038,21,)</f>
        <v>0.12150747238466542</v>
      </c>
      <c r="W2" s="95">
        <f>VLOOKUP(A2,'BSE ALL CAP'!$B$4:$Y$1038,22,)</f>
        <v>-9.3773443360840258E-2</v>
      </c>
      <c r="X2" s="95">
        <f>VLOOKUP(A2,'BSE ALL CAP'!$B$4:$Y$1038,23,)</f>
        <v>3.9806996381182236E-2</v>
      </c>
      <c r="Y2" s="95">
        <f>VLOOKUP(A2,'BSE ALL CAP'!$B$4:$Y$1038,24,)</f>
        <v>-0.1074380165289256</v>
      </c>
    </row>
    <row r="3" spans="1:25" ht="15.75" customHeight="1">
      <c r="A3" s="99">
        <v>505537</v>
      </c>
      <c r="B3" s="98" t="s">
        <v>1558</v>
      </c>
      <c r="C3" s="334" t="str">
        <f>VLOOKUP(A3,'BSE ALL CAP'!$B$4:$Y$1038,2,)</f>
        <v>Consumer Discretionary</v>
      </c>
      <c r="D3" s="334" t="str">
        <f>VLOOKUP(A3,'BSE ALL CAP'!$B$4:$Y$1038,3,)</f>
        <v>TV Broadcasting &amp; Software Production</v>
      </c>
      <c r="E3" s="101">
        <f ca="1">IFERROR(__xludf.DUMMYFUNCTION("GOOGLEFINANCE(""BOM:""&amp;A3,""PRICE"")"),73.66)</f>
        <v>73.66</v>
      </c>
      <c r="F3" s="112">
        <f ca="1">IFERROR(__xludf.DUMMYFUNCTION("GOOGLEFINANCE(""BOM:""&amp;A3,""MARKETCAP"")/10000000"),7080.9483968)</f>
        <v>7080.9483968000004</v>
      </c>
      <c r="G3" s="95">
        <f t="shared" ca="1" si="0"/>
        <v>0.18716849172759703</v>
      </c>
      <c r="H3" s="101">
        <f>VLOOKUP(A3,'BSE ALL CAP'!$B$4:$Y$1038,7,)</f>
        <v>6143</v>
      </c>
      <c r="I3" s="101">
        <f>VLOOKUP(A3,'BSE ALL CAP'!$B$4:$Y$1038,8,)</f>
        <v>6197</v>
      </c>
      <c r="J3" s="101">
        <f>VLOOKUP(A3,'BSE ALL CAP'!$B$4:$Y$1038,9,)</f>
        <v>375</v>
      </c>
      <c r="K3" s="101">
        <f>VLOOKUP(A3,'BSE ALL CAP'!$B$4:$Y$1038,10,)</f>
        <v>498</v>
      </c>
      <c r="L3" s="101">
        <f>VLOOKUP(A3,'BSE ALL CAP'!$B$4:$Y$1038,11,)</f>
        <v>2298</v>
      </c>
      <c r="M3" s="101">
        <f>VLOOKUP(A3,'BSE ALL CAP'!$B$4:$Y$1038,12,)</f>
        <v>2013</v>
      </c>
      <c r="N3" s="101">
        <f>VLOOKUP(A3,'BSE ALL CAP'!$B$4:$Y$1038,13,)</f>
        <v>154</v>
      </c>
      <c r="O3" s="101">
        <f>VLOOKUP(A3,'BSE ALL CAP'!$B$4:$Y$1038,14,)</f>
        <v>163</v>
      </c>
      <c r="P3" s="95">
        <f>VLOOKUP(A3,'BSE ALL CAP'!$B$4:$Y$1038,15,)</f>
        <v>6.104509197460524E-2</v>
      </c>
      <c r="Q3" s="95">
        <f>VLOOKUP(A3,'BSE ALL CAP'!$B$4:$Y$1038,16,)</f>
        <v>8.0361465225108925E-2</v>
      </c>
      <c r="R3" s="95">
        <f>VLOOKUP(A3,'BSE ALL CAP'!$B$4:$Y$1038,17,)</f>
        <v>-1.9316373250503685E-2</v>
      </c>
      <c r="S3" s="95">
        <f>VLOOKUP(A3,'BSE ALL CAP'!$B$4:$Y$1038,18,)</f>
        <v>6.7014795474325498E-2</v>
      </c>
      <c r="T3" s="95">
        <f>VLOOKUP(A3,'BSE ALL CAP'!$B$4:$Y$1038,19,)</f>
        <v>8.0973671137605563E-2</v>
      </c>
      <c r="U3" s="95">
        <f>VLOOKUP(A3,'BSE ALL CAP'!$B$4:$Y$1038,20,)</f>
        <v>-1.3958875663280065E-2</v>
      </c>
      <c r="V3" s="95">
        <f>VLOOKUP(A3,'BSE ALL CAP'!$B$4:$Y$1038,21,)</f>
        <v>-8.7138938195900906E-3</v>
      </c>
      <c r="W3" s="95">
        <f>VLOOKUP(A3,'BSE ALL CAP'!$B$4:$Y$1038,22,)</f>
        <v>-0.24698795180722888</v>
      </c>
      <c r="X3" s="95">
        <f>VLOOKUP(A3,'BSE ALL CAP'!$B$4:$Y$1038,23,)</f>
        <v>0.14157973174366623</v>
      </c>
      <c r="Y3" s="95">
        <f>VLOOKUP(A3,'BSE ALL CAP'!$B$4:$Y$1038,24,)</f>
        <v>-5.5214723926380382E-2</v>
      </c>
    </row>
    <row r="4" spans="1:25" ht="15.75" customHeight="1">
      <c r="A4" s="99">
        <v>530943</v>
      </c>
      <c r="B4" s="98" t="s">
        <v>1559</v>
      </c>
      <c r="C4" s="334" t="str">
        <f>VLOOKUP(A4,'BSE ALL CAP'!$B$4:$Y$1038,2,)</f>
        <v>Consumer Discretionary</v>
      </c>
      <c r="D4" s="334" t="str">
        <f>VLOOKUP(A4,'BSE ALL CAP'!$B$4:$Y$1038,3,)</f>
        <v>TV Broadcasting &amp; Software Production</v>
      </c>
      <c r="E4" s="101">
        <f ca="1">IFERROR(__xludf.DUMMYFUNCTION("GOOGLEFINANCE(""BOM:""&amp;A4,""PRICE"")"),43.32)</f>
        <v>43.32</v>
      </c>
      <c r="F4" s="112">
        <f ca="1">IFERROR(__xludf.DUMMYFUNCTION("GOOGLEFINANCE(""BOM:""&amp;A4,""MARKETCAP"")/10000000"),1103.4744219)</f>
        <v>1103.4744218999999</v>
      </c>
      <c r="G4" s="95">
        <f t="shared" ca="1" si="0"/>
        <v>2.9167793865062196E-2</v>
      </c>
      <c r="H4" s="101">
        <f>VLOOKUP(A4,'BSE ALL CAP'!$B$4:$Y$1038,7,)</f>
        <v>9</v>
      </c>
      <c r="I4" s="101">
        <f>VLOOKUP(A4,'BSE ALL CAP'!$B$4:$Y$1038,8,)</f>
        <v>4</v>
      </c>
      <c r="J4" s="101">
        <f>VLOOKUP(A4,'BSE ALL CAP'!$B$4:$Y$1038,9,)</f>
        <v>13</v>
      </c>
      <c r="K4" s="101">
        <f>VLOOKUP(A4,'BSE ALL CAP'!$B$4:$Y$1038,10,)</f>
        <v>-22</v>
      </c>
      <c r="L4" s="101">
        <f>VLOOKUP(A4,'BSE ALL CAP'!$B$4:$Y$1038,11,)</f>
        <v>4</v>
      </c>
      <c r="M4" s="101">
        <f>VLOOKUP(A4,'BSE ALL CAP'!$B$4:$Y$1038,12,)</f>
        <v>2</v>
      </c>
      <c r="N4" s="101">
        <f>VLOOKUP(A4,'BSE ALL CAP'!$B$4:$Y$1038,13,)</f>
        <v>1</v>
      </c>
      <c r="O4" s="101">
        <f>VLOOKUP(A4,'BSE ALL CAP'!$B$4:$Y$1038,14,)</f>
        <v>-22</v>
      </c>
      <c r="P4" s="95">
        <f>VLOOKUP(A4,'BSE ALL CAP'!$B$4:$Y$1038,15,)</f>
        <v>1.4444444444444444</v>
      </c>
      <c r="Q4" s="95">
        <f>VLOOKUP(A4,'BSE ALL CAP'!$B$4:$Y$1038,16,)</f>
        <v>-5.5</v>
      </c>
      <c r="R4" s="95">
        <f>VLOOKUP(A4,'BSE ALL CAP'!$B$4:$Y$1038,17,)</f>
        <v>6.9444444444444446</v>
      </c>
      <c r="S4" s="95">
        <f>VLOOKUP(A4,'BSE ALL CAP'!$B$4:$Y$1038,18,)</f>
        <v>0.25</v>
      </c>
      <c r="T4" s="95">
        <f>VLOOKUP(A4,'BSE ALL CAP'!$B$4:$Y$1038,19,)</f>
        <v>-11</v>
      </c>
      <c r="U4" s="95">
        <f>VLOOKUP(A4,'BSE ALL CAP'!$B$4:$Y$1038,20,)</f>
        <v>11.25</v>
      </c>
      <c r="V4" s="95">
        <f>VLOOKUP(A4,'BSE ALL CAP'!$B$4:$Y$1038,21,)</f>
        <v>1.25</v>
      </c>
      <c r="W4" s="95">
        <f>VLOOKUP(A4,'BSE ALL CAP'!$B$4:$Y$1038,22,)</f>
        <v>-1.5909090909090908</v>
      </c>
      <c r="X4" s="95">
        <f>VLOOKUP(A4,'BSE ALL CAP'!$B$4:$Y$1038,23,)</f>
        <v>1</v>
      </c>
      <c r="Y4" s="95">
        <f>VLOOKUP(A4,'BSE ALL CAP'!$B$4:$Y$1038,24,)</f>
        <v>-1.0454545454545454</v>
      </c>
    </row>
    <row r="5" spans="1:25" ht="15.75" customHeight="1">
      <c r="A5" s="99">
        <v>533162</v>
      </c>
      <c r="B5" s="98" t="s">
        <v>1560</v>
      </c>
      <c r="C5" s="334"/>
      <c r="D5" s="334"/>
      <c r="E5" s="101">
        <f ca="1">IFERROR(__xludf.DUMMYFUNCTION("GOOGLEFINANCE(""BOM:""&amp;A5,""PRICE"")"),10.05)</f>
        <v>10.050000000000001</v>
      </c>
      <c r="F5" s="112">
        <f ca="1">IFERROR(__xludf.DUMMYFUNCTION("GOOGLEFINANCE(""BOM:""&amp;A5,""MARKETCAP"")/10000000"),1775.3234886)</f>
        <v>1775.3234886</v>
      </c>
      <c r="G5" s="95">
        <f t="shared" ca="1" si="0"/>
        <v>4.6926569870217212E-2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533137</v>
      </c>
      <c r="B6" s="98" t="s">
        <v>1561</v>
      </c>
      <c r="C6" s="334"/>
      <c r="D6" s="334"/>
      <c r="E6" s="101">
        <f ca="1">IFERROR(__xludf.DUMMYFUNCTION("GOOGLEFINANCE(""BOM:""&amp;A6,""PRICE"")"),25.55)</f>
        <v>25.55</v>
      </c>
      <c r="F6" s="112">
        <f ca="1">IFERROR(__xludf.DUMMYFUNCTION("GOOGLEFINANCE(""BOM:""&amp;A6,""MARKETCAP"")/10000000"),1216.7068538)</f>
        <v>1216.7068538000001</v>
      </c>
      <c r="G6" s="95">
        <f t="shared" ca="1" si="0"/>
        <v>3.2160831281201056E-2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532529</v>
      </c>
      <c r="B7" s="98" t="s">
        <v>1562</v>
      </c>
      <c r="C7" s="334"/>
      <c r="D7" s="334"/>
      <c r="E7" s="101">
        <f ca="1">IFERROR(__xludf.DUMMYFUNCTION("GOOGLEFINANCE(""BOM:""&amp;A7,""PRICE"")"),70.29)</f>
        <v>70.290000000000006</v>
      </c>
      <c r="F7" s="112">
        <f ca="1">IFERROR(__xludf.DUMMYFUNCTION("GOOGLEFINANCE(""BOM:""&amp;A7,""MARKETCAP"")/10000000"),789.8857488)</f>
        <v>789.88574879999999</v>
      </c>
      <c r="G7" s="95">
        <f t="shared" ca="1" si="0"/>
        <v>2.087880266248399E-2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540602</v>
      </c>
      <c r="B8" s="98" t="s">
        <v>1563</v>
      </c>
      <c r="C8" s="334"/>
      <c r="D8" s="334"/>
      <c r="E8" s="101">
        <f ca="1">IFERROR(__xludf.DUMMYFUNCTION("GOOGLEFINANCE(""BOM:""&amp;A8,""PRICE"")"),61)</f>
        <v>61</v>
      </c>
      <c r="F8" s="112">
        <f ca="1">IFERROR(__xludf.DUMMYFUNCTION("GOOGLEFINANCE(""BOM:""&amp;A8,""MARKETCAP"")/10000000"),685.2370624)</f>
        <v>685.23706240000001</v>
      </c>
      <c r="G8" s="95">
        <f t="shared" ca="1" si="0"/>
        <v>1.8112656703333382E-2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532515</v>
      </c>
      <c r="B9" s="98" t="s">
        <v>1564</v>
      </c>
      <c r="C9" s="334"/>
      <c r="D9" s="334"/>
      <c r="E9" s="101">
        <f ca="1">IFERROR(__xludf.DUMMYFUNCTION("GOOGLEFINANCE(""BOM:""&amp;A9,""PRICE"")"),102.97)</f>
        <v>102.97</v>
      </c>
      <c r="F9" s="112">
        <f ca="1">IFERROR(__xludf.DUMMYFUNCTION("GOOGLEFINANCE(""BOM:""&amp;A9,""MARKETCAP"")/10000000"),612.3192922)</f>
        <v>612.31929219999995</v>
      </c>
      <c r="G9" s="95">
        <f t="shared" ca="1" si="0"/>
        <v>1.6185244116250944E-2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532794</v>
      </c>
      <c r="B10" s="98" t="s">
        <v>1565</v>
      </c>
      <c r="C10" s="334"/>
      <c r="D10" s="334"/>
      <c r="E10" s="101">
        <f ca="1">IFERROR(__xludf.DUMMYFUNCTION("GOOGLEFINANCE(""BOM:""&amp;A10,""PRICE"")"),7.1)</f>
        <v>7.1</v>
      </c>
      <c r="F10" s="112">
        <f ca="1">IFERROR(__xludf.DUMMYFUNCTION("GOOGLEFINANCE(""BOM:""&amp;A10,""MARKETCAP"")/10000000"),450.3094878)</f>
        <v>450.3094878</v>
      </c>
      <c r="G10" s="95">
        <f t="shared" ca="1" si="0"/>
        <v>1.1902889686393138E-2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532839</v>
      </c>
      <c r="B11" s="98" t="s">
        <v>1566</v>
      </c>
      <c r="C11" s="334"/>
      <c r="D11" s="334"/>
      <c r="E11" s="101">
        <f ca="1">IFERROR(__xludf.DUMMYFUNCTION("GOOGLEFINANCE(""BOM:""&amp;A11,""PRICE"")"),2.91)</f>
        <v>2.91</v>
      </c>
      <c r="F11" s="112">
        <f ca="1">IFERROR(__xludf.DUMMYFUNCTION("GOOGLEFINANCE(""BOM:""&amp;A11,""MARKETCAP"")/10000000"),533.9642575)</f>
        <v>533.96425750000003</v>
      </c>
      <c r="G11" s="95">
        <f t="shared" ca="1" si="0"/>
        <v>1.4114110019201155E-2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532826</v>
      </c>
      <c r="B12" s="98" t="s">
        <v>1567</v>
      </c>
      <c r="C12" s="334"/>
      <c r="D12" s="334"/>
      <c r="E12" s="101">
        <f ca="1">IFERROR(__xludf.DUMMYFUNCTION("GOOGLEFINANCE(""BOM:""&amp;A12,""PRICE"")"),31)</f>
        <v>31</v>
      </c>
      <c r="F12" s="112">
        <f ca="1">IFERROR(__xludf.DUMMYFUNCTION("GOOGLEFINANCE(""BOM:""&amp;A12,""MARKETCAP"")/10000000"),161.7619666)</f>
        <v>161.76196659999999</v>
      </c>
      <c r="G12" s="95">
        <f t="shared" ca="1" si="0"/>
        <v>4.2758034108954235E-3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532507</v>
      </c>
      <c r="B13" s="98" t="s">
        <v>1568</v>
      </c>
      <c r="C13" s="334"/>
      <c r="D13" s="334"/>
      <c r="E13" s="101">
        <f ca="1">IFERROR(__xludf.DUMMYFUNCTION("GOOGLEFINANCE(""BOM:""&amp;A13,""PRICE"")"),4.24)</f>
        <v>4.24</v>
      </c>
      <c r="F13" s="112">
        <f ca="1">IFERROR(__xludf.DUMMYFUNCTION("GOOGLEFINANCE(""BOM:""&amp;A13,""MARKETCAP"")/10000000"),86.8290897)</f>
        <v>86.829089699999997</v>
      </c>
      <c r="G13" s="95">
        <f t="shared" ca="1" si="0"/>
        <v>2.2951261393987328E-3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532795</v>
      </c>
      <c r="B14" s="98" t="s">
        <v>1569</v>
      </c>
      <c r="C14" s="334"/>
      <c r="D14" s="334"/>
      <c r="E14" s="101">
        <f ca="1">IFERROR(__xludf.DUMMYFUNCTION("GOOGLEFINANCE(""BOM:""&amp;A14,""PRICE"")"),0.49)</f>
        <v>0.49</v>
      </c>
      <c r="F14" s="112">
        <f ca="1">IFERROR(__xludf.DUMMYFUNCTION("GOOGLEFINANCE(""BOM:""&amp;A14,""MARKETCAP"")/10000000"),26.161609)</f>
        <v>26.161608999999999</v>
      </c>
      <c r="G14" s="95">
        <f t="shared" ca="1" si="0"/>
        <v>6.9152161875801787E-4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540023</v>
      </c>
      <c r="B15" s="98" t="s">
        <v>1570</v>
      </c>
      <c r="C15" s="334"/>
      <c r="D15" s="334"/>
      <c r="E15" s="101">
        <f ca="1">IFERROR(__xludf.DUMMYFUNCTION("GOOGLEFINANCE(""BOM:""&amp;A15,""PRICE"")"),13.36)</f>
        <v>13.36</v>
      </c>
      <c r="F15" s="112">
        <f ca="1">IFERROR(__xludf.DUMMYFUNCTION("GOOGLEFINANCE(""BOM:""&amp;A15,""MARKETCAP"")/10000000"),22.7252124)</f>
        <v>22.7252124</v>
      </c>
      <c r="G15" s="95">
        <f t="shared" ca="1" si="0"/>
        <v>6.0068842346308984E-4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540083</v>
      </c>
      <c r="B16" s="98" t="s">
        <v>1571</v>
      </c>
      <c r="C16" s="334"/>
      <c r="D16" s="334"/>
      <c r="E16" s="101">
        <f ca="1">IFERROR(__xludf.DUMMYFUNCTION("GOOGLEFINANCE(""BOM:""&amp;A16,""PRICE"")"),5.15)</f>
        <v>5.15</v>
      </c>
      <c r="F16" s="112">
        <f ca="1">IFERROR(__xludf.DUMMYFUNCTION("GOOGLEFINANCE(""BOM:""&amp;A16,""MARKETCAP"")/10000000"),20.3021171)</f>
        <v>20.3021171</v>
      </c>
      <c r="G16" s="95">
        <f t="shared" ca="1" si="0"/>
        <v>5.3663950413779346E-4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521062</v>
      </c>
      <c r="B17" s="98" t="s">
        <v>1572</v>
      </c>
      <c r="C17" s="334"/>
      <c r="D17" s="334"/>
      <c r="E17" s="101">
        <f ca="1">IFERROR(__xludf.DUMMYFUNCTION("GOOGLEFINANCE(""BOM:""&amp;A17,""PRICE"")"),4.13)</f>
        <v>4.13</v>
      </c>
      <c r="F17" s="112">
        <f ca="1">IFERROR(__xludf.DUMMYFUNCTION("GOOGLEFINANCE(""BOM:""&amp;A17,""MARKETCAP"")/10000000"),14.3311375)</f>
        <v>14.331137500000001</v>
      </c>
      <c r="G17" s="95">
        <f t="shared" ca="1" si="0"/>
        <v>3.788104700534181E-4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540821</v>
      </c>
      <c r="B18" s="98" t="s">
        <v>1573</v>
      </c>
      <c r="C18" s="334"/>
      <c r="D18" s="334"/>
      <c r="E18" s="101">
        <f ca="1">IFERROR(__xludf.DUMMYFUNCTION("GOOGLEFINANCE(""BOM:""&amp;A18,""PRICE"")"),1.71)</f>
        <v>1.71</v>
      </c>
      <c r="F18" s="112">
        <f ca="1">IFERROR(__xludf.DUMMYFUNCTION("GOOGLEFINANCE(""BOM:""&amp;A18,""MARKETCAP"")/10000000"),17.1453837)</f>
        <v>17.1453837</v>
      </c>
      <c r="G18" s="95">
        <f t="shared" ca="1" si="0"/>
        <v>4.5319855863801549E-4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509073</v>
      </c>
      <c r="B19" s="98" t="s">
        <v>1574</v>
      </c>
      <c r="C19" s="334"/>
      <c r="D19" s="334"/>
      <c r="E19" s="101">
        <f ca="1">IFERROR(__xludf.DUMMYFUNCTION("GOOGLEFINANCE(""BOM:""&amp;A19,""PRICE"")"),11.27)</f>
        <v>11.27</v>
      </c>
      <c r="F19" s="112">
        <f ca="1">IFERROR(__xludf.DUMMYFUNCTION("GOOGLEFINANCE(""BOM:""&amp;A19,""MARKETCAP"")/10000000"),9.1287003)</f>
        <v>9.1287003000000002</v>
      </c>
      <c r="G19" s="95">
        <f t="shared" ca="1" si="0"/>
        <v>2.4129607657590187E-4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539015</v>
      </c>
      <c r="B20" s="98" t="s">
        <v>1575</v>
      </c>
      <c r="C20" s="334"/>
      <c r="D20" s="334"/>
      <c r="E20" s="101">
        <f ca="1">IFERROR(__xludf.DUMMYFUNCTION("GOOGLEFINANCE(""BOM:""&amp;A20,""PRICE"")"),1.8)</f>
        <v>1.8</v>
      </c>
      <c r="F20" s="112">
        <f ca="1">IFERROR(__xludf.DUMMYFUNCTION("GOOGLEFINANCE(""BOM:""&amp;A20,""MARKETCAP"")/10000000"),5.4222172)</f>
        <v>5.4222172000000004</v>
      </c>
      <c r="G20" s="95">
        <f t="shared" ca="1" si="0"/>
        <v>1.433237693981883E-4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533268</v>
      </c>
      <c r="B21" s="98" t="s">
        <v>1576</v>
      </c>
      <c r="C21" s="334"/>
      <c r="D21" s="334"/>
      <c r="E21" s="101">
        <f ca="1">IFERROR(__xludf.DUMMYFUNCTION("GOOGLEFINANCE(""BOM:""&amp;A21,""PRICE"")"),3.7)</f>
        <v>3.7</v>
      </c>
      <c r="F21" s="112">
        <f ca="1">IFERROR(__xludf.DUMMYFUNCTION("GOOGLEFINANCE(""BOM:""&amp;A21,""MARKETCAP"")/10000000"),4.4474)</f>
        <v>4.4474</v>
      </c>
      <c r="G21" s="95">
        <f t="shared" ca="1" si="0"/>
        <v>1.1755673159339736E-4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>
      <c r="A22" s="101"/>
      <c r="B22" s="101"/>
      <c r="C22" s="101"/>
      <c r="D22" s="101"/>
      <c r="E22" s="101"/>
      <c r="F22" s="112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>
      <c r="A23" s="101"/>
      <c r="B23" s="101"/>
      <c r="C23" s="101"/>
      <c r="D23" s="101"/>
      <c r="E23" s="101"/>
      <c r="F23" s="112">
        <f ca="1">SUM(F1:F21)</f>
        <v>37831.946667100012</v>
      </c>
      <c r="G23" s="95">
        <f ca="1">F23/$F$23</f>
        <v>1</v>
      </c>
      <c r="H23" s="101">
        <f t="shared" ref="H23:O23" si="1">SUM(H2:H22)</f>
        <v>9604</v>
      </c>
      <c r="I23" s="101">
        <f t="shared" si="1"/>
        <v>9279</v>
      </c>
      <c r="J23" s="101">
        <f t="shared" si="1"/>
        <v>1596</v>
      </c>
      <c r="K23" s="101">
        <f t="shared" si="1"/>
        <v>1809</v>
      </c>
      <c r="L23" s="101">
        <f t="shared" si="1"/>
        <v>3164</v>
      </c>
      <c r="M23" s="101">
        <f t="shared" si="1"/>
        <v>2844</v>
      </c>
      <c r="N23" s="101">
        <f t="shared" si="1"/>
        <v>479</v>
      </c>
      <c r="O23" s="101">
        <f t="shared" si="1"/>
        <v>504</v>
      </c>
      <c r="P23" s="95">
        <f t="shared" ref="P23:Q23" si="2">J23/H23</f>
        <v>0.16618075801749271</v>
      </c>
      <c r="Q23" s="95">
        <f t="shared" si="2"/>
        <v>0.19495635305528614</v>
      </c>
      <c r="R23" s="95">
        <f>P23-Q23</f>
        <v>-2.8775595037793422E-2</v>
      </c>
      <c r="S23" s="95">
        <f t="shared" ref="S23:T23" si="3">N23/L23</f>
        <v>0.15139064475347661</v>
      </c>
      <c r="T23" s="95">
        <f t="shared" si="3"/>
        <v>0.17721518987341772</v>
      </c>
      <c r="U23" s="95">
        <f>S23-T23</f>
        <v>-2.5824545119941117E-2</v>
      </c>
      <c r="V23" s="95">
        <f>(H23/I23)-1</f>
        <v>3.5025326004957336E-2</v>
      </c>
      <c r="W23" s="95">
        <f>(J23/K23)-1</f>
        <v>-0.11774461028192373</v>
      </c>
      <c r="X23" s="95">
        <f>(L23/M23)-1</f>
        <v>0.11251758087201136</v>
      </c>
      <c r="Y23" s="95">
        <f>(N23/O23)-1</f>
        <v>-4.9603174603174649E-2</v>
      </c>
    </row>
    <row r="24" spans="1:25">
      <c r="F24" s="94"/>
    </row>
    <row r="25" spans="1:25" ht="13.2">
      <c r="F25" s="94"/>
    </row>
    <row r="26" spans="1:25" ht="13.2">
      <c r="F26" s="94"/>
    </row>
    <row r="27" spans="1:25" ht="13.2">
      <c r="F27" s="94"/>
    </row>
    <row r="28" spans="1:25" ht="13.2">
      <c r="F28" s="94"/>
    </row>
    <row r="29" spans="1:25" ht="13.2">
      <c r="F29" s="94"/>
    </row>
    <row r="30" spans="1:25" ht="13.2">
      <c r="F30" s="94"/>
    </row>
    <row r="31" spans="1:25" ht="13.2">
      <c r="F31" s="94"/>
    </row>
    <row r="32" spans="1:25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22" xr:uid="{00000000-0009-0000-0000-000016000000}"/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outlinePr summaryBelow="0" summaryRight="0"/>
  </sheetPr>
  <dimension ref="A1:Y14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506655</v>
      </c>
      <c r="B2" s="98" t="s">
        <v>4657</v>
      </c>
      <c r="C2" s="101" t="str">
        <f>VLOOKUP(A2,'BSE ALL CAP'!$B$4:$Y$1038,2,)</f>
        <v>Commodities</v>
      </c>
      <c r="D2" s="101" t="str">
        <f>VLOOKUP(A2,'BSE ALL CAP'!$B$4:$Y$1038,3,)</f>
        <v>Dyes And Pigments</v>
      </c>
      <c r="E2" s="101">
        <f ca="1">IFERROR(__xludf.DUMMYFUNCTION("GOOGLEFINANCE(""BOM:""&amp;A2,""PRICE"")"),757.85)</f>
        <v>757.85</v>
      </c>
      <c r="F2" s="112">
        <f ca="1">IFERROR(__xludf.DUMMYFUNCTION("GOOGLEFINANCE(""BOM:""&amp;A2,""MARKETCAP"")/10000000"),5950.923101)</f>
        <v>5950.9231010000003</v>
      </c>
      <c r="G2" s="95">
        <f t="shared" ref="G2:G12" ca="1" si="0">F2/$F$14</f>
        <v>0.447780762221273</v>
      </c>
      <c r="H2" s="101">
        <f>VLOOKUP(A2,'BSE ALL CAP'!$B$4:$Y$1038,7,)</f>
        <v>6997</v>
      </c>
      <c r="I2" s="101">
        <f>VLOOKUP(A2,'BSE ALL CAP'!$B$4:$Y$1038,8,)</f>
        <v>1996</v>
      </c>
      <c r="J2" s="101">
        <f>VLOOKUP(A2,'BSE ALL CAP'!$B$4:$Y$1038,9,)</f>
        <v>-42</v>
      </c>
      <c r="K2" s="101">
        <f>VLOOKUP(A2,'BSE ALL CAP'!$B$4:$Y$1038,10,)</f>
        <v>60</v>
      </c>
      <c r="L2" s="101">
        <f>VLOOKUP(A2,'BSE ALL CAP'!$B$4:$Y$1038,11,)</f>
        <v>2103</v>
      </c>
      <c r="M2" s="101">
        <f>VLOOKUP(A2,'BSE ALL CAP'!$B$4:$Y$1038,12,)</f>
        <v>666</v>
      </c>
      <c r="N2" s="101">
        <f>VLOOKUP(A2,'BSE ALL CAP'!$B$4:$Y$1038,13,)</f>
        <v>-116</v>
      </c>
      <c r="O2" s="101">
        <f>VLOOKUP(A2,'BSE ALL CAP'!$B$4:$Y$1038,14,)</f>
        <v>0.5</v>
      </c>
      <c r="P2" s="95">
        <f>VLOOKUP(A2,'BSE ALL CAP'!$B$4:$Y$1038,15,)</f>
        <v>-6.0025725310847503E-3</v>
      </c>
      <c r="Q2" s="95">
        <f>VLOOKUP(A2,'BSE ALL CAP'!$B$4:$Y$1038,16,)</f>
        <v>3.0060120240480961E-2</v>
      </c>
      <c r="R2" s="95">
        <f>VLOOKUP(A2,'BSE ALL CAP'!$B$4:$Y$1038,17,)</f>
        <v>-3.6062692771565708E-2</v>
      </c>
      <c r="S2" s="95">
        <f>VLOOKUP(A2,'BSE ALL CAP'!$B$4:$Y$1038,18,)</f>
        <v>-5.515929624346172E-2</v>
      </c>
      <c r="T2" s="95">
        <f>VLOOKUP(A2,'BSE ALL CAP'!$B$4:$Y$1038,19,)</f>
        <v>7.5075075075075074E-4</v>
      </c>
      <c r="U2" s="95">
        <f>VLOOKUP(A2,'BSE ALL CAP'!$B$4:$Y$1038,20,)</f>
        <v>-5.5910046994212467E-2</v>
      </c>
      <c r="V2" s="95">
        <f>VLOOKUP(A2,'BSE ALL CAP'!$B$4:$Y$1038,21,)</f>
        <v>2.5055110220440882</v>
      </c>
      <c r="W2" s="95">
        <f>VLOOKUP(A2,'BSE ALL CAP'!$B$4:$Y$1038,22,)</f>
        <v>-1.7</v>
      </c>
      <c r="X2" s="95">
        <f>VLOOKUP(A2,'BSE ALL CAP'!$B$4:$Y$1038,23,)</f>
        <v>2.1576576576576576</v>
      </c>
      <c r="Y2" s="95">
        <f>VLOOKUP(A2,'BSE ALL CAP'!$B$4:$Y$1038,24,)</f>
        <v>-233</v>
      </c>
    </row>
    <row r="3" spans="1:25" ht="15.75" customHeight="1">
      <c r="A3" s="99">
        <v>532967</v>
      </c>
      <c r="B3" s="98" t="s">
        <v>4658</v>
      </c>
      <c r="C3" s="101" t="str">
        <f>VLOOKUP(A3,'BSE ALL CAP'!$B$4:$Y$1038,2,)</f>
        <v>Commodities</v>
      </c>
      <c r="D3" s="101" t="str">
        <f>VLOOKUP(A3,'BSE ALL CAP'!$B$4:$Y$1038,3,)</f>
        <v>Dyes And Pigments</v>
      </c>
      <c r="E3" s="101">
        <f ca="1">IFERROR(__xludf.DUMMYFUNCTION("GOOGLEFINANCE(""BOM:""&amp;A3,""PRICE"")"),381.9)</f>
        <v>381.9</v>
      </c>
      <c r="F3" s="112">
        <f ca="1">IFERROR(__xludf.DUMMYFUNCTION("GOOGLEFINANCE(""BOM:""&amp;A3,""MARKETCAP"")/10000000"),2280.8569)</f>
        <v>2280.8569000000002</v>
      </c>
      <c r="G3" s="95">
        <f t="shared" ca="1" si="0"/>
        <v>0.17162443941310979</v>
      </c>
      <c r="H3" s="101">
        <f>VLOOKUP(A3,'BSE ALL CAP'!$B$4:$Y$1038,7,)</f>
        <v>589</v>
      </c>
      <c r="I3" s="101">
        <f>VLOOKUP(A3,'BSE ALL CAP'!$B$4:$Y$1038,8,)</f>
        <v>535</v>
      </c>
      <c r="J3" s="101">
        <f>VLOOKUP(A3,'BSE ALL CAP'!$B$4:$Y$1038,9,)</f>
        <v>4880</v>
      </c>
      <c r="K3" s="101">
        <f>VLOOKUP(A3,'BSE ALL CAP'!$B$4:$Y$1038,10,)</f>
        <v>-44</v>
      </c>
      <c r="L3" s="101">
        <f>VLOOKUP(A3,'BSE ALL CAP'!$B$4:$Y$1038,11,)</f>
        <v>173</v>
      </c>
      <c r="M3" s="101">
        <f>VLOOKUP(A3,'BSE ALL CAP'!$B$4:$Y$1038,12,)</f>
        <v>178</v>
      </c>
      <c r="N3" s="101">
        <f>VLOOKUP(A3,'BSE ALL CAP'!$B$4:$Y$1038,13,)</f>
        <v>5011</v>
      </c>
      <c r="O3" s="101">
        <f>VLOOKUP(A3,'BSE ALL CAP'!$B$4:$Y$1038,14,)</f>
        <v>-13</v>
      </c>
      <c r="P3" s="95">
        <f>VLOOKUP(A3,'BSE ALL CAP'!$B$4:$Y$1038,15,)</f>
        <v>8.2852292020373515</v>
      </c>
      <c r="Q3" s="95">
        <f>VLOOKUP(A3,'BSE ALL CAP'!$B$4:$Y$1038,16,)</f>
        <v>-8.2242990654205608E-2</v>
      </c>
      <c r="R3" s="95">
        <f>VLOOKUP(A3,'BSE ALL CAP'!$B$4:$Y$1038,17,)</f>
        <v>8.3674721926915563</v>
      </c>
      <c r="S3" s="95">
        <f>VLOOKUP(A3,'BSE ALL CAP'!$B$4:$Y$1038,18,)</f>
        <v>28.965317919075144</v>
      </c>
      <c r="T3" s="95">
        <f>VLOOKUP(A3,'BSE ALL CAP'!$B$4:$Y$1038,19,)</f>
        <v>-7.3033707865168537E-2</v>
      </c>
      <c r="U3" s="95">
        <f>VLOOKUP(A3,'BSE ALL CAP'!$B$4:$Y$1038,20,)</f>
        <v>29.038351626940312</v>
      </c>
      <c r="V3" s="95">
        <f>VLOOKUP(A3,'BSE ALL CAP'!$B$4:$Y$1038,21,)</f>
        <v>0.10093457943925244</v>
      </c>
      <c r="W3" s="95">
        <f>VLOOKUP(A3,'BSE ALL CAP'!$B$4:$Y$1038,22,)</f>
        <v>-111.90909090909091</v>
      </c>
      <c r="X3" s="95">
        <f>VLOOKUP(A3,'BSE ALL CAP'!$B$4:$Y$1038,23,)</f>
        <v>-2.8089887640449396E-2</v>
      </c>
      <c r="Y3" s="95">
        <f>VLOOKUP(A3,'BSE ALL CAP'!$B$4:$Y$1038,24,)</f>
        <v>-386.46153846153845</v>
      </c>
    </row>
    <row r="4" spans="1:25" ht="15.75" customHeight="1">
      <c r="A4" s="99">
        <v>506685</v>
      </c>
      <c r="B4" s="98" t="s">
        <v>4659</v>
      </c>
      <c r="C4" s="101"/>
      <c r="D4" s="101"/>
      <c r="E4" s="101">
        <f ca="1">IFERROR(__xludf.DUMMYFUNCTION("GOOGLEFINANCE(""BOM:""&amp;A4,""PRICE"")"),397)</f>
        <v>397</v>
      </c>
      <c r="F4" s="112">
        <f ca="1">IFERROR(__xludf.DUMMYFUNCTION("GOOGLEFINANCE(""BOM:""&amp;A4,""MARKETCAP"")/10000000"),1159.24)</f>
        <v>1159.24</v>
      </c>
      <c r="G4" s="95">
        <f t="shared" ca="1" si="0"/>
        <v>8.7227706019283091E-2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539334</v>
      </c>
      <c r="B5" s="98" t="s">
        <v>4660</v>
      </c>
      <c r="C5" s="101"/>
      <c r="D5" s="101"/>
      <c r="E5" s="101">
        <f ca="1">IFERROR(__xludf.DUMMYFUNCTION("GOOGLEFINANCE(""BOM:""&amp;A5,""PRICE"")"),325)</f>
        <v>325</v>
      </c>
      <c r="F5" s="112">
        <f ca="1">IFERROR(__xludf.DUMMYFUNCTION("GOOGLEFINANCE(""BOM:""&amp;A5,""MARKETCAP"")/10000000"),1049.357716)</f>
        <v>1049.357716</v>
      </c>
      <c r="G5" s="95">
        <f t="shared" ca="1" si="0"/>
        <v>7.8959547945476646E-2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506390</v>
      </c>
      <c r="B6" s="98" t="s">
        <v>4661</v>
      </c>
      <c r="C6" s="101"/>
      <c r="D6" s="101"/>
      <c r="E6" s="101">
        <f ca="1">IFERROR(__xludf.DUMMYFUNCTION("GOOGLEFINANCE(""BOM:""&amp;A6,""PRICE"")"),315.6)</f>
        <v>315.60000000000002</v>
      </c>
      <c r="F6" s="112">
        <f ca="1">IFERROR(__xludf.DUMMYFUNCTION("GOOGLEFINANCE(""BOM:""&amp;A6,""MARKETCAP"")/10000000"),712.1889)</f>
        <v>712.18889999999999</v>
      </c>
      <c r="G6" s="95">
        <f t="shared" ca="1" si="0"/>
        <v>5.358907905127204E-2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530803</v>
      </c>
      <c r="B7" s="98" t="s">
        <v>4662</v>
      </c>
      <c r="C7" s="101"/>
      <c r="D7" s="101"/>
      <c r="E7" s="101">
        <f ca="1">IFERROR(__xludf.DUMMYFUNCTION("GOOGLEFINANCE(""BOM:""&amp;A7,""PRICE"")"),146.05)</f>
        <v>146.05000000000001</v>
      </c>
      <c r="F7" s="112">
        <f ca="1">IFERROR(__xludf.DUMMYFUNCTION("GOOGLEFINANCE(""BOM:""&amp;A7,""MARKETCAP"")/10000000"),640.7837359)</f>
        <v>640.78373590000001</v>
      </c>
      <c r="G7" s="95">
        <f t="shared" ca="1" si="0"/>
        <v>4.8216154840260116E-2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524370</v>
      </c>
      <c r="B8" s="98" t="s">
        <v>4663</v>
      </c>
      <c r="C8" s="101"/>
      <c r="D8" s="101"/>
      <c r="E8" s="101">
        <f ca="1">IFERROR(__xludf.DUMMYFUNCTION("GOOGLEFINANCE(""BOM:""&amp;A8,""PRICE"")"),59.1)</f>
        <v>59.1</v>
      </c>
      <c r="F8" s="112">
        <f ca="1">IFERROR(__xludf.DUMMYFUNCTION("GOOGLEFINANCE(""BOM:""&amp;A8,""MARKETCAP"")/10000000"),744.8328083)</f>
        <v>744.83280830000001</v>
      </c>
      <c r="G8" s="95">
        <f t="shared" ca="1" si="0"/>
        <v>5.6045389424027328E-2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532853</v>
      </c>
      <c r="B9" s="98" t="s">
        <v>4664</v>
      </c>
      <c r="C9" s="101"/>
      <c r="D9" s="101"/>
      <c r="E9" s="101">
        <f ca="1">IFERROR(__xludf.DUMMYFUNCTION("GOOGLEFINANCE(""BOM:""&amp;A9,""PRICE"")"),215.05)</f>
        <v>215.05</v>
      </c>
      <c r="F9" s="112">
        <f ca="1">IFERROR(__xludf.DUMMYFUNCTION("GOOGLEFINANCE(""BOM:""&amp;A9,""MARKETCAP"")/10000000"),254.6165967)</f>
        <v>254.6165967</v>
      </c>
      <c r="G9" s="95">
        <f t="shared" ca="1" si="0"/>
        <v>1.9158777858405477E-2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524570</v>
      </c>
      <c r="B10" s="98" t="s">
        <v>4665</v>
      </c>
      <c r="C10" s="101"/>
      <c r="D10" s="101"/>
      <c r="E10" s="101">
        <f ca="1">IFERROR(__xludf.DUMMYFUNCTION("GOOGLEFINANCE(""BOM:""&amp;A10,""PRICE"")"),223)</f>
        <v>223</v>
      </c>
      <c r="F10" s="112">
        <f ca="1">IFERROR(__xludf.DUMMYFUNCTION("GOOGLEFINANCE(""BOM:""&amp;A10,""MARKETCAP"")/10000000"),234.480779)</f>
        <v>234.48077900000001</v>
      </c>
      <c r="G10" s="95">
        <f t="shared" ca="1" si="0"/>
        <v>1.764364623182817E-2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524598</v>
      </c>
      <c r="B11" s="98" t="s">
        <v>4666</v>
      </c>
      <c r="C11" s="101"/>
      <c r="D11" s="101"/>
      <c r="E11" s="101">
        <f ca="1">IFERROR(__xludf.DUMMYFUNCTION("GOOGLEFINANCE(""BOM:""&amp;A11,""PRICE"")"),166.45)</f>
        <v>166.45</v>
      </c>
      <c r="F11" s="112">
        <f ca="1">IFERROR(__xludf.DUMMYFUNCTION("GOOGLEFINANCE(""BOM:""&amp;A11,""MARKETCAP"")/10000000"),134.1447413)</f>
        <v>134.14474129999999</v>
      </c>
      <c r="G11" s="95">
        <f t="shared" ca="1" si="0"/>
        <v>1.0093801161234241E-2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543645</v>
      </c>
      <c r="B12" s="98" t="s">
        <v>4667</v>
      </c>
      <c r="C12" s="101"/>
      <c r="D12" s="101"/>
      <c r="E12" s="101">
        <f ca="1">IFERROR(__xludf.DUMMYFUNCTION("GOOGLEFINANCE(""BOM:""&amp;A12,""PRICE"")"),114)</f>
        <v>114</v>
      </c>
      <c r="F12" s="112">
        <f ca="1">IFERROR(__xludf.DUMMYFUNCTION("GOOGLEFINANCE(""BOM:""&amp;A12,""MARKETCAP"")/10000000"),128.388852)</f>
        <v>128.38885200000001</v>
      </c>
      <c r="G12" s="95">
        <f t="shared" ca="1" si="0"/>
        <v>9.6606958338301355E-3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>
      <c r="A13" s="101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>
      <c r="A14" s="101"/>
      <c r="B14" s="101"/>
      <c r="C14" s="101"/>
      <c r="D14" s="101"/>
      <c r="E14" s="101"/>
      <c r="F14" s="112">
        <f ca="1">SUM(F2:F12)</f>
        <v>13289.8141302</v>
      </c>
      <c r="G14" s="95">
        <f ca="1">F14/$F$14</f>
        <v>1</v>
      </c>
      <c r="H14" s="101">
        <f t="shared" ref="H14:O14" si="1">SUM(H2:H12)</f>
        <v>7586</v>
      </c>
      <c r="I14" s="101">
        <f t="shared" si="1"/>
        <v>2531</v>
      </c>
      <c r="J14" s="101">
        <f t="shared" si="1"/>
        <v>4838</v>
      </c>
      <c r="K14" s="101">
        <f t="shared" si="1"/>
        <v>16</v>
      </c>
      <c r="L14" s="101">
        <f t="shared" si="1"/>
        <v>2276</v>
      </c>
      <c r="M14" s="101">
        <f t="shared" si="1"/>
        <v>844</v>
      </c>
      <c r="N14" s="101">
        <f t="shared" si="1"/>
        <v>4895</v>
      </c>
      <c r="O14" s="101">
        <f t="shared" si="1"/>
        <v>-12.5</v>
      </c>
      <c r="P14" s="95">
        <f t="shared" ref="P14:Q14" si="2">J14/H14</f>
        <v>0.63775375692064329</v>
      </c>
      <c r="Q14" s="95">
        <f t="shared" si="2"/>
        <v>6.3216120110628207E-3</v>
      </c>
      <c r="R14" s="95">
        <f>P14-Q14</f>
        <v>0.63143214490958044</v>
      </c>
      <c r="S14" s="95">
        <f t="shared" ref="S14:T14" si="3">N14/L14</f>
        <v>2.1507029876977155</v>
      </c>
      <c r="T14" s="95">
        <f t="shared" si="3"/>
        <v>-1.481042654028436E-2</v>
      </c>
      <c r="U14" s="95">
        <f>S14-T14</f>
        <v>2.1655134142379997</v>
      </c>
      <c r="V14" s="95">
        <f>(H14/I14)-1</f>
        <v>1.99723429474516</v>
      </c>
      <c r="W14" s="95">
        <f>(J14/K14)-1</f>
        <v>301.375</v>
      </c>
      <c r="X14" s="95">
        <f>(L14/M14)-1</f>
        <v>1.6966824644549763</v>
      </c>
      <c r="Y14" s="95">
        <f>(N14/O14)-1</f>
        <v>-392.6</v>
      </c>
    </row>
  </sheetData>
  <autoFilter ref="A1:Y12" xr:uid="{00000000-0009-0000-0000-000094000000}"/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outlinePr summaryBelow="0" summaryRight="0"/>
  </sheetPr>
  <dimension ref="A1:Y5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543273</v>
      </c>
      <c r="B2" s="98" t="s">
        <v>4668</v>
      </c>
      <c r="C2" s="101" t="str">
        <f>VLOOKUP(A2,'BSE ALL CAP'!$B$4:$Y$1038,2,)</f>
        <v>Services</v>
      </c>
      <c r="D2" s="101" t="str">
        <f>VLOOKUP(A2,'BSE ALL CAP'!$B$4:$Y$1038,3,)</f>
        <v>Dredging</v>
      </c>
      <c r="E2" s="101">
        <f ca="1">IFERROR(__xludf.DUMMYFUNCTION("GOOGLEFINANCE(""BOM:""&amp;A2,""PRICE"")"),1621.7)</f>
        <v>1621.7</v>
      </c>
      <c r="F2" s="112">
        <f ca="1">IFERROR(__xludf.DUMMYFUNCTION("GOOGLEFINANCE(""BOM:""&amp;A2,""MARKETCAP"")/10000000"),3969.9662213)</f>
        <v>3969.9662213000001</v>
      </c>
      <c r="G2" s="95">
        <f t="shared" ref="G2:G3" ca="1" si="0">F2/$F$5</f>
        <v>0.62518107639913734</v>
      </c>
      <c r="H2" s="101">
        <f>VLOOKUP(A2,'BSE ALL CAP'!$B$4:$Y$1038,7,)</f>
        <v>90</v>
      </c>
      <c r="I2" s="101">
        <f>VLOOKUP(A2,'BSE ALL CAP'!$B$4:$Y$1038,8,)</f>
        <v>50</v>
      </c>
      <c r="J2" s="101">
        <f>VLOOKUP(A2,'BSE ALL CAP'!$B$4:$Y$1038,9,)</f>
        <v>32</v>
      </c>
      <c r="K2" s="101">
        <f>VLOOKUP(A2,'BSE ALL CAP'!$B$4:$Y$1038,10,)</f>
        <v>11</v>
      </c>
      <c r="L2" s="101">
        <f>VLOOKUP(A2,'BSE ALL CAP'!$B$4:$Y$1038,11,)</f>
        <v>82</v>
      </c>
      <c r="M2" s="101">
        <f>VLOOKUP(A2,'BSE ALL CAP'!$B$4:$Y$1038,12,)</f>
        <v>42</v>
      </c>
      <c r="N2" s="101">
        <f>VLOOKUP(A2,'BSE ALL CAP'!$B$4:$Y$1038,13,)</f>
        <v>30</v>
      </c>
      <c r="O2" s="101">
        <f>VLOOKUP(A2,'BSE ALL CAP'!$B$4:$Y$1038,14,)</f>
        <v>10</v>
      </c>
      <c r="P2" s="95">
        <f>VLOOKUP(A2,'BSE ALL CAP'!$B$4:$Y$1038,15,)</f>
        <v>0.35555555555555557</v>
      </c>
      <c r="Q2" s="95">
        <f>VLOOKUP(A2,'BSE ALL CAP'!$B$4:$Y$1038,16,)</f>
        <v>0.22</v>
      </c>
      <c r="R2" s="95">
        <f>VLOOKUP(A2,'BSE ALL CAP'!$B$4:$Y$1038,17,)</f>
        <v>0.13555555555555557</v>
      </c>
      <c r="S2" s="95">
        <f>VLOOKUP(A2,'BSE ALL CAP'!$B$4:$Y$1038,18,)</f>
        <v>0.36585365853658536</v>
      </c>
      <c r="T2" s="95">
        <f>VLOOKUP(A2,'BSE ALL CAP'!$B$4:$Y$1038,19,)</f>
        <v>0.23809523809523808</v>
      </c>
      <c r="U2" s="95">
        <f>VLOOKUP(A2,'BSE ALL CAP'!$B$4:$Y$1038,20,)</f>
        <v>0.12775842044134728</v>
      </c>
      <c r="V2" s="95">
        <f>VLOOKUP(A2,'BSE ALL CAP'!$B$4:$Y$1038,21,)</f>
        <v>0.8</v>
      </c>
      <c r="W2" s="95">
        <f>VLOOKUP(A2,'BSE ALL CAP'!$B$4:$Y$1038,22,)</f>
        <v>1.9090909090909092</v>
      </c>
      <c r="X2" s="95">
        <f>VLOOKUP(A2,'BSE ALL CAP'!$B$4:$Y$1038,23,)</f>
        <v>0.95238095238095233</v>
      </c>
      <c r="Y2" s="95">
        <f>VLOOKUP(A2,'BSE ALL CAP'!$B$4:$Y$1038,24,)</f>
        <v>2</v>
      </c>
    </row>
    <row r="3" spans="1:25" ht="15.75" customHeight="1">
      <c r="A3" s="99">
        <v>523618</v>
      </c>
      <c r="B3" s="98" t="s">
        <v>4669</v>
      </c>
      <c r="C3" s="101" t="str">
        <f>VLOOKUP(A3,'BSE ALL CAP'!$B$4:$Y$1038,2,)</f>
        <v>Services</v>
      </c>
      <c r="D3" s="101" t="str">
        <f>VLOOKUP(A3,'BSE ALL CAP'!$B$4:$Y$1038,3,)</f>
        <v>Dredging</v>
      </c>
      <c r="E3" s="101">
        <f ca="1">IFERROR(__xludf.DUMMYFUNCTION("GOOGLEFINANCE(""BOM:""&amp;A3,""PRICE"")"),852.05)</f>
        <v>852.05</v>
      </c>
      <c r="F3" s="112">
        <f ca="1">IFERROR(__xludf.DUMMYFUNCTION("GOOGLEFINANCE(""BOM:""&amp;A3,""MARKETCAP"")/10000000"),2380.1399658)</f>
        <v>2380.1399658</v>
      </c>
      <c r="G3" s="95">
        <f t="shared" ca="1" si="0"/>
        <v>0.37481892360086261</v>
      </c>
      <c r="H3" s="101">
        <f>VLOOKUP(A3,'BSE ALL CAP'!$B$4:$Y$1038,7,)</f>
        <v>730</v>
      </c>
      <c r="I3" s="101">
        <f>VLOOKUP(A3,'BSE ALL CAP'!$B$4:$Y$1038,8,)</f>
        <v>679</v>
      </c>
      <c r="J3" s="101">
        <f>VLOOKUP(A3,'BSE ALL CAP'!$B$4:$Y$1038,9,)</f>
        <v>-82</v>
      </c>
      <c r="K3" s="101">
        <f>VLOOKUP(A3,'BSE ALL CAP'!$B$4:$Y$1038,10,)</f>
        <v>-48</v>
      </c>
      <c r="L3" s="101">
        <f>VLOOKUP(A3,'BSE ALL CAP'!$B$4:$Y$1038,11,)</f>
        <v>276</v>
      </c>
      <c r="M3" s="101">
        <f>VLOOKUP(A3,'BSE ALL CAP'!$B$4:$Y$1038,12,)</f>
        <v>324</v>
      </c>
      <c r="N3" s="101">
        <f>VLOOKUP(A3,'BSE ALL CAP'!$B$4:$Y$1038,13,)</f>
        <v>-24</v>
      </c>
      <c r="O3" s="101">
        <f>VLOOKUP(A3,'BSE ALL CAP'!$B$4:$Y$1038,14,)</f>
        <v>16</v>
      </c>
      <c r="P3" s="95">
        <f>VLOOKUP(A3,'BSE ALL CAP'!$B$4:$Y$1038,15,)</f>
        <v>-0.11232876712328767</v>
      </c>
      <c r="Q3" s="95">
        <f>VLOOKUP(A3,'BSE ALL CAP'!$B$4:$Y$1038,16,)</f>
        <v>-7.0692194403534608E-2</v>
      </c>
      <c r="R3" s="95">
        <f>VLOOKUP(A3,'BSE ALL CAP'!$B$4:$Y$1038,17,)</f>
        <v>-4.1636572719753059E-2</v>
      </c>
      <c r="S3" s="95">
        <f>VLOOKUP(A3,'BSE ALL CAP'!$B$4:$Y$1038,18,)</f>
        <v>-8.6956521739130432E-2</v>
      </c>
      <c r="T3" s="95">
        <f>VLOOKUP(A3,'BSE ALL CAP'!$B$4:$Y$1038,19,)</f>
        <v>4.9382716049382713E-2</v>
      </c>
      <c r="U3" s="95">
        <f>VLOOKUP(A3,'BSE ALL CAP'!$B$4:$Y$1038,20,)</f>
        <v>-0.13633923778851315</v>
      </c>
      <c r="V3" s="95">
        <f>VLOOKUP(A3,'BSE ALL CAP'!$B$4:$Y$1038,21,)</f>
        <v>7.5110456553755478E-2</v>
      </c>
      <c r="W3" s="95">
        <f>VLOOKUP(A3,'BSE ALL CAP'!$B$4:$Y$1038,22,)</f>
        <v>0.70833333333333326</v>
      </c>
      <c r="X3" s="95">
        <f>VLOOKUP(A3,'BSE ALL CAP'!$B$4:$Y$1038,23,)</f>
        <v>-0.14814814814814814</v>
      </c>
      <c r="Y3" s="95">
        <f>VLOOKUP(A3,'BSE ALL CAP'!$B$4:$Y$1038,24,)</f>
        <v>-2.5</v>
      </c>
    </row>
    <row r="4" spans="1:25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101"/>
      <c r="B5" s="101"/>
      <c r="C5" s="101"/>
      <c r="D5" s="101"/>
      <c r="E5" s="101"/>
      <c r="F5" s="112">
        <f ca="1">SUM(F2:F3)</f>
        <v>6350.1061871000002</v>
      </c>
      <c r="G5" s="95">
        <f ca="1">F5/$F$5</f>
        <v>1</v>
      </c>
      <c r="H5" s="101">
        <f t="shared" ref="H5:O5" si="1">SUM(H2:H3)</f>
        <v>820</v>
      </c>
      <c r="I5" s="101">
        <f t="shared" si="1"/>
        <v>729</v>
      </c>
      <c r="J5" s="101">
        <f t="shared" si="1"/>
        <v>-50</v>
      </c>
      <c r="K5" s="101">
        <f t="shared" si="1"/>
        <v>-37</v>
      </c>
      <c r="L5" s="101">
        <f t="shared" si="1"/>
        <v>358</v>
      </c>
      <c r="M5" s="101">
        <f t="shared" si="1"/>
        <v>366</v>
      </c>
      <c r="N5" s="101">
        <f t="shared" si="1"/>
        <v>6</v>
      </c>
      <c r="O5" s="101">
        <f t="shared" si="1"/>
        <v>26</v>
      </c>
      <c r="P5" s="95">
        <f t="shared" ref="P5:Q5" si="2">J5/H5</f>
        <v>-6.097560975609756E-2</v>
      </c>
      <c r="Q5" s="95">
        <f t="shared" si="2"/>
        <v>-5.0754458161865572E-2</v>
      </c>
      <c r="R5" s="95">
        <f>P5-Q5</f>
        <v>-1.0221151594231988E-2</v>
      </c>
      <c r="S5" s="95">
        <f t="shared" ref="S5:T5" si="3">N5/L5</f>
        <v>1.6759776536312849E-2</v>
      </c>
      <c r="T5" s="95">
        <f t="shared" si="3"/>
        <v>7.1038251366120214E-2</v>
      </c>
      <c r="U5" s="95">
        <f>S5-T5</f>
        <v>-5.4278474829807369E-2</v>
      </c>
      <c r="V5" s="95">
        <f>(H5/I5)-1</f>
        <v>0.1248285322359397</v>
      </c>
      <c r="W5" s="95">
        <f>(J5/K5)-1</f>
        <v>0.35135135135135132</v>
      </c>
      <c r="X5" s="95">
        <f>(L5/M5)-1</f>
        <v>-2.1857923497267784E-2</v>
      </c>
      <c r="Y5" s="95">
        <f>(N5/O5)-1</f>
        <v>-0.76923076923076916</v>
      </c>
    </row>
  </sheetData>
  <autoFilter ref="A1:Y3" xr:uid="{00000000-0009-0000-0000-000095000000}"/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outlinePr summaryBelow="0" summaryRight="0"/>
  </sheetPr>
  <dimension ref="A1:Y17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540376</v>
      </c>
      <c r="B2" s="98" t="s">
        <v>85</v>
      </c>
      <c r="C2" s="101" t="str">
        <f>VLOOKUP(A2,'BSE ALL CAP'!$B$4:$Y$1038,2,)</f>
        <v>Consumer Discretionary</v>
      </c>
      <c r="D2" s="101" t="str">
        <f>VLOOKUP(A2,'BSE ALL CAP'!$B$4:$Y$1038,3,)</f>
        <v>Diversified Retail</v>
      </c>
      <c r="E2" s="101">
        <f ca="1">IFERROR(__xludf.DUMMYFUNCTION("GOOGLEFINANCE(""BOM:""&amp;A2,""PRICE"")"),4545.1)</f>
        <v>4545.1000000000004</v>
      </c>
      <c r="F2" s="112">
        <f ca="1">IFERROR(__xludf.DUMMYFUNCTION("GOOGLEFINANCE(""BOM:""&amp;A2,""MARKETCAP"")/10000000"),296315.4564)</f>
        <v>296315.45640000002</v>
      </c>
      <c r="G2" s="95">
        <f t="shared" ref="G2:G15" ca="1" si="0">F2/$F$17</f>
        <v>0.81790522609380689</v>
      </c>
      <c r="H2" s="101">
        <f>VLOOKUP(A2,'BSE ALL CAP'!$B$4:$Y$1038,7,)</f>
        <v>51136</v>
      </c>
      <c r="I2" s="101">
        <f>VLOOKUP(A2,'BSE ALL CAP'!$B$4:$Y$1038,8,)</f>
        <v>44486</v>
      </c>
      <c r="J2" s="101">
        <f>VLOOKUP(A2,'BSE ALL CAP'!$B$4:$Y$1038,9,)</f>
        <v>2313</v>
      </c>
      <c r="K2" s="101">
        <f>VLOOKUP(A2,'BSE ALL CAP'!$B$4:$Y$1038,10,)</f>
        <v>2157</v>
      </c>
      <c r="L2" s="101">
        <f>VLOOKUP(A2,'BSE ALL CAP'!$B$4:$Y$1038,11,)</f>
        <v>18100</v>
      </c>
      <c r="M2" s="101">
        <f>VLOOKUP(A2,'BSE ALL CAP'!$B$4:$Y$1038,12,)</f>
        <v>15972</v>
      </c>
      <c r="N2" s="101">
        <f>VLOOKUP(A2,'BSE ALL CAP'!$B$4:$Y$1038,13,)</f>
        <v>856</v>
      </c>
      <c r="O2" s="101">
        <f>VLOOKUP(A2,'BSE ALL CAP'!$B$4:$Y$1038,14,)</f>
        <v>723</v>
      </c>
      <c r="P2" s="95">
        <f>VLOOKUP(A2,'BSE ALL CAP'!$B$4:$Y$1038,15,)</f>
        <v>4.5232321652065081E-2</v>
      </c>
      <c r="Q2" s="95">
        <f>VLOOKUP(A2,'BSE ALL CAP'!$B$4:$Y$1038,16,)</f>
        <v>4.8487164501191386E-2</v>
      </c>
      <c r="R2" s="95">
        <f>VLOOKUP(A2,'BSE ALL CAP'!$B$4:$Y$1038,17,)</f>
        <v>-3.2548428491263048E-3</v>
      </c>
      <c r="S2" s="95">
        <f>VLOOKUP(A2,'BSE ALL CAP'!$B$4:$Y$1038,18,)</f>
        <v>4.7292817679558008E-2</v>
      </c>
      <c r="T2" s="95">
        <f>VLOOKUP(A2,'BSE ALL CAP'!$B$4:$Y$1038,19,)</f>
        <v>4.5266716754320063E-2</v>
      </c>
      <c r="U2" s="95">
        <f>VLOOKUP(A2,'BSE ALL CAP'!$B$4:$Y$1038,20,)</f>
        <v>2.0261009252379447E-3</v>
      </c>
      <c r="V2" s="95">
        <f>VLOOKUP(A2,'BSE ALL CAP'!$B$4:$Y$1038,21,)</f>
        <v>0.14948523130872626</v>
      </c>
      <c r="W2" s="95">
        <f>VLOOKUP(A2,'BSE ALL CAP'!$B$4:$Y$1038,22,)</f>
        <v>7.2322670375521536E-2</v>
      </c>
      <c r="X2" s="95">
        <f>VLOOKUP(A2,'BSE ALL CAP'!$B$4:$Y$1038,23,)</f>
        <v>0.13323315802654645</v>
      </c>
      <c r="Y2" s="95">
        <f>VLOOKUP(A2,'BSE ALL CAP'!$B$4:$Y$1038,24,)</f>
        <v>0.1839557399723375</v>
      </c>
    </row>
    <row r="3" spans="1:25" ht="15.75" customHeight="1">
      <c r="A3" s="99">
        <v>544307</v>
      </c>
      <c r="B3" s="98" t="s">
        <v>4670</v>
      </c>
      <c r="C3" s="101" t="str">
        <f>VLOOKUP(A3,'BSE ALL CAP'!$B$4:$Y$1038,2,)</f>
        <v>Consumer Discretionary</v>
      </c>
      <c r="D3" s="101" t="str">
        <f>VLOOKUP(A3,'BSE ALL CAP'!$B$4:$Y$1038,3,)</f>
        <v>Diversified Retail</v>
      </c>
      <c r="E3" s="101">
        <f ca="1">IFERROR(__xludf.DUMMYFUNCTION("GOOGLEFINANCE(""BOM:""&amp;A3,""PRICE"")"),113)</f>
        <v>113</v>
      </c>
      <c r="F3" s="112">
        <f ca="1">IFERROR(__xludf.DUMMYFUNCTION("GOOGLEFINANCE(""BOM:""&amp;A3,""MARKETCAP"")/10000000"),52829.5891111)</f>
        <v>52829.589111100002</v>
      </c>
      <c r="G3" s="95">
        <f t="shared" ca="1" si="0"/>
        <v>0.14582296027119146</v>
      </c>
      <c r="H3" s="101">
        <f>VLOOKUP(A3,'BSE ALL CAP'!$B$4:$Y$1038,7,)</f>
        <v>9792</v>
      </c>
      <c r="I3" s="101">
        <f>VLOOKUP(A3,'BSE ALL CAP'!$B$4:$Y$1038,8,)</f>
        <v>8168</v>
      </c>
      <c r="J3" s="101">
        <f>VLOOKUP(A3,'BSE ALL CAP'!$B$4:$Y$1038,9,)</f>
        <v>671</v>
      </c>
      <c r="K3" s="101">
        <f>VLOOKUP(A3,'BSE ALL CAP'!$B$4:$Y$1038,10,)</f>
        <v>516</v>
      </c>
      <c r="L3" s="101">
        <f>VLOOKUP(A3,'BSE ALL CAP'!$B$4:$Y$1038,11,)</f>
        <v>3670</v>
      </c>
      <c r="M3" s="101">
        <f>VLOOKUP(A3,'BSE ALL CAP'!$B$4:$Y$1038,12,)</f>
        <v>3135</v>
      </c>
      <c r="N3" s="101">
        <f>VLOOKUP(A3,'BSE ALL CAP'!$B$4:$Y$1038,13,)</f>
        <v>312</v>
      </c>
      <c r="O3" s="101">
        <f>VLOOKUP(A3,'BSE ALL CAP'!$B$4:$Y$1038,14,)</f>
        <v>262</v>
      </c>
      <c r="P3" s="95">
        <f>VLOOKUP(A3,'BSE ALL CAP'!$B$4:$Y$1038,15,)</f>
        <v>6.8525326797385627E-2</v>
      </c>
      <c r="Q3" s="95">
        <f>VLOOKUP(A3,'BSE ALL CAP'!$B$4:$Y$1038,16,)</f>
        <v>6.3173359451518113E-2</v>
      </c>
      <c r="R3" s="95">
        <f>VLOOKUP(A3,'BSE ALL CAP'!$B$4:$Y$1038,17,)</f>
        <v>5.3519673458675143E-3</v>
      </c>
      <c r="S3" s="95">
        <f>VLOOKUP(A3,'BSE ALL CAP'!$B$4:$Y$1038,18,)</f>
        <v>8.5013623978201641E-2</v>
      </c>
      <c r="T3" s="95">
        <f>VLOOKUP(A3,'BSE ALL CAP'!$B$4:$Y$1038,19,)</f>
        <v>8.3572567783094104E-2</v>
      </c>
      <c r="U3" s="95">
        <f>VLOOKUP(A3,'BSE ALL CAP'!$B$4:$Y$1038,20,)</f>
        <v>1.4410561951075374E-3</v>
      </c>
      <c r="V3" s="95">
        <f>VLOOKUP(A3,'BSE ALL CAP'!$B$4:$Y$1038,21,)</f>
        <v>0.19882468168462286</v>
      </c>
      <c r="W3" s="95">
        <f>VLOOKUP(A3,'BSE ALL CAP'!$B$4:$Y$1038,22,)</f>
        <v>0.3003875968992249</v>
      </c>
      <c r="X3" s="95">
        <f>VLOOKUP(A3,'BSE ALL CAP'!$B$4:$Y$1038,23,)</f>
        <v>0.17065390749601272</v>
      </c>
      <c r="Y3" s="95">
        <f>VLOOKUP(A3,'BSE ALL CAP'!$B$4:$Y$1038,24,)</f>
        <v>0.19083969465648853</v>
      </c>
    </row>
    <row r="4" spans="1:25" ht="15.75" customHeight="1">
      <c r="A4" s="99">
        <v>534976</v>
      </c>
      <c r="B4" s="98" t="s">
        <v>4671</v>
      </c>
      <c r="C4" s="101" t="str">
        <f>VLOOKUP(A4,'BSE ALL CAP'!$B$4:$Y$1038,2,)</f>
        <v>Consumer Discretionary</v>
      </c>
      <c r="D4" s="101" t="str">
        <f>VLOOKUP(A4,'BSE ALL CAP'!$B$4:$Y$1038,3,)</f>
        <v>Diversified Retail</v>
      </c>
      <c r="E4" s="101">
        <f ca="1">IFERROR(__xludf.DUMMYFUNCTION("GOOGLEFINANCE(""BOM:""&amp;A4,""PRICE"")"),628.05)</f>
        <v>628.04999999999995</v>
      </c>
      <c r="F4" s="112">
        <f ca="1">IFERROR(__xludf.DUMMYFUNCTION("GOOGLEFINANCE(""BOM:""&amp;A4,""MARKETCAP"")/10000000"),4958.61799)</f>
        <v>4958.6179899999997</v>
      </c>
      <c r="G4" s="95">
        <f t="shared" ca="1" si="0"/>
        <v>1.3687033465945679E-2</v>
      </c>
      <c r="H4" s="101">
        <f>VLOOKUP(A4,'BSE ALL CAP'!$B$4:$Y$1038,7,)</f>
        <v>2818</v>
      </c>
      <c r="I4" s="101">
        <f>VLOOKUP(A4,'BSE ALL CAP'!$B$4:$Y$1038,8,)</f>
        <v>2473</v>
      </c>
      <c r="J4" s="101">
        <f>VLOOKUP(A4,'BSE ALL CAP'!$B$4:$Y$1038,9,)</f>
        <v>112</v>
      </c>
      <c r="K4" s="101">
        <f>VLOOKUP(A4,'BSE ALL CAP'!$B$4:$Y$1038,10,)</f>
        <v>27</v>
      </c>
      <c r="L4" s="101">
        <f>VLOOKUP(A4,'BSE ALL CAP'!$B$4:$Y$1038,11,)</f>
        <v>1126</v>
      </c>
      <c r="M4" s="101">
        <f>VLOOKUP(A4,'BSE ALL CAP'!$B$4:$Y$1038,12,)</f>
        <v>1026</v>
      </c>
      <c r="N4" s="101">
        <f>VLOOKUP(A4,'BSE ALL CAP'!$B$4:$Y$1038,13,)</f>
        <v>87</v>
      </c>
      <c r="O4" s="101">
        <f>VLOOKUP(A4,'BSE ALL CAP'!$B$4:$Y$1038,14,)</f>
        <v>71</v>
      </c>
      <c r="P4" s="95">
        <f>VLOOKUP(A4,'BSE ALL CAP'!$B$4:$Y$1038,15,)</f>
        <v>3.9744499645138397E-2</v>
      </c>
      <c r="Q4" s="95">
        <f>VLOOKUP(A4,'BSE ALL CAP'!$B$4:$Y$1038,16,)</f>
        <v>1.0917913465426607E-2</v>
      </c>
      <c r="R4" s="95">
        <f>VLOOKUP(A4,'BSE ALL CAP'!$B$4:$Y$1038,17,)</f>
        <v>2.8826586179711788E-2</v>
      </c>
      <c r="S4" s="95">
        <f>VLOOKUP(A4,'BSE ALL CAP'!$B$4:$Y$1038,18,)</f>
        <v>7.7264653641207812E-2</v>
      </c>
      <c r="T4" s="95">
        <f>VLOOKUP(A4,'BSE ALL CAP'!$B$4:$Y$1038,19,)</f>
        <v>6.9200779727095513E-2</v>
      </c>
      <c r="U4" s="95">
        <f>VLOOKUP(A4,'BSE ALL CAP'!$B$4:$Y$1038,20,)</f>
        <v>8.0638739141122989E-3</v>
      </c>
      <c r="V4" s="95">
        <f>VLOOKUP(A4,'BSE ALL CAP'!$B$4:$Y$1038,21,)</f>
        <v>0.13950667205822898</v>
      </c>
      <c r="W4" s="95">
        <f>VLOOKUP(A4,'BSE ALL CAP'!$B$4:$Y$1038,22,)</f>
        <v>3.1481481481481479</v>
      </c>
      <c r="X4" s="95">
        <f>VLOOKUP(A4,'BSE ALL CAP'!$B$4:$Y$1038,23,)</f>
        <v>9.7465886939571256E-2</v>
      </c>
      <c r="Y4" s="95">
        <f>VLOOKUP(A4,'BSE ALL CAP'!$B$4:$Y$1038,24,)</f>
        <v>0.22535211267605626</v>
      </c>
    </row>
    <row r="5" spans="1:25" ht="15.75" customHeight="1">
      <c r="A5" s="99">
        <v>532638</v>
      </c>
      <c r="B5" s="98" t="s">
        <v>4672</v>
      </c>
      <c r="C5" s="101" t="str">
        <f>VLOOKUP(A5,'BSE ALL CAP'!$B$4:$Y$1038,2,)</f>
        <v>Consumer Discretionary</v>
      </c>
      <c r="D5" s="101" t="str">
        <f>VLOOKUP(A5,'BSE ALL CAP'!$B$4:$Y$1038,3,)</f>
        <v>Diversified Retail</v>
      </c>
      <c r="E5" s="101">
        <f ca="1">IFERROR(__xludf.DUMMYFUNCTION("GOOGLEFINANCE(""BOM:""&amp;A5,""PRICE"")"),300.1)</f>
        <v>300.10000000000002</v>
      </c>
      <c r="F5" s="112">
        <f ca="1">IFERROR(__xludf.DUMMYFUNCTION("GOOGLEFINANCE(""BOM:""&amp;A5,""MARKETCAP"")/10000000"),3308.4744129)</f>
        <v>3308.4744129000001</v>
      </c>
      <c r="G5" s="95">
        <f t="shared" ca="1" si="0"/>
        <v>9.1322219420631925E-3</v>
      </c>
      <c r="H5" s="101">
        <f>VLOOKUP(A5,'BSE ALL CAP'!$B$4:$Y$1038,7,)</f>
        <v>3834</v>
      </c>
      <c r="I5" s="101">
        <f>VLOOKUP(A5,'BSE ALL CAP'!$B$4:$Y$1038,8,)</f>
        <v>3564</v>
      </c>
      <c r="J5" s="101">
        <f>VLOOKUP(A5,'BSE ALL CAP'!$B$4:$Y$1038,9,)</f>
        <v>-20</v>
      </c>
      <c r="K5" s="101">
        <f>VLOOKUP(A5,'BSE ALL CAP'!$B$4:$Y$1038,10,)</f>
        <v>9</v>
      </c>
      <c r="L5" s="101">
        <f>VLOOKUP(A5,'BSE ALL CAP'!$B$4:$Y$1038,11,)</f>
        <v>1416</v>
      </c>
      <c r="M5" s="101">
        <f>VLOOKUP(A5,'BSE ALL CAP'!$B$4:$Y$1038,12,)</f>
        <v>1379</v>
      </c>
      <c r="N5" s="101">
        <f>VLOOKUP(A5,'BSE ALL CAP'!$B$4:$Y$1038,13,)</f>
        <v>16</v>
      </c>
      <c r="O5" s="101">
        <f>VLOOKUP(A5,'BSE ALL CAP'!$B$4:$Y$1038,14,)</f>
        <v>52</v>
      </c>
      <c r="P5" s="95">
        <f>VLOOKUP(A5,'BSE ALL CAP'!$B$4:$Y$1038,15,)</f>
        <v>-5.2164840897235268E-3</v>
      </c>
      <c r="Q5" s="95">
        <f>VLOOKUP(A5,'BSE ALL CAP'!$B$4:$Y$1038,16,)</f>
        <v>2.5252525252525255E-3</v>
      </c>
      <c r="R5" s="95">
        <f>VLOOKUP(A5,'BSE ALL CAP'!$B$4:$Y$1038,17,)</f>
        <v>-7.7417366149760518E-3</v>
      </c>
      <c r="S5" s="95">
        <f>VLOOKUP(A5,'BSE ALL CAP'!$B$4:$Y$1038,18,)</f>
        <v>1.1299435028248588E-2</v>
      </c>
      <c r="T5" s="95">
        <f>VLOOKUP(A5,'BSE ALL CAP'!$B$4:$Y$1038,19,)</f>
        <v>3.7708484408992021E-2</v>
      </c>
      <c r="U5" s="95">
        <f>VLOOKUP(A5,'BSE ALL CAP'!$B$4:$Y$1038,20,)</f>
        <v>-2.6409049380743434E-2</v>
      </c>
      <c r="V5" s="95">
        <f>VLOOKUP(A5,'BSE ALL CAP'!$B$4:$Y$1038,21,)</f>
        <v>7.575757575757569E-2</v>
      </c>
      <c r="W5" s="95">
        <f>VLOOKUP(A5,'BSE ALL CAP'!$B$4:$Y$1038,22,)</f>
        <v>-3.2222222222222223</v>
      </c>
      <c r="X5" s="95">
        <f>VLOOKUP(A5,'BSE ALL CAP'!$B$4:$Y$1038,23,)</f>
        <v>2.6831036983321344E-2</v>
      </c>
      <c r="Y5" s="95">
        <f>VLOOKUP(A5,'BSE ALL CAP'!$B$4:$Y$1038,24,)</f>
        <v>-0.69230769230769229</v>
      </c>
    </row>
    <row r="6" spans="1:25" ht="15.75" customHeight="1">
      <c r="A6" s="99">
        <v>543626</v>
      </c>
      <c r="B6" s="98" t="s">
        <v>4673</v>
      </c>
      <c r="C6" s="101" t="str">
        <f>VLOOKUP(A6,'BSE ALL CAP'!$B$4:$Y$1038,2,)</f>
        <v>Consumer Discretionary</v>
      </c>
      <c r="D6" s="101" t="str">
        <f>VLOOKUP(A6,'BSE ALL CAP'!$B$4:$Y$1038,3,)</f>
        <v>Diversified Retail</v>
      </c>
      <c r="E6" s="101">
        <f ca="1">IFERROR(__xludf.DUMMYFUNCTION("GOOGLEFINANCE(""BOM:""&amp;A6,""PRICE"")"),96)</f>
        <v>96</v>
      </c>
      <c r="F6" s="112">
        <f ca="1">IFERROR(__xludf.DUMMYFUNCTION("GOOGLEFINANCE(""BOM:""&amp;A6,""MARKETCAP"")/10000000"),3687.4313999)</f>
        <v>3687.4313999000001</v>
      </c>
      <c r="G6" s="95">
        <f t="shared" ca="1" si="0"/>
        <v>1.0178238588976327E-2</v>
      </c>
      <c r="H6" s="101">
        <f>VLOOKUP(A6,'BSE ALL CAP'!$B$4:$Y$1038,7,)</f>
        <v>5270</v>
      </c>
      <c r="I6" s="101">
        <f>VLOOKUP(A6,'BSE ALL CAP'!$B$4:$Y$1038,8,)</f>
        <v>5067</v>
      </c>
      <c r="J6" s="101">
        <f>VLOOKUP(A6,'BSE ALL CAP'!$B$4:$Y$1038,9,)</f>
        <v>67</v>
      </c>
      <c r="K6" s="101">
        <f>VLOOKUP(A6,'BSE ALL CAP'!$B$4:$Y$1038,10,)</f>
        <v>133</v>
      </c>
      <c r="L6" s="101">
        <f>VLOOKUP(A6,'BSE ALL CAP'!$B$4:$Y$1038,11,)</f>
        <v>1939</v>
      </c>
      <c r="M6" s="101">
        <f>VLOOKUP(A6,'BSE ALL CAP'!$B$4:$Y$1038,12,)</f>
        <v>1804</v>
      </c>
      <c r="N6" s="101">
        <f>VLOOKUP(A6,'BSE ALL CAP'!$B$4:$Y$1038,13,)</f>
        <v>29</v>
      </c>
      <c r="O6" s="101">
        <f>VLOOKUP(A6,'BSE ALL CAP'!$B$4:$Y$1038,14,)</f>
        <v>33</v>
      </c>
      <c r="P6" s="95">
        <f>VLOOKUP(A6,'BSE ALL CAP'!$B$4:$Y$1038,15,)</f>
        <v>1.2713472485768502E-2</v>
      </c>
      <c r="Q6" s="95">
        <f>VLOOKUP(A6,'BSE ALL CAP'!$B$4:$Y$1038,16,)</f>
        <v>2.6248273139925005E-2</v>
      </c>
      <c r="R6" s="95">
        <f>VLOOKUP(A6,'BSE ALL CAP'!$B$4:$Y$1038,17,)</f>
        <v>-1.3534800654156503E-2</v>
      </c>
      <c r="S6" s="95">
        <f>VLOOKUP(A6,'BSE ALL CAP'!$B$4:$Y$1038,18,)</f>
        <v>1.4956162970603403E-2</v>
      </c>
      <c r="T6" s="95">
        <f>VLOOKUP(A6,'BSE ALL CAP'!$B$4:$Y$1038,19,)</f>
        <v>1.8292682926829267E-2</v>
      </c>
      <c r="U6" s="95">
        <f>VLOOKUP(A6,'BSE ALL CAP'!$B$4:$Y$1038,20,)</f>
        <v>-3.3365199562258637E-3</v>
      </c>
      <c r="V6" s="95">
        <f>VLOOKUP(A6,'BSE ALL CAP'!$B$4:$Y$1038,21,)</f>
        <v>4.0063153739885449E-2</v>
      </c>
      <c r="W6" s="95">
        <f>VLOOKUP(A6,'BSE ALL CAP'!$B$4:$Y$1038,22,)</f>
        <v>-0.49624060150375937</v>
      </c>
      <c r="X6" s="95">
        <f>VLOOKUP(A6,'BSE ALL CAP'!$B$4:$Y$1038,23,)</f>
        <v>7.4833702882483477E-2</v>
      </c>
      <c r="Y6" s="95">
        <f>VLOOKUP(A6,'BSE ALL CAP'!$B$4:$Y$1038,24,)</f>
        <v>-0.12121212121212122</v>
      </c>
    </row>
    <row r="7" spans="1:25" ht="15.75" customHeight="1">
      <c r="A7" s="99">
        <v>544487</v>
      </c>
      <c r="B7" s="98" t="s">
        <v>4674</v>
      </c>
      <c r="C7" s="101"/>
      <c r="D7" s="101"/>
      <c r="E7" s="101">
        <f ca="1">IFERROR(__xludf.DUMMYFUNCTION("GOOGLEFINANCE(""BOM:""&amp;A7,""PRICE"")"),174.45)</f>
        <v>174.45</v>
      </c>
      <c r="F7" s="112">
        <f ca="1">IFERROR(__xludf.DUMMYFUNCTION("GOOGLEFINANCE(""BOM:""&amp;A7,""MARKETCAP"")/10000000"),582.4716662)</f>
        <v>582.47166619999996</v>
      </c>
      <c r="G7" s="95">
        <f t="shared" ca="1" si="0"/>
        <v>1.6077683750436562E-3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542337</v>
      </c>
      <c r="B8" s="98" t="s">
        <v>4675</v>
      </c>
      <c r="C8" s="101"/>
      <c r="D8" s="101"/>
      <c r="E8" s="101">
        <f ca="1">IFERROR(__xludf.DUMMYFUNCTION("GOOGLEFINANCE(""BOM:""&amp;A8,""PRICE"")"),29.97)</f>
        <v>29.97</v>
      </c>
      <c r="F8" s="112">
        <f ca="1">IFERROR(__xludf.DUMMYFUNCTION("GOOGLEFINANCE(""BOM:""&amp;A8,""MARKETCAP"")/10000000"),272.4663583)</f>
        <v>272.46635830000002</v>
      </c>
      <c r="G8" s="95">
        <f t="shared" ca="1" si="0"/>
        <v>7.5207571382131147E-4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544514</v>
      </c>
      <c r="B9" s="98" t="s">
        <v>4676</v>
      </c>
      <c r="C9" s="101"/>
      <c r="D9" s="101"/>
      <c r="E9" s="101">
        <f ca="1">IFERROR(__xludf.DUMMYFUNCTION("GOOGLEFINANCE(""BOM:""&amp;A9,""PRICE"")"),199.6)</f>
        <v>199.6</v>
      </c>
      <c r="F9" s="112">
        <f ca="1">IFERROR(__xludf.DUMMYFUNCTION("GOOGLEFINANCE(""BOM:""&amp;A9,""MARKETCAP"")/10000000"),177.2439072)</f>
        <v>177.2439072</v>
      </c>
      <c r="G9" s="95">
        <f t="shared" ca="1" si="0"/>
        <v>4.8923778649086268E-4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540146</v>
      </c>
      <c r="B10" s="98" t="s">
        <v>4677</v>
      </c>
      <c r="C10" s="101"/>
      <c r="D10" s="101"/>
      <c r="E10" s="101">
        <f ca="1">IFERROR(__xludf.DUMMYFUNCTION("GOOGLEFINANCE(""BOM:""&amp;A10,""PRICE"")"),35.98)</f>
        <v>35.979999999999997</v>
      </c>
      <c r="F10" s="112">
        <f ca="1">IFERROR(__xludf.DUMMYFUNCTION("GOOGLEFINANCE(""BOM:""&amp;A10,""MARKETCAP"")/10000000"),52.65272)</f>
        <v>52.652720000000002</v>
      </c>
      <c r="G10" s="95">
        <f t="shared" ca="1" si="0"/>
        <v>1.4533475701625231E-4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523574</v>
      </c>
      <c r="B11" s="98" t="s">
        <v>4678</v>
      </c>
      <c r="C11" s="101"/>
      <c r="D11" s="101"/>
      <c r="E11" s="101">
        <f ca="1">IFERROR(__xludf.DUMMYFUNCTION("GOOGLEFINANCE(""BOM:""&amp;A11,""PRICE"")"),0.49)</f>
        <v>0.49</v>
      </c>
      <c r="F11" s="112">
        <f ca="1">IFERROR(__xludf.DUMMYFUNCTION("GOOGLEFINANCE(""BOM:""&amp;A11,""MARKETCAP"")/10000000"),27.5247705)</f>
        <v>27.524770499999999</v>
      </c>
      <c r="G11" s="95">
        <f t="shared" ca="1" si="0"/>
        <v>7.5975293062649171E-5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570002</v>
      </c>
      <c r="B12" s="98" t="s">
        <v>4679</v>
      </c>
      <c r="C12" s="101"/>
      <c r="D12" s="101"/>
      <c r="E12" s="101">
        <f ca="1">IFERROR(__xludf.DUMMYFUNCTION("GOOGLEFINANCE(""BOM:""&amp;A12,""PRICE"")"),2.7)</f>
        <v>2.7</v>
      </c>
      <c r="F12" s="112">
        <f ca="1">IFERROR(__xludf.DUMMYFUNCTION("GOOGLEFINANCE(""BOM:""&amp;A12,""MARKETCAP"")/10000000"),27.5247705)</f>
        <v>27.524770499999999</v>
      </c>
      <c r="G12" s="95">
        <f t="shared" ca="1" si="0"/>
        <v>7.5975293062649171E-5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536507</v>
      </c>
      <c r="B13" s="98" t="s">
        <v>4680</v>
      </c>
      <c r="C13" s="101"/>
      <c r="D13" s="101"/>
      <c r="E13" s="101">
        <f ca="1">IFERROR(__xludf.DUMMYFUNCTION("GOOGLEFINANCE(""BOM:""&amp;A13,""PRICE"")"),1.2)</f>
        <v>1.2</v>
      </c>
      <c r="F13" s="112">
        <f ca="1">IFERROR(__xludf.DUMMYFUNCTION("GOOGLEFINANCE(""BOM:""&amp;A13,""MARKETCAP"")/10000000"),24.1693089)</f>
        <v>24.169308900000001</v>
      </c>
      <c r="G13" s="95">
        <f t="shared" ca="1" si="0"/>
        <v>6.6713374660079189E-5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544197</v>
      </c>
      <c r="B14" s="98" t="s">
        <v>4681</v>
      </c>
      <c r="C14" s="101"/>
      <c r="D14" s="101"/>
      <c r="E14" s="101">
        <f ca="1">IFERROR(__xludf.DUMMYFUNCTION("GOOGLEFINANCE(""BOM:""&amp;A14,""PRICE"")"),18.04)</f>
        <v>18.04</v>
      </c>
      <c r="F14" s="112">
        <f ca="1">IFERROR(__xludf.DUMMYFUNCTION("GOOGLEFINANCE(""BOM:""&amp;A14,""MARKETCAP"")/10000000"),12.3503469)</f>
        <v>12.3503469</v>
      </c>
      <c r="G14" s="95">
        <f t="shared" ca="1" si="0"/>
        <v>3.4090065352329851E-5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534708</v>
      </c>
      <c r="B15" s="98" t="s">
        <v>4682</v>
      </c>
      <c r="C15" s="101"/>
      <c r="D15" s="101"/>
      <c r="E15" s="101">
        <f ca="1">IFERROR(__xludf.DUMMYFUNCTION("GOOGLEFINANCE(""BOM:""&amp;A15,""PRICE"")"),8.37)</f>
        <v>8.3699999999999992</v>
      </c>
      <c r="F15" s="112">
        <f ca="1">IFERROR(__xludf.DUMMYFUNCTION("GOOGLEFINANCE(""BOM:""&amp;A15,""MARKETCAP"")/10000000"),9.83569)</f>
        <v>9.8356899999999996</v>
      </c>
      <c r="G15" s="95">
        <f t="shared" ca="1" si="0"/>
        <v>2.7148979506418332E-5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>
      <c r="A16" s="101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>
      <c r="A17" s="101"/>
      <c r="B17" s="101"/>
      <c r="C17" s="101"/>
      <c r="D17" s="101"/>
      <c r="E17" s="101"/>
      <c r="F17" s="112">
        <f ca="1">SUM(F1:F15)</f>
        <v>362285.80885240011</v>
      </c>
      <c r="G17" s="95">
        <f ca="1">F17/$F$17</f>
        <v>1</v>
      </c>
      <c r="H17" s="101">
        <f t="shared" ref="H17:O17" si="1">SUM(H2:H15)</f>
        <v>72850</v>
      </c>
      <c r="I17" s="101">
        <f t="shared" si="1"/>
        <v>63758</v>
      </c>
      <c r="J17" s="101">
        <f t="shared" si="1"/>
        <v>3143</v>
      </c>
      <c r="K17" s="101">
        <f t="shared" si="1"/>
        <v>2842</v>
      </c>
      <c r="L17" s="101">
        <f t="shared" si="1"/>
        <v>26251</v>
      </c>
      <c r="M17" s="101">
        <f t="shared" si="1"/>
        <v>23316</v>
      </c>
      <c r="N17" s="101">
        <f t="shared" si="1"/>
        <v>1300</v>
      </c>
      <c r="O17" s="101">
        <f t="shared" si="1"/>
        <v>1141</v>
      </c>
      <c r="P17" s="95">
        <f t="shared" ref="P17:Q17" si="2">J17/H17</f>
        <v>4.3143445435827044E-2</v>
      </c>
      <c r="Q17" s="95">
        <f t="shared" si="2"/>
        <v>4.4574798456664261E-2</v>
      </c>
      <c r="R17" s="95">
        <f>P17-Q17</f>
        <v>-1.4313530208372172E-3</v>
      </c>
      <c r="S17" s="95">
        <f t="shared" ref="S17:T17" si="3">N17/L17</f>
        <v>4.9521922974362878E-2</v>
      </c>
      <c r="T17" s="95">
        <f t="shared" si="3"/>
        <v>4.8936352719162808E-2</v>
      </c>
      <c r="U17" s="95">
        <f>S17-T17</f>
        <v>5.8557025520006994E-4</v>
      </c>
      <c r="V17" s="95">
        <f>(H17/I17)-1</f>
        <v>0.14260171272624622</v>
      </c>
      <c r="W17" s="95">
        <f>(J17/K17)-1</f>
        <v>0.10591133004926112</v>
      </c>
      <c r="X17" s="95">
        <f>(L17/M17)-1</f>
        <v>0.12587922456682099</v>
      </c>
      <c r="Y17" s="95">
        <f>(N17/O17)-1</f>
        <v>0.13935144609991235</v>
      </c>
    </row>
  </sheetData>
  <autoFilter ref="A1:Y15" xr:uid="{00000000-0009-0000-0000-000096000000}"/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500295</v>
      </c>
      <c r="B2" s="98" t="s">
        <v>4683</v>
      </c>
      <c r="C2" s="101" t="str">
        <f>VLOOKUP(A2,'BSE ALL CAP'!$B$4:$Y$1038,2,)</f>
        <v>Commodities</v>
      </c>
      <c r="D2" s="101" t="str">
        <f>VLOOKUP(A2,'BSE ALL CAP'!$B$4:$Y$1038,3,)</f>
        <v>Diversified Metals</v>
      </c>
      <c r="E2" s="101">
        <f ca="1">IFERROR(__xludf.DUMMYFUNCTION("GOOGLEFINANCE(""BOM:""&amp;A2,""PRICE"")"),690.95)</f>
        <v>690.95</v>
      </c>
      <c r="F2" s="112">
        <f ca="1">IFERROR(__xludf.DUMMYFUNCTION("GOOGLEFINANCE(""BOM:""&amp;A2,""MARKETCAP"")/10000000"),269396.5871577)</f>
        <v>269396.58715769998</v>
      </c>
      <c r="G2" s="95">
        <f t="shared" ref="G2:G5" ca="1" si="0">F2/$F$7</f>
        <v>0.93397217336434879</v>
      </c>
      <c r="H2" s="101">
        <f>VLOOKUP(A2,'BSE ALL CAP'!$B$4:$Y$1038,7,)</f>
        <v>59900</v>
      </c>
      <c r="I2" s="101">
        <f>VLOOKUP(A2,'BSE ALL CAP'!$B$4:$Y$1038,8,)</f>
        <v>50666</v>
      </c>
      <c r="J2" s="101">
        <f>VLOOKUP(A2,'BSE ALL CAP'!$B$4:$Y$1038,9,)</f>
        <v>15744</v>
      </c>
      <c r="K2" s="101">
        <f>VLOOKUP(A2,'BSE ALL CAP'!$B$4:$Y$1038,10,)</f>
        <v>15574</v>
      </c>
      <c r="L2" s="101">
        <f>VLOOKUP(A2,'BSE ALL CAP'!$B$4:$Y$1038,11,)</f>
        <v>23369</v>
      </c>
      <c r="M2" s="101">
        <f>VLOOKUP(A2,'BSE ALL CAP'!$B$4:$Y$1038,12,)</f>
        <v>17063</v>
      </c>
      <c r="N2" s="101">
        <f>VLOOKUP(A2,'BSE ALL CAP'!$B$4:$Y$1038,13,)</f>
        <v>7807</v>
      </c>
      <c r="O2" s="101">
        <f>VLOOKUP(A2,'BSE ALL CAP'!$B$4:$Y$1038,14,)</f>
        <v>4876</v>
      </c>
      <c r="P2" s="95">
        <f>VLOOKUP(A2,'BSE ALL CAP'!$B$4:$Y$1038,15,)</f>
        <v>0.26283806343906513</v>
      </c>
      <c r="Q2" s="95">
        <f>VLOOKUP(A2,'BSE ALL CAP'!$B$4:$Y$1038,16,)</f>
        <v>0.307385623495046</v>
      </c>
      <c r="R2" s="95">
        <f>VLOOKUP(A2,'BSE ALL CAP'!$B$4:$Y$1038,17,)</f>
        <v>-4.4547560055980873E-2</v>
      </c>
      <c r="S2" s="95">
        <f>VLOOKUP(A2,'BSE ALL CAP'!$B$4:$Y$1038,18,)</f>
        <v>0.33407505669904575</v>
      </c>
      <c r="T2" s="95">
        <f>VLOOKUP(A2,'BSE ALL CAP'!$B$4:$Y$1038,19,)</f>
        <v>0.28576451972103384</v>
      </c>
      <c r="U2" s="95">
        <f>VLOOKUP(A2,'BSE ALL CAP'!$B$4:$Y$1038,20,)</f>
        <v>4.8310536978011909E-2</v>
      </c>
      <c r="V2" s="95">
        <f>VLOOKUP(A2,'BSE ALL CAP'!$B$4:$Y$1038,21,)</f>
        <v>0.18225239805786919</v>
      </c>
      <c r="W2" s="95">
        <f>VLOOKUP(A2,'BSE ALL CAP'!$B$4:$Y$1038,22,)</f>
        <v>1.0915628611788852E-2</v>
      </c>
      <c r="X2" s="95">
        <f>VLOOKUP(A2,'BSE ALL CAP'!$B$4:$Y$1038,23,)</f>
        <v>0.36957158764578324</v>
      </c>
      <c r="Y2" s="95">
        <f>VLOOKUP(A2,'BSE ALL CAP'!$B$4:$Y$1038,24,)</f>
        <v>0.60110746513535696</v>
      </c>
    </row>
    <row r="3" spans="1:25" ht="15.75" customHeight="1">
      <c r="A3" s="99">
        <v>544537</v>
      </c>
      <c r="B3" s="98" t="s">
        <v>4684</v>
      </c>
      <c r="C3" s="101" t="e">
        <f>VLOOKUP(A3,'BSE ALL CAP'!$B$4:$Y$1038,2,)</f>
        <v>#N/A</v>
      </c>
      <c r="D3" s="101" t="e">
        <f>VLOOKUP(A3,'BSE ALL CAP'!$B$4:$Y$1038,3,)</f>
        <v>#N/A</v>
      </c>
      <c r="E3" s="101">
        <f ca="1">IFERROR(__xludf.DUMMYFUNCTION("GOOGLEFINANCE(""BOM:""&amp;A3,""PRICE"")"),455.35)</f>
        <v>455.35</v>
      </c>
      <c r="F3" s="112">
        <f ca="1">IFERROR(__xludf.DUMMYFUNCTION("GOOGLEFINANCE(""BOM:""&amp;A3,""MARKETCAP"")/10000000"),15723.597495)</f>
        <v>15723.597495</v>
      </c>
      <c r="G3" s="95">
        <f t="shared" ca="1" si="0"/>
        <v>5.4512207004741325E-2</v>
      </c>
      <c r="H3" s="101"/>
      <c r="I3" s="101"/>
      <c r="J3" s="101"/>
      <c r="K3" s="101"/>
      <c r="L3" s="101"/>
      <c r="M3" s="101"/>
      <c r="N3" s="101"/>
      <c r="O3" s="101"/>
      <c r="P3" s="101" t="e">
        <f>VLOOKUP(A3,'BSE ALL CAP'!$B$4:$Y$1038,15,)</f>
        <v>#N/A</v>
      </c>
      <c r="Q3" s="101" t="e">
        <f>VLOOKUP(A3,'BSE ALL CAP'!$B$4:$Y$1038,16,)</f>
        <v>#N/A</v>
      </c>
      <c r="R3" s="101" t="e">
        <f>VLOOKUP(A3,'BSE ALL CAP'!$B$4:$Y$1038,17,)</f>
        <v>#N/A</v>
      </c>
      <c r="S3" s="101" t="e">
        <f>VLOOKUP(A3,'BSE ALL CAP'!$B$4:$Y$1038,18,)</f>
        <v>#N/A</v>
      </c>
      <c r="T3" s="101" t="e">
        <f>VLOOKUP(A3,'BSE ALL CAP'!$B$4:$Y$1038,19,)</f>
        <v>#N/A</v>
      </c>
      <c r="U3" s="101" t="e">
        <f>VLOOKUP(A3,'BSE ALL CAP'!$B$4:$Y$1038,20,)</f>
        <v>#N/A</v>
      </c>
      <c r="V3" s="101" t="e">
        <f>VLOOKUP(A3,'BSE ALL CAP'!$B$4:$Y$1038,21,)</f>
        <v>#N/A</v>
      </c>
      <c r="W3" s="101" t="e">
        <f>VLOOKUP(A3,'BSE ALL CAP'!$B$4:$Y$1038,22,)</f>
        <v>#N/A</v>
      </c>
      <c r="X3" s="101" t="e">
        <f>VLOOKUP(A3,'BSE ALL CAP'!$B$4:$Y$1038,23,)</f>
        <v>#N/A</v>
      </c>
      <c r="Y3" s="101" t="e">
        <f>VLOOKUP(A3,'BSE ALL CAP'!$B$4:$Y$1038,24,)</f>
        <v>#N/A</v>
      </c>
    </row>
    <row r="4" spans="1:25" ht="15.75" customHeight="1">
      <c r="A4" s="99">
        <v>532626</v>
      </c>
      <c r="B4" s="98" t="s">
        <v>4685</v>
      </c>
      <c r="C4" s="101" t="str">
        <f>VLOOKUP(A4,'BSE ALL CAP'!$B$4:$Y$1038,2,)</f>
        <v>Commodities</v>
      </c>
      <c r="D4" s="101" t="str">
        <f>VLOOKUP(A4,'BSE ALL CAP'!$B$4:$Y$1038,3,)</f>
        <v>Diversified Metals</v>
      </c>
      <c r="E4" s="101">
        <f ca="1">IFERROR(__xludf.DUMMYFUNCTION("GOOGLEFINANCE(""BOM:""&amp;A4,""PRICE"")"),1090.75)</f>
        <v>1090.75</v>
      </c>
      <c r="F4" s="112">
        <f ca="1">IFERROR(__xludf.DUMMYFUNCTION("GOOGLEFINANCE(""BOM:""&amp;A4,""MARKETCAP"")/10000000"),3321.5857132)</f>
        <v>3321.5857132000001</v>
      </c>
      <c r="G4" s="95">
        <f t="shared" ca="1" si="0"/>
        <v>1.1515619630910029E-2</v>
      </c>
      <c r="H4" s="101">
        <f>VLOOKUP(A4,'BSE ALL CAP'!$B$4:$Y$1038,7,)</f>
        <v>2023</v>
      </c>
      <c r="I4" s="101">
        <f>VLOOKUP(A4,'BSE ALL CAP'!$B$4:$Y$1038,8,)</f>
        <v>1533</v>
      </c>
      <c r="J4" s="101">
        <f>VLOOKUP(A4,'BSE ALL CAP'!$B$4:$Y$1038,9,)</f>
        <v>94</v>
      </c>
      <c r="K4" s="101">
        <f>VLOOKUP(A4,'BSE ALL CAP'!$B$4:$Y$1038,10,)</f>
        <v>41</v>
      </c>
      <c r="L4" s="101">
        <f>VLOOKUP(A4,'BSE ALL CAP'!$B$4:$Y$1038,11,)</f>
        <v>779</v>
      </c>
      <c r="M4" s="101">
        <f>VLOOKUP(A4,'BSE ALL CAP'!$B$4:$Y$1038,12,)</f>
        <v>509</v>
      </c>
      <c r="N4" s="101">
        <f>VLOOKUP(A4,'BSE ALL CAP'!$B$4:$Y$1038,13,)</f>
        <v>35</v>
      </c>
      <c r="O4" s="101">
        <f>VLOOKUP(A4,'BSE ALL CAP'!$B$4:$Y$1038,14,)</f>
        <v>13</v>
      </c>
      <c r="P4" s="95">
        <f>VLOOKUP(A4,'BSE ALL CAP'!$B$4:$Y$1038,15,)</f>
        <v>4.6465645081562035E-2</v>
      </c>
      <c r="Q4" s="95">
        <f>VLOOKUP(A4,'BSE ALL CAP'!$B$4:$Y$1038,16,)</f>
        <v>2.674494455316373E-2</v>
      </c>
      <c r="R4" s="95">
        <f>VLOOKUP(A4,'BSE ALL CAP'!$B$4:$Y$1038,17,)</f>
        <v>1.9720700528398305E-2</v>
      </c>
      <c r="S4" s="95">
        <f>VLOOKUP(A4,'BSE ALL CAP'!$B$4:$Y$1038,18,)</f>
        <v>4.4929396662387676E-2</v>
      </c>
      <c r="T4" s="95">
        <f>VLOOKUP(A4,'BSE ALL CAP'!$B$4:$Y$1038,19,)</f>
        <v>2.5540275049115914E-2</v>
      </c>
      <c r="U4" s="95">
        <f>VLOOKUP(A4,'BSE ALL CAP'!$B$4:$Y$1038,20,)</f>
        <v>1.9389121613271762E-2</v>
      </c>
      <c r="V4" s="95">
        <f>VLOOKUP(A4,'BSE ALL CAP'!$B$4:$Y$1038,21,)</f>
        <v>0.31963470319634713</v>
      </c>
      <c r="W4" s="95">
        <f>VLOOKUP(A4,'BSE ALL CAP'!$B$4:$Y$1038,22,)</f>
        <v>1.2926829268292681</v>
      </c>
      <c r="X4" s="95">
        <f>VLOOKUP(A4,'BSE ALL CAP'!$B$4:$Y$1038,23,)</f>
        <v>0.53045186640471509</v>
      </c>
      <c r="Y4" s="95">
        <f>VLOOKUP(A4,'BSE ALL CAP'!$B$4:$Y$1038,24,)</f>
        <v>1.6923076923076925</v>
      </c>
    </row>
    <row r="5" spans="1:25" ht="15.75" customHeight="1">
      <c r="A5" s="99">
        <v>543211</v>
      </c>
      <c r="B5" s="98" t="s">
        <v>1599</v>
      </c>
      <c r="C5" s="101"/>
      <c r="D5" s="101"/>
      <c r="E5" s="101">
        <f ca="1">IFERROR(__xludf.DUMMYFUNCTION("GOOGLEFINANCE(""BOM:""&amp;A5,""PRICE"")"),37.4)</f>
        <v>37.4</v>
      </c>
      <c r="F5" s="112"/>
      <c r="G5" s="95">
        <f t="shared" ca="1" si="0"/>
        <v>0</v>
      </c>
      <c r="H5" s="101"/>
      <c r="I5" s="101"/>
      <c r="J5" s="101"/>
      <c r="K5" s="101"/>
      <c r="L5" s="101"/>
      <c r="M5" s="101"/>
      <c r="N5" s="101"/>
      <c r="O5" s="101"/>
      <c r="P5" s="101" t="e">
        <f>VLOOKUP(A5,'BSE ALL CAP'!$B$4:$Y$1038,15,)</f>
        <v>#N/A</v>
      </c>
      <c r="Q5" s="101" t="e">
        <f>VLOOKUP(A5,'BSE ALL CAP'!$B$4:$Y$1038,16,)</f>
        <v>#N/A</v>
      </c>
      <c r="R5" s="101" t="e">
        <f>VLOOKUP(A5,'BSE ALL CAP'!$B$4:$Y$1038,17,)</f>
        <v>#N/A</v>
      </c>
      <c r="S5" s="101" t="e">
        <f>VLOOKUP(A5,'BSE ALL CAP'!$B$4:$Y$1038,18,)</f>
        <v>#N/A</v>
      </c>
      <c r="T5" s="101" t="e">
        <f>VLOOKUP(A5,'BSE ALL CAP'!$B$4:$Y$1038,19,)</f>
        <v>#N/A</v>
      </c>
      <c r="U5" s="101" t="e">
        <f>VLOOKUP(A5,'BSE ALL CAP'!$B$4:$Y$1038,20,)</f>
        <v>#N/A</v>
      </c>
      <c r="V5" s="101" t="e">
        <f>VLOOKUP(A5,'BSE ALL CAP'!$B$4:$Y$1038,21,)</f>
        <v>#N/A</v>
      </c>
      <c r="W5" s="101" t="e">
        <f>VLOOKUP(A5,'BSE ALL CAP'!$B$4:$Y$1038,22,)</f>
        <v>#N/A</v>
      </c>
      <c r="X5" s="101" t="e">
        <f>VLOOKUP(A5,'BSE ALL CAP'!$B$4:$Y$1038,23,)</f>
        <v>#N/A</v>
      </c>
      <c r="Y5" s="101" t="e">
        <f>VLOOKUP(A5,'BSE ALL CAP'!$B$4:$Y$1038,24,)</f>
        <v>#N/A</v>
      </c>
    </row>
    <row r="6" spans="1:25">
      <c r="A6" s="101"/>
      <c r="B6" s="101"/>
      <c r="C6" s="101"/>
      <c r="D6" s="101"/>
      <c r="E6" s="101"/>
      <c r="F6" s="112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101"/>
      <c r="B7" s="101"/>
      <c r="C7" s="101"/>
      <c r="D7" s="101"/>
      <c r="E7" s="101"/>
      <c r="F7" s="112">
        <f ca="1">SUM(F2:F5)</f>
        <v>288441.77036589995</v>
      </c>
      <c r="G7" s="95">
        <f ca="1">F7/$F$7</f>
        <v>1</v>
      </c>
      <c r="H7" s="101">
        <f t="shared" ref="H7:O7" si="1">SUM(H2:H5)</f>
        <v>61923</v>
      </c>
      <c r="I7" s="101">
        <f t="shared" si="1"/>
        <v>52199</v>
      </c>
      <c r="J7" s="101">
        <f t="shared" si="1"/>
        <v>15838</v>
      </c>
      <c r="K7" s="101">
        <f t="shared" si="1"/>
        <v>15615</v>
      </c>
      <c r="L7" s="101">
        <f t="shared" si="1"/>
        <v>24148</v>
      </c>
      <c r="M7" s="101">
        <f t="shared" si="1"/>
        <v>17572</v>
      </c>
      <c r="N7" s="101">
        <f t="shared" si="1"/>
        <v>7842</v>
      </c>
      <c r="O7" s="101">
        <f t="shared" si="1"/>
        <v>4889</v>
      </c>
      <c r="P7" s="95">
        <f t="shared" ref="P7:Q7" si="2">J7/H7</f>
        <v>0.25576926182516996</v>
      </c>
      <c r="Q7" s="95">
        <f t="shared" si="2"/>
        <v>0.29914366175597235</v>
      </c>
      <c r="R7" s="95">
        <f>P7-Q7</f>
        <v>-4.3374399930802388E-2</v>
      </c>
      <c r="S7" s="95">
        <f t="shared" ref="S7:T7" si="3">N7/L7</f>
        <v>0.32474739108828887</v>
      </c>
      <c r="T7" s="95">
        <f t="shared" si="3"/>
        <v>0.27822672433416801</v>
      </c>
      <c r="U7" s="95">
        <f>S7-T7</f>
        <v>4.6520666754120865E-2</v>
      </c>
      <c r="V7" s="95">
        <f>(H7/I7)-1</f>
        <v>0.18628709362248319</v>
      </c>
      <c r="W7" s="95">
        <f>(J7/K7)-1</f>
        <v>1.428113992955482E-2</v>
      </c>
      <c r="X7" s="95">
        <f>(L7/M7)-1</f>
        <v>0.37423173230138862</v>
      </c>
      <c r="Y7" s="95">
        <f>(N7/O7)-1</f>
        <v>0.60400899979545919</v>
      </c>
    </row>
    <row r="8" spans="1:25">
      <c r="F8" s="94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5" xr:uid="{00000000-0009-0000-0000-000097000000}"/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outlinePr summaryBelow="0" summaryRight="0"/>
  </sheetPr>
  <dimension ref="A1:Y8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500696</v>
      </c>
      <c r="B2" s="98" t="s">
        <v>118</v>
      </c>
      <c r="C2" s="101" t="str">
        <f>VLOOKUP(A2,'BSE ALL CAP'!$B$4:$Y$1038,2,)</f>
        <v>Fast Moving Consumer Goods</v>
      </c>
      <c r="D2" s="101" t="str">
        <f>VLOOKUP(A2,'BSE ALL CAP'!$B$4:$Y$1038,3,)</f>
        <v>Diversified FMCG</v>
      </c>
      <c r="E2" s="101">
        <f ca="1">IFERROR(__xludf.DUMMYFUNCTION("GOOGLEFINANCE(""BOM:""&amp;A2,""PRICE"")"),2064.3)</f>
        <v>2064.3000000000002</v>
      </c>
      <c r="F2" s="112">
        <f ca="1">IFERROR(__xludf.DUMMYFUNCTION("GOOGLEFINANCE(""BOM:""&amp;A2,""MARKETCAP"")/10000000"),485049.5430947)</f>
        <v>485049.54309470003</v>
      </c>
      <c r="G2" s="95">
        <f t="shared" ref="G2:G6" ca="1" si="0">F2/$F$8</f>
        <v>0.56308162501761705</v>
      </c>
      <c r="H2" s="101">
        <f>VLOOKUP(A2,'BSE ALL CAP'!$B$4:$Y$1038,7,)</f>
        <v>47464</v>
      </c>
      <c r="I2" s="101">
        <f>VLOOKUP(A2,'BSE ALL CAP'!$B$4:$Y$1038,8,)</f>
        <v>45505</v>
      </c>
      <c r="J2" s="101">
        <f>VLOOKUP(A2,'BSE ALL CAP'!$B$4:$Y$1038,9,)</f>
        <v>12065</v>
      </c>
      <c r="K2" s="101">
        <f>VLOOKUP(A2,'BSE ALL CAP'!$B$4:$Y$1038,10,)</f>
        <v>8196</v>
      </c>
      <c r="L2" s="101">
        <f>VLOOKUP(A2,'BSE ALL CAP'!$B$4:$Y$1038,11,)</f>
        <v>16197</v>
      </c>
      <c r="M2" s="101">
        <f>VLOOKUP(A2,'BSE ALL CAP'!$B$4:$Y$1038,12,)</f>
        <v>15715</v>
      </c>
      <c r="N2" s="101">
        <f>VLOOKUP(A2,'BSE ALL CAP'!$B$4:$Y$1038,13,)</f>
        <v>6603</v>
      </c>
      <c r="O2" s="101">
        <f>VLOOKUP(A2,'BSE ALL CAP'!$B$4:$Y$1038,14,)</f>
        <v>2694</v>
      </c>
      <c r="P2" s="95">
        <f>VLOOKUP(A2,'BSE ALL CAP'!$B$4:$Y$1038,15,)</f>
        <v>0.25419265127254342</v>
      </c>
      <c r="Q2" s="95">
        <f>VLOOKUP(A2,'BSE ALL CAP'!$B$4:$Y$1038,16,)</f>
        <v>0.18011207559608836</v>
      </c>
      <c r="R2" s="95">
        <f>VLOOKUP(A2,'BSE ALL CAP'!$B$4:$Y$1038,17,)</f>
        <v>7.4080575676455068E-2</v>
      </c>
      <c r="S2" s="95">
        <f>VLOOKUP(A2,'BSE ALL CAP'!$B$4:$Y$1038,18,)</f>
        <v>0.40766808668271903</v>
      </c>
      <c r="T2" s="95">
        <f>VLOOKUP(A2,'BSE ALL CAP'!$B$4:$Y$1038,19,)</f>
        <v>0.17142857142857143</v>
      </c>
      <c r="U2" s="95">
        <f>VLOOKUP(A2,'BSE ALL CAP'!$B$4:$Y$1038,20,)</f>
        <v>0.2362395152541476</v>
      </c>
      <c r="V2" s="95">
        <f>VLOOKUP(A2,'BSE ALL CAP'!$B$4:$Y$1038,21,)</f>
        <v>4.3050214262168929E-2</v>
      </c>
      <c r="W2" s="95">
        <f>VLOOKUP(A2,'BSE ALL CAP'!$B$4:$Y$1038,22,)</f>
        <v>0.47205954123962912</v>
      </c>
      <c r="X2" s="95">
        <f>VLOOKUP(A2,'BSE ALL CAP'!$B$4:$Y$1038,23,)</f>
        <v>3.0671333121221833E-2</v>
      </c>
      <c r="Y2" s="95">
        <f>VLOOKUP(A2,'BSE ALL CAP'!$B$4:$Y$1038,24,)</f>
        <v>1.4510022271714922</v>
      </c>
    </row>
    <row r="3" spans="1:25" ht="15.75" customHeight="1">
      <c r="A3" s="99">
        <v>500875</v>
      </c>
      <c r="B3" s="98" t="s">
        <v>4686</v>
      </c>
      <c r="C3" s="101" t="str">
        <f>VLOOKUP(A3,'BSE ALL CAP'!$B$4:$Y$1038,2,)</f>
        <v>Fast Moving Consumer Goods</v>
      </c>
      <c r="D3" s="101" t="str">
        <f>VLOOKUP(A3,'BSE ALL CAP'!$B$4:$Y$1038,3,)</f>
        <v>Diversified FMCG</v>
      </c>
      <c r="E3" s="101">
        <f ca="1">IFERROR(__xludf.DUMMYFUNCTION("GOOGLEFINANCE(""BOM:""&amp;A3,""PRICE"")"),293.95)</f>
        <v>293.95</v>
      </c>
      <c r="F3" s="112">
        <f ca="1">IFERROR(__xludf.DUMMYFUNCTION("GOOGLEFINANCE(""BOM:""&amp;A3,""MARKETCAP"")/10000000"),368296.4371944)</f>
        <v>368296.4371944</v>
      </c>
      <c r="G3" s="95">
        <f t="shared" ca="1" si="0"/>
        <v>0.42754592658823076</v>
      </c>
      <c r="H3" s="101">
        <f>VLOOKUP(A3,'BSE ALL CAP'!$B$4:$Y$1038,7,)</f>
        <v>66092</v>
      </c>
      <c r="I3" s="101">
        <f>VLOOKUP(A3,'BSE ALL CAP'!$B$4:$Y$1038,8,)</f>
        <v>61236</v>
      </c>
      <c r="J3" s="101">
        <f>VLOOKUP(A3,'BSE ALL CAP'!$B$4:$Y$1038,9,)</f>
        <v>15548</v>
      </c>
      <c r="K3" s="101">
        <f>VLOOKUP(A3,'BSE ALL CAP'!$B$4:$Y$1038,10,)</f>
        <v>15245</v>
      </c>
      <c r="L3" s="101">
        <f>VLOOKUP(A3,'BSE ALL CAP'!$B$4:$Y$1038,11,)</f>
        <v>21707</v>
      </c>
      <c r="M3" s="101">
        <f>VLOOKUP(A3,'BSE ALL CAP'!$B$4:$Y$1038,12,)</f>
        <v>20350</v>
      </c>
      <c r="N3" s="101">
        <f>VLOOKUP(A3,'BSE ALL CAP'!$B$4:$Y$1038,13,)</f>
        <v>5018</v>
      </c>
      <c r="O3" s="101">
        <f>VLOOKUP(A3,'BSE ALL CAP'!$B$4:$Y$1038,14,)</f>
        <v>5013</v>
      </c>
      <c r="P3" s="95">
        <f>VLOOKUP(A3,'BSE ALL CAP'!$B$4:$Y$1038,15,)</f>
        <v>0.23524783634933125</v>
      </c>
      <c r="Q3" s="95">
        <f>VLOOKUP(A3,'BSE ALL CAP'!$B$4:$Y$1038,16,)</f>
        <v>0.24895486315239401</v>
      </c>
      <c r="R3" s="95">
        <f>VLOOKUP(A3,'BSE ALL CAP'!$B$4:$Y$1038,17,)</f>
        <v>-1.3707026803062766E-2</v>
      </c>
      <c r="S3" s="95">
        <f>VLOOKUP(A3,'BSE ALL CAP'!$B$4:$Y$1038,18,)</f>
        <v>0.2311696687704427</v>
      </c>
      <c r="T3" s="95">
        <f>VLOOKUP(A3,'BSE ALL CAP'!$B$4:$Y$1038,19,)</f>
        <v>0.24633906633906633</v>
      </c>
      <c r="U3" s="95">
        <f>VLOOKUP(A3,'BSE ALL CAP'!$B$4:$Y$1038,20,)</f>
        <v>-1.5169397568623622E-2</v>
      </c>
      <c r="V3" s="95">
        <f>VLOOKUP(A3,'BSE ALL CAP'!$B$4:$Y$1038,21,)</f>
        <v>7.9299758312104007E-2</v>
      </c>
      <c r="W3" s="95">
        <f>VLOOKUP(A3,'BSE ALL CAP'!$B$4:$Y$1038,22,)</f>
        <v>1.9875368973433893E-2</v>
      </c>
      <c r="X3" s="95">
        <f>VLOOKUP(A3,'BSE ALL CAP'!$B$4:$Y$1038,23,)</f>
        <v>6.6683046683046587E-2</v>
      </c>
      <c r="Y3" s="95">
        <f>VLOOKUP(A3,'BSE ALL CAP'!$B$4:$Y$1038,24,)</f>
        <v>9.974067424696198E-4</v>
      </c>
    </row>
    <row r="4" spans="1:25" ht="15.75" customHeight="1">
      <c r="A4" s="99">
        <v>519126</v>
      </c>
      <c r="B4" s="98" t="s">
        <v>4687</v>
      </c>
      <c r="C4" s="101" t="str">
        <f>VLOOKUP(A4,'BSE ALL CAP'!$B$4:$Y$1038,2,)</f>
        <v>Fast Moving Consumer Goods</v>
      </c>
      <c r="D4" s="101" t="str">
        <f>VLOOKUP(A4,'BSE ALL CAP'!$B$4:$Y$1038,3,)</f>
        <v>Diversified FMCG</v>
      </c>
      <c r="E4" s="101">
        <f ca="1">IFERROR(__xludf.DUMMYFUNCTION("GOOGLEFINANCE(""BOM:""&amp;A4,""PRICE"")"),497.05)</f>
        <v>497.05</v>
      </c>
      <c r="F4" s="112">
        <f ca="1">IFERROR(__xludf.DUMMYFUNCTION("GOOGLEFINANCE(""BOM:""&amp;A4,""MARKETCAP"")/10000000"),5938.8377526)</f>
        <v>5938.8377526000004</v>
      </c>
      <c r="G4" s="95">
        <f t="shared" ca="1" si="0"/>
        <v>6.8942450519886289E-3</v>
      </c>
      <c r="H4" s="101">
        <f>VLOOKUP(A4,'BSE ALL CAP'!$B$4:$Y$1038,7,)</f>
        <v>3031</v>
      </c>
      <c r="I4" s="101">
        <f>VLOOKUP(A4,'BSE ALL CAP'!$B$4:$Y$1038,8,)</f>
        <v>2631</v>
      </c>
      <c r="J4" s="101">
        <f>VLOOKUP(A4,'BSE ALL CAP'!$B$4:$Y$1038,9,)</f>
        <v>103</v>
      </c>
      <c r="K4" s="101">
        <f>VLOOKUP(A4,'BSE ALL CAP'!$B$4:$Y$1038,10,)</f>
        <v>79</v>
      </c>
      <c r="L4" s="101">
        <f>VLOOKUP(A4,'BSE ALL CAP'!$B$4:$Y$1038,11,)</f>
        <v>998</v>
      </c>
      <c r="M4" s="101">
        <f>VLOOKUP(A4,'BSE ALL CAP'!$B$4:$Y$1038,12,)</f>
        <v>880</v>
      </c>
      <c r="N4" s="101">
        <f>VLOOKUP(A4,'BSE ALL CAP'!$B$4:$Y$1038,13,)</f>
        <v>36</v>
      </c>
      <c r="O4" s="101">
        <f>VLOOKUP(A4,'BSE ALL CAP'!$B$4:$Y$1038,14,)</f>
        <v>29</v>
      </c>
      <c r="P4" s="95">
        <f>VLOOKUP(A4,'BSE ALL CAP'!$B$4:$Y$1038,15,)</f>
        <v>3.398218409765754E-2</v>
      </c>
      <c r="Q4" s="95">
        <f>VLOOKUP(A4,'BSE ALL CAP'!$B$4:$Y$1038,16,)</f>
        <v>3.0026605853287723E-2</v>
      </c>
      <c r="R4" s="95">
        <f>VLOOKUP(A4,'BSE ALL CAP'!$B$4:$Y$1038,17,)</f>
        <v>3.9555782443698173E-3</v>
      </c>
      <c r="S4" s="95">
        <f>VLOOKUP(A4,'BSE ALL CAP'!$B$4:$Y$1038,18,)</f>
        <v>3.6072144288577156E-2</v>
      </c>
      <c r="T4" s="95">
        <f>VLOOKUP(A4,'BSE ALL CAP'!$B$4:$Y$1038,19,)</f>
        <v>3.2954545454545452E-2</v>
      </c>
      <c r="U4" s="95">
        <f>VLOOKUP(A4,'BSE ALL CAP'!$B$4:$Y$1038,20,)</f>
        <v>3.117598834031704E-3</v>
      </c>
      <c r="V4" s="95">
        <f>VLOOKUP(A4,'BSE ALL CAP'!$B$4:$Y$1038,21,)</f>
        <v>0.15203344735841884</v>
      </c>
      <c r="W4" s="95">
        <f>VLOOKUP(A4,'BSE ALL CAP'!$B$4:$Y$1038,22,)</f>
        <v>0.30379746835443044</v>
      </c>
      <c r="X4" s="95">
        <f>VLOOKUP(A4,'BSE ALL CAP'!$B$4:$Y$1038,23,)</f>
        <v>0.13409090909090904</v>
      </c>
      <c r="Y4" s="95">
        <f>VLOOKUP(A4,'BSE ALL CAP'!$B$4:$Y$1038,24,)</f>
        <v>0.24137931034482762</v>
      </c>
    </row>
    <row r="5" spans="1:25" ht="15.75" customHeight="1">
      <c r="A5" s="99">
        <v>544279</v>
      </c>
      <c r="B5" s="98" t="s">
        <v>4688</v>
      </c>
      <c r="C5" s="101"/>
      <c r="D5" s="101"/>
      <c r="E5" s="101">
        <f ca="1">IFERROR(__xludf.DUMMYFUNCTION("GOOGLEFINANCE(""BOM:""&amp;A5,""PRICE"")"),311.65)</f>
        <v>311.64999999999998</v>
      </c>
      <c r="F5" s="112">
        <f ca="1">IFERROR(__xludf.DUMMYFUNCTION("GOOGLEFINANCE(""BOM:""&amp;A5,""MARKETCAP"")/10000000"),1595.6666821)</f>
        <v>1595.6666820999999</v>
      </c>
      <c r="G5" s="95">
        <f t="shared" ca="1" si="0"/>
        <v>1.8523686933314314E-3</v>
      </c>
      <c r="H5" s="101"/>
      <c r="I5" s="101"/>
      <c r="J5" s="101"/>
      <c r="K5" s="101"/>
      <c r="L5" s="101"/>
      <c r="M5" s="101"/>
      <c r="N5" s="101"/>
      <c r="O5" s="101"/>
      <c r="P5" s="101" t="e">
        <f>VLOOKUP(A5,'BSE ALL CAP'!$B$4:$Y$1038,15,)</f>
        <v>#N/A</v>
      </c>
      <c r="Q5" s="101" t="e">
        <f>VLOOKUP(A5,'BSE ALL CAP'!$B$4:$Y$1038,16,)</f>
        <v>#N/A</v>
      </c>
      <c r="R5" s="101" t="e">
        <f>VLOOKUP(A5,'BSE ALL CAP'!$B$4:$Y$1038,17,)</f>
        <v>#N/A</v>
      </c>
      <c r="S5" s="101" t="e">
        <f>VLOOKUP(A5,'BSE ALL CAP'!$B$4:$Y$1038,18,)</f>
        <v>#N/A</v>
      </c>
      <c r="T5" s="101" t="e">
        <f>VLOOKUP(A5,'BSE ALL CAP'!$B$4:$Y$1038,19,)</f>
        <v>#N/A</v>
      </c>
      <c r="U5" s="101" t="e">
        <f>VLOOKUP(A5,'BSE ALL CAP'!$B$4:$Y$1038,20,)</f>
        <v>#N/A</v>
      </c>
      <c r="V5" s="101" t="e">
        <f>VLOOKUP(A5,'BSE ALL CAP'!$B$4:$Y$1038,21,)</f>
        <v>#N/A</v>
      </c>
      <c r="W5" s="101" t="e">
        <f>VLOOKUP(A5,'BSE ALL CAP'!$B$4:$Y$1038,22,)</f>
        <v>#N/A</v>
      </c>
      <c r="X5" s="101" t="e">
        <f>VLOOKUP(A5,'BSE ALL CAP'!$B$4:$Y$1038,23,)</f>
        <v>#N/A</v>
      </c>
      <c r="Y5" s="101" t="e">
        <f>VLOOKUP(A5,'BSE ALL CAP'!$B$4:$Y$1038,24,)</f>
        <v>#N/A</v>
      </c>
    </row>
    <row r="6" spans="1:25" ht="15.75" customHeight="1">
      <c r="A6" s="99">
        <v>543267</v>
      </c>
      <c r="B6" s="98" t="s">
        <v>4689</v>
      </c>
      <c r="C6" s="101"/>
      <c r="D6" s="101"/>
      <c r="E6" s="101">
        <f ca="1">IFERROR(__xludf.DUMMYFUNCTION("GOOGLEFINANCE(""BOM:""&amp;A6,""PRICE"")"),3.77)</f>
        <v>3.77</v>
      </c>
      <c r="F6" s="112">
        <f ca="1">IFERROR(__xludf.DUMMYFUNCTION("GOOGLEFINANCE(""BOM:""&amp;A6,""MARKETCAP"")/10000000"),539.1062272)</f>
        <v>539.10622720000003</v>
      </c>
      <c r="G6" s="95">
        <f t="shared" ca="1" si="0"/>
        <v>6.2583464883220414E-4</v>
      </c>
      <c r="H6" s="101"/>
      <c r="I6" s="101"/>
      <c r="J6" s="101"/>
      <c r="K6" s="101"/>
      <c r="L6" s="101"/>
      <c r="M6" s="101"/>
      <c r="N6" s="101"/>
      <c r="O6" s="101"/>
      <c r="P6" s="101" t="e">
        <f>VLOOKUP(A6,'BSE ALL CAP'!$B$4:$Y$1038,15,)</f>
        <v>#N/A</v>
      </c>
      <c r="Q6" s="101" t="e">
        <f>VLOOKUP(A6,'BSE ALL CAP'!$B$4:$Y$1038,16,)</f>
        <v>#N/A</v>
      </c>
      <c r="R6" s="101" t="e">
        <f>VLOOKUP(A6,'BSE ALL CAP'!$B$4:$Y$1038,17,)</f>
        <v>#N/A</v>
      </c>
      <c r="S6" s="101" t="e">
        <f>VLOOKUP(A6,'BSE ALL CAP'!$B$4:$Y$1038,18,)</f>
        <v>#N/A</v>
      </c>
      <c r="T6" s="101" t="e">
        <f>VLOOKUP(A6,'BSE ALL CAP'!$B$4:$Y$1038,19,)</f>
        <v>#N/A</v>
      </c>
      <c r="U6" s="101" t="e">
        <f>VLOOKUP(A6,'BSE ALL CAP'!$B$4:$Y$1038,20,)</f>
        <v>#N/A</v>
      </c>
      <c r="V6" s="101" t="e">
        <f>VLOOKUP(A6,'BSE ALL CAP'!$B$4:$Y$1038,21,)</f>
        <v>#N/A</v>
      </c>
      <c r="W6" s="101" t="e">
        <f>VLOOKUP(A6,'BSE ALL CAP'!$B$4:$Y$1038,22,)</f>
        <v>#N/A</v>
      </c>
      <c r="X6" s="101" t="e">
        <f>VLOOKUP(A6,'BSE ALL CAP'!$B$4:$Y$1038,23,)</f>
        <v>#N/A</v>
      </c>
      <c r="Y6" s="101" t="e">
        <f>VLOOKUP(A6,'BSE ALL CAP'!$B$4:$Y$1038,24,)</f>
        <v>#N/A</v>
      </c>
    </row>
    <row r="7" spans="1:25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12">
        <f ca="1">SUM(F2:F6)</f>
        <v>861419.59095099999</v>
      </c>
      <c r="G8" s="95">
        <f ca="1">F8/$F$8</f>
        <v>1</v>
      </c>
      <c r="H8" s="101">
        <f t="shared" ref="H8:O8" si="1">SUM(H2:H6)</f>
        <v>116587</v>
      </c>
      <c r="I8" s="101">
        <f t="shared" si="1"/>
        <v>109372</v>
      </c>
      <c r="J8" s="101">
        <f t="shared" si="1"/>
        <v>27716</v>
      </c>
      <c r="K8" s="101">
        <f t="shared" si="1"/>
        <v>23520</v>
      </c>
      <c r="L8" s="101">
        <f t="shared" si="1"/>
        <v>38902</v>
      </c>
      <c r="M8" s="101">
        <f t="shared" si="1"/>
        <v>36945</v>
      </c>
      <c r="N8" s="101">
        <f t="shared" si="1"/>
        <v>11657</v>
      </c>
      <c r="O8" s="101">
        <f t="shared" si="1"/>
        <v>7736</v>
      </c>
      <c r="P8" s="95">
        <f t="shared" ref="P8:Q8" si="2">J8/H8</f>
        <v>0.23772804858174582</v>
      </c>
      <c r="Q8" s="95">
        <f t="shared" si="2"/>
        <v>0.21504589840178473</v>
      </c>
      <c r="R8" s="95">
        <f>P8-Q8</f>
        <v>2.2682150179961086E-2</v>
      </c>
      <c r="S8" s="95">
        <f t="shared" ref="S8:T8" si="3">N8/L8</f>
        <v>0.2996504035782222</v>
      </c>
      <c r="T8" s="95">
        <f t="shared" si="3"/>
        <v>0.20939233996481255</v>
      </c>
      <c r="U8" s="95">
        <f>S8-T8</f>
        <v>9.0258063613409656E-2</v>
      </c>
      <c r="V8" s="95">
        <f>(H8/I8)-1</f>
        <v>6.596752368064962E-2</v>
      </c>
      <c r="W8" s="95">
        <f>(J8/K8)-1</f>
        <v>0.17840136054421762</v>
      </c>
      <c r="X8" s="95">
        <f>(L8/M8)-1</f>
        <v>5.2970632020571173E-2</v>
      </c>
      <c r="Y8" s="95">
        <f>(N8/O8)-1</f>
        <v>0.50685108583247152</v>
      </c>
    </row>
  </sheetData>
  <autoFilter ref="A1:Y6" xr:uid="{00000000-0009-0000-0000-000098000000}"/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>
      <c r="A2" s="101">
        <v>543597</v>
      </c>
      <c r="B2" s="101" t="s">
        <v>4690</v>
      </c>
      <c r="C2" s="101" t="e">
        <f>VLOOKUP(A2,'BSE ALL CAP'!$B$4:$Y$1038,2,)</f>
        <v>#N/A</v>
      </c>
      <c r="D2" s="101" t="e">
        <f>VLOOKUP(A2,'BSE ALL CAP'!$B$4:$Y$1038,3,)</f>
        <v>#N/A</v>
      </c>
      <c r="E2" s="101">
        <f ca="1">IFERROR(__xludf.DUMMYFUNCTION("GOOGLEFINANCE(""BOM:""&amp;A2,""PRICE"")"),290)</f>
        <v>290</v>
      </c>
      <c r="F2" s="112">
        <f ca="1">IFERROR(__xludf.DUMMYFUNCTION("GOOGLEFINANCE(""BOM:""&amp;A2,""MARKETCAP"")/10000000"),923.15932)</f>
        <v>923.15931999999998</v>
      </c>
      <c r="G2" s="95">
        <f t="shared" ref="G2:G3" ca="1" si="0">F2/$F$5</f>
        <v>0.72123832326826109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>
      <c r="A3" s="101">
        <v>523558</v>
      </c>
      <c r="B3" s="101" t="s">
        <v>4691</v>
      </c>
      <c r="C3" s="101" t="e">
        <f>VLOOKUP(A3,'BSE ALL CAP'!$B$4:$Y$1038,2,)</f>
        <v>#N/A</v>
      </c>
      <c r="D3" s="101" t="e">
        <f>VLOOKUP(A3,'BSE ALL CAP'!$B$4:$Y$1038,3,)</f>
        <v>#N/A</v>
      </c>
      <c r="E3" s="101">
        <f ca="1">IFERROR(__xludf.DUMMYFUNCTION("GOOGLEFINANCE(""BOM:""&amp;A3,""PRICE"")"),16.5)</f>
        <v>16.5</v>
      </c>
      <c r="F3" s="112">
        <f ca="1">IFERROR(__xludf.DUMMYFUNCTION("GOOGLEFINANCE(""BOM:""&amp;A3,""MARKETCAP"")/10000000"),356.805)</f>
        <v>356.80500000000001</v>
      </c>
      <c r="G3" s="95">
        <f t="shared" ca="1" si="0"/>
        <v>0.27876167673173891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>
      <c r="A4" s="101"/>
      <c r="B4" s="101"/>
      <c r="C4" s="101"/>
      <c r="D4" s="101"/>
      <c r="E4" s="101"/>
      <c r="F4" s="112"/>
      <c r="G4" s="95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101"/>
      <c r="B5" s="101"/>
      <c r="C5" s="101"/>
      <c r="D5" s="101"/>
      <c r="E5" s="101"/>
      <c r="F5" s="112">
        <f ca="1">SUM(F2:F3)</f>
        <v>1279.96432</v>
      </c>
      <c r="G5" s="95">
        <f ca="1">F5/$F$5</f>
        <v>1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>
      <c r="F6" s="94"/>
    </row>
    <row r="7" spans="1:25">
      <c r="F7" s="94"/>
    </row>
    <row r="8" spans="1:25">
      <c r="F8" s="94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3" xr:uid="{00000000-0009-0000-0000-000099000000}"/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544311</v>
      </c>
      <c r="B2" s="98" t="s">
        <v>4692</v>
      </c>
      <c r="C2" s="101" t="str">
        <f>VLOOKUP(A2,'BSE ALL CAP'!$B$4:$Y$1038,2,)</f>
        <v>Services</v>
      </c>
      <c r="D2" s="101" t="str">
        <f>VLOOKUP(A2,'BSE ALL CAP'!$B$4:$Y$1038,3,)</f>
        <v>Diversified Commercial Services</v>
      </c>
      <c r="E2" s="101">
        <f ca="1">IFERROR(__xludf.DUMMYFUNCTION("GOOGLEFINANCE(""BOM:""&amp;A2,""PRICE"")"),321.5)</f>
        <v>321.5</v>
      </c>
      <c r="F2" s="112">
        <f ca="1">IFERROR(__xludf.DUMMYFUNCTION("GOOGLEFINANCE(""BOM:""&amp;A2,""MARKETCAP"")/10000000"),13902.5812935)</f>
        <v>13902.581293499999</v>
      </c>
      <c r="G2" s="95">
        <f t="shared" ref="G2:G126" ca="1" si="0">F2/$F$128</f>
        <v>0.18885575482054565</v>
      </c>
      <c r="H2" s="101">
        <f>VLOOKUP(A2,'BSE ALL CAP'!$B$4:$Y$1038,7,)</f>
        <v>1229</v>
      </c>
      <c r="I2" s="101">
        <f>VLOOKUP(A2,'BSE ALL CAP'!$B$4:$Y$1038,8,)</f>
        <v>1053</v>
      </c>
      <c r="J2" s="101">
        <f>VLOOKUP(A2,'BSE ALL CAP'!$B$4:$Y$1038,9,)</f>
        <v>531</v>
      </c>
      <c r="K2" s="101">
        <f>VLOOKUP(A2,'BSE ALL CAP'!$B$4:$Y$1038,10,)</f>
        <v>427</v>
      </c>
      <c r="L2" s="101">
        <f>VLOOKUP(A2,'BSE ALL CAP'!$B$4:$Y$1038,11,)</f>
        <v>319</v>
      </c>
      <c r="M2" s="101">
        <f>VLOOKUP(A2,'BSE ALL CAP'!$B$4:$Y$1038,12,)</f>
        <v>265</v>
      </c>
      <c r="N2" s="101">
        <f>VLOOKUP(A2,'BSE ALL CAP'!$B$4:$Y$1038,13,)</f>
        <v>134</v>
      </c>
      <c r="O2" s="101">
        <f>VLOOKUP(A2,'BSE ALL CAP'!$B$4:$Y$1038,14,)</f>
        <v>113</v>
      </c>
      <c r="P2" s="95">
        <f>VLOOKUP(A2,'BSE ALL CAP'!$B$4:$Y$1038,15,)</f>
        <v>0.43205858421480881</v>
      </c>
      <c r="Q2" s="95">
        <f>VLOOKUP(A2,'BSE ALL CAP'!$B$4:$Y$1038,16,)</f>
        <v>0.40550807217473883</v>
      </c>
      <c r="R2" s="95">
        <f>VLOOKUP(A2,'BSE ALL CAP'!$B$4:$Y$1038,17,)</f>
        <v>2.6550512040069973E-2</v>
      </c>
      <c r="S2" s="95">
        <f>VLOOKUP(A2,'BSE ALL CAP'!$B$4:$Y$1038,18,)</f>
        <v>0.42006269592476492</v>
      </c>
      <c r="T2" s="95">
        <f>VLOOKUP(A2,'BSE ALL CAP'!$B$4:$Y$1038,19,)</f>
        <v>0.42641509433962266</v>
      </c>
      <c r="U2" s="95">
        <f>VLOOKUP(A2,'BSE ALL CAP'!$B$4:$Y$1038,20,)</f>
        <v>-6.3523984148577406E-3</v>
      </c>
      <c r="V2" s="95">
        <f>VLOOKUP(A2,'BSE ALL CAP'!$B$4:$Y$1038,21,)</f>
        <v>0.16714150047483378</v>
      </c>
      <c r="W2" s="95">
        <f>VLOOKUP(A2,'BSE ALL CAP'!$B$4:$Y$1038,22,)</f>
        <v>0.24355971896955508</v>
      </c>
      <c r="X2" s="95">
        <f>VLOOKUP(A2,'BSE ALL CAP'!$B$4:$Y$1038,23,)</f>
        <v>0.20377358490566033</v>
      </c>
      <c r="Y2" s="95">
        <f>VLOOKUP(A2,'BSE ALL CAP'!$B$4:$Y$1038,24,)</f>
        <v>0.18584070796460184</v>
      </c>
    </row>
    <row r="3" spans="1:25" ht="15.75" customHeight="1">
      <c r="A3" s="99">
        <v>505355</v>
      </c>
      <c r="B3" s="98" t="s">
        <v>4693</v>
      </c>
      <c r="C3" s="101" t="str">
        <f>VLOOKUP(A3,'BSE ALL CAP'!$B$4:$Y$1038,2,)</f>
        <v>Services</v>
      </c>
      <c r="D3" s="101" t="str">
        <f>VLOOKUP(A3,'BSE ALL CAP'!$B$4:$Y$1038,3,)</f>
        <v>Diversified Commercial Services</v>
      </c>
      <c r="E3" s="101">
        <f ca="1">IFERROR(__xludf.DUMMYFUNCTION("GOOGLEFINANCE(""BOM:""&amp;A3,""PRICE"")"),1080.25)</f>
        <v>1080.25</v>
      </c>
      <c r="F3" s="112">
        <f ca="1">IFERROR(__xludf.DUMMYFUNCTION("GOOGLEFINANCE(""BOM:""&amp;A3,""MARKETCAP"")/10000000"),7644.904575)</f>
        <v>7644.9045749999996</v>
      </c>
      <c r="G3" s="95">
        <f t="shared" ca="1" si="0"/>
        <v>0.10385008320128962</v>
      </c>
      <c r="H3" s="101">
        <f>VLOOKUP(A3,'BSE ALL CAP'!$B$4:$Y$1038,7,)</f>
        <v>680</v>
      </c>
      <c r="I3" s="101">
        <f>VLOOKUP(A3,'BSE ALL CAP'!$B$4:$Y$1038,8,)</f>
        <v>540</v>
      </c>
      <c r="J3" s="101">
        <f>VLOOKUP(A3,'BSE ALL CAP'!$B$4:$Y$1038,9,)</f>
        <v>319</v>
      </c>
      <c r="K3" s="101">
        <f>VLOOKUP(A3,'BSE ALL CAP'!$B$4:$Y$1038,10,)</f>
        <v>286</v>
      </c>
      <c r="L3" s="101">
        <f>VLOOKUP(A3,'BSE ALL CAP'!$B$4:$Y$1038,11,)</f>
        <v>247</v>
      </c>
      <c r="M3" s="101">
        <f>VLOOKUP(A3,'BSE ALL CAP'!$B$4:$Y$1038,12,)</f>
        <v>206</v>
      </c>
      <c r="N3" s="101">
        <f>VLOOKUP(A3,'BSE ALL CAP'!$B$4:$Y$1038,13,)</f>
        <v>104</v>
      </c>
      <c r="O3" s="101">
        <f>VLOOKUP(A3,'BSE ALL CAP'!$B$4:$Y$1038,14,)</f>
        <v>109</v>
      </c>
      <c r="P3" s="95">
        <f>VLOOKUP(A3,'BSE ALL CAP'!$B$4:$Y$1038,15,)</f>
        <v>0.46911764705882353</v>
      </c>
      <c r="Q3" s="95">
        <f>VLOOKUP(A3,'BSE ALL CAP'!$B$4:$Y$1038,16,)</f>
        <v>0.52962962962962967</v>
      </c>
      <c r="R3" s="95">
        <f>VLOOKUP(A3,'BSE ALL CAP'!$B$4:$Y$1038,17,)</f>
        <v>-6.0511982570806144E-2</v>
      </c>
      <c r="S3" s="95">
        <f>VLOOKUP(A3,'BSE ALL CAP'!$B$4:$Y$1038,18,)</f>
        <v>0.42105263157894735</v>
      </c>
      <c r="T3" s="95">
        <f>VLOOKUP(A3,'BSE ALL CAP'!$B$4:$Y$1038,19,)</f>
        <v>0.529126213592233</v>
      </c>
      <c r="U3" s="95">
        <f>VLOOKUP(A3,'BSE ALL CAP'!$B$4:$Y$1038,20,)</f>
        <v>-0.10807358201328565</v>
      </c>
      <c r="V3" s="95">
        <f>VLOOKUP(A3,'BSE ALL CAP'!$B$4:$Y$1038,21,)</f>
        <v>0.2592592592592593</v>
      </c>
      <c r="W3" s="95">
        <f>VLOOKUP(A3,'BSE ALL CAP'!$B$4:$Y$1038,22,)</f>
        <v>0.11538461538461542</v>
      </c>
      <c r="X3" s="95">
        <f>VLOOKUP(A3,'BSE ALL CAP'!$B$4:$Y$1038,23,)</f>
        <v>0.19902912621359214</v>
      </c>
      <c r="Y3" s="95">
        <f>VLOOKUP(A3,'BSE ALL CAP'!$B$4:$Y$1038,24,)</f>
        <v>-4.587155963302747E-2</v>
      </c>
    </row>
    <row r="4" spans="1:25" ht="15.75" customHeight="1">
      <c r="A4" s="99">
        <v>544570</v>
      </c>
      <c r="B4" s="98" t="s">
        <v>4694</v>
      </c>
      <c r="C4" s="101" t="e">
        <f>VLOOKUP(A4,'BSE ALL CAP'!$B$4:$Y$1038,2,)</f>
        <v>#N/A</v>
      </c>
      <c r="D4" s="101" t="e">
        <f>VLOOKUP(A4,'BSE ALL CAP'!$B$4:$Y$1038,3,)</f>
        <v>#N/A</v>
      </c>
      <c r="E4" s="101">
        <f ca="1">IFERROR(__xludf.DUMMYFUNCTION("GOOGLEFINANCE(""BOM:""&amp;A4,""PRICE"")"),439.4)</f>
        <v>439.4</v>
      </c>
      <c r="F4" s="112">
        <f ca="1">IFERROR(__xludf.DUMMYFUNCTION("GOOGLEFINANCE(""BOM:""&amp;A4,""MARKETCAP"")/10000000"),5956.632)</f>
        <v>5956.6319999999996</v>
      </c>
      <c r="G4" s="95">
        <f t="shared" ca="1" si="0"/>
        <v>8.0916213241218157E-2</v>
      </c>
      <c r="H4" s="101"/>
      <c r="I4" s="101"/>
      <c r="J4" s="101"/>
      <c r="K4" s="101"/>
      <c r="L4" s="101"/>
      <c r="M4" s="101"/>
      <c r="N4" s="101"/>
      <c r="O4" s="101"/>
      <c r="P4" s="101" t="e">
        <f>VLOOKUP(A4,'BSE ALL CAP'!$B$4:$Y$1038,15,)</f>
        <v>#N/A</v>
      </c>
      <c r="Q4" s="101" t="e">
        <f>VLOOKUP(A4,'BSE ALL CAP'!$B$4:$Y$1038,16,)</f>
        <v>#N/A</v>
      </c>
      <c r="R4" s="101" t="e">
        <f>VLOOKUP(A4,'BSE ALL CAP'!$B$4:$Y$1038,17,)</f>
        <v>#N/A</v>
      </c>
      <c r="S4" s="101" t="e">
        <f>VLOOKUP(A4,'BSE ALL CAP'!$B$4:$Y$1038,18,)</f>
        <v>#N/A</v>
      </c>
      <c r="T4" s="101" t="e">
        <f>VLOOKUP(A4,'BSE ALL CAP'!$B$4:$Y$1038,19,)</f>
        <v>#N/A</v>
      </c>
      <c r="U4" s="101" t="e">
        <f>VLOOKUP(A4,'BSE ALL CAP'!$B$4:$Y$1038,20,)</f>
        <v>#N/A</v>
      </c>
      <c r="V4" s="101" t="e">
        <f>VLOOKUP(A4,'BSE ALL CAP'!$B$4:$Y$1038,21,)</f>
        <v>#N/A</v>
      </c>
      <c r="W4" s="101" t="e">
        <f>VLOOKUP(A4,'BSE ALL CAP'!$B$4:$Y$1038,22,)</f>
        <v>#N/A</v>
      </c>
      <c r="X4" s="101" t="e">
        <f>VLOOKUP(A4,'BSE ALL CAP'!$B$4:$Y$1038,23,)</f>
        <v>#N/A</v>
      </c>
      <c r="Y4" s="101" t="e">
        <f>VLOOKUP(A4,'BSE ALL CAP'!$B$4:$Y$1038,24,)</f>
        <v>#N/A</v>
      </c>
    </row>
    <row r="5" spans="1:25" ht="15.75" customHeight="1">
      <c r="A5" s="99">
        <v>543441</v>
      </c>
      <c r="B5" s="98" t="s">
        <v>4695</v>
      </c>
      <c r="C5" s="101" t="str">
        <f>VLOOKUP(A5,'BSE ALL CAP'!$B$4:$Y$1038,2,)</f>
        <v>Services</v>
      </c>
      <c r="D5" s="101" t="str">
        <f>VLOOKUP(A5,'BSE ALL CAP'!$B$4:$Y$1038,3,)</f>
        <v>Diversified Commercial Services</v>
      </c>
      <c r="E5" s="101">
        <f ca="1">IFERROR(__xludf.DUMMYFUNCTION("GOOGLEFINANCE(""BOM:""&amp;A5,""PRICE"")"),287.25)</f>
        <v>287.25</v>
      </c>
      <c r="F5" s="112">
        <f ca="1">IFERROR(__xludf.DUMMYFUNCTION("GOOGLEFINANCE(""BOM:""&amp;A5,""MARKETCAP"")/10000000"),4725.09625)</f>
        <v>4725.0962499999996</v>
      </c>
      <c r="G5" s="95">
        <f t="shared" ca="1" si="0"/>
        <v>6.4186757844077028E-2</v>
      </c>
      <c r="H5" s="101">
        <f>VLOOKUP(A5,'BSE ALL CAP'!$B$4:$Y$1038,7,)</f>
        <v>1854</v>
      </c>
      <c r="I5" s="101">
        <f>VLOOKUP(A5,'BSE ALL CAP'!$B$4:$Y$1038,8,)</f>
        <v>1805</v>
      </c>
      <c r="J5" s="101">
        <f>VLOOKUP(A5,'BSE ALL CAP'!$B$4:$Y$1038,9,)</f>
        <v>224</v>
      </c>
      <c r="K5" s="101">
        <f>VLOOKUP(A5,'BSE ALL CAP'!$B$4:$Y$1038,10,)</f>
        <v>274</v>
      </c>
      <c r="L5" s="101">
        <f>VLOOKUP(A5,'BSE ALL CAP'!$B$4:$Y$1038,11,)</f>
        <v>6182</v>
      </c>
      <c r="M5" s="101">
        <f>VLOOKUP(A5,'BSE ALL CAP'!$B$4:$Y$1038,12,)</f>
        <v>5815</v>
      </c>
      <c r="N5" s="101">
        <f>VLOOKUP(A5,'BSE ALL CAP'!$B$4:$Y$1038,13,)</f>
        <v>57</v>
      </c>
      <c r="O5" s="101">
        <f>VLOOKUP(A5,'BSE ALL CAP'!$B$4:$Y$1038,14,)</f>
        <v>93</v>
      </c>
      <c r="P5" s="95">
        <f>VLOOKUP(A5,'BSE ALL CAP'!$B$4:$Y$1038,15,)</f>
        <v>0.12081984897518878</v>
      </c>
      <c r="Q5" s="95">
        <f>VLOOKUP(A5,'BSE ALL CAP'!$B$4:$Y$1038,16,)</f>
        <v>0.15180055401662049</v>
      </c>
      <c r="R5" s="95">
        <f>VLOOKUP(A5,'BSE ALL CAP'!$B$4:$Y$1038,17,)</f>
        <v>-3.0980705041431703E-2</v>
      </c>
      <c r="S5" s="95">
        <f>VLOOKUP(A5,'BSE ALL CAP'!$B$4:$Y$1038,18,)</f>
        <v>9.2203170494985446E-3</v>
      </c>
      <c r="T5" s="95">
        <f>VLOOKUP(A5,'BSE ALL CAP'!$B$4:$Y$1038,19,)</f>
        <v>1.599312123817713E-2</v>
      </c>
      <c r="U5" s="95">
        <f>VLOOKUP(A5,'BSE ALL CAP'!$B$4:$Y$1038,20,)</f>
        <v>-6.7728041886785852E-3</v>
      </c>
      <c r="V5" s="95">
        <f>VLOOKUP(A5,'BSE ALL CAP'!$B$4:$Y$1038,21,)</f>
        <v>2.7146814404432229E-2</v>
      </c>
      <c r="W5" s="95">
        <f>VLOOKUP(A5,'BSE ALL CAP'!$B$4:$Y$1038,22,)</f>
        <v>-0.18248175182481752</v>
      </c>
      <c r="X5" s="95">
        <f>VLOOKUP(A5,'BSE ALL CAP'!$B$4:$Y$1038,23,)</f>
        <v>6.3112639724849595E-2</v>
      </c>
      <c r="Y5" s="95">
        <f>VLOOKUP(A5,'BSE ALL CAP'!$B$4:$Y$1038,24,)</f>
        <v>-0.38709677419354838</v>
      </c>
    </row>
    <row r="6" spans="1:25" ht="15.75" customHeight="1">
      <c r="A6" s="99">
        <v>500307</v>
      </c>
      <c r="B6" s="98" t="s">
        <v>4696</v>
      </c>
      <c r="C6" s="101" t="str">
        <f>VLOOKUP(A6,'BSE ALL CAP'!$B$4:$Y$1038,2,)</f>
        <v>Services</v>
      </c>
      <c r="D6" s="101" t="str">
        <f>VLOOKUP(A6,'BSE ALL CAP'!$B$4:$Y$1038,3,)</f>
        <v>Diversified Commercial Services</v>
      </c>
      <c r="E6" s="101">
        <f ca="1">IFERROR(__xludf.DUMMYFUNCTION("GOOGLEFINANCE(""BOM:""&amp;A6,""PRICE"")"),514.85)</f>
        <v>514.85</v>
      </c>
      <c r="F6" s="112">
        <f ca="1">IFERROR(__xludf.DUMMYFUNCTION("GOOGLEFINANCE(""BOM:""&amp;A6,""MARKETCAP"")/10000000"),4639.7265545)</f>
        <v>4639.7265545</v>
      </c>
      <c r="G6" s="95">
        <f t="shared" ca="1" si="0"/>
        <v>6.3027076922808789E-2</v>
      </c>
      <c r="H6" s="101">
        <f>VLOOKUP(A6,'BSE ALL CAP'!$B$4:$Y$1038,7,)</f>
        <v>498</v>
      </c>
      <c r="I6" s="101">
        <f>VLOOKUP(A6,'BSE ALL CAP'!$B$4:$Y$1038,8,)</f>
        <v>478</v>
      </c>
      <c r="J6" s="101">
        <f>VLOOKUP(A6,'BSE ALL CAP'!$B$4:$Y$1038,9,)</f>
        <v>275</v>
      </c>
      <c r="K6" s="101">
        <f>VLOOKUP(A6,'BSE ALL CAP'!$B$4:$Y$1038,10,)</f>
        <v>164</v>
      </c>
      <c r="L6" s="101">
        <f>VLOOKUP(A6,'BSE ALL CAP'!$B$4:$Y$1038,11,)</f>
        <v>169</v>
      </c>
      <c r="M6" s="101">
        <f>VLOOKUP(A6,'BSE ALL CAP'!$B$4:$Y$1038,12,)</f>
        <v>161</v>
      </c>
      <c r="N6" s="101">
        <f>VLOOKUP(A6,'BSE ALL CAP'!$B$4:$Y$1038,13,)</f>
        <v>69</v>
      </c>
      <c r="O6" s="101">
        <f>VLOOKUP(A6,'BSE ALL CAP'!$B$4:$Y$1038,14,)</f>
        <v>58</v>
      </c>
      <c r="P6" s="95">
        <f>VLOOKUP(A6,'BSE ALL CAP'!$B$4:$Y$1038,15,)</f>
        <v>0.55220883534136544</v>
      </c>
      <c r="Q6" s="95">
        <f>VLOOKUP(A6,'BSE ALL CAP'!$B$4:$Y$1038,16,)</f>
        <v>0.34309623430962344</v>
      </c>
      <c r="R6" s="95">
        <f>VLOOKUP(A6,'BSE ALL CAP'!$B$4:$Y$1038,17,)</f>
        <v>0.20911260103174201</v>
      </c>
      <c r="S6" s="95">
        <f>VLOOKUP(A6,'BSE ALL CAP'!$B$4:$Y$1038,18,)</f>
        <v>0.40828402366863903</v>
      </c>
      <c r="T6" s="95">
        <f>VLOOKUP(A6,'BSE ALL CAP'!$B$4:$Y$1038,19,)</f>
        <v>0.36024844720496896</v>
      </c>
      <c r="U6" s="95">
        <f>VLOOKUP(A6,'BSE ALL CAP'!$B$4:$Y$1038,20,)</f>
        <v>4.8035576463670071E-2</v>
      </c>
      <c r="V6" s="95">
        <f>VLOOKUP(A6,'BSE ALL CAP'!$B$4:$Y$1038,21,)</f>
        <v>4.1841004184100417E-2</v>
      </c>
      <c r="W6" s="95">
        <f>VLOOKUP(A6,'BSE ALL CAP'!$B$4:$Y$1038,22,)</f>
        <v>0.67682926829268286</v>
      </c>
      <c r="X6" s="95">
        <f>VLOOKUP(A6,'BSE ALL CAP'!$B$4:$Y$1038,23,)</f>
        <v>4.9689440993788914E-2</v>
      </c>
      <c r="Y6" s="95">
        <f>VLOOKUP(A6,'BSE ALL CAP'!$B$4:$Y$1038,24,)</f>
        <v>0.18965517241379315</v>
      </c>
    </row>
    <row r="7" spans="1:25" ht="15.75" customHeight="1">
      <c r="A7" s="99">
        <v>544447</v>
      </c>
      <c r="B7" s="98" t="s">
        <v>4697</v>
      </c>
      <c r="C7" s="101" t="e">
        <f>VLOOKUP(A7,'BSE ALL CAP'!$B$4:$Y$1038,2,)</f>
        <v>#N/A</v>
      </c>
      <c r="D7" s="101" t="e">
        <f>VLOOKUP(A7,'BSE ALL CAP'!$B$4:$Y$1038,3,)</f>
        <v>#N/A</v>
      </c>
      <c r="E7" s="101">
        <f ca="1">IFERROR(__xludf.DUMMYFUNCTION("GOOGLEFINANCE(""BOM:""&amp;A7,""PRICE"")"),382.3)</f>
        <v>382.3</v>
      </c>
      <c r="F7" s="112">
        <f ca="1">IFERROR(__xludf.DUMMYFUNCTION("GOOGLEFINANCE(""BOM:""&amp;A7,""MARKETCAP"")/10000000"),4389.9461794)</f>
        <v>4389.9461793999999</v>
      </c>
      <c r="G7" s="95">
        <f t="shared" ca="1" si="0"/>
        <v>5.963400478152777E-2</v>
      </c>
      <c r="H7" s="101"/>
      <c r="I7" s="101"/>
      <c r="J7" s="101"/>
      <c r="K7" s="101"/>
      <c r="L7" s="101"/>
      <c r="M7" s="101"/>
      <c r="N7" s="101"/>
      <c r="O7" s="101"/>
      <c r="P7" s="101" t="e">
        <f>VLOOKUP(A7,'BSE ALL CAP'!$B$4:$Y$1038,15,)</f>
        <v>#N/A</v>
      </c>
      <c r="Q7" s="101" t="e">
        <f>VLOOKUP(A7,'BSE ALL CAP'!$B$4:$Y$1038,16,)</f>
        <v>#N/A</v>
      </c>
      <c r="R7" s="101" t="e">
        <f>VLOOKUP(A7,'BSE ALL CAP'!$B$4:$Y$1038,17,)</f>
        <v>#N/A</v>
      </c>
      <c r="S7" s="101" t="e">
        <f>VLOOKUP(A7,'BSE ALL CAP'!$B$4:$Y$1038,18,)</f>
        <v>#N/A</v>
      </c>
      <c r="T7" s="101" t="e">
        <f>VLOOKUP(A7,'BSE ALL CAP'!$B$4:$Y$1038,19,)</f>
        <v>#N/A</v>
      </c>
      <c r="U7" s="101" t="e">
        <f>VLOOKUP(A7,'BSE ALL CAP'!$B$4:$Y$1038,20,)</f>
        <v>#N/A</v>
      </c>
      <c r="V7" s="101" t="e">
        <f>VLOOKUP(A7,'BSE ALL CAP'!$B$4:$Y$1038,21,)</f>
        <v>#N/A</v>
      </c>
      <c r="W7" s="101" t="e">
        <f>VLOOKUP(A7,'BSE ALL CAP'!$B$4:$Y$1038,22,)</f>
        <v>#N/A</v>
      </c>
      <c r="X7" s="101" t="e">
        <f>VLOOKUP(A7,'BSE ALL CAP'!$B$4:$Y$1038,23,)</f>
        <v>#N/A</v>
      </c>
      <c r="Y7" s="101" t="e">
        <f>VLOOKUP(A7,'BSE ALL CAP'!$B$4:$Y$1038,24,)</f>
        <v>#N/A</v>
      </c>
    </row>
    <row r="8" spans="1:25" ht="15.75" customHeight="1">
      <c r="A8" s="99">
        <v>543242</v>
      </c>
      <c r="B8" s="98" t="s">
        <v>4698</v>
      </c>
      <c r="C8" s="101" t="str">
        <f>VLOOKUP(A8,'BSE ALL CAP'!$B$4:$Y$1038,2,)</f>
        <v>Services</v>
      </c>
      <c r="D8" s="101" t="str">
        <f>VLOOKUP(A8,'BSE ALL CAP'!$B$4:$Y$1038,3,)</f>
        <v>Diversified Commercial Services</v>
      </c>
      <c r="E8" s="101">
        <f ca="1">IFERROR(__xludf.DUMMYFUNCTION("GOOGLEFINANCE(""BOM:""&amp;A8,""PRICE"")"),119.9)</f>
        <v>119.9</v>
      </c>
      <c r="F8" s="112">
        <f ca="1">IFERROR(__xludf.DUMMYFUNCTION("GOOGLEFINANCE(""BOM:""&amp;A8,""MARKETCAP"")/10000000"),3412.0200347)</f>
        <v>3412.0200347</v>
      </c>
      <c r="G8" s="95">
        <f t="shared" ca="1" si="0"/>
        <v>4.6349638639938434E-2</v>
      </c>
      <c r="H8" s="101">
        <f>VLOOKUP(A8,'BSE ALL CAP'!$B$4:$Y$1038,7,)</f>
        <v>4</v>
      </c>
      <c r="I8" s="101">
        <f>VLOOKUP(A8,'BSE ALL CAP'!$B$4:$Y$1038,8,)</f>
        <v>5</v>
      </c>
      <c r="J8" s="101">
        <f>VLOOKUP(A8,'BSE ALL CAP'!$B$4:$Y$1038,9,)</f>
        <v>-9</v>
      </c>
      <c r="K8" s="101">
        <f>VLOOKUP(A8,'BSE ALL CAP'!$B$4:$Y$1038,10,)</f>
        <v>-6</v>
      </c>
      <c r="L8" s="101">
        <f>VLOOKUP(A8,'BSE ALL CAP'!$B$4:$Y$1038,11,)</f>
        <v>1</v>
      </c>
      <c r="M8" s="101">
        <f>VLOOKUP(A8,'BSE ALL CAP'!$B$4:$Y$1038,12,)</f>
        <v>1</v>
      </c>
      <c r="N8" s="101">
        <f>VLOOKUP(A8,'BSE ALL CAP'!$B$4:$Y$1038,13,)</f>
        <v>-3</v>
      </c>
      <c r="O8" s="101">
        <f>VLOOKUP(A8,'BSE ALL CAP'!$B$4:$Y$1038,14,)</f>
        <v>-2</v>
      </c>
      <c r="P8" s="95">
        <f>VLOOKUP(A8,'BSE ALL CAP'!$B$4:$Y$1038,15,)</f>
        <v>-2.25</v>
      </c>
      <c r="Q8" s="95">
        <f>VLOOKUP(A8,'BSE ALL CAP'!$B$4:$Y$1038,16,)</f>
        <v>-1.2</v>
      </c>
      <c r="R8" s="95">
        <f>VLOOKUP(A8,'BSE ALL CAP'!$B$4:$Y$1038,17,)</f>
        <v>-1.05</v>
      </c>
      <c r="S8" s="95">
        <f>VLOOKUP(A8,'BSE ALL CAP'!$B$4:$Y$1038,18,)</f>
        <v>-3</v>
      </c>
      <c r="T8" s="95">
        <f>VLOOKUP(A8,'BSE ALL CAP'!$B$4:$Y$1038,19,)</f>
        <v>-2</v>
      </c>
      <c r="U8" s="95">
        <f>VLOOKUP(A8,'BSE ALL CAP'!$B$4:$Y$1038,20,)</f>
        <v>-1</v>
      </c>
      <c r="V8" s="95">
        <f>VLOOKUP(A8,'BSE ALL CAP'!$B$4:$Y$1038,21,)</f>
        <v>-0.19999999999999996</v>
      </c>
      <c r="W8" s="95">
        <f>VLOOKUP(A8,'BSE ALL CAP'!$B$4:$Y$1038,22,)</f>
        <v>0.5</v>
      </c>
      <c r="X8" s="95">
        <f>VLOOKUP(A8,'BSE ALL CAP'!$B$4:$Y$1038,23,)</f>
        <v>0</v>
      </c>
      <c r="Y8" s="95">
        <f>VLOOKUP(A8,'BSE ALL CAP'!$B$4:$Y$1038,24,)</f>
        <v>0.5</v>
      </c>
    </row>
    <row r="9" spans="1:25" ht="15.75" customHeight="1">
      <c r="A9" s="99">
        <v>544454</v>
      </c>
      <c r="B9" s="98" t="s">
        <v>4699</v>
      </c>
      <c r="C9" s="101" t="e">
        <f>VLOOKUP(A9,'BSE ALL CAP'!$B$4:$Y$1038,2,)</f>
        <v>#N/A</v>
      </c>
      <c r="D9" s="101" t="e">
        <f>VLOOKUP(A9,'BSE ALL CAP'!$B$4:$Y$1038,3,)</f>
        <v>#N/A</v>
      </c>
      <c r="E9" s="101">
        <f ca="1">IFERROR(__xludf.DUMMYFUNCTION("GOOGLEFINANCE(""BOM:""&amp;A9,""PRICE"")"),142.8)</f>
        <v>142.80000000000001</v>
      </c>
      <c r="F9" s="112">
        <f ca="1">IFERROR(__xludf.DUMMYFUNCTION("GOOGLEFINANCE(""BOM:""&amp;A9,""MARKETCAP"")/10000000"),3027.5376738)</f>
        <v>3027.5376738</v>
      </c>
      <c r="G9" s="95">
        <f t="shared" ca="1" si="0"/>
        <v>4.1126744779436161E-2</v>
      </c>
      <c r="H9" s="101"/>
      <c r="I9" s="101"/>
      <c r="J9" s="101"/>
      <c r="K9" s="101"/>
      <c r="L9" s="101"/>
      <c r="M9" s="101"/>
      <c r="N9" s="101"/>
      <c r="O9" s="101"/>
      <c r="P9" s="101" t="e">
        <f>VLOOKUP(A9,'BSE ALL CAP'!$B$4:$Y$1038,15,)</f>
        <v>#N/A</v>
      </c>
      <c r="Q9" s="101" t="e">
        <f>VLOOKUP(A9,'BSE ALL CAP'!$B$4:$Y$1038,16,)</f>
        <v>#N/A</v>
      </c>
      <c r="R9" s="101" t="e">
        <f>VLOOKUP(A9,'BSE ALL CAP'!$B$4:$Y$1038,17,)</f>
        <v>#N/A</v>
      </c>
      <c r="S9" s="101" t="e">
        <f>VLOOKUP(A9,'BSE ALL CAP'!$B$4:$Y$1038,18,)</f>
        <v>#N/A</v>
      </c>
      <c r="T9" s="101" t="e">
        <f>VLOOKUP(A9,'BSE ALL CAP'!$B$4:$Y$1038,19,)</f>
        <v>#N/A</v>
      </c>
      <c r="U9" s="101" t="e">
        <f>VLOOKUP(A9,'BSE ALL CAP'!$B$4:$Y$1038,20,)</f>
        <v>#N/A</v>
      </c>
      <c r="V9" s="101" t="e">
        <f>VLOOKUP(A9,'BSE ALL CAP'!$B$4:$Y$1038,21,)</f>
        <v>#N/A</v>
      </c>
      <c r="W9" s="101" t="e">
        <f>VLOOKUP(A9,'BSE ALL CAP'!$B$4:$Y$1038,22,)</f>
        <v>#N/A</v>
      </c>
      <c r="X9" s="101" t="e">
        <f>VLOOKUP(A9,'BSE ALL CAP'!$B$4:$Y$1038,23,)</f>
        <v>#N/A</v>
      </c>
      <c r="Y9" s="101" t="e">
        <f>VLOOKUP(A9,'BSE ALL CAP'!$B$4:$Y$1038,24,)</f>
        <v>#N/A</v>
      </c>
    </row>
    <row r="10" spans="1:25" ht="15.75" customHeight="1">
      <c r="A10" s="99">
        <v>512008</v>
      </c>
      <c r="B10" s="98" t="s">
        <v>4700</v>
      </c>
      <c r="C10" s="101" t="str">
        <f>VLOOKUP(A10,'BSE ALL CAP'!$B$4:$Y$1038,2,)</f>
        <v>Services</v>
      </c>
      <c r="D10" s="101" t="str">
        <f>VLOOKUP(A10,'BSE ALL CAP'!$B$4:$Y$1038,3,)</f>
        <v>Diversified Commercial Services</v>
      </c>
      <c r="E10" s="101">
        <f ca="1">IFERROR(__xludf.DUMMYFUNCTION("GOOGLEFINANCE(""BOM:""&amp;A10,""PRICE"")"),193.4)</f>
        <v>193.4</v>
      </c>
      <c r="F10" s="112">
        <f ca="1">IFERROR(__xludf.DUMMYFUNCTION("GOOGLEFINANCE(""BOM:""&amp;A10,""MARKETCAP"")/10000000"),2659.0402712)</f>
        <v>2659.0402712</v>
      </c>
      <c r="G10" s="95">
        <f t="shared" ca="1" si="0"/>
        <v>3.6120994145921008E-2</v>
      </c>
      <c r="H10" s="101">
        <f>VLOOKUP(A10,'BSE ALL CAP'!$B$4:$Y$1038,7,)</f>
        <v>743</v>
      </c>
      <c r="I10" s="101">
        <f>VLOOKUP(A10,'BSE ALL CAP'!$B$4:$Y$1038,8,)</f>
        <v>445</v>
      </c>
      <c r="J10" s="101">
        <f>VLOOKUP(A10,'BSE ALL CAP'!$B$4:$Y$1038,9,)</f>
        <v>165</v>
      </c>
      <c r="K10" s="101">
        <f>VLOOKUP(A10,'BSE ALL CAP'!$B$4:$Y$1038,10,)</f>
        <v>92</v>
      </c>
      <c r="L10" s="101">
        <f>VLOOKUP(A10,'BSE ALL CAP'!$B$4:$Y$1038,11,)</f>
        <v>269</v>
      </c>
      <c r="M10" s="101">
        <f>VLOOKUP(A10,'BSE ALL CAP'!$B$4:$Y$1038,12,)</f>
        <v>177</v>
      </c>
      <c r="N10" s="101">
        <f>VLOOKUP(A10,'BSE ALL CAP'!$B$4:$Y$1038,13,)</f>
        <v>62</v>
      </c>
      <c r="O10" s="101">
        <f>VLOOKUP(A10,'BSE ALL CAP'!$B$4:$Y$1038,14,)</f>
        <v>40</v>
      </c>
      <c r="P10" s="95">
        <f>VLOOKUP(A10,'BSE ALL CAP'!$B$4:$Y$1038,15,)</f>
        <v>0.22207267833109018</v>
      </c>
      <c r="Q10" s="95">
        <f>VLOOKUP(A10,'BSE ALL CAP'!$B$4:$Y$1038,16,)</f>
        <v>0.20674157303370785</v>
      </c>
      <c r="R10" s="95">
        <f>VLOOKUP(A10,'BSE ALL CAP'!$B$4:$Y$1038,17,)</f>
        <v>1.5331105297382325E-2</v>
      </c>
      <c r="S10" s="95">
        <f>VLOOKUP(A10,'BSE ALL CAP'!$B$4:$Y$1038,18,)</f>
        <v>0.23048327137546468</v>
      </c>
      <c r="T10" s="95">
        <f>VLOOKUP(A10,'BSE ALL CAP'!$B$4:$Y$1038,19,)</f>
        <v>0.22598870056497175</v>
      </c>
      <c r="U10" s="95">
        <f>VLOOKUP(A10,'BSE ALL CAP'!$B$4:$Y$1038,20,)</f>
        <v>4.4945708104929261E-3</v>
      </c>
      <c r="V10" s="95">
        <f>VLOOKUP(A10,'BSE ALL CAP'!$B$4:$Y$1038,21,)</f>
        <v>0.66966292134831451</v>
      </c>
      <c r="W10" s="95">
        <f>VLOOKUP(A10,'BSE ALL CAP'!$B$4:$Y$1038,22,)</f>
        <v>0.79347826086956519</v>
      </c>
      <c r="X10" s="95">
        <f>VLOOKUP(A10,'BSE ALL CAP'!$B$4:$Y$1038,23,)</f>
        <v>0.51977401129943512</v>
      </c>
      <c r="Y10" s="95">
        <f>VLOOKUP(A10,'BSE ALL CAP'!$B$4:$Y$1038,24,)</f>
        <v>0.55000000000000004</v>
      </c>
    </row>
    <row r="11" spans="1:25" ht="15.75" customHeight="1">
      <c r="A11" s="99">
        <v>539978</v>
      </c>
      <c r="B11" s="98" t="s">
        <v>4701</v>
      </c>
      <c r="C11" s="101" t="str">
        <f>VLOOKUP(A11,'BSE ALL CAP'!$B$4:$Y$1038,2,)</f>
        <v>Services</v>
      </c>
      <c r="D11" s="101" t="str">
        <f>VLOOKUP(A11,'BSE ALL CAP'!$B$4:$Y$1038,3,)</f>
        <v>Diversified Commercial Services</v>
      </c>
      <c r="E11" s="101">
        <f ca="1">IFERROR(__xludf.DUMMYFUNCTION("GOOGLEFINANCE(""BOM:""&amp;A11,""PRICE"")"),179.1)</f>
        <v>179.1</v>
      </c>
      <c r="F11" s="112">
        <f ca="1">IFERROR(__xludf.DUMMYFUNCTION("GOOGLEFINANCE(""BOM:""&amp;A11,""MARKETCAP"")/10000000"),2656.4041265)</f>
        <v>2656.4041265000001</v>
      </c>
      <c r="G11" s="95">
        <f t="shared" ca="1" si="0"/>
        <v>3.608518417030393E-2</v>
      </c>
      <c r="H11" s="101">
        <f>VLOOKUP(A11,'BSE ALL CAP'!$B$4:$Y$1038,7,)</f>
        <v>11412</v>
      </c>
      <c r="I11" s="101">
        <f>VLOOKUP(A11,'BSE ALL CAP'!$B$4:$Y$1038,8,)</f>
        <v>11310</v>
      </c>
      <c r="J11" s="101">
        <f>VLOOKUP(A11,'BSE ALL CAP'!$B$4:$Y$1038,9,)</f>
        <v>157</v>
      </c>
      <c r="K11" s="101">
        <f>VLOOKUP(A11,'BSE ALL CAP'!$B$4:$Y$1038,10,)</f>
        <v>141</v>
      </c>
      <c r="L11" s="101">
        <f>VLOOKUP(A11,'BSE ALL CAP'!$B$4:$Y$1038,11,)</f>
        <v>3929</v>
      </c>
      <c r="M11" s="101">
        <f>VLOOKUP(A11,'BSE ALL CAP'!$B$4:$Y$1038,12,)</f>
        <v>4019</v>
      </c>
      <c r="N11" s="101">
        <f>VLOOKUP(A11,'BSE ALL CAP'!$B$4:$Y$1038,13,)</f>
        <v>55</v>
      </c>
      <c r="O11" s="101">
        <f>VLOOKUP(A11,'BSE ALL CAP'!$B$4:$Y$1038,14,)</f>
        <v>41</v>
      </c>
      <c r="P11" s="95">
        <f>VLOOKUP(A11,'BSE ALL CAP'!$B$4:$Y$1038,15,)</f>
        <v>1.3757448300035051E-2</v>
      </c>
      <c r="Q11" s="95">
        <f>VLOOKUP(A11,'BSE ALL CAP'!$B$4:$Y$1038,16,)</f>
        <v>1.246684350132626E-2</v>
      </c>
      <c r="R11" s="95">
        <f>VLOOKUP(A11,'BSE ALL CAP'!$B$4:$Y$1038,17,)</f>
        <v>1.2906047987087908E-3</v>
      </c>
      <c r="S11" s="95">
        <f>VLOOKUP(A11,'BSE ALL CAP'!$B$4:$Y$1038,18,)</f>
        <v>1.3998472893866123E-2</v>
      </c>
      <c r="T11" s="95">
        <f>VLOOKUP(A11,'BSE ALL CAP'!$B$4:$Y$1038,19,)</f>
        <v>1.0201542672306545E-2</v>
      </c>
      <c r="U11" s="95">
        <f>VLOOKUP(A11,'BSE ALL CAP'!$B$4:$Y$1038,20,)</f>
        <v>3.7969302215595784E-3</v>
      </c>
      <c r="V11" s="95">
        <f>VLOOKUP(A11,'BSE ALL CAP'!$B$4:$Y$1038,21,)</f>
        <v>9.0185676392573466E-3</v>
      </c>
      <c r="W11" s="95">
        <f>VLOOKUP(A11,'BSE ALL CAP'!$B$4:$Y$1038,22,)</f>
        <v>0.11347517730496448</v>
      </c>
      <c r="X11" s="95">
        <f>VLOOKUP(A11,'BSE ALL CAP'!$B$4:$Y$1038,23,)</f>
        <v>-2.2393630256282604E-2</v>
      </c>
      <c r="Y11" s="95">
        <f>VLOOKUP(A11,'BSE ALL CAP'!$B$4:$Y$1038,24,)</f>
        <v>0.34146341463414642</v>
      </c>
    </row>
    <row r="12" spans="1:25" ht="15.75" customHeight="1">
      <c r="A12" s="99">
        <v>530073</v>
      </c>
      <c r="B12" s="98" t="s">
        <v>4702</v>
      </c>
      <c r="C12" s="101" t="str">
        <f>VLOOKUP(A12,'BSE ALL CAP'!$B$4:$Y$1038,2,)</f>
        <v>Services</v>
      </c>
      <c r="D12" s="101" t="str">
        <f>VLOOKUP(A12,'BSE ALL CAP'!$B$4:$Y$1038,3,)</f>
        <v>Diversified Commercial Services</v>
      </c>
      <c r="E12" s="101">
        <f ca="1">IFERROR(__xludf.DUMMYFUNCTION("GOOGLEFINANCE(""BOM:""&amp;A12,""PRICE"")"),279.8)</f>
        <v>279.8</v>
      </c>
      <c r="F12" s="112">
        <f ca="1">IFERROR(__xludf.DUMMYFUNCTION("GOOGLEFINANCE(""BOM:""&amp;A12,""MARKETCAP"")/10000000"),2411.9204737)</f>
        <v>2411.9204737</v>
      </c>
      <c r="G12" s="95">
        <f t="shared" ca="1" si="0"/>
        <v>3.2764063882202071E-2</v>
      </c>
      <c r="H12" s="101">
        <f>VLOOKUP(A12,'BSE ALL CAP'!$B$4:$Y$1038,7,)</f>
        <v>739</v>
      </c>
      <c r="I12" s="101">
        <f>VLOOKUP(A12,'BSE ALL CAP'!$B$4:$Y$1038,8,)</f>
        <v>548</v>
      </c>
      <c r="J12" s="101">
        <f>VLOOKUP(A12,'BSE ALL CAP'!$B$4:$Y$1038,9,)</f>
        <v>115</v>
      </c>
      <c r="K12" s="101">
        <f>VLOOKUP(A12,'BSE ALL CAP'!$B$4:$Y$1038,10,)</f>
        <v>102</v>
      </c>
      <c r="L12" s="101">
        <f>VLOOKUP(A12,'BSE ALL CAP'!$B$4:$Y$1038,11,)</f>
        <v>235</v>
      </c>
      <c r="M12" s="101">
        <f>VLOOKUP(A12,'BSE ALL CAP'!$B$4:$Y$1038,12,)</f>
        <v>207</v>
      </c>
      <c r="N12" s="101">
        <f>VLOOKUP(A12,'BSE ALL CAP'!$B$4:$Y$1038,13,)</f>
        <v>28</v>
      </c>
      <c r="O12" s="101">
        <f>VLOOKUP(A12,'BSE ALL CAP'!$B$4:$Y$1038,14,)</f>
        <v>33</v>
      </c>
      <c r="P12" s="95">
        <f>VLOOKUP(A12,'BSE ALL CAP'!$B$4:$Y$1038,15,)</f>
        <v>0.15561569688768606</v>
      </c>
      <c r="Q12" s="95">
        <f>VLOOKUP(A12,'BSE ALL CAP'!$B$4:$Y$1038,16,)</f>
        <v>0.18613138686131386</v>
      </c>
      <c r="R12" s="95">
        <f>VLOOKUP(A12,'BSE ALL CAP'!$B$4:$Y$1038,17,)</f>
        <v>-3.0515689973627802E-2</v>
      </c>
      <c r="S12" s="95">
        <f>VLOOKUP(A12,'BSE ALL CAP'!$B$4:$Y$1038,18,)</f>
        <v>0.11914893617021277</v>
      </c>
      <c r="T12" s="95">
        <f>VLOOKUP(A12,'BSE ALL CAP'!$B$4:$Y$1038,19,)</f>
        <v>0.15942028985507245</v>
      </c>
      <c r="U12" s="95">
        <f>VLOOKUP(A12,'BSE ALL CAP'!$B$4:$Y$1038,20,)</f>
        <v>-4.0271353684859679E-2</v>
      </c>
      <c r="V12" s="95">
        <f>VLOOKUP(A12,'BSE ALL CAP'!$B$4:$Y$1038,21,)</f>
        <v>0.3485401459854014</v>
      </c>
      <c r="W12" s="95">
        <f>VLOOKUP(A12,'BSE ALL CAP'!$B$4:$Y$1038,22,)</f>
        <v>0.12745098039215685</v>
      </c>
      <c r="X12" s="95">
        <f>VLOOKUP(A12,'BSE ALL CAP'!$B$4:$Y$1038,23,)</f>
        <v>0.13526570048309172</v>
      </c>
      <c r="Y12" s="95">
        <f>VLOOKUP(A12,'BSE ALL CAP'!$B$4:$Y$1038,24,)</f>
        <v>-0.15151515151515149</v>
      </c>
    </row>
    <row r="13" spans="1:25" ht="15.75" customHeight="1">
      <c r="A13" s="99">
        <v>533520</v>
      </c>
      <c r="B13" s="98" t="s">
        <v>4703</v>
      </c>
      <c r="C13" s="101" t="e">
        <f>VLOOKUP(A13,'BSE ALL CAP'!$B$4:$Y$1038,2,)</f>
        <v>#N/A</v>
      </c>
      <c r="D13" s="101" t="e">
        <f>VLOOKUP(A13,'BSE ALL CAP'!$B$4:$Y$1038,3,)</f>
        <v>#N/A</v>
      </c>
      <c r="E13" s="101">
        <f ca="1">IFERROR(__xludf.DUMMYFUNCTION("GOOGLEFINANCE(""BOM:""&amp;A13,""PRICE"")"),10.81)</f>
        <v>10.81</v>
      </c>
      <c r="F13" s="112"/>
      <c r="G13" s="95">
        <f t="shared" ca="1" si="0"/>
        <v>0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539658</v>
      </c>
      <c r="B14" s="98" t="s">
        <v>4704</v>
      </c>
      <c r="C14" s="101" t="str">
        <f>VLOOKUP(A14,'BSE ALL CAP'!$B$4:$Y$1038,2,)</f>
        <v>Services</v>
      </c>
      <c r="D14" s="101" t="str">
        <f>VLOOKUP(A14,'BSE ALL CAP'!$B$4:$Y$1038,3,)</f>
        <v>Diversified Commercial Services</v>
      </c>
      <c r="E14" s="101">
        <f ca="1">IFERROR(__xludf.DUMMYFUNCTION("GOOGLEFINANCE(""BOM:""&amp;A14,""PRICE"")"),1178.9)</f>
        <v>1178.9000000000001</v>
      </c>
      <c r="F14" s="112">
        <f ca="1">IFERROR(__xludf.DUMMYFUNCTION("GOOGLEFINANCE(""BOM:""&amp;A14,""MARKETCAP"")/10000000"),1975.1414673)</f>
        <v>1975.1414672999999</v>
      </c>
      <c r="G14" s="95">
        <f t="shared" ca="1" si="0"/>
        <v>2.6830760763736843E-2</v>
      </c>
      <c r="H14" s="101">
        <f>VLOOKUP(A14,'BSE ALL CAP'!$B$4:$Y$1038,7,)</f>
        <v>8936</v>
      </c>
      <c r="I14" s="101">
        <f>VLOOKUP(A14,'BSE ALL CAP'!$B$4:$Y$1038,8,)</f>
        <v>8298</v>
      </c>
      <c r="J14" s="101">
        <f>VLOOKUP(A14,'BSE ALL CAP'!$B$4:$Y$1038,9,)</f>
        <v>95</v>
      </c>
      <c r="K14" s="101">
        <f>VLOOKUP(A14,'BSE ALL CAP'!$B$4:$Y$1038,10,)</f>
        <v>76</v>
      </c>
      <c r="L14" s="101">
        <f>VLOOKUP(A14,'BSE ALL CAP'!$B$4:$Y$1038,11,)</f>
        <v>3013</v>
      </c>
      <c r="M14" s="101">
        <f>VLOOKUP(A14,'BSE ALL CAP'!$B$4:$Y$1038,12,)</f>
        <v>2921</v>
      </c>
      <c r="N14" s="101">
        <f>VLOOKUP(A14,'BSE ALL CAP'!$B$4:$Y$1038,13,)</f>
        <v>42</v>
      </c>
      <c r="O14" s="101">
        <f>VLOOKUP(A14,'BSE ALL CAP'!$B$4:$Y$1038,14,)</f>
        <v>28</v>
      </c>
      <c r="P14" s="95">
        <f>VLOOKUP(A14,'BSE ALL CAP'!$B$4:$Y$1038,15,)</f>
        <v>1.0631154879140556E-2</v>
      </c>
      <c r="Q14" s="95">
        <f>VLOOKUP(A14,'BSE ALL CAP'!$B$4:$Y$1038,16,)</f>
        <v>9.1588334538443006E-3</v>
      </c>
      <c r="R14" s="95">
        <f>VLOOKUP(A14,'BSE ALL CAP'!$B$4:$Y$1038,17,)</f>
        <v>1.4723214252962552E-3</v>
      </c>
      <c r="S14" s="95">
        <f>VLOOKUP(A14,'BSE ALL CAP'!$B$4:$Y$1038,18,)</f>
        <v>1.3939595087952207E-2</v>
      </c>
      <c r="T14" s="95">
        <f>VLOOKUP(A14,'BSE ALL CAP'!$B$4:$Y$1038,19,)</f>
        <v>9.5857583019513873E-3</v>
      </c>
      <c r="U14" s="95">
        <f>VLOOKUP(A14,'BSE ALL CAP'!$B$4:$Y$1038,20,)</f>
        <v>4.3538367860008198E-3</v>
      </c>
      <c r="V14" s="95">
        <f>VLOOKUP(A14,'BSE ALL CAP'!$B$4:$Y$1038,21,)</f>
        <v>7.6885996625692954E-2</v>
      </c>
      <c r="W14" s="95">
        <f>VLOOKUP(A14,'BSE ALL CAP'!$B$4:$Y$1038,22,)</f>
        <v>0.25</v>
      </c>
      <c r="X14" s="95">
        <f>VLOOKUP(A14,'BSE ALL CAP'!$B$4:$Y$1038,23,)</f>
        <v>3.1496062992125928E-2</v>
      </c>
      <c r="Y14" s="95">
        <f>VLOOKUP(A14,'BSE ALL CAP'!$B$4:$Y$1038,24,)</f>
        <v>0.5</v>
      </c>
    </row>
    <row r="15" spans="1:25" ht="15.75" customHeight="1">
      <c r="A15" s="99">
        <v>544181</v>
      </c>
      <c r="B15" s="98" t="s">
        <v>4705</v>
      </c>
      <c r="C15" s="101" t="str">
        <f>VLOOKUP(A15,'BSE ALL CAP'!$B$4:$Y$1038,2,)</f>
        <v>Services</v>
      </c>
      <c r="D15" s="101" t="str">
        <f>VLOOKUP(A15,'BSE ALL CAP'!$B$4:$Y$1038,3,)</f>
        <v>Diversified Commercial Services</v>
      </c>
      <c r="E15" s="101">
        <f ca="1">IFERROR(__xludf.DUMMYFUNCTION("GOOGLEFINANCE(""BOM:""&amp;A15,""PRICE"")"),268.35)</f>
        <v>268.35000000000002</v>
      </c>
      <c r="F15" s="112">
        <f ca="1">IFERROR(__xludf.DUMMYFUNCTION("GOOGLEFINANCE(""BOM:""&amp;A15,""MARKETCAP"")/10000000"),1913.843574)</f>
        <v>1913.843574</v>
      </c>
      <c r="G15" s="95">
        <f t="shared" ca="1" si="0"/>
        <v>2.5998076554690483E-2</v>
      </c>
      <c r="H15" s="101">
        <f>VLOOKUP(A15,'BSE ALL CAP'!$B$4:$Y$1038,7,)</f>
        <v>1083</v>
      </c>
      <c r="I15" s="101">
        <f>VLOOKUP(A15,'BSE ALL CAP'!$B$4:$Y$1038,8,)</f>
        <v>867</v>
      </c>
      <c r="J15" s="101">
        <f>VLOOKUP(A15,'BSE ALL CAP'!$B$4:$Y$1038,9,)</f>
        <v>47</v>
      </c>
      <c r="K15" s="101">
        <f>VLOOKUP(A15,'BSE ALL CAP'!$B$4:$Y$1038,10,)</f>
        <v>56</v>
      </c>
      <c r="L15" s="101">
        <f>VLOOKUP(A15,'BSE ALL CAP'!$B$4:$Y$1038,11,)</f>
        <v>381</v>
      </c>
      <c r="M15" s="101">
        <f>VLOOKUP(A15,'BSE ALL CAP'!$B$4:$Y$1038,12,)</f>
        <v>317</v>
      </c>
      <c r="N15" s="101">
        <f>VLOOKUP(A15,'BSE ALL CAP'!$B$4:$Y$1038,13,)</f>
        <v>21</v>
      </c>
      <c r="O15" s="101">
        <f>VLOOKUP(A15,'BSE ALL CAP'!$B$4:$Y$1038,14,)</f>
        <v>15</v>
      </c>
      <c r="P15" s="95">
        <f>VLOOKUP(A15,'BSE ALL CAP'!$B$4:$Y$1038,15,)</f>
        <v>4.339796860572484E-2</v>
      </c>
      <c r="Q15" s="95">
        <f>VLOOKUP(A15,'BSE ALL CAP'!$B$4:$Y$1038,16,)</f>
        <v>6.4590542099192613E-2</v>
      </c>
      <c r="R15" s="95">
        <f>VLOOKUP(A15,'BSE ALL CAP'!$B$4:$Y$1038,17,)</f>
        <v>-2.1192573493467773E-2</v>
      </c>
      <c r="S15" s="95">
        <f>VLOOKUP(A15,'BSE ALL CAP'!$B$4:$Y$1038,18,)</f>
        <v>5.5118110236220472E-2</v>
      </c>
      <c r="T15" s="95">
        <f>VLOOKUP(A15,'BSE ALL CAP'!$B$4:$Y$1038,19,)</f>
        <v>4.7318611987381701E-2</v>
      </c>
      <c r="U15" s="95">
        <f>VLOOKUP(A15,'BSE ALL CAP'!$B$4:$Y$1038,20,)</f>
        <v>7.799498248838771E-3</v>
      </c>
      <c r="V15" s="95">
        <f>VLOOKUP(A15,'BSE ALL CAP'!$B$4:$Y$1038,21,)</f>
        <v>0.24913494809688586</v>
      </c>
      <c r="W15" s="95">
        <f>VLOOKUP(A15,'BSE ALL CAP'!$B$4:$Y$1038,22,)</f>
        <v>-0.1607142857142857</v>
      </c>
      <c r="X15" s="95">
        <f>VLOOKUP(A15,'BSE ALL CAP'!$B$4:$Y$1038,23,)</f>
        <v>0.20189274447949535</v>
      </c>
      <c r="Y15" s="95">
        <f>VLOOKUP(A15,'BSE ALL CAP'!$B$4:$Y$1038,24,)</f>
        <v>0.39999999999999991</v>
      </c>
    </row>
    <row r="16" spans="1:25" ht="15.75" customHeight="1">
      <c r="A16" s="99">
        <v>512025</v>
      </c>
      <c r="B16" s="98" t="s">
        <v>4706</v>
      </c>
      <c r="C16" s="101"/>
      <c r="D16" s="101"/>
      <c r="E16" s="101">
        <f ca="1">IFERROR(__xludf.DUMMYFUNCTION("GOOGLEFINANCE(""BOM:""&amp;A16,""PRICE"")"),44.5)</f>
        <v>44.5</v>
      </c>
      <c r="F16" s="112">
        <f ca="1">IFERROR(__xludf.DUMMYFUNCTION("GOOGLEFINANCE(""BOM:""&amp;A16,""MARKETCAP"")/10000000"),1386.32096)</f>
        <v>1386.32096</v>
      </c>
      <c r="G16" s="95">
        <f t="shared" ca="1" si="0"/>
        <v>1.8832092098375434E-2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505400</v>
      </c>
      <c r="B17" s="98" t="s">
        <v>4707</v>
      </c>
      <c r="C17" s="101" t="e">
        <f>VLOOKUP(A17,'BSE ALL CAP'!$B$4:$Y$1038,2,)</f>
        <v>#N/A</v>
      </c>
      <c r="D17" s="101" t="e">
        <f>VLOOKUP(A17,'BSE ALL CAP'!$B$4:$Y$1038,3,)</f>
        <v>#N/A</v>
      </c>
      <c r="E17" s="101">
        <f ca="1">IFERROR(__xludf.DUMMYFUNCTION("GOOGLEFINANCE(""BOM:""&amp;A17,""PRICE"")"),97.8)</f>
        <v>97.8</v>
      </c>
      <c r="F17" s="112">
        <f ca="1">IFERROR(__xludf.DUMMYFUNCTION("GOOGLEFINANCE(""BOM:""&amp;A17,""MARKETCAP"")/10000000"),1239.023175)</f>
        <v>1239.023175</v>
      </c>
      <c r="G17" s="95">
        <f t="shared" ca="1" si="0"/>
        <v>1.6831166242788066E-2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526935</v>
      </c>
      <c r="B18" s="98" t="s">
        <v>4708</v>
      </c>
      <c r="C18" s="101" t="e">
        <f>VLOOKUP(A18,'BSE ALL CAP'!$B$4:$Y$1038,2,)</f>
        <v>#N/A</v>
      </c>
      <c r="D18" s="101" t="e">
        <f>VLOOKUP(A18,'BSE ALL CAP'!$B$4:$Y$1038,3,)</f>
        <v>#N/A</v>
      </c>
      <c r="E18" s="101">
        <f ca="1">IFERROR(__xludf.DUMMYFUNCTION("GOOGLEFINANCE(""BOM:""&amp;A18,""PRICE"")"),105)</f>
        <v>105</v>
      </c>
      <c r="F18" s="112">
        <f ca="1">IFERROR(__xludf.DUMMYFUNCTION("GOOGLEFINANCE(""BOM:""&amp;A18,""MARKETCAP"")/10000000"),1279.84395)</f>
        <v>1279.8439499999999</v>
      </c>
      <c r="G18" s="95">
        <f t="shared" ca="1" si="0"/>
        <v>1.7385684724804711E-2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543996</v>
      </c>
      <c r="B19" s="98" t="s">
        <v>4709</v>
      </c>
      <c r="C19" s="101" t="e">
        <f>VLOOKUP(A19,'BSE ALL CAP'!$B$4:$Y$1038,2,)</f>
        <v>#N/A</v>
      </c>
      <c r="D19" s="101" t="e">
        <f>VLOOKUP(A19,'BSE ALL CAP'!$B$4:$Y$1038,3,)</f>
        <v>#N/A</v>
      </c>
      <c r="E19" s="101">
        <f ca="1">IFERROR(__xludf.DUMMYFUNCTION("GOOGLEFINANCE(""BOM:""&amp;A19,""PRICE"")"),145.15)</f>
        <v>145.15</v>
      </c>
      <c r="F19" s="112">
        <f ca="1">IFERROR(__xludf.DUMMYFUNCTION("GOOGLEFINANCE(""BOM:""&amp;A19,""MARKETCAP"")/10000000"),974.0357069)</f>
        <v>974.03570690000004</v>
      </c>
      <c r="G19" s="95">
        <f t="shared" ca="1" si="0"/>
        <v>1.323151756967378E-2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544414</v>
      </c>
      <c r="B20" s="98" t="s">
        <v>4710</v>
      </c>
      <c r="C20" s="101"/>
      <c r="D20" s="101"/>
      <c r="E20" s="101">
        <f ca="1">IFERROR(__xludf.DUMMYFUNCTION("GOOGLEFINANCE(""BOM:""&amp;A20,""PRICE"")"),61.48)</f>
        <v>61.48</v>
      </c>
      <c r="F20" s="112">
        <f ca="1">IFERROR(__xludf.DUMMYFUNCTION("GOOGLEFINANCE(""BOM:""&amp;A20,""MARKETCAP"")/10000000"),912.988571)</f>
        <v>912.98857099999998</v>
      </c>
      <c r="G20" s="95">
        <f t="shared" ca="1" si="0"/>
        <v>1.2402239704892133E-2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512014</v>
      </c>
      <c r="B21" s="98" t="s">
        <v>4711</v>
      </c>
      <c r="C21" s="101"/>
      <c r="D21" s="101"/>
      <c r="E21" s="101">
        <f ca="1">IFERROR(__xludf.DUMMYFUNCTION("GOOGLEFINANCE(""BOM:""&amp;A21,""PRICE"")"),877.6)</f>
        <v>877.6</v>
      </c>
      <c r="F21" s="112">
        <f ca="1">IFERROR(__xludf.DUMMYFUNCTION("GOOGLEFINANCE(""BOM:""&amp;A21,""MARKETCAP"")/10000000"),855.5283361)</f>
        <v>855.52833610000005</v>
      </c>
      <c r="G21" s="95">
        <f t="shared" ca="1" si="0"/>
        <v>1.1621687100658923E-2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544149</v>
      </c>
      <c r="B22" s="98" t="s">
        <v>4712</v>
      </c>
      <c r="C22" s="101"/>
      <c r="D22" s="101"/>
      <c r="E22" s="101">
        <f ca="1">IFERROR(__xludf.DUMMYFUNCTION("GOOGLEFINANCE(""BOM:""&amp;A22,""PRICE"")"),543.3)</f>
        <v>543.29999999999995</v>
      </c>
      <c r="F22" s="112">
        <f ca="1">IFERROR(__xludf.DUMMYFUNCTION("GOOGLEFINANCE(""BOM:""&amp;A22,""MARKETCAP"")/10000000"),760.0042373)</f>
        <v>760.0042373</v>
      </c>
      <c r="G22" s="95">
        <f t="shared" ca="1" si="0"/>
        <v>1.0324066507649988E-2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543986</v>
      </c>
      <c r="B23" s="98" t="s">
        <v>4713</v>
      </c>
      <c r="C23" s="101"/>
      <c r="D23" s="101"/>
      <c r="E23" s="101">
        <f ca="1">IFERROR(__xludf.DUMMYFUNCTION("GOOGLEFINANCE(""BOM:""&amp;A23,""PRICE"")"),219.2)</f>
        <v>219.2</v>
      </c>
      <c r="F23" s="112">
        <f ca="1">IFERROR(__xludf.DUMMYFUNCTION("GOOGLEFINANCE(""BOM:""&amp;A23,""MARKETCAP"")/10000000"),656.2304063)</f>
        <v>656.23040630000003</v>
      </c>
      <c r="G23" s="95">
        <f t="shared" ca="1" si="0"/>
        <v>8.9143797185292015E-3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509220</v>
      </c>
      <c r="B24" s="98" t="s">
        <v>4714</v>
      </c>
      <c r="C24" s="101"/>
      <c r="D24" s="101"/>
      <c r="E24" s="101">
        <f ca="1">IFERROR(__xludf.DUMMYFUNCTION("GOOGLEFINANCE(""BOM:""&amp;A24,""PRICE"")"),37.45)</f>
        <v>37.450000000000003</v>
      </c>
      <c r="F24" s="112">
        <f ca="1">IFERROR(__xludf.DUMMYFUNCTION("GOOGLEFINANCE(""BOM:""&amp;A24,""MARKETCAP"")/10000000"),494.957221)</f>
        <v>494.957221</v>
      </c>
      <c r="G24" s="95">
        <f t="shared" ca="1" si="0"/>
        <v>6.7236089185493987E-3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543732</v>
      </c>
      <c r="B25" s="98" t="s">
        <v>4715</v>
      </c>
      <c r="C25" s="101"/>
      <c r="D25" s="101"/>
      <c r="E25" s="101">
        <f ca="1">IFERROR(__xludf.DUMMYFUNCTION("GOOGLEFINANCE(""BOM:""&amp;A25,""PRICE"")"),38.81)</f>
        <v>38.81</v>
      </c>
      <c r="F25" s="112">
        <f ca="1">IFERROR(__xludf.DUMMYFUNCTION("GOOGLEFINANCE(""BOM:""&amp;A25,""MARKETCAP"")/10000000"),416.16081)</f>
        <v>416.16081000000003</v>
      </c>
      <c r="G25" s="95">
        <f t="shared" ca="1" si="0"/>
        <v>5.6532209551636015E-3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531537</v>
      </c>
      <c r="B26" s="98" t="s">
        <v>4716</v>
      </c>
      <c r="C26" s="101"/>
      <c r="D26" s="101"/>
      <c r="E26" s="101">
        <f ca="1">IFERROR(__xludf.DUMMYFUNCTION("GOOGLEFINANCE(""BOM:""&amp;A26,""PRICE"")"),171)</f>
        <v>171</v>
      </c>
      <c r="F26" s="112">
        <f ca="1">IFERROR(__xludf.DUMMYFUNCTION("GOOGLEFINANCE(""BOM:""&amp;A26,""MARKETCAP"")/10000000"),389.3115)</f>
        <v>389.31150000000002</v>
      </c>
      <c r="G26" s="95">
        <f t="shared" ca="1" si="0"/>
        <v>5.2884939595493731E-3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544513</v>
      </c>
      <c r="B27" s="98" t="s">
        <v>4717</v>
      </c>
      <c r="C27" s="101"/>
      <c r="D27" s="101"/>
      <c r="E27" s="101">
        <f ca="1">IFERROR(__xludf.DUMMYFUNCTION("GOOGLEFINANCE(""BOM:""&amp;A27,""PRICE"")"),35.25)</f>
        <v>35.25</v>
      </c>
      <c r="F27" s="112">
        <f ca="1">IFERROR(__xludf.DUMMYFUNCTION("GOOGLEFINANCE(""BOM:""&amp;A27,""MARKETCAP"")/10000000"),320.0754881)</f>
        <v>320.07548809999997</v>
      </c>
      <c r="G27" s="95">
        <f t="shared" ca="1" si="0"/>
        <v>4.3479765828049449E-3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500267</v>
      </c>
      <c r="B28" s="98" t="s">
        <v>4718</v>
      </c>
      <c r="C28" s="101"/>
      <c r="D28" s="101"/>
      <c r="E28" s="101">
        <f ca="1">IFERROR(__xludf.DUMMYFUNCTION("GOOGLEFINANCE(""BOM:""&amp;A28,""PRICE"")"),299.25)</f>
        <v>299.25</v>
      </c>
      <c r="F28" s="112">
        <f ca="1">IFERROR(__xludf.DUMMYFUNCTION("GOOGLEFINANCE(""BOM:""&amp;A28,""MARKETCAP"")/10000000"),311.1442897)</f>
        <v>311.1442897</v>
      </c>
      <c r="G28" s="95">
        <f t="shared" ca="1" si="0"/>
        <v>4.2266531983430498E-3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533292</v>
      </c>
      <c r="B29" s="98" t="s">
        <v>4719</v>
      </c>
      <c r="C29" s="101"/>
      <c r="D29" s="101"/>
      <c r="E29" s="101">
        <f ca="1">IFERROR(__xludf.DUMMYFUNCTION("GOOGLEFINANCE(""BOM:""&amp;A29,""PRICE"")"),16.01)</f>
        <v>16.010000000000002</v>
      </c>
      <c r="F29" s="112">
        <f ca="1">IFERROR(__xludf.DUMMYFUNCTION("GOOGLEFINANCE(""BOM:""&amp;A29,""MARKETCAP"")/10000000"),283.0245132)</f>
        <v>283.0245132</v>
      </c>
      <c r="G29" s="95">
        <f t="shared" ca="1" si="0"/>
        <v>3.8446679033694148E-3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512062</v>
      </c>
      <c r="B30" s="98" t="s">
        <v>4720</v>
      </c>
      <c r="C30" s="101"/>
      <c r="D30" s="101"/>
      <c r="E30" s="101">
        <f ca="1">IFERROR(__xludf.DUMMYFUNCTION("GOOGLEFINANCE(""BOM:""&amp;A30,""PRICE"")"),55.8)</f>
        <v>55.8</v>
      </c>
      <c r="F30" s="112">
        <f ca="1">IFERROR(__xludf.DUMMYFUNCTION("GOOGLEFINANCE(""BOM:""&amp;A30,""MARKETCAP"")/10000000"),277.7305)</f>
        <v>277.73050000000001</v>
      </c>
      <c r="G30" s="95">
        <f t="shared" ca="1" si="0"/>
        <v>3.77275285120688E-3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531279</v>
      </c>
      <c r="B31" s="98" t="s">
        <v>4721</v>
      </c>
      <c r="C31" s="101"/>
      <c r="D31" s="101"/>
      <c r="E31" s="101">
        <f ca="1">IFERROR(__xludf.DUMMYFUNCTION("GOOGLEFINANCE(""BOM:""&amp;A31,""PRICE"")"),137.1)</f>
        <v>137.1</v>
      </c>
      <c r="F31" s="112">
        <f ca="1">IFERROR(__xludf.DUMMYFUNCTION("GOOGLEFINANCE(""BOM:""&amp;A31,""MARKETCAP"")/10000000"),245.9049234)</f>
        <v>245.9049234</v>
      </c>
      <c r="G31" s="95">
        <f t="shared" ca="1" si="0"/>
        <v>3.3404271438792622E-3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543806</v>
      </c>
      <c r="B32" s="98" t="s">
        <v>4722</v>
      </c>
      <c r="C32" s="101"/>
      <c r="D32" s="101"/>
      <c r="E32" s="101">
        <f ca="1">IFERROR(__xludf.DUMMYFUNCTION("GOOGLEFINANCE(""BOM:""&amp;A32,""PRICE"")"),264.6)</f>
        <v>264.60000000000002</v>
      </c>
      <c r="F32" s="112">
        <f ca="1">IFERROR(__xludf.DUMMYFUNCTION("GOOGLEFINANCE(""BOM:""&amp;A32,""MARKETCAP"")/10000000"),238.3602849)</f>
        <v>238.36028490000001</v>
      </c>
      <c r="G32" s="95">
        <f t="shared" ca="1" si="0"/>
        <v>3.2379390973298187E-3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538942</v>
      </c>
      <c r="B33" s="98" t="s">
        <v>4723</v>
      </c>
      <c r="C33" s="101"/>
      <c r="D33" s="101"/>
      <c r="E33" s="101">
        <f ca="1">IFERROR(__xludf.DUMMYFUNCTION("GOOGLEFINANCE(""BOM:""&amp;A33,""PRICE"")"),18.98)</f>
        <v>18.98</v>
      </c>
      <c r="F33" s="112">
        <f ca="1">IFERROR(__xludf.DUMMYFUNCTION("GOOGLEFINANCE(""BOM:""&amp;A33,""MARKETCAP"")/10000000"),211.5253937)</f>
        <v>211.5253937</v>
      </c>
      <c r="G33" s="95">
        <f t="shared" ca="1" si="0"/>
        <v>2.8734079699000749E-3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531082</v>
      </c>
      <c r="B34" s="98" t="s">
        <v>4724</v>
      </c>
      <c r="C34" s="101"/>
      <c r="D34" s="101"/>
      <c r="E34" s="101">
        <f ca="1">IFERROR(__xludf.DUMMYFUNCTION("GOOGLEFINANCE(""BOM:""&amp;A34,""PRICE"")"),8.45)</f>
        <v>8.4499999999999993</v>
      </c>
      <c r="F34" s="112">
        <f ca="1">IFERROR(__xludf.DUMMYFUNCTION("GOOGLEFINANCE(""BOM:""&amp;A34,""MARKETCAP"")/10000000"),228.3151222)</f>
        <v>228.31512219999999</v>
      </c>
      <c r="G34" s="95">
        <f t="shared" ca="1" si="0"/>
        <v>3.1014833741835959E-3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511557</v>
      </c>
      <c r="B35" s="98" t="s">
        <v>4725</v>
      </c>
      <c r="C35" s="101"/>
      <c r="D35" s="101"/>
      <c r="E35" s="101">
        <f ca="1">IFERROR(__xludf.DUMMYFUNCTION("GOOGLEFINANCE(""BOM:""&amp;A35,""PRICE"")"),3.42)</f>
        <v>3.42</v>
      </c>
      <c r="F35" s="112">
        <f ca="1">IFERROR(__xludf.DUMMYFUNCTION("GOOGLEFINANCE(""BOM:""&amp;A35,""MARKETCAP"")/10000000"),202.6672893)</f>
        <v>202.66728929999999</v>
      </c>
      <c r="G35" s="95">
        <f t="shared" ca="1" si="0"/>
        <v>2.7530775105829015E-3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512099</v>
      </c>
      <c r="B36" s="98" t="s">
        <v>4726</v>
      </c>
      <c r="C36" s="101"/>
      <c r="D36" s="101"/>
      <c r="E36" s="101">
        <f ca="1">IFERROR(__xludf.DUMMYFUNCTION("GOOGLEFINANCE(""BOM:""&amp;A36,""PRICE"")"),830.3)</f>
        <v>830.3</v>
      </c>
      <c r="F36" s="112">
        <f ca="1">IFERROR(__xludf.DUMMYFUNCTION("GOOGLEFINANCE(""BOM:""&amp;A36,""MARKETCAP"")/10000000"),166.6308288)</f>
        <v>166.63082879999999</v>
      </c>
      <c r="G36" s="95">
        <f t="shared" ca="1" si="0"/>
        <v>2.2635502202824876E-3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532262</v>
      </c>
      <c r="B37" s="98" t="s">
        <v>4727</v>
      </c>
      <c r="C37" s="101"/>
      <c r="D37" s="101"/>
      <c r="E37" s="101">
        <f ca="1">IFERROR(__xludf.DUMMYFUNCTION("GOOGLEFINANCE(""BOM:""&amp;A37,""PRICE"")"),1280)</f>
        <v>1280</v>
      </c>
      <c r="F37" s="112">
        <f ca="1">IFERROR(__xludf.DUMMYFUNCTION("GOOGLEFINANCE(""BOM:""&amp;A37,""MARKETCAP"")/10000000"),114.7892736)</f>
        <v>114.7892736</v>
      </c>
      <c r="G37" s="95">
        <f t="shared" ca="1" si="0"/>
        <v>1.5593230101208424E-3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538875</v>
      </c>
      <c r="B38" s="98" t="s">
        <v>4728</v>
      </c>
      <c r="C38" s="101"/>
      <c r="D38" s="101"/>
      <c r="E38" s="101">
        <f ca="1">IFERROR(__xludf.DUMMYFUNCTION("GOOGLEFINANCE(""BOM:""&amp;A38,""PRICE"")"),4.85)</f>
        <v>4.8499999999999996</v>
      </c>
      <c r="F38" s="112">
        <f ca="1">IFERROR(__xludf.DUMMYFUNCTION("GOOGLEFINANCE(""BOM:""&amp;A38,""MARKETCAP"")/10000000"),113.9058852)</f>
        <v>113.9058852</v>
      </c>
      <c r="G38" s="95">
        <f t="shared" ca="1" si="0"/>
        <v>1.547322865718902E-3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509020</v>
      </c>
      <c r="B39" s="98" t="s">
        <v>4729</v>
      </c>
      <c r="C39" s="101"/>
      <c r="D39" s="101"/>
      <c r="E39" s="101">
        <f ca="1">IFERROR(__xludf.DUMMYFUNCTION("GOOGLEFINANCE(""BOM:""&amp;A39,""PRICE"")"),7.07)</f>
        <v>7.07</v>
      </c>
      <c r="F39" s="112">
        <f ca="1">IFERROR(__xludf.DUMMYFUNCTION("GOOGLEFINANCE(""BOM:""&amp;A39,""MARKETCAP"")/10000000"),166.8696083)</f>
        <v>166.86960830000001</v>
      </c>
      <c r="G39" s="95">
        <f t="shared" ca="1" si="0"/>
        <v>2.2667938540909273E-3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531556</v>
      </c>
      <c r="B40" s="98" t="s">
        <v>4730</v>
      </c>
      <c r="C40" s="101"/>
      <c r="D40" s="101"/>
      <c r="E40" s="101">
        <f ca="1">IFERROR(__xludf.DUMMYFUNCTION("GOOGLEFINANCE(""BOM:""&amp;A40,""PRICE"")"),30.01)</f>
        <v>30.01</v>
      </c>
      <c r="F40" s="112">
        <f ca="1">IFERROR(__xludf.DUMMYFUNCTION("GOOGLEFINANCE(""BOM:""&amp;A40,""MARKETCAP"")/10000000"),120.705122)</f>
        <v>120.705122</v>
      </c>
      <c r="G40" s="95">
        <f t="shared" ca="1" si="0"/>
        <v>1.639685209873508E-3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511018</v>
      </c>
      <c r="B41" s="98" t="s">
        <v>4731</v>
      </c>
      <c r="C41" s="101"/>
      <c r="D41" s="101"/>
      <c r="E41" s="101">
        <f ca="1">IFERROR(__xludf.DUMMYFUNCTION("GOOGLEFINANCE(""BOM:""&amp;A41,""PRICE"")"),72.6)</f>
        <v>72.599999999999994</v>
      </c>
      <c r="F41" s="112">
        <f ca="1">IFERROR(__xludf.DUMMYFUNCTION("GOOGLEFINANCE(""BOM:""&amp;A41,""MARKETCAP"")/10000000"),156.3893991)</f>
        <v>156.38939909999999</v>
      </c>
      <c r="G41" s="95">
        <f t="shared" ca="1" si="0"/>
        <v>2.1244283625783109E-3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506530</v>
      </c>
      <c r="B42" s="98" t="s">
        <v>4732</v>
      </c>
      <c r="C42" s="101"/>
      <c r="D42" s="101"/>
      <c r="E42" s="101">
        <f ca="1">IFERROR(__xludf.DUMMYFUNCTION("GOOGLEFINANCE(""BOM:""&amp;A42,""PRICE"")"),913)</f>
        <v>913</v>
      </c>
      <c r="F42" s="112">
        <f ca="1">IFERROR(__xludf.DUMMYFUNCTION("GOOGLEFINANCE(""BOM:""&amp;A42,""MARKETCAP"")/10000000"),98.72488)</f>
        <v>98.724879999999999</v>
      </c>
      <c r="G42" s="95">
        <f t="shared" ca="1" si="0"/>
        <v>1.3411007163601299E-3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4.4">
      <c r="A43" s="99">
        <v>544370</v>
      </c>
      <c r="B43" s="98" t="s">
        <v>4733</v>
      </c>
      <c r="C43" s="101"/>
      <c r="D43" s="101"/>
      <c r="E43" s="101">
        <f ca="1">IFERROR(__xludf.DUMMYFUNCTION("GOOGLEFINANCE(""BOM:""&amp;A43,""PRICE"")"),205)</f>
        <v>205</v>
      </c>
      <c r="F43" s="112">
        <f ca="1">IFERROR(__xludf.DUMMYFUNCTION("GOOGLEFINANCE(""BOM:""&amp;A43,""MARKETCAP"")/10000000"),82.656)</f>
        <v>82.656000000000006</v>
      </c>
      <c r="G43" s="95">
        <f t="shared" ca="1" si="0"/>
        <v>1.1228174783444954E-3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4.4">
      <c r="A44" s="99">
        <v>543615</v>
      </c>
      <c r="B44" s="98" t="s">
        <v>4734</v>
      </c>
      <c r="C44" s="101"/>
      <c r="D44" s="101"/>
      <c r="E44" s="101">
        <f ca="1">IFERROR(__xludf.DUMMYFUNCTION("GOOGLEFINANCE(""BOM:""&amp;A44,""PRICE"")"),102)</f>
        <v>102</v>
      </c>
      <c r="F44" s="112">
        <f ca="1">IFERROR(__xludf.DUMMYFUNCTION("GOOGLEFINANCE(""BOM:""&amp;A44,""MARKETCAP"")/10000000"),116.47584)</f>
        <v>116.47584000000001</v>
      </c>
      <c r="G44" s="95">
        <f t="shared" ca="1" si="0"/>
        <v>1.582233703020433E-3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4.4">
      <c r="A45" s="99">
        <v>501343</v>
      </c>
      <c r="B45" s="98" t="s">
        <v>4735</v>
      </c>
      <c r="C45" s="101"/>
      <c r="D45" s="101"/>
      <c r="E45" s="101">
        <f ca="1">IFERROR(__xludf.DUMMYFUNCTION("GOOGLEFINANCE(""BOM:""&amp;A45,""PRICE"")"),21.85)</f>
        <v>21.85</v>
      </c>
      <c r="F45" s="112">
        <f ca="1">IFERROR(__xludf.DUMMYFUNCTION("GOOGLEFINANCE(""BOM:""&amp;A45,""MARKETCAP"")/10000000"),84.0379835)</f>
        <v>84.037983499999996</v>
      </c>
      <c r="G45" s="95">
        <f t="shared" ca="1" si="0"/>
        <v>1.1415906494220177E-3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523650</v>
      </c>
      <c r="B46" s="98" t="s">
        <v>4736</v>
      </c>
      <c r="C46" s="101"/>
      <c r="D46" s="101"/>
      <c r="E46" s="101">
        <f ca="1">IFERROR(__xludf.DUMMYFUNCTION("GOOGLEFINANCE(""BOM:""&amp;A46,""PRICE"")"),48)</f>
        <v>48</v>
      </c>
      <c r="F46" s="112">
        <f ca="1">IFERROR(__xludf.DUMMYFUNCTION("GOOGLEFINANCE(""BOM:""&amp;A46,""MARKETCAP"")/10000000"),79.98945)</f>
        <v>79.989450000000005</v>
      </c>
      <c r="G46" s="95">
        <f t="shared" ca="1" si="0"/>
        <v>1.0865944703731501E-3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4.4">
      <c r="A47" s="99">
        <v>512441</v>
      </c>
      <c r="B47" s="98" t="s">
        <v>4737</v>
      </c>
      <c r="C47" s="101"/>
      <c r="D47" s="101"/>
      <c r="E47" s="101">
        <f ca="1">IFERROR(__xludf.DUMMYFUNCTION("GOOGLEFINANCE(""BOM:""&amp;A47,""PRICE"")"),0.4)</f>
        <v>0.4</v>
      </c>
      <c r="F47" s="112">
        <f ca="1">IFERROR(__xludf.DUMMYFUNCTION("GOOGLEFINANCE(""BOM:""&amp;A47,""MARKETCAP"")/10000000"),70.886641)</f>
        <v>70.886640999999997</v>
      </c>
      <c r="G47" s="95">
        <f t="shared" ca="1" si="0"/>
        <v>9.629398893719937E-4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4.4">
      <c r="A48" s="99">
        <v>543713</v>
      </c>
      <c r="B48" s="98" t="s">
        <v>4738</v>
      </c>
      <c r="C48" s="101"/>
      <c r="D48" s="101"/>
      <c r="E48" s="101">
        <f ca="1">IFERROR(__xludf.DUMMYFUNCTION("GOOGLEFINANCE(""BOM:""&amp;A48,""PRICE"")"),32.92)</f>
        <v>32.92</v>
      </c>
      <c r="F48" s="112">
        <f ca="1">IFERROR(__xludf.DUMMYFUNCTION("GOOGLEFINANCE(""BOM:""&amp;A48,""MARKETCAP"")/10000000"),78.9704668)</f>
        <v>78.970466799999997</v>
      </c>
      <c r="G48" s="95">
        <f t="shared" ca="1" si="0"/>
        <v>1.072752376065424E-3</v>
      </c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ht="14.4">
      <c r="A49" s="99">
        <v>544287</v>
      </c>
      <c r="B49" s="98" t="s">
        <v>4739</v>
      </c>
      <c r="C49" s="101"/>
      <c r="D49" s="101"/>
      <c r="E49" s="101">
        <f ca="1">IFERROR(__xludf.DUMMYFUNCTION("GOOGLEFINANCE(""BOM:""&amp;A49,""PRICE"")"),53.99)</f>
        <v>53.99</v>
      </c>
      <c r="F49" s="112">
        <f ca="1">IFERROR(__xludf.DUMMYFUNCTION("GOOGLEFINANCE(""BOM:""&amp;A49,""MARKETCAP"")/10000000"),71.77165)</f>
        <v>71.771649999999994</v>
      </c>
      <c r="G49" s="95">
        <f t="shared" ca="1" si="0"/>
        <v>9.7496204836459174E-4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4.4">
      <c r="A50" s="99">
        <v>511194</v>
      </c>
      <c r="B50" s="98" t="s">
        <v>4740</v>
      </c>
      <c r="C50" s="101"/>
      <c r="D50" s="101"/>
      <c r="E50" s="101">
        <f ca="1">IFERROR(__xludf.DUMMYFUNCTION("GOOGLEFINANCE(""BOM:""&amp;A50,""PRICE"")"),42.8)</f>
        <v>42.8</v>
      </c>
      <c r="F50" s="112">
        <f ca="1">IFERROR(__xludf.DUMMYFUNCTION("GOOGLEFINANCE(""BOM:""&amp;A50,""MARKETCAP"")/10000000"),53.409429)</f>
        <v>53.409429000000003</v>
      </c>
      <c r="G50" s="95">
        <f t="shared" ca="1" si="0"/>
        <v>7.2552555639759204E-4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4.4">
      <c r="A51" s="99">
        <v>517238</v>
      </c>
      <c r="B51" s="98" t="s">
        <v>4741</v>
      </c>
      <c r="C51" s="101"/>
      <c r="D51" s="101"/>
      <c r="E51" s="101">
        <f ca="1">IFERROR(__xludf.DUMMYFUNCTION("GOOGLEFINANCE(""BOM:""&amp;A51,""PRICE"")"),162.7)</f>
        <v>162.69999999999999</v>
      </c>
      <c r="F51" s="112">
        <f ca="1">IFERROR(__xludf.DUMMYFUNCTION("GOOGLEFINANCE(""BOM:""&amp;A51,""MARKETCAP"")/10000000"),62.4767988)</f>
        <v>62.476798799999997</v>
      </c>
      <c r="G51" s="95">
        <f t="shared" ca="1" si="0"/>
        <v>8.4869872342785023E-4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4.4">
      <c r="A52" s="99">
        <v>526481</v>
      </c>
      <c r="B52" s="98" t="s">
        <v>4742</v>
      </c>
      <c r="C52" s="101"/>
      <c r="D52" s="101"/>
      <c r="E52" s="101">
        <f ca="1">IFERROR(__xludf.DUMMYFUNCTION("GOOGLEFINANCE(""BOM:""&amp;A52,""PRICE"")"),29.37)</f>
        <v>29.37</v>
      </c>
      <c r="F52" s="112">
        <f ca="1">IFERROR(__xludf.DUMMYFUNCTION("GOOGLEFINANCE(""BOM:""&amp;A52,""MARKETCAP"")/10000000"),49.3109391)</f>
        <v>49.310939099999999</v>
      </c>
      <c r="G52" s="95">
        <f t="shared" ca="1" si="0"/>
        <v>6.6985075850586743E-4</v>
      </c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ht="14.4">
      <c r="A53" s="99">
        <v>540843</v>
      </c>
      <c r="B53" s="98" t="s">
        <v>4743</v>
      </c>
      <c r="C53" s="101"/>
      <c r="D53" s="101"/>
      <c r="E53" s="101">
        <f ca="1">IFERROR(__xludf.DUMMYFUNCTION("GOOGLEFINANCE(""BOM:""&amp;A53,""PRICE"")"),155)</f>
        <v>155</v>
      </c>
      <c r="F53" s="112">
        <f ca="1">IFERROR(__xludf.DUMMYFUNCTION("GOOGLEFINANCE(""BOM:""&amp;A53,""MARKETCAP"")/10000000"),47.43)</f>
        <v>47.43</v>
      </c>
      <c r="G53" s="95">
        <f t="shared" ca="1" si="0"/>
        <v>6.4429966364062399E-4</v>
      </c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ht="14.4">
      <c r="A54" s="99">
        <v>533202</v>
      </c>
      <c r="B54" s="98" t="s">
        <v>4744</v>
      </c>
      <c r="C54" s="101"/>
      <c r="D54" s="101"/>
      <c r="E54" s="101">
        <f ca="1">IFERROR(__xludf.DUMMYFUNCTION("GOOGLEFINANCE(""BOM:""&amp;A54,""PRICE"")"),3.25)</f>
        <v>3.25</v>
      </c>
      <c r="F54" s="112">
        <f ca="1">IFERROR(__xludf.DUMMYFUNCTION("GOOGLEFINANCE(""BOM:""&amp;A54,""MARKETCAP"")/10000000"),46.66627)</f>
        <v>46.666269999999997</v>
      </c>
      <c r="G54" s="95">
        <f t="shared" ca="1" si="0"/>
        <v>6.3392498554422393E-4</v>
      </c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ht="14.4">
      <c r="A55" s="99">
        <v>543194</v>
      </c>
      <c r="B55" s="98" t="s">
        <v>4745</v>
      </c>
      <c r="C55" s="101"/>
      <c r="D55" s="101"/>
      <c r="E55" s="101">
        <f ca="1">IFERROR(__xludf.DUMMYFUNCTION("GOOGLEFINANCE(""BOM:""&amp;A55,""PRICE"")"),125)</f>
        <v>125</v>
      </c>
      <c r="F55" s="112">
        <f ca="1">IFERROR(__xludf.DUMMYFUNCTION("GOOGLEFINANCE(""BOM:""&amp;A55,""MARKETCAP"")/10000000"),45.01485)</f>
        <v>45.014850000000003</v>
      </c>
      <c r="G55" s="95">
        <f t="shared" ca="1" si="0"/>
        <v>6.1149172915524229E-4</v>
      </c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ht="14.4">
      <c r="A56" s="99">
        <v>533296</v>
      </c>
      <c r="B56" s="98" t="s">
        <v>4746</v>
      </c>
      <c r="C56" s="101"/>
      <c r="D56" s="101"/>
      <c r="E56" s="101">
        <f ca="1">IFERROR(__xludf.DUMMYFUNCTION("GOOGLEFINANCE(""BOM:""&amp;A56,""PRICE"")"),8)</f>
        <v>8</v>
      </c>
      <c r="F56" s="112">
        <f ca="1">IFERROR(__xludf.DUMMYFUNCTION("GOOGLEFINANCE(""BOM:""&amp;A56,""MARKETCAP"")/10000000"),48.515496)</f>
        <v>48.515495999999999</v>
      </c>
      <c r="G56" s="95">
        <f t="shared" ca="1" si="0"/>
        <v>6.5904528260927759E-4</v>
      </c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ht="14.4">
      <c r="A57" s="99">
        <v>531931</v>
      </c>
      <c r="B57" s="98" t="s">
        <v>4747</v>
      </c>
      <c r="C57" s="101"/>
      <c r="D57" s="101"/>
      <c r="E57" s="101">
        <f ca="1">IFERROR(__xludf.DUMMYFUNCTION("GOOGLEFINANCE(""BOM:""&amp;A57,""PRICE"")"),143.05)</f>
        <v>143.05000000000001</v>
      </c>
      <c r="F57" s="112">
        <f ca="1">IFERROR(__xludf.DUMMYFUNCTION("GOOGLEFINANCE(""BOM:""&amp;A57,""MARKETCAP"")/10000000"),41.1883873)</f>
        <v>41.188387300000002</v>
      </c>
      <c r="G57" s="95">
        <f t="shared" ca="1" si="0"/>
        <v>5.595122092196869E-4</v>
      </c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ht="14.4">
      <c r="A58" s="99">
        <v>544426</v>
      </c>
      <c r="B58" s="98" t="s">
        <v>4748</v>
      </c>
      <c r="C58" s="101"/>
      <c r="D58" s="101"/>
      <c r="E58" s="101">
        <f ca="1">IFERROR(__xludf.DUMMYFUNCTION("GOOGLEFINANCE(""BOM:""&amp;A58,""PRICE"")"),51.75)</f>
        <v>51.75</v>
      </c>
      <c r="F58" s="112">
        <f ca="1">IFERROR(__xludf.DUMMYFUNCTION("GOOGLEFINANCE(""BOM:""&amp;A58,""MARKETCAP"")/10000000"),40.67343)</f>
        <v>40.673430000000003</v>
      </c>
      <c r="G58" s="95">
        <f t="shared" ca="1" si="0"/>
        <v>5.5251691478200434E-4</v>
      </c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ht="14.4">
      <c r="A59" s="99">
        <v>542668</v>
      </c>
      <c r="B59" s="98" t="s">
        <v>4749</v>
      </c>
      <c r="C59" s="101"/>
      <c r="D59" s="101"/>
      <c r="E59" s="101">
        <f ca="1">IFERROR(__xludf.DUMMYFUNCTION("GOOGLEFINANCE(""BOM:""&amp;A59,""PRICE"")"),80)</f>
        <v>80</v>
      </c>
      <c r="F59" s="112">
        <f ca="1">IFERROR(__xludf.DUMMYFUNCTION("GOOGLEFINANCE(""BOM:""&amp;A59,""MARKETCAP"")/10000000"),43.904)</f>
        <v>43.904000000000003</v>
      </c>
      <c r="G59" s="95">
        <f t="shared" ca="1" si="0"/>
        <v>5.9640169581442028E-4</v>
      </c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ht="14.4">
      <c r="A60" s="99">
        <v>524488</v>
      </c>
      <c r="B60" s="98" t="s">
        <v>4750</v>
      </c>
      <c r="C60" s="101"/>
      <c r="D60" s="101"/>
      <c r="E60" s="101">
        <f ca="1">IFERROR(__xludf.DUMMYFUNCTION("GOOGLEFINANCE(""BOM:""&amp;A60,""PRICE"")"),2.55)</f>
        <v>2.5499999999999998</v>
      </c>
      <c r="F60" s="112">
        <f ca="1">IFERROR(__xludf.DUMMYFUNCTION("GOOGLEFINANCE(""BOM:""&amp;A60,""MARKETCAP"")/10000000"),41.5893007)</f>
        <v>41.589300700000003</v>
      </c>
      <c r="G60" s="95">
        <f t="shared" ca="1" si="0"/>
        <v>5.6495830596792684E-4</v>
      </c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ht="14.4">
      <c r="A61" s="99">
        <v>532007</v>
      </c>
      <c r="B61" s="98" t="s">
        <v>4751</v>
      </c>
      <c r="C61" s="101"/>
      <c r="D61" s="101"/>
      <c r="E61" s="101">
        <f ca="1">IFERROR(__xludf.DUMMYFUNCTION("GOOGLEFINANCE(""BOM:""&amp;A61,""PRICE"")"),32.5)</f>
        <v>32.5</v>
      </c>
      <c r="F61" s="112">
        <f ca="1">IFERROR(__xludf.DUMMYFUNCTION("GOOGLEFINANCE(""BOM:""&amp;A61,""MARKETCAP"")/10000000"),32.825)</f>
        <v>32.825000000000003</v>
      </c>
      <c r="G61" s="95">
        <f t="shared" ca="1" si="0"/>
        <v>4.4590209696402028E-4</v>
      </c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</row>
    <row r="62" spans="1:25" ht="14.4">
      <c r="A62" s="99">
        <v>530289</v>
      </c>
      <c r="B62" s="98" t="s">
        <v>4752</v>
      </c>
      <c r="C62" s="101"/>
      <c r="D62" s="101"/>
      <c r="E62" s="101">
        <f ca="1">IFERROR(__xludf.DUMMYFUNCTION("GOOGLEFINANCE(""BOM:""&amp;A62,""PRICE"")"),53.99)</f>
        <v>53.99</v>
      </c>
      <c r="F62" s="112">
        <f ca="1">IFERROR(__xludf.DUMMYFUNCTION("GOOGLEFINANCE(""BOM:""&amp;A62,""MARKETCAP"")/10000000"),32.4598688)</f>
        <v>32.459868800000002</v>
      </c>
      <c r="G62" s="95">
        <f t="shared" ca="1" si="0"/>
        <v>4.4094207357492696E-4</v>
      </c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</row>
    <row r="63" spans="1:25" ht="14.4">
      <c r="A63" s="99">
        <v>532154</v>
      </c>
      <c r="B63" s="98" t="s">
        <v>4753</v>
      </c>
      <c r="C63" s="101"/>
      <c r="D63" s="101"/>
      <c r="E63" s="101">
        <f ca="1">IFERROR(__xludf.DUMMYFUNCTION("GOOGLEFINANCE(""BOM:""&amp;A63,""PRICE"")"),0.51)</f>
        <v>0.51</v>
      </c>
      <c r="F63" s="112">
        <f ca="1">IFERROR(__xludf.DUMMYFUNCTION("GOOGLEFINANCE(""BOM:""&amp;A63,""MARKETCAP"")/10000000"),28.0499994)</f>
        <v>28.049999400000001</v>
      </c>
      <c r="G63" s="95">
        <f t="shared" ca="1" si="0"/>
        <v>3.8103742733585716E-4</v>
      </c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</row>
    <row r="64" spans="1:25" ht="14.4">
      <c r="A64" s="99">
        <v>505343</v>
      </c>
      <c r="B64" s="98" t="s">
        <v>4754</v>
      </c>
      <c r="C64" s="101"/>
      <c r="D64" s="101"/>
      <c r="E64" s="101">
        <f ca="1">IFERROR(__xludf.DUMMYFUNCTION("GOOGLEFINANCE(""BOM:""&amp;A64,""PRICE"")"),0.39)</f>
        <v>0.39</v>
      </c>
      <c r="F64" s="112">
        <f ca="1">IFERROR(__xludf.DUMMYFUNCTION("GOOGLEFINANCE(""BOM:""&amp;A64,""MARKETCAP"")/10000000"),27.4217452)</f>
        <v>27.4217452</v>
      </c>
      <c r="G64" s="95">
        <f t="shared" ca="1" si="0"/>
        <v>3.7250308262278925E-4</v>
      </c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</row>
    <row r="65" spans="1:25" ht="14.4">
      <c r="A65" s="99">
        <v>540756</v>
      </c>
      <c r="B65" s="98" t="s">
        <v>4755</v>
      </c>
      <c r="C65" s="101"/>
      <c r="D65" s="101"/>
      <c r="E65" s="101">
        <f ca="1">IFERROR(__xludf.DUMMYFUNCTION("GOOGLEFINANCE(""BOM:""&amp;A65,""PRICE"")"),26.83)</f>
        <v>26.83</v>
      </c>
      <c r="F65" s="112">
        <f ca="1">IFERROR(__xludf.DUMMYFUNCTION("GOOGLEFINANCE(""BOM:""&amp;A65,""MARKETCAP"")/10000000"),25.82725)</f>
        <v>25.827249999999999</v>
      </c>
      <c r="G65" s="95">
        <f t="shared" ca="1" si="0"/>
        <v>3.5084310537133258E-4</v>
      </c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</row>
    <row r="66" spans="1:25" ht="14.4">
      <c r="A66" s="99">
        <v>532911</v>
      </c>
      <c r="B66" s="98" t="s">
        <v>4756</v>
      </c>
      <c r="C66" s="101"/>
      <c r="D66" s="101"/>
      <c r="E66" s="101">
        <f ca="1">IFERROR(__xludf.DUMMYFUNCTION("GOOGLEFINANCE(""BOM:""&amp;A66,""PRICE"")"),5.07)</f>
        <v>5.07</v>
      </c>
      <c r="F66" s="112">
        <f ca="1">IFERROR(__xludf.DUMMYFUNCTION("GOOGLEFINANCE(""BOM:""&amp;A66,""MARKETCAP"")/10000000"),24.7618808)</f>
        <v>24.7618808</v>
      </c>
      <c r="G66" s="95">
        <f t="shared" ca="1" si="0"/>
        <v>3.3637089332804604E-4</v>
      </c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</row>
    <row r="67" spans="1:25" ht="14.4">
      <c r="A67" s="99">
        <v>541983</v>
      </c>
      <c r="B67" s="98" t="s">
        <v>4757</v>
      </c>
      <c r="C67" s="101"/>
      <c r="D67" s="101"/>
      <c r="E67" s="101">
        <f ca="1">IFERROR(__xludf.DUMMYFUNCTION("GOOGLEFINANCE(""BOM:""&amp;A67,""PRICE"")"),19.33)</f>
        <v>19.329999999999998</v>
      </c>
      <c r="F67" s="112">
        <f ca="1">IFERROR(__xludf.DUMMYFUNCTION("GOOGLEFINANCE(""BOM:""&amp;A67,""MARKETCAP"")/10000000"),21.9978685)</f>
        <v>21.997868499999999</v>
      </c>
      <c r="G67" s="95">
        <f t="shared" ca="1" si="0"/>
        <v>2.9882393580773088E-4</v>
      </c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</row>
    <row r="68" spans="1:25" ht="14.4">
      <c r="A68" s="99">
        <v>503639</v>
      </c>
      <c r="B68" s="98" t="s">
        <v>4758</v>
      </c>
      <c r="C68" s="101"/>
      <c r="D68" s="101"/>
      <c r="E68" s="101">
        <f ca="1">IFERROR(__xludf.DUMMYFUNCTION("GOOGLEFINANCE(""BOM:""&amp;A68,""PRICE"")"),22.02)</f>
        <v>22.02</v>
      </c>
      <c r="F68" s="112">
        <f ca="1">IFERROR(__xludf.DUMMYFUNCTION("GOOGLEFINANCE(""BOM:""&amp;A68,""MARKETCAP"")/10000000"),22.9008)</f>
        <v>22.9008</v>
      </c>
      <c r="G68" s="95">
        <f t="shared" ca="1" si="0"/>
        <v>3.1108955802448243E-4</v>
      </c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</row>
    <row r="69" spans="1:25" ht="14.4">
      <c r="A69" s="99">
        <v>530907</v>
      </c>
      <c r="B69" s="98" t="s">
        <v>4759</v>
      </c>
      <c r="C69" s="101"/>
      <c r="D69" s="101"/>
      <c r="E69" s="101">
        <f ca="1">IFERROR(__xludf.DUMMYFUNCTION("GOOGLEFINANCE(""BOM:""&amp;A69,""PRICE"")"),41.5)</f>
        <v>41.5</v>
      </c>
      <c r="F69" s="112">
        <f ca="1">IFERROR(__xludf.DUMMYFUNCTION("GOOGLEFINANCE(""BOM:""&amp;A69,""MARKETCAP"")/10000000"),20.9575)</f>
        <v>20.9575</v>
      </c>
      <c r="G69" s="95">
        <f t="shared" ca="1" si="0"/>
        <v>2.8469133883087449E-4</v>
      </c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</row>
    <row r="70" spans="1:25" ht="14.4">
      <c r="A70" s="99">
        <v>531506</v>
      </c>
      <c r="B70" s="98" t="s">
        <v>4760</v>
      </c>
      <c r="C70" s="101"/>
      <c r="D70" s="101"/>
      <c r="E70" s="101">
        <f ca="1">IFERROR(__xludf.DUMMYFUNCTION("GOOGLEFINANCE(""BOM:""&amp;A70,""PRICE"")"),38.18)</f>
        <v>38.18</v>
      </c>
      <c r="F70" s="112">
        <f ca="1">IFERROR(__xludf.DUMMYFUNCTION("GOOGLEFINANCE(""BOM:""&amp;A70,""MARKETCAP"")/10000000"),19.1484155)</f>
        <v>19.148415499999999</v>
      </c>
      <c r="G70" s="95">
        <f t="shared" ca="1" si="0"/>
        <v>2.6011633282523527E-4</v>
      </c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</row>
    <row r="71" spans="1:25" ht="14.4">
      <c r="A71" s="99">
        <v>509046</v>
      </c>
      <c r="B71" s="98" t="s">
        <v>4761</v>
      </c>
      <c r="C71" s="101"/>
      <c r="D71" s="101"/>
      <c r="E71" s="101">
        <f ca="1">IFERROR(__xludf.DUMMYFUNCTION("GOOGLEFINANCE(""BOM:""&amp;A71,""PRICE"")"),37.3)</f>
        <v>37.299999999999997</v>
      </c>
      <c r="F71" s="112">
        <f ca="1">IFERROR(__xludf.DUMMYFUNCTION("GOOGLEFINANCE(""BOM:""&amp;A71,""MARKETCAP"")/10000000"),19.0602996)</f>
        <v>19.0602996</v>
      </c>
      <c r="G71" s="95">
        <f t="shared" ca="1" si="0"/>
        <v>2.5891934685156058E-4</v>
      </c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</row>
    <row r="72" spans="1:25" ht="14.4">
      <c r="A72" s="99">
        <v>531893</v>
      </c>
      <c r="B72" s="98" t="s">
        <v>4762</v>
      </c>
      <c r="C72" s="101"/>
      <c r="D72" s="101"/>
      <c r="E72" s="101">
        <f ca="1">IFERROR(__xludf.DUMMYFUNCTION("GOOGLEFINANCE(""BOM:""&amp;A72,""PRICE"")"),0.32)</f>
        <v>0.32</v>
      </c>
      <c r="F72" s="112">
        <f ca="1">IFERROR(__xludf.DUMMYFUNCTION("GOOGLEFINANCE(""BOM:""&amp;A72,""MARKETCAP"")/10000000"),18.30558)</f>
        <v>18.305579999999999</v>
      </c>
      <c r="G72" s="95">
        <f t="shared" ca="1" si="0"/>
        <v>2.4866706803176327E-4</v>
      </c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</row>
    <row r="73" spans="1:25" ht="14.4">
      <c r="A73" s="99">
        <v>531737</v>
      </c>
      <c r="B73" s="98" t="s">
        <v>4763</v>
      </c>
      <c r="C73" s="101"/>
      <c r="D73" s="101"/>
      <c r="E73" s="101">
        <f ca="1">IFERROR(__xludf.DUMMYFUNCTION("GOOGLEFINANCE(""BOM:""&amp;A73,""PRICE"")"),0.49)</f>
        <v>0.49</v>
      </c>
      <c r="F73" s="112">
        <f ca="1">IFERROR(__xludf.DUMMYFUNCTION("GOOGLEFINANCE(""BOM:""&amp;A73,""MARKETCAP"")/10000000"),17.9098874)</f>
        <v>17.909887399999999</v>
      </c>
      <c r="G73" s="95">
        <f t="shared" ca="1" si="0"/>
        <v>2.4329189179130188E-4</v>
      </c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</row>
    <row r="74" spans="1:25" ht="14.4">
      <c r="A74" s="99">
        <v>530909</v>
      </c>
      <c r="B74" s="98" t="s">
        <v>4764</v>
      </c>
      <c r="C74" s="101"/>
      <c r="D74" s="101"/>
      <c r="E74" s="101">
        <f ca="1">IFERROR(__xludf.DUMMYFUNCTION("GOOGLEFINANCE(""BOM:""&amp;A74,""PRICE"")"),47.6)</f>
        <v>47.6</v>
      </c>
      <c r="F74" s="112">
        <f ca="1">IFERROR(__xludf.DUMMYFUNCTION("GOOGLEFINANCE(""BOM:""&amp;A74,""MARKETCAP"")/10000000"),18.8495993)</f>
        <v>18.849599300000001</v>
      </c>
      <c r="G74" s="95">
        <f t="shared" ca="1" si="0"/>
        <v>2.5605714713789883E-4</v>
      </c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</row>
    <row r="75" spans="1:25" ht="14.4">
      <c r="A75" s="99">
        <v>531360</v>
      </c>
      <c r="B75" s="98" t="s">
        <v>4765</v>
      </c>
      <c r="C75" s="101"/>
      <c r="D75" s="101"/>
      <c r="E75" s="101">
        <f ca="1">IFERROR(__xludf.DUMMYFUNCTION("GOOGLEFINANCE(""BOM:""&amp;A75,""PRICE"")"),31.41)</f>
        <v>31.41</v>
      </c>
      <c r="F75" s="112">
        <f ca="1">IFERROR(__xludf.DUMMYFUNCTION("GOOGLEFINANCE(""BOM:""&amp;A75,""MARKETCAP"")/10000000"),17.2754999)</f>
        <v>17.2754999</v>
      </c>
      <c r="G75" s="95">
        <f t="shared" ca="1" si="0"/>
        <v>2.3467423096760768E-4</v>
      </c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</row>
    <row r="76" spans="1:25" ht="14.4">
      <c r="A76" s="99">
        <v>544011</v>
      </c>
      <c r="B76" s="98" t="s">
        <v>4766</v>
      </c>
      <c r="C76" s="101"/>
      <c r="D76" s="101"/>
      <c r="E76" s="101">
        <f ca="1">IFERROR(__xludf.DUMMYFUNCTION("GOOGLEFINANCE(""BOM:""&amp;A76,""PRICE"")"),31.01)</f>
        <v>31.01</v>
      </c>
      <c r="F76" s="112">
        <f ca="1">IFERROR(__xludf.DUMMYFUNCTION("GOOGLEFINANCE(""BOM:""&amp;A76,""MARKETCAP"")/10000000"),16.53679)</f>
        <v>16.53679</v>
      </c>
      <c r="G76" s="95">
        <f t="shared" ca="1" si="0"/>
        <v>2.2463943147155036E-4</v>
      </c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</row>
    <row r="77" spans="1:25" ht="14.4">
      <c r="A77" s="99">
        <v>531502</v>
      </c>
      <c r="B77" s="98" t="s">
        <v>4767</v>
      </c>
      <c r="C77" s="101"/>
      <c r="D77" s="101"/>
      <c r="E77" s="101">
        <f ca="1">IFERROR(__xludf.DUMMYFUNCTION("GOOGLEFINANCE(""BOM:""&amp;A77,""PRICE"")"),8.42)</f>
        <v>8.42</v>
      </c>
      <c r="F77" s="112">
        <f ca="1">IFERROR(__xludf.DUMMYFUNCTION("GOOGLEFINANCE(""BOM:""&amp;A77,""MARKETCAP"")/10000000"),17.2125851)</f>
        <v>17.212585099999998</v>
      </c>
      <c r="G77" s="95">
        <f t="shared" ca="1" si="0"/>
        <v>2.338195823385118E-4</v>
      </c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ht="14.4">
      <c r="A78" s="99">
        <v>508980</v>
      </c>
      <c r="B78" s="98" t="s">
        <v>4768</v>
      </c>
      <c r="C78" s="101"/>
      <c r="D78" s="101"/>
      <c r="E78" s="101">
        <f ca="1">IFERROR(__xludf.DUMMYFUNCTION("GOOGLEFINANCE(""BOM:""&amp;A78,""PRICE"")"),8.7)</f>
        <v>8.6999999999999993</v>
      </c>
      <c r="F78" s="112">
        <f ca="1">IFERROR(__xludf.DUMMYFUNCTION("GOOGLEFINANCE(""BOM:""&amp;A78,""MARKETCAP"")/10000000"),14.5830788)</f>
        <v>14.583078799999999</v>
      </c>
      <c r="G78" s="95">
        <f t="shared" ca="1" si="0"/>
        <v>1.9809978422274328E-4</v>
      </c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ht="14.4">
      <c r="A79" s="99">
        <v>531553</v>
      </c>
      <c r="B79" s="98" t="s">
        <v>4769</v>
      </c>
      <c r="C79" s="101"/>
      <c r="D79" s="101"/>
      <c r="E79" s="101">
        <f ca="1">IFERROR(__xludf.DUMMYFUNCTION("GOOGLEFINANCE(""BOM:""&amp;A79,""PRICE"")"),20.8)</f>
        <v>20.8</v>
      </c>
      <c r="F79" s="112">
        <f ca="1">IFERROR(__xludf.DUMMYFUNCTION("GOOGLEFINANCE(""BOM:""&amp;A79,""MARKETCAP"")/10000000"),15.2162332)</f>
        <v>15.2162332</v>
      </c>
      <c r="G79" s="95">
        <f t="shared" ca="1" si="0"/>
        <v>2.0670069434192061E-4</v>
      </c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</row>
    <row r="80" spans="1:25" ht="14.4">
      <c r="A80" s="99">
        <v>501351</v>
      </c>
      <c r="B80" s="98" t="s">
        <v>4770</v>
      </c>
      <c r="C80" s="101"/>
      <c r="D80" s="101"/>
      <c r="E80" s="101">
        <f ca="1">IFERROR(__xludf.DUMMYFUNCTION("GOOGLEFINANCE(""BOM:""&amp;A80,""PRICE"")"),61.95)</f>
        <v>61.95</v>
      </c>
      <c r="F80" s="112">
        <f ca="1">IFERROR(__xludf.DUMMYFUNCTION("GOOGLEFINANCE(""BOM:""&amp;A80,""MARKETCAP"")/10000000"),13.31766)</f>
        <v>13.31766</v>
      </c>
      <c r="G80" s="95">
        <f t="shared" ca="1" si="0"/>
        <v>1.8091005394223471E-4</v>
      </c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5" ht="14.4">
      <c r="A81" s="99">
        <v>512064</v>
      </c>
      <c r="B81" s="98" t="s">
        <v>4771</v>
      </c>
      <c r="C81" s="101"/>
      <c r="D81" s="101"/>
      <c r="E81" s="101">
        <f ca="1">IFERROR(__xludf.DUMMYFUNCTION("GOOGLEFINANCE(""BOM:""&amp;A81,""PRICE"")"),44.2)</f>
        <v>44.2</v>
      </c>
      <c r="F81" s="112">
        <f ca="1">IFERROR(__xludf.DUMMYFUNCTION("GOOGLEFINANCE(""BOM:""&amp;A81,""MARKETCAP"")/10000000"),12.691)</f>
        <v>12.691000000000001</v>
      </c>
      <c r="G81" s="95">
        <f t="shared" ca="1" si="0"/>
        <v>1.7239736519635587E-4</v>
      </c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5" ht="14.4">
      <c r="A82" s="99">
        <v>501622</v>
      </c>
      <c r="B82" s="98" t="s">
        <v>4772</v>
      </c>
      <c r="C82" s="101"/>
      <c r="D82" s="101"/>
      <c r="E82" s="101">
        <f ca="1">IFERROR(__xludf.DUMMYFUNCTION("GOOGLEFINANCE(""BOM:""&amp;A82,""PRICE"")"),40.94)</f>
        <v>40.94</v>
      </c>
      <c r="F82" s="112">
        <f ca="1">IFERROR(__xludf.DUMMYFUNCTION("GOOGLEFINANCE(""BOM:""&amp;A82,""MARKETCAP"")/10000000"),11.3670356)</f>
        <v>11.367035599999999</v>
      </c>
      <c r="G82" s="95">
        <f t="shared" ca="1" si="0"/>
        <v>1.544123384708201E-4</v>
      </c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</row>
    <row r="83" spans="1:25" ht="14.4">
      <c r="A83" s="99">
        <v>530697</v>
      </c>
      <c r="B83" s="98" t="s">
        <v>4773</v>
      </c>
      <c r="C83" s="101"/>
      <c r="D83" s="101"/>
      <c r="E83" s="101">
        <f ca="1">IFERROR(__xludf.DUMMYFUNCTION("GOOGLEFINANCE(""BOM:""&amp;A83,""PRICE"")"),18.27)</f>
        <v>18.27</v>
      </c>
      <c r="F83" s="112">
        <f ca="1">IFERROR(__xludf.DUMMYFUNCTION("GOOGLEFINANCE(""BOM:""&amp;A83,""MARKETCAP"")/10000000"),11.8938013)</f>
        <v>11.8938013</v>
      </c>
      <c r="G83" s="95">
        <f t="shared" ca="1" si="0"/>
        <v>1.6156804083909795E-4</v>
      </c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5" ht="14.4">
      <c r="A84" s="99">
        <v>511563</v>
      </c>
      <c r="B84" s="98" t="s">
        <v>4774</v>
      </c>
      <c r="C84" s="101"/>
      <c r="D84" s="101"/>
      <c r="E84" s="101">
        <f ca="1">IFERROR(__xludf.DUMMYFUNCTION("GOOGLEFINANCE(""BOM:""&amp;A84,""PRICE"")"),38)</f>
        <v>38</v>
      </c>
      <c r="F84" s="112">
        <f ca="1">IFERROR(__xludf.DUMMYFUNCTION("GOOGLEFINANCE(""BOM:""&amp;A84,""MARKETCAP"")/10000000"),11.97)</f>
        <v>11.97</v>
      </c>
      <c r="G84" s="95">
        <f t="shared" ca="1" si="0"/>
        <v>1.6260314091879125E-4</v>
      </c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</row>
    <row r="85" spans="1:25" ht="14.4">
      <c r="A85" s="99">
        <v>530571</v>
      </c>
      <c r="B85" s="98" t="s">
        <v>4775</v>
      </c>
      <c r="C85" s="101"/>
      <c r="D85" s="101"/>
      <c r="E85" s="101">
        <f ca="1">IFERROR(__xludf.DUMMYFUNCTION("GOOGLEFINANCE(""BOM:""&amp;A85,""PRICE"")"),11)</f>
        <v>11</v>
      </c>
      <c r="F85" s="112">
        <f ca="1">IFERROR(__xludf.DUMMYFUNCTION("GOOGLEFINANCE(""BOM:""&amp;A85,""MARKETCAP"")/10000000"),10.19436)</f>
        <v>10.19436</v>
      </c>
      <c r="G85" s="95">
        <f t="shared" ca="1" si="0"/>
        <v>1.384824524358303E-4</v>
      </c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</row>
    <row r="86" spans="1:25" ht="14.4">
      <c r="A86" s="99">
        <v>540259</v>
      </c>
      <c r="B86" s="98" t="s">
        <v>4776</v>
      </c>
      <c r="C86" s="101"/>
      <c r="D86" s="101"/>
      <c r="E86" s="101">
        <f ca="1">IFERROR(__xludf.DUMMYFUNCTION("GOOGLEFINANCE(""BOM:""&amp;A86,""PRICE"")"),0.22)</f>
        <v>0.22</v>
      </c>
      <c r="F86" s="112">
        <f ca="1">IFERROR(__xludf.DUMMYFUNCTION("GOOGLEFINANCE(""BOM:""&amp;A86,""MARKETCAP"")/10000000"),10.7715519)</f>
        <v>10.7715519</v>
      </c>
      <c r="G86" s="95">
        <f t="shared" ca="1" si="0"/>
        <v>1.4632315551460097E-4</v>
      </c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</row>
    <row r="87" spans="1:25" ht="14.4">
      <c r="A87" s="99">
        <v>530025</v>
      </c>
      <c r="B87" s="98" t="s">
        <v>4777</v>
      </c>
      <c r="C87" s="101"/>
      <c r="D87" s="101"/>
      <c r="E87" s="101">
        <f ca="1">IFERROR(__xludf.DUMMYFUNCTION("GOOGLEFINANCE(""BOM:""&amp;A87,""PRICE"")"),12.49)</f>
        <v>12.49</v>
      </c>
      <c r="F87" s="112">
        <f ca="1">IFERROR(__xludf.DUMMYFUNCTION("GOOGLEFINANCE(""BOM:""&amp;A87,""MARKETCAP"")/10000000"),9.9885013)</f>
        <v>9.9885012999999994</v>
      </c>
      <c r="G87" s="95">
        <f t="shared" ca="1" si="0"/>
        <v>1.3568602209285125E-4</v>
      </c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</row>
    <row r="88" spans="1:25" ht="14.4">
      <c r="A88" s="99">
        <v>531334</v>
      </c>
      <c r="B88" s="98" t="s">
        <v>4778</v>
      </c>
      <c r="C88" s="101"/>
      <c r="D88" s="101"/>
      <c r="E88" s="101">
        <f ca="1">IFERROR(__xludf.DUMMYFUNCTION("GOOGLEFINANCE(""BOM:""&amp;A88,""PRICE"")"),29.92)</f>
        <v>29.92</v>
      </c>
      <c r="F88" s="112">
        <f ca="1">IFERROR(__xludf.DUMMYFUNCTION("GOOGLEFINANCE(""BOM:""&amp;A88,""MARKETCAP"")/10000000"),8.823043)</f>
        <v>8.8230430000000002</v>
      </c>
      <c r="G88" s="95">
        <f t="shared" ca="1" si="0"/>
        <v>1.1985417746545987E-4</v>
      </c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</row>
    <row r="89" spans="1:25" ht="14.4">
      <c r="A89" s="99">
        <v>531137</v>
      </c>
      <c r="B89" s="98" t="s">
        <v>4779</v>
      </c>
      <c r="C89" s="101"/>
      <c r="D89" s="101"/>
      <c r="E89" s="101">
        <f ca="1">IFERROR(__xludf.DUMMYFUNCTION("GOOGLEFINANCE(""BOM:""&amp;A89,""PRICE"")"),1.38)</f>
        <v>1.38</v>
      </c>
      <c r="F89" s="112">
        <f ca="1">IFERROR(__xludf.DUMMYFUNCTION("GOOGLEFINANCE(""BOM:""&amp;A89,""MARKETCAP"")/10000000"),10.3154999)</f>
        <v>10.315499900000001</v>
      </c>
      <c r="G89" s="95">
        <f t="shared" ca="1" si="0"/>
        <v>1.4012804376670654E-4</v>
      </c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</row>
    <row r="90" spans="1:25" ht="14.4">
      <c r="A90" s="99">
        <v>531017</v>
      </c>
      <c r="B90" s="98" t="s">
        <v>4780</v>
      </c>
      <c r="C90" s="101"/>
      <c r="D90" s="101"/>
      <c r="E90" s="101">
        <f ca="1">IFERROR(__xludf.DUMMYFUNCTION("GOOGLEFINANCE(""BOM:""&amp;A90,""PRICE"")"),17.22)</f>
        <v>17.22</v>
      </c>
      <c r="F90" s="112">
        <f ca="1">IFERROR(__xludf.DUMMYFUNCTION("GOOGLEFINANCE(""BOM:""&amp;A90,""MARKETCAP"")/10000000"),8.6099996)</f>
        <v>8.6099996000000001</v>
      </c>
      <c r="G90" s="95">
        <f t="shared" ca="1" si="0"/>
        <v>1.1696014856052935E-4</v>
      </c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</row>
    <row r="91" spans="1:25" ht="14.4">
      <c r="A91" s="99">
        <v>511187</v>
      </c>
      <c r="B91" s="98" t="s">
        <v>4781</v>
      </c>
      <c r="C91" s="101"/>
      <c r="D91" s="101"/>
      <c r="E91" s="101">
        <f ca="1">IFERROR(__xludf.DUMMYFUNCTION("GOOGLEFINANCE(""BOM:""&amp;A91,""PRICE"")"),1.47)</f>
        <v>1.47</v>
      </c>
      <c r="F91" s="112">
        <f ca="1">IFERROR(__xludf.DUMMYFUNCTION("GOOGLEFINANCE(""BOM:""&amp;A91,""MARKETCAP"")/10000000"),7.3528666)</f>
        <v>7.3528665999999996</v>
      </c>
      <c r="G91" s="95">
        <f t="shared" ca="1" si="0"/>
        <v>9.9882974429145653E-5</v>
      </c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</row>
    <row r="92" spans="1:25" ht="14.4">
      <c r="A92" s="99">
        <v>512415</v>
      </c>
      <c r="B92" s="98" t="s">
        <v>4782</v>
      </c>
      <c r="C92" s="101"/>
      <c r="D92" s="101"/>
      <c r="E92" s="101">
        <f ca="1">IFERROR(__xludf.DUMMYFUNCTION("GOOGLEFINANCE(""BOM:""&amp;A92,""PRICE"")"),4.32)</f>
        <v>4.32</v>
      </c>
      <c r="F92" s="112">
        <f ca="1">IFERROR(__xludf.DUMMYFUNCTION("GOOGLEFINANCE(""BOM:""&amp;A92,""MARKETCAP"")/10000000"),5.8806002)</f>
        <v>5.8806001999999999</v>
      </c>
      <c r="G92" s="95">
        <f t="shared" ca="1" si="0"/>
        <v>7.9883380368226561E-5</v>
      </c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</row>
    <row r="93" spans="1:25" ht="14.4">
      <c r="A93" s="99">
        <v>503675</v>
      </c>
      <c r="B93" s="98" t="s">
        <v>4783</v>
      </c>
      <c r="C93" s="101"/>
      <c r="D93" s="101"/>
      <c r="E93" s="101">
        <f ca="1">IFERROR(__xludf.DUMMYFUNCTION("GOOGLEFINANCE(""BOM:""&amp;A93,""PRICE"")"),1.06)</f>
        <v>1.06</v>
      </c>
      <c r="F93" s="112">
        <f ca="1">IFERROR(__xludf.DUMMYFUNCTION("GOOGLEFINANCE(""BOM:""&amp;A93,""MARKETCAP"")/10000000"),4.9952497)</f>
        <v>4.9952496999999996</v>
      </c>
      <c r="G93" s="95">
        <f t="shared" ca="1" si="0"/>
        <v>6.7856582363713414E-5</v>
      </c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</row>
    <row r="94" spans="1:25" ht="14.4">
      <c r="A94" s="99">
        <v>530917</v>
      </c>
      <c r="B94" s="98" t="s">
        <v>4784</v>
      </c>
      <c r="C94" s="101"/>
      <c r="D94" s="101"/>
      <c r="E94" s="101">
        <f ca="1">IFERROR(__xludf.DUMMYFUNCTION("GOOGLEFINANCE(""BOM:""&amp;A94,""PRICE"")"),15.5)</f>
        <v>15.5</v>
      </c>
      <c r="F94" s="112">
        <f ca="1">IFERROR(__xludf.DUMMYFUNCTION("GOOGLEFINANCE(""BOM:""&amp;A94,""MARKETCAP"")/10000000"),4.678055)</f>
        <v>4.6780549999999996</v>
      </c>
      <c r="G94" s="95">
        <f t="shared" ca="1" si="0"/>
        <v>6.3547739046855133E-5</v>
      </c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</row>
    <row r="95" spans="1:25" ht="14.4">
      <c r="A95" s="99">
        <v>539005</v>
      </c>
      <c r="B95" s="98" t="s">
        <v>4785</v>
      </c>
      <c r="C95" s="101"/>
      <c r="D95" s="101"/>
      <c r="E95" s="101">
        <f ca="1">IFERROR(__xludf.DUMMYFUNCTION("GOOGLEFINANCE(""BOM:""&amp;A95,""PRICE"")"),16.98)</f>
        <v>16.98</v>
      </c>
      <c r="F95" s="112">
        <f ca="1">IFERROR(__xludf.DUMMYFUNCTION("GOOGLEFINANCE(""BOM:""&amp;A95,""MARKETCAP"")/10000000"),5.094)</f>
        <v>5.0940000000000003</v>
      </c>
      <c r="G95" s="95">
        <f t="shared" ca="1" si="0"/>
        <v>6.9198028391004402E-5</v>
      </c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</row>
    <row r="96" spans="1:25" ht="14.4">
      <c r="A96" s="99">
        <v>537784</v>
      </c>
      <c r="B96" s="98" t="s">
        <v>4786</v>
      </c>
      <c r="C96" s="101"/>
      <c r="D96" s="101"/>
      <c r="E96" s="101">
        <f ca="1">IFERROR(__xludf.DUMMYFUNCTION("GOOGLEFINANCE(""BOM:""&amp;A96,""PRICE"")"),9.32)</f>
        <v>9.32</v>
      </c>
      <c r="F96" s="112">
        <f ca="1">IFERROR(__xludf.DUMMYFUNCTION("GOOGLEFINANCE(""BOM:""&amp;A96,""MARKETCAP"")/10000000"),4.738288)</f>
        <v>4.7382879999999998</v>
      </c>
      <c r="G96" s="95">
        <f t="shared" ca="1" si="0"/>
        <v>6.4365957508589599E-5</v>
      </c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</row>
    <row r="97" spans="1:25" ht="14.4">
      <c r="A97" s="99">
        <v>504356</v>
      </c>
      <c r="B97" s="98" t="s">
        <v>4787</v>
      </c>
      <c r="C97" s="101"/>
      <c r="D97" s="101"/>
      <c r="E97" s="101">
        <f ca="1">IFERROR(__xludf.DUMMYFUNCTION("GOOGLEFINANCE(""BOM:""&amp;A97,""PRICE"")"),8.05)</f>
        <v>8.0500000000000007</v>
      </c>
      <c r="F97" s="112">
        <f ca="1">IFERROR(__xludf.DUMMYFUNCTION("GOOGLEFINANCE(""BOM:""&amp;A97,""MARKETCAP"")/10000000"),3.98475)</f>
        <v>3.98475</v>
      </c>
      <c r="G97" s="95">
        <f t="shared" ca="1" si="0"/>
        <v>5.4129729805860767E-5</v>
      </c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</row>
    <row r="98" spans="1:25" ht="14.4">
      <c r="A98" s="99">
        <v>532083</v>
      </c>
      <c r="B98" s="98" t="s">
        <v>4788</v>
      </c>
      <c r="C98" s="101"/>
      <c r="D98" s="101"/>
      <c r="E98" s="101">
        <f ca="1">IFERROR(__xludf.DUMMYFUNCTION("GOOGLEFINANCE(""BOM:""&amp;A98,""PRICE"")"),3.28)</f>
        <v>3.28</v>
      </c>
      <c r="F98" s="112">
        <f ca="1">IFERROR(__xludf.DUMMYFUNCTION("GOOGLEFINANCE(""BOM:""&amp;A98,""MARKETCAP"")/10000000"),3.271636)</f>
        <v>3.271636</v>
      </c>
      <c r="G98" s="95">
        <f t="shared" ca="1" si="0"/>
        <v>4.4442630705345906E-5</v>
      </c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</row>
    <row r="99" spans="1:25" ht="14.4">
      <c r="A99" s="99">
        <v>530581</v>
      </c>
      <c r="B99" s="98" t="s">
        <v>4789</v>
      </c>
      <c r="C99" s="101"/>
      <c r="D99" s="101"/>
      <c r="E99" s="101">
        <f ca="1">IFERROR(__xludf.DUMMYFUNCTION("GOOGLEFINANCE(""BOM:""&amp;A99,""PRICE"")"),4.81)</f>
        <v>4.8099999999999996</v>
      </c>
      <c r="F99" s="112"/>
      <c r="G99" s="95">
        <f t="shared" ca="1" si="0"/>
        <v>0</v>
      </c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</row>
    <row r="100" spans="1:25" ht="14.4">
      <c r="A100" s="99">
        <v>505520</v>
      </c>
      <c r="B100" s="98" t="s">
        <v>4790</v>
      </c>
      <c r="C100" s="101"/>
      <c r="D100" s="101"/>
      <c r="E100" s="101">
        <f ca="1">IFERROR(__xludf.DUMMYFUNCTION("GOOGLEFINANCE(""BOM:""&amp;A100,""PRICE"")"),101.34)</f>
        <v>101.34</v>
      </c>
      <c r="F100" s="112">
        <f ca="1">IFERROR(__xludf.DUMMYFUNCTION("GOOGLEFINANCE(""BOM:""&amp;A100,""MARKETCAP"")/10000000"),2.43216)</f>
        <v>2.4321600000000001</v>
      </c>
      <c r="G100" s="95">
        <f t="shared" ca="1" si="0"/>
        <v>3.3039002106687329E-5</v>
      </c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</row>
    <row r="101" spans="1:25" ht="14.4">
      <c r="A101" s="99">
        <v>512511</v>
      </c>
      <c r="B101" s="98" t="s">
        <v>4791</v>
      </c>
      <c r="C101" s="101"/>
      <c r="D101" s="101"/>
      <c r="E101" s="101">
        <f ca="1">IFERROR(__xludf.DUMMYFUNCTION("GOOGLEFINANCE(""BOM:""&amp;A101,""PRICE"")"),1.08)</f>
        <v>1.08</v>
      </c>
      <c r="F101" s="112">
        <f ca="1">IFERROR(__xludf.DUMMYFUNCTION("GOOGLEFINANCE(""BOM:""&amp;A101,""MARKETCAP"")/10000000"),0.215136)</f>
        <v>0.21513599999999999</v>
      </c>
      <c r="G101" s="95">
        <f t="shared" ca="1" si="0"/>
        <v>2.922455248513373E-6</v>
      </c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</row>
    <row r="102" spans="1:25" ht="14.4">
      <c r="A102" s="99">
        <v>503696</v>
      </c>
      <c r="B102" s="98" t="s">
        <v>4792</v>
      </c>
      <c r="C102" s="101"/>
      <c r="D102" s="101"/>
      <c r="E102" s="101">
        <f ca="1">IFERROR(__xludf.DUMMYFUNCTION("GOOGLEFINANCE(""BOM:""&amp;A102,""PRICE"")"),82.5)</f>
        <v>82.5</v>
      </c>
      <c r="F102" s="112"/>
      <c r="G102" s="95">
        <f t="shared" ca="1" si="0"/>
        <v>0</v>
      </c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</row>
    <row r="103" spans="1:25" ht="14.4">
      <c r="A103" s="99">
        <v>512265</v>
      </c>
      <c r="B103" s="98" t="s">
        <v>4793</v>
      </c>
      <c r="C103" s="101"/>
      <c r="D103" s="101"/>
      <c r="E103" s="101">
        <f ca="1">IFERROR(__xludf.DUMMYFUNCTION("GOOGLEFINANCE(""BOM:""&amp;A103,""PRICE"")"),0)</f>
        <v>0</v>
      </c>
      <c r="F103" s="112"/>
      <c r="G103" s="95">
        <f t="shared" ca="1" si="0"/>
        <v>0</v>
      </c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</row>
    <row r="104" spans="1:25" ht="14.4">
      <c r="A104" s="99">
        <v>512195</v>
      </c>
      <c r="B104" s="98" t="s">
        <v>4794</v>
      </c>
      <c r="C104" s="101"/>
      <c r="D104" s="101"/>
      <c r="E104" s="101">
        <f ca="1">IFERROR(__xludf.DUMMYFUNCTION("GOOGLEFINANCE(""BOM:""&amp;A104,""PRICE"")"),0)</f>
        <v>0</v>
      </c>
      <c r="F104" s="112"/>
      <c r="G104" s="95">
        <f t="shared" ca="1" si="0"/>
        <v>0</v>
      </c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</row>
    <row r="105" spans="1:25" ht="14.4">
      <c r="A105" s="99">
        <v>512439</v>
      </c>
      <c r="B105" s="98" t="s">
        <v>4795</v>
      </c>
      <c r="C105" s="101"/>
      <c r="D105" s="101"/>
      <c r="E105" s="101">
        <f ca="1">IFERROR(__xludf.DUMMYFUNCTION("GOOGLEFINANCE(""BOM:""&amp;A105,""PRICE"")"),0)</f>
        <v>0</v>
      </c>
      <c r="F105" s="112"/>
      <c r="G105" s="95">
        <f t="shared" ca="1" si="0"/>
        <v>0</v>
      </c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</row>
    <row r="106" spans="1:25" ht="14.4">
      <c r="A106" s="99">
        <v>531685</v>
      </c>
      <c r="B106" s="98" t="s">
        <v>4796</v>
      </c>
      <c r="C106" s="101"/>
      <c r="D106" s="101"/>
      <c r="E106" s="101">
        <f ca="1">IFERROR(__xludf.DUMMYFUNCTION("GOOGLEFINANCE(""BOM:""&amp;A106,""PRICE"")"),3.12)</f>
        <v>3.12</v>
      </c>
      <c r="F106" s="112"/>
      <c r="G106" s="95">
        <f t="shared" ca="1" si="0"/>
        <v>0</v>
      </c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</row>
    <row r="107" spans="1:25" ht="14.4">
      <c r="A107" s="99">
        <v>511060</v>
      </c>
      <c r="B107" s="98" t="s">
        <v>4797</v>
      </c>
      <c r="C107" s="101"/>
      <c r="D107" s="101"/>
      <c r="E107" s="101">
        <f ca="1">IFERROR(__xludf.DUMMYFUNCTION("GOOGLEFINANCE(""BOM:""&amp;A107,""PRICE"")"),0)</f>
        <v>0</v>
      </c>
      <c r="F107" s="112"/>
      <c r="G107" s="95">
        <f t="shared" ca="1" si="0"/>
        <v>0</v>
      </c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</row>
    <row r="108" spans="1:25" ht="14.4">
      <c r="A108" s="99">
        <v>512377</v>
      </c>
      <c r="B108" s="98" t="s">
        <v>4798</v>
      </c>
      <c r="C108" s="101"/>
      <c r="D108" s="101"/>
      <c r="E108" s="101">
        <f ca="1">IFERROR(__xludf.DUMMYFUNCTION("GOOGLEFINANCE(""BOM:""&amp;A108,""PRICE"")"),5.64)</f>
        <v>5.64</v>
      </c>
      <c r="F108" s="112"/>
      <c r="G108" s="95">
        <f t="shared" ca="1" si="0"/>
        <v>0</v>
      </c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</row>
    <row r="109" spans="1:25" ht="14.4">
      <c r="A109" s="99">
        <v>505594</v>
      </c>
      <c r="B109" s="98" t="s">
        <v>4799</v>
      </c>
      <c r="C109" s="101"/>
      <c r="D109" s="101"/>
      <c r="E109" s="101">
        <f ca="1">IFERROR(__xludf.DUMMYFUNCTION("GOOGLEFINANCE(""BOM:""&amp;A109,""PRICE"")"),32.8)</f>
        <v>32.799999999999997</v>
      </c>
      <c r="F109" s="112"/>
      <c r="G109" s="95">
        <f t="shared" ca="1" si="0"/>
        <v>0</v>
      </c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</row>
    <row r="110" spans="1:25" ht="14.4">
      <c r="A110" s="99">
        <v>511632</v>
      </c>
      <c r="B110" s="98" t="s">
        <v>4800</v>
      </c>
      <c r="C110" s="101"/>
      <c r="D110" s="101"/>
      <c r="E110" s="101">
        <f ca="1">IFERROR(__xludf.DUMMYFUNCTION("GOOGLEFINANCE(""BOM:""&amp;A110,""PRICE"")"),5.67)</f>
        <v>5.67</v>
      </c>
      <c r="F110" s="112"/>
      <c r="G110" s="95">
        <f t="shared" ca="1" si="0"/>
        <v>0</v>
      </c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</row>
    <row r="111" spans="1:25" ht="14.4">
      <c r="A111" s="99">
        <v>509782</v>
      </c>
      <c r="B111" s="98" t="s">
        <v>4801</v>
      </c>
      <c r="C111" s="101"/>
      <c r="D111" s="101"/>
      <c r="E111" s="101">
        <f ca="1">IFERROR(__xludf.DUMMYFUNCTION("GOOGLEFINANCE(""BOM:""&amp;A111,""PRICE"")"),0)</f>
        <v>0</v>
      </c>
      <c r="F111" s="112"/>
      <c r="G111" s="95">
        <f t="shared" ca="1" si="0"/>
        <v>0</v>
      </c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ht="14.4">
      <c r="A112" s="99">
        <v>512461</v>
      </c>
      <c r="B112" s="98" t="s">
        <v>4802</v>
      </c>
      <c r="C112" s="101"/>
      <c r="D112" s="101"/>
      <c r="E112" s="101">
        <f ca="1">IFERROR(__xludf.DUMMYFUNCTION("GOOGLEFINANCE(""BOM:""&amp;A112,""PRICE"")"),0)</f>
        <v>0</v>
      </c>
      <c r="F112" s="112"/>
      <c r="G112" s="95">
        <f t="shared" ca="1" si="0"/>
        <v>0</v>
      </c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</row>
    <row r="113" spans="1:25" ht="14.4">
      <c r="A113" s="99">
        <v>512060</v>
      </c>
      <c r="B113" s="98" t="s">
        <v>4803</v>
      </c>
      <c r="C113" s="101"/>
      <c r="D113" s="101"/>
      <c r="E113" s="101">
        <f ca="1">IFERROR(__xludf.DUMMYFUNCTION("GOOGLEFINANCE(""BOM:""&amp;A113,""PRICE"")"),0)</f>
        <v>0</v>
      </c>
      <c r="F113" s="112"/>
      <c r="G113" s="95">
        <f t="shared" ca="1" si="0"/>
        <v>0</v>
      </c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</row>
    <row r="114" spans="1:25" ht="14.4">
      <c r="A114" s="99">
        <v>512271</v>
      </c>
      <c r="B114" s="98" t="s">
        <v>4804</v>
      </c>
      <c r="C114" s="101"/>
      <c r="D114" s="101"/>
      <c r="E114" s="101">
        <f ca="1">IFERROR(__xludf.DUMMYFUNCTION("GOOGLEFINANCE(""BOM:""&amp;A114,""PRICE"")"),116.5)</f>
        <v>116.5</v>
      </c>
      <c r="F114" s="112"/>
      <c r="G114" s="95">
        <f t="shared" ca="1" si="0"/>
        <v>0</v>
      </c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</row>
    <row r="115" spans="1:25" ht="14.4">
      <c r="A115" s="99">
        <v>512157</v>
      </c>
      <c r="B115" s="98" t="s">
        <v>4805</v>
      </c>
      <c r="C115" s="101"/>
      <c r="D115" s="101"/>
      <c r="E115" s="101">
        <f ca="1">IFERROR(__xludf.DUMMYFUNCTION("GOOGLEFINANCE(""BOM:""&amp;A115,""PRICE"")"),0)</f>
        <v>0</v>
      </c>
      <c r="F115" s="112"/>
      <c r="G115" s="95">
        <f t="shared" ca="1" si="0"/>
        <v>0</v>
      </c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</row>
    <row r="116" spans="1:25" ht="14.4">
      <c r="A116" s="99">
        <v>509003</v>
      </c>
      <c r="B116" s="98" t="s">
        <v>4806</v>
      </c>
      <c r="C116" s="101"/>
      <c r="D116" s="101"/>
      <c r="E116" s="101">
        <f ca="1">IFERROR(__xludf.DUMMYFUNCTION("GOOGLEFINANCE(""BOM:""&amp;A116,""PRICE"")"),0.13)</f>
        <v>0.13</v>
      </c>
      <c r="F116" s="112"/>
      <c r="G116" s="95">
        <f t="shared" ca="1" si="0"/>
        <v>0</v>
      </c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</row>
    <row r="117" spans="1:25" ht="14.4">
      <c r="A117" s="99">
        <v>512117</v>
      </c>
      <c r="B117" s="98" t="s">
        <v>4807</v>
      </c>
      <c r="C117" s="101"/>
      <c r="D117" s="101"/>
      <c r="E117" s="101">
        <f ca="1">IFERROR(__xludf.DUMMYFUNCTION("GOOGLEFINANCE(""BOM:""&amp;A117,""PRICE"")"),0)</f>
        <v>0</v>
      </c>
      <c r="F117" s="112"/>
      <c r="G117" s="95">
        <f t="shared" ca="1" si="0"/>
        <v>0</v>
      </c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</row>
    <row r="118" spans="1:25" ht="14.4">
      <c r="A118" s="99">
        <v>512517</v>
      </c>
      <c r="B118" s="98" t="s">
        <v>4808</v>
      </c>
      <c r="C118" s="101"/>
      <c r="D118" s="101"/>
      <c r="E118" s="101">
        <f ca="1">IFERROR(__xludf.DUMMYFUNCTION("GOOGLEFINANCE(""BOM:""&amp;A118,""PRICE"")"),0)</f>
        <v>0</v>
      </c>
      <c r="F118" s="112"/>
      <c r="G118" s="95">
        <f t="shared" ca="1" si="0"/>
        <v>0</v>
      </c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</row>
    <row r="119" spans="1:25" ht="14.4">
      <c r="A119" s="99">
        <v>531696</v>
      </c>
      <c r="B119" s="98" t="s">
        <v>4809</v>
      </c>
      <c r="C119" s="101"/>
      <c r="D119" s="101"/>
      <c r="E119" s="101">
        <f ca="1">IFERROR(__xludf.DUMMYFUNCTION("GOOGLEFINANCE(""BOM:""&amp;A119,""PRICE"")"),0)</f>
        <v>0</v>
      </c>
      <c r="F119" s="112"/>
      <c r="G119" s="95">
        <f t="shared" ca="1" si="0"/>
        <v>0</v>
      </c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</row>
    <row r="120" spans="1:25" ht="14.4">
      <c r="A120" s="99">
        <v>512431</v>
      </c>
      <c r="B120" s="98" t="s">
        <v>4810</v>
      </c>
      <c r="C120" s="101"/>
      <c r="D120" s="101"/>
      <c r="E120" s="101">
        <f ca="1">IFERROR(__xludf.DUMMYFUNCTION("GOOGLEFINANCE(""BOM:""&amp;A120,""PRICE"")"),0.02)</f>
        <v>0.02</v>
      </c>
      <c r="F120" s="112"/>
      <c r="G120" s="95">
        <f t="shared" ca="1" si="0"/>
        <v>0</v>
      </c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</row>
    <row r="121" spans="1:25" ht="14.4">
      <c r="A121" s="99">
        <v>504370</v>
      </c>
      <c r="B121" s="98" t="s">
        <v>4811</v>
      </c>
      <c r="C121" s="101"/>
      <c r="D121" s="101"/>
      <c r="E121" s="101">
        <f ca="1">IFERROR(__xludf.DUMMYFUNCTION("GOOGLEFINANCE(""BOM:""&amp;A121,""PRICE"")"),0)</f>
        <v>0</v>
      </c>
      <c r="F121" s="112"/>
      <c r="G121" s="95">
        <f t="shared" ca="1" si="0"/>
        <v>0</v>
      </c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</row>
    <row r="122" spans="1:25" ht="14.4">
      <c r="A122" s="99">
        <v>505585</v>
      </c>
      <c r="B122" s="98" t="s">
        <v>4812</v>
      </c>
      <c r="C122" s="101"/>
      <c r="D122" s="101"/>
      <c r="E122" s="101">
        <f ca="1">IFERROR(__xludf.DUMMYFUNCTION("GOOGLEFINANCE(""BOM:""&amp;A122,""PRICE"")"),14.13)</f>
        <v>14.13</v>
      </c>
      <c r="F122" s="112"/>
      <c r="G122" s="95">
        <f t="shared" ca="1" si="0"/>
        <v>0</v>
      </c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</row>
    <row r="123" spans="1:25" ht="14.4">
      <c r="A123" s="99">
        <v>512303</v>
      </c>
      <c r="B123" s="98" t="s">
        <v>4813</v>
      </c>
      <c r="C123" s="101"/>
      <c r="D123" s="101"/>
      <c r="E123" s="101">
        <f ca="1">IFERROR(__xludf.DUMMYFUNCTION("GOOGLEFINANCE(""BOM:""&amp;A123,""PRICE"")"),0)</f>
        <v>0</v>
      </c>
      <c r="F123" s="112"/>
      <c r="G123" s="95">
        <f t="shared" ca="1" si="0"/>
        <v>0</v>
      </c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</row>
    <row r="124" spans="1:25" ht="14.4">
      <c r="A124" s="99">
        <v>512004</v>
      </c>
      <c r="B124" s="98" t="s">
        <v>4814</v>
      </c>
      <c r="C124" s="101"/>
      <c r="D124" s="101"/>
      <c r="E124" s="101">
        <f ca="1">IFERROR(__xludf.DUMMYFUNCTION("GOOGLEFINANCE(""BOM:""&amp;A124,""PRICE"")"),0)</f>
        <v>0</v>
      </c>
      <c r="F124" s="112"/>
      <c r="G124" s="95">
        <f t="shared" ca="1" si="0"/>
        <v>0</v>
      </c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</row>
    <row r="125" spans="1:25" ht="14.4">
      <c r="A125" s="99">
        <v>512245</v>
      </c>
      <c r="B125" s="98" t="s">
        <v>4815</v>
      </c>
      <c r="C125" s="101"/>
      <c r="D125" s="101"/>
      <c r="E125" s="101">
        <f ca="1">IFERROR(__xludf.DUMMYFUNCTION("GOOGLEFINANCE(""BOM:""&amp;A125,""PRICE"")"),0)</f>
        <v>0</v>
      </c>
      <c r="F125" s="112"/>
      <c r="G125" s="95">
        <f t="shared" ca="1" si="0"/>
        <v>0</v>
      </c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</row>
    <row r="126" spans="1:25" ht="14.4">
      <c r="A126" s="99">
        <v>506190</v>
      </c>
      <c r="B126" s="98" t="s">
        <v>4816</v>
      </c>
      <c r="C126" s="101"/>
      <c r="D126" s="101"/>
      <c r="E126" s="101">
        <f ca="1">IFERROR(__xludf.DUMMYFUNCTION("GOOGLEFINANCE(""BOM:""&amp;A126,""PRICE"")"),52.5)</f>
        <v>52.5</v>
      </c>
      <c r="F126" s="112"/>
      <c r="G126" s="95">
        <f t="shared" ca="1" si="0"/>
        <v>0</v>
      </c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</row>
    <row r="127" spans="1:25" ht="13.2">
      <c r="A127" s="101"/>
      <c r="B127" s="101"/>
      <c r="C127" s="101"/>
      <c r="D127" s="101"/>
      <c r="E127" s="101"/>
      <c r="F127" s="112"/>
      <c r="G127" s="95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</row>
    <row r="128" spans="1:25" ht="13.2">
      <c r="A128" s="101"/>
      <c r="B128" s="101"/>
      <c r="C128" s="101"/>
      <c r="D128" s="101"/>
      <c r="E128" s="101"/>
      <c r="F128" s="112">
        <f ca="1">SUM(F2:F126)</f>
        <v>73614.814156500011</v>
      </c>
      <c r="G128" s="95">
        <f ca="1">F128/$F$128</f>
        <v>1</v>
      </c>
      <c r="H128" s="101">
        <f t="shared" ref="H128:O128" si="1">SUM(H2:H126)</f>
        <v>27178</v>
      </c>
      <c r="I128" s="101">
        <f t="shared" si="1"/>
        <v>25349</v>
      </c>
      <c r="J128" s="101">
        <f t="shared" si="1"/>
        <v>1919</v>
      </c>
      <c r="K128" s="101">
        <f t="shared" si="1"/>
        <v>1612</v>
      </c>
      <c r="L128" s="101">
        <f t="shared" si="1"/>
        <v>14745</v>
      </c>
      <c r="M128" s="101">
        <f t="shared" si="1"/>
        <v>14089</v>
      </c>
      <c r="N128" s="101">
        <f t="shared" si="1"/>
        <v>569</v>
      </c>
      <c r="O128" s="101">
        <f t="shared" si="1"/>
        <v>528</v>
      </c>
      <c r="P128" s="95">
        <f t="shared" ref="P128:Q128" si="2">J128/H128</f>
        <v>7.060858046949739E-2</v>
      </c>
      <c r="Q128" s="95">
        <f t="shared" si="2"/>
        <v>6.3592252159848511E-2</v>
      </c>
      <c r="R128" s="95">
        <f>P128-Q128</f>
        <v>7.0163283096488782E-3</v>
      </c>
      <c r="S128" s="95">
        <f t="shared" ref="S128:T128" si="3">N128/L128</f>
        <v>3.8589352322821298E-2</v>
      </c>
      <c r="T128" s="95">
        <f t="shared" si="3"/>
        <v>3.7476045141599829E-2</v>
      </c>
      <c r="U128" s="95">
        <f>S128-T128</f>
        <v>1.1133071812214693E-3</v>
      </c>
      <c r="V128" s="95">
        <f>(H128/I128)-1</f>
        <v>7.2152747642905135E-2</v>
      </c>
      <c r="W128" s="95">
        <f>(J128/K128)-1</f>
        <v>0.19044665012406958</v>
      </c>
      <c r="X128" s="95">
        <f>(L128/M128)-1</f>
        <v>4.656114699410896E-2</v>
      </c>
      <c r="Y128" s="95">
        <f>(N128/O128)-1</f>
        <v>7.7651515151515138E-2</v>
      </c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26" xr:uid="{00000000-0009-0000-0000-00009A000000}"/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outlinePr summaryBelow="0" summaryRight="0"/>
  </sheetPr>
  <dimension ref="A1:Y17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523395</v>
      </c>
      <c r="B2" s="98" t="s">
        <v>4817</v>
      </c>
      <c r="C2" s="101" t="str">
        <f>VLOOKUP(A2,'BSE ALL CAP'!$B$4:$Y$1038,2,)</f>
        <v>Diversified</v>
      </c>
      <c r="D2" s="101" t="str">
        <f>VLOOKUP(A2,'BSE ALL CAP'!$B$4:$Y$1038,3,)</f>
        <v>Diversified</v>
      </c>
      <c r="E2" s="101">
        <f ca="1">IFERROR(__xludf.DUMMYFUNCTION("GOOGLEFINANCE(""BOM:""&amp;A2,""PRICE"")"),29305)</f>
        <v>29305</v>
      </c>
      <c r="F2" s="112">
        <f ca="1">IFERROR(__xludf.DUMMYFUNCTION("GOOGLEFINANCE(""BOM:""&amp;A2,""MARKETCAP"")/10000000"),33006.6258)</f>
        <v>33006.625800000002</v>
      </c>
      <c r="G2" s="95">
        <f t="shared" ref="G2:G15" ca="1" si="0">F2/$F$17</f>
        <v>0.39367635156533831</v>
      </c>
      <c r="H2" s="101">
        <f>VLOOKUP(A2,'BSE ALL CAP'!$B$4:$Y$1038,7,)</f>
        <v>3690</v>
      </c>
      <c r="I2" s="101">
        <f>VLOOKUP(A2,'BSE ALL CAP'!$B$4:$Y$1038,8,)</f>
        <v>3247</v>
      </c>
      <c r="J2" s="101">
        <f>VLOOKUP(A2,'BSE ALL CAP'!$B$4:$Y$1038,9,)</f>
        <v>306</v>
      </c>
      <c r="K2" s="101">
        <f>VLOOKUP(A2,'BSE ALL CAP'!$B$4:$Y$1038,10,)</f>
        <v>404</v>
      </c>
      <c r="L2" s="101">
        <f>VLOOKUP(A2,'BSE ALL CAP'!$B$4:$Y$1038,11,)</f>
        <v>1228</v>
      </c>
      <c r="M2" s="101">
        <f>VLOOKUP(A2,'BSE ALL CAP'!$B$4:$Y$1038,12,)</f>
        <v>1089</v>
      </c>
      <c r="N2" s="101">
        <f>VLOOKUP(A2,'BSE ALL CAP'!$B$4:$Y$1038,13,)</f>
        <v>-62</v>
      </c>
      <c r="O2" s="101">
        <f>VLOOKUP(A2,'BSE ALL CAP'!$B$4:$Y$1038,14,)</f>
        <v>113</v>
      </c>
      <c r="P2" s="95">
        <f>VLOOKUP(A2,'BSE ALL CAP'!$B$4:$Y$1038,15,)</f>
        <v>8.2926829268292687E-2</v>
      </c>
      <c r="Q2" s="95">
        <f>VLOOKUP(A2,'BSE ALL CAP'!$B$4:$Y$1038,16,)</f>
        <v>0.12442254388666461</v>
      </c>
      <c r="R2" s="95">
        <f>VLOOKUP(A2,'BSE ALL CAP'!$B$4:$Y$1038,17,)</f>
        <v>-4.1495714618371926E-2</v>
      </c>
      <c r="S2" s="95">
        <f>VLOOKUP(A2,'BSE ALL CAP'!$B$4:$Y$1038,18,)</f>
        <v>-5.0488599348534204E-2</v>
      </c>
      <c r="T2" s="95">
        <f>VLOOKUP(A2,'BSE ALL CAP'!$B$4:$Y$1038,19,)</f>
        <v>0.10376492194674013</v>
      </c>
      <c r="U2" s="95">
        <f>VLOOKUP(A2,'BSE ALL CAP'!$B$4:$Y$1038,20,)</f>
        <v>-0.15425352129527434</v>
      </c>
      <c r="V2" s="95">
        <f>VLOOKUP(A2,'BSE ALL CAP'!$B$4:$Y$1038,21,)</f>
        <v>0.1364336310440406</v>
      </c>
      <c r="W2" s="95">
        <f>VLOOKUP(A2,'BSE ALL CAP'!$B$4:$Y$1038,22,)</f>
        <v>-0.24257425742574257</v>
      </c>
      <c r="X2" s="95">
        <f>VLOOKUP(A2,'BSE ALL CAP'!$B$4:$Y$1038,23,)</f>
        <v>0.12764003673094582</v>
      </c>
      <c r="Y2" s="95">
        <f>VLOOKUP(A2,'BSE ALL CAP'!$B$4:$Y$1038,24,)</f>
        <v>-1.5486725663716814</v>
      </c>
    </row>
    <row r="3" spans="1:25" ht="15.75" customHeight="1">
      <c r="A3" s="99">
        <v>500164</v>
      </c>
      <c r="B3" s="98" t="s">
        <v>4818</v>
      </c>
      <c r="C3" s="101" t="str">
        <f>VLOOKUP(A3,'BSE ALL CAP'!$B$4:$Y$1038,2,)</f>
        <v>Diversified</v>
      </c>
      <c r="D3" s="101" t="str">
        <f>VLOOKUP(A3,'BSE ALL CAP'!$B$4:$Y$1038,3,)</f>
        <v>Diversified</v>
      </c>
      <c r="E3" s="101">
        <f ca="1">IFERROR(__xludf.DUMMYFUNCTION("GOOGLEFINANCE(""BOM:""&amp;A3,""PRICE"")"),839.6)</f>
        <v>839.6</v>
      </c>
      <c r="F3" s="112">
        <f ca="1">IFERROR(__xludf.DUMMYFUNCTION("GOOGLEFINANCE(""BOM:""&amp;A3,""MARKETCAP"")/10000000"),28198.98188)</f>
        <v>28198.981879999999</v>
      </c>
      <c r="G3" s="95">
        <f t="shared" ca="1" si="0"/>
        <v>0.3363346611568967</v>
      </c>
      <c r="H3" s="101">
        <f>VLOOKUP(A3,'BSE ALL CAP'!$B$4:$Y$1038,7,)</f>
        <v>14543</v>
      </c>
      <c r="I3" s="101">
        <f>VLOOKUP(A3,'BSE ALL CAP'!$B$4:$Y$1038,8,)</f>
        <v>13873</v>
      </c>
      <c r="J3" s="101">
        <f>VLOOKUP(A3,'BSE ALL CAP'!$B$4:$Y$1038,9,)</f>
        <v>1571</v>
      </c>
      <c r="K3" s="101">
        <f>VLOOKUP(A3,'BSE ALL CAP'!$B$4:$Y$1038,10,)</f>
        <v>1442</v>
      </c>
      <c r="L3" s="101">
        <f>VLOOKUP(A3,'BSE ALL CAP'!$B$4:$Y$1038,11,)</f>
        <v>5051</v>
      </c>
      <c r="M3" s="101">
        <f>VLOOKUP(A3,'BSE ALL CAP'!$B$4:$Y$1038,12,)</f>
        <v>4825</v>
      </c>
      <c r="N3" s="101">
        <f>VLOOKUP(A3,'BSE ALL CAP'!$B$4:$Y$1038,13,)</f>
        <v>353</v>
      </c>
      <c r="O3" s="101">
        <f>VLOOKUP(A3,'BSE ALL CAP'!$B$4:$Y$1038,14,)</f>
        <v>312</v>
      </c>
      <c r="P3" s="95">
        <f>VLOOKUP(A3,'BSE ALL CAP'!$B$4:$Y$1038,15,)</f>
        <v>0.10802447913085333</v>
      </c>
      <c r="Q3" s="95">
        <f>VLOOKUP(A3,'BSE ALL CAP'!$B$4:$Y$1038,16,)</f>
        <v>0.10394291068982917</v>
      </c>
      <c r="R3" s="95">
        <f>VLOOKUP(A3,'BSE ALL CAP'!$B$4:$Y$1038,17,)</f>
        <v>4.0815684410241693E-3</v>
      </c>
      <c r="S3" s="95">
        <f>VLOOKUP(A3,'BSE ALL CAP'!$B$4:$Y$1038,18,)</f>
        <v>6.9887151059196198E-2</v>
      </c>
      <c r="T3" s="95">
        <f>VLOOKUP(A3,'BSE ALL CAP'!$B$4:$Y$1038,19,)</f>
        <v>6.4663212435233167E-2</v>
      </c>
      <c r="U3" s="95">
        <f>VLOOKUP(A3,'BSE ALL CAP'!$B$4:$Y$1038,20,)</f>
        <v>5.2239386239630314E-3</v>
      </c>
      <c r="V3" s="95">
        <f>VLOOKUP(A3,'BSE ALL CAP'!$B$4:$Y$1038,21,)</f>
        <v>4.8295249765732073E-2</v>
      </c>
      <c r="W3" s="95">
        <f>VLOOKUP(A3,'BSE ALL CAP'!$B$4:$Y$1038,22,)</f>
        <v>8.9459084604715633E-2</v>
      </c>
      <c r="X3" s="95">
        <f>VLOOKUP(A3,'BSE ALL CAP'!$B$4:$Y$1038,23,)</f>
        <v>4.6839378238342055E-2</v>
      </c>
      <c r="Y3" s="95">
        <f>VLOOKUP(A3,'BSE ALL CAP'!$B$4:$Y$1038,24,)</f>
        <v>0.13141025641025639</v>
      </c>
    </row>
    <row r="4" spans="1:25" ht="15.75" customHeight="1">
      <c r="A4" s="99">
        <v>523367</v>
      </c>
      <c r="B4" s="98" t="s">
        <v>4819</v>
      </c>
      <c r="C4" s="101" t="str">
        <f>VLOOKUP(A4,'BSE ALL CAP'!$B$4:$Y$1038,2,)</f>
        <v>Diversified</v>
      </c>
      <c r="D4" s="101" t="str">
        <f>VLOOKUP(A4,'BSE ALL CAP'!$B$4:$Y$1038,3,)</f>
        <v>Diversified</v>
      </c>
      <c r="E4" s="101">
        <f ca="1">IFERROR(__xludf.DUMMYFUNCTION("GOOGLEFINANCE(""BOM:""&amp;A4,""PRICE"")"),1121.9)</f>
        <v>1121.9000000000001</v>
      </c>
      <c r="F4" s="112">
        <f ca="1">IFERROR(__xludf.DUMMYFUNCTION("GOOGLEFINANCE(""BOM:""&amp;A4,""MARKETCAP"")/10000000"),17358.29265)</f>
        <v>17358.292649999999</v>
      </c>
      <c r="G4" s="95">
        <f t="shared" ca="1" si="0"/>
        <v>0.20703568311594658</v>
      </c>
      <c r="H4" s="101">
        <f>VLOOKUP(A4,'BSE ALL CAP'!$B$4:$Y$1038,7,)</f>
        <v>10891</v>
      </c>
      <c r="I4" s="101">
        <f>VLOOKUP(A4,'BSE ALL CAP'!$B$4:$Y$1038,8,)</f>
        <v>9722</v>
      </c>
      <c r="J4" s="101">
        <f>VLOOKUP(A4,'BSE ALL CAP'!$B$4:$Y$1038,9,)</f>
        <v>253</v>
      </c>
      <c r="K4" s="101">
        <f>VLOOKUP(A4,'BSE ALL CAP'!$B$4:$Y$1038,10,)</f>
        <v>214</v>
      </c>
      <c r="L4" s="101">
        <f>VLOOKUP(A4,'BSE ALL CAP'!$B$4:$Y$1038,11,)</f>
        <v>4003</v>
      </c>
      <c r="M4" s="101">
        <f>VLOOKUP(A4,'BSE ALL CAP'!$B$4:$Y$1038,12,)</f>
        <v>3518</v>
      </c>
      <c r="N4" s="101">
        <f>VLOOKUP(A4,'BSE ALL CAP'!$B$4:$Y$1038,13,)</f>
        <v>213</v>
      </c>
      <c r="O4" s="101">
        <f>VLOOKUP(A4,'BSE ALL CAP'!$B$4:$Y$1038,14,)</f>
        <v>262</v>
      </c>
      <c r="P4" s="95">
        <f>VLOOKUP(A4,'BSE ALL CAP'!$B$4:$Y$1038,15,)</f>
        <v>2.3230190065191444E-2</v>
      </c>
      <c r="Q4" s="95">
        <f>VLOOKUP(A4,'BSE ALL CAP'!$B$4:$Y$1038,16,)</f>
        <v>2.201193170129603E-2</v>
      </c>
      <c r="R4" s="95">
        <f>VLOOKUP(A4,'BSE ALL CAP'!$B$4:$Y$1038,17,)</f>
        <v>1.2182583638954136E-3</v>
      </c>
      <c r="S4" s="95">
        <f>VLOOKUP(A4,'BSE ALL CAP'!$B$4:$Y$1038,18,)</f>
        <v>5.3210092430676995E-2</v>
      </c>
      <c r="T4" s="95">
        <f>VLOOKUP(A4,'BSE ALL CAP'!$B$4:$Y$1038,19,)</f>
        <v>7.4474133030130757E-2</v>
      </c>
      <c r="U4" s="95">
        <f>VLOOKUP(A4,'BSE ALL CAP'!$B$4:$Y$1038,20,)</f>
        <v>-2.1264040599453762E-2</v>
      </c>
      <c r="V4" s="95">
        <f>VLOOKUP(A4,'BSE ALL CAP'!$B$4:$Y$1038,21,)</f>
        <v>0.12024274840567784</v>
      </c>
      <c r="W4" s="95">
        <f>VLOOKUP(A4,'BSE ALL CAP'!$B$4:$Y$1038,22,)</f>
        <v>0.18224299065420557</v>
      </c>
      <c r="X4" s="95">
        <f>VLOOKUP(A4,'BSE ALL CAP'!$B$4:$Y$1038,23,)</f>
        <v>0.1378624218305855</v>
      </c>
      <c r="Y4" s="95">
        <f>VLOOKUP(A4,'BSE ALL CAP'!$B$4:$Y$1038,24,)</f>
        <v>-0.18702290076335881</v>
      </c>
    </row>
    <row r="5" spans="1:25" ht="15.75" customHeight="1">
      <c r="A5" s="99">
        <v>523319</v>
      </c>
      <c r="B5" s="98" t="s">
        <v>4820</v>
      </c>
      <c r="C5" s="101" t="str">
        <f>VLOOKUP(A5,'BSE ALL CAP'!$B$4:$Y$1038,2,)</f>
        <v>Diversified</v>
      </c>
      <c r="D5" s="101" t="str">
        <f>VLOOKUP(A5,'BSE ALL CAP'!$B$4:$Y$1038,3,)</f>
        <v>Diversified</v>
      </c>
      <c r="E5" s="101">
        <f ca="1">IFERROR(__xludf.DUMMYFUNCTION("GOOGLEFINANCE(""BOM:""&amp;A5,""PRICE"")"),160.4)</f>
        <v>160.4</v>
      </c>
      <c r="F5" s="112">
        <f ca="1">IFERROR(__xludf.DUMMYFUNCTION("GOOGLEFINANCE(""BOM:""&amp;A5,""MARKETCAP"")/10000000"),2738.6257526)</f>
        <v>2738.6257525999999</v>
      </c>
      <c r="G5" s="95">
        <f t="shared" ca="1" si="0"/>
        <v>3.2664114202986684E-2</v>
      </c>
      <c r="H5" s="101">
        <f>VLOOKUP(A5,'BSE ALL CAP'!$B$4:$Y$1038,7,)</f>
        <v>1973</v>
      </c>
      <c r="I5" s="101">
        <f>VLOOKUP(A5,'BSE ALL CAP'!$B$4:$Y$1038,8,)</f>
        <v>1907</v>
      </c>
      <c r="J5" s="101">
        <f>VLOOKUP(A5,'BSE ALL CAP'!$B$4:$Y$1038,9,)</f>
        <v>187</v>
      </c>
      <c r="K5" s="101">
        <f>VLOOKUP(A5,'BSE ALL CAP'!$B$4:$Y$1038,10,)</f>
        <v>185</v>
      </c>
      <c r="L5" s="101">
        <f>VLOOKUP(A5,'BSE ALL CAP'!$B$4:$Y$1038,11,)</f>
        <v>656</v>
      </c>
      <c r="M5" s="101">
        <f>VLOOKUP(A5,'BSE ALL CAP'!$B$4:$Y$1038,12,)</f>
        <v>630</v>
      </c>
      <c r="N5" s="101">
        <f>VLOOKUP(A5,'BSE ALL CAP'!$B$4:$Y$1038,13,)</f>
        <v>64</v>
      </c>
      <c r="O5" s="101">
        <f>VLOOKUP(A5,'BSE ALL CAP'!$B$4:$Y$1038,14,)</f>
        <v>61</v>
      </c>
      <c r="P5" s="95">
        <f>VLOOKUP(A5,'BSE ALL CAP'!$B$4:$Y$1038,15,)</f>
        <v>9.4779523568170293E-2</v>
      </c>
      <c r="Q5" s="95">
        <f>VLOOKUP(A5,'BSE ALL CAP'!$B$4:$Y$1038,16,)</f>
        <v>9.701101206082853E-2</v>
      </c>
      <c r="R5" s="95">
        <f>VLOOKUP(A5,'BSE ALL CAP'!$B$4:$Y$1038,17,)</f>
        <v>-2.2314884926582373E-3</v>
      </c>
      <c r="S5" s="95">
        <f>VLOOKUP(A5,'BSE ALL CAP'!$B$4:$Y$1038,18,)</f>
        <v>9.7560975609756101E-2</v>
      </c>
      <c r="T5" s="95">
        <f>VLOOKUP(A5,'BSE ALL CAP'!$B$4:$Y$1038,19,)</f>
        <v>9.6825396825396828E-2</v>
      </c>
      <c r="U5" s="95">
        <f>VLOOKUP(A5,'BSE ALL CAP'!$B$4:$Y$1038,20,)</f>
        <v>7.355787843592726E-4</v>
      </c>
      <c r="V5" s="95">
        <f>VLOOKUP(A5,'BSE ALL CAP'!$B$4:$Y$1038,21,)</f>
        <v>3.4609334032511763E-2</v>
      </c>
      <c r="W5" s="95">
        <f>VLOOKUP(A5,'BSE ALL CAP'!$B$4:$Y$1038,22,)</f>
        <v>1.08108108108107E-2</v>
      </c>
      <c r="X5" s="95">
        <f>VLOOKUP(A5,'BSE ALL CAP'!$B$4:$Y$1038,23,)</f>
        <v>4.1269841269841345E-2</v>
      </c>
      <c r="Y5" s="95">
        <f>VLOOKUP(A5,'BSE ALL CAP'!$B$4:$Y$1038,24,)</f>
        <v>4.9180327868852514E-2</v>
      </c>
    </row>
    <row r="6" spans="1:25" ht="15.75" customHeight="1">
      <c r="A6" s="99">
        <v>507747</v>
      </c>
      <c r="B6" s="98" t="s">
        <v>4821</v>
      </c>
      <c r="C6" s="101"/>
      <c r="D6" s="101"/>
      <c r="E6" s="101">
        <f ca="1">IFERROR(__xludf.DUMMYFUNCTION("GOOGLEFINANCE(""BOM:""&amp;A6,""PRICE"")"),780)</f>
        <v>780</v>
      </c>
      <c r="F6" s="112">
        <f ca="1">IFERROR(__xludf.DUMMYFUNCTION("GOOGLEFINANCE(""BOM:""&amp;A6,""MARKETCAP"")/10000000"),1100.8939758)</f>
        <v>1100.8939757999999</v>
      </c>
      <c r="G6" s="95">
        <f t="shared" ca="1" si="0"/>
        <v>1.3130573433325734E-2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523736</v>
      </c>
      <c r="B7" s="98" t="s">
        <v>4822</v>
      </c>
      <c r="C7" s="101"/>
      <c r="D7" s="101"/>
      <c r="E7" s="101">
        <f ca="1">IFERROR(__xludf.DUMMYFUNCTION("GOOGLEFINANCE(""BOM:""&amp;A7,""PRICE"")"),208.9)</f>
        <v>208.9</v>
      </c>
      <c r="F7" s="112">
        <f ca="1">IFERROR(__xludf.DUMMYFUNCTION("GOOGLEFINANCE(""BOM:""&amp;A7,""MARKETCAP"")/10000000"),738.3342583)</f>
        <v>738.33425829999999</v>
      </c>
      <c r="G7" s="95">
        <f t="shared" ca="1" si="0"/>
        <v>8.8062541989143307E-3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509525</v>
      </c>
      <c r="B8" s="98" t="s">
        <v>4823</v>
      </c>
      <c r="C8" s="101"/>
      <c r="D8" s="101"/>
      <c r="E8" s="101">
        <f ca="1">IFERROR(__xludf.DUMMYFUNCTION("GOOGLEFINANCE(""BOM:""&amp;A8,""PRICE"")"),865.95)</f>
        <v>865.95</v>
      </c>
      <c r="F8" s="112">
        <f ca="1">IFERROR(__xludf.DUMMYFUNCTION("GOOGLEFINANCE(""BOM:""&amp;A8,""MARKETCAP"")/10000000"),519.5697475)</f>
        <v>519.56974749999995</v>
      </c>
      <c r="G8" s="95">
        <f t="shared" ca="1" si="0"/>
        <v>6.1970079528554543E-3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523550</v>
      </c>
      <c r="B9" s="98" t="s">
        <v>4824</v>
      </c>
      <c r="C9" s="101"/>
      <c r="D9" s="101"/>
      <c r="E9" s="101">
        <f ca="1">IFERROR(__xludf.DUMMYFUNCTION("GOOGLEFINANCE(""BOM:""&amp;A9,""PRICE"")"),31.19)</f>
        <v>31.19</v>
      </c>
      <c r="F9" s="112">
        <f ca="1">IFERROR(__xludf.DUMMYFUNCTION("GOOGLEFINANCE(""BOM:""&amp;A9,""MARKETCAP"")/10000000"),45.840318)</f>
        <v>45.840318000000003</v>
      </c>
      <c r="G9" s="95">
        <f t="shared" ca="1" si="0"/>
        <v>5.4674625798420472E-4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542802</v>
      </c>
      <c r="B10" s="98" t="s">
        <v>4825</v>
      </c>
      <c r="C10" s="101"/>
      <c r="D10" s="101"/>
      <c r="E10" s="101">
        <f ca="1">IFERROR(__xludf.DUMMYFUNCTION("GOOGLEFINANCE(""BOM:""&amp;A10,""PRICE"")"),1.9)</f>
        <v>1.9</v>
      </c>
      <c r="F10" s="112">
        <f ca="1">IFERROR(__xludf.DUMMYFUNCTION("GOOGLEFINANCE(""BOM:""&amp;A10,""MARKETCAP"")/10000000"),34.8239405)</f>
        <v>34.823940499999999</v>
      </c>
      <c r="G10" s="95">
        <f t="shared" ca="1" si="0"/>
        <v>4.1535181227668602E-4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512257</v>
      </c>
      <c r="B11" s="98" t="s">
        <v>4826</v>
      </c>
      <c r="C11" s="101"/>
      <c r="D11" s="101"/>
      <c r="E11" s="101">
        <f ca="1">IFERROR(__xludf.DUMMYFUNCTION("GOOGLEFINANCE(""BOM:""&amp;A11,""PRICE"")"),3.36)</f>
        <v>3.36</v>
      </c>
      <c r="F11" s="112">
        <f ca="1">IFERROR(__xludf.DUMMYFUNCTION("GOOGLEFINANCE(""BOM:""&amp;A11,""MARKETCAP"")/10000000"),30.239999)</f>
        <v>30.239999000000001</v>
      </c>
      <c r="G11" s="95">
        <f t="shared" ca="1" si="0"/>
        <v>3.6067826350367138E-4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539143</v>
      </c>
      <c r="B12" s="98" t="s">
        <v>4827</v>
      </c>
      <c r="C12" s="101"/>
      <c r="D12" s="101"/>
      <c r="E12" s="101">
        <f ca="1">IFERROR(__xludf.DUMMYFUNCTION("GOOGLEFINANCE(""BOM:""&amp;A12,""PRICE"")"),6.97)</f>
        <v>6.97</v>
      </c>
      <c r="F12" s="112">
        <f ca="1">IFERROR(__xludf.DUMMYFUNCTION("GOOGLEFINANCE(""BOM:""&amp;A12,""MARKETCAP"")/10000000"),38.4456475)</f>
        <v>38.4456475</v>
      </c>
      <c r="G12" s="95">
        <f t="shared" ca="1" si="0"/>
        <v>4.5854860575803144E-4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539224</v>
      </c>
      <c r="B13" s="98" t="s">
        <v>4828</v>
      </c>
      <c r="C13" s="101"/>
      <c r="D13" s="101"/>
      <c r="E13" s="101">
        <f ca="1">IFERROR(__xludf.DUMMYFUNCTION("GOOGLEFINANCE(""BOM:""&amp;A13,""PRICE"")"),33)</f>
        <v>33</v>
      </c>
      <c r="F13" s="112">
        <f ca="1">IFERROR(__xludf.DUMMYFUNCTION("GOOGLEFINANCE(""BOM:""&amp;A13,""MARKETCAP"")/10000000"),12.243)</f>
        <v>12.243</v>
      </c>
      <c r="G13" s="95">
        <f t="shared" ca="1" si="0"/>
        <v>1.4602460734457857E-4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543209</v>
      </c>
      <c r="B14" s="98" t="s">
        <v>4829</v>
      </c>
      <c r="C14" s="101"/>
      <c r="D14" s="101"/>
      <c r="E14" s="101">
        <f ca="1">IFERROR(__xludf.DUMMYFUNCTION("GOOGLEFINANCE(""BOM:""&amp;A14,""PRICE"")"),25.93)</f>
        <v>25.93</v>
      </c>
      <c r="F14" s="112">
        <f ca="1">IFERROR(__xludf.DUMMYFUNCTION("GOOGLEFINANCE(""BOM:""&amp;A14,""MARKETCAP"")/10000000"),10.83802)</f>
        <v>10.83802</v>
      </c>
      <c r="G14" s="95">
        <f t="shared" ca="1" si="0"/>
        <v>1.2926714162318792E-4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511463</v>
      </c>
      <c r="B15" s="98" t="s">
        <v>4830</v>
      </c>
      <c r="C15" s="101"/>
      <c r="D15" s="101"/>
      <c r="E15" s="101">
        <f ca="1">IFERROR(__xludf.DUMMYFUNCTION("GOOGLEFINANCE(""BOM:""&amp;A15,""PRICE"")"),8.89)</f>
        <v>8.89</v>
      </c>
      <c r="F15" s="112">
        <f ca="1">IFERROR(__xludf.DUMMYFUNCTION("GOOGLEFINANCE(""BOM:""&amp;A15,""MARKETCAP"")/10000000"),8.2783683)</f>
        <v>8.2783683000000003</v>
      </c>
      <c r="G15" s="95">
        <f t="shared" ca="1" si="0"/>
        <v>9.873768524555309E-5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>
      <c r="A16" s="101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>
      <c r="A17" s="101"/>
      <c r="B17" s="101"/>
      <c r="C17" s="101"/>
      <c r="D17" s="101"/>
      <c r="E17" s="101"/>
      <c r="F17" s="112">
        <f ca="1">SUM(F2:F15)</f>
        <v>83842.033357500026</v>
      </c>
      <c r="G17" s="95">
        <f ca="1">F17/$F$17</f>
        <v>1</v>
      </c>
      <c r="H17" s="101">
        <f t="shared" ref="H17:O17" si="1">SUM(H2:H15)</f>
        <v>31097</v>
      </c>
      <c r="I17" s="101">
        <f t="shared" si="1"/>
        <v>28749</v>
      </c>
      <c r="J17" s="101">
        <f t="shared" si="1"/>
        <v>2317</v>
      </c>
      <c r="K17" s="101">
        <f t="shared" si="1"/>
        <v>2245</v>
      </c>
      <c r="L17" s="101">
        <f t="shared" si="1"/>
        <v>10938</v>
      </c>
      <c r="M17" s="101">
        <f t="shared" si="1"/>
        <v>10062</v>
      </c>
      <c r="N17" s="101">
        <f t="shared" si="1"/>
        <v>568</v>
      </c>
      <c r="O17" s="101">
        <f t="shared" si="1"/>
        <v>748</v>
      </c>
      <c r="P17" s="95">
        <f t="shared" ref="P17:Q17" si="2">J17/H17</f>
        <v>7.4508795060616778E-2</v>
      </c>
      <c r="Q17" s="95">
        <f t="shared" si="2"/>
        <v>7.8089672684267281E-2</v>
      </c>
      <c r="R17" s="95">
        <f>P17-Q17</f>
        <v>-3.5808776236505024E-3</v>
      </c>
      <c r="S17" s="95">
        <f t="shared" ref="S17:T17" si="3">N17/L17</f>
        <v>5.1929054671786434E-2</v>
      </c>
      <c r="T17" s="95">
        <f t="shared" si="3"/>
        <v>7.4339097594911543E-2</v>
      </c>
      <c r="U17" s="95">
        <f>S17-T17</f>
        <v>-2.2410042923125109E-2</v>
      </c>
      <c r="V17" s="95">
        <f>(H17/I17)-1</f>
        <v>8.1672405996730424E-2</v>
      </c>
      <c r="W17" s="95">
        <f>(J17/K17)-1</f>
        <v>3.207126948775052E-2</v>
      </c>
      <c r="X17" s="95">
        <f>(L17/M17)-1</f>
        <v>8.7060226595110368E-2</v>
      </c>
      <c r="Y17" s="95">
        <f>(N17/O17)-1</f>
        <v>-0.24064171122994649</v>
      </c>
    </row>
  </sheetData>
  <autoFilter ref="A1:Y15" xr:uid="{00000000-0009-0000-0000-00009B000000}"/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539788</v>
      </c>
      <c r="B2" s="98" t="s">
        <v>4831</v>
      </c>
      <c r="C2" s="101" t="e">
        <f>VLOOKUP(A2,'BSE ALL CAP'!$B$4:$Y$1038,2,)</f>
        <v>#N/A</v>
      </c>
      <c r="D2" s="101" t="e">
        <f>VLOOKUP(A2,'BSE ALL CAP'!$B$4:$Y$1038,3,)</f>
        <v>#N/A</v>
      </c>
      <c r="E2" s="101">
        <f ca="1">IFERROR(__xludf.DUMMYFUNCTION("GOOGLEFINANCE(""BOM:""&amp;A2,""PRICE"")"),132.45)</f>
        <v>132.44999999999999</v>
      </c>
      <c r="F2" s="112">
        <f ca="1">IFERROR(__xludf.DUMMYFUNCTION("GOOGLEFINANCE(""BOM:""&amp;A2,""MARKETCAP"")/10000000"),304.2906)</f>
        <v>304.29059999999998</v>
      </c>
      <c r="G2" s="95">
        <f t="shared" ref="G2:G8" ca="1" si="0">F2/$F$10</f>
        <v>0.36094296489964262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.75" customHeight="1">
      <c r="A3" s="99">
        <v>538890</v>
      </c>
      <c r="B3" s="98" t="s">
        <v>4832</v>
      </c>
      <c r="C3" s="101" t="e">
        <f>VLOOKUP(A3,'BSE ALL CAP'!$B$4:$Y$1038,2,)</f>
        <v>#N/A</v>
      </c>
      <c r="D3" s="101" t="e">
        <f>VLOOKUP(A3,'BSE ALL CAP'!$B$4:$Y$1038,3,)</f>
        <v>#N/A</v>
      </c>
      <c r="E3" s="101">
        <f ca="1">IFERROR(__xludf.DUMMYFUNCTION("GOOGLEFINANCE(""BOM:""&amp;A3,""PRICE"")"),46.9)</f>
        <v>46.9</v>
      </c>
      <c r="F3" s="112">
        <f ca="1">IFERROR(__xludf.DUMMYFUNCTION("GOOGLEFINANCE(""BOM:""&amp;A3,""MARKETCAP"")/10000000"),189.3224086)</f>
        <v>189.32240859999999</v>
      </c>
      <c r="G3" s="95">
        <f t="shared" ca="1" si="0"/>
        <v>0.224570169049013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539661</v>
      </c>
      <c r="B4" s="98" t="s">
        <v>4833</v>
      </c>
      <c r="C4" s="101" t="e">
        <f>VLOOKUP(A4,'BSE ALL CAP'!$B$4:$Y$1038,2,)</f>
        <v>#N/A</v>
      </c>
      <c r="D4" s="101" t="e">
        <f>VLOOKUP(A4,'BSE ALL CAP'!$B$4:$Y$1038,3,)</f>
        <v>#N/A</v>
      </c>
      <c r="E4" s="101">
        <f ca="1">IFERROR(__xludf.DUMMYFUNCTION("GOOGLEFINANCE(""BOM:""&amp;A4,""PRICE"")"),91.15)</f>
        <v>91.15</v>
      </c>
      <c r="F4" s="112">
        <f ca="1">IFERROR(__xludf.DUMMYFUNCTION("GOOGLEFINANCE(""BOM:""&amp;A4,""MARKETCAP"")/10000000"),117.7156694)</f>
        <v>117.7156694</v>
      </c>
      <c r="G4" s="95">
        <f t="shared" ca="1" si="0"/>
        <v>0.13963179516022556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539277</v>
      </c>
      <c r="B5" s="98" t="s">
        <v>4834</v>
      </c>
      <c r="C5" s="101" t="e">
        <f>VLOOKUP(A5,'BSE ALL CAP'!$B$4:$Y$1038,2,)</f>
        <v>#N/A</v>
      </c>
      <c r="D5" s="101" t="e">
        <f>VLOOKUP(A5,'BSE ALL CAP'!$B$4:$Y$1038,3,)</f>
        <v>#N/A</v>
      </c>
      <c r="E5" s="101">
        <f ca="1">IFERROR(__xludf.DUMMYFUNCTION("GOOGLEFINANCE(""BOM:""&amp;A5,""PRICE"")"),0.13)</f>
        <v>0.13</v>
      </c>
      <c r="F5" s="112">
        <f ca="1">IFERROR(__xludf.DUMMYFUNCTION("GOOGLEFINANCE(""BOM:""&amp;A5,""MARKETCAP"")/10000000"),81.572397)</f>
        <v>81.572396999999995</v>
      </c>
      <c r="G5" s="95">
        <f t="shared" ca="1" si="0"/>
        <v>9.6759422825255556E-2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543262</v>
      </c>
      <c r="B6" s="98" t="s">
        <v>4835</v>
      </c>
      <c r="C6" s="101" t="e">
        <f>VLOOKUP(A6,'BSE ALL CAP'!$B$4:$Y$1038,2,)</f>
        <v>#N/A</v>
      </c>
      <c r="D6" s="101" t="e">
        <f>VLOOKUP(A6,'BSE ALL CAP'!$B$4:$Y$1038,3,)</f>
        <v>#N/A</v>
      </c>
      <c r="E6" s="101">
        <f ca="1">IFERROR(__xludf.DUMMYFUNCTION("GOOGLEFINANCE(""BOM:""&amp;A6,""PRICE"")"),90)</f>
        <v>90</v>
      </c>
      <c r="F6" s="112">
        <f ca="1">IFERROR(__xludf.DUMMYFUNCTION("GOOGLEFINANCE(""BOM:""&amp;A6,""MARKETCAP"")/10000000"),102.9825)</f>
        <v>102.9825</v>
      </c>
      <c r="G6" s="95">
        <f t="shared" ca="1" si="0"/>
        <v>0.12215562650564114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539519</v>
      </c>
      <c r="B7" s="98" t="s">
        <v>4836</v>
      </c>
      <c r="C7" s="101" t="e">
        <f>VLOOKUP(A7,'BSE ALL CAP'!$B$4:$Y$1038,2,)</f>
        <v>#N/A</v>
      </c>
      <c r="D7" s="101" t="e">
        <f>VLOOKUP(A7,'BSE ALL CAP'!$B$4:$Y$1038,3,)</f>
        <v>#N/A</v>
      </c>
      <c r="E7" s="101">
        <f ca="1">IFERROR(__xludf.DUMMYFUNCTION("GOOGLEFINANCE(""BOM:""&amp;A7,""PRICE"")"),0.72)</f>
        <v>0.72</v>
      </c>
      <c r="F7" s="112">
        <f ca="1">IFERROR(__xludf.DUMMYFUNCTION("GOOGLEFINANCE(""BOM:""&amp;A7,""MARKETCAP"")/10000000"),27.23569)</f>
        <v>27.235690000000002</v>
      </c>
      <c r="G7" s="95">
        <f t="shared" ca="1" si="0"/>
        <v>3.2306389680415853E-2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539599</v>
      </c>
      <c r="B8" s="98" t="s">
        <v>4837</v>
      </c>
      <c r="C8" s="101" t="e">
        <f>VLOOKUP(A8,'BSE ALL CAP'!$B$4:$Y$1038,2,)</f>
        <v>#N/A</v>
      </c>
      <c r="D8" s="101" t="e">
        <f>VLOOKUP(A8,'BSE ALL CAP'!$B$4:$Y$1038,3,)</f>
        <v>#N/A</v>
      </c>
      <c r="E8" s="101">
        <f ca="1">IFERROR(__xludf.DUMMYFUNCTION("GOOGLEFINANCE(""BOM:""&amp;A8,""PRICE"")"),28.38)</f>
        <v>28.38</v>
      </c>
      <c r="F8" s="112">
        <f ca="1">IFERROR(__xludf.DUMMYFUNCTION("GOOGLEFINANCE(""BOM:""&amp;A8,""MARKETCAP"")/10000000"),19.9241784)</f>
        <v>19.924178399999999</v>
      </c>
      <c r="G8" s="95">
        <f t="shared" ca="1" si="0"/>
        <v>2.36336318798064E-2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A9" s="101"/>
      <c r="B9" s="101"/>
      <c r="C9" s="101"/>
      <c r="D9" s="101"/>
      <c r="E9" s="101"/>
      <c r="F9" s="112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>
      <c r="A10" s="101"/>
      <c r="B10" s="101"/>
      <c r="C10" s="101"/>
      <c r="D10" s="101"/>
      <c r="E10" s="101"/>
      <c r="F10" s="112">
        <f ca="1">SUM(F2:F8)</f>
        <v>843.04344339999989</v>
      </c>
      <c r="G10" s="95">
        <f ca="1">F10/$F$10</f>
        <v>1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8" xr:uid="{00000000-0009-0000-0000-00009C000000}"/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543280</v>
      </c>
      <c r="B2" s="98" t="s">
        <v>4838</v>
      </c>
      <c r="C2" s="101" t="str">
        <f>VLOOKUP(A2,'BSE ALL CAP'!$B$4:$Y$1038,2,)</f>
        <v>Consumer Discretionary</v>
      </c>
      <c r="D2" s="101" t="str">
        <f>VLOOKUP(A2,'BSE ALL CAP'!$B$4:$Y$1038,3,)</f>
        <v>Digital Entertainment</v>
      </c>
      <c r="E2" s="101">
        <f ca="1">IFERROR(__xludf.DUMMYFUNCTION("GOOGLEFINANCE(""BOM:""&amp;A2,""PRICE"")"),232.15)</f>
        <v>232.15</v>
      </c>
      <c r="F2" s="112">
        <f ca="1">IFERROR(__xludf.DUMMYFUNCTION("GOOGLEFINANCE(""BOM:""&amp;A2,""MARKETCAP"")/10000000"),8591.9316331)</f>
        <v>8591.9316331000009</v>
      </c>
      <c r="G2" s="95">
        <f t="shared" ref="G2:G4" ca="1" si="0">F2/$F$6</f>
        <v>0.96820957960123022</v>
      </c>
      <c r="H2" s="101">
        <f>VLOOKUP(A2,'BSE ALL CAP'!$B$4:$Y$1038,7,)</f>
        <v>1431</v>
      </c>
      <c r="I2" s="101">
        <f>VLOOKUP(A2,'BSE ALL CAP'!$B$4:$Y$1038,8,)</f>
        <v>1103</v>
      </c>
      <c r="J2" s="101">
        <f>VLOOKUP(A2,'BSE ALL CAP'!$B$4:$Y$1038,9,)</f>
        <v>26</v>
      </c>
      <c r="K2" s="101">
        <f>VLOOKUP(A2,'BSE ALL CAP'!$B$4:$Y$1038,10,)</f>
        <v>53</v>
      </c>
      <c r="L2" s="101">
        <f>VLOOKUP(A2,'BSE ALL CAP'!$B$4:$Y$1038,11,)</f>
        <v>405</v>
      </c>
      <c r="M2" s="101">
        <f>VLOOKUP(A2,'BSE ALL CAP'!$B$4:$Y$1038,12,)</f>
        <v>534</v>
      </c>
      <c r="N2" s="101">
        <f>VLOOKUP(A2,'BSE ALL CAP'!$B$4:$Y$1038,13,)</f>
        <v>8</v>
      </c>
      <c r="O2" s="101">
        <f>VLOOKUP(A2,'BSE ALL CAP'!$B$4:$Y$1038,14,)</f>
        <v>13</v>
      </c>
      <c r="P2" s="95">
        <f>VLOOKUP(A2,'BSE ALL CAP'!$B$4:$Y$1038,15,)</f>
        <v>1.8169112508735149E-2</v>
      </c>
      <c r="Q2" s="95">
        <f>VLOOKUP(A2,'BSE ALL CAP'!$B$4:$Y$1038,16,)</f>
        <v>4.805077062556664E-2</v>
      </c>
      <c r="R2" s="95">
        <f>VLOOKUP(A2,'BSE ALL CAP'!$B$4:$Y$1038,17,)</f>
        <v>-2.9881658116831491E-2</v>
      </c>
      <c r="S2" s="95">
        <f>VLOOKUP(A2,'BSE ALL CAP'!$B$4:$Y$1038,18,)</f>
        <v>1.9753086419753086E-2</v>
      </c>
      <c r="T2" s="95">
        <f>VLOOKUP(A2,'BSE ALL CAP'!$B$4:$Y$1038,19,)</f>
        <v>2.4344569288389514E-2</v>
      </c>
      <c r="U2" s="95">
        <f>VLOOKUP(A2,'BSE ALL CAP'!$B$4:$Y$1038,20,)</f>
        <v>-4.5914828686364276E-3</v>
      </c>
      <c r="V2" s="95">
        <f>VLOOKUP(A2,'BSE ALL CAP'!$B$4:$Y$1038,21,)</f>
        <v>0.29737080689029916</v>
      </c>
      <c r="W2" s="95">
        <f>VLOOKUP(A2,'BSE ALL CAP'!$B$4:$Y$1038,22,)</f>
        <v>-0.50943396226415094</v>
      </c>
      <c r="X2" s="95">
        <f>VLOOKUP(A2,'BSE ALL CAP'!$B$4:$Y$1038,23,)</f>
        <v>-0.2415730337078652</v>
      </c>
      <c r="Y2" s="95">
        <f>VLOOKUP(A2,'BSE ALL CAP'!$B$4:$Y$1038,24,)</f>
        <v>-0.38461538461538458</v>
      </c>
    </row>
    <row r="3" spans="1:25" ht="15.75" customHeight="1">
      <c r="A3" s="99">
        <v>540874</v>
      </c>
      <c r="B3" s="98" t="s">
        <v>4839</v>
      </c>
      <c r="C3" s="101" t="e">
        <f>VLOOKUP(A3,'BSE ALL CAP'!$B$4:$Y$1038,2,)</f>
        <v>#N/A</v>
      </c>
      <c r="D3" s="101" t="e">
        <f>VLOOKUP(A3,'BSE ALL CAP'!$B$4:$Y$1038,3,)</f>
        <v>#N/A</v>
      </c>
      <c r="E3" s="101">
        <f ca="1">IFERROR(__xludf.DUMMYFUNCTION("GOOGLEFINANCE(""BOM:""&amp;A3,""PRICE"")"),75.1)</f>
        <v>75.099999999999994</v>
      </c>
      <c r="F3" s="112">
        <f ca="1">IFERROR(__xludf.DUMMYFUNCTION("GOOGLEFINANCE(""BOM:""&amp;A3,""MARKETCAP"")/10000000"),167.6399438)</f>
        <v>167.6399438</v>
      </c>
      <c r="G3" s="95">
        <f t="shared" ca="1" si="0"/>
        <v>1.8891048770183196E-2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543767</v>
      </c>
      <c r="B4" s="98" t="s">
        <v>4840</v>
      </c>
      <c r="C4" s="101" t="e">
        <f>VLOOKUP(A4,'BSE ALL CAP'!$B$4:$Y$1038,2,)</f>
        <v>#N/A</v>
      </c>
      <c r="D4" s="101" t="e">
        <f>VLOOKUP(A4,'BSE ALL CAP'!$B$4:$Y$1038,3,)</f>
        <v>#N/A</v>
      </c>
      <c r="E4" s="101">
        <f ca="1">IFERROR(__xludf.DUMMYFUNCTION("GOOGLEFINANCE(""BOM:""&amp;A4,""PRICE"")"),6.35)</f>
        <v>6.35</v>
      </c>
      <c r="F4" s="112">
        <f ca="1">IFERROR(__xludf.DUMMYFUNCTION("GOOGLEFINANCE(""BOM:""&amp;A4,""MARKETCAP"")/10000000"),114.4695544)</f>
        <v>114.46955440000001</v>
      </c>
      <c r="G4" s="95">
        <f t="shared" ca="1" si="0"/>
        <v>1.28993716285864E-2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101"/>
      <c r="B5" s="101"/>
      <c r="C5" s="101"/>
      <c r="D5" s="101"/>
      <c r="E5" s="101"/>
      <c r="F5" s="112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>
      <c r="A6" s="101"/>
      <c r="B6" s="101"/>
      <c r="C6" s="101"/>
      <c r="D6" s="101"/>
      <c r="E6" s="101"/>
      <c r="F6" s="112">
        <f ca="1">SUM(F2:F4)</f>
        <v>8874.0411313000022</v>
      </c>
      <c r="G6" s="95">
        <f ca="1">F6/$F$6</f>
        <v>1</v>
      </c>
      <c r="H6" s="101">
        <f t="shared" ref="H6:O6" si="1">SUM(H2:H4)</f>
        <v>1431</v>
      </c>
      <c r="I6" s="101">
        <f t="shared" si="1"/>
        <v>1103</v>
      </c>
      <c r="J6" s="101">
        <f t="shared" si="1"/>
        <v>26</v>
      </c>
      <c r="K6" s="101">
        <f t="shared" si="1"/>
        <v>53</v>
      </c>
      <c r="L6" s="101">
        <f t="shared" si="1"/>
        <v>405</v>
      </c>
      <c r="M6" s="101">
        <f t="shared" si="1"/>
        <v>534</v>
      </c>
      <c r="N6" s="101">
        <f t="shared" si="1"/>
        <v>8</v>
      </c>
      <c r="O6" s="101">
        <f t="shared" si="1"/>
        <v>13</v>
      </c>
      <c r="P6" s="95">
        <f t="shared" ref="P6:Q6" si="2">J6/H6</f>
        <v>1.8169112508735149E-2</v>
      </c>
      <c r="Q6" s="95">
        <f t="shared" si="2"/>
        <v>4.805077062556664E-2</v>
      </c>
      <c r="R6" s="95">
        <f>P6-Q6</f>
        <v>-2.9881658116831491E-2</v>
      </c>
      <c r="S6" s="95">
        <f t="shared" ref="S6:T6" si="3">N6/L6</f>
        <v>1.9753086419753086E-2</v>
      </c>
      <c r="T6" s="95">
        <f t="shared" si="3"/>
        <v>2.4344569288389514E-2</v>
      </c>
      <c r="U6" s="95">
        <f>S6-T6</f>
        <v>-4.5914828686364276E-3</v>
      </c>
      <c r="V6" s="95">
        <f>(H6/I6)-1</f>
        <v>0.29737080689029916</v>
      </c>
      <c r="W6" s="95">
        <f>(J6/K6)-1</f>
        <v>-0.50943396226415094</v>
      </c>
      <c r="X6" s="95">
        <f>(L6/M6)-1</f>
        <v>-0.2415730337078652</v>
      </c>
      <c r="Y6" s="95">
        <f>(N6/O6)-1</f>
        <v>-0.38461538461538458</v>
      </c>
    </row>
    <row r="7" spans="1:25">
      <c r="F7" s="94"/>
    </row>
    <row r="8" spans="1:25">
      <c r="F8" s="94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4" xr:uid="{00000000-0009-0000-0000-00009D000000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542437</v>
      </c>
      <c r="B2" s="98" t="s">
        <v>1577</v>
      </c>
      <c r="C2" s="334" t="e">
        <f>VLOOKUP(A2,'BSE ALL CAP'!$B$4:$Y$1038,2,)</f>
        <v>#N/A</v>
      </c>
      <c r="D2" s="334" t="e">
        <f>VLOOKUP(A2,'BSE ALL CAP'!$B$4:$Y$1038,3,)</f>
        <v>#N/A</v>
      </c>
      <c r="E2" s="101">
        <f ca="1">IFERROR(__xludf.DUMMYFUNCTION("GOOGLEFINANCE(""BOM:""&amp;A2,""PRICE"")"),11.25)</f>
        <v>11.25</v>
      </c>
      <c r="F2" s="112">
        <f ca="1">IFERROR(__xludf.DUMMYFUNCTION("GOOGLEFINANCE(""BOM:""&amp;A2,""MARKETCAP"")/10000000"),64.2560751)</f>
        <v>64.256075100000004</v>
      </c>
      <c r="G2" s="95">
        <f t="shared" ref="G2:G4" ca="1" si="0">F2/$F$6</f>
        <v>0.84300118377269062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.75" customHeight="1">
      <c r="A3" s="99">
        <v>543617</v>
      </c>
      <c r="B3" s="98" t="s">
        <v>1578</v>
      </c>
      <c r="C3" s="334" t="e">
        <f>VLOOKUP(A3,'BSE ALL CAP'!$B$4:$Y$1038,2,)</f>
        <v>#N/A</v>
      </c>
      <c r="D3" s="334" t="e">
        <f>VLOOKUP(A3,'BSE ALL CAP'!$B$4:$Y$1038,3,)</f>
        <v>#N/A</v>
      </c>
      <c r="E3" s="101">
        <f ca="1">IFERROR(__xludf.DUMMYFUNCTION("GOOGLEFINANCE(""BOM:""&amp;A3,""PRICE"")"),28.31)</f>
        <v>28.31</v>
      </c>
      <c r="F3" s="112">
        <f ca="1">IFERROR(__xludf.DUMMYFUNCTION("GOOGLEFINANCE(""BOM:""&amp;A3,""MARKETCAP"")/10000000"),11.96692)</f>
        <v>11.96692</v>
      </c>
      <c r="G3" s="95">
        <f t="shared" ca="1" si="0"/>
        <v>0.15699881622730932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539393</v>
      </c>
      <c r="B4" s="98" t="s">
        <v>1579</v>
      </c>
      <c r="C4" s="334" t="e">
        <f>VLOOKUP(A4,'BSE ALL CAP'!$B$4:$Y$1038,2,)</f>
        <v>#N/A</v>
      </c>
      <c r="D4" s="334" t="e">
        <f>VLOOKUP(A4,'BSE ALL CAP'!$B$4:$Y$1038,3,)</f>
        <v>#N/A</v>
      </c>
      <c r="E4" s="101">
        <f ca="1">IFERROR(__xludf.DUMMYFUNCTION("GOOGLEFINANCE(""BOM:""&amp;A4,""PRICE"")"),25.77)</f>
        <v>25.77</v>
      </c>
      <c r="F4" s="112"/>
      <c r="G4" s="95">
        <f t="shared" ca="1" si="0"/>
        <v>0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101"/>
      <c r="B5" s="101"/>
      <c r="C5" s="101"/>
      <c r="D5" s="101"/>
      <c r="E5" s="101"/>
      <c r="F5" s="112"/>
      <c r="G5" s="95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>
      <c r="A6" s="101"/>
      <c r="B6" s="101"/>
      <c r="C6" s="101"/>
      <c r="D6" s="101"/>
      <c r="E6" s="101"/>
      <c r="F6" s="112">
        <f ca="1">SUM(F2:F4)</f>
        <v>76.222995100000006</v>
      </c>
      <c r="G6" s="95">
        <f ca="1">F6/$F$6</f>
        <v>1</v>
      </c>
      <c r="H6" s="101"/>
      <c r="I6" s="101"/>
      <c r="J6" s="101"/>
      <c r="K6" s="101"/>
      <c r="L6" s="101"/>
      <c r="M6" s="101"/>
      <c r="N6" s="101"/>
      <c r="O6" s="101"/>
      <c r="P6" s="95" t="e">
        <f t="shared" ref="P6:Q6" si="1">J6/H6</f>
        <v>#DIV/0!</v>
      </c>
      <c r="Q6" s="95" t="e">
        <f t="shared" si="1"/>
        <v>#DIV/0!</v>
      </c>
      <c r="R6" s="101" t="e">
        <f>P6-Q6</f>
        <v>#DIV/0!</v>
      </c>
      <c r="S6" s="95" t="e">
        <f t="shared" ref="S6:T6" si="2">N6/L6</f>
        <v>#DIV/0!</v>
      </c>
      <c r="T6" s="95" t="e">
        <f t="shared" si="2"/>
        <v>#DIV/0!</v>
      </c>
      <c r="U6" s="101" t="e">
        <f>S6-T6</f>
        <v>#DIV/0!</v>
      </c>
      <c r="V6" s="95" t="e">
        <f>(H6/I6)-1</f>
        <v>#DIV/0!</v>
      </c>
      <c r="W6" s="95" t="e">
        <f>(J6/K6)-1</f>
        <v>#DIV/0!</v>
      </c>
      <c r="X6" s="95" t="e">
        <f>(L6/M6)-1</f>
        <v>#DIV/0!</v>
      </c>
      <c r="Y6" s="95" t="e">
        <f>(N6/O6)-1</f>
        <v>#DIV/0!</v>
      </c>
    </row>
    <row r="7" spans="1:25">
      <c r="F7" s="94"/>
    </row>
    <row r="8" spans="1:25">
      <c r="F8" s="94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4" xr:uid="{00000000-0009-0000-0000-000017000000}"/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outlinePr summaryBelow="0" summaryRight="0"/>
  </sheetPr>
  <dimension ref="A1:Y1001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 t="s">
        <v>139</v>
      </c>
      <c r="B2" s="98" t="s">
        <v>139</v>
      </c>
      <c r="C2" s="101" t="str">
        <f>VLOOKUP(A2,'BSE ALL CAP'!$B$4:$Y$1038,2,)</f>
        <v>Financial Services</v>
      </c>
      <c r="D2" s="101" t="str">
        <f>VLOOKUP(A2,'BSE ALL CAP'!$B$4:$Y$1038,3,)</f>
        <v>Depositories Clearing Houses and Other Intermediaries</v>
      </c>
      <c r="E2" s="101"/>
      <c r="F2" s="112">
        <f ca="1">IFERROR(__xludf.DUMMYFUNCTION("GOOGLEFINANCE(""NSE:""&amp;A2,""MARKETCAP"")/10000000"),25119.7105102)</f>
        <v>25119.710510199999</v>
      </c>
      <c r="G2" s="95">
        <f t="shared" ref="G2:G5" ca="1" si="0">F2/$F$7</f>
        <v>0.4242404067902254</v>
      </c>
      <c r="H2" s="101">
        <f>VLOOKUP(A2,'BSE ALL CAP'!$B$4:$Y$1038,7,)</f>
        <v>970</v>
      </c>
      <c r="I2" s="101">
        <f>VLOOKUP(A2,'BSE ALL CAP'!$B$4:$Y$1038,8,)</f>
        <v>943</v>
      </c>
      <c r="J2" s="101">
        <f>VLOOKUP(A2,'BSE ALL CAP'!$B$4:$Y$1038,9,)</f>
        <v>375</v>
      </c>
      <c r="K2" s="101">
        <f>VLOOKUP(A2,'BSE ALL CAP'!$B$4:$Y$1038,10,)</f>
        <v>426</v>
      </c>
      <c r="L2" s="101">
        <f>VLOOKUP(A2,'BSE ALL CAP'!$B$4:$Y$1038,11,)</f>
        <v>334</v>
      </c>
      <c r="M2" s="101">
        <f>VLOOKUP(A2,'BSE ALL CAP'!$B$4:$Y$1038,12,)</f>
        <v>298</v>
      </c>
      <c r="N2" s="101">
        <f>VLOOKUP(A2,'BSE ALL CAP'!$B$4:$Y$1038,13,)</f>
        <v>133</v>
      </c>
      <c r="O2" s="101">
        <f>VLOOKUP(A2,'BSE ALL CAP'!$B$4:$Y$1038,14,)</f>
        <v>130</v>
      </c>
      <c r="P2" s="95">
        <f>VLOOKUP(A2,'BSE ALL CAP'!$B$4:$Y$1038,15,)</f>
        <v>0.38659793814432991</v>
      </c>
      <c r="Q2" s="95">
        <f>VLOOKUP(A2,'BSE ALL CAP'!$B$4:$Y$1038,16,)</f>
        <v>0.45174973488865322</v>
      </c>
      <c r="R2" s="95">
        <f>VLOOKUP(A2,'BSE ALL CAP'!$B$4:$Y$1038,17,)</f>
        <v>-6.5151796744323309E-2</v>
      </c>
      <c r="S2" s="95">
        <f>VLOOKUP(A2,'BSE ALL CAP'!$B$4:$Y$1038,18,)</f>
        <v>0.39820359281437123</v>
      </c>
      <c r="T2" s="95">
        <f>VLOOKUP(A2,'BSE ALL CAP'!$B$4:$Y$1038,19,)</f>
        <v>0.43624161073825501</v>
      </c>
      <c r="U2" s="95">
        <f>VLOOKUP(A2,'BSE ALL CAP'!$B$4:$Y$1038,20,)</f>
        <v>-3.8038017923883782E-2</v>
      </c>
      <c r="V2" s="95">
        <f>VLOOKUP(A2,'BSE ALL CAP'!$B$4:$Y$1038,21,)</f>
        <v>2.8632025450689325E-2</v>
      </c>
      <c r="W2" s="95">
        <f>VLOOKUP(A2,'BSE ALL CAP'!$B$4:$Y$1038,22,)</f>
        <v>-0.11971830985915488</v>
      </c>
      <c r="X2" s="95">
        <f>VLOOKUP(A2,'BSE ALL CAP'!$B$4:$Y$1038,23,)</f>
        <v>0.12080536912751683</v>
      </c>
      <c r="Y2" s="95">
        <f>VLOOKUP(A2,'BSE ALL CAP'!$B$4:$Y$1038,24,)</f>
        <v>2.3076923076922995E-2</v>
      </c>
    </row>
    <row r="3" spans="1:25" ht="15.75" customHeight="1">
      <c r="A3" s="99">
        <v>544467</v>
      </c>
      <c r="B3" s="98" t="s">
        <v>4841</v>
      </c>
      <c r="C3" s="101" t="str">
        <f>VLOOKUP(A3,'BSE ALL CAP'!$B$4:$Y$1038,2,)</f>
        <v>Financial Services</v>
      </c>
      <c r="D3" s="101" t="str">
        <f>VLOOKUP(A3,'BSE ALL CAP'!$B$4:$Y$1038,3,)</f>
        <v>Depositories, Clearing Houses and Other Intermediaries</v>
      </c>
      <c r="E3" s="101">
        <f ca="1">IFERROR(__xludf.DUMMYFUNCTION("GOOGLEFINANCE(""BOM:""&amp;A3,""PRICE"")"),877.5)</f>
        <v>877.5</v>
      </c>
      <c r="F3" s="112">
        <f ca="1">IFERROR(__xludf.DUMMYFUNCTION("GOOGLEFINANCE(""BOM:""&amp;A3,""MARKETCAP"")/10000000"),17551.9907357)</f>
        <v>17551.990735700001</v>
      </c>
      <c r="G3" s="95">
        <f t="shared" ca="1" si="0"/>
        <v>0.2964311108071106</v>
      </c>
      <c r="H3" s="101">
        <f>VLOOKUP(A3,'BSE ALL CAP'!$B$4:$Y$1038,7,)</f>
        <v>1072</v>
      </c>
      <c r="I3" s="101">
        <f>VLOOKUP(A3,'BSE ALL CAP'!$B$4:$Y$1038,8,)</f>
        <v>1057</v>
      </c>
      <c r="J3" s="101">
        <f>VLOOKUP(A3,'BSE ALL CAP'!$B$4:$Y$1038,9,)</f>
        <v>290</v>
      </c>
      <c r="K3" s="101">
        <f>VLOOKUP(A3,'BSE ALL CAP'!$B$4:$Y$1038,10,)</f>
        <v>260</v>
      </c>
      <c r="L3" s="101">
        <f>VLOOKUP(A3,'BSE ALL CAP'!$B$4:$Y$1038,11,)</f>
        <v>360</v>
      </c>
      <c r="M3" s="101">
        <f>VLOOKUP(A3,'BSE ALL CAP'!$B$4:$Y$1038,12,)</f>
        <v>363</v>
      </c>
      <c r="N3" s="101">
        <f>VLOOKUP(A3,'BSE ALL CAP'!$B$4:$Y$1038,13,)</f>
        <v>90</v>
      </c>
      <c r="O3" s="101">
        <f>VLOOKUP(A3,'BSE ALL CAP'!$B$4:$Y$1038,14,)</f>
        <v>86</v>
      </c>
      <c r="P3" s="95">
        <f>VLOOKUP(A3,'BSE ALL CAP'!$B$4:$Y$1038,15,)</f>
        <v>0.27052238805970147</v>
      </c>
      <c r="Q3" s="95">
        <f>VLOOKUP(A3,'BSE ALL CAP'!$B$4:$Y$1038,16,)</f>
        <v>0.24597918637653737</v>
      </c>
      <c r="R3" s="95">
        <f>VLOOKUP(A3,'BSE ALL CAP'!$B$4:$Y$1038,17,)</f>
        <v>2.4543201683164095E-2</v>
      </c>
      <c r="S3" s="95">
        <f>VLOOKUP(A3,'BSE ALL CAP'!$B$4:$Y$1038,18,)</f>
        <v>0.25</v>
      </c>
      <c r="T3" s="95">
        <f>VLOOKUP(A3,'BSE ALL CAP'!$B$4:$Y$1038,19,)</f>
        <v>0.23691460055096419</v>
      </c>
      <c r="U3" s="95">
        <f>VLOOKUP(A3,'BSE ALL CAP'!$B$4:$Y$1038,20,)</f>
        <v>1.3085399449035806E-2</v>
      </c>
      <c r="V3" s="95">
        <f>VLOOKUP(A3,'BSE ALL CAP'!$B$4:$Y$1038,21,)</f>
        <v>1.4191106906338735E-2</v>
      </c>
      <c r="W3" s="95">
        <f>VLOOKUP(A3,'BSE ALL CAP'!$B$4:$Y$1038,22,)</f>
        <v>0.11538461538461542</v>
      </c>
      <c r="X3" s="95">
        <f>VLOOKUP(A3,'BSE ALL CAP'!$B$4:$Y$1038,23,)</f>
        <v>-8.2644628099173278E-3</v>
      </c>
      <c r="Y3" s="95">
        <f>VLOOKUP(A3,'BSE ALL CAP'!$B$4:$Y$1038,24,)</f>
        <v>4.6511627906976827E-2</v>
      </c>
    </row>
    <row r="4" spans="1:25" ht="15.75" customHeight="1">
      <c r="A4" s="99">
        <v>543232</v>
      </c>
      <c r="B4" s="98" t="s">
        <v>1425</v>
      </c>
      <c r="C4" s="101" t="str">
        <f>VLOOKUP(A4,'BSE ALL CAP'!$B$4:$Y$1038,2,)</f>
        <v>Financial Services</v>
      </c>
      <c r="D4" s="101" t="str">
        <f>VLOOKUP(A4,'BSE ALL CAP'!$B$4:$Y$1038,3,)</f>
        <v>Depositories, Clearing Houses and Other Intermediaries</v>
      </c>
      <c r="E4" s="101">
        <f ca="1">IFERROR(__xludf.DUMMYFUNCTION("GOOGLEFINANCE(""BOM:""&amp;A4,""PRICE"")"),667.3)</f>
        <v>667.3</v>
      </c>
      <c r="F4" s="112">
        <f ca="1">IFERROR(__xludf.DUMMYFUNCTION("GOOGLEFINANCE(""BOM:""&amp;A4,""MARKETCAP"")/10000000"),16539.3265302)</f>
        <v>16539.3265302</v>
      </c>
      <c r="G4" s="95">
        <f t="shared" ca="1" si="0"/>
        <v>0.27932848240266406</v>
      </c>
      <c r="H4" s="101">
        <f>VLOOKUP(A4,'BSE ALL CAP'!$B$4:$Y$1038,7,)</f>
        <v>1159</v>
      </c>
      <c r="I4" s="101">
        <f>VLOOKUP(A4,'BSE ALL CAP'!$B$4:$Y$1038,8,)</f>
        <v>1105</v>
      </c>
      <c r="J4" s="101">
        <f>VLOOKUP(A4,'BSE ALL CAP'!$B$4:$Y$1038,9,)</f>
        <v>346</v>
      </c>
      <c r="K4" s="101">
        <f>VLOOKUP(A4,'BSE ALL CAP'!$B$4:$Y$1038,10,)</f>
        <v>351</v>
      </c>
      <c r="L4" s="101">
        <f>VLOOKUP(A4,'BSE ALL CAP'!$B$4:$Y$1038,11,)</f>
        <v>403</v>
      </c>
      <c r="M4" s="101">
        <f>VLOOKUP(A4,'BSE ALL CAP'!$B$4:$Y$1038,12,)</f>
        <v>384</v>
      </c>
      <c r="N4" s="101">
        <f>VLOOKUP(A4,'BSE ALL CAP'!$B$4:$Y$1038,13,)</f>
        <v>124</v>
      </c>
      <c r="O4" s="101">
        <f>VLOOKUP(A4,'BSE ALL CAP'!$B$4:$Y$1038,14,)</f>
        <v>124</v>
      </c>
      <c r="P4" s="95">
        <f>VLOOKUP(A4,'BSE ALL CAP'!$B$4:$Y$1038,15,)</f>
        <v>0.29853321829163071</v>
      </c>
      <c r="Q4" s="95">
        <f>VLOOKUP(A4,'BSE ALL CAP'!$B$4:$Y$1038,16,)</f>
        <v>0.31764705882352939</v>
      </c>
      <c r="R4" s="95">
        <f>VLOOKUP(A4,'BSE ALL CAP'!$B$4:$Y$1038,17,)</f>
        <v>-1.9113840531898685E-2</v>
      </c>
      <c r="S4" s="95">
        <f>VLOOKUP(A4,'BSE ALL CAP'!$B$4:$Y$1038,18,)</f>
        <v>0.30769230769230771</v>
      </c>
      <c r="T4" s="95">
        <f>VLOOKUP(A4,'BSE ALL CAP'!$B$4:$Y$1038,19,)</f>
        <v>0.32291666666666669</v>
      </c>
      <c r="U4" s="95">
        <f>VLOOKUP(A4,'BSE ALL CAP'!$B$4:$Y$1038,20,)</f>
        <v>-1.5224358974358976E-2</v>
      </c>
      <c r="V4" s="95">
        <f>VLOOKUP(A4,'BSE ALL CAP'!$B$4:$Y$1038,21,)</f>
        <v>4.8868778280543035E-2</v>
      </c>
      <c r="W4" s="95">
        <f>VLOOKUP(A4,'BSE ALL CAP'!$B$4:$Y$1038,22,)</f>
        <v>-1.4245014245014231E-2</v>
      </c>
      <c r="X4" s="95">
        <f>VLOOKUP(A4,'BSE ALL CAP'!$B$4:$Y$1038,23,)</f>
        <v>4.9479166666666741E-2</v>
      </c>
      <c r="Y4" s="95">
        <f>VLOOKUP(A4,'BSE ALL CAP'!$B$4:$Y$1038,24,)</f>
        <v>0</v>
      </c>
    </row>
    <row r="5" spans="1:25" ht="15.75" customHeight="1">
      <c r="A5" s="99">
        <v>543720</v>
      </c>
      <c r="B5" s="98" t="s">
        <v>4842</v>
      </c>
      <c r="C5" s="101" t="str">
        <f>VLOOKUP(A5,'BSE ALL CAP'!$B$4:$Y$1038,2,)</f>
        <v>Financial Services</v>
      </c>
      <c r="D5" s="101" t="str">
        <f>VLOOKUP(A5,'BSE ALL CAP'!$B$4:$Y$1038,3,)</f>
        <v>Depositories, Clearing Houses and Other Intermediaries</v>
      </c>
      <c r="E5" s="101">
        <f ca="1">IFERROR(__xludf.DUMMYFUNCTION("GOOGLEFINANCE(""BOM:""&amp;A5,""PRICE"")"),917.1)</f>
        <v>917.1</v>
      </c>
      <c r="F5" s="112">
        <f ca="1">IFERROR(__xludf.DUMMYFUNCTION("GOOGLEFINANCE(""BOM:""&amp;A5,""MARKETCAP"")/10000000"),15822.1756187)</f>
        <v>15822.175618699999</v>
      </c>
      <c r="G5" s="95">
        <f t="shared" ca="1" si="0"/>
        <v>0.26721670291773719</v>
      </c>
      <c r="H5" s="101">
        <f>VLOOKUP(A5,'BSE ALL CAP'!$B$4:$Y$1038,7,)</f>
        <v>981</v>
      </c>
      <c r="I5" s="101">
        <f>VLOOKUP(A5,'BSE ALL CAP'!$B$4:$Y$1038,8,)</f>
        <v>835</v>
      </c>
      <c r="J5" s="101">
        <f>VLOOKUP(A5,'BSE ALL CAP'!$B$4:$Y$1038,9,)</f>
        <v>262</v>
      </c>
      <c r="K5" s="101">
        <f>VLOOKUP(A5,'BSE ALL CAP'!$B$4:$Y$1038,10,)</f>
        <v>247</v>
      </c>
      <c r="L5" s="101">
        <f>VLOOKUP(A5,'BSE ALL CAP'!$B$4:$Y$1038,11,)</f>
        <v>377</v>
      </c>
      <c r="M5" s="101">
        <f>VLOOKUP(A5,'BSE ALL CAP'!$B$4:$Y$1038,12,)</f>
        <v>299</v>
      </c>
      <c r="N5" s="101">
        <f>VLOOKUP(A5,'BSE ALL CAP'!$B$4:$Y$1038,13,)</f>
        <v>91</v>
      </c>
      <c r="O5" s="101">
        <f>VLOOKUP(A5,'BSE ALL CAP'!$B$4:$Y$1038,14,)</f>
        <v>90</v>
      </c>
      <c r="P5" s="95">
        <f>VLOOKUP(A5,'BSE ALL CAP'!$B$4:$Y$1038,15,)</f>
        <v>0.26707441386340469</v>
      </c>
      <c r="Q5" s="95">
        <f>VLOOKUP(A5,'BSE ALL CAP'!$B$4:$Y$1038,16,)</f>
        <v>0.29580838323353292</v>
      </c>
      <c r="R5" s="95">
        <f>VLOOKUP(A5,'BSE ALL CAP'!$B$4:$Y$1038,17,)</f>
        <v>-2.8733969370128232E-2</v>
      </c>
      <c r="S5" s="95">
        <f>VLOOKUP(A5,'BSE ALL CAP'!$B$4:$Y$1038,18,)</f>
        <v>0.2413793103448276</v>
      </c>
      <c r="T5" s="95">
        <f>VLOOKUP(A5,'BSE ALL CAP'!$B$4:$Y$1038,19,)</f>
        <v>0.30100334448160537</v>
      </c>
      <c r="U5" s="95">
        <f>VLOOKUP(A5,'BSE ALL CAP'!$B$4:$Y$1038,20,)</f>
        <v>-5.9624034136777776E-2</v>
      </c>
      <c r="V5" s="95">
        <f>VLOOKUP(A5,'BSE ALL CAP'!$B$4:$Y$1038,21,)</f>
        <v>0.17485029940119756</v>
      </c>
      <c r="W5" s="95">
        <f>VLOOKUP(A5,'BSE ALL CAP'!$B$4:$Y$1038,22,)</f>
        <v>6.0728744939271273E-2</v>
      </c>
      <c r="X5" s="95">
        <f>VLOOKUP(A5,'BSE ALL CAP'!$B$4:$Y$1038,23,)</f>
        <v>0.26086956521739135</v>
      </c>
      <c r="Y5" s="95">
        <f>VLOOKUP(A5,'BSE ALL CAP'!$B$4:$Y$1038,24,)</f>
        <v>1.1111111111111072E-2</v>
      </c>
    </row>
    <row r="6" spans="1:25">
      <c r="A6" s="101"/>
      <c r="B6" s="101"/>
      <c r="C6" s="101"/>
      <c r="D6" s="101"/>
      <c r="E6" s="101"/>
      <c r="F6" s="112"/>
      <c r="G6" s="95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101"/>
      <c r="B7" s="101"/>
      <c r="C7" s="101"/>
      <c r="D7" s="101"/>
      <c r="E7" s="101"/>
      <c r="F7" s="112">
        <f ca="1">SUM(F2:F4)</f>
        <v>59211.027776099996</v>
      </c>
      <c r="G7" s="95">
        <f ca="1">F7/$F$7</f>
        <v>1</v>
      </c>
      <c r="H7" s="101">
        <f t="shared" ref="H7:O7" si="1">SUM(H2:H5)</f>
        <v>4182</v>
      </c>
      <c r="I7" s="101">
        <f t="shared" si="1"/>
        <v>3940</v>
      </c>
      <c r="J7" s="101">
        <f t="shared" si="1"/>
        <v>1273</v>
      </c>
      <c r="K7" s="101">
        <f t="shared" si="1"/>
        <v>1284</v>
      </c>
      <c r="L7" s="101">
        <f t="shared" si="1"/>
        <v>1474</v>
      </c>
      <c r="M7" s="101">
        <f t="shared" si="1"/>
        <v>1344</v>
      </c>
      <c r="N7" s="101">
        <f t="shared" si="1"/>
        <v>438</v>
      </c>
      <c r="O7" s="101">
        <f t="shared" si="1"/>
        <v>430</v>
      </c>
      <c r="P7" s="95">
        <f t="shared" ref="P7:Q7" si="2">J7/H7</f>
        <v>0.30439980870396938</v>
      </c>
      <c r="Q7" s="95">
        <f t="shared" si="2"/>
        <v>0.32588832487309644</v>
      </c>
      <c r="R7" s="95">
        <f>P7-Q7</f>
        <v>-2.1488516169127059E-2</v>
      </c>
      <c r="S7" s="95">
        <f t="shared" ref="S7:T7" si="3">N7/L7</f>
        <v>0.29715061058344638</v>
      </c>
      <c r="T7" s="95">
        <f t="shared" si="3"/>
        <v>0.31994047619047616</v>
      </c>
      <c r="U7" s="95">
        <f>S7-T7</f>
        <v>-2.278986560702978E-2</v>
      </c>
      <c r="V7" s="95">
        <f>(H7/I7)-1</f>
        <v>6.1421319796954421E-2</v>
      </c>
      <c r="W7" s="95">
        <f>(J7/K7)-1</f>
        <v>-8.5669781931464462E-3</v>
      </c>
      <c r="X7" s="95">
        <f>(L7/M7)-1</f>
        <v>9.6726190476190466E-2</v>
      </c>
      <c r="Y7" s="95">
        <f>(N7/O7)-1</f>
        <v>1.8604651162790642E-2</v>
      </c>
    </row>
    <row r="8" spans="1:25">
      <c r="F8" s="94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  <row r="1001" spans="6:6" ht="13.2">
      <c r="F1001" s="94"/>
    </row>
  </sheetData>
  <autoFilter ref="A1:Y5" xr:uid="{00000000-0009-0000-0000-00009E000000}"/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outlinePr summaryBelow="0" summaryRight="0"/>
  </sheetPr>
  <dimension ref="A1:Y5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543638</v>
      </c>
      <c r="B2" s="98" t="s">
        <v>4843</v>
      </c>
      <c r="C2" s="101" t="e">
        <f>VLOOKUP(A2,'BSE ALL CAP'!$B$4:$Y$1038,2,)</f>
        <v>#N/A</v>
      </c>
      <c r="D2" s="101" t="e">
        <f>VLOOKUP(A2,'BSE ALL CAP'!$B$4:$Y$1038,3,)</f>
        <v>#N/A</v>
      </c>
      <c r="E2" s="101">
        <f ca="1">IFERROR(__xludf.DUMMYFUNCTION("GOOGLEFINANCE(""BOM:""&amp;A2,""PRICE"")"),30.01)</f>
        <v>30.01</v>
      </c>
      <c r="F2" s="112">
        <f ca="1">IFERROR(__xludf.DUMMYFUNCTION("GOOGLEFINANCE(""BOM:""&amp;A2,""MARKETCAP"")/10000000"),320.3159388)</f>
        <v>320.31593880000003</v>
      </c>
      <c r="G2" s="95">
        <f t="shared" ref="G2:G3" ca="1" si="0">F2/$F$5</f>
        <v>0.92629678153165762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.75" customHeight="1">
      <c r="A3" s="99">
        <v>539012</v>
      </c>
      <c r="B3" s="98" t="s">
        <v>4844</v>
      </c>
      <c r="C3" s="101" t="e">
        <f>VLOOKUP(A3,'BSE ALL CAP'!$B$4:$Y$1038,2,)</f>
        <v>#N/A</v>
      </c>
      <c r="D3" s="101" t="e">
        <f>VLOOKUP(A3,'BSE ALL CAP'!$B$4:$Y$1038,3,)</f>
        <v>#N/A</v>
      </c>
      <c r="E3" s="101">
        <f ca="1">IFERROR(__xludf.DUMMYFUNCTION("GOOGLEFINANCE(""BOM:""&amp;A3,""PRICE"")"),81.15)</f>
        <v>81.150000000000006</v>
      </c>
      <c r="F3" s="112">
        <f ca="1">IFERROR(__xludf.DUMMYFUNCTION("GOOGLEFINANCE(""BOM:""&amp;A3,""MARKETCAP"")/10000000"),25.4867728)</f>
        <v>25.486772800000001</v>
      </c>
      <c r="G3" s="95">
        <f t="shared" ca="1" si="0"/>
        <v>7.3703218468342394E-2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>
      <c r="A4" s="101"/>
      <c r="B4" s="101"/>
      <c r="C4" s="101"/>
      <c r="D4" s="101"/>
      <c r="E4" s="101"/>
      <c r="F4" s="101"/>
      <c r="G4" s="95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101"/>
      <c r="B5" s="101"/>
      <c r="C5" s="101"/>
      <c r="D5" s="101"/>
      <c r="E5" s="101"/>
      <c r="F5" s="112">
        <f ca="1">SUM(F2:F3)</f>
        <v>345.80271160000001</v>
      </c>
      <c r="G5" s="95">
        <f ca="1">F5/$F$5</f>
        <v>1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</sheetData>
  <autoFilter ref="A1:Y3" xr:uid="{00000000-0009-0000-0000-00009F000000}"/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531531</v>
      </c>
      <c r="B2" s="98" t="s">
        <v>4845</v>
      </c>
      <c r="C2" s="101" t="str">
        <f>VLOOKUP(A2,'BSE ALL CAP'!$B$4:$Y$1038,2,)</f>
        <v>Fast Moving Consumer Goods</v>
      </c>
      <c r="D2" s="101" t="str">
        <f>VLOOKUP(A2,'BSE ALL CAP'!$B$4:$Y$1038,3,)</f>
        <v>Dairy Products</v>
      </c>
      <c r="E2" s="101">
        <f ca="1">IFERROR(__xludf.DUMMYFUNCTION("GOOGLEFINANCE(""BOM:""&amp;A2,""PRICE"")"),894.85)</f>
        <v>894.85</v>
      </c>
      <c r="F2" s="112">
        <f ca="1">IFERROR(__xludf.DUMMYFUNCTION("GOOGLEFINANCE(""BOM:""&amp;A2,""MARKETCAP"")/10000000"),19958.23872)</f>
        <v>19958.238720000001</v>
      </c>
      <c r="G2" s="95">
        <f t="shared" ref="G2:G15" ca="1" si="0">F2/$F$17</f>
        <v>0.54912450744420949</v>
      </c>
      <c r="H2" s="101">
        <f>VLOOKUP(A2,'BSE ALL CAP'!$B$4:$Y$1038,7,)</f>
        <v>7382</v>
      </c>
      <c r="I2" s="101">
        <f>VLOOKUP(A2,'BSE ALL CAP'!$B$4:$Y$1038,8,)</f>
        <v>6457</v>
      </c>
      <c r="J2" s="101">
        <f>VLOOKUP(A2,'BSE ALL CAP'!$B$4:$Y$1038,9,)</f>
        <v>305</v>
      </c>
      <c r="K2" s="101">
        <f>VLOOKUP(A2,'BSE ALL CAP'!$B$4:$Y$1038,10,)</f>
        <v>236</v>
      </c>
      <c r="L2" s="101">
        <f>VLOOKUP(A2,'BSE ALL CAP'!$B$4:$Y$1038,11,)</f>
        <v>2364</v>
      </c>
      <c r="M2" s="101">
        <f>VLOOKUP(A2,'BSE ALL CAP'!$B$4:$Y$1038,12,)</f>
        <v>2010</v>
      </c>
      <c r="N2" s="101">
        <f>VLOOKUP(A2,'BSE ALL CAP'!$B$4:$Y$1038,13,)</f>
        <v>61</v>
      </c>
      <c r="O2" s="101">
        <f>VLOOKUP(A2,'BSE ALL CAP'!$B$4:$Y$1038,14,)</f>
        <v>41</v>
      </c>
      <c r="P2" s="95">
        <f>VLOOKUP(A2,'BSE ALL CAP'!$B$4:$Y$1038,15,)</f>
        <v>4.1316716337036034E-2</v>
      </c>
      <c r="Q2" s="95">
        <f>VLOOKUP(A2,'BSE ALL CAP'!$B$4:$Y$1038,16,)</f>
        <v>3.6549481183212017E-2</v>
      </c>
      <c r="R2" s="95">
        <f>VLOOKUP(A2,'BSE ALL CAP'!$B$4:$Y$1038,17,)</f>
        <v>4.7672351538240176E-3</v>
      </c>
      <c r="S2" s="95">
        <f>VLOOKUP(A2,'BSE ALL CAP'!$B$4:$Y$1038,18,)</f>
        <v>2.5803722504230117E-2</v>
      </c>
      <c r="T2" s="95">
        <f>VLOOKUP(A2,'BSE ALL CAP'!$B$4:$Y$1038,19,)</f>
        <v>2.0398009950248756E-2</v>
      </c>
      <c r="U2" s="95">
        <f>VLOOKUP(A2,'BSE ALL CAP'!$B$4:$Y$1038,20,)</f>
        <v>5.4057125539813608E-3</v>
      </c>
      <c r="V2" s="95">
        <f>VLOOKUP(A2,'BSE ALL CAP'!$B$4:$Y$1038,21,)</f>
        <v>0.14325538175623365</v>
      </c>
      <c r="W2" s="95">
        <f>VLOOKUP(A2,'BSE ALL CAP'!$B$4:$Y$1038,22,)</f>
        <v>0.29237288135593231</v>
      </c>
      <c r="X2" s="95">
        <f>VLOOKUP(A2,'BSE ALL CAP'!$B$4:$Y$1038,23,)</f>
        <v>0.17611940298507456</v>
      </c>
      <c r="Y2" s="95">
        <f>VLOOKUP(A2,'BSE ALL CAP'!$B$4:$Y$1038,24,)</f>
        <v>0.48780487804878048</v>
      </c>
    </row>
    <row r="3" spans="1:25" ht="15.75" customHeight="1">
      <c r="A3" s="99">
        <v>543306</v>
      </c>
      <c r="B3" s="98" t="s">
        <v>4846</v>
      </c>
      <c r="C3" s="101" t="str">
        <f>VLOOKUP(A3,'BSE ALL CAP'!$B$4:$Y$1038,2,)</f>
        <v>Fast Moving Consumer Goods</v>
      </c>
      <c r="D3" s="101" t="str">
        <f>VLOOKUP(A3,'BSE ALL CAP'!$B$4:$Y$1038,3,)</f>
        <v>Dairy Products</v>
      </c>
      <c r="E3" s="101">
        <f ca="1">IFERROR(__xludf.DUMMYFUNCTION("GOOGLEFINANCE(""BOM:""&amp;A3,""PRICE"")"),1017)</f>
        <v>1017</v>
      </c>
      <c r="F3" s="112">
        <f ca="1">IFERROR(__xludf.DUMMYFUNCTION("GOOGLEFINANCE(""BOM:""&amp;A3,""MARKETCAP"")/10000000"),6124.4783296)</f>
        <v>6124.4783295999996</v>
      </c>
      <c r="G3" s="95">
        <f t="shared" ca="1" si="0"/>
        <v>0.16850691051832123</v>
      </c>
      <c r="H3" s="101">
        <f>VLOOKUP(A3,'BSE ALL CAP'!$B$4:$Y$1038,7,)</f>
        <v>3050</v>
      </c>
      <c r="I3" s="101">
        <f>VLOOKUP(A3,'BSE ALL CAP'!$B$4:$Y$1038,8,)</f>
        <v>2810</v>
      </c>
      <c r="J3" s="101">
        <f>VLOOKUP(A3,'BSE ALL CAP'!$B$4:$Y$1038,9,)</f>
        <v>19</v>
      </c>
      <c r="K3" s="101">
        <f>VLOOKUP(A3,'BSE ALL CAP'!$B$4:$Y$1038,10,)</f>
        <v>19</v>
      </c>
      <c r="L3" s="101">
        <f>VLOOKUP(A3,'BSE ALL CAP'!$B$4:$Y$1038,11,)</f>
        <v>1025</v>
      </c>
      <c r="M3" s="101">
        <f>VLOOKUP(A3,'BSE ALL CAP'!$B$4:$Y$1038,12,)</f>
        <v>901</v>
      </c>
      <c r="N3" s="101">
        <f>VLOOKUP(A3,'BSE ALL CAP'!$B$4:$Y$1038,13,)</f>
        <v>68</v>
      </c>
      <c r="O3" s="101">
        <f>VLOOKUP(A3,'BSE ALL CAP'!$B$4:$Y$1038,14,)</f>
        <v>63</v>
      </c>
      <c r="P3" s="95">
        <f>VLOOKUP(A3,'BSE ALL CAP'!$B$4:$Y$1038,15,)</f>
        <v>6.2295081967213119E-3</v>
      </c>
      <c r="Q3" s="95">
        <f>VLOOKUP(A3,'BSE ALL CAP'!$B$4:$Y$1038,16,)</f>
        <v>6.7615658362989326E-3</v>
      </c>
      <c r="R3" s="95">
        <f>VLOOKUP(A3,'BSE ALL CAP'!$B$4:$Y$1038,17,)</f>
        <v>-5.3205763957762074E-4</v>
      </c>
      <c r="S3" s="95">
        <f>VLOOKUP(A3,'BSE ALL CAP'!$B$4:$Y$1038,18,)</f>
        <v>6.634146341463415E-2</v>
      </c>
      <c r="T3" s="95">
        <f>VLOOKUP(A3,'BSE ALL CAP'!$B$4:$Y$1038,19,)</f>
        <v>6.9922308546059936E-2</v>
      </c>
      <c r="U3" s="95">
        <f>VLOOKUP(A3,'BSE ALL CAP'!$B$4:$Y$1038,20,)</f>
        <v>-3.5808451314257861E-3</v>
      </c>
      <c r="V3" s="95">
        <f>VLOOKUP(A3,'BSE ALL CAP'!$B$4:$Y$1038,21,)</f>
        <v>8.5409252669039093E-2</v>
      </c>
      <c r="W3" s="95">
        <f>VLOOKUP(A3,'BSE ALL CAP'!$B$4:$Y$1038,22,)</f>
        <v>0</v>
      </c>
      <c r="X3" s="95">
        <f>VLOOKUP(A3,'BSE ALL CAP'!$B$4:$Y$1038,23,)</f>
        <v>0.13762486126526086</v>
      </c>
      <c r="Y3" s="95">
        <f>VLOOKUP(A3,'BSE ALL CAP'!$B$4:$Y$1038,24,)</f>
        <v>7.9365079365079305E-2</v>
      </c>
    </row>
    <row r="4" spans="1:25" ht="15.75" customHeight="1">
      <c r="A4" s="99">
        <v>519156</v>
      </c>
      <c r="B4" s="98" t="s">
        <v>4847</v>
      </c>
      <c r="C4" s="101" t="str">
        <f>VLOOKUP(A4,'BSE ALL CAP'!$B$4:$Y$1038,2,)</f>
        <v>Fast Moving Consumer Goods</v>
      </c>
      <c r="D4" s="101" t="str">
        <f>VLOOKUP(A4,'BSE ALL CAP'!$B$4:$Y$1038,3,)</f>
        <v>Dairy Products</v>
      </c>
      <c r="E4" s="101">
        <f ca="1">IFERROR(__xludf.DUMMYFUNCTION("GOOGLEFINANCE(""BOM:""&amp;A4,""PRICE"")"),4417.25)</f>
        <v>4417.25</v>
      </c>
      <c r="F4" s="112">
        <f ca="1">IFERROR(__xludf.DUMMYFUNCTION("GOOGLEFINANCE(""BOM:""&amp;A4,""MARKETCAP"")/10000000"),3169.40169)</f>
        <v>3169.4016900000001</v>
      </c>
      <c r="G4" s="95">
        <f t="shared" ca="1" si="0"/>
        <v>8.720189022341221E-2</v>
      </c>
      <c r="H4" s="101">
        <f>VLOOKUP(A4,'BSE ALL CAP'!$B$4:$Y$1038,7,)</f>
        <v>1085</v>
      </c>
      <c r="I4" s="101">
        <f>VLOOKUP(A4,'BSE ALL CAP'!$B$4:$Y$1038,8,)</f>
        <v>964</v>
      </c>
      <c r="J4" s="101">
        <f>VLOOKUP(A4,'BSE ALL CAP'!$B$4:$Y$1038,9,)</f>
        <v>100</v>
      </c>
      <c r="K4" s="101">
        <f>VLOOKUP(A4,'BSE ALL CAP'!$B$4:$Y$1038,10,)</f>
        <v>128</v>
      </c>
      <c r="L4" s="101">
        <f>VLOOKUP(A4,'BSE ALL CAP'!$B$4:$Y$1038,11,)</f>
        <v>238</v>
      </c>
      <c r="M4" s="101">
        <f>VLOOKUP(A4,'BSE ALL CAP'!$B$4:$Y$1038,12,)</f>
        <v>204</v>
      </c>
      <c r="N4" s="101">
        <f>VLOOKUP(A4,'BSE ALL CAP'!$B$4:$Y$1038,13,)</f>
        <v>-0.15</v>
      </c>
      <c r="O4" s="101">
        <f>VLOOKUP(A4,'BSE ALL CAP'!$B$4:$Y$1038,14,)</f>
        <v>12</v>
      </c>
      <c r="P4" s="95">
        <f>VLOOKUP(A4,'BSE ALL CAP'!$B$4:$Y$1038,15,)</f>
        <v>9.2165898617511524E-2</v>
      </c>
      <c r="Q4" s="95">
        <f>VLOOKUP(A4,'BSE ALL CAP'!$B$4:$Y$1038,16,)</f>
        <v>0.13278008298755187</v>
      </c>
      <c r="R4" s="95">
        <f>VLOOKUP(A4,'BSE ALL CAP'!$B$4:$Y$1038,17,)</f>
        <v>-4.0614184370040343E-2</v>
      </c>
      <c r="S4" s="95">
        <f>VLOOKUP(A4,'BSE ALL CAP'!$B$4:$Y$1038,18,)</f>
        <v>-6.3025210084033606E-4</v>
      </c>
      <c r="T4" s="95">
        <f>VLOOKUP(A4,'BSE ALL CAP'!$B$4:$Y$1038,19,)</f>
        <v>5.8823529411764705E-2</v>
      </c>
      <c r="U4" s="95">
        <f>VLOOKUP(A4,'BSE ALL CAP'!$B$4:$Y$1038,20,)</f>
        <v>-5.9453781512605039E-2</v>
      </c>
      <c r="V4" s="95">
        <f>VLOOKUP(A4,'BSE ALL CAP'!$B$4:$Y$1038,21,)</f>
        <v>0.12551867219917012</v>
      </c>
      <c r="W4" s="95">
        <f>VLOOKUP(A4,'BSE ALL CAP'!$B$4:$Y$1038,22,)</f>
        <v>-0.21875</v>
      </c>
      <c r="X4" s="95">
        <f>VLOOKUP(A4,'BSE ALL CAP'!$B$4:$Y$1038,23,)</f>
        <v>0.16666666666666674</v>
      </c>
      <c r="Y4" s="95">
        <f>VLOOKUP(A4,'BSE ALL CAP'!$B$4:$Y$1038,24,)</f>
        <v>-1.0125</v>
      </c>
    </row>
    <row r="5" spans="1:25" ht="15.75" customHeight="1">
      <c r="A5" s="99">
        <v>519552</v>
      </c>
      <c r="B5" s="98" t="s">
        <v>4848</v>
      </c>
      <c r="C5" s="101" t="str">
        <f>VLOOKUP(A5,'BSE ALL CAP'!$B$4:$Y$1038,2,)</f>
        <v>Fast Moving Consumer Goods</v>
      </c>
      <c r="D5" s="101" t="str">
        <f>VLOOKUP(A5,'BSE ALL CAP'!$B$4:$Y$1038,3,)</f>
        <v>Dairy Products</v>
      </c>
      <c r="E5" s="101">
        <f ca="1">IFERROR(__xludf.DUMMYFUNCTION("GOOGLEFINANCE(""BOM:""&amp;A5,""PRICE"")"),311.45)</f>
        <v>311.45</v>
      </c>
      <c r="F5" s="112">
        <f ca="1">IFERROR(__xludf.DUMMYFUNCTION("GOOGLEFINANCE(""BOM:""&amp;A5,""MARKETCAP"")/10000000"),2885.955289)</f>
        <v>2885.955289</v>
      </c>
      <c r="G5" s="95">
        <f t="shared" ca="1" si="0"/>
        <v>7.940323787138949E-2</v>
      </c>
      <c r="H5" s="101">
        <f>VLOOKUP(A5,'BSE ALL CAP'!$B$4:$Y$1038,7,)</f>
        <v>3368</v>
      </c>
      <c r="I5" s="101">
        <f>VLOOKUP(A5,'BSE ALL CAP'!$B$4:$Y$1038,8,)</f>
        <v>3086</v>
      </c>
      <c r="J5" s="101">
        <f>VLOOKUP(A5,'BSE ALL CAP'!$B$4:$Y$1038,9,)</f>
        <v>125</v>
      </c>
      <c r="K5" s="101">
        <f>VLOOKUP(A5,'BSE ALL CAP'!$B$4:$Y$1038,10,)</f>
        <v>150</v>
      </c>
      <c r="L5" s="101">
        <f>VLOOKUP(A5,'BSE ALL CAP'!$B$4:$Y$1038,11,)</f>
        <v>1119</v>
      </c>
      <c r="M5" s="101">
        <f>VLOOKUP(A5,'BSE ALL CAP'!$B$4:$Y$1038,12,)</f>
        <v>1033</v>
      </c>
      <c r="N5" s="101">
        <f>VLOOKUP(A5,'BSE ALL CAP'!$B$4:$Y$1038,13,)</f>
        <v>34</v>
      </c>
      <c r="O5" s="101">
        <f>VLOOKUP(A5,'BSE ALL CAP'!$B$4:$Y$1038,14,)</f>
        <v>43</v>
      </c>
      <c r="P5" s="95">
        <f>VLOOKUP(A5,'BSE ALL CAP'!$B$4:$Y$1038,15,)</f>
        <v>3.7114014251781471E-2</v>
      </c>
      <c r="Q5" s="95">
        <f>VLOOKUP(A5,'BSE ALL CAP'!$B$4:$Y$1038,16,)</f>
        <v>4.8606610499027869E-2</v>
      </c>
      <c r="R5" s="95">
        <f>VLOOKUP(A5,'BSE ALL CAP'!$B$4:$Y$1038,17,)</f>
        <v>-1.1492596247246398E-2</v>
      </c>
      <c r="S5" s="95">
        <f>VLOOKUP(A5,'BSE ALL CAP'!$B$4:$Y$1038,18,)</f>
        <v>3.038427167113494E-2</v>
      </c>
      <c r="T5" s="95">
        <f>VLOOKUP(A5,'BSE ALL CAP'!$B$4:$Y$1038,19,)</f>
        <v>4.1626331074540175E-2</v>
      </c>
      <c r="U5" s="95">
        <f>VLOOKUP(A5,'BSE ALL CAP'!$B$4:$Y$1038,20,)</f>
        <v>-1.1242059403405235E-2</v>
      </c>
      <c r="V5" s="95">
        <f>VLOOKUP(A5,'BSE ALL CAP'!$B$4:$Y$1038,21,)</f>
        <v>9.1380427738172454E-2</v>
      </c>
      <c r="W5" s="95">
        <f>VLOOKUP(A5,'BSE ALL CAP'!$B$4:$Y$1038,22,)</f>
        <v>-0.16666666666666663</v>
      </c>
      <c r="X5" s="95">
        <f>VLOOKUP(A5,'BSE ALL CAP'!$B$4:$Y$1038,23,)</f>
        <v>8.3252662149080336E-2</v>
      </c>
      <c r="Y5" s="95">
        <f>VLOOKUP(A5,'BSE ALL CAP'!$B$4:$Y$1038,24,)</f>
        <v>-0.20930232558139539</v>
      </c>
    </row>
    <row r="6" spans="1:25" ht="15.75" customHeight="1">
      <c r="A6" s="99">
        <v>539889</v>
      </c>
      <c r="B6" s="98" t="s">
        <v>4849</v>
      </c>
      <c r="C6" s="101" t="str">
        <f>VLOOKUP(A6,'BSE ALL CAP'!$B$4:$Y$1038,2,)</f>
        <v>Fast Moving Consumer Goods</v>
      </c>
      <c r="D6" s="101" t="str">
        <f>VLOOKUP(A6,'BSE ALL CAP'!$B$4:$Y$1038,3,)</f>
        <v>Dairy Products</v>
      </c>
      <c r="E6" s="101">
        <f ca="1">IFERROR(__xludf.DUMMYFUNCTION("GOOGLEFINANCE(""BOM:""&amp;A6,""PRICE"")"),192.3)</f>
        <v>192.3</v>
      </c>
      <c r="F6" s="112">
        <f ca="1">IFERROR(__xludf.DUMMYFUNCTION("GOOGLEFINANCE(""BOM:""&amp;A6,""MARKETCAP"")/10000000"),2399.9712)</f>
        <v>2399.9712</v>
      </c>
      <c r="G6" s="95">
        <f t="shared" ca="1" si="0"/>
        <v>6.6032029257153221E-2</v>
      </c>
      <c r="H6" s="101">
        <f>VLOOKUP(A6,'BSE ALL CAP'!$B$4:$Y$1038,7,)</f>
        <v>2872</v>
      </c>
      <c r="I6" s="101">
        <f>VLOOKUP(A6,'BSE ALL CAP'!$B$4:$Y$1038,8,)</f>
        <v>2514</v>
      </c>
      <c r="J6" s="101">
        <f>VLOOKUP(A6,'BSE ALL CAP'!$B$4:$Y$1038,9,)</f>
        <v>103</v>
      </c>
      <c r="K6" s="101">
        <f>VLOOKUP(A6,'BSE ALL CAP'!$B$4:$Y$1038,10,)</f>
        <v>93</v>
      </c>
      <c r="L6" s="101">
        <f>VLOOKUP(A6,'BSE ALL CAP'!$B$4:$Y$1038,11,)</f>
        <v>1013</v>
      </c>
      <c r="M6" s="101">
        <f>VLOOKUP(A6,'BSE ALL CAP'!$B$4:$Y$1038,12,)</f>
        <v>885</v>
      </c>
      <c r="N6" s="101">
        <f>VLOOKUP(A6,'BSE ALL CAP'!$B$4:$Y$1038,13,)</f>
        <v>30</v>
      </c>
      <c r="O6" s="101">
        <f>VLOOKUP(A6,'BSE ALL CAP'!$B$4:$Y$1038,14,)</f>
        <v>36</v>
      </c>
      <c r="P6" s="95">
        <f>VLOOKUP(A6,'BSE ALL CAP'!$B$4:$Y$1038,15,)</f>
        <v>3.5863509749303621E-2</v>
      </c>
      <c r="Q6" s="95">
        <f>VLOOKUP(A6,'BSE ALL CAP'!$B$4:$Y$1038,16,)</f>
        <v>3.6992840095465392E-2</v>
      </c>
      <c r="R6" s="95">
        <f>VLOOKUP(A6,'BSE ALL CAP'!$B$4:$Y$1038,17,)</f>
        <v>-1.1293303461617707E-3</v>
      </c>
      <c r="S6" s="95">
        <f>VLOOKUP(A6,'BSE ALL CAP'!$B$4:$Y$1038,18,)</f>
        <v>2.9615004935834157E-2</v>
      </c>
      <c r="T6" s="95">
        <f>VLOOKUP(A6,'BSE ALL CAP'!$B$4:$Y$1038,19,)</f>
        <v>4.0677966101694912E-2</v>
      </c>
      <c r="U6" s="95">
        <f>VLOOKUP(A6,'BSE ALL CAP'!$B$4:$Y$1038,20,)</f>
        <v>-1.1062961165860755E-2</v>
      </c>
      <c r="V6" s="95">
        <f>VLOOKUP(A6,'BSE ALL CAP'!$B$4:$Y$1038,21,)</f>
        <v>0.14240254574383449</v>
      </c>
      <c r="W6" s="95">
        <f>VLOOKUP(A6,'BSE ALL CAP'!$B$4:$Y$1038,22,)</f>
        <v>0.10752688172043001</v>
      </c>
      <c r="X6" s="95">
        <f>VLOOKUP(A6,'BSE ALL CAP'!$B$4:$Y$1038,23,)</f>
        <v>0.14463276836158201</v>
      </c>
      <c r="Y6" s="95">
        <f>VLOOKUP(A6,'BSE ALL CAP'!$B$4:$Y$1038,24,)</f>
        <v>-0.16666666666666663</v>
      </c>
    </row>
    <row r="7" spans="1:25" ht="15.75" customHeight="1">
      <c r="A7" s="99">
        <v>519152</v>
      </c>
      <c r="B7" s="98" t="s">
        <v>4850</v>
      </c>
      <c r="C7" s="101"/>
      <c r="D7" s="101"/>
      <c r="E7" s="101">
        <f ca="1">IFERROR(__xludf.DUMMYFUNCTION("GOOGLEFINANCE(""BOM:""&amp;A7,""PRICE"")"),9645)</f>
        <v>9645</v>
      </c>
      <c r="F7" s="112">
        <f ca="1">IFERROR(__xludf.DUMMYFUNCTION("GOOGLEFINANCE(""BOM:""&amp;A7,""MARKETCAP"")/10000000"),832.0431895)</f>
        <v>832.04318950000004</v>
      </c>
      <c r="G7" s="95">
        <f t="shared" ca="1" si="0"/>
        <v>2.2892566474247308E-2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540757</v>
      </c>
      <c r="B8" s="98" t="s">
        <v>4851</v>
      </c>
      <c r="C8" s="101"/>
      <c r="D8" s="101"/>
      <c r="E8" s="101">
        <f ca="1">IFERROR(__xludf.DUMMYFUNCTION("GOOGLEFINANCE(""BOM:""&amp;A8,""PRICE"")"),328.7)</f>
        <v>328.7</v>
      </c>
      <c r="F8" s="112">
        <f ca="1">IFERROR(__xludf.DUMMYFUNCTION("GOOGLEFINANCE(""BOM:""&amp;A8,""MARKETCAP"")/10000000"),335.9475128)</f>
        <v>335.94751280000003</v>
      </c>
      <c r="G8" s="95">
        <f t="shared" ca="1" si="0"/>
        <v>9.2431509153432581E-3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526081</v>
      </c>
      <c r="B9" s="98" t="s">
        <v>4852</v>
      </c>
      <c r="C9" s="101"/>
      <c r="D9" s="101"/>
      <c r="E9" s="101">
        <f ca="1">IFERROR(__xludf.DUMMYFUNCTION("GOOGLEFINANCE(""BOM:""&amp;A9,""PRICE"")"),31.29)</f>
        <v>31.29</v>
      </c>
      <c r="F9" s="112">
        <f ca="1">IFERROR(__xludf.DUMMYFUNCTION("GOOGLEFINANCE(""BOM:""&amp;A9,""MARKETCAP"")/10000000"),237.7883619)</f>
        <v>237.78836190000001</v>
      </c>
      <c r="G9" s="95">
        <f t="shared" ca="1" si="0"/>
        <v>6.5424318716788511E-3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507621</v>
      </c>
      <c r="B10" s="98" t="s">
        <v>4853</v>
      </c>
      <c r="C10" s="101"/>
      <c r="D10" s="101"/>
      <c r="E10" s="101">
        <f ca="1">IFERROR(__xludf.DUMMYFUNCTION("GOOGLEFINANCE(""BOM:""&amp;A10,""PRICE"")"),64)</f>
        <v>64</v>
      </c>
      <c r="F10" s="112">
        <f ca="1">IFERROR(__xludf.DUMMYFUNCTION("GOOGLEFINANCE(""BOM:""&amp;A10,""MARKETCAP"")/10000000"),156.020352)</f>
        <v>156.020352</v>
      </c>
      <c r="G10" s="95">
        <f t="shared" ca="1" si="0"/>
        <v>4.292693365643448E-3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519287</v>
      </c>
      <c r="B11" s="98" t="s">
        <v>4854</v>
      </c>
      <c r="C11" s="101"/>
      <c r="D11" s="101"/>
      <c r="E11" s="101">
        <f ca="1">IFERROR(__xludf.DUMMYFUNCTION("GOOGLEFINANCE(""BOM:""&amp;A11,""PRICE"")"),33.11)</f>
        <v>33.11</v>
      </c>
      <c r="F11" s="112">
        <f ca="1">IFERROR(__xludf.DUMMYFUNCTION("GOOGLEFINANCE(""BOM:""&amp;A11,""MARKETCAP"")/10000000"),94.0981581)</f>
        <v>94.098158100000006</v>
      </c>
      <c r="G11" s="95">
        <f t="shared" ca="1" si="0"/>
        <v>2.5889862047942199E-3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519457</v>
      </c>
      <c r="B12" s="98" t="s">
        <v>4855</v>
      </c>
      <c r="C12" s="101"/>
      <c r="D12" s="101"/>
      <c r="E12" s="101">
        <f ca="1">IFERROR(__xludf.DUMMYFUNCTION("GOOGLEFINANCE(""BOM:""&amp;A12,""PRICE"")"),33.63)</f>
        <v>33.630000000000003</v>
      </c>
      <c r="F12" s="112">
        <f ca="1">IFERROR(__xludf.DUMMYFUNCTION("GOOGLEFINANCE(""BOM:""&amp;A12,""MARKETCAP"")/10000000"),69.0118193)</f>
        <v>69.011819299999999</v>
      </c>
      <c r="G12" s="95">
        <f t="shared" ca="1" si="0"/>
        <v>1.8987688148536829E-3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543546</v>
      </c>
      <c r="B13" s="98" t="s">
        <v>4856</v>
      </c>
      <c r="C13" s="101"/>
      <c r="D13" s="101"/>
      <c r="E13" s="101">
        <f ca="1">IFERROR(__xludf.DUMMYFUNCTION("GOOGLEFINANCE(""BOM:""&amp;A13,""PRICE"")"),7.39)</f>
        <v>7.39</v>
      </c>
      <c r="F13" s="112">
        <f ca="1">IFERROR(__xludf.DUMMYFUNCTION("GOOGLEFINANCE(""BOM:""&amp;A13,""MARKETCAP"")/10000000"),36.6721353)</f>
        <v>36.672135300000001</v>
      </c>
      <c r="G13" s="95">
        <f t="shared" ca="1" si="0"/>
        <v>1.0089852374277996E-3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544201</v>
      </c>
      <c r="B14" s="98" t="s">
        <v>4857</v>
      </c>
      <c r="C14" s="101"/>
      <c r="D14" s="101"/>
      <c r="E14" s="101">
        <f ca="1">IFERROR(__xludf.DUMMYFUNCTION("GOOGLEFINANCE(""BOM:""&amp;A14,""PRICE"")"),14.58)</f>
        <v>14.58</v>
      </c>
      <c r="F14" s="112">
        <f ca="1">IFERROR(__xludf.DUMMYFUNCTION("GOOGLEFINANCE(""BOM:""&amp;A14,""MARKETCAP"")/10000000"),35.61789)</f>
        <v>35.617890000000003</v>
      </c>
      <c r="G14" s="95">
        <f t="shared" ca="1" si="0"/>
        <v>9.7997907414808369E-4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540955</v>
      </c>
      <c r="B15" s="98" t="s">
        <v>4858</v>
      </c>
      <c r="C15" s="101"/>
      <c r="D15" s="101"/>
      <c r="E15" s="101">
        <f ca="1">IFERROR(__xludf.DUMMYFUNCTION("GOOGLEFINANCE(""BOM:""&amp;A15,""PRICE"")"),5.05)</f>
        <v>5.05</v>
      </c>
      <c r="F15" s="112">
        <f ca="1">IFERROR(__xludf.DUMMYFUNCTION("GOOGLEFINANCE(""BOM:""&amp;A15,""MARKETCAP"")/10000000"),10.3171503)</f>
        <v>10.3171503</v>
      </c>
      <c r="G15" s="95">
        <f t="shared" ca="1" si="0"/>
        <v>2.8386272737774816E-4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>
      <c r="A16" s="101"/>
      <c r="B16" s="101"/>
      <c r="C16" s="101"/>
      <c r="D16" s="101"/>
      <c r="E16" s="101"/>
      <c r="F16" s="112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>
      <c r="A17" s="101"/>
      <c r="B17" s="101"/>
      <c r="C17" s="101"/>
      <c r="D17" s="101"/>
      <c r="E17" s="101"/>
      <c r="F17" s="112">
        <f ca="1">SUM(F1:F15)</f>
        <v>36345.561797800001</v>
      </c>
      <c r="G17" s="95">
        <f ca="1">F17/$F$17</f>
        <v>1</v>
      </c>
      <c r="H17" s="101">
        <f t="shared" ref="H17:O17" si="1">SUM(H2:H15)</f>
        <v>17757</v>
      </c>
      <c r="I17" s="101">
        <f t="shared" si="1"/>
        <v>15831</v>
      </c>
      <c r="J17" s="101">
        <f t="shared" si="1"/>
        <v>652</v>
      </c>
      <c r="K17" s="101">
        <f t="shared" si="1"/>
        <v>626</v>
      </c>
      <c r="L17" s="101">
        <f t="shared" si="1"/>
        <v>5759</v>
      </c>
      <c r="M17" s="101">
        <f t="shared" si="1"/>
        <v>5033</v>
      </c>
      <c r="N17" s="101">
        <f t="shared" si="1"/>
        <v>192.85</v>
      </c>
      <c r="O17" s="101">
        <f t="shared" si="1"/>
        <v>195</v>
      </c>
      <c r="P17" s="95">
        <f t="shared" ref="P17:Q17" si="2">J17/H17</f>
        <v>3.6717914062060035E-2</v>
      </c>
      <c r="Q17" s="95">
        <f t="shared" si="2"/>
        <v>3.9542669446023623E-2</v>
      </c>
      <c r="R17" s="95">
        <f>P17-Q17</f>
        <v>-2.8247553839635883E-3</v>
      </c>
      <c r="S17" s="95">
        <f t="shared" ref="S17:T17" si="3">N17/L17</f>
        <v>3.3486716443827051E-2</v>
      </c>
      <c r="T17" s="95">
        <f t="shared" si="3"/>
        <v>3.8744287701172261E-2</v>
      </c>
      <c r="U17" s="95">
        <f>S17-T17</f>
        <v>-5.2575712573452102E-3</v>
      </c>
      <c r="V17" s="95">
        <f>(H17/I17)-1</f>
        <v>0.12166003411029003</v>
      </c>
      <c r="W17" s="95">
        <f>(J17/K17)-1</f>
        <v>4.1533546325878579E-2</v>
      </c>
      <c r="X17" s="95">
        <f>(L17/M17)-1</f>
        <v>0.14424796344128743</v>
      </c>
      <c r="Y17" s="95">
        <f>(N17/O17)-1</f>
        <v>-1.1025641025641075E-2</v>
      </c>
    </row>
    <row r="18" spans="1:25">
      <c r="F18" s="94"/>
    </row>
    <row r="19" spans="1:25">
      <c r="F19" s="94"/>
    </row>
    <row r="20" spans="1:25">
      <c r="F20" s="94"/>
    </row>
    <row r="21" spans="1:25">
      <c r="F21" s="94"/>
    </row>
    <row r="22" spans="1:25">
      <c r="F22" s="94"/>
    </row>
    <row r="23" spans="1:25">
      <c r="F23" s="94"/>
    </row>
    <row r="24" spans="1:25">
      <c r="F24" s="94"/>
    </row>
    <row r="25" spans="1:25" ht="13.2">
      <c r="F25" s="94"/>
    </row>
    <row r="26" spans="1:25" ht="13.2">
      <c r="F26" s="94"/>
    </row>
    <row r="27" spans="1:25" ht="13.2">
      <c r="F27" s="94"/>
    </row>
    <row r="28" spans="1:25" ht="13.2">
      <c r="F28" s="94"/>
    </row>
    <row r="29" spans="1:25" ht="13.2">
      <c r="F29" s="94"/>
    </row>
    <row r="30" spans="1:25" ht="13.2">
      <c r="F30" s="94"/>
    </row>
    <row r="31" spans="1:25" ht="13.2">
      <c r="F31" s="94"/>
    </row>
    <row r="32" spans="1:25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5" xr:uid="{00000000-0009-0000-0000-0000A0000000}"/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513599</v>
      </c>
      <c r="B2" s="98" t="s">
        <v>4859</v>
      </c>
      <c r="C2" s="101" t="str">
        <f>VLOOKUP(A2,'BSE ALL CAP'!$B$4:$Y$1038,2,)</f>
        <v>Commodities</v>
      </c>
      <c r="D2" s="101" t="str">
        <f>VLOOKUP(A2,'BSE ALL CAP'!$B$4:$Y$1038,3,)</f>
        <v>Copper</v>
      </c>
      <c r="E2" s="101">
        <f ca="1">IFERROR(__xludf.DUMMYFUNCTION("GOOGLEFINANCE(""BOM:""&amp;A2,""PRICE"")"),507.5)</f>
        <v>507.5</v>
      </c>
      <c r="F2" s="112">
        <f ca="1">IFERROR(__xludf.DUMMYFUNCTION("GOOGLEFINANCE(""BOM:""&amp;A2,""MARKETCAP"")/10000000"),49090.9676932)</f>
        <v>49090.9676932</v>
      </c>
      <c r="G2" s="95">
        <f t="shared" ref="G2:G3" ca="1" si="0">F2/$F$5</f>
        <v>0.99013244148608881</v>
      </c>
      <c r="H2" s="101">
        <f>VLOOKUP(A2,'BSE ALL CAP'!$B$4:$Y$1038,7,)</f>
        <v>1922</v>
      </c>
      <c r="I2" s="101">
        <f>VLOOKUP(A2,'BSE ALL CAP'!$B$4:$Y$1038,8,)</f>
        <v>1340</v>
      </c>
      <c r="J2" s="101">
        <f>VLOOKUP(A2,'BSE ALL CAP'!$B$4:$Y$1038,9,)</f>
        <v>477</v>
      </c>
      <c r="K2" s="101">
        <f>VLOOKUP(A2,'BSE ALL CAP'!$B$4:$Y$1038,10,)</f>
        <v>278</v>
      </c>
      <c r="L2" s="101">
        <f>VLOOKUP(A2,'BSE ALL CAP'!$B$4:$Y$1038,11,)</f>
        <v>687</v>
      </c>
      <c r="M2" s="101">
        <f>VLOOKUP(A2,'BSE ALL CAP'!$B$4:$Y$1038,12,)</f>
        <v>328</v>
      </c>
      <c r="N2" s="101">
        <f>VLOOKUP(A2,'BSE ALL CAP'!$B$4:$Y$1038,13,)</f>
        <v>156</v>
      </c>
      <c r="O2" s="101">
        <f>VLOOKUP(A2,'BSE ALL CAP'!$B$4:$Y$1038,14,)</f>
        <v>63</v>
      </c>
      <c r="P2" s="95">
        <f>VLOOKUP(A2,'BSE ALL CAP'!$B$4:$Y$1038,15,)</f>
        <v>0.2481789802289282</v>
      </c>
      <c r="Q2" s="95">
        <f>VLOOKUP(A2,'BSE ALL CAP'!$B$4:$Y$1038,16,)</f>
        <v>0.20746268656716418</v>
      </c>
      <c r="R2" s="95">
        <f>VLOOKUP(A2,'BSE ALL CAP'!$B$4:$Y$1038,17,)</f>
        <v>4.0716293661764019E-2</v>
      </c>
      <c r="S2" s="95">
        <f>VLOOKUP(A2,'BSE ALL CAP'!$B$4:$Y$1038,18,)</f>
        <v>0.22707423580786026</v>
      </c>
      <c r="T2" s="95">
        <f>VLOOKUP(A2,'BSE ALL CAP'!$B$4:$Y$1038,19,)</f>
        <v>0.19207317073170732</v>
      </c>
      <c r="U2" s="95">
        <f>VLOOKUP(A2,'BSE ALL CAP'!$B$4:$Y$1038,20,)</f>
        <v>3.5001065076152943E-2</v>
      </c>
      <c r="V2" s="95">
        <f>VLOOKUP(A2,'BSE ALL CAP'!$B$4:$Y$1038,21,)</f>
        <v>0.43432835820895521</v>
      </c>
      <c r="W2" s="95">
        <f>VLOOKUP(A2,'BSE ALL CAP'!$B$4:$Y$1038,22,)</f>
        <v>0.71582733812949639</v>
      </c>
      <c r="X2" s="95">
        <f>VLOOKUP(A2,'BSE ALL CAP'!$B$4:$Y$1038,23,)</f>
        <v>1.0945121951219514</v>
      </c>
      <c r="Y2" s="95">
        <f>VLOOKUP(A2,'BSE ALL CAP'!$B$4:$Y$1038,24,)</f>
        <v>1.4761904761904763</v>
      </c>
    </row>
    <row r="3" spans="1:25" ht="15.75" customHeight="1">
      <c r="A3" s="99">
        <v>512296</v>
      </c>
      <c r="B3" s="98" t="s">
        <v>4860</v>
      </c>
      <c r="C3" s="101"/>
      <c r="D3" s="101"/>
      <c r="E3" s="101">
        <f ca="1">IFERROR(__xludf.DUMMYFUNCTION("GOOGLEFINANCE(""BOM:""&amp;A3,""PRICE"")"),152.05)</f>
        <v>152.05000000000001</v>
      </c>
      <c r="F3" s="112">
        <f ca="1">IFERROR(__xludf.DUMMYFUNCTION("GOOGLEFINANCE(""BOM:""&amp;A3,""MARKETCAP"")/10000000"),489.2355567)</f>
        <v>489.23555670000002</v>
      </c>
      <c r="G3" s="95">
        <f t="shared" ca="1" si="0"/>
        <v>9.8675585139112315E-3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>
      <c r="A4" s="101"/>
      <c r="B4" s="101"/>
      <c r="C4" s="101"/>
      <c r="D4" s="101"/>
      <c r="E4" s="101"/>
      <c r="F4" s="112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101"/>
      <c r="B5" s="101"/>
      <c r="C5" s="101"/>
      <c r="D5" s="101"/>
      <c r="E5" s="101"/>
      <c r="F5" s="112">
        <f ca="1">SUM(F2:F3)</f>
        <v>49580.203249899998</v>
      </c>
      <c r="G5" s="95">
        <f ca="1">F5/$F$5</f>
        <v>1</v>
      </c>
      <c r="H5" s="101">
        <f t="shared" ref="H5:O5" si="1">SUM(H2:H3)</f>
        <v>1922</v>
      </c>
      <c r="I5" s="101">
        <f t="shared" si="1"/>
        <v>1340</v>
      </c>
      <c r="J5" s="101">
        <f t="shared" si="1"/>
        <v>477</v>
      </c>
      <c r="K5" s="101">
        <f t="shared" si="1"/>
        <v>278</v>
      </c>
      <c r="L5" s="101">
        <f t="shared" si="1"/>
        <v>687</v>
      </c>
      <c r="M5" s="101">
        <f t="shared" si="1"/>
        <v>328</v>
      </c>
      <c r="N5" s="101">
        <f t="shared" si="1"/>
        <v>156</v>
      </c>
      <c r="O5" s="101">
        <f t="shared" si="1"/>
        <v>63</v>
      </c>
      <c r="P5" s="95">
        <f t="shared" ref="P5:Q5" si="2">J5/H5</f>
        <v>0.2481789802289282</v>
      </c>
      <c r="Q5" s="95">
        <f t="shared" si="2"/>
        <v>0.20746268656716418</v>
      </c>
      <c r="R5" s="95">
        <f>P5-Q5</f>
        <v>4.0716293661764019E-2</v>
      </c>
      <c r="S5" s="95">
        <f t="shared" ref="S5:T5" si="3">N5/L5</f>
        <v>0.22707423580786026</v>
      </c>
      <c r="T5" s="95">
        <f t="shared" si="3"/>
        <v>0.19207317073170732</v>
      </c>
      <c r="U5" s="95">
        <f>S5-T5</f>
        <v>3.5001065076152943E-2</v>
      </c>
      <c r="V5" s="95">
        <f>(H5/I5)-1</f>
        <v>0.43432835820895521</v>
      </c>
      <c r="W5" s="95">
        <f>(J5/K5)-1</f>
        <v>0.71582733812949639</v>
      </c>
      <c r="X5" s="95">
        <f>(L5/M5)-1</f>
        <v>1.0945121951219514</v>
      </c>
      <c r="Y5" s="95">
        <f>(N5/O5)-1</f>
        <v>1.4761904761904763</v>
      </c>
    </row>
    <row r="6" spans="1:25">
      <c r="F6" s="94"/>
    </row>
    <row r="7" spans="1:25">
      <c r="F7" s="94"/>
    </row>
    <row r="8" spans="1:25">
      <c r="F8" s="94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3" xr:uid="{00000000-0009-0000-0000-0000A1000000}"/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517354</v>
      </c>
      <c r="B2" s="98" t="s">
        <v>1399</v>
      </c>
      <c r="C2" s="101" t="str">
        <f>VLOOKUP(A2,'BSE ALL CAP'!$B$4:$Y$1038,2,)</f>
        <v>Consumer Discretionary</v>
      </c>
      <c r="D2" s="101" t="str">
        <f>VLOOKUP(A2,'BSE ALL CAP'!$B$4:$Y$1038,3,)</f>
        <v>Consumer Electronics</v>
      </c>
      <c r="E2" s="101">
        <f ca="1">IFERROR(__xludf.DUMMYFUNCTION("GOOGLEFINANCE(""BOM:""&amp;A2,""PRICE"")"),1201.4)</f>
        <v>1201.4000000000001</v>
      </c>
      <c r="F2" s="112">
        <f ca="1">IFERROR(__xludf.DUMMYFUNCTION("GOOGLEFINANCE(""BOM:""&amp;A2,""MARKETCAP"")/10000000"),75364.90452)</f>
        <v>75364.904519999996</v>
      </c>
      <c r="G2" s="95">
        <f t="shared" ref="G2:G16" ca="1" si="0">F2/$F$18</f>
        <v>0.49198962544344488</v>
      </c>
      <c r="H2" s="101">
        <f>VLOOKUP(A2,'BSE ALL CAP'!$B$4:$Y$1038,7,)</f>
        <v>15823</v>
      </c>
      <c r="I2" s="101">
        <f>VLOOKUP(A2,'BSE ALL CAP'!$B$4:$Y$1038,8,)</f>
        <v>15234</v>
      </c>
      <c r="J2" s="101">
        <f>VLOOKUP(A2,'BSE ALL CAP'!$B$4:$Y$1038,9,)</f>
        <v>966</v>
      </c>
      <c r="K2" s="101">
        <f>VLOOKUP(A2,'BSE ALL CAP'!$B$4:$Y$1038,10,)</f>
        <v>953</v>
      </c>
      <c r="L2" s="101">
        <f>VLOOKUP(A2,'BSE ALL CAP'!$B$4:$Y$1038,11,)</f>
        <v>5588</v>
      </c>
      <c r="M2" s="101">
        <f>VLOOKUP(A2,'BSE ALL CAP'!$B$4:$Y$1038,12,)</f>
        <v>4889</v>
      </c>
      <c r="N2" s="101">
        <f>VLOOKUP(A2,'BSE ALL CAP'!$B$4:$Y$1038,13,)</f>
        <v>300</v>
      </c>
      <c r="O2" s="101">
        <f>VLOOKUP(A2,'BSE ALL CAP'!$B$4:$Y$1038,14,)</f>
        <v>278</v>
      </c>
      <c r="P2" s="95">
        <f>VLOOKUP(A2,'BSE ALL CAP'!$B$4:$Y$1038,15,)</f>
        <v>6.1050369714971874E-2</v>
      </c>
      <c r="Q2" s="95">
        <f>VLOOKUP(A2,'BSE ALL CAP'!$B$4:$Y$1038,16,)</f>
        <v>6.25574373112774E-2</v>
      </c>
      <c r="R2" s="95">
        <f>VLOOKUP(A2,'BSE ALL CAP'!$B$4:$Y$1038,17,)</f>
        <v>-1.5070675963055266E-3</v>
      </c>
      <c r="S2" s="95">
        <f>VLOOKUP(A2,'BSE ALL CAP'!$B$4:$Y$1038,18,)</f>
        <v>5.3686471009305653E-2</v>
      </c>
      <c r="T2" s="95">
        <f>VLOOKUP(A2,'BSE ALL CAP'!$B$4:$Y$1038,19,)</f>
        <v>5.6862344037635508E-2</v>
      </c>
      <c r="U2" s="95">
        <f>VLOOKUP(A2,'BSE ALL CAP'!$B$4:$Y$1038,20,)</f>
        <v>-3.175873028329855E-3</v>
      </c>
      <c r="V2" s="95">
        <f>VLOOKUP(A2,'BSE ALL CAP'!$B$4:$Y$1038,21,)</f>
        <v>3.8663515819876482E-2</v>
      </c>
      <c r="W2" s="95">
        <f>VLOOKUP(A2,'BSE ALL CAP'!$B$4:$Y$1038,22,)</f>
        <v>1.3641133263378791E-2</v>
      </c>
      <c r="X2" s="95">
        <f>VLOOKUP(A2,'BSE ALL CAP'!$B$4:$Y$1038,23,)</f>
        <v>0.14297402331765197</v>
      </c>
      <c r="Y2" s="95">
        <f>VLOOKUP(A2,'BSE ALL CAP'!$B$4:$Y$1038,24,)</f>
        <v>7.9136690647481966E-2</v>
      </c>
    </row>
    <row r="3" spans="1:25" ht="15.75" customHeight="1">
      <c r="A3" s="99">
        <v>540699</v>
      </c>
      <c r="B3" s="98" t="s">
        <v>112</v>
      </c>
      <c r="C3" s="101" t="str">
        <f>VLOOKUP(A3,'BSE ALL CAP'!$B$4:$Y$1038,2,)</f>
        <v>Consumer Discretionary</v>
      </c>
      <c r="D3" s="101" t="str">
        <f>VLOOKUP(A3,'BSE ALL CAP'!$B$4:$Y$1038,3,)</f>
        <v>Consumer Electronics</v>
      </c>
      <c r="E3" s="101">
        <f ca="1">IFERROR(__xludf.DUMMYFUNCTION("GOOGLEFINANCE(""BOM:""&amp;A3,""PRICE"")"),10045.95)</f>
        <v>10045.950000000001</v>
      </c>
      <c r="F3" s="112">
        <f ca="1">IFERROR(__xludf.DUMMYFUNCTION("GOOGLEFINANCE(""BOM:""&amp;A3,""MARKETCAP"")/10000000"),61057.257938)</f>
        <v>61057.257938000002</v>
      </c>
      <c r="G3" s="95">
        <f t="shared" ca="1" si="0"/>
        <v>0.39858787926346628</v>
      </c>
      <c r="H3" s="101">
        <f>VLOOKUP(A3,'BSE ALL CAP'!$B$4:$Y$1038,7,)</f>
        <v>38362</v>
      </c>
      <c r="I3" s="101">
        <f>VLOOKUP(A3,'BSE ALL CAP'!$B$4:$Y$1038,8,)</f>
        <v>28567</v>
      </c>
      <c r="J3" s="101">
        <f>VLOOKUP(A3,'BSE ALL CAP'!$B$4:$Y$1038,9,)</f>
        <v>1346</v>
      </c>
      <c r="K3" s="101">
        <f>VLOOKUP(A3,'BSE ALL CAP'!$B$4:$Y$1038,10,)</f>
        <v>767</v>
      </c>
      <c r="L3" s="101">
        <f>VLOOKUP(A3,'BSE ALL CAP'!$B$4:$Y$1038,11,)</f>
        <v>10671</v>
      </c>
      <c r="M3" s="101">
        <f>VLOOKUP(A3,'BSE ALL CAP'!$B$4:$Y$1038,12,)</f>
        <v>10453</v>
      </c>
      <c r="N3" s="101">
        <f>VLOOKUP(A3,'BSE ALL CAP'!$B$4:$Y$1038,13,)</f>
        <v>320</v>
      </c>
      <c r="O3" s="101">
        <f>VLOOKUP(A3,'BSE ALL CAP'!$B$4:$Y$1038,14,)</f>
        <v>216</v>
      </c>
      <c r="P3" s="95">
        <f>VLOOKUP(A3,'BSE ALL CAP'!$B$4:$Y$1038,15,)</f>
        <v>3.508680465043533E-2</v>
      </c>
      <c r="Q3" s="95">
        <f>VLOOKUP(A3,'BSE ALL CAP'!$B$4:$Y$1038,16,)</f>
        <v>2.6849161620051108E-2</v>
      </c>
      <c r="R3" s="95">
        <f>VLOOKUP(A3,'BSE ALL CAP'!$B$4:$Y$1038,17,)</f>
        <v>8.2376430303842223E-3</v>
      </c>
      <c r="S3" s="95">
        <f>VLOOKUP(A3,'BSE ALL CAP'!$B$4:$Y$1038,18,)</f>
        <v>2.9987817449161278E-2</v>
      </c>
      <c r="T3" s="95">
        <f>VLOOKUP(A3,'BSE ALL CAP'!$B$4:$Y$1038,19,)</f>
        <v>2.0663924232277815E-2</v>
      </c>
      <c r="U3" s="95">
        <f>VLOOKUP(A3,'BSE ALL CAP'!$B$4:$Y$1038,20,)</f>
        <v>9.3238932168834623E-3</v>
      </c>
      <c r="V3" s="95">
        <f>VLOOKUP(A3,'BSE ALL CAP'!$B$4:$Y$1038,21,)</f>
        <v>0.34287814611264755</v>
      </c>
      <c r="W3" s="95">
        <f>VLOOKUP(A3,'BSE ALL CAP'!$B$4:$Y$1038,22,)</f>
        <v>0.7548891786179921</v>
      </c>
      <c r="X3" s="95">
        <f>VLOOKUP(A3,'BSE ALL CAP'!$B$4:$Y$1038,23,)</f>
        <v>2.0855256864058092E-2</v>
      </c>
      <c r="Y3" s="95">
        <f>VLOOKUP(A3,'BSE ALL CAP'!$B$4:$Y$1038,24,)</f>
        <v>0.4814814814814814</v>
      </c>
    </row>
    <row r="4" spans="1:25" ht="15.75" customHeight="1">
      <c r="A4" s="99">
        <v>533581</v>
      </c>
      <c r="B4" s="98" t="s">
        <v>4861</v>
      </c>
      <c r="C4" s="101" t="str">
        <f>VLOOKUP(A4,'BSE ALL CAP'!$B$4:$Y$1038,2,)</f>
        <v>Consumer Discretionary</v>
      </c>
      <c r="D4" s="101" t="str">
        <f>VLOOKUP(A4,'BSE ALL CAP'!$B$4:$Y$1038,3,)</f>
        <v>Consumer Electronics</v>
      </c>
      <c r="E4" s="101">
        <f ca="1">IFERROR(__xludf.DUMMYFUNCTION("GOOGLEFINANCE(""BOM:""&amp;A4,""PRICE"")"),452.55)</f>
        <v>452.55</v>
      </c>
      <c r="F4" s="112">
        <f ca="1">IFERROR(__xludf.DUMMYFUNCTION("GOOGLEFINANCE(""BOM:""&amp;A4,""MARKETCAP"")/10000000"),12882.6381653)</f>
        <v>12882.638165300001</v>
      </c>
      <c r="G4" s="95">
        <f t="shared" ca="1" si="0"/>
        <v>8.4099148881524727E-2</v>
      </c>
      <c r="H4" s="101">
        <f>VLOOKUP(A4,'BSE ALL CAP'!$B$4:$Y$1038,7,)</f>
        <v>3571</v>
      </c>
      <c r="I4" s="101">
        <f>VLOOKUP(A4,'BSE ALL CAP'!$B$4:$Y$1038,8,)</f>
        <v>2959</v>
      </c>
      <c r="J4" s="101">
        <f>VLOOKUP(A4,'BSE ALL CAP'!$B$4:$Y$1038,9,)</f>
        <v>129</v>
      </c>
      <c r="K4" s="101">
        <f>VLOOKUP(A4,'BSE ALL CAP'!$B$4:$Y$1038,10,)</f>
        <v>144</v>
      </c>
      <c r="L4" s="101">
        <f>VLOOKUP(A4,'BSE ALL CAP'!$B$4:$Y$1038,11,)</f>
        <v>1412</v>
      </c>
      <c r="M4" s="101">
        <f>VLOOKUP(A4,'BSE ALL CAP'!$B$4:$Y$1038,12,)</f>
        <v>967</v>
      </c>
      <c r="N4" s="101">
        <f>VLOOKUP(A4,'BSE ALL CAP'!$B$4:$Y$1038,13,)</f>
        <v>60</v>
      </c>
      <c r="O4" s="101">
        <f>VLOOKUP(A4,'BSE ALL CAP'!$B$4:$Y$1038,14,)</f>
        <v>40</v>
      </c>
      <c r="P4" s="95">
        <f>VLOOKUP(A4,'BSE ALL CAP'!$B$4:$Y$1038,15,)</f>
        <v>3.6124334920190425E-2</v>
      </c>
      <c r="Q4" s="95">
        <f>VLOOKUP(A4,'BSE ALL CAP'!$B$4:$Y$1038,16,)</f>
        <v>4.8665089557282867E-2</v>
      </c>
      <c r="R4" s="95">
        <f>VLOOKUP(A4,'BSE ALL CAP'!$B$4:$Y$1038,17,)</f>
        <v>-1.2540754637092442E-2</v>
      </c>
      <c r="S4" s="95">
        <f>VLOOKUP(A4,'BSE ALL CAP'!$B$4:$Y$1038,18,)</f>
        <v>4.2492917847025496E-2</v>
      </c>
      <c r="T4" s="95">
        <f>VLOOKUP(A4,'BSE ALL CAP'!$B$4:$Y$1038,19,)</f>
        <v>4.1365046535677352E-2</v>
      </c>
      <c r="U4" s="95">
        <f>VLOOKUP(A4,'BSE ALL CAP'!$B$4:$Y$1038,20,)</f>
        <v>1.1278713113481442E-3</v>
      </c>
      <c r="V4" s="95">
        <f>VLOOKUP(A4,'BSE ALL CAP'!$B$4:$Y$1038,21,)</f>
        <v>0.20682663061845208</v>
      </c>
      <c r="W4" s="95">
        <f>VLOOKUP(A4,'BSE ALL CAP'!$B$4:$Y$1038,22,)</f>
        <v>-0.10416666666666663</v>
      </c>
      <c r="X4" s="95">
        <f>VLOOKUP(A4,'BSE ALL CAP'!$B$4:$Y$1038,23,)</f>
        <v>0.4601861427094105</v>
      </c>
      <c r="Y4" s="95">
        <f>VLOOKUP(A4,'BSE ALL CAP'!$B$4:$Y$1038,24,)</f>
        <v>0.5</v>
      </c>
    </row>
    <row r="5" spans="1:25" ht="15.75" customHeight="1">
      <c r="A5" s="99">
        <v>500279</v>
      </c>
      <c r="B5" s="98" t="s">
        <v>4862</v>
      </c>
      <c r="C5" s="101"/>
      <c r="D5" s="101"/>
      <c r="E5" s="101">
        <f ca="1">IFERROR(__xludf.DUMMYFUNCTION("GOOGLEFINANCE(""BOM:""&amp;A5,""PRICE"")"),28.34)</f>
        <v>28.34</v>
      </c>
      <c r="F5" s="112">
        <f ca="1">IFERROR(__xludf.DUMMYFUNCTION("GOOGLEFINANCE(""BOM:""&amp;A5,""MARKETCAP"")/10000000"),1052.0292534)</f>
        <v>1052.0292534</v>
      </c>
      <c r="G5" s="95">
        <f t="shared" ca="1" si="0"/>
        <v>6.8677520608874118E-3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543923</v>
      </c>
      <c r="B6" s="98" t="s">
        <v>4863</v>
      </c>
      <c r="C6" s="101"/>
      <c r="D6" s="101"/>
      <c r="E6" s="101">
        <f ca="1">IFERROR(__xludf.DUMMYFUNCTION("GOOGLEFINANCE(""BOM:""&amp;A6,""PRICE"")"),123.5)</f>
        <v>123.5</v>
      </c>
      <c r="F6" s="112">
        <f ca="1">IFERROR(__xludf.DUMMYFUNCTION("GOOGLEFINANCE(""BOM:""&amp;A6,""MARKETCAP"")/10000000"),950.552487)</f>
        <v>950.55248700000004</v>
      </c>
      <c r="G6" s="95">
        <f t="shared" ca="1" si="0"/>
        <v>6.2053015925915356E-3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543378</v>
      </c>
      <c r="B7" s="98" t="s">
        <v>4864</v>
      </c>
      <c r="C7" s="101"/>
      <c r="D7" s="101"/>
      <c r="E7" s="101">
        <f ca="1">IFERROR(__xludf.DUMMYFUNCTION("GOOGLEFINANCE(""BOM:""&amp;A7,""PRICE"")"),268.2)</f>
        <v>268.2</v>
      </c>
      <c r="F7" s="112">
        <f ca="1">IFERROR(__xludf.DUMMYFUNCTION("GOOGLEFINANCE(""BOM:""&amp;A7,""MARKETCAP"")/10000000"),590.6214844)</f>
        <v>590.62148439999999</v>
      </c>
      <c r="G7" s="95">
        <f t="shared" ca="1" si="0"/>
        <v>3.8556360515482999E-3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500074</v>
      </c>
      <c r="B8" s="98" t="s">
        <v>4865</v>
      </c>
      <c r="C8" s="101"/>
      <c r="D8" s="101"/>
      <c r="E8" s="101">
        <f ca="1">IFERROR(__xludf.DUMMYFUNCTION("GOOGLEFINANCE(""BOM:""&amp;A8,""PRICE"")"),45.9)</f>
        <v>45.9</v>
      </c>
      <c r="F8" s="112">
        <f ca="1">IFERROR(__xludf.DUMMYFUNCTION("GOOGLEFINANCE(""BOM:""&amp;A8,""MARKETCAP"")/10000000"),224.798654)</f>
        <v>224.798654</v>
      </c>
      <c r="G8" s="95">
        <f t="shared" ca="1" si="0"/>
        <v>1.4675080700500378E-3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542933</v>
      </c>
      <c r="B9" s="98" t="s">
        <v>4866</v>
      </c>
      <c r="C9" s="101"/>
      <c r="D9" s="101"/>
      <c r="E9" s="101">
        <f ca="1">IFERROR(__xludf.DUMMYFUNCTION("GOOGLEFINANCE(""BOM:""&amp;A9,""PRICE"")"),466.85)</f>
        <v>466.85</v>
      </c>
      <c r="F9" s="112">
        <f ca="1">IFERROR(__xludf.DUMMYFUNCTION("GOOGLEFINANCE(""BOM:""&amp;A9,""MARKETCAP"")/10000000"),423.7428926)</f>
        <v>423.7428926</v>
      </c>
      <c r="G9" s="95">
        <f t="shared" ca="1" si="0"/>
        <v>2.7662359335872467E-3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539331</v>
      </c>
      <c r="B10" s="98" t="s">
        <v>4867</v>
      </c>
      <c r="C10" s="101"/>
      <c r="D10" s="101"/>
      <c r="E10" s="101">
        <f ca="1">IFERROR(__xludf.DUMMYFUNCTION("GOOGLEFINANCE(""BOM:""&amp;A10,""PRICE"")"),96.25)</f>
        <v>96.25</v>
      </c>
      <c r="F10" s="112">
        <f ca="1">IFERROR(__xludf.DUMMYFUNCTION("GOOGLEFINANCE(""BOM:""&amp;A10,""MARKETCAP"")/10000000"),182.8344996)</f>
        <v>182.83449959999999</v>
      </c>
      <c r="G10" s="95">
        <f t="shared" ca="1" si="0"/>
        <v>1.1935618780286841E-3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544668</v>
      </c>
      <c r="B11" s="98" t="s">
        <v>4868</v>
      </c>
      <c r="C11" s="101"/>
      <c r="D11" s="101"/>
      <c r="E11" s="101">
        <f ca="1">IFERROR(__xludf.DUMMYFUNCTION("GOOGLEFINANCE(""BOM:""&amp;A11,""PRICE"")"),306)</f>
        <v>306</v>
      </c>
      <c r="F11" s="112">
        <f ca="1">IFERROR(__xludf.DUMMYFUNCTION("GOOGLEFINANCE(""BOM:""&amp;A11,""MARKETCAP"")/10000000"),156.9831714)</f>
        <v>156.9831714</v>
      </c>
      <c r="G11" s="95">
        <f t="shared" ca="1" si="0"/>
        <v>1.0248018250658577E-3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517236</v>
      </c>
      <c r="B12" s="98" t="s">
        <v>4869</v>
      </c>
      <c r="C12" s="101"/>
      <c r="D12" s="101"/>
      <c r="E12" s="101">
        <f ca="1">IFERROR(__xludf.DUMMYFUNCTION("GOOGLEFINANCE(""BOM:""&amp;A12,""PRICE"")"),73)</f>
        <v>73</v>
      </c>
      <c r="F12" s="112">
        <f ca="1">IFERROR(__xludf.DUMMYFUNCTION("GOOGLEFINANCE(""BOM:""&amp;A12,""MARKETCAP"")/10000000"),102.092982)</f>
        <v>102.09298200000001</v>
      </c>
      <c r="G12" s="95">
        <f t="shared" ca="1" si="0"/>
        <v>6.664731852908392E-4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523449</v>
      </c>
      <c r="B13" s="98" t="s">
        <v>4870</v>
      </c>
      <c r="C13" s="101"/>
      <c r="D13" s="101"/>
      <c r="E13" s="101">
        <f ca="1">IFERROR(__xludf.DUMMYFUNCTION("GOOGLEFINANCE(""BOM:""&amp;A13,""PRICE"")"),41.97)</f>
        <v>41.97</v>
      </c>
      <c r="F13" s="112">
        <f ca="1">IFERROR(__xludf.DUMMYFUNCTION("GOOGLEFINANCE(""BOM:""&amp;A13,""MARKETCAP"")/10000000"),108.8869711)</f>
        <v>108.8869711</v>
      </c>
      <c r="G13" s="95">
        <f t="shared" ca="1" si="0"/>
        <v>7.1082502483558118E-4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590068</v>
      </c>
      <c r="B14" s="98" t="s">
        <v>4871</v>
      </c>
      <c r="C14" s="101"/>
      <c r="D14" s="101"/>
      <c r="E14" s="101">
        <f ca="1">IFERROR(__xludf.DUMMYFUNCTION("GOOGLEFINANCE(""BOM:""&amp;A14,""PRICE"")"),100.8)</f>
        <v>100.8</v>
      </c>
      <c r="F14" s="112">
        <f ca="1">IFERROR(__xludf.DUMMYFUNCTION("GOOGLEFINANCE(""BOM:""&amp;A14,""MARKETCAP"")/10000000"),47.7327489)</f>
        <v>47.732748899999997</v>
      </c>
      <c r="G14" s="95">
        <f t="shared" ca="1" si="0"/>
        <v>3.1160415318332848E-4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543921</v>
      </c>
      <c r="B15" s="98" t="s">
        <v>4872</v>
      </c>
      <c r="C15" s="101"/>
      <c r="D15" s="101"/>
      <c r="E15" s="101">
        <f ca="1">IFERROR(__xludf.DUMMYFUNCTION("GOOGLEFINANCE(""BOM:""&amp;A15,""PRICE"")"),30.06)</f>
        <v>30.06</v>
      </c>
      <c r="F15" s="112">
        <f ca="1">IFERROR(__xludf.DUMMYFUNCTION("GOOGLEFINANCE(""BOM:""&amp;A15,""MARKETCAP"")/10000000"),23.2327573)</f>
        <v>23.232757299999999</v>
      </c>
      <c r="G15" s="95">
        <f t="shared" ca="1" si="0"/>
        <v>1.5166576053993601E-4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500371</v>
      </c>
      <c r="B16" s="98" t="s">
        <v>4873</v>
      </c>
      <c r="C16" s="101"/>
      <c r="D16" s="101"/>
      <c r="E16" s="101">
        <f ca="1">IFERROR(__xludf.DUMMYFUNCTION("GOOGLEFINANCE(""BOM:""&amp;A16,""PRICE"")"),22.04)</f>
        <v>22.04</v>
      </c>
      <c r="F16" s="112">
        <f ca="1">IFERROR(__xludf.DUMMYFUNCTION("GOOGLEFINANCE(""BOM:""&amp;A16,""MARKETCAP"")/10000000"),15.6218314)</f>
        <v>15.6218314</v>
      </c>
      <c r="G16" s="95">
        <f t="shared" ca="1" si="0"/>
        <v>1.0198087595516066E-4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>
      <c r="A17" s="101"/>
      <c r="B17" s="101"/>
      <c r="C17" s="101"/>
      <c r="D17" s="101"/>
      <c r="E17" s="101"/>
      <c r="F17" s="112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>
      <c r="A18" s="101"/>
      <c r="B18" s="101"/>
      <c r="C18" s="101"/>
      <c r="D18" s="101"/>
      <c r="E18" s="101"/>
      <c r="F18" s="112">
        <f t="shared" ref="F18:O18" ca="1" si="1">SUM(F2:F16)</f>
        <v>153183.93035640003</v>
      </c>
      <c r="G18" s="95">
        <f t="shared" ca="1" si="1"/>
        <v>0.99999999999999967</v>
      </c>
      <c r="H18" s="101">
        <f t="shared" si="1"/>
        <v>57756</v>
      </c>
      <c r="I18" s="101">
        <f t="shared" si="1"/>
        <v>46760</v>
      </c>
      <c r="J18" s="101">
        <f t="shared" si="1"/>
        <v>2441</v>
      </c>
      <c r="K18" s="101">
        <f t="shared" si="1"/>
        <v>1864</v>
      </c>
      <c r="L18" s="101">
        <f t="shared" si="1"/>
        <v>17671</v>
      </c>
      <c r="M18" s="101">
        <f t="shared" si="1"/>
        <v>16309</v>
      </c>
      <c r="N18" s="101">
        <f t="shared" si="1"/>
        <v>680</v>
      </c>
      <c r="O18" s="101">
        <f t="shared" si="1"/>
        <v>534</v>
      </c>
      <c r="P18" s="95">
        <f t="shared" ref="P18:Q18" si="2">J18/H18</f>
        <v>4.2264007202714872E-2</v>
      </c>
      <c r="Q18" s="95">
        <f t="shared" si="2"/>
        <v>3.9863130881094951E-2</v>
      </c>
      <c r="R18" s="95">
        <f>P18-Q18</f>
        <v>2.4008763216199214E-3</v>
      </c>
      <c r="S18" s="95">
        <f t="shared" ref="S18:T18" si="3">N18/L18</f>
        <v>3.8481127270669456E-2</v>
      </c>
      <c r="T18" s="95">
        <f t="shared" si="3"/>
        <v>3.2742657428413757E-2</v>
      </c>
      <c r="U18" s="95">
        <f>S18-T18</f>
        <v>5.7384698422556987E-3</v>
      </c>
      <c r="V18" s="95">
        <f>(H18/I18)-1</f>
        <v>0.23515825491873388</v>
      </c>
      <c r="W18" s="95">
        <f>(J18/K18)-1</f>
        <v>0.30954935622317592</v>
      </c>
      <c r="X18" s="95">
        <f>(L18/M18)-1</f>
        <v>8.3512171193819373E-2</v>
      </c>
      <c r="Y18" s="95">
        <f>(N18/O18)-1</f>
        <v>0.27340823970037453</v>
      </c>
    </row>
    <row r="19" spans="1:25">
      <c r="F19" s="94"/>
    </row>
    <row r="20" spans="1:25">
      <c r="F20" s="94"/>
    </row>
    <row r="21" spans="1:25">
      <c r="F21" s="94"/>
    </row>
    <row r="22" spans="1:25">
      <c r="F22" s="94"/>
    </row>
    <row r="23" spans="1:25">
      <c r="F23" s="94"/>
    </row>
    <row r="24" spans="1:25">
      <c r="F24" s="94"/>
    </row>
    <row r="25" spans="1:25" ht="13.2">
      <c r="F25" s="94"/>
    </row>
    <row r="26" spans="1:25" ht="13.2">
      <c r="F26" s="94"/>
    </row>
    <row r="27" spans="1:25" ht="13.2">
      <c r="F27" s="94"/>
    </row>
    <row r="28" spans="1:25" ht="13.2">
      <c r="F28" s="94"/>
    </row>
    <row r="29" spans="1:25" ht="13.2">
      <c r="F29" s="94"/>
    </row>
    <row r="30" spans="1:25" ht="13.2">
      <c r="F30" s="94"/>
    </row>
    <row r="31" spans="1:25" ht="13.2">
      <c r="F31" s="94"/>
    </row>
    <row r="32" spans="1:25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6" xr:uid="{00000000-0009-0000-0000-0000A2000000}"/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outlinePr summaryBelow="0" summaryRight="0"/>
  </sheetPr>
  <dimension ref="A1:Y3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526530</v>
      </c>
      <c r="B2" s="98" t="s">
        <v>4874</v>
      </c>
      <c r="C2" s="101" t="e">
        <f>VLOOKUP(A2,'BSE ALL CAP'!$B$4:$Y$1038,2,)</f>
        <v>#N/A</v>
      </c>
      <c r="D2" s="101" t="e">
        <f>VLOOKUP(A2,'BSE ALL CAP'!$B$4:$Y$1038,3,)</f>
        <v>#N/A</v>
      </c>
      <c r="E2" s="101">
        <f ca="1">IFERROR(__xludf.DUMMYFUNCTION("GOOGLEFINANCE(""BOM:""&amp;A2,""PRICE"")"),87.49)</f>
        <v>87.49</v>
      </c>
      <c r="F2" s="112">
        <f ca="1">IFERROR(__xludf.DUMMYFUNCTION("GOOGLEFINANCE(""BOM:""&amp;A2,""MARKETCAP"")/10000000"),596.1940286)</f>
        <v>596.19402860000002</v>
      </c>
      <c r="G2" s="95">
        <f t="shared" ref="G2:G28" ca="1" si="0">F2/$F$30</f>
        <v>0.22360069464829585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.75" customHeight="1">
      <c r="A3" s="99">
        <v>544091</v>
      </c>
      <c r="B3" s="98" t="s">
        <v>4875</v>
      </c>
      <c r="C3" s="101" t="e">
        <f>VLOOKUP(A3,'BSE ALL CAP'!$B$4:$Y$1038,2,)</f>
        <v>#N/A</v>
      </c>
      <c r="D3" s="101" t="e">
        <f>VLOOKUP(A3,'BSE ALL CAP'!$B$4:$Y$1038,3,)</f>
        <v>#N/A</v>
      </c>
      <c r="E3" s="101">
        <f ca="1">IFERROR(__xludf.DUMMYFUNCTION("GOOGLEFINANCE(""BOM:""&amp;A3,""PRICE"")"),311.05)</f>
        <v>311.05</v>
      </c>
      <c r="F3" s="112">
        <f ca="1">IFERROR(__xludf.DUMMYFUNCTION("GOOGLEFINANCE(""BOM:""&amp;A3,""MARKETCAP"")/10000000"),362.4363789)</f>
        <v>362.43637890000002</v>
      </c>
      <c r="G3" s="95">
        <f t="shared" ca="1" si="0"/>
        <v>0.13593062358936375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539927</v>
      </c>
      <c r="B4" s="98" t="s">
        <v>4876</v>
      </c>
      <c r="C4" s="101" t="e">
        <f>VLOOKUP(A4,'BSE ALL CAP'!$B$4:$Y$1038,2,)</f>
        <v>#N/A</v>
      </c>
      <c r="D4" s="101" t="e">
        <f>VLOOKUP(A4,'BSE ALL CAP'!$B$4:$Y$1038,3,)</f>
        <v>#N/A</v>
      </c>
      <c r="E4" s="101">
        <f ca="1">IFERROR(__xludf.DUMMYFUNCTION("GOOGLEFINANCE(""BOM:""&amp;A4,""PRICE"")"),375.25)</f>
        <v>375.25</v>
      </c>
      <c r="F4" s="112">
        <f ca="1">IFERROR(__xludf.DUMMYFUNCTION("GOOGLEFINANCE(""BOM:""&amp;A4,""MARKETCAP"")/10000000"),373.3738)</f>
        <v>373.37380000000002</v>
      </c>
      <c r="G4" s="95">
        <f t="shared" ca="1" si="0"/>
        <v>0.14003266896100858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531364</v>
      </c>
      <c r="B5" s="98" t="s">
        <v>4877</v>
      </c>
      <c r="C5" s="101" t="e">
        <f>VLOOKUP(A5,'BSE ALL CAP'!$B$4:$Y$1038,2,)</f>
        <v>#N/A</v>
      </c>
      <c r="D5" s="101" t="e">
        <f>VLOOKUP(A5,'BSE ALL CAP'!$B$4:$Y$1038,3,)</f>
        <v>#N/A</v>
      </c>
      <c r="E5" s="101">
        <f ca="1">IFERROR(__xludf.DUMMYFUNCTION("GOOGLEFINANCE(""BOM:""&amp;A5,""PRICE"")"),169)</f>
        <v>169</v>
      </c>
      <c r="F5" s="112">
        <f ca="1">IFERROR(__xludf.DUMMYFUNCTION("GOOGLEFINANCE(""BOM:""&amp;A5,""MARKETCAP"")/10000000"),258.682)</f>
        <v>258.68200000000002</v>
      </c>
      <c r="G5" s="95">
        <f t="shared" ca="1" si="0"/>
        <v>9.7017870220598296E-2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543284</v>
      </c>
      <c r="B6" s="98" t="s">
        <v>4878</v>
      </c>
      <c r="C6" s="101" t="e">
        <f>VLOOKUP(A6,'BSE ALL CAP'!$B$4:$Y$1038,2,)</f>
        <v>#N/A</v>
      </c>
      <c r="D6" s="101" t="e">
        <f>VLOOKUP(A6,'BSE ALL CAP'!$B$4:$Y$1038,3,)</f>
        <v>#N/A</v>
      </c>
      <c r="E6" s="101">
        <f ca="1">IFERROR(__xludf.DUMMYFUNCTION("GOOGLEFINANCE(""BOM:""&amp;A6,""PRICE"")"),78.64)</f>
        <v>78.64</v>
      </c>
      <c r="F6" s="112">
        <f ca="1">IFERROR(__xludf.DUMMYFUNCTION("GOOGLEFINANCE(""BOM:""&amp;A6,""MARKETCAP"")/10000000"),217.7286003)</f>
        <v>217.72860030000001</v>
      </c>
      <c r="G6" s="95">
        <f t="shared" ca="1" si="0"/>
        <v>8.1658426512930621E-2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544453</v>
      </c>
      <c r="B7" s="98" t="s">
        <v>4879</v>
      </c>
      <c r="C7" s="101" t="e">
        <f>VLOOKUP(A7,'BSE ALL CAP'!$B$4:$Y$1038,2,)</f>
        <v>#N/A</v>
      </c>
      <c r="D7" s="101" t="e">
        <f>VLOOKUP(A7,'BSE ALL CAP'!$B$4:$Y$1038,3,)</f>
        <v>#N/A</v>
      </c>
      <c r="E7" s="101">
        <f ca="1">IFERROR(__xludf.DUMMYFUNCTION("GOOGLEFINANCE(""BOM:""&amp;A7,""PRICE"")"),185.7)</f>
        <v>185.7</v>
      </c>
      <c r="F7" s="112">
        <f ca="1">IFERROR(__xludf.DUMMYFUNCTION("GOOGLEFINANCE(""BOM:""&amp;A7,""MARKETCAP"")/10000000"),262.8769156)</f>
        <v>262.87691560000002</v>
      </c>
      <c r="G7" s="95">
        <f t="shared" ca="1" si="0"/>
        <v>9.8591160118106286E-2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543671</v>
      </c>
      <c r="B8" s="98" t="s">
        <v>4880</v>
      </c>
      <c r="C8" s="101" t="e">
        <f>VLOOKUP(A8,'BSE ALL CAP'!$B$4:$Y$1038,2,)</f>
        <v>#N/A</v>
      </c>
      <c r="D8" s="101" t="e">
        <f>VLOOKUP(A8,'BSE ALL CAP'!$B$4:$Y$1038,3,)</f>
        <v>#N/A</v>
      </c>
      <c r="E8" s="101">
        <f ca="1">IFERROR(__xludf.DUMMYFUNCTION("GOOGLEFINANCE(""BOM:""&amp;A8,""PRICE"")"),93.36)</f>
        <v>93.36</v>
      </c>
      <c r="F8" s="112">
        <f ca="1">IFERROR(__xludf.DUMMYFUNCTION("GOOGLEFINANCE(""BOM:""&amp;A8,""MARKETCAP"")/10000000"),119.5305826)</f>
        <v>119.5305826</v>
      </c>
      <c r="G8" s="95">
        <f t="shared" ca="1" si="0"/>
        <v>4.4829568930498852E-2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543991</v>
      </c>
      <c r="B9" s="98" t="s">
        <v>4881</v>
      </c>
      <c r="C9" s="101" t="e">
        <f>VLOOKUP(A9,'BSE ALL CAP'!$B$4:$Y$1038,2,)</f>
        <v>#N/A</v>
      </c>
      <c r="D9" s="101" t="e">
        <f>VLOOKUP(A9,'BSE ALL CAP'!$B$4:$Y$1038,3,)</f>
        <v>#N/A</v>
      </c>
      <c r="E9" s="101">
        <f ca="1">IFERROR(__xludf.DUMMYFUNCTION("GOOGLEFINANCE(""BOM:""&amp;A9,""PRICE"")"),104)</f>
        <v>104</v>
      </c>
      <c r="F9" s="112">
        <f ca="1">IFERROR(__xludf.DUMMYFUNCTION("GOOGLEFINANCE(""BOM:""&amp;A9,""MARKETCAP"")/10000000"),76.780392)</f>
        <v>76.780392000000006</v>
      </c>
      <c r="G9" s="95">
        <f t="shared" ca="1" si="0"/>
        <v>2.8796244448947603E-2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541302</v>
      </c>
      <c r="B10" s="98" t="s">
        <v>4882</v>
      </c>
      <c r="C10" s="101" t="e">
        <f>VLOOKUP(A10,'BSE ALL CAP'!$B$4:$Y$1038,2,)</f>
        <v>#N/A</v>
      </c>
      <c r="D10" s="101" t="e">
        <f>VLOOKUP(A10,'BSE ALL CAP'!$B$4:$Y$1038,3,)</f>
        <v>#N/A</v>
      </c>
      <c r="E10" s="101">
        <f ca="1">IFERROR(__xludf.DUMMYFUNCTION("GOOGLEFINANCE(""BOM:""&amp;A10,""PRICE"")"),31.9)</f>
        <v>31.9</v>
      </c>
      <c r="F10" s="112">
        <f ca="1">IFERROR(__xludf.DUMMYFUNCTION("GOOGLEFINANCE(""BOM:""&amp;A10,""MARKETCAP"")/10000000"),61.6223566)</f>
        <v>61.622356600000003</v>
      </c>
      <c r="G10" s="95">
        <f t="shared" ca="1" si="0"/>
        <v>2.3111270963214404E-2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531297</v>
      </c>
      <c r="B11" s="98" t="s">
        <v>4883</v>
      </c>
      <c r="C11" s="101" t="e">
        <f>VLOOKUP(A11,'BSE ALL CAP'!$B$4:$Y$1038,2,)</f>
        <v>#N/A</v>
      </c>
      <c r="D11" s="101" t="e">
        <f>VLOOKUP(A11,'BSE ALL CAP'!$B$4:$Y$1038,3,)</f>
        <v>#N/A</v>
      </c>
      <c r="E11" s="101">
        <f ca="1">IFERROR(__xludf.DUMMYFUNCTION("GOOGLEFINANCE(""BOM:""&amp;A11,""PRICE"")"),61.37)</f>
        <v>61.37</v>
      </c>
      <c r="F11" s="112">
        <f ca="1">IFERROR(__xludf.DUMMYFUNCTION("GOOGLEFINANCE(""BOM:""&amp;A11,""MARKETCAP"")/10000000"),44.6466742)</f>
        <v>44.6466742</v>
      </c>
      <c r="G11" s="95">
        <f t="shared" ca="1" si="0"/>
        <v>1.6744594688911228E-2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543410</v>
      </c>
      <c r="B12" s="98" t="s">
        <v>4884</v>
      </c>
      <c r="C12" s="101" t="e">
        <f>VLOOKUP(A12,'BSE ALL CAP'!$B$4:$Y$1038,2,)</f>
        <v>#N/A</v>
      </c>
      <c r="D12" s="101" t="e">
        <f>VLOOKUP(A12,'BSE ALL CAP'!$B$4:$Y$1038,3,)</f>
        <v>#N/A</v>
      </c>
      <c r="E12" s="101">
        <f ca="1">IFERROR(__xludf.DUMMYFUNCTION("GOOGLEFINANCE(""BOM:""&amp;A12,""PRICE"")"),36.11)</f>
        <v>36.11</v>
      </c>
      <c r="F12" s="112">
        <f ca="1">IFERROR(__xludf.DUMMYFUNCTION("GOOGLEFINANCE(""BOM:""&amp;A12,""MARKETCAP"")/10000000"),38.76563)</f>
        <v>38.765630000000002</v>
      </c>
      <c r="G12" s="95">
        <f t="shared" ca="1" si="0"/>
        <v>1.4538927564962896E-2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513295</v>
      </c>
      <c r="B13" s="98" t="s">
        <v>4885</v>
      </c>
      <c r="C13" s="101" t="e">
        <f>VLOOKUP(A13,'BSE ALL CAP'!$B$4:$Y$1038,2,)</f>
        <v>#N/A</v>
      </c>
      <c r="D13" s="101" t="e">
        <f>VLOOKUP(A13,'BSE ALL CAP'!$B$4:$Y$1038,3,)</f>
        <v>#N/A</v>
      </c>
      <c r="E13" s="101">
        <f ca="1">IFERROR(__xludf.DUMMYFUNCTION("GOOGLEFINANCE(""BOM:""&amp;A13,""PRICE"")"),171.15)</f>
        <v>171.15</v>
      </c>
      <c r="F13" s="112">
        <f ca="1">IFERROR(__xludf.DUMMYFUNCTION("GOOGLEFINANCE(""BOM:""&amp;A13,""MARKETCAP"")/10000000"),32.5184988)</f>
        <v>32.518498800000003</v>
      </c>
      <c r="G13" s="95">
        <f t="shared" ca="1" si="0"/>
        <v>1.2195960663467429E-2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501370</v>
      </c>
      <c r="B14" s="98" t="s">
        <v>4886</v>
      </c>
      <c r="C14" s="101" t="e">
        <f>VLOOKUP(A14,'BSE ALL CAP'!$B$4:$Y$1038,2,)</f>
        <v>#N/A</v>
      </c>
      <c r="D14" s="101" t="e">
        <f>VLOOKUP(A14,'BSE ALL CAP'!$B$4:$Y$1038,3,)</f>
        <v>#N/A</v>
      </c>
      <c r="E14" s="101">
        <f ca="1">IFERROR(__xludf.DUMMYFUNCTION("GOOGLEFINANCE(""BOM:""&amp;A14,""PRICE"")"),100.25)</f>
        <v>100.25</v>
      </c>
      <c r="F14" s="112">
        <f ca="1">IFERROR(__xludf.DUMMYFUNCTION("GOOGLEFINANCE(""BOM:""&amp;A14,""MARKETCAP"")/10000000"),29.1114972)</f>
        <v>29.111497199999999</v>
      </c>
      <c r="G14" s="95">
        <f t="shared" ca="1" si="0"/>
        <v>1.091817543268148E-2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541196</v>
      </c>
      <c r="B15" s="98" t="s">
        <v>4887</v>
      </c>
      <c r="C15" s="101" t="e">
        <f>VLOOKUP(A15,'BSE ALL CAP'!$B$4:$Y$1038,2,)</f>
        <v>#N/A</v>
      </c>
      <c r="D15" s="101" t="e">
        <f>VLOOKUP(A15,'BSE ALL CAP'!$B$4:$Y$1038,3,)</f>
        <v>#N/A</v>
      </c>
      <c r="E15" s="101">
        <f ca="1">IFERROR(__xludf.DUMMYFUNCTION("GOOGLEFINANCE(""BOM:""&amp;A15,""PRICE"")"),83.16)</f>
        <v>83.16</v>
      </c>
      <c r="F15" s="112">
        <f ca="1">IFERROR(__xludf.DUMMYFUNCTION("GOOGLEFINANCE(""BOM:""&amp;A15,""MARKETCAP"")/10000000"),34.84404)</f>
        <v>34.84404</v>
      </c>
      <c r="G15" s="95">
        <f t="shared" ca="1" si="0"/>
        <v>1.3068147573783006E-2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511716</v>
      </c>
      <c r="B16" s="98" t="s">
        <v>4888</v>
      </c>
      <c r="C16" s="101" t="e">
        <f>VLOOKUP(A16,'BSE ALL CAP'!$B$4:$Y$1038,2,)</f>
        <v>#N/A</v>
      </c>
      <c r="D16" s="101" t="e">
        <f>VLOOKUP(A16,'BSE ALL CAP'!$B$4:$Y$1038,3,)</f>
        <v>#N/A</v>
      </c>
      <c r="E16" s="101">
        <f ca="1">IFERROR(__xludf.DUMMYFUNCTION("GOOGLEFINANCE(""BOM:""&amp;A16,""PRICE"")"),5.66)</f>
        <v>5.66</v>
      </c>
      <c r="F16" s="112">
        <f ca="1">IFERROR(__xludf.DUMMYFUNCTION("GOOGLEFINANCE(""BOM:""&amp;A16,""MARKETCAP"")/10000000"),24.2305)</f>
        <v>24.230499999999999</v>
      </c>
      <c r="G16" s="95">
        <f t="shared" ca="1" si="0"/>
        <v>9.0875727896807933E-3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531203</v>
      </c>
      <c r="B17" s="98" t="s">
        <v>4889</v>
      </c>
      <c r="C17" s="101" t="e">
        <f>VLOOKUP(A17,'BSE ALL CAP'!$B$4:$Y$1038,2,)</f>
        <v>#N/A</v>
      </c>
      <c r="D17" s="101" t="e">
        <f>VLOOKUP(A17,'BSE ALL CAP'!$B$4:$Y$1038,3,)</f>
        <v>#N/A</v>
      </c>
      <c r="E17" s="101">
        <f ca="1">IFERROR(__xludf.DUMMYFUNCTION("GOOGLEFINANCE(""BOM:""&amp;A17,""PRICE"")"),97.49)</f>
        <v>97.49</v>
      </c>
      <c r="F17" s="112">
        <f ca="1">IFERROR(__xludf.DUMMYFUNCTION("GOOGLEFINANCE(""BOM:""&amp;A17,""MARKETCAP"")/10000000"),27.9289)</f>
        <v>27.928899999999999</v>
      </c>
      <c r="G17" s="95">
        <f t="shared" ca="1" si="0"/>
        <v>1.0474646073573219E-2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540703</v>
      </c>
      <c r="B18" s="98" t="s">
        <v>4890</v>
      </c>
      <c r="C18" s="101" t="e">
        <f>VLOOKUP(A18,'BSE ALL CAP'!$B$4:$Y$1038,2,)</f>
        <v>#N/A</v>
      </c>
      <c r="D18" s="101" t="e">
        <f>VLOOKUP(A18,'BSE ALL CAP'!$B$4:$Y$1038,3,)</f>
        <v>#N/A</v>
      </c>
      <c r="E18" s="101">
        <f ca="1">IFERROR(__xludf.DUMMYFUNCTION("GOOGLEFINANCE(""BOM:""&amp;A18,""PRICE"")"),25.87)</f>
        <v>25.87</v>
      </c>
      <c r="F18" s="112">
        <f ca="1">IFERROR(__xludf.DUMMYFUNCTION("GOOGLEFINANCE(""BOM:""&amp;A18,""MARKETCAP"")/10000000"),13.2014614)</f>
        <v>13.201461399999999</v>
      </c>
      <c r="G18" s="95">
        <f t="shared" ca="1" si="0"/>
        <v>4.9511665629129115E-3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539149</v>
      </c>
      <c r="B19" s="98" t="s">
        <v>4891</v>
      </c>
      <c r="C19" s="101" t="e">
        <f>VLOOKUP(A19,'BSE ALL CAP'!$B$4:$Y$1038,2,)</f>
        <v>#N/A</v>
      </c>
      <c r="D19" s="101" t="e">
        <f>VLOOKUP(A19,'BSE ALL CAP'!$B$4:$Y$1038,3,)</f>
        <v>#N/A</v>
      </c>
      <c r="E19" s="101">
        <f ca="1">IFERROR(__xludf.DUMMYFUNCTION("GOOGLEFINANCE(""BOM:""&amp;A19,""PRICE"")"),4.48)</f>
        <v>4.4800000000000004</v>
      </c>
      <c r="F19" s="112">
        <f ca="1">IFERROR(__xludf.DUMMYFUNCTION("GOOGLEFINANCE(""BOM:""&amp;A19,""MARKETCAP"")/10000000"),15.9060472)</f>
        <v>15.9060472</v>
      </c>
      <c r="G19" s="95">
        <f t="shared" ca="1" si="0"/>
        <v>5.9655129578877189E-3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540144</v>
      </c>
      <c r="B20" s="98" t="s">
        <v>4892</v>
      </c>
      <c r="C20" s="101" t="e">
        <f>VLOOKUP(A20,'BSE ALL CAP'!$B$4:$Y$1038,2,)</f>
        <v>#N/A</v>
      </c>
      <c r="D20" s="101" t="e">
        <f>VLOOKUP(A20,'BSE ALL CAP'!$B$4:$Y$1038,3,)</f>
        <v>#N/A</v>
      </c>
      <c r="E20" s="101">
        <f ca="1">IFERROR(__xludf.DUMMYFUNCTION("GOOGLEFINANCE(""BOM:""&amp;A20,""PRICE"")"),15.5)</f>
        <v>15.5</v>
      </c>
      <c r="F20" s="112">
        <f ca="1">IFERROR(__xludf.DUMMYFUNCTION("GOOGLEFINANCE(""BOM:""&amp;A20,""MARKETCAP"")/10000000"),17.0035)</f>
        <v>17.003499999999999</v>
      </c>
      <c r="G20" s="95">
        <f t="shared" ca="1" si="0"/>
        <v>6.3771091776619283E-3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538496</v>
      </c>
      <c r="B21" s="98" t="s">
        <v>4893</v>
      </c>
      <c r="C21" s="101" t="e">
        <f>VLOOKUP(A21,'BSE ALL CAP'!$B$4:$Y$1038,2,)</f>
        <v>#N/A</v>
      </c>
      <c r="D21" s="101" t="e">
        <f>VLOOKUP(A21,'BSE ALL CAP'!$B$4:$Y$1038,3,)</f>
        <v>#N/A</v>
      </c>
      <c r="E21" s="101">
        <f ca="1">IFERROR(__xludf.DUMMYFUNCTION("GOOGLEFINANCE(""BOM:""&amp;A21,""PRICE"")"),6.26)</f>
        <v>6.26</v>
      </c>
      <c r="F21" s="112">
        <f ca="1">IFERROR(__xludf.DUMMYFUNCTION("GOOGLEFINANCE(""BOM:""&amp;A21,""MARKETCAP"")/10000000"),8.136748)</f>
        <v>8.1367480000000008</v>
      </c>
      <c r="G21" s="95">
        <f t="shared" ca="1" si="0"/>
        <v>3.0516617371201429E-3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503641</v>
      </c>
      <c r="B22" s="98" t="s">
        <v>4894</v>
      </c>
      <c r="C22" s="101" t="e">
        <f>VLOOKUP(A22,'BSE ALL CAP'!$B$4:$Y$1038,2,)</f>
        <v>#N/A</v>
      </c>
      <c r="D22" s="101" t="e">
        <f>VLOOKUP(A22,'BSE ALL CAP'!$B$4:$Y$1038,3,)</f>
        <v>#N/A</v>
      </c>
      <c r="E22" s="101">
        <f ca="1">IFERROR(__xludf.DUMMYFUNCTION("GOOGLEFINANCE(""BOM:""&amp;A22,""PRICE"")"),1.35)</f>
        <v>1.35</v>
      </c>
      <c r="F22" s="112">
        <f ca="1">IFERROR(__xludf.DUMMYFUNCTION("GOOGLEFINANCE(""BOM:""&amp;A22,""MARKETCAP"")/10000000"),11.1642274)</f>
        <v>11.1642274</v>
      </c>
      <c r="G22" s="95">
        <f t="shared" ca="1" si="0"/>
        <v>4.1871083608695132E-3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543372</v>
      </c>
      <c r="B23" s="98" t="s">
        <v>4895</v>
      </c>
      <c r="C23" s="101" t="e">
        <f>VLOOKUP(A23,'BSE ALL CAP'!$B$4:$Y$1038,2,)</f>
        <v>#N/A</v>
      </c>
      <c r="D23" s="101" t="e">
        <f>VLOOKUP(A23,'BSE ALL CAP'!$B$4:$Y$1038,3,)</f>
        <v>#N/A</v>
      </c>
      <c r="E23" s="101">
        <f ca="1">IFERROR(__xludf.DUMMYFUNCTION("GOOGLEFINANCE(""BOM:""&amp;A23,""PRICE"")"),4.3)</f>
        <v>4.3</v>
      </c>
      <c r="F23" s="112">
        <f ca="1">IFERROR(__xludf.DUMMYFUNCTION("GOOGLEFINANCE(""BOM:""&amp;A23,""MARKETCAP"")/10000000"),9.0988)</f>
        <v>9.0988000000000007</v>
      </c>
      <c r="G23" s="95">
        <f t="shared" ca="1" si="0"/>
        <v>3.4124763128597266E-3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542446</v>
      </c>
      <c r="B24" s="98" t="s">
        <v>4896</v>
      </c>
      <c r="C24" s="101" t="e">
        <f>VLOOKUP(A24,'BSE ALL CAP'!$B$4:$Y$1038,2,)</f>
        <v>#N/A</v>
      </c>
      <c r="D24" s="101" t="e">
        <f>VLOOKUP(A24,'BSE ALL CAP'!$B$4:$Y$1038,3,)</f>
        <v>#N/A</v>
      </c>
      <c r="E24" s="101">
        <f ca="1">IFERROR(__xludf.DUMMYFUNCTION("GOOGLEFINANCE(""BOM:""&amp;A24,""PRICE"")"),3.16)</f>
        <v>3.16</v>
      </c>
      <c r="F24" s="112">
        <f ca="1">IFERROR(__xludf.DUMMYFUNCTION("GOOGLEFINANCE(""BOM:""&amp;A24,""MARKETCAP"")/10000000"),8.6197186)</f>
        <v>8.6197186000000006</v>
      </c>
      <c r="G24" s="95">
        <f t="shared" ca="1" si="0"/>
        <v>3.2327983411017283E-3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523151</v>
      </c>
      <c r="B25" s="98" t="s">
        <v>4897</v>
      </c>
      <c r="C25" s="101" t="e">
        <f>VLOOKUP(A25,'BSE ALL CAP'!$B$4:$Y$1038,2,)</f>
        <v>#N/A</v>
      </c>
      <c r="D25" s="101" t="e">
        <f>VLOOKUP(A25,'BSE ALL CAP'!$B$4:$Y$1038,3,)</f>
        <v>#N/A</v>
      </c>
      <c r="E25" s="101">
        <f ca="1">IFERROR(__xludf.DUMMYFUNCTION("GOOGLEFINANCE(""BOM:""&amp;A25,""PRICE"")"),7.08)</f>
        <v>7.08</v>
      </c>
      <c r="F25" s="112">
        <f ca="1">IFERROR(__xludf.DUMMYFUNCTION("GOOGLEFINANCE(""BOM:""&amp;A25,""MARKETCAP"")/10000000"),9.1814288)</f>
        <v>9.1814288000000008</v>
      </c>
      <c r="G25" s="95">
        <f t="shared" ca="1" si="0"/>
        <v>3.4434659843284943E-3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517044</v>
      </c>
      <c r="B26" s="98" t="s">
        <v>4898</v>
      </c>
      <c r="C26" s="101" t="e">
        <f>VLOOKUP(A26,'BSE ALL CAP'!$B$4:$Y$1038,2,)</f>
        <v>#N/A</v>
      </c>
      <c r="D26" s="101" t="e">
        <f>VLOOKUP(A26,'BSE ALL CAP'!$B$4:$Y$1038,3,)</f>
        <v>#N/A</v>
      </c>
      <c r="E26" s="101">
        <f ca="1">IFERROR(__xludf.DUMMYFUNCTION("GOOGLEFINANCE(""BOM:""&amp;A26,""PRICE"")"),35)</f>
        <v>35</v>
      </c>
      <c r="F26" s="112">
        <f ca="1">IFERROR(__xludf.DUMMYFUNCTION("GOOGLEFINANCE(""BOM:""&amp;A26,""MARKETCAP"")/10000000"),7.7)</f>
        <v>7.7</v>
      </c>
      <c r="G26" s="95">
        <f t="shared" ca="1" si="0"/>
        <v>2.8878607738404946E-3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511585</v>
      </c>
      <c r="B27" s="98" t="s">
        <v>4899</v>
      </c>
      <c r="C27" s="101" t="e">
        <f>VLOOKUP(A27,'BSE ALL CAP'!$B$4:$Y$1038,2,)</f>
        <v>#N/A</v>
      </c>
      <c r="D27" s="101" t="e">
        <f>VLOOKUP(A27,'BSE ALL CAP'!$B$4:$Y$1038,3,)</f>
        <v>#N/A</v>
      </c>
      <c r="E27" s="101">
        <f ca="1">IFERROR(__xludf.DUMMYFUNCTION("GOOGLEFINANCE(""BOM:""&amp;A27,""PRICE"")"),3.06)</f>
        <v>3.06</v>
      </c>
      <c r="F27" s="112">
        <f ca="1">IFERROR(__xludf.DUMMYFUNCTION("GOOGLEFINANCE(""BOM:""&amp;A27,""MARKETCAP"")/10000000"),3.0599999)</f>
        <v>3.0599999000000002</v>
      </c>
      <c r="G27" s="95">
        <f t="shared" ca="1" si="0"/>
        <v>1.1476433349566022E-3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509917</v>
      </c>
      <c r="B28" s="98" t="s">
        <v>4900</v>
      </c>
      <c r="C28" s="101" t="e">
        <f>VLOOKUP(A28,'BSE ALL CAP'!$B$4:$Y$1038,2,)</f>
        <v>#N/A</v>
      </c>
      <c r="D28" s="101" t="e">
        <f>VLOOKUP(A28,'BSE ALL CAP'!$B$4:$Y$1038,3,)</f>
        <v>#N/A</v>
      </c>
      <c r="E28" s="101">
        <f ca="1">IFERROR(__xludf.DUMMYFUNCTION("GOOGLEFINANCE(""BOM:""&amp;A28,""PRICE"")"),99.54)</f>
        <v>99.54</v>
      </c>
      <c r="F28" s="112">
        <f ca="1">IFERROR(__xludf.DUMMYFUNCTION("GOOGLEFINANCE(""BOM:""&amp;A28,""MARKETCAP"")/10000000"),1.9908)</f>
        <v>1.9907999999999999</v>
      </c>
      <c r="G28" s="95">
        <f t="shared" ca="1" si="0"/>
        <v>7.4664327643657877E-4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3.2">
      <c r="A29" s="101"/>
      <c r="B29" s="101"/>
      <c r="C29" s="101"/>
      <c r="D29" s="101"/>
      <c r="E29" s="101"/>
      <c r="F29" s="101"/>
      <c r="G29" s="95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3.2">
      <c r="A30" s="101"/>
      <c r="B30" s="101"/>
      <c r="C30" s="101"/>
      <c r="D30" s="101"/>
      <c r="E30" s="101"/>
      <c r="F30" s="112">
        <f ca="1">SUM(F1:F28)</f>
        <v>2666.3335260999997</v>
      </c>
      <c r="G30" s="95">
        <f ca="1">F30/$F$30</f>
        <v>1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</sheetData>
  <autoFilter ref="A1:Y28" xr:uid="{00000000-0009-0000-0000-0000A3000000}"/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outlinePr summaryBelow="0" summaryRight="0"/>
  </sheetPr>
  <dimension ref="A1:AX1000"/>
  <sheetViews>
    <sheetView workbookViewId="0"/>
  </sheetViews>
  <sheetFormatPr defaultColWidth="12.6640625" defaultRowHeight="15.75" customHeight="1"/>
  <sheetData>
    <row r="1" spans="1:50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50">
      <c r="A2" s="350">
        <v>532762</v>
      </c>
      <c r="B2" s="351" t="s">
        <v>1410</v>
      </c>
      <c r="C2" s="101" t="str">
        <f>VLOOKUP(A2,'BSE ALL CAP'!$B$4:$Y$1038,2,)</f>
        <v>Industrials</v>
      </c>
      <c r="D2" s="101" t="str">
        <f>VLOOKUP(A2,'BSE ALL CAP'!$B$4:$Y$1038,3,)</f>
        <v>Construction Vehicles</v>
      </c>
      <c r="E2" s="351">
        <f ca="1">IFERROR(__xludf.DUMMYFUNCTION("GOOGLEFINANCE(""BOM:""&amp;A2,""PRICE"")"),824.6)</f>
        <v>824.6</v>
      </c>
      <c r="F2" s="352">
        <f ca="1">IFERROR(__xludf.DUMMYFUNCTION("GOOGLEFINANCE(""BOM:""&amp;A2,""MARKETCAP"")/10000000"),9820.0428734)</f>
        <v>9820.0428733999997</v>
      </c>
      <c r="G2" s="353">
        <f t="shared" ref="G2:G6" ca="1" si="0">F2/$F$8</f>
        <v>0.33850344351341827</v>
      </c>
      <c r="H2" s="101">
        <f>VLOOKUP(A2,'BSE ALL CAP'!$B$4:$Y$1038,7,)</f>
        <v>2250</v>
      </c>
      <c r="I2" s="101">
        <f>VLOOKUP(A2,'BSE ALL CAP'!$B$4:$Y$1038,8,)</f>
        <v>2366</v>
      </c>
      <c r="J2" s="101">
        <f>VLOOKUP(A2,'BSE ALL CAP'!$B$4:$Y$1038,9,)</f>
        <v>304</v>
      </c>
      <c r="K2" s="101">
        <f>VLOOKUP(A2,'BSE ALL CAP'!$B$4:$Y$1038,10,)</f>
        <v>290</v>
      </c>
      <c r="L2" s="101">
        <f>VLOOKUP(A2,'BSE ALL CAP'!$B$4:$Y$1038,11,)</f>
        <v>854</v>
      </c>
      <c r="M2" s="101">
        <f>VLOOKUP(A2,'BSE ALL CAP'!$B$4:$Y$1038,12,)</f>
        <v>875</v>
      </c>
      <c r="N2" s="101">
        <f>VLOOKUP(A2,'BSE ALL CAP'!$B$4:$Y$1038,13,)</f>
        <v>116</v>
      </c>
      <c r="O2" s="101">
        <f>VLOOKUP(A2,'BSE ALL CAP'!$B$4:$Y$1038,14,)</f>
        <v>111</v>
      </c>
      <c r="P2" s="95">
        <f>VLOOKUP(A2,'BSE ALL CAP'!$B$4:$Y$1038,15,)</f>
        <v>0.1351111111111111</v>
      </c>
      <c r="Q2" s="95">
        <f>VLOOKUP(A2,'BSE ALL CAP'!$B$4:$Y$1038,16,)</f>
        <v>0.12256973795435334</v>
      </c>
      <c r="R2" s="95">
        <f>VLOOKUP(A2,'BSE ALL CAP'!$B$4:$Y$1038,17,)</f>
        <v>1.2541373156757754E-2</v>
      </c>
      <c r="S2" s="95">
        <f>VLOOKUP(A2,'BSE ALL CAP'!$B$4:$Y$1038,18,)</f>
        <v>0.13583138173302109</v>
      </c>
      <c r="T2" s="95">
        <f>VLOOKUP(A2,'BSE ALL CAP'!$B$4:$Y$1038,19,)</f>
        <v>0.12685714285714286</v>
      </c>
      <c r="U2" s="95">
        <f>VLOOKUP(A2,'BSE ALL CAP'!$B$4:$Y$1038,20,)</f>
        <v>8.9742388758782266E-3</v>
      </c>
      <c r="V2" s="95">
        <f>VLOOKUP(A2,'BSE ALL CAP'!$B$4:$Y$1038,21,)</f>
        <v>-4.9027895181741332E-2</v>
      </c>
      <c r="W2" s="95">
        <f>VLOOKUP(A2,'BSE ALL CAP'!$B$4:$Y$1038,22,)</f>
        <v>4.8275862068965614E-2</v>
      </c>
      <c r="X2" s="95">
        <f>VLOOKUP(A2,'BSE ALL CAP'!$B$4:$Y$1038,23,)</f>
        <v>-2.4000000000000021E-2</v>
      </c>
      <c r="Y2" s="95">
        <f>VLOOKUP(A2,'BSE ALL CAP'!$B$4:$Y$1038,24,)</f>
        <v>4.5045045045045029E-2</v>
      </c>
      <c r="Z2" s="354"/>
      <c r="AA2" s="354"/>
      <c r="AB2" s="354"/>
      <c r="AC2" s="355"/>
      <c r="AD2" s="354"/>
      <c r="AG2" s="354"/>
      <c r="AH2" s="354"/>
      <c r="AI2" s="354"/>
      <c r="AJ2" s="354"/>
      <c r="AK2" s="354"/>
      <c r="AL2" s="354"/>
      <c r="AM2" s="355"/>
      <c r="AN2" s="354"/>
      <c r="AQ2" s="354"/>
      <c r="AR2" s="354"/>
      <c r="AS2" s="354"/>
      <c r="AT2" s="354"/>
      <c r="AU2" s="354"/>
      <c r="AV2" s="354"/>
      <c r="AW2" s="355"/>
      <c r="AX2" s="354"/>
    </row>
    <row r="3" spans="1:50">
      <c r="A3" s="351">
        <v>500048</v>
      </c>
      <c r="B3" s="351" t="s">
        <v>4901</v>
      </c>
      <c r="C3" s="101" t="str">
        <f>VLOOKUP(A3,'BSE ALL CAP'!$B$4:$Y$1038,2,)</f>
        <v>Industrials</v>
      </c>
      <c r="D3" s="101" t="str">
        <f>VLOOKUP(A3,'BSE ALL CAP'!$B$4:$Y$1038,3,)</f>
        <v>Construction Vehicles</v>
      </c>
      <c r="E3" s="351">
        <f ca="1">IFERROR(__xludf.DUMMYFUNCTION("GOOGLEFINANCE(""BOM:""&amp;A3,""PRICE"")"),1506.1)</f>
        <v>1506.1</v>
      </c>
      <c r="F3" s="352">
        <f ca="1">IFERROR(__xludf.DUMMYFUNCTION("GOOGLEFINANCE(""BOM:""&amp;A3,""MARKETCAP"")/10000000"),12542.4861956)</f>
        <v>12542.4861956</v>
      </c>
      <c r="G3" s="353">
        <f t="shared" ca="1" si="0"/>
        <v>0.43234788505155786</v>
      </c>
      <c r="H3" s="101">
        <f>VLOOKUP(A3,'BSE ALL CAP'!$B$4:$Y$1038,7,)</f>
        <v>2556</v>
      </c>
      <c r="I3" s="101">
        <f>VLOOKUP(A3,'BSE ALL CAP'!$B$4:$Y$1038,8,)</f>
        <v>2369</v>
      </c>
      <c r="J3" s="101">
        <f>VLOOKUP(A3,'BSE ALL CAP'!$B$4:$Y$1038,9,)</f>
        <v>-38</v>
      </c>
      <c r="K3" s="101">
        <f>VLOOKUP(A3,'BSE ALL CAP'!$B$4:$Y$1038,10,)</f>
        <v>4</v>
      </c>
      <c r="L3" s="101">
        <f>VLOOKUP(A3,'BSE ALL CAP'!$B$4:$Y$1038,11,)</f>
        <v>1083</v>
      </c>
      <c r="M3" s="101">
        <f>VLOOKUP(A3,'BSE ALL CAP'!$B$4:$Y$1038,12,)</f>
        <v>875</v>
      </c>
      <c r="N3" s="101">
        <f>VLOOKUP(A3,'BSE ALL CAP'!$B$4:$Y$1038,13,)</f>
        <v>-22</v>
      </c>
      <c r="O3" s="101">
        <f>VLOOKUP(A3,'BSE ALL CAP'!$B$4:$Y$1038,14,)</f>
        <v>24</v>
      </c>
      <c r="P3" s="95">
        <f>VLOOKUP(A3,'BSE ALL CAP'!$B$4:$Y$1038,15,)</f>
        <v>-1.486697965571205E-2</v>
      </c>
      <c r="Q3" s="95">
        <f>VLOOKUP(A3,'BSE ALL CAP'!$B$4:$Y$1038,16,)</f>
        <v>1.6884761502743773E-3</v>
      </c>
      <c r="R3" s="95">
        <f>VLOOKUP(A3,'BSE ALL CAP'!$B$4:$Y$1038,17,)</f>
        <v>-1.6555455805986427E-2</v>
      </c>
      <c r="S3" s="95">
        <f>VLOOKUP(A3,'BSE ALL CAP'!$B$4:$Y$1038,18,)</f>
        <v>-2.0313942751615882E-2</v>
      </c>
      <c r="T3" s="95">
        <f>VLOOKUP(A3,'BSE ALL CAP'!$B$4:$Y$1038,19,)</f>
        <v>2.7428571428571427E-2</v>
      </c>
      <c r="U3" s="95">
        <f>VLOOKUP(A3,'BSE ALL CAP'!$B$4:$Y$1038,20,)</f>
        <v>-4.7742514180187309E-2</v>
      </c>
      <c r="V3" s="95">
        <f>VLOOKUP(A3,'BSE ALL CAP'!$B$4:$Y$1038,21,)</f>
        <v>7.8936260025327165E-2</v>
      </c>
      <c r="W3" s="95">
        <f>VLOOKUP(A3,'BSE ALL CAP'!$B$4:$Y$1038,22,)</f>
        <v>-10.5</v>
      </c>
      <c r="X3" s="95">
        <f>VLOOKUP(A3,'BSE ALL CAP'!$B$4:$Y$1038,23,)</f>
        <v>0.23771428571428577</v>
      </c>
      <c r="Y3" s="95">
        <f>VLOOKUP(A3,'BSE ALL CAP'!$B$4:$Y$1038,24,)</f>
        <v>-1.9166666666666665</v>
      </c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</row>
    <row r="4" spans="1:50">
      <c r="A4" s="351">
        <v>544356</v>
      </c>
      <c r="B4" s="351" t="s">
        <v>4902</v>
      </c>
      <c r="C4" s="101" t="str">
        <f>VLOOKUP(A4,'BSE ALL CAP'!$B$4:$Y$1038,2,)</f>
        <v>Industrials</v>
      </c>
      <c r="D4" s="101" t="str">
        <f>VLOOKUP(A4,'BSE ALL CAP'!$B$4:$Y$1038,3,)</f>
        <v>Construction Vehicles</v>
      </c>
      <c r="E4" s="351">
        <f ca="1">IFERROR(__xludf.DUMMYFUNCTION("GOOGLEFINANCE(""BOM:""&amp;A4,""PRICE"")"),442.45)</f>
        <v>442.45</v>
      </c>
      <c r="F4" s="352">
        <f ca="1">IFERROR(__xludf.DUMMYFUNCTION("GOOGLEFINANCE(""BOM:""&amp;A4,""MARKETCAP"")/10000000"),5071.08141)</f>
        <v>5071.0814099999998</v>
      </c>
      <c r="G4" s="353">
        <f t="shared" ca="1" si="0"/>
        <v>0.17480356672083941</v>
      </c>
      <c r="H4" s="101">
        <f>VLOOKUP(A4,'BSE ALL CAP'!$B$4:$Y$1038,7,)</f>
        <v>1344</v>
      </c>
      <c r="I4" s="101">
        <f>VLOOKUP(A4,'BSE ALL CAP'!$B$4:$Y$1038,8,)</f>
        <v>1318</v>
      </c>
      <c r="J4" s="101">
        <f>VLOOKUP(A4,'BSE ALL CAP'!$B$4:$Y$1038,9,)</f>
        <v>130</v>
      </c>
      <c r="K4" s="101">
        <f>VLOOKUP(A4,'BSE ALL CAP'!$B$4:$Y$1038,10,)</f>
        <v>169</v>
      </c>
      <c r="L4" s="101">
        <f>VLOOKUP(A4,'BSE ALL CAP'!$B$4:$Y$1038,11,)</f>
        <v>433</v>
      </c>
      <c r="M4" s="101">
        <f>VLOOKUP(A4,'BSE ALL CAP'!$B$4:$Y$1038,12,)</f>
        <v>548</v>
      </c>
      <c r="N4" s="101">
        <f>VLOOKUP(A4,'BSE ALL CAP'!$B$4:$Y$1038,13,)</f>
        <v>38</v>
      </c>
      <c r="O4" s="101">
        <f>VLOOKUP(A4,'BSE ALL CAP'!$B$4:$Y$1038,14,)</f>
        <v>68</v>
      </c>
      <c r="P4" s="95">
        <f>VLOOKUP(A4,'BSE ALL CAP'!$B$4:$Y$1038,15,)</f>
        <v>9.6726190476190479E-2</v>
      </c>
      <c r="Q4" s="95">
        <f>VLOOKUP(A4,'BSE ALL CAP'!$B$4:$Y$1038,16,)</f>
        <v>0.12822458270106221</v>
      </c>
      <c r="R4" s="95">
        <f>VLOOKUP(A4,'BSE ALL CAP'!$B$4:$Y$1038,17,)</f>
        <v>-3.1498392224871732E-2</v>
      </c>
      <c r="S4" s="95">
        <f>VLOOKUP(A4,'BSE ALL CAP'!$B$4:$Y$1038,18,)</f>
        <v>8.7759815242494224E-2</v>
      </c>
      <c r="T4" s="95">
        <f>VLOOKUP(A4,'BSE ALL CAP'!$B$4:$Y$1038,19,)</f>
        <v>0.12408759124087591</v>
      </c>
      <c r="U4" s="95">
        <f>VLOOKUP(A4,'BSE ALL CAP'!$B$4:$Y$1038,20,)</f>
        <v>-3.6327775998381689E-2</v>
      </c>
      <c r="V4" s="95">
        <f>VLOOKUP(A4,'BSE ALL CAP'!$B$4:$Y$1038,21,)</f>
        <v>1.9726858877086473E-2</v>
      </c>
      <c r="W4" s="95">
        <f>VLOOKUP(A4,'BSE ALL CAP'!$B$4:$Y$1038,22,)</f>
        <v>-0.23076923076923073</v>
      </c>
      <c r="X4" s="95">
        <f>VLOOKUP(A4,'BSE ALL CAP'!$B$4:$Y$1038,23,)</f>
        <v>-0.20985401459854014</v>
      </c>
      <c r="Y4" s="95">
        <f>VLOOKUP(A4,'BSE ALL CAP'!$B$4:$Y$1038,24,)</f>
        <v>-0.44117647058823528</v>
      </c>
    </row>
    <row r="5" spans="1:50">
      <c r="A5" s="351">
        <v>505196</v>
      </c>
      <c r="B5" s="351" t="s">
        <v>4903</v>
      </c>
      <c r="C5" s="101"/>
      <c r="D5" s="101"/>
      <c r="E5" s="351">
        <f ca="1">IFERROR(__xludf.DUMMYFUNCTION("GOOGLEFINANCE(""BOM:""&amp;A5,""PRICE"")"),170.95)</f>
        <v>170.95</v>
      </c>
      <c r="F5" s="352">
        <f ca="1">IFERROR(__xludf.DUMMYFUNCTION("GOOGLEFINANCE(""BOM:""&amp;A5,""MARKETCAP"")/10000000"),1407.8107957)</f>
        <v>1407.8107957</v>
      </c>
      <c r="G5" s="353">
        <f t="shared" ca="1" si="0"/>
        <v>4.8528179388163867E-2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50">
      <c r="A6" s="351">
        <v>505690</v>
      </c>
      <c r="B6" s="351" t="s">
        <v>4904</v>
      </c>
      <c r="C6" s="101"/>
      <c r="D6" s="101"/>
      <c r="E6" s="351">
        <f ca="1">IFERROR(__xludf.DUMMYFUNCTION("GOOGLEFINANCE(""BOM:""&amp;A6,""PRICE"")"),750)</f>
        <v>750</v>
      </c>
      <c r="F6" s="352">
        <f ca="1">IFERROR(__xludf.DUMMYFUNCTION("GOOGLEFINANCE(""BOM:""&amp;A6,""MARKETCAP"")/10000000"),168.75)</f>
        <v>168.75</v>
      </c>
      <c r="G6" s="353">
        <f t="shared" ca="1" si="0"/>
        <v>5.816925326020678E-3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50">
      <c r="A7" s="101"/>
      <c r="B7" s="101"/>
      <c r="C7" s="101"/>
      <c r="D7" s="101"/>
      <c r="E7" s="101"/>
      <c r="F7" s="112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50">
      <c r="A8" s="101"/>
      <c r="B8" s="101"/>
      <c r="C8" s="101"/>
      <c r="D8" s="101"/>
      <c r="E8" s="101"/>
      <c r="F8" s="112">
        <f t="shared" ref="F8:G8" ca="1" si="1">SUM(F2:F6)</f>
        <v>29010.171274699998</v>
      </c>
      <c r="G8" s="95">
        <f t="shared" ca="1" si="1"/>
        <v>1</v>
      </c>
      <c r="H8" s="101">
        <f t="shared" ref="H8:O8" si="2">SUM(H2:H6)</f>
        <v>6150</v>
      </c>
      <c r="I8" s="101">
        <f t="shared" si="2"/>
        <v>6053</v>
      </c>
      <c r="J8" s="101">
        <f t="shared" si="2"/>
        <v>396</v>
      </c>
      <c r="K8" s="101">
        <f t="shared" si="2"/>
        <v>463</v>
      </c>
      <c r="L8" s="101">
        <f t="shared" si="2"/>
        <v>2370</v>
      </c>
      <c r="M8" s="101">
        <f t="shared" si="2"/>
        <v>2298</v>
      </c>
      <c r="N8" s="101">
        <f t="shared" si="2"/>
        <v>132</v>
      </c>
      <c r="O8" s="101">
        <f t="shared" si="2"/>
        <v>203</v>
      </c>
      <c r="P8" s="95">
        <f t="shared" ref="P8:Q8" si="3">J8/H8</f>
        <v>6.4390243902439026E-2</v>
      </c>
      <c r="Q8" s="95">
        <f t="shared" si="3"/>
        <v>7.6490996200231295E-2</v>
      </c>
      <c r="R8" s="95">
        <f>P8-Q8</f>
        <v>-1.2100752297792269E-2</v>
      </c>
      <c r="S8" s="95">
        <f t="shared" ref="S8:T8" si="4">N8/L8</f>
        <v>5.5696202531645568E-2</v>
      </c>
      <c r="T8" s="95">
        <f t="shared" si="4"/>
        <v>8.8337684943429071E-2</v>
      </c>
      <c r="U8" s="95">
        <f>S8-T8</f>
        <v>-3.2641482411783503E-2</v>
      </c>
      <c r="V8" s="95">
        <f>(H8/I8)-1</f>
        <v>1.6025111514951229E-2</v>
      </c>
      <c r="W8" s="95">
        <f>(J8/K8)-1</f>
        <v>-0.14470842332613387</v>
      </c>
      <c r="X8" s="95">
        <f>(L8/M8)-1</f>
        <v>3.1331592689294974E-2</v>
      </c>
      <c r="Y8" s="95">
        <f>(N8/O8)-1</f>
        <v>-0.34975369458128081</v>
      </c>
    </row>
    <row r="9" spans="1:50">
      <c r="F9" s="94"/>
    </row>
    <row r="10" spans="1:50">
      <c r="F10" s="94"/>
    </row>
    <row r="11" spans="1:50">
      <c r="F11" s="94"/>
    </row>
    <row r="12" spans="1:50">
      <c r="F12" s="94"/>
    </row>
    <row r="13" spans="1:50">
      <c r="F13" s="94"/>
    </row>
    <row r="14" spans="1:50">
      <c r="F14" s="94"/>
    </row>
    <row r="15" spans="1:50">
      <c r="F15" s="94"/>
    </row>
    <row r="16" spans="1:50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6" xr:uid="{00000000-0009-0000-0000-0000A4000000}"/>
  <hyperlinks>
    <hyperlink ref="A2" r:id="rId1" display="https://www.bseindia.com/stock-share-price/action-construction-equipment-ltd/ace/532762/" xr:uid="{00000000-0004-0000-A400-000000000000}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544455</v>
      </c>
      <c r="B2" s="98" t="s">
        <v>4905</v>
      </c>
      <c r="C2" s="101" t="str">
        <f>VLOOKUP(A2,'BSE ALL CAP'!$B$4:$Y$1038,2,)</f>
        <v>Information Technology</v>
      </c>
      <c r="D2" s="101" t="str">
        <f>VLOOKUP(A2,'BSE ALL CAP'!$B$4:$Y$1038,3,)</f>
        <v>Computers Hardware &amp; Equipments</v>
      </c>
      <c r="E2" s="101">
        <f ca="1">IFERROR(__xludf.DUMMYFUNCTION("GOOGLEFINANCE(""BOM:""&amp;A2,""PRICE"")"),367)</f>
        <v>367</v>
      </c>
      <c r="F2" s="112">
        <f ca="1">IFERROR(__xludf.DUMMYFUNCTION("GOOGLEFINANCE(""BOM:""&amp;A2,""MARKETCAP"")/10000000"),4175.1012691)</f>
        <v>4175.1012690999996</v>
      </c>
      <c r="G2" s="95">
        <f t="shared" ref="G2:G24" ca="1" si="0">F2/$F$26</f>
        <v>0.22918756664961115</v>
      </c>
      <c r="H2" s="101">
        <f>VLOOKUP(A2,'BSE ALL CAP'!$B$4:$Y$1038,7,)</f>
        <v>1239</v>
      </c>
      <c r="I2" s="101">
        <f>VLOOKUP(A2,'BSE ALL CAP'!$B$4:$Y$1038,8,)</f>
        <v>955</v>
      </c>
      <c r="J2" s="101">
        <f>VLOOKUP(A2,'BSE ALL CAP'!$B$4:$Y$1038,9,)</f>
        <v>90</v>
      </c>
      <c r="K2" s="101">
        <f>VLOOKUP(A2,'BSE ALL CAP'!$B$4:$Y$1038,10,)</f>
        <v>54</v>
      </c>
      <c r="L2" s="101">
        <f>VLOOKUP(A2,'BSE ALL CAP'!$B$4:$Y$1038,11,)</f>
        <v>487</v>
      </c>
      <c r="M2" s="101">
        <f>VLOOKUP(A2,'BSE ALL CAP'!$B$4:$Y$1038,12,)</f>
        <v>347</v>
      </c>
      <c r="N2" s="101">
        <f>VLOOKUP(A2,'BSE ALL CAP'!$B$4:$Y$1038,13,)</f>
        <v>39</v>
      </c>
      <c r="O2" s="101">
        <f>VLOOKUP(A2,'BSE ALL CAP'!$B$4:$Y$1038,14,)</f>
        <v>19</v>
      </c>
      <c r="P2" s="95">
        <f>VLOOKUP(A2,'BSE ALL CAP'!$B$4:$Y$1038,15,)</f>
        <v>7.2639225181598058E-2</v>
      </c>
      <c r="Q2" s="95">
        <f>VLOOKUP(A2,'BSE ALL CAP'!$B$4:$Y$1038,16,)</f>
        <v>5.654450261780105E-2</v>
      </c>
      <c r="R2" s="95">
        <f>VLOOKUP(A2,'BSE ALL CAP'!$B$4:$Y$1038,17,)</f>
        <v>1.6094722563797008E-2</v>
      </c>
      <c r="S2" s="95">
        <f>VLOOKUP(A2,'BSE ALL CAP'!$B$4:$Y$1038,18,)</f>
        <v>8.0082135523613956E-2</v>
      </c>
      <c r="T2" s="95">
        <f>VLOOKUP(A2,'BSE ALL CAP'!$B$4:$Y$1038,19,)</f>
        <v>5.4755043227665709E-2</v>
      </c>
      <c r="U2" s="95">
        <f>VLOOKUP(A2,'BSE ALL CAP'!$B$4:$Y$1038,20,)</f>
        <v>2.5327092295948248E-2</v>
      </c>
      <c r="V2" s="95">
        <f>VLOOKUP(A2,'BSE ALL CAP'!$B$4:$Y$1038,21,)</f>
        <v>0.29738219895287954</v>
      </c>
      <c r="W2" s="95">
        <f>VLOOKUP(A2,'BSE ALL CAP'!$B$4:$Y$1038,22,)</f>
        <v>0.66666666666666674</v>
      </c>
      <c r="X2" s="95">
        <f>VLOOKUP(A2,'BSE ALL CAP'!$B$4:$Y$1038,23,)</f>
        <v>0.40345821325648412</v>
      </c>
      <c r="Y2" s="95">
        <f>VLOOKUP(A2,'BSE ALL CAP'!$B$4:$Y$1038,24,)</f>
        <v>1.0526315789473686</v>
      </c>
    </row>
    <row r="3" spans="1:25" ht="15.75" customHeight="1">
      <c r="A3" s="99">
        <v>532407</v>
      </c>
      <c r="B3" s="98" t="s">
        <v>4906</v>
      </c>
      <c r="C3" s="101" t="str">
        <f>VLOOKUP(A3,'BSE ALL CAP'!$B$4:$Y$1038,2,)</f>
        <v>Information Technology</v>
      </c>
      <c r="D3" s="101" t="str">
        <f>VLOOKUP(A3,'BSE ALL CAP'!$B$4:$Y$1038,3,)</f>
        <v>Computers Hardware &amp; Equipments</v>
      </c>
      <c r="E3" s="101">
        <f ca="1">IFERROR(__xludf.DUMMYFUNCTION("GOOGLEFINANCE(""BOM:""&amp;A3,""PRICE"")"),167.05)</f>
        <v>167.05</v>
      </c>
      <c r="F3" s="112">
        <f ca="1">IFERROR(__xludf.DUMMYFUNCTION("GOOGLEFINANCE(""BOM:""&amp;A3,""MARKETCAP"")/10000000"),3237.3710749)</f>
        <v>3237.3710749000002</v>
      </c>
      <c r="G3" s="95">
        <f t="shared" ca="1" si="0"/>
        <v>0.17771190473617129</v>
      </c>
      <c r="H3" s="101">
        <f>VLOOKUP(A3,'BSE ALL CAP'!$B$4:$Y$1038,7,)</f>
        <v>431</v>
      </c>
      <c r="I3" s="101">
        <f>VLOOKUP(A3,'BSE ALL CAP'!$B$4:$Y$1038,8,)</f>
        <v>332</v>
      </c>
      <c r="J3" s="101">
        <f>VLOOKUP(A3,'BSE ALL CAP'!$B$4:$Y$1038,9,)</f>
        <v>27</v>
      </c>
      <c r="K3" s="101">
        <f>VLOOKUP(A3,'BSE ALL CAP'!$B$4:$Y$1038,10,)</f>
        <v>24</v>
      </c>
      <c r="L3" s="101">
        <f>VLOOKUP(A3,'BSE ALL CAP'!$B$4:$Y$1038,11,)</f>
        <v>149</v>
      </c>
      <c r="M3" s="101">
        <f>VLOOKUP(A3,'BSE ALL CAP'!$B$4:$Y$1038,12,)</f>
        <v>126</v>
      </c>
      <c r="N3" s="101">
        <f>VLOOKUP(A3,'BSE ALL CAP'!$B$4:$Y$1038,13,)</f>
        <v>4</v>
      </c>
      <c r="O3" s="101">
        <f>VLOOKUP(A3,'BSE ALL CAP'!$B$4:$Y$1038,14,)</f>
        <v>11</v>
      </c>
      <c r="P3" s="95">
        <f>VLOOKUP(A3,'BSE ALL CAP'!$B$4:$Y$1038,15,)</f>
        <v>6.2645011600928072E-2</v>
      </c>
      <c r="Q3" s="95">
        <f>VLOOKUP(A3,'BSE ALL CAP'!$B$4:$Y$1038,16,)</f>
        <v>7.2289156626506021E-2</v>
      </c>
      <c r="R3" s="95">
        <f>VLOOKUP(A3,'BSE ALL CAP'!$B$4:$Y$1038,17,)</f>
        <v>-9.6441450255779493E-3</v>
      </c>
      <c r="S3" s="95">
        <f>VLOOKUP(A3,'BSE ALL CAP'!$B$4:$Y$1038,18,)</f>
        <v>2.6845637583892617E-2</v>
      </c>
      <c r="T3" s="95">
        <f>VLOOKUP(A3,'BSE ALL CAP'!$B$4:$Y$1038,19,)</f>
        <v>8.7301587301587297E-2</v>
      </c>
      <c r="U3" s="95">
        <f>VLOOKUP(A3,'BSE ALL CAP'!$B$4:$Y$1038,20,)</f>
        <v>-6.0455949717694676E-2</v>
      </c>
      <c r="V3" s="95">
        <f>VLOOKUP(A3,'BSE ALL CAP'!$B$4:$Y$1038,21,)</f>
        <v>0.29819277108433728</v>
      </c>
      <c r="W3" s="95">
        <f>VLOOKUP(A3,'BSE ALL CAP'!$B$4:$Y$1038,22,)</f>
        <v>0.125</v>
      </c>
      <c r="X3" s="95">
        <f>VLOOKUP(A3,'BSE ALL CAP'!$B$4:$Y$1038,23,)</f>
        <v>0.18253968253968256</v>
      </c>
      <c r="Y3" s="95">
        <f>VLOOKUP(A3,'BSE ALL CAP'!$B$4:$Y$1038,24,)</f>
        <v>-0.63636363636363635</v>
      </c>
    </row>
    <row r="4" spans="1:25" ht="15.75" customHeight="1">
      <c r="A4" s="99">
        <v>544119</v>
      </c>
      <c r="B4" s="98" t="s">
        <v>4907</v>
      </c>
      <c r="C4" s="101" t="str">
        <f>VLOOKUP(A4,'BSE ALL CAP'!$B$4:$Y$1038,2,)</f>
        <v>Information Technology</v>
      </c>
      <c r="D4" s="101" t="str">
        <f>VLOOKUP(A4,'BSE ALL CAP'!$B$4:$Y$1038,3,)</f>
        <v>Computers Hardware &amp; Equipments</v>
      </c>
      <c r="E4" s="101">
        <f ca="1">IFERROR(__xludf.DUMMYFUNCTION("GOOGLEFINANCE(""BOM:""&amp;A4,""PRICE"")"),365.05)</f>
        <v>365.05</v>
      </c>
      <c r="F4" s="112">
        <f ca="1">IFERROR(__xludf.DUMMYFUNCTION("GOOGLEFINANCE(""BOM:""&amp;A4,""MARKETCAP"")/10000000"),2419.5063438)</f>
        <v>2419.5063438000002</v>
      </c>
      <c r="G4" s="95">
        <f t="shared" ca="1" si="0"/>
        <v>0.13281612485254857</v>
      </c>
      <c r="H4" s="101">
        <f>VLOOKUP(A4,'BSE ALL CAP'!$B$4:$Y$1038,7,)</f>
        <v>11337</v>
      </c>
      <c r="I4" s="101">
        <f>VLOOKUP(A4,'BSE ALL CAP'!$B$4:$Y$1038,8,)</f>
        <v>10799</v>
      </c>
      <c r="J4" s="101">
        <f>VLOOKUP(A4,'BSE ALL CAP'!$B$4:$Y$1038,9,)</f>
        <v>195</v>
      </c>
      <c r="K4" s="101">
        <f>VLOOKUP(A4,'BSE ALL CAP'!$B$4:$Y$1038,10,)</f>
        <v>156</v>
      </c>
      <c r="L4" s="101">
        <f>VLOOKUP(A4,'BSE ALL CAP'!$B$4:$Y$1038,11,)</f>
        <v>4030</v>
      </c>
      <c r="M4" s="101">
        <f>VLOOKUP(A4,'BSE ALL CAP'!$B$4:$Y$1038,12,)</f>
        <v>2826</v>
      </c>
      <c r="N4" s="101">
        <f>VLOOKUP(A4,'BSE ALL CAP'!$B$4:$Y$1038,13,)</f>
        <v>74</v>
      </c>
      <c r="O4" s="101">
        <f>VLOOKUP(A4,'BSE ALL CAP'!$B$4:$Y$1038,14,)</f>
        <v>32</v>
      </c>
      <c r="P4" s="95">
        <f>VLOOKUP(A4,'BSE ALL CAP'!$B$4:$Y$1038,15,)</f>
        <v>1.7200317544323895E-2</v>
      </c>
      <c r="Q4" s="95">
        <f>VLOOKUP(A4,'BSE ALL CAP'!$B$4:$Y$1038,16,)</f>
        <v>1.4445782016853412E-2</v>
      </c>
      <c r="R4" s="95">
        <f>VLOOKUP(A4,'BSE ALL CAP'!$B$4:$Y$1038,17,)</f>
        <v>2.7545355274704829E-3</v>
      </c>
      <c r="S4" s="95">
        <f>VLOOKUP(A4,'BSE ALL CAP'!$B$4:$Y$1038,18,)</f>
        <v>1.836228287841191E-2</v>
      </c>
      <c r="T4" s="95">
        <f>VLOOKUP(A4,'BSE ALL CAP'!$B$4:$Y$1038,19,)</f>
        <v>1.132342533616419E-2</v>
      </c>
      <c r="U4" s="95">
        <f>VLOOKUP(A4,'BSE ALL CAP'!$B$4:$Y$1038,20,)</f>
        <v>7.0388575422477197E-3</v>
      </c>
      <c r="V4" s="95">
        <f>VLOOKUP(A4,'BSE ALL CAP'!$B$4:$Y$1038,21,)</f>
        <v>4.9819427724789422E-2</v>
      </c>
      <c r="W4" s="95">
        <f>VLOOKUP(A4,'BSE ALL CAP'!$B$4:$Y$1038,22,)</f>
        <v>0.25</v>
      </c>
      <c r="X4" s="95">
        <f>VLOOKUP(A4,'BSE ALL CAP'!$B$4:$Y$1038,23,)</f>
        <v>0.42604387827317769</v>
      </c>
      <c r="Y4" s="95">
        <f>VLOOKUP(A4,'BSE ALL CAP'!$B$4:$Y$1038,24,)</f>
        <v>1.3125</v>
      </c>
    </row>
    <row r="5" spans="1:25" ht="15.75" customHeight="1">
      <c r="A5" s="99">
        <v>533146</v>
      </c>
      <c r="B5" s="98" t="s">
        <v>4908</v>
      </c>
      <c r="C5" s="101" t="e">
        <f>VLOOKUP(A5,'BSE ALL CAP'!$B$4:$Y$1038,2,)</f>
        <v>#N/A</v>
      </c>
      <c r="D5" s="101" t="e">
        <f>VLOOKUP(A5,'BSE ALL CAP'!$B$4:$Y$1038,3,)</f>
        <v>#N/A</v>
      </c>
      <c r="E5" s="101">
        <f ca="1">IFERROR(__xludf.DUMMYFUNCTION("GOOGLEFINANCE(""BOM:""&amp;A5,""PRICE"")"),407.95)</f>
        <v>407.95</v>
      </c>
      <c r="F5" s="112">
        <f ca="1">IFERROR(__xludf.DUMMYFUNCTION("GOOGLEFINANCE(""BOM:""&amp;A5,""MARKETCAP"")/10000000"),1445.579946)</f>
        <v>1445.5799460000001</v>
      </c>
      <c r="G5" s="95">
        <f t="shared" ca="1" si="0"/>
        <v>7.9353512374236254E-2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504112</v>
      </c>
      <c r="B6" s="98" t="s">
        <v>4909</v>
      </c>
      <c r="C6" s="101" t="e">
        <f>VLOOKUP(A6,'BSE ALL CAP'!$B$4:$Y$1038,2,)</f>
        <v>#N/A</v>
      </c>
      <c r="D6" s="101" t="e">
        <f>VLOOKUP(A6,'BSE ALL CAP'!$B$4:$Y$1038,3,)</f>
        <v>#N/A</v>
      </c>
      <c r="E6" s="101">
        <f ca="1">IFERROR(__xludf.DUMMYFUNCTION("GOOGLEFINANCE(""BOM:""&amp;A6,""PRICE"")"),600.65)</f>
        <v>600.65</v>
      </c>
      <c r="F6" s="112">
        <f ca="1">IFERROR(__xludf.DUMMYFUNCTION("GOOGLEFINANCE(""BOM:""&amp;A6,""MARKETCAP"")/10000000"),1372.5261585)</f>
        <v>1372.5261585000001</v>
      </c>
      <c r="G6" s="95">
        <f t="shared" ca="1" si="0"/>
        <v>7.5343305504386601E-2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544523</v>
      </c>
      <c r="B7" s="98" t="s">
        <v>4910</v>
      </c>
      <c r="C7" s="101" t="e">
        <f>VLOOKUP(A7,'BSE ALL CAP'!$B$4:$Y$1038,2,)</f>
        <v>#N/A</v>
      </c>
      <c r="D7" s="101" t="e">
        <f>VLOOKUP(A7,'BSE ALL CAP'!$B$4:$Y$1038,3,)</f>
        <v>#N/A</v>
      </c>
      <c r="E7" s="101">
        <f ca="1">IFERROR(__xludf.DUMMYFUNCTION("GOOGLEFINANCE(""BOM:""&amp;A7,""PRICE"")"),233.55)</f>
        <v>233.55</v>
      </c>
      <c r="F7" s="112">
        <f ca="1">IFERROR(__xludf.DUMMYFUNCTION("GOOGLEFINANCE(""BOM:""&amp;A7,""MARKETCAP"")/10000000"),1267.424352)</f>
        <v>1267.424352</v>
      </c>
      <c r="G7" s="95">
        <f t="shared" ca="1" si="0"/>
        <v>6.9573858075532791E-2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522295</v>
      </c>
      <c r="B8" s="98" t="s">
        <v>4911</v>
      </c>
      <c r="C8" s="101" t="e">
        <f>VLOOKUP(A8,'BSE ALL CAP'!$B$4:$Y$1038,2,)</f>
        <v>#N/A</v>
      </c>
      <c r="D8" s="101" t="e">
        <f>VLOOKUP(A8,'BSE ALL CAP'!$B$4:$Y$1038,3,)</f>
        <v>#N/A</v>
      </c>
      <c r="E8" s="101">
        <f ca="1">IFERROR(__xludf.DUMMYFUNCTION("GOOGLEFINANCE(""BOM:""&amp;A8,""PRICE"")"),592.6)</f>
        <v>592.6</v>
      </c>
      <c r="F8" s="112">
        <f ca="1">IFERROR(__xludf.DUMMYFUNCTION("GOOGLEFINANCE(""BOM:""&amp;A8,""MARKETCAP"")/10000000"),950.056074)</f>
        <v>950.05607399999997</v>
      </c>
      <c r="G8" s="95">
        <f t="shared" ca="1" si="0"/>
        <v>5.2152277453064021E-2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521238</v>
      </c>
      <c r="B9" s="98" t="s">
        <v>4912</v>
      </c>
      <c r="C9" s="101" t="e">
        <f>VLOOKUP(A9,'BSE ALL CAP'!$B$4:$Y$1038,2,)</f>
        <v>#N/A</v>
      </c>
      <c r="D9" s="101" t="e">
        <f>VLOOKUP(A9,'BSE ALL CAP'!$B$4:$Y$1038,3,)</f>
        <v>#N/A</v>
      </c>
      <c r="E9" s="101">
        <f ca="1">IFERROR(__xludf.DUMMYFUNCTION("GOOGLEFINANCE(""BOM:""&amp;A9,""PRICE"")"),91.18)</f>
        <v>91.18</v>
      </c>
      <c r="F9" s="112">
        <f ca="1">IFERROR(__xludf.DUMMYFUNCTION("GOOGLEFINANCE(""BOM:""&amp;A9,""MARKETCAP"")/10000000"),923.2850358)</f>
        <v>923.28503579999995</v>
      </c>
      <c r="G9" s="95">
        <f t="shared" ca="1" si="0"/>
        <v>5.0682710918917559E-2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532513</v>
      </c>
      <c r="B10" s="98" t="s">
        <v>4913</v>
      </c>
      <c r="C10" s="101" t="e">
        <f>VLOOKUP(A10,'BSE ALL CAP'!$B$4:$Y$1038,2,)</f>
        <v>#N/A</v>
      </c>
      <c r="D10" s="101" t="e">
        <f>VLOOKUP(A10,'BSE ALL CAP'!$B$4:$Y$1038,3,)</f>
        <v>#N/A</v>
      </c>
      <c r="E10" s="101">
        <f ca="1">IFERROR(__xludf.DUMMYFUNCTION("GOOGLEFINANCE(""BOM:""&amp;A10,""PRICE"")"),391.5)</f>
        <v>391.5</v>
      </c>
      <c r="F10" s="112">
        <f ca="1">IFERROR(__xludf.DUMMYFUNCTION("GOOGLEFINANCE(""BOM:""&amp;A10,""MARKETCAP"")/10000000"),729.1338922)</f>
        <v>729.13389219999999</v>
      </c>
      <c r="G10" s="95">
        <f t="shared" ca="1" si="0"/>
        <v>4.0024998615446852E-2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543636</v>
      </c>
      <c r="B11" s="98" t="s">
        <v>4914</v>
      </c>
      <c r="C11" s="101" t="e">
        <f>VLOOKUP(A11,'BSE ALL CAP'!$B$4:$Y$1038,2,)</f>
        <v>#N/A</v>
      </c>
      <c r="D11" s="101" t="e">
        <f>VLOOKUP(A11,'BSE ALL CAP'!$B$4:$Y$1038,3,)</f>
        <v>#N/A</v>
      </c>
      <c r="E11" s="101">
        <f ca="1">IFERROR(__xludf.DUMMYFUNCTION("GOOGLEFINANCE(""BOM:""&amp;A11,""PRICE"")"),354.6)</f>
        <v>354.6</v>
      </c>
      <c r="F11" s="112">
        <f ca="1">IFERROR(__xludf.DUMMYFUNCTION("GOOGLEFINANCE(""BOM:""&amp;A11,""MARKETCAP"")/10000000"),582.0359899)</f>
        <v>582.0359899</v>
      </c>
      <c r="G11" s="95">
        <f t="shared" ca="1" si="0"/>
        <v>3.1950221953881815E-2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500179</v>
      </c>
      <c r="B12" s="98" t="s">
        <v>4915</v>
      </c>
      <c r="C12" s="101" t="e">
        <f>VLOOKUP(A12,'BSE ALL CAP'!$B$4:$Y$1038,2,)</f>
        <v>#N/A</v>
      </c>
      <c r="D12" s="101" t="e">
        <f>VLOOKUP(A12,'BSE ALL CAP'!$B$4:$Y$1038,3,)</f>
        <v>#N/A</v>
      </c>
      <c r="E12" s="101">
        <f ca="1">IFERROR(__xludf.DUMMYFUNCTION("GOOGLEFINANCE(""BOM:""&amp;A12,""PRICE"")"),11.66)</f>
        <v>11.66</v>
      </c>
      <c r="F12" s="112">
        <f ca="1">IFERROR(__xludf.DUMMYFUNCTION("GOOGLEFINANCE(""BOM:""&amp;A12,""MARKETCAP"")/10000000"),384.8463592)</f>
        <v>384.84635919999999</v>
      </c>
      <c r="G12" s="95">
        <f t="shared" ca="1" si="0"/>
        <v>2.1125715261518276E-2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517246</v>
      </c>
      <c r="B13" s="98" t="s">
        <v>4916</v>
      </c>
      <c r="C13" s="101" t="e">
        <f>VLOOKUP(A13,'BSE ALL CAP'!$B$4:$Y$1038,2,)</f>
        <v>#N/A</v>
      </c>
      <c r="D13" s="101" t="e">
        <f>VLOOKUP(A13,'BSE ALL CAP'!$B$4:$Y$1038,3,)</f>
        <v>#N/A</v>
      </c>
      <c r="E13" s="101">
        <f ca="1">IFERROR(__xludf.DUMMYFUNCTION("GOOGLEFINANCE(""BOM:""&amp;A13,""PRICE"")"),121.6)</f>
        <v>121.6</v>
      </c>
      <c r="F13" s="112">
        <f ca="1">IFERROR(__xludf.DUMMYFUNCTION("GOOGLEFINANCE(""BOM:""&amp;A13,""MARKETCAP"")/10000000"),242.0212065)</f>
        <v>242.02120650000001</v>
      </c>
      <c r="G13" s="95">
        <f t="shared" ca="1" si="0"/>
        <v>1.328548646373193E-2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544177</v>
      </c>
      <c r="B14" s="98" t="s">
        <v>4917</v>
      </c>
      <c r="C14" s="101" t="e">
        <f>VLOOKUP(A14,'BSE ALL CAP'!$B$4:$Y$1038,2,)</f>
        <v>#N/A</v>
      </c>
      <c r="D14" s="101" t="e">
        <f>VLOOKUP(A14,'BSE ALL CAP'!$B$4:$Y$1038,3,)</f>
        <v>#N/A</v>
      </c>
      <c r="E14" s="101">
        <f ca="1">IFERROR(__xludf.DUMMYFUNCTION("GOOGLEFINANCE(""BOM:""&amp;A14,""PRICE"")"),85.99)</f>
        <v>85.99</v>
      </c>
      <c r="F14" s="112">
        <f ca="1">IFERROR(__xludf.DUMMYFUNCTION("GOOGLEFINANCE(""BOM:""&amp;A14,""MARKETCAP"")/10000000"),116.946397)</f>
        <v>116.946397</v>
      </c>
      <c r="G14" s="95">
        <f t="shared" ca="1" si="0"/>
        <v>6.4196431246437927E-3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532419</v>
      </c>
      <c r="B15" s="98" t="s">
        <v>4918</v>
      </c>
      <c r="C15" s="101" t="e">
        <f>VLOOKUP(A15,'BSE ALL CAP'!$B$4:$Y$1038,2,)</f>
        <v>#N/A</v>
      </c>
      <c r="D15" s="101" t="e">
        <f>VLOOKUP(A15,'BSE ALL CAP'!$B$4:$Y$1038,3,)</f>
        <v>#N/A</v>
      </c>
      <c r="E15" s="101">
        <f ca="1">IFERROR(__xludf.DUMMYFUNCTION("GOOGLEFINANCE(""BOM:""&amp;A15,""PRICE"")"),120)</f>
        <v>120</v>
      </c>
      <c r="F15" s="112">
        <f ca="1">IFERROR(__xludf.DUMMYFUNCTION("GOOGLEFINANCE(""BOM:""&amp;A15,""MARKETCAP"")/10000000"),119.5503734)</f>
        <v>119.5503734</v>
      </c>
      <c r="G15" s="95">
        <f t="shared" ca="1" si="0"/>
        <v>6.5625855292139367E-3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517393</v>
      </c>
      <c r="B16" s="98" t="s">
        <v>4919</v>
      </c>
      <c r="C16" s="101" t="e">
        <f>VLOOKUP(A16,'BSE ALL CAP'!$B$4:$Y$1038,2,)</f>
        <v>#N/A</v>
      </c>
      <c r="D16" s="101" t="e">
        <f>VLOOKUP(A16,'BSE ALL CAP'!$B$4:$Y$1038,3,)</f>
        <v>#N/A</v>
      </c>
      <c r="E16" s="101">
        <f ca="1">IFERROR(__xludf.DUMMYFUNCTION("GOOGLEFINANCE(""BOM:""&amp;A16,""PRICE"")"),6.02)</f>
        <v>6.02</v>
      </c>
      <c r="F16" s="112">
        <f ca="1">IFERROR(__xludf.DUMMYFUNCTION("GOOGLEFINANCE(""BOM:""&amp;A16,""MARKETCAP"")/10000000"),88.0740445)</f>
        <v>88.074044499999999</v>
      </c>
      <c r="G16" s="95">
        <f t="shared" ca="1" si="0"/>
        <v>4.8347272659797838E-3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532413</v>
      </c>
      <c r="B17" s="98" t="s">
        <v>4920</v>
      </c>
      <c r="C17" s="101" t="e">
        <f>VLOOKUP(A17,'BSE ALL CAP'!$B$4:$Y$1038,2,)</f>
        <v>#N/A</v>
      </c>
      <c r="D17" s="101" t="e">
        <f>VLOOKUP(A17,'BSE ALL CAP'!$B$4:$Y$1038,3,)</f>
        <v>#N/A</v>
      </c>
      <c r="E17" s="101">
        <f ca="1">IFERROR(__xludf.DUMMYFUNCTION("GOOGLEFINANCE(""BOM:""&amp;A17,""PRICE"")"),4.28)</f>
        <v>4.28</v>
      </c>
      <c r="F17" s="112">
        <f ca="1">IFERROR(__xludf.DUMMYFUNCTION("GOOGLEFINANCE(""BOM:""&amp;A17,""MARKETCAP"")/10000000"),51.6254091)</f>
        <v>51.625409099999999</v>
      </c>
      <c r="G17" s="95">
        <f t="shared" ca="1" si="0"/>
        <v>2.8339197366271836E-3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517264</v>
      </c>
      <c r="B18" s="98" t="s">
        <v>4921</v>
      </c>
      <c r="C18" s="101" t="e">
        <f>VLOOKUP(A18,'BSE ALL CAP'!$B$4:$Y$1038,2,)</f>
        <v>#N/A</v>
      </c>
      <c r="D18" s="101" t="e">
        <f>VLOOKUP(A18,'BSE ALL CAP'!$B$4:$Y$1038,3,)</f>
        <v>#N/A</v>
      </c>
      <c r="E18" s="101">
        <f ca="1">IFERROR(__xludf.DUMMYFUNCTION("GOOGLEFINANCE(""BOM:""&amp;A18,""PRICE"")"),78.16)</f>
        <v>78.16</v>
      </c>
      <c r="F18" s="112">
        <f ca="1">IFERROR(__xludf.DUMMYFUNCTION("GOOGLEFINANCE(""BOM:""&amp;A18,""MARKETCAP"")/10000000"),37.5776571)</f>
        <v>37.577657100000003</v>
      </c>
      <c r="G18" s="95">
        <f t="shared" ca="1" si="0"/>
        <v>2.0627839269151405E-3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512175</v>
      </c>
      <c r="B19" s="98" t="s">
        <v>4922</v>
      </c>
      <c r="C19" s="101" t="e">
        <f>VLOOKUP(A19,'BSE ALL CAP'!$B$4:$Y$1038,2,)</f>
        <v>#N/A</v>
      </c>
      <c r="D19" s="101" t="e">
        <f>VLOOKUP(A19,'BSE ALL CAP'!$B$4:$Y$1038,3,)</f>
        <v>#N/A</v>
      </c>
      <c r="E19" s="101">
        <f ca="1">IFERROR(__xludf.DUMMYFUNCTION("GOOGLEFINANCE(""BOM:""&amp;A19,""PRICE"")"),3.26)</f>
        <v>3.26</v>
      </c>
      <c r="F19" s="112">
        <f ca="1">IFERROR(__xludf.DUMMYFUNCTION("GOOGLEFINANCE(""BOM:""&amp;A19,""MARKETCAP"")/10000000"),17.1280399)</f>
        <v>17.128039900000001</v>
      </c>
      <c r="G19" s="95">
        <f t="shared" ca="1" si="0"/>
        <v>9.4022480729063888E-4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517356</v>
      </c>
      <c r="B20" s="98" t="s">
        <v>4923</v>
      </c>
      <c r="C20" s="101" t="e">
        <f>VLOOKUP(A20,'BSE ALL CAP'!$B$4:$Y$1038,2,)</f>
        <v>#N/A</v>
      </c>
      <c r="D20" s="101" t="e">
        <f>VLOOKUP(A20,'BSE ALL CAP'!$B$4:$Y$1038,3,)</f>
        <v>#N/A</v>
      </c>
      <c r="E20" s="101">
        <f ca="1">IFERROR(__xludf.DUMMYFUNCTION("GOOGLEFINANCE(""BOM:""&amp;A20,""PRICE"")"),1.25)</f>
        <v>1.25</v>
      </c>
      <c r="F20" s="112">
        <f ca="1">IFERROR(__xludf.DUMMYFUNCTION("GOOGLEFINANCE(""BOM:""&amp;A20,""MARKETCAP"")/10000000"),13.8113625)</f>
        <v>13.8113625</v>
      </c>
      <c r="G20" s="95">
        <f t="shared" ca="1" si="0"/>
        <v>7.5815946954815633E-4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544101</v>
      </c>
      <c r="B21" s="98" t="s">
        <v>4924</v>
      </c>
      <c r="C21" s="101" t="e">
        <f>VLOOKUP(A21,'BSE ALL CAP'!$B$4:$Y$1038,2,)</f>
        <v>#N/A</v>
      </c>
      <c r="D21" s="101" t="e">
        <f>VLOOKUP(A21,'BSE ALL CAP'!$B$4:$Y$1038,3,)</f>
        <v>#N/A</v>
      </c>
      <c r="E21" s="101">
        <f ca="1">IFERROR(__xludf.DUMMYFUNCTION("GOOGLEFINANCE(""BOM:""&amp;A21,""PRICE"")"),68)</f>
        <v>68</v>
      </c>
      <c r="F21" s="112">
        <f ca="1">IFERROR(__xludf.DUMMYFUNCTION("GOOGLEFINANCE(""BOM:""&amp;A21,""MARKETCAP"")/10000000"),13.6)</f>
        <v>13.6</v>
      </c>
      <c r="G21" s="95">
        <f t="shared" ca="1" si="0"/>
        <v>7.4655695887027257E-4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507833</v>
      </c>
      <c r="B22" s="98" t="s">
        <v>4925</v>
      </c>
      <c r="C22" s="101" t="e">
        <f>VLOOKUP(A22,'BSE ALL CAP'!$B$4:$Y$1038,2,)</f>
        <v>#N/A</v>
      </c>
      <c r="D22" s="101" t="e">
        <f>VLOOKUP(A22,'BSE ALL CAP'!$B$4:$Y$1038,3,)</f>
        <v>#N/A</v>
      </c>
      <c r="E22" s="101">
        <f ca="1">IFERROR(__xludf.DUMMYFUNCTION("GOOGLEFINANCE(""BOM:""&amp;A22,""PRICE"")"),3.93)</f>
        <v>3.93</v>
      </c>
      <c r="F22" s="112">
        <f ca="1">IFERROR(__xludf.DUMMYFUNCTION("GOOGLEFINANCE(""BOM:""&amp;A22,""MARKETCAP"")/10000000"),11.7905071)</f>
        <v>11.790507099999999</v>
      </c>
      <c r="G22" s="95">
        <f t="shared" ca="1" si="0"/>
        <v>6.472268473613498E-4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536672</v>
      </c>
      <c r="B23" s="98" t="s">
        <v>4926</v>
      </c>
      <c r="C23" s="101" t="e">
        <f>VLOOKUP(A23,'BSE ALL CAP'!$B$4:$Y$1038,2,)</f>
        <v>#N/A</v>
      </c>
      <c r="D23" s="101" t="e">
        <f>VLOOKUP(A23,'BSE ALL CAP'!$B$4:$Y$1038,3,)</f>
        <v>#N/A</v>
      </c>
      <c r="E23" s="101">
        <f ca="1">IFERROR(__xludf.DUMMYFUNCTION("GOOGLEFINANCE(""BOM:""&amp;A23,""PRICE"")"),5.95)</f>
        <v>5.95</v>
      </c>
      <c r="F23" s="112">
        <f ca="1">IFERROR(__xludf.DUMMYFUNCTION("GOOGLEFINANCE(""BOM:""&amp;A23,""MARKETCAP"")/10000000"),9.2224997)</f>
        <v>9.2224997000000002</v>
      </c>
      <c r="G23" s="95">
        <f t="shared" ca="1" si="0"/>
        <v>5.0625892126573546E-4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532456</v>
      </c>
      <c r="B24" s="98" t="s">
        <v>4927</v>
      </c>
      <c r="C24" s="101" t="e">
        <f>VLOOKUP(A24,'BSE ALL CAP'!$B$4:$Y$1038,2,)</f>
        <v>#N/A</v>
      </c>
      <c r="D24" s="101" t="e">
        <f>VLOOKUP(A24,'BSE ALL CAP'!$B$4:$Y$1038,3,)</f>
        <v>#N/A</v>
      </c>
      <c r="E24" s="101">
        <f ca="1">IFERROR(__xludf.DUMMYFUNCTION("GOOGLEFINANCE(""BOM:""&amp;A24,""PRICE"")"),1.05)</f>
        <v>1.05</v>
      </c>
      <c r="F24" s="112">
        <f ca="1">IFERROR(__xludf.DUMMYFUNCTION("GOOGLEFINANCE(""BOM:""&amp;A24,""MARKETCAP"")/10000000"),8.7483419)</f>
        <v>8.7483418999999998</v>
      </c>
      <c r="G24" s="95">
        <f t="shared" ca="1" si="0"/>
        <v>4.8023055323686637E-4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3.2">
      <c r="A25" s="101"/>
      <c r="B25" s="101"/>
      <c r="C25" s="101"/>
      <c r="D25" s="101"/>
      <c r="E25" s="101"/>
      <c r="F25" s="112"/>
      <c r="G25" s="95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3.2">
      <c r="A26" s="101"/>
      <c r="B26" s="101"/>
      <c r="C26" s="101"/>
      <c r="D26" s="101"/>
      <c r="E26" s="101"/>
      <c r="F26" s="112">
        <f ca="1">SUM(F1:F24)</f>
        <v>18216.962334100001</v>
      </c>
      <c r="G26" s="95">
        <f ca="1">F26/$F$26</f>
        <v>1</v>
      </c>
      <c r="H26" s="101">
        <f t="shared" ref="H26:O26" si="1">SUM(H2:H24)</f>
        <v>13007</v>
      </c>
      <c r="I26" s="101">
        <f t="shared" si="1"/>
        <v>12086</v>
      </c>
      <c r="J26" s="101">
        <f t="shared" si="1"/>
        <v>312</v>
      </c>
      <c r="K26" s="101">
        <f t="shared" si="1"/>
        <v>234</v>
      </c>
      <c r="L26" s="101">
        <f t="shared" si="1"/>
        <v>4666</v>
      </c>
      <c r="M26" s="101">
        <f t="shared" si="1"/>
        <v>3299</v>
      </c>
      <c r="N26" s="101">
        <f t="shared" si="1"/>
        <v>117</v>
      </c>
      <c r="O26" s="101">
        <f t="shared" si="1"/>
        <v>62</v>
      </c>
      <c r="P26" s="95">
        <f t="shared" ref="P26:Q26" si="2">J26/H26</f>
        <v>2.3987083877911895E-2</v>
      </c>
      <c r="Q26" s="95">
        <f t="shared" si="2"/>
        <v>1.9361244415025649E-2</v>
      </c>
      <c r="R26" s="95">
        <f>P26-Q26</f>
        <v>4.6258394628862463E-3</v>
      </c>
      <c r="S26" s="95">
        <f t="shared" ref="S26:T26" si="3">N26/L26</f>
        <v>2.5075010715816547E-2</v>
      </c>
      <c r="T26" s="95">
        <f t="shared" si="3"/>
        <v>1.8793573810245528E-2</v>
      </c>
      <c r="U26" s="95">
        <f>S26-T26</f>
        <v>6.2814369055710188E-3</v>
      </c>
      <c r="V26" s="95">
        <f>(H26/I26)-1</f>
        <v>7.620387224888292E-2</v>
      </c>
      <c r="W26" s="95">
        <f>(J26/K26)-1</f>
        <v>0.33333333333333326</v>
      </c>
      <c r="X26" s="95">
        <f>(L26/M26)-1</f>
        <v>0.41436799030009097</v>
      </c>
      <c r="Y26" s="95">
        <f>(N26/O26)-1</f>
        <v>0.88709677419354849</v>
      </c>
    </row>
    <row r="27" spans="1:25" ht="13.2">
      <c r="F27" s="94"/>
    </row>
    <row r="28" spans="1:25" ht="13.2">
      <c r="F28" s="94"/>
    </row>
    <row r="29" spans="1:25" ht="13.2">
      <c r="F29" s="94"/>
    </row>
    <row r="30" spans="1:25" ht="13.2">
      <c r="F30" s="94"/>
    </row>
    <row r="31" spans="1:25" ht="13.2">
      <c r="F31" s="94"/>
    </row>
    <row r="32" spans="1:25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24" xr:uid="{00000000-0009-0000-0000-0000A5000000}"/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532540</v>
      </c>
      <c r="B2" s="98" t="s">
        <v>1413</v>
      </c>
      <c r="C2" s="101" t="str">
        <f>VLOOKUP(A2,'BSE ALL CAP'!$B$4:$Y$1038,2,)</f>
        <v>Information Technology</v>
      </c>
      <c r="D2" s="101" t="str">
        <f>VLOOKUP(A2,'BSE ALL CAP'!$B$4:$Y$1038,3,)</f>
        <v>Computers - Software &amp; Consulting</v>
      </c>
      <c r="E2" s="101">
        <f ca="1">IFERROR(__xludf.DUMMYFUNCTION("GOOGLEFINANCE(""bom:""&amp;A2,""price"")"),2472.6)</f>
        <v>2472.6</v>
      </c>
      <c r="F2" s="112">
        <f ca="1">IFERROR(__xludf.DUMMYFUNCTION("GOOGLEFINANCE(""BOM:""&amp;A2,""MARKETCAP"")/10000000"),894572.01075)</f>
        <v>894572.01075000002</v>
      </c>
      <c r="G2" s="95">
        <f t="shared" ref="G2:G93" ca="1" si="0">F2/$F$95</f>
        <v>0.34215868066495952</v>
      </c>
      <c r="H2" s="101">
        <f>VLOOKUP(A2,'BSE ALL CAP'!$B$4:$Y$1038,7,)</f>
        <v>196323</v>
      </c>
      <c r="I2" s="101">
        <f>VLOOKUP(A2,'BSE ALL CAP'!$B$4:$Y$1038,8,)</f>
        <v>190845</v>
      </c>
      <c r="J2" s="101">
        <f>VLOOKUP(A2,'BSE ALL CAP'!$B$4:$Y$1038,9,)</f>
        <v>35670</v>
      </c>
      <c r="K2" s="101">
        <f>VLOOKUP(A2,'BSE ALL CAP'!$B$4:$Y$1038,10,)</f>
        <v>36504</v>
      </c>
      <c r="L2" s="101">
        <f>VLOOKUP(A2,'BSE ALL CAP'!$B$4:$Y$1038,11,)</f>
        <v>67087</v>
      </c>
      <c r="M2" s="101">
        <f>VLOOKUP(A2,'BSE ALL CAP'!$B$4:$Y$1038,12,)</f>
        <v>63973</v>
      </c>
      <c r="N2" s="101">
        <f>VLOOKUP(A2,'BSE ALL CAP'!$B$4:$Y$1038,13,)</f>
        <v>10720</v>
      </c>
      <c r="O2" s="101">
        <f>VLOOKUP(A2,'BSE ALL CAP'!$B$4:$Y$1038,14,)</f>
        <v>12444</v>
      </c>
      <c r="P2" s="95">
        <f>VLOOKUP(A2,'BSE ALL CAP'!$B$4:$Y$1038,15,)</f>
        <v>0.18169037759202947</v>
      </c>
      <c r="Q2" s="95">
        <f>VLOOKUP(A2,'BSE ALL CAP'!$B$4:$Y$1038,16,)</f>
        <v>0.19127564253713747</v>
      </c>
      <c r="R2" s="95">
        <f>VLOOKUP(A2,'BSE ALL CAP'!$B$4:$Y$1038,17,)</f>
        <v>-9.5852649451080019E-3</v>
      </c>
      <c r="S2" s="95">
        <f>VLOOKUP(A2,'BSE ALL CAP'!$B$4:$Y$1038,18,)</f>
        <v>0.1597925082355747</v>
      </c>
      <c r="T2" s="95">
        <f>VLOOKUP(A2,'BSE ALL CAP'!$B$4:$Y$1038,19,)</f>
        <v>0.19451956294061556</v>
      </c>
      <c r="U2" s="95">
        <f>VLOOKUP(A2,'BSE ALL CAP'!$B$4:$Y$1038,20,)</f>
        <v>-3.4727054705040866E-2</v>
      </c>
      <c r="V2" s="95">
        <f>VLOOKUP(A2,'BSE ALL CAP'!$B$4:$Y$1038,21,)</f>
        <v>2.8703922030967499E-2</v>
      </c>
      <c r="W2" s="95">
        <f>VLOOKUP(A2,'BSE ALL CAP'!$B$4:$Y$1038,22,)</f>
        <v>-2.2846811308349757E-2</v>
      </c>
      <c r="X2" s="95">
        <f>VLOOKUP(A2,'BSE ALL CAP'!$B$4:$Y$1038,23,)</f>
        <v>4.8676785518890764E-2</v>
      </c>
      <c r="Y2" s="95">
        <f>VLOOKUP(A2,'BSE ALL CAP'!$B$4:$Y$1038,24,)</f>
        <v>-0.13854066216650596</v>
      </c>
    </row>
    <row r="3" spans="1:25" ht="15.75" customHeight="1">
      <c r="A3" s="99">
        <v>500209</v>
      </c>
      <c r="B3" s="98" t="s">
        <v>4928</v>
      </c>
      <c r="C3" s="101" t="str">
        <f>VLOOKUP(A3,'BSE ALL CAP'!$B$4:$Y$1038,2,)</f>
        <v>Information Technology</v>
      </c>
      <c r="D3" s="101" t="str">
        <f>VLOOKUP(A3,'BSE ALL CAP'!$B$4:$Y$1038,3,)</f>
        <v>Computers - Software &amp; Consulting</v>
      </c>
      <c r="E3" s="101">
        <f ca="1">IFERROR(__xludf.DUMMYFUNCTION("GOOGLEFINANCE(""bom:""&amp;A3,""price"")"),1306.65)</f>
        <v>1306.6500000000001</v>
      </c>
      <c r="F3" s="112">
        <f ca="1">IFERROR(__xludf.DUMMYFUNCTION("GOOGLEFINANCE(""BOM:""&amp;A3,""MARKETCAP"")/10000000"),528527.3303905)</f>
        <v>528527.33039050002</v>
      </c>
      <c r="G3" s="95">
        <f t="shared" ca="1" si="0"/>
        <v>0.20215277461025419</v>
      </c>
      <c r="H3" s="101">
        <f>VLOOKUP(A3,'BSE ALL CAP'!$B$4:$Y$1038,7,)</f>
        <v>132248</v>
      </c>
      <c r="I3" s="101">
        <f>VLOOKUP(A3,'BSE ALL CAP'!$B$4:$Y$1038,8,)</f>
        <v>122064</v>
      </c>
      <c r="J3" s="101">
        <f>VLOOKUP(A3,'BSE ALL CAP'!$B$4:$Y$1038,9,)</f>
        <v>20965</v>
      </c>
      <c r="K3" s="101">
        <f>VLOOKUP(A3,'BSE ALL CAP'!$B$4:$Y$1038,10,)</f>
        <v>19712</v>
      </c>
      <c r="L3" s="101">
        <f>VLOOKUP(A3,'BSE ALL CAP'!$B$4:$Y$1038,11,)</f>
        <v>45479</v>
      </c>
      <c r="M3" s="101">
        <f>VLOOKUP(A3,'BSE ALL CAP'!$B$4:$Y$1038,12,)</f>
        <v>41764</v>
      </c>
      <c r="N3" s="101">
        <f>VLOOKUP(A3,'BSE ALL CAP'!$B$4:$Y$1038,13,)</f>
        <v>6666</v>
      </c>
      <c r="O3" s="101">
        <f>VLOOKUP(A3,'BSE ALL CAP'!$B$4:$Y$1038,14,)</f>
        <v>6822</v>
      </c>
      <c r="P3" s="95">
        <f>VLOOKUP(A3,'BSE ALL CAP'!$B$4:$Y$1038,15,)</f>
        <v>0.15852791724638557</v>
      </c>
      <c r="Q3" s="95">
        <f>VLOOKUP(A3,'BSE ALL CAP'!$B$4:$Y$1038,16,)</f>
        <v>0.16148905492200813</v>
      </c>
      <c r="R3" s="95">
        <f>VLOOKUP(A3,'BSE ALL CAP'!$B$4:$Y$1038,17,)</f>
        <v>-2.9611376756225605E-3</v>
      </c>
      <c r="S3" s="95">
        <f>VLOOKUP(A3,'BSE ALL CAP'!$B$4:$Y$1038,18,)</f>
        <v>0.14657314364871699</v>
      </c>
      <c r="T3" s="95">
        <f>VLOOKUP(A3,'BSE ALL CAP'!$B$4:$Y$1038,19,)</f>
        <v>0.16334642275644096</v>
      </c>
      <c r="U3" s="95">
        <f>VLOOKUP(A3,'BSE ALL CAP'!$B$4:$Y$1038,20,)</f>
        <v>-1.6773279107723971E-2</v>
      </c>
      <c r="V3" s="95">
        <f>VLOOKUP(A3,'BSE ALL CAP'!$B$4:$Y$1038,21,)</f>
        <v>8.3431642417092666E-2</v>
      </c>
      <c r="W3" s="95">
        <f>VLOOKUP(A3,'BSE ALL CAP'!$B$4:$Y$1038,22,)</f>
        <v>6.3565340909090828E-2</v>
      </c>
      <c r="X3" s="95">
        <f>VLOOKUP(A3,'BSE ALL CAP'!$B$4:$Y$1038,23,)</f>
        <v>8.8952207642946091E-2</v>
      </c>
      <c r="Y3" s="95">
        <f>VLOOKUP(A3,'BSE ALL CAP'!$B$4:$Y$1038,24,)</f>
        <v>-2.2867194371152144E-2</v>
      </c>
    </row>
    <row r="4" spans="1:25" ht="15.75" customHeight="1">
      <c r="A4" s="99">
        <v>532281</v>
      </c>
      <c r="B4" s="98" t="s">
        <v>4929</v>
      </c>
      <c r="C4" s="101" t="str">
        <f>VLOOKUP(A4,'BSE ALL CAP'!$B$4:$Y$1038,2,)</f>
        <v>Information Technology</v>
      </c>
      <c r="D4" s="101" t="str">
        <f>VLOOKUP(A4,'BSE ALL CAP'!$B$4:$Y$1038,3,)</f>
        <v>Computers - Software &amp; Consulting</v>
      </c>
      <c r="E4" s="101">
        <f ca="1">IFERROR(__xludf.DUMMYFUNCTION("GOOGLEFINANCE(""bom:""&amp;A4,""price"")"),1404)</f>
        <v>1404</v>
      </c>
      <c r="F4" s="112">
        <f ca="1">IFERROR(__xludf.DUMMYFUNCTION("GOOGLEFINANCE(""BOM:""&amp;A4,""MARKETCAP"")/10000000"),380205.3335104)</f>
        <v>380205.33351040003</v>
      </c>
      <c r="G4" s="95">
        <f t="shared" ca="1" si="0"/>
        <v>0.14542211664618571</v>
      </c>
      <c r="H4" s="101">
        <f>VLOOKUP(A4,'BSE ALL CAP'!$B$4:$Y$1038,7,)</f>
        <v>96163</v>
      </c>
      <c r="I4" s="101">
        <f>VLOOKUP(A4,'BSE ALL CAP'!$B$4:$Y$1038,8,)</f>
        <v>86809</v>
      </c>
      <c r="J4" s="101">
        <f>VLOOKUP(A4,'BSE ALL CAP'!$B$4:$Y$1038,9,)</f>
        <v>12162</v>
      </c>
      <c r="K4" s="101">
        <f>VLOOKUP(A4,'BSE ALL CAP'!$B$4:$Y$1038,10,)</f>
        <v>13090</v>
      </c>
      <c r="L4" s="101">
        <f>VLOOKUP(A4,'BSE ALL CAP'!$B$4:$Y$1038,11,)</f>
        <v>33872</v>
      </c>
      <c r="M4" s="101">
        <f>VLOOKUP(A4,'BSE ALL CAP'!$B$4:$Y$1038,12,)</f>
        <v>29890</v>
      </c>
      <c r="N4" s="101">
        <f>VLOOKUP(A4,'BSE ALL CAP'!$B$4:$Y$1038,13,)</f>
        <v>4082</v>
      </c>
      <c r="O4" s="101">
        <f>VLOOKUP(A4,'BSE ALL CAP'!$B$4:$Y$1038,14,)</f>
        <v>4594</v>
      </c>
      <c r="P4" s="95">
        <f>VLOOKUP(A4,'BSE ALL CAP'!$B$4:$Y$1038,15,)</f>
        <v>0.12647275979326769</v>
      </c>
      <c r="Q4" s="95">
        <f>VLOOKUP(A4,'BSE ALL CAP'!$B$4:$Y$1038,16,)</f>
        <v>0.15079081662039651</v>
      </c>
      <c r="R4" s="95">
        <f>VLOOKUP(A4,'BSE ALL CAP'!$B$4:$Y$1038,17,)</f>
        <v>-2.4318056827128814E-2</v>
      </c>
      <c r="S4" s="95">
        <f>VLOOKUP(A4,'BSE ALL CAP'!$B$4:$Y$1038,18,)</f>
        <v>0.12051251771374587</v>
      </c>
      <c r="T4" s="95">
        <f>VLOOKUP(A4,'BSE ALL CAP'!$B$4:$Y$1038,19,)</f>
        <v>0.15369688859150218</v>
      </c>
      <c r="U4" s="95">
        <f>VLOOKUP(A4,'BSE ALL CAP'!$B$4:$Y$1038,20,)</f>
        <v>-3.3184370877756317E-2</v>
      </c>
      <c r="V4" s="95">
        <f>VLOOKUP(A4,'BSE ALL CAP'!$B$4:$Y$1038,21,)</f>
        <v>0.10775380432904424</v>
      </c>
      <c r="W4" s="95">
        <f>VLOOKUP(A4,'BSE ALL CAP'!$B$4:$Y$1038,22,)</f>
        <v>-7.0893812070282669E-2</v>
      </c>
      <c r="X4" s="95">
        <f>VLOOKUP(A4,'BSE ALL CAP'!$B$4:$Y$1038,23,)</f>
        <v>0.1332218133154901</v>
      </c>
      <c r="Y4" s="95">
        <f>VLOOKUP(A4,'BSE ALL CAP'!$B$4:$Y$1038,24,)</f>
        <v>-0.11144971702220285</v>
      </c>
    </row>
    <row r="5" spans="1:25" ht="15.75" customHeight="1">
      <c r="A5" s="99">
        <v>507685</v>
      </c>
      <c r="B5" s="98" t="s">
        <v>4930</v>
      </c>
      <c r="C5" s="101" t="str">
        <f>VLOOKUP(A5,'BSE ALL CAP'!$B$4:$Y$1038,2,)</f>
        <v>Information Technology</v>
      </c>
      <c r="D5" s="101" t="str">
        <f>VLOOKUP(A5,'BSE ALL CAP'!$B$4:$Y$1038,3,)</f>
        <v>Computers - Software &amp; Consulting</v>
      </c>
      <c r="E5" s="101">
        <f ca="1">IFERROR(__xludf.DUMMYFUNCTION("GOOGLEFINANCE(""bom:""&amp;A5,""price"")"),197.05)</f>
        <v>197.05</v>
      </c>
      <c r="F5" s="112">
        <f ca="1">IFERROR(__xludf.DUMMYFUNCTION("GOOGLEFINANCE(""BOM:""&amp;A5,""MARKETCAP"")/10000000"),206408.007476)</f>
        <v>206408.007476</v>
      </c>
      <c r="G5" s="95">
        <f t="shared" ca="1" si="0"/>
        <v>7.8947575676395876E-2</v>
      </c>
      <c r="H5" s="101">
        <f>VLOOKUP(A5,'BSE ALL CAP'!$B$4:$Y$1038,7,)</f>
        <v>68387</v>
      </c>
      <c r="I5" s="101">
        <f>VLOOKUP(A5,'BSE ALL CAP'!$B$4:$Y$1038,8,)</f>
        <v>66584</v>
      </c>
      <c r="J5" s="101">
        <f>VLOOKUP(A5,'BSE ALL CAP'!$B$4:$Y$1038,9,)</f>
        <v>9743</v>
      </c>
      <c r="K5" s="101">
        <f>VLOOKUP(A5,'BSE ALL CAP'!$B$4:$Y$1038,10,)</f>
        <v>9629</v>
      </c>
      <c r="L5" s="101">
        <f>VLOOKUP(A5,'BSE ALL CAP'!$B$4:$Y$1038,11,)</f>
        <v>23555</v>
      </c>
      <c r="M5" s="101">
        <f>VLOOKUP(A5,'BSE ALL CAP'!$B$4:$Y$1038,12,)</f>
        <v>22318</v>
      </c>
      <c r="N5" s="101">
        <f>VLOOKUP(A5,'BSE ALL CAP'!$B$4:$Y$1038,13,)</f>
        <v>3145</v>
      </c>
      <c r="O5" s="101">
        <f>VLOOKUP(A5,'BSE ALL CAP'!$B$4:$Y$1038,14,)</f>
        <v>3366</v>
      </c>
      <c r="P5" s="95">
        <f>VLOOKUP(A5,'BSE ALL CAP'!$B$4:$Y$1038,15,)</f>
        <v>0.14246859783292146</v>
      </c>
      <c r="Q5" s="95">
        <f>VLOOKUP(A5,'BSE ALL CAP'!$B$4:$Y$1038,16,)</f>
        <v>0.14461432175898115</v>
      </c>
      <c r="R5" s="95">
        <f>VLOOKUP(A5,'BSE ALL CAP'!$B$4:$Y$1038,17,)</f>
        <v>-2.1457239260596894E-3</v>
      </c>
      <c r="S5" s="95">
        <f>VLOOKUP(A5,'BSE ALL CAP'!$B$4:$Y$1038,18,)</f>
        <v>0.13351729993631925</v>
      </c>
      <c r="T5" s="95">
        <f>VLOOKUP(A5,'BSE ALL CAP'!$B$4:$Y$1038,19,)</f>
        <v>0.15081996594676941</v>
      </c>
      <c r="U5" s="95">
        <f>VLOOKUP(A5,'BSE ALL CAP'!$B$4:$Y$1038,20,)</f>
        <v>-1.7302666010450163E-2</v>
      </c>
      <c r="V5" s="95">
        <f>VLOOKUP(A5,'BSE ALL CAP'!$B$4:$Y$1038,21,)</f>
        <v>2.7078577436020712E-2</v>
      </c>
      <c r="W5" s="95">
        <f>VLOOKUP(A5,'BSE ALL CAP'!$B$4:$Y$1038,22,)</f>
        <v>1.183923564233047E-2</v>
      </c>
      <c r="X5" s="95">
        <f>VLOOKUP(A5,'BSE ALL CAP'!$B$4:$Y$1038,23,)</f>
        <v>5.5426113451026104E-2</v>
      </c>
      <c r="Y5" s="95">
        <f>VLOOKUP(A5,'BSE ALL CAP'!$B$4:$Y$1038,24,)</f>
        <v>-6.5656565656565635E-2</v>
      </c>
    </row>
    <row r="6" spans="1:25" ht="15.75" customHeight="1">
      <c r="A6" s="99">
        <v>540005</v>
      </c>
      <c r="B6" s="98" t="s">
        <v>4931</v>
      </c>
      <c r="C6" s="101" t="str">
        <f>VLOOKUP(A6,'BSE ALL CAP'!$B$4:$Y$1038,2,)</f>
        <v>Information Technology</v>
      </c>
      <c r="D6" s="101" t="str">
        <f>VLOOKUP(A6,'BSE ALL CAP'!$B$4:$Y$1038,3,)</f>
        <v>Computers - Software &amp; Consulting</v>
      </c>
      <c r="E6" s="101">
        <f ca="1">IFERROR(__xludf.DUMMYFUNCTION("GOOGLEFINANCE(""bom:""&amp;A6,""price"")"),4302.3)</f>
        <v>4302.3</v>
      </c>
      <c r="F6" s="112">
        <f ca="1">IFERROR(__xludf.DUMMYFUNCTION("GOOGLEFINANCE(""BOM:""&amp;A6,""MARKETCAP"")/10000000"),127569.6)</f>
        <v>127569.60000000001</v>
      </c>
      <c r="G6" s="95">
        <f t="shared" ca="1" si="0"/>
        <v>4.8793216761121E-2</v>
      </c>
      <c r="H6" s="101">
        <f>VLOOKUP(A6,'BSE ALL CAP'!$B$4:$Y$1038,7,)</f>
        <v>31015</v>
      </c>
      <c r="I6" s="101">
        <f>VLOOKUP(A6,'BSE ALL CAP'!$B$4:$Y$1038,8,)</f>
        <v>28236</v>
      </c>
      <c r="J6" s="101">
        <f>VLOOKUP(A6,'BSE ALL CAP'!$B$4:$Y$1038,9,)</f>
        <v>3595</v>
      </c>
      <c r="K6" s="101">
        <f>VLOOKUP(A6,'BSE ALL CAP'!$B$4:$Y$1038,10,)</f>
        <v>3473</v>
      </c>
      <c r="L6" s="101">
        <f>VLOOKUP(A6,'BSE ALL CAP'!$B$4:$Y$1038,11,)</f>
        <v>10781</v>
      </c>
      <c r="M6" s="101">
        <f>VLOOKUP(A6,'BSE ALL CAP'!$B$4:$Y$1038,12,)</f>
        <v>9660</v>
      </c>
      <c r="N6" s="101">
        <f>VLOOKUP(A6,'BSE ALL CAP'!$B$4:$Y$1038,13,)</f>
        <v>959</v>
      </c>
      <c r="O6" s="101">
        <f>VLOOKUP(A6,'BSE ALL CAP'!$B$4:$Y$1038,14,)</f>
        <v>1086</v>
      </c>
      <c r="P6" s="95">
        <f>VLOOKUP(A6,'BSE ALL CAP'!$B$4:$Y$1038,15,)</f>
        <v>0.1159116556504917</v>
      </c>
      <c r="Q6" s="95">
        <f>VLOOKUP(A6,'BSE ALL CAP'!$B$4:$Y$1038,16,)</f>
        <v>0.12299900835812438</v>
      </c>
      <c r="R6" s="95">
        <f>VLOOKUP(A6,'BSE ALL CAP'!$B$4:$Y$1038,17,)</f>
        <v>-7.0873527076326798E-3</v>
      </c>
      <c r="S6" s="95">
        <f>VLOOKUP(A6,'BSE ALL CAP'!$B$4:$Y$1038,18,)</f>
        <v>8.8952787311010112E-2</v>
      </c>
      <c r="T6" s="95">
        <f>VLOOKUP(A6,'BSE ALL CAP'!$B$4:$Y$1038,19,)</f>
        <v>0.11242236024844721</v>
      </c>
      <c r="U6" s="95">
        <f>VLOOKUP(A6,'BSE ALL CAP'!$B$4:$Y$1038,20,)</f>
        <v>-2.3469572937437094E-2</v>
      </c>
      <c r="V6" s="95">
        <f>VLOOKUP(A6,'BSE ALL CAP'!$B$4:$Y$1038,21,)</f>
        <v>9.8420456155262848E-2</v>
      </c>
      <c r="W6" s="95">
        <f>VLOOKUP(A6,'BSE ALL CAP'!$B$4:$Y$1038,22,)</f>
        <v>3.512813129858916E-2</v>
      </c>
      <c r="X6" s="95">
        <f>VLOOKUP(A6,'BSE ALL CAP'!$B$4:$Y$1038,23,)</f>
        <v>0.11604554865424421</v>
      </c>
      <c r="Y6" s="95">
        <f>VLOOKUP(A6,'BSE ALL CAP'!$B$4:$Y$1038,24,)</f>
        <v>-0.1169429097605893</v>
      </c>
    </row>
    <row r="7" spans="1:25" ht="15.75" customHeight="1">
      <c r="A7" s="99">
        <v>532755</v>
      </c>
      <c r="B7" s="98" t="s">
        <v>4932</v>
      </c>
      <c r="C7" s="101" t="str">
        <f>VLOOKUP(A7,'BSE ALL CAP'!$B$4:$Y$1038,2,)</f>
        <v>Information Technology</v>
      </c>
      <c r="D7" s="101" t="str">
        <f>VLOOKUP(A7,'BSE ALL CAP'!$B$4:$Y$1038,3,)</f>
        <v>Computers - Software &amp; Consulting</v>
      </c>
      <c r="E7" s="101">
        <f ca="1">IFERROR(__xludf.DUMMYFUNCTION("GOOGLEFINANCE(""bom:""&amp;A7,""price"")"),1452.4)</f>
        <v>1452.4</v>
      </c>
      <c r="F7" s="112">
        <f ca="1">IFERROR(__xludf.DUMMYFUNCTION("GOOGLEFINANCE(""BOM:""&amp;A7,""MARKETCAP"")/10000000"),142292.5197576)</f>
        <v>142292.51975760001</v>
      </c>
      <c r="G7" s="95">
        <f t="shared" ca="1" si="0"/>
        <v>5.4424484830388038E-2</v>
      </c>
      <c r="H7" s="101">
        <f>VLOOKUP(A7,'BSE ALL CAP'!$B$4:$Y$1038,7,)</f>
        <v>41739</v>
      </c>
      <c r="I7" s="101">
        <f>VLOOKUP(A7,'BSE ALL CAP'!$B$4:$Y$1038,8,)</f>
        <v>39604</v>
      </c>
      <c r="J7" s="101">
        <f>VLOOKUP(A7,'BSE ALL CAP'!$B$4:$Y$1038,9,)</f>
        <v>3449</v>
      </c>
      <c r="K7" s="101">
        <f>VLOOKUP(A7,'BSE ALL CAP'!$B$4:$Y$1038,10,)</f>
        <v>3111</v>
      </c>
      <c r="L7" s="101">
        <f>VLOOKUP(A7,'BSE ALL CAP'!$B$4:$Y$1038,11,)</f>
        <v>14393</v>
      </c>
      <c r="M7" s="101">
        <f>VLOOKUP(A7,'BSE ALL CAP'!$B$4:$Y$1038,12,)</f>
        <v>13285</v>
      </c>
      <c r="N7" s="101">
        <f>VLOOKUP(A7,'BSE ALL CAP'!$B$4:$Y$1038,13,)</f>
        <v>1118</v>
      </c>
      <c r="O7" s="101">
        <f>VLOOKUP(A7,'BSE ALL CAP'!$B$4:$Y$1038,14,)</f>
        <v>988</v>
      </c>
      <c r="P7" s="95">
        <f>VLOOKUP(A7,'BSE ALL CAP'!$B$4:$Y$1038,15,)</f>
        <v>8.2632549893385088E-2</v>
      </c>
      <c r="Q7" s="95">
        <f>VLOOKUP(A7,'BSE ALL CAP'!$B$4:$Y$1038,16,)</f>
        <v>7.8552671447328554E-2</v>
      </c>
      <c r="R7" s="95">
        <f>VLOOKUP(A7,'BSE ALL CAP'!$B$4:$Y$1038,17,)</f>
        <v>4.079878446056534E-3</v>
      </c>
      <c r="S7" s="95">
        <f>VLOOKUP(A7,'BSE ALL CAP'!$B$4:$Y$1038,18,)</f>
        <v>7.7676648370735776E-2</v>
      </c>
      <c r="T7" s="95">
        <f>VLOOKUP(A7,'BSE ALL CAP'!$B$4:$Y$1038,19,)</f>
        <v>7.4369589762890473E-2</v>
      </c>
      <c r="U7" s="95">
        <f>VLOOKUP(A7,'BSE ALL CAP'!$B$4:$Y$1038,20,)</f>
        <v>3.3070586078453035E-3</v>
      </c>
      <c r="V7" s="95">
        <f>VLOOKUP(A7,'BSE ALL CAP'!$B$4:$Y$1038,21,)</f>
        <v>5.3908696091303998E-2</v>
      </c>
      <c r="W7" s="95">
        <f>VLOOKUP(A7,'BSE ALL CAP'!$B$4:$Y$1038,22,)</f>
        <v>0.10864673738347808</v>
      </c>
      <c r="X7" s="95">
        <f>VLOOKUP(A7,'BSE ALL CAP'!$B$4:$Y$1038,23,)</f>
        <v>8.3402333458788114E-2</v>
      </c>
      <c r="Y7" s="95">
        <f>VLOOKUP(A7,'BSE ALL CAP'!$B$4:$Y$1038,24,)</f>
        <v>0.13157894736842102</v>
      </c>
    </row>
    <row r="8" spans="1:25" ht="15.75" customHeight="1">
      <c r="A8" s="99">
        <v>533179</v>
      </c>
      <c r="B8" s="98" t="s">
        <v>4933</v>
      </c>
      <c r="C8" s="101" t="str">
        <f>VLOOKUP(A8,'BSE ALL CAP'!$B$4:$Y$1038,2,)</f>
        <v>Information Technology</v>
      </c>
      <c r="D8" s="101" t="str">
        <f>VLOOKUP(A8,'BSE ALL CAP'!$B$4:$Y$1038,3,)</f>
        <v>Computers - Software &amp; Consulting</v>
      </c>
      <c r="E8" s="101">
        <f ca="1">IFERROR(__xludf.DUMMYFUNCTION("GOOGLEFINANCE(""bom:""&amp;A8,""price"")"),5309.7)</f>
        <v>5309.7</v>
      </c>
      <c r="F8" s="112">
        <f ca="1">IFERROR(__xludf.DUMMYFUNCTION("GOOGLEFINANCE(""BOM:""&amp;A8,""MARKETCAP"")/10000000"),82992.766611)</f>
        <v>82992.766610999999</v>
      </c>
      <c r="G8" s="95">
        <f t="shared" ca="1" si="0"/>
        <v>3.1743331098127207E-2</v>
      </c>
      <c r="H8" s="101">
        <f>VLOOKUP(A8,'BSE ALL CAP'!$B$4:$Y$1038,7,)</f>
        <v>10692</v>
      </c>
      <c r="I8" s="101">
        <f>VLOOKUP(A8,'BSE ALL CAP'!$B$4:$Y$1038,8,)</f>
        <v>8696</v>
      </c>
      <c r="J8" s="101">
        <f>VLOOKUP(A8,'BSE ALL CAP'!$B$4:$Y$1038,9,)</f>
        <v>1335</v>
      </c>
      <c r="K8" s="101">
        <f>VLOOKUP(A8,'BSE ALL CAP'!$B$4:$Y$1038,10,)</f>
        <v>1004</v>
      </c>
      <c r="L8" s="101">
        <f>VLOOKUP(A8,'BSE ALL CAP'!$B$4:$Y$1038,11,)</f>
        <v>3778</v>
      </c>
      <c r="M8" s="101">
        <f>VLOOKUP(A8,'BSE ALL CAP'!$B$4:$Y$1038,12,)</f>
        <v>3062</v>
      </c>
      <c r="N8" s="101">
        <f>VLOOKUP(A8,'BSE ALL CAP'!$B$4:$Y$1038,13,)</f>
        <v>439</v>
      </c>
      <c r="O8" s="101">
        <f>VLOOKUP(A8,'BSE ALL CAP'!$B$4:$Y$1038,14,)</f>
        <v>372</v>
      </c>
      <c r="P8" s="95">
        <f>VLOOKUP(A8,'BSE ALL CAP'!$B$4:$Y$1038,15,)</f>
        <v>0.12485970819304153</v>
      </c>
      <c r="Q8" s="95">
        <f>VLOOKUP(A8,'BSE ALL CAP'!$B$4:$Y$1038,16,)</f>
        <v>0.11545538178472861</v>
      </c>
      <c r="R8" s="95">
        <f>VLOOKUP(A8,'BSE ALL CAP'!$B$4:$Y$1038,17,)</f>
        <v>9.4043264083129158E-3</v>
      </c>
      <c r="S8" s="95">
        <f>VLOOKUP(A8,'BSE ALL CAP'!$B$4:$Y$1038,18,)</f>
        <v>0.11619904711487559</v>
      </c>
      <c r="T8" s="95">
        <f>VLOOKUP(A8,'BSE ALL CAP'!$B$4:$Y$1038,19,)</f>
        <v>0.12148922273024167</v>
      </c>
      <c r="U8" s="95">
        <f>VLOOKUP(A8,'BSE ALL CAP'!$B$4:$Y$1038,20,)</f>
        <v>-5.2901756153660717E-3</v>
      </c>
      <c r="V8" s="95">
        <f>VLOOKUP(A8,'BSE ALL CAP'!$B$4:$Y$1038,21,)</f>
        <v>0.22953081876724934</v>
      </c>
      <c r="W8" s="95">
        <f>VLOOKUP(A8,'BSE ALL CAP'!$B$4:$Y$1038,22,)</f>
        <v>0.32968127490039834</v>
      </c>
      <c r="X8" s="95">
        <f>VLOOKUP(A8,'BSE ALL CAP'!$B$4:$Y$1038,23,)</f>
        <v>0.23383409536250821</v>
      </c>
      <c r="Y8" s="95">
        <f>VLOOKUP(A8,'BSE ALL CAP'!$B$4:$Y$1038,24,)</f>
        <v>0.18010752688172049</v>
      </c>
    </row>
    <row r="9" spans="1:25" ht="15.75" customHeight="1">
      <c r="A9" s="99">
        <v>532541</v>
      </c>
      <c r="B9" s="98" t="s">
        <v>4934</v>
      </c>
      <c r="C9" s="101" t="str">
        <f>VLOOKUP(A9,'BSE ALL CAP'!$B$4:$Y$1038,2,)</f>
        <v>Information Technology</v>
      </c>
      <c r="D9" s="101" t="str">
        <f>VLOOKUP(A9,'BSE ALL CAP'!$B$4:$Y$1038,3,)</f>
        <v>Computers - Software &amp; Consulting</v>
      </c>
      <c r="E9" s="101">
        <f ca="1">IFERROR(__xludf.DUMMYFUNCTION("GOOGLEFINANCE(""bom:""&amp;A9,""price"")"),1217.65)</f>
        <v>1217.6500000000001</v>
      </c>
      <c r="F9" s="112">
        <f ca="1">IFERROR(__xludf.DUMMYFUNCTION("GOOGLEFINANCE(""BOM:""&amp;A9,""MARKETCAP"")/10000000"),40881.6197858)</f>
        <v>40881.619785800001</v>
      </c>
      <c r="G9" s="95">
        <f t="shared" ca="1" si="0"/>
        <v>1.5636528888969416E-2</v>
      </c>
      <c r="H9" s="101">
        <f>VLOOKUP(A9,'BSE ALL CAP'!$B$4:$Y$1038,7,)</f>
        <v>11862</v>
      </c>
      <c r="I9" s="101">
        <f>VLOOKUP(A9,'BSE ALL CAP'!$B$4:$Y$1038,8,)</f>
        <v>8640</v>
      </c>
      <c r="J9" s="101">
        <f>VLOOKUP(A9,'BSE ALL CAP'!$B$4:$Y$1038,9,)</f>
        <v>1078</v>
      </c>
      <c r="K9" s="101">
        <f>VLOOKUP(A9,'BSE ALL CAP'!$B$4:$Y$1038,10,)</f>
        <v>628</v>
      </c>
      <c r="L9" s="101">
        <f>VLOOKUP(A9,'BSE ALL CAP'!$B$4:$Y$1038,11,)</f>
        <v>4188</v>
      </c>
      <c r="M9" s="101">
        <f>VLOOKUP(A9,'BSE ALL CAP'!$B$4:$Y$1038,12,)</f>
        <v>3258</v>
      </c>
      <c r="N9" s="101">
        <f>VLOOKUP(A9,'BSE ALL CAP'!$B$4:$Y$1038,13,)</f>
        <v>296</v>
      </c>
      <c r="O9" s="101">
        <f>VLOOKUP(A9,'BSE ALL CAP'!$B$4:$Y$1038,14,)</f>
        <v>255</v>
      </c>
      <c r="P9" s="95">
        <f>VLOOKUP(A9,'BSE ALL CAP'!$B$4:$Y$1038,15,)</f>
        <v>9.087843533974034E-2</v>
      </c>
      <c r="Q9" s="95">
        <f>VLOOKUP(A9,'BSE ALL CAP'!$B$4:$Y$1038,16,)</f>
        <v>7.2685185185185186E-2</v>
      </c>
      <c r="R9" s="95">
        <f>VLOOKUP(A9,'BSE ALL CAP'!$B$4:$Y$1038,17,)</f>
        <v>1.8193250154555154E-2</v>
      </c>
      <c r="S9" s="95">
        <f>VLOOKUP(A9,'BSE ALL CAP'!$B$4:$Y$1038,18,)</f>
        <v>7.0678127984718245E-2</v>
      </c>
      <c r="T9" s="95">
        <f>VLOOKUP(A9,'BSE ALL CAP'!$B$4:$Y$1038,19,)</f>
        <v>7.8268876611418042E-2</v>
      </c>
      <c r="U9" s="95">
        <f>VLOOKUP(A9,'BSE ALL CAP'!$B$4:$Y$1038,20,)</f>
        <v>-7.5907486266997976E-3</v>
      </c>
      <c r="V9" s="95">
        <f>VLOOKUP(A9,'BSE ALL CAP'!$B$4:$Y$1038,21,)</f>
        <v>0.37291666666666656</v>
      </c>
      <c r="W9" s="95">
        <f>VLOOKUP(A9,'BSE ALL CAP'!$B$4:$Y$1038,22,)</f>
        <v>0.71656050955414008</v>
      </c>
      <c r="X9" s="95">
        <f>VLOOKUP(A9,'BSE ALL CAP'!$B$4:$Y$1038,23,)</f>
        <v>0.28545119705340705</v>
      </c>
      <c r="Y9" s="95">
        <f>VLOOKUP(A9,'BSE ALL CAP'!$B$4:$Y$1038,24,)</f>
        <v>0.16078431372549029</v>
      </c>
    </row>
    <row r="10" spans="1:25" ht="15.75" customHeight="1">
      <c r="A10" s="99">
        <v>526299</v>
      </c>
      <c r="B10" s="98" t="s">
        <v>4935</v>
      </c>
      <c r="C10" s="101" t="str">
        <f>VLOOKUP(A10,'BSE ALL CAP'!$B$4:$Y$1038,2,)</f>
        <v>Information Technology</v>
      </c>
      <c r="D10" s="101" t="str">
        <f>VLOOKUP(A10,'BSE ALL CAP'!$B$4:$Y$1038,3,)</f>
        <v>Computers - Software &amp; Consulting</v>
      </c>
      <c r="E10" s="101">
        <f ca="1">IFERROR(__xludf.DUMMYFUNCTION("GOOGLEFINANCE(""bom:""&amp;A10,""price"")"),2231)</f>
        <v>2231</v>
      </c>
      <c r="F10" s="112">
        <f ca="1">IFERROR(__xludf.DUMMYFUNCTION("GOOGLEFINANCE(""BOM:""&amp;A10,""MARKETCAP"")/10000000"),42550.2809665)</f>
        <v>42550.280966500002</v>
      </c>
      <c r="G10" s="95">
        <f t="shared" ca="1" si="0"/>
        <v>1.6274763599204167E-2</v>
      </c>
      <c r="H10" s="101">
        <f>VLOOKUP(A10,'BSE ALL CAP'!$B$4:$Y$1038,7,)</f>
        <v>11636</v>
      </c>
      <c r="I10" s="101">
        <f>VLOOKUP(A10,'BSE ALL CAP'!$B$4:$Y$1038,8,)</f>
        <v>10519</v>
      </c>
      <c r="J10" s="101">
        <f>VLOOKUP(A10,'BSE ALL CAP'!$B$4:$Y$1038,9,)</f>
        <v>135</v>
      </c>
      <c r="K10" s="101">
        <f>VLOOKUP(A10,'BSE ALL CAP'!$B$4:$Y$1038,10,)</f>
        <v>125</v>
      </c>
      <c r="L10" s="101">
        <f>VLOOKUP(A10,'BSE ALL CAP'!$B$4:$Y$1038,11,)</f>
        <v>400</v>
      </c>
      <c r="M10" s="101">
        <f>VLOOKUP(A10,'BSE ALL CAP'!$B$4:$Y$1038,12,)</f>
        <v>356</v>
      </c>
      <c r="N10" s="101">
        <f>VLOOKUP(A10,'BSE ALL CAP'!$B$4:$Y$1038,13,)</f>
        <v>442</v>
      </c>
      <c r="O10" s="101">
        <f>VLOOKUP(A10,'BSE ALL CAP'!$B$4:$Y$1038,14,)</f>
        <v>427</v>
      </c>
      <c r="P10" s="95">
        <f>VLOOKUP(A10,'BSE ALL CAP'!$B$4:$Y$1038,15,)</f>
        <v>1.1601925060158129E-2</v>
      </c>
      <c r="Q10" s="95">
        <f>VLOOKUP(A10,'BSE ALL CAP'!$B$4:$Y$1038,16,)</f>
        <v>1.1883258864911114E-2</v>
      </c>
      <c r="R10" s="95">
        <f>VLOOKUP(A10,'BSE ALL CAP'!$B$4:$Y$1038,17,)</f>
        <v>-2.8133380475298467E-4</v>
      </c>
      <c r="S10" s="95">
        <f>VLOOKUP(A10,'BSE ALL CAP'!$B$4:$Y$1038,18,)</f>
        <v>1.105</v>
      </c>
      <c r="T10" s="95">
        <f>VLOOKUP(A10,'BSE ALL CAP'!$B$4:$Y$1038,19,)</f>
        <v>1.199438202247191</v>
      </c>
      <c r="U10" s="95">
        <f>VLOOKUP(A10,'BSE ALL CAP'!$B$4:$Y$1038,20,)</f>
        <v>-9.4438202247191017E-2</v>
      </c>
      <c r="V10" s="95">
        <f>VLOOKUP(A10,'BSE ALL CAP'!$B$4:$Y$1038,21,)</f>
        <v>0.10618880121684571</v>
      </c>
      <c r="W10" s="95">
        <f>VLOOKUP(A10,'BSE ALL CAP'!$B$4:$Y$1038,22,)</f>
        <v>8.0000000000000071E-2</v>
      </c>
      <c r="X10" s="95">
        <f>VLOOKUP(A10,'BSE ALL CAP'!$B$4:$Y$1038,23,)</f>
        <v>0.12359550561797761</v>
      </c>
      <c r="Y10" s="95">
        <f>VLOOKUP(A10,'BSE ALL CAP'!$B$4:$Y$1038,24,)</f>
        <v>3.5128805620608938E-2</v>
      </c>
    </row>
    <row r="11" spans="1:25" ht="15.75" customHeight="1">
      <c r="A11" s="99">
        <v>544362</v>
      </c>
      <c r="B11" s="98" t="s">
        <v>4936</v>
      </c>
      <c r="C11" s="101" t="str">
        <f>VLOOKUP(A11,'BSE ALL CAP'!$B$4:$Y$1038,2,)</f>
        <v>Information Technology</v>
      </c>
      <c r="D11" s="101" t="str">
        <f>VLOOKUP(A11,'BSE ALL CAP'!$B$4:$Y$1038,3,)</f>
        <v>Computers - Software &amp; Consulting</v>
      </c>
      <c r="E11" s="101">
        <f ca="1">IFERROR(__xludf.DUMMYFUNCTION("GOOGLEFINANCE(""bom:""&amp;A11,""price"")"),449.95)</f>
        <v>449.95</v>
      </c>
      <c r="F11" s="112">
        <f ca="1">IFERROR(__xludf.DUMMYFUNCTION("GOOGLEFINANCE(""BOM:""&amp;A11,""MARKETCAP"")/10000000"),27420.57)</f>
        <v>27420.57</v>
      </c>
      <c r="G11" s="95">
        <f t="shared" ca="1" si="0"/>
        <v>1.0487904765112469E-2</v>
      </c>
      <c r="H11" s="101">
        <f>VLOOKUP(A11,'BSE ALL CAP'!$B$4:$Y$1038,7,)</f>
        <v>13430</v>
      </c>
      <c r="I11" s="101">
        <f>VLOOKUP(A11,'BSE ALL CAP'!$B$4:$Y$1038,8,)</f>
        <v>11974</v>
      </c>
      <c r="J11" s="101">
        <f>VLOOKUP(A11,'BSE ALL CAP'!$B$4:$Y$1038,9,)</f>
        <v>1368</v>
      </c>
      <c r="K11" s="101">
        <f>VLOOKUP(A11,'BSE ALL CAP'!$B$4:$Y$1038,10,)</f>
        <v>1174</v>
      </c>
      <c r="L11" s="101">
        <f>VLOOKUP(A11,'BSE ALL CAP'!$B$4:$Y$1038,11,)</f>
        <v>3478</v>
      </c>
      <c r="M11" s="101">
        <f>VLOOKUP(A11,'BSE ALL CAP'!$B$4:$Y$1038,12,)</f>
        <v>3154</v>
      </c>
      <c r="N11" s="101">
        <f>VLOOKUP(A11,'BSE ALL CAP'!$B$4:$Y$1038,13,)</f>
        <v>29</v>
      </c>
      <c r="O11" s="101">
        <f>VLOOKUP(A11,'BSE ALL CAP'!$B$4:$Y$1038,14,)</f>
        <v>32</v>
      </c>
      <c r="P11" s="95">
        <f>VLOOKUP(A11,'BSE ALL CAP'!$B$4:$Y$1038,15,)</f>
        <v>0.10186150409530902</v>
      </c>
      <c r="Q11" s="95">
        <f>VLOOKUP(A11,'BSE ALL CAP'!$B$4:$Y$1038,16,)</f>
        <v>9.8045765825956241E-2</v>
      </c>
      <c r="R11" s="95">
        <f>VLOOKUP(A11,'BSE ALL CAP'!$B$4:$Y$1038,17,)</f>
        <v>3.8157382693527753E-3</v>
      </c>
      <c r="S11" s="95">
        <f>VLOOKUP(A11,'BSE ALL CAP'!$B$4:$Y$1038,18,)</f>
        <v>8.3381253594019544E-3</v>
      </c>
      <c r="T11" s="95">
        <f>VLOOKUP(A11,'BSE ALL CAP'!$B$4:$Y$1038,19,)</f>
        <v>1.0145846544071021E-2</v>
      </c>
      <c r="U11" s="95">
        <f>VLOOKUP(A11,'BSE ALL CAP'!$B$4:$Y$1038,20,)</f>
        <v>-1.8077211846690665E-3</v>
      </c>
      <c r="V11" s="95">
        <f>VLOOKUP(A11,'BSE ALL CAP'!$B$4:$Y$1038,21,)</f>
        <v>0.12159679305161175</v>
      </c>
      <c r="W11" s="95">
        <f>VLOOKUP(A11,'BSE ALL CAP'!$B$4:$Y$1038,22,)</f>
        <v>0.16524701873935266</v>
      </c>
      <c r="X11" s="95">
        <f>VLOOKUP(A11,'BSE ALL CAP'!$B$4:$Y$1038,23,)</f>
        <v>0.102726696258719</v>
      </c>
      <c r="Y11" s="95">
        <f>VLOOKUP(A11,'BSE ALL CAP'!$B$4:$Y$1038,24,)</f>
        <v>-9.375E-2</v>
      </c>
    </row>
    <row r="12" spans="1:25" ht="15.75" customHeight="1">
      <c r="A12" s="99">
        <v>500408</v>
      </c>
      <c r="B12" s="98" t="s">
        <v>1514</v>
      </c>
      <c r="C12" s="101" t="str">
        <f>VLOOKUP(A12,'BSE ALL CAP'!$B$4:$Y$1038,2,)</f>
        <v>Information Technology</v>
      </c>
      <c r="D12" s="101" t="str">
        <f>VLOOKUP(A12,'BSE ALL CAP'!$B$4:$Y$1038,3,)</f>
        <v>Computers - Software &amp; Consulting</v>
      </c>
      <c r="E12" s="101">
        <f ca="1">IFERROR(__xludf.DUMMYFUNCTION("GOOGLEFINANCE(""bom:""&amp;A12,""price"")"),4257.9)</f>
        <v>4257.8999999999996</v>
      </c>
      <c r="F12" s="112">
        <f ca="1">IFERROR(__xludf.DUMMYFUNCTION("GOOGLEFINANCE(""BOM:""&amp;A12,""MARKETCAP"")/10000000"),26538.38142)</f>
        <v>26538.381420000002</v>
      </c>
      <c r="G12" s="95">
        <f t="shared" ca="1" si="0"/>
        <v>1.015048253749613E-2</v>
      </c>
      <c r="H12" s="101">
        <f>VLOOKUP(A12,'BSE ALL CAP'!$B$4:$Y$1038,7,)</f>
        <v>2763</v>
      </c>
      <c r="I12" s="101">
        <f>VLOOKUP(A12,'BSE ALL CAP'!$B$4:$Y$1038,8,)</f>
        <v>2820</v>
      </c>
      <c r="J12" s="101">
        <f>VLOOKUP(A12,'BSE ALL CAP'!$B$4:$Y$1038,9,)</f>
        <v>408</v>
      </c>
      <c r="K12" s="101">
        <f>VLOOKUP(A12,'BSE ALL CAP'!$B$4:$Y$1038,10,)</f>
        <v>612</v>
      </c>
      <c r="L12" s="101">
        <f>VLOOKUP(A12,'BSE ALL CAP'!$B$4:$Y$1038,11,)</f>
        <v>953</v>
      </c>
      <c r="M12" s="101">
        <f>VLOOKUP(A12,'BSE ALL CAP'!$B$4:$Y$1038,12,)</f>
        <v>939</v>
      </c>
      <c r="N12" s="101">
        <f>VLOOKUP(A12,'BSE ALL CAP'!$B$4:$Y$1038,13,)</f>
        <v>108</v>
      </c>
      <c r="O12" s="101">
        <f>VLOOKUP(A12,'BSE ALL CAP'!$B$4:$Y$1038,14,)</f>
        <v>199</v>
      </c>
      <c r="P12" s="95">
        <f>VLOOKUP(A12,'BSE ALL CAP'!$B$4:$Y$1038,15,)</f>
        <v>0.1476655808903366</v>
      </c>
      <c r="Q12" s="95">
        <f>VLOOKUP(A12,'BSE ALL CAP'!$B$4:$Y$1038,16,)</f>
        <v>0.21702127659574469</v>
      </c>
      <c r="R12" s="95">
        <f>VLOOKUP(A12,'BSE ALL CAP'!$B$4:$Y$1038,17,)</f>
        <v>-6.9355695705408088E-2</v>
      </c>
      <c r="S12" s="95">
        <f>VLOOKUP(A12,'BSE ALL CAP'!$B$4:$Y$1038,18,)</f>
        <v>0.11332633788037776</v>
      </c>
      <c r="T12" s="95">
        <f>VLOOKUP(A12,'BSE ALL CAP'!$B$4:$Y$1038,19,)</f>
        <v>0.21192758253461128</v>
      </c>
      <c r="U12" s="95">
        <f>VLOOKUP(A12,'BSE ALL CAP'!$B$4:$Y$1038,20,)</f>
        <v>-9.8601244654233519E-2</v>
      </c>
      <c r="V12" s="95">
        <f>VLOOKUP(A12,'BSE ALL CAP'!$B$4:$Y$1038,21,)</f>
        <v>-2.021276595744681E-2</v>
      </c>
      <c r="W12" s="95">
        <f>VLOOKUP(A12,'BSE ALL CAP'!$B$4:$Y$1038,22,)</f>
        <v>-0.33333333333333337</v>
      </c>
      <c r="X12" s="95">
        <f>VLOOKUP(A12,'BSE ALL CAP'!$B$4:$Y$1038,23,)</f>
        <v>1.4909478168264156E-2</v>
      </c>
      <c r="Y12" s="95">
        <f>VLOOKUP(A12,'BSE ALL CAP'!$B$4:$Y$1038,24,)</f>
        <v>-0.457286432160804</v>
      </c>
    </row>
    <row r="13" spans="1:25" ht="15.75" customHeight="1">
      <c r="A13" s="99">
        <v>542651</v>
      </c>
      <c r="B13" s="98" t="s">
        <v>4937</v>
      </c>
      <c r="C13" s="101" t="str">
        <f>VLOOKUP(A13,'BSE ALL CAP'!$B$4:$Y$1038,2,)</f>
        <v>Information Technology</v>
      </c>
      <c r="D13" s="101" t="str">
        <f>VLOOKUP(A13,'BSE ALL CAP'!$B$4:$Y$1038,3,)</f>
        <v>Computers - Software &amp; Consulting</v>
      </c>
      <c r="E13" s="101">
        <f ca="1">IFERROR(__xludf.DUMMYFUNCTION("GOOGLEFINANCE(""bom:""&amp;A13,""price"")"),698.85)</f>
        <v>698.85</v>
      </c>
      <c r="F13" s="112">
        <f ca="1">IFERROR(__xludf.DUMMYFUNCTION("GOOGLEFINANCE(""BOM:""&amp;A13,""MARKETCAP"")/10000000"),18990.1718575)</f>
        <v>18990.171857500001</v>
      </c>
      <c r="G13" s="95">
        <f t="shared" ca="1" si="0"/>
        <v>7.2634199039107858E-3</v>
      </c>
      <c r="H13" s="101">
        <f>VLOOKUP(A13,'BSE ALL CAP'!$B$4:$Y$1038,7,)</f>
        <v>4743</v>
      </c>
      <c r="I13" s="101">
        <f>VLOOKUP(A13,'BSE ALL CAP'!$B$4:$Y$1038,8,)</f>
        <v>4314</v>
      </c>
      <c r="J13" s="101">
        <f>VLOOKUP(A13,'BSE ALL CAP'!$B$4:$Y$1038,9,)</f>
        <v>474</v>
      </c>
      <c r="K13" s="101">
        <f>VLOOKUP(A13,'BSE ALL CAP'!$B$4:$Y$1038,10,)</f>
        <v>594</v>
      </c>
      <c r="L13" s="101">
        <f>VLOOKUP(A13,'BSE ALL CAP'!$B$4:$Y$1038,11,)</f>
        <v>1617</v>
      </c>
      <c r="M13" s="101">
        <f>VLOOKUP(A13,'BSE ALL CAP'!$B$4:$Y$1038,12,)</f>
        <v>1477</v>
      </c>
      <c r="N13" s="101">
        <f>VLOOKUP(A13,'BSE ALL CAP'!$B$4:$Y$1038,13,)</f>
        <v>133</v>
      </c>
      <c r="O13" s="101">
        <f>VLOOKUP(A13,'BSE ALL CAP'!$B$4:$Y$1038,14,)</f>
        <v>186</v>
      </c>
      <c r="P13" s="95">
        <f>VLOOKUP(A13,'BSE ALL CAP'!$B$4:$Y$1038,15,)</f>
        <v>9.9936748893105623E-2</v>
      </c>
      <c r="Q13" s="95">
        <f>VLOOKUP(A13,'BSE ALL CAP'!$B$4:$Y$1038,16,)</f>
        <v>0.13769123783031989</v>
      </c>
      <c r="R13" s="95">
        <f>VLOOKUP(A13,'BSE ALL CAP'!$B$4:$Y$1038,17,)</f>
        <v>-3.7754488937214267E-2</v>
      </c>
      <c r="S13" s="95">
        <f>VLOOKUP(A13,'BSE ALL CAP'!$B$4:$Y$1038,18,)</f>
        <v>8.2251082251082255E-2</v>
      </c>
      <c r="T13" s="95">
        <f>VLOOKUP(A13,'BSE ALL CAP'!$B$4:$Y$1038,19,)</f>
        <v>0.12593094109681788</v>
      </c>
      <c r="U13" s="95">
        <f>VLOOKUP(A13,'BSE ALL CAP'!$B$4:$Y$1038,20,)</f>
        <v>-4.3679858845735622E-2</v>
      </c>
      <c r="V13" s="95">
        <f>VLOOKUP(A13,'BSE ALL CAP'!$B$4:$Y$1038,21,)</f>
        <v>9.9443671766342057E-2</v>
      </c>
      <c r="W13" s="95">
        <f>VLOOKUP(A13,'BSE ALL CAP'!$B$4:$Y$1038,22,)</f>
        <v>-0.20202020202020199</v>
      </c>
      <c r="X13" s="95">
        <f>VLOOKUP(A13,'BSE ALL CAP'!$B$4:$Y$1038,23,)</f>
        <v>9.4786729857819996E-2</v>
      </c>
      <c r="Y13" s="95">
        <f>VLOOKUP(A13,'BSE ALL CAP'!$B$4:$Y$1038,24,)</f>
        <v>-0.28494623655913975</v>
      </c>
    </row>
    <row r="14" spans="1:25" ht="15.75" customHeight="1">
      <c r="A14" s="99">
        <v>504067</v>
      </c>
      <c r="B14" s="98" t="s">
        <v>4938</v>
      </c>
      <c r="C14" s="101" t="str">
        <f>VLOOKUP(A14,'BSE ALL CAP'!$B$4:$Y$1038,2,)</f>
        <v>Information Technology</v>
      </c>
      <c r="D14" s="101" t="str">
        <f>VLOOKUP(A14,'BSE ALL CAP'!$B$4:$Y$1038,3,)</f>
        <v>Computers - Software &amp; Consulting</v>
      </c>
      <c r="E14" s="101">
        <f ca="1">IFERROR(__xludf.DUMMYFUNCTION("GOOGLEFINANCE(""bom:""&amp;A14,""price"")"),551.3)</f>
        <v>551.29999999999995</v>
      </c>
      <c r="F14" s="112">
        <f ca="1">IFERROR(__xludf.DUMMYFUNCTION("GOOGLEFINANCE(""BOM:""&amp;A14,""MARKETCAP"")/10000000"),12497.56515)</f>
        <v>12497.56515</v>
      </c>
      <c r="G14" s="95">
        <f t="shared" ca="1" si="0"/>
        <v>4.7801075283624133E-3</v>
      </c>
      <c r="H14" s="101">
        <f>VLOOKUP(A14,'BSE ALL CAP'!$B$4:$Y$1038,7,)</f>
        <v>4237</v>
      </c>
      <c r="I14" s="101">
        <f>VLOOKUP(A14,'BSE ALL CAP'!$B$4:$Y$1038,8,)</f>
        <v>3921</v>
      </c>
      <c r="J14" s="101">
        <f>VLOOKUP(A14,'BSE ALL CAP'!$B$4:$Y$1038,9,)</f>
        <v>564</v>
      </c>
      <c r="K14" s="101">
        <f>VLOOKUP(A14,'BSE ALL CAP'!$B$4:$Y$1038,10,)</f>
        <v>473</v>
      </c>
      <c r="L14" s="101">
        <f>VLOOKUP(A14,'BSE ALL CAP'!$B$4:$Y$1038,11,)</f>
        <v>1430</v>
      </c>
      <c r="M14" s="101">
        <f>VLOOKUP(A14,'BSE ALL CAP'!$B$4:$Y$1038,12,)</f>
        <v>1325</v>
      </c>
      <c r="N14" s="101">
        <f>VLOOKUP(A14,'BSE ALL CAP'!$B$4:$Y$1038,13,)</f>
        <v>199</v>
      </c>
      <c r="O14" s="101">
        <f>VLOOKUP(A14,'BSE ALL CAP'!$B$4:$Y$1038,14,)</f>
        <v>159</v>
      </c>
      <c r="P14" s="95">
        <f>VLOOKUP(A14,'BSE ALL CAP'!$B$4:$Y$1038,15,)</f>
        <v>0.13311305168751475</v>
      </c>
      <c r="Q14" s="95">
        <f>VLOOKUP(A14,'BSE ALL CAP'!$B$4:$Y$1038,16,)</f>
        <v>0.12063249171129814</v>
      </c>
      <c r="R14" s="95">
        <f>VLOOKUP(A14,'BSE ALL CAP'!$B$4:$Y$1038,17,)</f>
        <v>1.248055997621661E-2</v>
      </c>
      <c r="S14" s="95">
        <f>VLOOKUP(A14,'BSE ALL CAP'!$B$4:$Y$1038,18,)</f>
        <v>0.13916083916083916</v>
      </c>
      <c r="T14" s="95">
        <f>VLOOKUP(A14,'BSE ALL CAP'!$B$4:$Y$1038,19,)</f>
        <v>0.12</v>
      </c>
      <c r="U14" s="95">
        <f>VLOOKUP(A14,'BSE ALL CAP'!$B$4:$Y$1038,20,)</f>
        <v>1.916083916083916E-2</v>
      </c>
      <c r="V14" s="95">
        <f>VLOOKUP(A14,'BSE ALL CAP'!$B$4:$Y$1038,21,)</f>
        <v>8.0591685794440204E-2</v>
      </c>
      <c r="W14" s="95">
        <f>VLOOKUP(A14,'BSE ALL CAP'!$B$4:$Y$1038,22,)</f>
        <v>0.19238900634249467</v>
      </c>
      <c r="X14" s="95">
        <f>VLOOKUP(A14,'BSE ALL CAP'!$B$4:$Y$1038,23,)</f>
        <v>7.9245283018867907E-2</v>
      </c>
      <c r="Y14" s="95">
        <f>VLOOKUP(A14,'BSE ALL CAP'!$B$4:$Y$1038,24,)</f>
        <v>0.2515723270440251</v>
      </c>
    </row>
    <row r="15" spans="1:25" ht="15.75" customHeight="1">
      <c r="A15" s="99">
        <v>532400</v>
      </c>
      <c r="B15" s="98" t="s">
        <v>4939</v>
      </c>
      <c r="C15" s="101" t="str">
        <f>VLOOKUP(A15,'BSE ALL CAP'!$B$4:$Y$1038,2,)</f>
        <v>Information Technology</v>
      </c>
      <c r="D15" s="101" t="str">
        <f>VLOOKUP(A15,'BSE ALL CAP'!$B$4:$Y$1038,3,)</f>
        <v>Computers - Software &amp; Consulting</v>
      </c>
      <c r="E15" s="101">
        <f ca="1">IFERROR(__xludf.DUMMYFUNCTION("GOOGLEFINANCE(""bom:""&amp;A15,""price"")"),366.75)</f>
        <v>366.75</v>
      </c>
      <c r="F15" s="112">
        <f ca="1">IFERROR(__xludf.DUMMYFUNCTION("GOOGLEFINANCE(""BOM:""&amp;A15,""MARKETCAP"")/10000000"),10104.9820716)</f>
        <v>10104.982071599999</v>
      </c>
      <c r="G15" s="95">
        <f t="shared" ca="1" si="0"/>
        <v>3.8649849226369002E-3</v>
      </c>
      <c r="H15" s="101">
        <f>VLOOKUP(A15,'BSE ALL CAP'!$B$4:$Y$1038,7,)</f>
        <v>3961</v>
      </c>
      <c r="I15" s="101">
        <f>VLOOKUP(A15,'BSE ALL CAP'!$B$4:$Y$1038,8,)</f>
        <v>4058</v>
      </c>
      <c r="J15" s="101">
        <f>VLOOKUP(A15,'BSE ALL CAP'!$B$4:$Y$1038,9,)</f>
        <v>342</v>
      </c>
      <c r="K15" s="101">
        <f>VLOOKUP(A15,'BSE ALL CAP'!$B$4:$Y$1038,10,)</f>
        <v>394</v>
      </c>
      <c r="L15" s="101">
        <f>VLOOKUP(A15,'BSE ALL CAP'!$B$4:$Y$1038,11,)</f>
        <v>1347</v>
      </c>
      <c r="M15" s="101">
        <f>VLOOKUP(A15,'BSE ALL CAP'!$B$4:$Y$1038,12,)</f>
        <v>1362</v>
      </c>
      <c r="N15" s="101">
        <f>VLOOKUP(A15,'BSE ALL CAP'!$B$4:$Y$1038,13,)</f>
        <v>119</v>
      </c>
      <c r="O15" s="101">
        <f>VLOOKUP(A15,'BSE ALL CAP'!$B$4:$Y$1038,14,)</f>
        <v>116</v>
      </c>
      <c r="P15" s="95">
        <f>VLOOKUP(A15,'BSE ALL CAP'!$B$4:$Y$1038,15,)</f>
        <v>8.6341832870487245E-2</v>
      </c>
      <c r="Q15" s="95">
        <f>VLOOKUP(A15,'BSE ALL CAP'!$B$4:$Y$1038,16,)</f>
        <v>9.7092163627402667E-2</v>
      </c>
      <c r="R15" s="95">
        <f>VLOOKUP(A15,'BSE ALL CAP'!$B$4:$Y$1038,17,)</f>
        <v>-1.0750330756915422E-2</v>
      </c>
      <c r="S15" s="95">
        <f>VLOOKUP(A15,'BSE ALL CAP'!$B$4:$Y$1038,18,)</f>
        <v>8.8344469190794361E-2</v>
      </c>
      <c r="T15" s="95">
        <f>VLOOKUP(A15,'BSE ALL CAP'!$B$4:$Y$1038,19,)</f>
        <v>8.5168869309838469E-2</v>
      </c>
      <c r="U15" s="95">
        <f>VLOOKUP(A15,'BSE ALL CAP'!$B$4:$Y$1038,20,)</f>
        <v>3.1755998809558927E-3</v>
      </c>
      <c r="V15" s="95">
        <f>VLOOKUP(A15,'BSE ALL CAP'!$B$4:$Y$1038,21,)</f>
        <v>-2.390340068999508E-2</v>
      </c>
      <c r="W15" s="95">
        <f>VLOOKUP(A15,'BSE ALL CAP'!$B$4:$Y$1038,22,)</f>
        <v>-0.13197969543147203</v>
      </c>
      <c r="X15" s="95">
        <f>VLOOKUP(A15,'BSE ALL CAP'!$B$4:$Y$1038,23,)</f>
        <v>-1.1013215859030812E-2</v>
      </c>
      <c r="Y15" s="95">
        <f>VLOOKUP(A15,'BSE ALL CAP'!$B$4:$Y$1038,24,)</f>
        <v>2.5862068965517349E-2</v>
      </c>
    </row>
    <row r="16" spans="1:25" ht="15.75" customHeight="1">
      <c r="A16" s="99">
        <v>538835</v>
      </c>
      <c r="B16" s="98" t="s">
        <v>4940</v>
      </c>
      <c r="C16" s="101" t="str">
        <f>VLOOKUP(A16,'BSE ALL CAP'!$B$4:$Y$1038,2,)</f>
        <v>Information Technology</v>
      </c>
      <c r="D16" s="101" t="str">
        <f>VLOOKUP(A16,'BSE ALL CAP'!$B$4:$Y$1038,3,)</f>
        <v>Computers - Software &amp; Consulting</v>
      </c>
      <c r="E16" s="101">
        <f ca="1">IFERROR(__xludf.DUMMYFUNCTION("GOOGLEFINANCE(""bom:""&amp;A16,""price"")"),652.8)</f>
        <v>652.79999999999995</v>
      </c>
      <c r="F16" s="112">
        <f ca="1">IFERROR(__xludf.DUMMYFUNCTION("GOOGLEFINANCE(""BOM:""&amp;A16,""MARKETCAP"")/10000000"),9106.94692)</f>
        <v>9106.9469200000003</v>
      </c>
      <c r="G16" s="95">
        <f t="shared" ca="1" si="0"/>
        <v>3.483253338566424E-3</v>
      </c>
      <c r="H16" s="101">
        <f>VLOOKUP(A16,'BSE ALL CAP'!$B$4:$Y$1038,7,)</f>
        <v>2191</v>
      </c>
      <c r="I16" s="101">
        <f>VLOOKUP(A16,'BSE ALL CAP'!$B$4:$Y$1038,8,)</f>
        <v>1774</v>
      </c>
      <c r="J16" s="101">
        <f>VLOOKUP(A16,'BSE ALL CAP'!$B$4:$Y$1038,9,)</f>
        <v>223</v>
      </c>
      <c r="K16" s="101">
        <f>VLOOKUP(A16,'BSE ALL CAP'!$B$4:$Y$1038,10,)</f>
        <v>198</v>
      </c>
      <c r="L16" s="101">
        <f>VLOOKUP(A16,'BSE ALL CAP'!$B$4:$Y$1038,11,)</f>
        <v>731</v>
      </c>
      <c r="M16" s="101">
        <f>VLOOKUP(A16,'BSE ALL CAP'!$B$4:$Y$1038,12,)</f>
        <v>609</v>
      </c>
      <c r="N16" s="101">
        <f>VLOOKUP(A16,'BSE ALL CAP'!$B$4:$Y$1038,13,)</f>
        <v>27</v>
      </c>
      <c r="O16" s="101">
        <f>VLOOKUP(A16,'BSE ALL CAP'!$B$4:$Y$1038,14,)</f>
        <v>70</v>
      </c>
      <c r="P16" s="95">
        <f>VLOOKUP(A16,'BSE ALL CAP'!$B$4:$Y$1038,15,)</f>
        <v>0.10178000912825194</v>
      </c>
      <c r="Q16" s="95">
        <f>VLOOKUP(A16,'BSE ALL CAP'!$B$4:$Y$1038,16,)</f>
        <v>0.11161217587373168</v>
      </c>
      <c r="R16" s="95">
        <f>VLOOKUP(A16,'BSE ALL CAP'!$B$4:$Y$1038,17,)</f>
        <v>-9.8321667454797368E-3</v>
      </c>
      <c r="S16" s="95">
        <f>VLOOKUP(A16,'BSE ALL CAP'!$B$4:$Y$1038,18,)</f>
        <v>3.6935704514363885E-2</v>
      </c>
      <c r="T16" s="95">
        <f>VLOOKUP(A16,'BSE ALL CAP'!$B$4:$Y$1038,19,)</f>
        <v>0.11494252873563218</v>
      </c>
      <c r="U16" s="95">
        <f>VLOOKUP(A16,'BSE ALL CAP'!$B$4:$Y$1038,20,)</f>
        <v>-7.8006824221268298E-2</v>
      </c>
      <c r="V16" s="95">
        <f>VLOOKUP(A16,'BSE ALL CAP'!$B$4:$Y$1038,21,)</f>
        <v>0.23506200676437428</v>
      </c>
      <c r="W16" s="95">
        <f>VLOOKUP(A16,'BSE ALL CAP'!$B$4:$Y$1038,22,)</f>
        <v>0.1262626262626263</v>
      </c>
      <c r="X16" s="95">
        <f>VLOOKUP(A16,'BSE ALL CAP'!$B$4:$Y$1038,23,)</f>
        <v>0.20032840722495893</v>
      </c>
      <c r="Y16" s="95">
        <f>VLOOKUP(A16,'BSE ALL CAP'!$B$4:$Y$1038,24,)</f>
        <v>-0.61428571428571432</v>
      </c>
    </row>
    <row r="17" spans="1:25" ht="15.75" customHeight="1">
      <c r="A17" s="99">
        <v>543398</v>
      </c>
      <c r="B17" s="98" t="s">
        <v>4941</v>
      </c>
      <c r="C17" s="101" t="str">
        <f>VLOOKUP(A17,'BSE ALL CAP'!$B$4:$Y$1038,2,)</f>
        <v>Information Technology</v>
      </c>
      <c r="D17" s="101" t="str">
        <f>VLOOKUP(A17,'BSE ALL CAP'!$B$4:$Y$1038,3,)</f>
        <v>Computers - Software &amp; Consulting</v>
      </c>
      <c r="E17" s="101">
        <f ca="1">IFERROR(__xludf.DUMMYFUNCTION("GOOGLEFINANCE(""bom:""&amp;A17,""price"")"),303.05)</f>
        <v>303.05</v>
      </c>
      <c r="F17" s="112">
        <f ca="1">IFERROR(__xludf.DUMMYFUNCTION("GOOGLEFINANCE(""BOM:""&amp;A17,""MARKETCAP"")/10000000"),6276.0319644)</f>
        <v>6276.0319644000001</v>
      </c>
      <c r="G17" s="95">
        <f t="shared" ca="1" si="0"/>
        <v>2.4004761952588489E-3</v>
      </c>
      <c r="H17" s="101">
        <f>VLOOKUP(A17,'BSE ALL CAP'!$B$4:$Y$1038,7,)</f>
        <v>771</v>
      </c>
      <c r="I17" s="101">
        <f>VLOOKUP(A17,'BSE ALL CAP'!$B$4:$Y$1038,8,)</f>
        <v>615</v>
      </c>
      <c r="J17" s="101">
        <f>VLOOKUP(A17,'BSE ALL CAP'!$B$4:$Y$1038,9,)</f>
        <v>147</v>
      </c>
      <c r="K17" s="101">
        <f>VLOOKUP(A17,'BSE ALL CAP'!$B$4:$Y$1038,10,)</f>
        <v>122</v>
      </c>
      <c r="L17" s="101">
        <f>VLOOKUP(A17,'BSE ALL CAP'!$B$4:$Y$1038,11,)</f>
        <v>278</v>
      </c>
      <c r="M17" s="101">
        <f>VLOOKUP(A17,'BSE ALL CAP'!$B$4:$Y$1038,12,)</f>
        <v>227</v>
      </c>
      <c r="N17" s="101">
        <f>VLOOKUP(A17,'BSE ALL CAP'!$B$4:$Y$1038,13,)</f>
        <v>50</v>
      </c>
      <c r="O17" s="101">
        <f>VLOOKUP(A17,'BSE ALL CAP'!$B$4:$Y$1038,14,)</f>
        <v>42</v>
      </c>
      <c r="P17" s="95">
        <f>VLOOKUP(A17,'BSE ALL CAP'!$B$4:$Y$1038,15,)</f>
        <v>0.19066147859922178</v>
      </c>
      <c r="Q17" s="95">
        <f>VLOOKUP(A17,'BSE ALL CAP'!$B$4:$Y$1038,16,)</f>
        <v>0.19837398373983739</v>
      </c>
      <c r="R17" s="95">
        <f>VLOOKUP(A17,'BSE ALL CAP'!$B$4:$Y$1038,17,)</f>
        <v>-7.7125051406156109E-3</v>
      </c>
      <c r="S17" s="95">
        <f>VLOOKUP(A17,'BSE ALL CAP'!$B$4:$Y$1038,18,)</f>
        <v>0.17985611510791366</v>
      </c>
      <c r="T17" s="95">
        <f>VLOOKUP(A17,'BSE ALL CAP'!$B$4:$Y$1038,19,)</f>
        <v>0.18502202643171806</v>
      </c>
      <c r="U17" s="95">
        <f>VLOOKUP(A17,'BSE ALL CAP'!$B$4:$Y$1038,20,)</f>
        <v>-5.1659113238043952E-3</v>
      </c>
      <c r="V17" s="95">
        <f>VLOOKUP(A17,'BSE ALL CAP'!$B$4:$Y$1038,21,)</f>
        <v>0.25365853658536586</v>
      </c>
      <c r="W17" s="95">
        <f>VLOOKUP(A17,'BSE ALL CAP'!$B$4:$Y$1038,22,)</f>
        <v>0.20491803278688514</v>
      </c>
      <c r="X17" s="95">
        <f>VLOOKUP(A17,'BSE ALL CAP'!$B$4:$Y$1038,23,)</f>
        <v>0.22466960352422904</v>
      </c>
      <c r="Y17" s="95">
        <f>VLOOKUP(A17,'BSE ALL CAP'!$B$4:$Y$1038,24,)</f>
        <v>0.19047619047619047</v>
      </c>
    </row>
    <row r="18" spans="1:25" ht="15.75" customHeight="1">
      <c r="A18" s="99">
        <v>532221</v>
      </c>
      <c r="B18" s="98" t="s">
        <v>4942</v>
      </c>
      <c r="C18" s="101" t="str">
        <f>VLOOKUP(A18,'BSE ALL CAP'!$B$4:$Y$1038,2,)</f>
        <v>Information Technology</v>
      </c>
      <c r="D18" s="101" t="str">
        <f>VLOOKUP(A18,'BSE ALL CAP'!$B$4:$Y$1038,3,)</f>
        <v>Computers - Software &amp; Consulting</v>
      </c>
      <c r="E18" s="101">
        <f ca="1">IFERROR(__xludf.DUMMYFUNCTION("GOOGLEFINANCE(""bom:""&amp;A18,""price"")"),231.65)</f>
        <v>231.65</v>
      </c>
      <c r="F18" s="112">
        <f ca="1">IFERROR(__xludf.DUMMYFUNCTION("GOOGLEFINANCE(""BOM:""&amp;A18,""MARKETCAP"")/10000000"),6424.5361414)</f>
        <v>6424.5361413999999</v>
      </c>
      <c r="G18" s="95">
        <f t="shared" ca="1" si="0"/>
        <v>2.4572765340409165E-3</v>
      </c>
      <c r="H18" s="101">
        <f>VLOOKUP(A18,'BSE ALL CAP'!$B$4:$Y$1038,7,)</f>
        <v>8165</v>
      </c>
      <c r="I18" s="101">
        <f>VLOOKUP(A18,'BSE ALL CAP'!$B$4:$Y$1038,8,)</f>
        <v>7540</v>
      </c>
      <c r="J18" s="101">
        <f>VLOOKUP(A18,'BSE ALL CAP'!$B$4:$Y$1038,9,)</f>
        <v>333</v>
      </c>
      <c r="K18" s="101">
        <f>VLOOKUP(A18,'BSE ALL CAP'!$B$4:$Y$1038,10,)</f>
        <v>317</v>
      </c>
      <c r="L18" s="101">
        <f>VLOOKUP(A18,'BSE ALL CAP'!$B$4:$Y$1038,11,)</f>
        <v>3080</v>
      </c>
      <c r="M18" s="101">
        <f>VLOOKUP(A18,'BSE ALL CAP'!$B$4:$Y$1038,12,)</f>
        <v>2842</v>
      </c>
      <c r="N18" s="101">
        <f>VLOOKUP(A18,'BSE ALL CAP'!$B$4:$Y$1038,13,)</f>
        <v>36</v>
      </c>
      <c r="O18" s="101">
        <f>VLOOKUP(A18,'BSE ALL CAP'!$B$4:$Y$1038,14,)</f>
        <v>31</v>
      </c>
      <c r="P18" s="95">
        <f>VLOOKUP(A18,'BSE ALL CAP'!$B$4:$Y$1038,15,)</f>
        <v>4.0783833435394976E-2</v>
      </c>
      <c r="Q18" s="95">
        <f>VLOOKUP(A18,'BSE ALL CAP'!$B$4:$Y$1038,16,)</f>
        <v>4.2042440318302385E-2</v>
      </c>
      <c r="R18" s="95">
        <f>VLOOKUP(A18,'BSE ALL CAP'!$B$4:$Y$1038,17,)</f>
        <v>-1.2586068829074093E-3</v>
      </c>
      <c r="S18" s="95">
        <f>VLOOKUP(A18,'BSE ALL CAP'!$B$4:$Y$1038,18,)</f>
        <v>1.1688311688311689E-2</v>
      </c>
      <c r="T18" s="95">
        <f>VLOOKUP(A18,'BSE ALL CAP'!$B$4:$Y$1038,19,)</f>
        <v>1.0907811400422239E-2</v>
      </c>
      <c r="U18" s="95">
        <f>VLOOKUP(A18,'BSE ALL CAP'!$B$4:$Y$1038,20,)</f>
        <v>7.8050028788945007E-4</v>
      </c>
      <c r="V18" s="95">
        <f>VLOOKUP(A18,'BSE ALL CAP'!$B$4:$Y$1038,21,)</f>
        <v>8.2891246684350106E-2</v>
      </c>
      <c r="W18" s="95">
        <f>VLOOKUP(A18,'BSE ALL CAP'!$B$4:$Y$1038,22,)</f>
        <v>5.0473186119873725E-2</v>
      </c>
      <c r="X18" s="95">
        <f>VLOOKUP(A18,'BSE ALL CAP'!$B$4:$Y$1038,23,)</f>
        <v>8.3743842364532028E-2</v>
      </c>
      <c r="Y18" s="95">
        <f>VLOOKUP(A18,'BSE ALL CAP'!$B$4:$Y$1038,24,)</f>
        <v>0.16129032258064524</v>
      </c>
    </row>
    <row r="19" spans="1:25" ht="15.75" customHeight="1">
      <c r="A19" s="99">
        <v>540900</v>
      </c>
      <c r="B19" s="98" t="s">
        <v>4943</v>
      </c>
      <c r="C19" s="101" t="str">
        <f>VLOOKUP(A19,'BSE ALL CAP'!$B$4:$Y$1038,2,)</f>
        <v>Information Technology</v>
      </c>
      <c r="D19" s="101" t="str">
        <f>VLOOKUP(A19,'BSE ALL CAP'!$B$4:$Y$1038,3,)</f>
        <v>Computers - Software &amp; Consulting</v>
      </c>
      <c r="E19" s="101">
        <f ca="1">IFERROR(__xludf.DUMMYFUNCTION("GOOGLEFINANCE(""bom:""&amp;A19,""price"")"),441)</f>
        <v>441</v>
      </c>
      <c r="F19" s="112">
        <f ca="1">IFERROR(__xludf.DUMMYFUNCTION("GOOGLEFINANCE(""BOM:""&amp;A19,""MARKETCAP"")/10000000"),6232.51188)</f>
        <v>6232.51188</v>
      </c>
      <c r="G19" s="95">
        <f t="shared" ca="1" si="0"/>
        <v>2.3838304982307834E-3</v>
      </c>
      <c r="H19" s="101">
        <f>VLOOKUP(A19,'BSE ALL CAP'!$B$4:$Y$1038,7,)</f>
        <v>1121</v>
      </c>
      <c r="I19" s="101">
        <f>VLOOKUP(A19,'BSE ALL CAP'!$B$4:$Y$1038,8,)</f>
        <v>1056</v>
      </c>
      <c r="J19" s="101">
        <f>VLOOKUP(A19,'BSE ALL CAP'!$B$4:$Y$1038,9,)</f>
        <v>194</v>
      </c>
      <c r="K19" s="101">
        <f>VLOOKUP(A19,'BSE ALL CAP'!$B$4:$Y$1038,10,)</f>
        <v>206</v>
      </c>
      <c r="L19" s="101">
        <f>VLOOKUP(A19,'BSE ALL CAP'!$B$4:$Y$1038,11,)</f>
        <v>400</v>
      </c>
      <c r="M19" s="101">
        <f>VLOOKUP(A19,'BSE ALL CAP'!$B$4:$Y$1038,12,)</f>
        <v>381</v>
      </c>
      <c r="N19" s="101">
        <f>VLOOKUP(A19,'BSE ALL CAP'!$B$4:$Y$1038,13,)</f>
        <v>62</v>
      </c>
      <c r="O19" s="101">
        <f>VLOOKUP(A19,'BSE ALL CAP'!$B$4:$Y$1038,14,)</f>
        <v>89</v>
      </c>
      <c r="P19" s="95">
        <f>VLOOKUP(A19,'BSE ALL CAP'!$B$4:$Y$1038,15,)</f>
        <v>0.17305976806422838</v>
      </c>
      <c r="Q19" s="95">
        <f>VLOOKUP(A19,'BSE ALL CAP'!$B$4:$Y$1038,16,)</f>
        <v>0.19507575757575757</v>
      </c>
      <c r="R19" s="95">
        <f>VLOOKUP(A19,'BSE ALL CAP'!$B$4:$Y$1038,17,)</f>
        <v>-2.2015989511529194E-2</v>
      </c>
      <c r="S19" s="95">
        <f>VLOOKUP(A19,'BSE ALL CAP'!$B$4:$Y$1038,18,)</f>
        <v>0.155</v>
      </c>
      <c r="T19" s="95">
        <f>VLOOKUP(A19,'BSE ALL CAP'!$B$4:$Y$1038,19,)</f>
        <v>0.23359580052493439</v>
      </c>
      <c r="U19" s="95">
        <f>VLOOKUP(A19,'BSE ALL CAP'!$B$4:$Y$1038,20,)</f>
        <v>-7.8595800524934395E-2</v>
      </c>
      <c r="V19" s="95">
        <f>VLOOKUP(A19,'BSE ALL CAP'!$B$4:$Y$1038,21,)</f>
        <v>6.1553030303030276E-2</v>
      </c>
      <c r="W19" s="95">
        <f>VLOOKUP(A19,'BSE ALL CAP'!$B$4:$Y$1038,22,)</f>
        <v>-5.8252427184465994E-2</v>
      </c>
      <c r="X19" s="95">
        <f>VLOOKUP(A19,'BSE ALL CAP'!$B$4:$Y$1038,23,)</f>
        <v>4.986876640419946E-2</v>
      </c>
      <c r="Y19" s="95">
        <f>VLOOKUP(A19,'BSE ALL CAP'!$B$4:$Y$1038,24,)</f>
        <v>-0.3033707865168539</v>
      </c>
    </row>
    <row r="20" spans="1:25" ht="15.75" customHeight="1">
      <c r="A20" s="99">
        <v>543417</v>
      </c>
      <c r="B20" s="98" t="s">
        <v>4944</v>
      </c>
      <c r="C20" s="101" t="str">
        <f>VLOOKUP(A20,'BSE ALL CAP'!$B$4:$Y$1038,2,)</f>
        <v>Information Technology</v>
      </c>
      <c r="D20" s="101" t="str">
        <f>VLOOKUP(A20,'BSE ALL CAP'!$B$4:$Y$1038,3,)</f>
        <v>Computers - Software &amp; Consulting</v>
      </c>
      <c r="E20" s="101">
        <f ca="1">IFERROR(__xludf.DUMMYFUNCTION("GOOGLEFINANCE(""bom:""&amp;A20,""price"")"),496.65)</f>
        <v>496.65</v>
      </c>
      <c r="F20" s="112">
        <f ca="1">IFERROR(__xludf.DUMMYFUNCTION("GOOGLEFINANCE(""BOM:""&amp;A20,""MARKETCAP"")/10000000"),5870.0460343)</f>
        <v>5870.0460343000004</v>
      </c>
      <c r="G20" s="95">
        <f t="shared" ca="1" si="0"/>
        <v>2.2451934359703145E-3</v>
      </c>
      <c r="H20" s="101">
        <f>VLOOKUP(A20,'BSE ALL CAP'!$B$4:$Y$1038,7,)</f>
        <v>1108</v>
      </c>
      <c r="I20" s="101">
        <f>VLOOKUP(A20,'BSE ALL CAP'!$B$4:$Y$1038,8,)</f>
        <v>815</v>
      </c>
      <c r="J20" s="101">
        <f>VLOOKUP(A20,'BSE ALL CAP'!$B$4:$Y$1038,9,)</f>
        <v>124</v>
      </c>
      <c r="K20" s="101">
        <f>VLOOKUP(A20,'BSE ALL CAP'!$B$4:$Y$1038,10,)</f>
        <v>154</v>
      </c>
      <c r="L20" s="101">
        <f>VLOOKUP(A20,'BSE ALL CAP'!$B$4:$Y$1038,11,)</f>
        <v>540</v>
      </c>
      <c r="M20" s="101">
        <f>VLOOKUP(A20,'BSE ALL CAP'!$B$4:$Y$1038,12,)</f>
        <v>278</v>
      </c>
      <c r="N20" s="101">
        <f>VLOOKUP(A20,'BSE ALL CAP'!$B$4:$Y$1038,13,)</f>
        <v>26</v>
      </c>
      <c r="O20" s="101">
        <f>VLOOKUP(A20,'BSE ALL CAP'!$B$4:$Y$1038,14,)</f>
        <v>56</v>
      </c>
      <c r="P20" s="95">
        <f>VLOOKUP(A20,'BSE ALL CAP'!$B$4:$Y$1038,15,)</f>
        <v>0.11191335740072202</v>
      </c>
      <c r="Q20" s="95">
        <f>VLOOKUP(A20,'BSE ALL CAP'!$B$4:$Y$1038,16,)</f>
        <v>0.18895705521472392</v>
      </c>
      <c r="R20" s="95">
        <f>VLOOKUP(A20,'BSE ALL CAP'!$B$4:$Y$1038,17,)</f>
        <v>-7.7043697814001902E-2</v>
      </c>
      <c r="S20" s="95">
        <f>VLOOKUP(A20,'BSE ALL CAP'!$B$4:$Y$1038,18,)</f>
        <v>4.8148148148148148E-2</v>
      </c>
      <c r="T20" s="95">
        <f>VLOOKUP(A20,'BSE ALL CAP'!$B$4:$Y$1038,19,)</f>
        <v>0.20143884892086331</v>
      </c>
      <c r="U20" s="95">
        <f>VLOOKUP(A20,'BSE ALL CAP'!$B$4:$Y$1038,20,)</f>
        <v>-0.15329070077271517</v>
      </c>
      <c r="V20" s="95">
        <f>VLOOKUP(A20,'BSE ALL CAP'!$B$4:$Y$1038,21,)</f>
        <v>0.35950920245398765</v>
      </c>
      <c r="W20" s="95">
        <f>VLOOKUP(A20,'BSE ALL CAP'!$B$4:$Y$1038,22,)</f>
        <v>-0.19480519480519476</v>
      </c>
      <c r="X20" s="95">
        <f>VLOOKUP(A20,'BSE ALL CAP'!$B$4:$Y$1038,23,)</f>
        <v>0.94244604316546754</v>
      </c>
      <c r="Y20" s="95">
        <f>VLOOKUP(A20,'BSE ALL CAP'!$B$4:$Y$1038,24,)</f>
        <v>-0.5357142857142857</v>
      </c>
    </row>
    <row r="21" spans="1:25" ht="15.75" customHeight="1">
      <c r="A21" s="99">
        <v>523704</v>
      </c>
      <c r="B21" s="98" t="s">
        <v>4945</v>
      </c>
      <c r="C21" s="101" t="str">
        <f>VLOOKUP(A21,'BSE ALL CAP'!$B$4:$Y$1038,2,)</f>
        <v>Information Technology</v>
      </c>
      <c r="D21" s="101" t="str">
        <f>VLOOKUP(A21,'BSE ALL CAP'!$B$4:$Y$1038,3,)</f>
        <v>Computers - Software &amp; Consulting</v>
      </c>
      <c r="E21" s="101">
        <f ca="1">IFERROR(__xludf.DUMMYFUNCTION("GOOGLEFINANCE(""bom:""&amp;A21,""price"")"),1490.5)</f>
        <v>1490.5</v>
      </c>
      <c r="F21" s="112">
        <f ca="1">IFERROR(__xludf.DUMMYFUNCTION("GOOGLEFINANCE(""BOM:""&amp;A21,""MARKETCAP"")/10000000"),4618.60366)</f>
        <v>4618.6036599999998</v>
      </c>
      <c r="G21" s="95">
        <f t="shared" ca="1" si="0"/>
        <v>1.7665378704337616E-3</v>
      </c>
      <c r="H21" s="101">
        <f>VLOOKUP(A21,'BSE ALL CAP'!$B$4:$Y$1038,7,)</f>
        <v>2760</v>
      </c>
      <c r="I21" s="101">
        <f>VLOOKUP(A21,'BSE ALL CAP'!$B$4:$Y$1038,8,)</f>
        <v>2549</v>
      </c>
      <c r="J21" s="101">
        <f>VLOOKUP(A21,'BSE ALL CAP'!$B$4:$Y$1038,9,)</f>
        <v>297</v>
      </c>
      <c r="K21" s="101">
        <f>VLOOKUP(A21,'BSE ALL CAP'!$B$4:$Y$1038,10,)</f>
        <v>294</v>
      </c>
      <c r="L21" s="101">
        <f>VLOOKUP(A21,'BSE ALL CAP'!$B$4:$Y$1038,11,)</f>
        <v>905</v>
      </c>
      <c r="M21" s="101">
        <f>VLOOKUP(A21,'BSE ALL CAP'!$B$4:$Y$1038,12,)</f>
        <v>869</v>
      </c>
      <c r="N21" s="101">
        <f>VLOOKUP(A21,'BSE ALL CAP'!$B$4:$Y$1038,13,)</f>
        <v>108</v>
      </c>
      <c r="O21" s="101">
        <f>VLOOKUP(A21,'BSE ALL CAP'!$B$4:$Y$1038,14,)</f>
        <v>94</v>
      </c>
      <c r="P21" s="95">
        <f>VLOOKUP(A21,'BSE ALL CAP'!$B$4:$Y$1038,15,)</f>
        <v>0.10760869565217392</v>
      </c>
      <c r="Q21" s="95">
        <f>VLOOKUP(A21,'BSE ALL CAP'!$B$4:$Y$1038,16,)</f>
        <v>0.11533934876422126</v>
      </c>
      <c r="R21" s="95">
        <f>VLOOKUP(A21,'BSE ALL CAP'!$B$4:$Y$1038,17,)</f>
        <v>-7.7306531120473476E-3</v>
      </c>
      <c r="S21" s="95">
        <f>VLOOKUP(A21,'BSE ALL CAP'!$B$4:$Y$1038,18,)</f>
        <v>0.11933701657458563</v>
      </c>
      <c r="T21" s="95">
        <f>VLOOKUP(A21,'BSE ALL CAP'!$B$4:$Y$1038,19,)</f>
        <v>0.10817031070195628</v>
      </c>
      <c r="U21" s="95">
        <f>VLOOKUP(A21,'BSE ALL CAP'!$B$4:$Y$1038,20,)</f>
        <v>1.1166705872629357E-2</v>
      </c>
      <c r="V21" s="95">
        <f>VLOOKUP(A21,'BSE ALL CAP'!$B$4:$Y$1038,21,)</f>
        <v>8.2777559827383218E-2</v>
      </c>
      <c r="W21" s="95">
        <f>VLOOKUP(A21,'BSE ALL CAP'!$B$4:$Y$1038,22,)</f>
        <v>1.0204081632652962E-2</v>
      </c>
      <c r="X21" s="95">
        <f>VLOOKUP(A21,'BSE ALL CAP'!$B$4:$Y$1038,23,)</f>
        <v>4.1426927502876909E-2</v>
      </c>
      <c r="Y21" s="95">
        <f>VLOOKUP(A21,'BSE ALL CAP'!$B$4:$Y$1038,24,)</f>
        <v>0.14893617021276606</v>
      </c>
    </row>
    <row r="22" spans="1:25" ht="15.75" customHeight="1">
      <c r="A22" s="99">
        <v>543227</v>
      </c>
      <c r="B22" s="98" t="s">
        <v>4946</v>
      </c>
      <c r="C22" s="101" t="str">
        <f>VLOOKUP(A22,'BSE ALL CAP'!$B$4:$Y$1038,2,)</f>
        <v>Information Technology</v>
      </c>
      <c r="D22" s="101" t="str">
        <f>VLOOKUP(A22,'BSE ALL CAP'!$B$4:$Y$1038,3,)</f>
        <v>Computers - Software &amp; Consulting</v>
      </c>
      <c r="E22" s="101">
        <f ca="1">IFERROR(__xludf.DUMMYFUNCTION("GOOGLEFINANCE(""bom:""&amp;A22,""price"")"),384.85)</f>
        <v>384.85</v>
      </c>
      <c r="F22" s="112">
        <f ca="1">IFERROR(__xludf.DUMMYFUNCTION("GOOGLEFINANCE(""BOM:""&amp;A22,""MARKETCAP"")/10000000"),5782.3949473)</f>
        <v>5782.3949473000002</v>
      </c>
      <c r="G22" s="95">
        <f t="shared" ca="1" si="0"/>
        <v>2.2116683760239099E-3</v>
      </c>
      <c r="H22" s="101">
        <f>VLOOKUP(A22,'BSE ALL CAP'!$B$4:$Y$1038,7,)</f>
        <v>1711</v>
      </c>
      <c r="I22" s="101">
        <f>VLOOKUP(A22,'BSE ALL CAP'!$B$4:$Y$1038,8,)</f>
        <v>1516</v>
      </c>
      <c r="J22" s="101">
        <f>VLOOKUP(A22,'BSE ALL CAP'!$B$4:$Y$1038,9,)</f>
        <v>151</v>
      </c>
      <c r="K22" s="101">
        <f>VLOOKUP(A22,'BSE ALL CAP'!$B$4:$Y$1038,10,)</f>
        <v>150</v>
      </c>
      <c r="L22" s="101">
        <f>VLOOKUP(A22,'BSE ALL CAP'!$B$4:$Y$1038,11,)</f>
        <v>587</v>
      </c>
      <c r="M22" s="101">
        <f>VLOOKUP(A22,'BSE ALL CAP'!$B$4:$Y$1038,12,)</f>
        <v>530</v>
      </c>
      <c r="N22" s="101">
        <f>VLOOKUP(A22,'BSE ALL CAP'!$B$4:$Y$1038,13,)</f>
        <v>40</v>
      </c>
      <c r="O22" s="101">
        <f>VLOOKUP(A22,'BSE ALL CAP'!$B$4:$Y$1038,14,)</f>
        <v>50</v>
      </c>
      <c r="P22" s="95">
        <f>VLOOKUP(A22,'BSE ALL CAP'!$B$4:$Y$1038,15,)</f>
        <v>8.8252483927527756E-2</v>
      </c>
      <c r="Q22" s="95">
        <f>VLOOKUP(A22,'BSE ALL CAP'!$B$4:$Y$1038,16,)</f>
        <v>9.894459102902374E-2</v>
      </c>
      <c r="R22" s="95">
        <f>VLOOKUP(A22,'BSE ALL CAP'!$B$4:$Y$1038,17,)</f>
        <v>-1.0692107101495985E-2</v>
      </c>
      <c r="S22" s="95">
        <f>VLOOKUP(A22,'BSE ALL CAP'!$B$4:$Y$1038,18,)</f>
        <v>6.8143100511073251E-2</v>
      </c>
      <c r="T22" s="95">
        <f>VLOOKUP(A22,'BSE ALL CAP'!$B$4:$Y$1038,19,)</f>
        <v>9.4339622641509441E-2</v>
      </c>
      <c r="U22" s="95">
        <f>VLOOKUP(A22,'BSE ALL CAP'!$B$4:$Y$1038,20,)</f>
        <v>-2.6196522130436189E-2</v>
      </c>
      <c r="V22" s="95">
        <f>VLOOKUP(A22,'BSE ALL CAP'!$B$4:$Y$1038,21,)</f>
        <v>0.12862796833773094</v>
      </c>
      <c r="W22" s="95">
        <f>VLOOKUP(A22,'BSE ALL CAP'!$B$4:$Y$1038,22,)</f>
        <v>6.6666666666665986E-3</v>
      </c>
      <c r="X22" s="95">
        <f>VLOOKUP(A22,'BSE ALL CAP'!$B$4:$Y$1038,23,)</f>
        <v>0.10754716981132084</v>
      </c>
      <c r="Y22" s="95">
        <f>VLOOKUP(A22,'BSE ALL CAP'!$B$4:$Y$1038,24,)</f>
        <v>-0.19999999999999996</v>
      </c>
    </row>
    <row r="23" spans="1:25" ht="15.75" customHeight="1">
      <c r="A23" s="99">
        <v>532668</v>
      </c>
      <c r="B23" s="98" t="s">
        <v>4947</v>
      </c>
      <c r="C23" s="101" t="str">
        <f>VLOOKUP(A23,'BSE ALL CAP'!$B$4:$Y$1038,2,)</f>
        <v>Information Technology</v>
      </c>
      <c r="D23" s="101" t="str">
        <f>VLOOKUP(A23,'BSE ALL CAP'!$B$4:$Y$1038,3,)</f>
        <v>Computers - Software &amp; Consulting</v>
      </c>
      <c r="E23" s="101">
        <f ca="1">IFERROR(__xludf.DUMMYFUNCTION("GOOGLEFINANCE(""bom:""&amp;A23,""price"")"),785.3)</f>
        <v>785.3</v>
      </c>
      <c r="F23" s="112">
        <f ca="1">IFERROR(__xludf.DUMMYFUNCTION("GOOGLEFINANCE(""BOM:""&amp;A23,""MARKETCAP"")/10000000"),4334.26132)</f>
        <v>4334.2613199999996</v>
      </c>
      <c r="G23" s="95">
        <f t="shared" ca="1" si="0"/>
        <v>1.6577817292372354E-3</v>
      </c>
      <c r="H23" s="101">
        <f>VLOOKUP(A23,'BSE ALL CAP'!$B$4:$Y$1038,7,)</f>
        <v>1065</v>
      </c>
      <c r="I23" s="101">
        <f>VLOOKUP(A23,'BSE ALL CAP'!$B$4:$Y$1038,8,)</f>
        <v>846</v>
      </c>
      <c r="J23" s="101">
        <f>VLOOKUP(A23,'BSE ALL CAP'!$B$4:$Y$1038,9,)</f>
        <v>150</v>
      </c>
      <c r="K23" s="101">
        <f>VLOOKUP(A23,'BSE ALL CAP'!$B$4:$Y$1038,10,)</f>
        <v>137</v>
      </c>
      <c r="L23" s="101">
        <f>VLOOKUP(A23,'BSE ALL CAP'!$B$4:$Y$1038,11,)</f>
        <v>371</v>
      </c>
      <c r="M23" s="101">
        <f>VLOOKUP(A23,'BSE ALL CAP'!$B$4:$Y$1038,12,)</f>
        <v>306</v>
      </c>
      <c r="N23" s="101">
        <f>VLOOKUP(A23,'BSE ALL CAP'!$B$4:$Y$1038,13,)</f>
        <v>43</v>
      </c>
      <c r="O23" s="101">
        <f>VLOOKUP(A23,'BSE ALL CAP'!$B$4:$Y$1038,14,)</f>
        <v>47</v>
      </c>
      <c r="P23" s="95">
        <f>VLOOKUP(A23,'BSE ALL CAP'!$B$4:$Y$1038,15,)</f>
        <v>0.14084507042253522</v>
      </c>
      <c r="Q23" s="95">
        <f>VLOOKUP(A23,'BSE ALL CAP'!$B$4:$Y$1038,16,)</f>
        <v>0.16193853427895982</v>
      </c>
      <c r="R23" s="95">
        <f>VLOOKUP(A23,'BSE ALL CAP'!$B$4:$Y$1038,17,)</f>
        <v>-2.1093463856424605E-2</v>
      </c>
      <c r="S23" s="95">
        <f>VLOOKUP(A23,'BSE ALL CAP'!$B$4:$Y$1038,18,)</f>
        <v>0.11590296495956873</v>
      </c>
      <c r="T23" s="95">
        <f>VLOOKUP(A23,'BSE ALL CAP'!$B$4:$Y$1038,19,)</f>
        <v>0.15359477124183007</v>
      </c>
      <c r="U23" s="95">
        <f>VLOOKUP(A23,'BSE ALL CAP'!$B$4:$Y$1038,20,)</f>
        <v>-3.7691806282261348E-2</v>
      </c>
      <c r="V23" s="95">
        <f>VLOOKUP(A23,'BSE ALL CAP'!$B$4:$Y$1038,21,)</f>
        <v>0.25886524822695045</v>
      </c>
      <c r="W23" s="95">
        <f>VLOOKUP(A23,'BSE ALL CAP'!$B$4:$Y$1038,22,)</f>
        <v>9.4890510948905105E-2</v>
      </c>
      <c r="X23" s="95">
        <f>VLOOKUP(A23,'BSE ALL CAP'!$B$4:$Y$1038,23,)</f>
        <v>0.21241830065359468</v>
      </c>
      <c r="Y23" s="95">
        <f>VLOOKUP(A23,'BSE ALL CAP'!$B$4:$Y$1038,24,)</f>
        <v>-8.5106382978723416E-2</v>
      </c>
    </row>
    <row r="24" spans="1:25" ht="15.75" customHeight="1">
      <c r="A24" s="99">
        <v>526433</v>
      </c>
      <c r="B24" s="98" t="s">
        <v>4948</v>
      </c>
      <c r="C24" s="101" t="str">
        <f>VLOOKUP(A24,'BSE ALL CAP'!$B$4:$Y$1038,2,)</f>
        <v>Information Technology</v>
      </c>
      <c r="D24" s="101" t="str">
        <f>VLOOKUP(A24,'BSE ALL CAP'!$B$4:$Y$1038,3,)</f>
        <v>Computers - Software &amp; Consulting</v>
      </c>
      <c r="E24" s="101">
        <f ca="1">IFERROR(__xludf.DUMMYFUNCTION("GOOGLEFINANCE(""bom:""&amp;A24,""price"")"),2504.95)</f>
        <v>2504.9499999999998</v>
      </c>
      <c r="F24" s="112">
        <f ca="1">IFERROR(__xludf.DUMMYFUNCTION("GOOGLEFINANCE(""BOM:""&amp;A24,""MARKETCAP"")/10000000"),3654.3712857)</f>
        <v>3654.3712857</v>
      </c>
      <c r="G24" s="95">
        <f t="shared" ca="1" si="0"/>
        <v>1.3977352775957324E-3</v>
      </c>
      <c r="H24" s="101">
        <f>VLOOKUP(A24,'BSE ALL CAP'!$B$4:$Y$1038,7,)</f>
        <v>393</v>
      </c>
      <c r="I24" s="101">
        <f>VLOOKUP(A24,'BSE ALL CAP'!$B$4:$Y$1038,8,)</f>
        <v>174</v>
      </c>
      <c r="J24" s="101">
        <f>VLOOKUP(A24,'BSE ALL CAP'!$B$4:$Y$1038,9,)</f>
        <v>44</v>
      </c>
      <c r="K24" s="101">
        <f>VLOOKUP(A24,'BSE ALL CAP'!$B$4:$Y$1038,10,)</f>
        <v>10</v>
      </c>
      <c r="L24" s="101">
        <f>VLOOKUP(A24,'BSE ALL CAP'!$B$4:$Y$1038,11,)</f>
        <v>116</v>
      </c>
      <c r="M24" s="101">
        <f>VLOOKUP(A24,'BSE ALL CAP'!$B$4:$Y$1038,12,)</f>
        <v>64</v>
      </c>
      <c r="N24" s="101">
        <f>VLOOKUP(A24,'BSE ALL CAP'!$B$4:$Y$1038,13,)</f>
        <v>9</v>
      </c>
      <c r="O24" s="101">
        <f>VLOOKUP(A24,'BSE ALL CAP'!$B$4:$Y$1038,14,)</f>
        <v>5</v>
      </c>
      <c r="P24" s="95">
        <f>VLOOKUP(A24,'BSE ALL CAP'!$B$4:$Y$1038,15,)</f>
        <v>0.11195928753180662</v>
      </c>
      <c r="Q24" s="95">
        <f>VLOOKUP(A24,'BSE ALL CAP'!$B$4:$Y$1038,16,)</f>
        <v>5.7471264367816091E-2</v>
      </c>
      <c r="R24" s="95">
        <f>VLOOKUP(A24,'BSE ALL CAP'!$B$4:$Y$1038,17,)</f>
        <v>5.4488023163990526E-2</v>
      </c>
      <c r="S24" s="95">
        <f>VLOOKUP(A24,'BSE ALL CAP'!$B$4:$Y$1038,18,)</f>
        <v>7.7586206896551727E-2</v>
      </c>
      <c r="T24" s="95">
        <f>VLOOKUP(A24,'BSE ALL CAP'!$B$4:$Y$1038,19,)</f>
        <v>7.8125E-2</v>
      </c>
      <c r="U24" s="95">
        <f>VLOOKUP(A24,'BSE ALL CAP'!$B$4:$Y$1038,20,)</f>
        <v>-5.3879310344827347E-4</v>
      </c>
      <c r="V24" s="95">
        <f>VLOOKUP(A24,'BSE ALL CAP'!$B$4:$Y$1038,21,)</f>
        <v>1.2586206896551726</v>
      </c>
      <c r="W24" s="95">
        <f>VLOOKUP(A24,'BSE ALL CAP'!$B$4:$Y$1038,22,)</f>
        <v>3.4000000000000004</v>
      </c>
      <c r="X24" s="95">
        <f>VLOOKUP(A24,'BSE ALL CAP'!$B$4:$Y$1038,23,)</f>
        <v>0.8125</v>
      </c>
      <c r="Y24" s="95">
        <f>VLOOKUP(A24,'BSE ALL CAP'!$B$4:$Y$1038,24,)</f>
        <v>0.8</v>
      </c>
    </row>
    <row r="25" spans="1:25" ht="14.4">
      <c r="A25" s="99">
        <v>526881</v>
      </c>
      <c r="B25" s="98" t="s">
        <v>4949</v>
      </c>
      <c r="C25" s="101" t="str">
        <f>VLOOKUP(A25,'BSE ALL CAP'!$B$4:$Y$1038,2,)</f>
        <v>Information Technology</v>
      </c>
      <c r="D25" s="101" t="str">
        <f>VLOOKUP(A25,'BSE ALL CAP'!$B$4:$Y$1038,3,)</f>
        <v>Computers - Software &amp; Consulting</v>
      </c>
      <c r="E25" s="101">
        <f ca="1">IFERROR(__xludf.DUMMYFUNCTION("GOOGLEFINANCE(""bom:""&amp;A25,""price"")"),505.3)</f>
        <v>505.3</v>
      </c>
      <c r="F25" s="112">
        <f ca="1">IFERROR(__xludf.DUMMYFUNCTION("GOOGLEFINANCE(""BOM:""&amp;A25,""MARKETCAP"")/10000000"),2320.2848254)</f>
        <v>2320.2848254</v>
      </c>
      <c r="G25" s="95">
        <f t="shared" ca="1" si="0"/>
        <v>8.8746974540393638E-4</v>
      </c>
      <c r="H25" s="101">
        <f>VLOOKUP(A25,'BSE ALL CAP'!$B$4:$Y$1038,7,)</f>
        <v>77</v>
      </c>
      <c r="I25" s="101">
        <f>VLOOKUP(A25,'BSE ALL CAP'!$B$4:$Y$1038,8,)</f>
        <v>33</v>
      </c>
      <c r="J25" s="101">
        <f>VLOOKUP(A25,'BSE ALL CAP'!$B$4:$Y$1038,9,)</f>
        <v>-44</v>
      </c>
      <c r="K25" s="101">
        <f>VLOOKUP(A25,'BSE ALL CAP'!$B$4:$Y$1038,10,)</f>
        <v>-53</v>
      </c>
      <c r="L25" s="101">
        <f>VLOOKUP(A25,'BSE ALL CAP'!$B$4:$Y$1038,11,)</f>
        <v>26</v>
      </c>
      <c r="M25" s="101">
        <f>VLOOKUP(A25,'BSE ALL CAP'!$B$4:$Y$1038,12,)</f>
        <v>11</v>
      </c>
      <c r="N25" s="101">
        <f>VLOOKUP(A25,'BSE ALL CAP'!$B$4:$Y$1038,13,)</f>
        <v>-19</v>
      </c>
      <c r="O25" s="101">
        <f>VLOOKUP(A25,'BSE ALL CAP'!$B$4:$Y$1038,14,)</f>
        <v>-16</v>
      </c>
      <c r="P25" s="95">
        <f>VLOOKUP(A25,'BSE ALL CAP'!$B$4:$Y$1038,15,)</f>
        <v>-0.5714285714285714</v>
      </c>
      <c r="Q25" s="95">
        <f>VLOOKUP(A25,'BSE ALL CAP'!$B$4:$Y$1038,16,)</f>
        <v>-1.606060606060606</v>
      </c>
      <c r="R25" s="95">
        <f>VLOOKUP(A25,'BSE ALL CAP'!$B$4:$Y$1038,17,)</f>
        <v>1.0346320346320346</v>
      </c>
      <c r="S25" s="95">
        <f>VLOOKUP(A25,'BSE ALL CAP'!$B$4:$Y$1038,18,)</f>
        <v>-0.73076923076923073</v>
      </c>
      <c r="T25" s="95">
        <f>VLOOKUP(A25,'BSE ALL CAP'!$B$4:$Y$1038,19,)</f>
        <v>-1.4545454545454546</v>
      </c>
      <c r="U25" s="95">
        <f>VLOOKUP(A25,'BSE ALL CAP'!$B$4:$Y$1038,20,)</f>
        <v>0.72377622377622386</v>
      </c>
      <c r="V25" s="95">
        <f>VLOOKUP(A25,'BSE ALL CAP'!$B$4:$Y$1038,21,)</f>
        <v>1.3333333333333335</v>
      </c>
      <c r="W25" s="95">
        <f>VLOOKUP(A25,'BSE ALL CAP'!$B$4:$Y$1038,22,)</f>
        <v>-0.16981132075471694</v>
      </c>
      <c r="X25" s="95">
        <f>VLOOKUP(A25,'BSE ALL CAP'!$B$4:$Y$1038,23,)</f>
        <v>1.3636363636363638</v>
      </c>
      <c r="Y25" s="95">
        <f>VLOOKUP(A25,'BSE ALL CAP'!$B$4:$Y$1038,24,)</f>
        <v>0.1875</v>
      </c>
    </row>
    <row r="26" spans="1:25" ht="14.4">
      <c r="A26" s="99">
        <v>590051</v>
      </c>
      <c r="B26" s="98" t="s">
        <v>4950</v>
      </c>
      <c r="C26" s="101"/>
      <c r="D26" s="101"/>
      <c r="E26" s="101">
        <f ca="1">IFERROR(__xludf.DUMMYFUNCTION("GOOGLEFINANCE(""bom:""&amp;A26,""price"")"),127.35)</f>
        <v>127.35</v>
      </c>
      <c r="F26" s="112">
        <f ca="1">IFERROR(__xludf.DUMMYFUNCTION("GOOGLEFINANCE(""BOM:""&amp;A26,""MARKETCAP"")/10000000"),1629.0926254)</f>
        <v>1629.0926254000001</v>
      </c>
      <c r="G26" s="95">
        <f t="shared" ca="1" si="0"/>
        <v>6.2310040632788607E-4</v>
      </c>
      <c r="H26" s="101"/>
      <c r="I26" s="101"/>
      <c r="J26" s="101"/>
      <c r="K26" s="101"/>
      <c r="L26" s="101"/>
      <c r="M26" s="101"/>
      <c r="N26" s="101"/>
      <c r="O26" s="101"/>
      <c r="P26" s="101" t="e">
        <f>VLOOKUP(A26,'BSE ALL CAP'!$B$4:$Y$1038,15,)</f>
        <v>#N/A</v>
      </c>
      <c r="Q26" s="101" t="e">
        <f>VLOOKUP(A26,'BSE ALL CAP'!$B$4:$Y$1038,16,)</f>
        <v>#N/A</v>
      </c>
      <c r="R26" s="101" t="e">
        <f>VLOOKUP(A26,'BSE ALL CAP'!$B$4:$Y$1038,17,)</f>
        <v>#N/A</v>
      </c>
      <c r="S26" s="101" t="e">
        <f>VLOOKUP(A26,'BSE ALL CAP'!$B$4:$Y$1038,18,)</f>
        <v>#N/A</v>
      </c>
      <c r="T26" s="101" t="e">
        <f>VLOOKUP(A26,'BSE ALL CAP'!$B$4:$Y$1038,19,)</f>
        <v>#N/A</v>
      </c>
      <c r="U26" s="101" t="e">
        <f>VLOOKUP(A26,'BSE ALL CAP'!$B$4:$Y$1038,20,)</f>
        <v>#N/A</v>
      </c>
      <c r="V26" s="101" t="e">
        <f>VLOOKUP(A26,'BSE ALL CAP'!$B$4:$Y$1038,21,)</f>
        <v>#N/A</v>
      </c>
      <c r="W26" s="101" t="e">
        <f>VLOOKUP(A26,'BSE ALL CAP'!$B$4:$Y$1038,22,)</f>
        <v>#N/A</v>
      </c>
      <c r="X26" s="101" t="e">
        <f>VLOOKUP(A26,'BSE ALL CAP'!$B$4:$Y$1038,23,)</f>
        <v>#N/A</v>
      </c>
      <c r="Y26" s="101" t="e">
        <f>VLOOKUP(A26,'BSE ALL CAP'!$B$4:$Y$1038,24,)</f>
        <v>#N/A</v>
      </c>
    </row>
    <row r="27" spans="1:25" ht="14.4">
      <c r="A27" s="99">
        <v>543644</v>
      </c>
      <c r="B27" s="98" t="s">
        <v>4951</v>
      </c>
      <c r="C27" s="101"/>
      <c r="D27" s="101"/>
      <c r="E27" s="101">
        <f ca="1">IFERROR(__xludf.DUMMYFUNCTION("GOOGLEFINANCE(""bom:""&amp;A27,""price"")"),145)</f>
        <v>145</v>
      </c>
      <c r="F27" s="112">
        <f ca="1">IFERROR(__xludf.DUMMYFUNCTION("GOOGLEFINANCE(""BOM:""&amp;A27,""MARKETCAP"")/10000000"),1402.8091069)</f>
        <v>1402.8091069</v>
      </c>
      <c r="G27" s="95">
        <f t="shared" ca="1" si="0"/>
        <v>5.365507834738547E-4</v>
      </c>
      <c r="H27" s="101"/>
      <c r="I27" s="101"/>
      <c r="J27" s="101"/>
      <c r="K27" s="101"/>
      <c r="L27" s="101"/>
      <c r="M27" s="101"/>
      <c r="N27" s="101"/>
      <c r="O27" s="101"/>
      <c r="P27" s="101" t="e">
        <f>VLOOKUP(A27,'BSE ALL CAP'!$B$4:$Y$1038,15,)</f>
        <v>#N/A</v>
      </c>
      <c r="Q27" s="101" t="e">
        <f>VLOOKUP(A27,'BSE ALL CAP'!$B$4:$Y$1038,16,)</f>
        <v>#N/A</v>
      </c>
      <c r="R27" s="101" t="e">
        <f>VLOOKUP(A27,'BSE ALL CAP'!$B$4:$Y$1038,17,)</f>
        <v>#N/A</v>
      </c>
      <c r="S27" s="101" t="e">
        <f>VLOOKUP(A27,'BSE ALL CAP'!$B$4:$Y$1038,18,)</f>
        <v>#N/A</v>
      </c>
      <c r="T27" s="101" t="e">
        <f>VLOOKUP(A27,'BSE ALL CAP'!$B$4:$Y$1038,19,)</f>
        <v>#N/A</v>
      </c>
      <c r="U27" s="101" t="e">
        <f>VLOOKUP(A27,'BSE ALL CAP'!$B$4:$Y$1038,20,)</f>
        <v>#N/A</v>
      </c>
      <c r="V27" s="101" t="e">
        <f>VLOOKUP(A27,'BSE ALL CAP'!$B$4:$Y$1038,21,)</f>
        <v>#N/A</v>
      </c>
      <c r="W27" s="101" t="e">
        <f>VLOOKUP(A27,'BSE ALL CAP'!$B$4:$Y$1038,22,)</f>
        <v>#N/A</v>
      </c>
      <c r="X27" s="101" t="e">
        <f>VLOOKUP(A27,'BSE ALL CAP'!$B$4:$Y$1038,23,)</f>
        <v>#N/A</v>
      </c>
      <c r="Y27" s="101" t="e">
        <f>VLOOKUP(A27,'BSE ALL CAP'!$B$4:$Y$1038,24,)</f>
        <v>#N/A</v>
      </c>
    </row>
    <row r="28" spans="1:25" ht="14.4">
      <c r="A28" s="99">
        <v>532268</v>
      </c>
      <c r="B28" s="98" t="s">
        <v>4952</v>
      </c>
      <c r="C28" s="101"/>
      <c r="D28" s="101"/>
      <c r="E28" s="101">
        <f ca="1">IFERROR(__xludf.DUMMYFUNCTION("GOOGLEFINANCE(""bom:""&amp;A28,""price"")"),1129)</f>
        <v>1129</v>
      </c>
      <c r="F28" s="112">
        <f ca="1">IFERROR(__xludf.DUMMYFUNCTION("GOOGLEFINANCE(""BOM:""&amp;A28,""MARKETCAP"")/10000000"),1683.5329018)</f>
        <v>1683.5329018</v>
      </c>
      <c r="G28" s="95">
        <f t="shared" ca="1" si="0"/>
        <v>6.4392289230354594E-4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538734</v>
      </c>
      <c r="B29" s="98" t="s">
        <v>4953</v>
      </c>
      <c r="C29" s="101"/>
      <c r="D29" s="101"/>
      <c r="E29" s="101"/>
      <c r="F29" s="112"/>
      <c r="G29" s="95">
        <f t="shared" ca="1" si="0"/>
        <v>0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543525</v>
      </c>
      <c r="B30" s="98" t="s">
        <v>4954</v>
      </c>
      <c r="C30" s="101"/>
      <c r="D30" s="101"/>
      <c r="E30" s="101">
        <f ca="1">IFERROR(__xludf.DUMMYFUNCTION("GOOGLEFINANCE(""bom:""&amp;A30,""price"")"),116.45)</f>
        <v>116.45</v>
      </c>
      <c r="F30" s="112">
        <f ca="1">IFERROR(__xludf.DUMMYFUNCTION("GOOGLEFINANCE(""BOM:""&amp;A30,""MARKETCAP"")/10000000"),1479.8726613)</f>
        <v>1479.8726612999999</v>
      </c>
      <c r="G30" s="95">
        <f t="shared" ca="1" si="0"/>
        <v>5.6602629107301342E-4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538891</v>
      </c>
      <c r="B31" s="98" t="s">
        <v>4955</v>
      </c>
      <c r="C31" s="101"/>
      <c r="D31" s="101"/>
      <c r="E31" s="101">
        <f ca="1">IFERROR(__xludf.DUMMYFUNCTION("GOOGLEFINANCE(""bom:""&amp;A31,""price"")"),22.19)</f>
        <v>22.19</v>
      </c>
      <c r="F31" s="112">
        <f ca="1">IFERROR(__xludf.DUMMYFUNCTION("GOOGLEFINANCE(""BOM:""&amp;A31,""MARKETCAP"")/10000000"),1307.7290069)</f>
        <v>1307.7290069000001</v>
      </c>
      <c r="G31" s="95">
        <f t="shared" ca="1" si="0"/>
        <v>5.0018425156524127E-4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532616</v>
      </c>
      <c r="B32" s="98" t="s">
        <v>4956</v>
      </c>
      <c r="C32" s="101"/>
      <c r="D32" s="101"/>
      <c r="E32" s="101">
        <f ca="1">IFERROR(__xludf.DUMMYFUNCTION("GOOGLEFINANCE(""bom:""&amp;A32,""price"")"),55.83)</f>
        <v>55.83</v>
      </c>
      <c r="F32" s="112">
        <f ca="1">IFERROR(__xludf.DUMMYFUNCTION("GOOGLEFINANCE(""BOM:""&amp;A32,""MARKETCAP"")/10000000"),620.0729925)</f>
        <v>620.07299250000005</v>
      </c>
      <c r="G32" s="95">
        <f t="shared" ca="1" si="0"/>
        <v>2.3716744373870779E-4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517344</v>
      </c>
      <c r="B33" s="98" t="s">
        <v>4957</v>
      </c>
      <c r="C33" s="101"/>
      <c r="D33" s="101"/>
      <c r="E33" s="101">
        <f ca="1">IFERROR(__xludf.DUMMYFUNCTION("GOOGLEFINANCE(""bom:""&amp;A33,""price"")"),168.85)</f>
        <v>168.85</v>
      </c>
      <c r="F33" s="112">
        <f ca="1">IFERROR(__xludf.DUMMYFUNCTION("GOOGLEFINANCE(""BOM:""&amp;A33,""MARKETCAP"")/10000000"),538.3965018)</f>
        <v>538.39650180000001</v>
      </c>
      <c r="G33" s="95">
        <f t="shared" ca="1" si="0"/>
        <v>2.0592756593856745E-4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544302</v>
      </c>
      <c r="B34" s="98" t="s">
        <v>4958</v>
      </c>
      <c r="C34" s="101"/>
      <c r="D34" s="101"/>
      <c r="E34" s="101">
        <f ca="1">IFERROR(__xludf.DUMMYFUNCTION("GOOGLEFINANCE(""bom:""&amp;A34,""price"")"),365.55)</f>
        <v>365.55</v>
      </c>
      <c r="F34" s="112">
        <f ca="1">IFERROR(__xludf.DUMMYFUNCTION("GOOGLEFINANCE(""BOM:""&amp;A34,""MARKETCAP"")/10000000"),754.09)</f>
        <v>754.09</v>
      </c>
      <c r="G34" s="95">
        <f t="shared" ca="1" si="0"/>
        <v>2.8842668494213149E-4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543599</v>
      </c>
      <c r="B35" s="98" t="s">
        <v>4959</v>
      </c>
      <c r="C35" s="101"/>
      <c r="D35" s="101"/>
      <c r="E35" s="101">
        <f ca="1">IFERROR(__xludf.DUMMYFUNCTION("GOOGLEFINANCE(""bom:""&amp;A35,""price"")"),289.05)</f>
        <v>289.05</v>
      </c>
      <c r="F35" s="112">
        <f ca="1">IFERROR(__xludf.DUMMYFUNCTION("GOOGLEFINANCE(""BOM:""&amp;A35,""MARKETCAP"")/10000000"),685.4009869)</f>
        <v>685.40098690000002</v>
      </c>
      <c r="G35" s="95">
        <f t="shared" ca="1" si="0"/>
        <v>2.6215429790559788E-4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539843</v>
      </c>
      <c r="B36" s="98" t="s">
        <v>4960</v>
      </c>
      <c r="C36" s="101"/>
      <c r="D36" s="101"/>
      <c r="E36" s="101">
        <f ca="1">IFERROR(__xludf.DUMMYFUNCTION("GOOGLEFINANCE(""bom:""&amp;A36,""price"")"),399.05)</f>
        <v>399.05</v>
      </c>
      <c r="F36" s="112">
        <f ca="1">IFERROR(__xludf.DUMMYFUNCTION("GOOGLEFINANCE(""BOM:""&amp;A36,""MARKETCAP"")/10000000"),733.752)</f>
        <v>733.75199999999995</v>
      </c>
      <c r="G36" s="95">
        <f t="shared" ca="1" si="0"/>
        <v>2.8064774354474777E-4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544610</v>
      </c>
      <c r="B37" s="98" t="s">
        <v>4961</v>
      </c>
      <c r="C37" s="101"/>
      <c r="D37" s="101"/>
      <c r="E37" s="101">
        <f ca="1">IFERROR(__xludf.DUMMYFUNCTION("GOOGLEFINANCE(""bom:""&amp;A37,""price"")"),335)</f>
        <v>335</v>
      </c>
      <c r="F37" s="112">
        <f ca="1">IFERROR(__xludf.DUMMYFUNCTION("GOOGLEFINANCE(""BOM:""&amp;A37,""MARKETCAP"")/10000000"),432.7798)</f>
        <v>432.77980000000002</v>
      </c>
      <c r="G37" s="95">
        <f t="shared" ca="1" si="0"/>
        <v>1.6553096185325183E-4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542233</v>
      </c>
      <c r="B38" s="98" t="s">
        <v>4962</v>
      </c>
      <c r="C38" s="101"/>
      <c r="D38" s="101"/>
      <c r="E38" s="101">
        <f ca="1">IFERROR(__xludf.DUMMYFUNCTION("GOOGLEFINANCE(""bom:""&amp;A38,""price"")"),141.35)</f>
        <v>141.35</v>
      </c>
      <c r="F38" s="112">
        <f ca="1">IFERROR(__xludf.DUMMYFUNCTION("GOOGLEFINANCE(""BOM:""&amp;A38,""MARKETCAP"")/10000000"),340.0702785)</f>
        <v>340.07027849999997</v>
      </c>
      <c r="G38" s="95">
        <f t="shared" ca="1" si="0"/>
        <v>1.3007113617088465E-4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532173</v>
      </c>
      <c r="B39" s="98" t="s">
        <v>4963</v>
      </c>
      <c r="C39" s="101"/>
      <c r="D39" s="101"/>
      <c r="E39" s="101">
        <f ca="1">IFERROR(__xludf.DUMMYFUNCTION("GOOGLEFINANCE(""bom:""&amp;A39,""price"")"),109.95)</f>
        <v>109.95</v>
      </c>
      <c r="F39" s="112">
        <f ca="1">IFERROR(__xludf.DUMMYFUNCTION("GOOGLEFINANCE(""BOM:""&amp;A39,""MARKETCAP"")/10000000"),341.627088)</f>
        <v>341.62708800000001</v>
      </c>
      <c r="G39" s="95">
        <f t="shared" ca="1" si="0"/>
        <v>1.306665895029424E-4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543470</v>
      </c>
      <c r="B40" s="98" t="s">
        <v>4964</v>
      </c>
      <c r="C40" s="101"/>
      <c r="D40" s="101"/>
      <c r="E40" s="101">
        <f ca="1">IFERROR(__xludf.DUMMYFUNCTION("GOOGLEFINANCE(""bom:""&amp;A40,""price"")"),286)</f>
        <v>286</v>
      </c>
      <c r="F40" s="112">
        <f ca="1">IFERROR(__xludf.DUMMYFUNCTION("GOOGLEFINANCE(""BOM:""&amp;A40,""MARKETCAP"")/10000000"),392.8396325)</f>
        <v>392.83963249999999</v>
      </c>
      <c r="G40" s="95">
        <f t="shared" ca="1" si="0"/>
        <v>1.5025452255812993E-4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531225</v>
      </c>
      <c r="B41" s="98" t="s">
        <v>4965</v>
      </c>
      <c r="C41" s="101"/>
      <c r="D41" s="101"/>
      <c r="E41" s="101">
        <f ca="1">IFERROR(__xludf.DUMMYFUNCTION("GOOGLEFINANCE(""bom:""&amp;A41,""price"")"),28.38)</f>
        <v>28.38</v>
      </c>
      <c r="F41" s="112">
        <f ca="1">IFERROR(__xludf.DUMMYFUNCTION("GOOGLEFINANCE(""BOM:""&amp;A41,""MARKETCAP"")/10000000"),382.5207985)</f>
        <v>382.52079850000001</v>
      </c>
      <c r="G41" s="95">
        <f t="shared" ca="1" si="0"/>
        <v>1.4630774288582537E-4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544361</v>
      </c>
      <c r="B42" s="98" t="s">
        <v>4966</v>
      </c>
      <c r="C42" s="101"/>
      <c r="D42" s="101"/>
      <c r="E42" s="101">
        <f ca="1">IFERROR(__xludf.DUMMYFUNCTION("GOOGLEFINANCE(""bom:""&amp;A42,""price"")"),171.3)</f>
        <v>171.3</v>
      </c>
      <c r="F42" s="112">
        <f ca="1">IFERROR(__xludf.DUMMYFUNCTION("GOOGLEFINANCE(""BOM:""&amp;A42,""MARKETCAP"")/10000000"),379.3529356)</f>
        <v>379.35293560000002</v>
      </c>
      <c r="G42" s="95">
        <f t="shared" ca="1" si="0"/>
        <v>1.4509608884638955E-4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4.4">
      <c r="A43" s="99">
        <v>517286</v>
      </c>
      <c r="B43" s="98" t="s">
        <v>4967</v>
      </c>
      <c r="C43" s="101"/>
      <c r="D43" s="101"/>
      <c r="E43" s="101">
        <f ca="1">IFERROR(__xludf.DUMMYFUNCTION("GOOGLEFINANCE(""bom:""&amp;A43,""price"")"),64.5)</f>
        <v>64.5</v>
      </c>
      <c r="F43" s="112">
        <f ca="1">IFERROR(__xludf.DUMMYFUNCTION("GOOGLEFINANCE(""BOM:""&amp;A43,""MARKETCAP"")/10000000"),511.5878)</f>
        <v>511.58780000000002</v>
      </c>
      <c r="G43" s="95">
        <f t="shared" ca="1" si="0"/>
        <v>1.9567369042267923E-4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4.4">
      <c r="A44" s="99">
        <v>532628</v>
      </c>
      <c r="B44" s="98" t="s">
        <v>4968</v>
      </c>
      <c r="C44" s="101"/>
      <c r="D44" s="101"/>
      <c r="E44" s="101">
        <f ca="1">IFERROR(__xludf.DUMMYFUNCTION("GOOGLEFINANCE(""bom:""&amp;A44,""price"")"),15.46)</f>
        <v>15.46</v>
      </c>
      <c r="F44" s="112">
        <f ca="1">IFERROR(__xludf.DUMMYFUNCTION("GOOGLEFINANCE(""BOM:""&amp;A44,""MARKETCAP"")/10000000"),319.40169)</f>
        <v>319.40168999999997</v>
      </c>
      <c r="G44" s="95">
        <f t="shared" ca="1" si="0"/>
        <v>1.2216575025741534E-4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4.4">
      <c r="A45" s="99">
        <v>530457</v>
      </c>
      <c r="B45" s="98" t="s">
        <v>4969</v>
      </c>
      <c r="C45" s="101"/>
      <c r="D45" s="101"/>
      <c r="E45" s="101">
        <f ca="1">IFERROR(__xludf.DUMMYFUNCTION("GOOGLEFINANCE(""bom:""&amp;A45,""price"")"),50.56)</f>
        <v>50.56</v>
      </c>
      <c r="F45" s="112">
        <f ca="1">IFERROR(__xludf.DUMMYFUNCTION("GOOGLEFINANCE(""BOM:""&amp;A45,""MARKETCAP"")/10000000"),216.697)</f>
        <v>216.697</v>
      </c>
      <c r="G45" s="95">
        <f t="shared" ca="1" si="0"/>
        <v>8.2882941488290605E-5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542770</v>
      </c>
      <c r="B46" s="98" t="s">
        <v>4970</v>
      </c>
      <c r="C46" s="101"/>
      <c r="D46" s="101"/>
      <c r="E46" s="101">
        <f ca="1">IFERROR(__xludf.DUMMYFUNCTION("GOOGLEFINANCE(""bom:""&amp;A46,""price"")"),41.5)</f>
        <v>41.5</v>
      </c>
      <c r="F46" s="112">
        <f ca="1">IFERROR(__xludf.DUMMYFUNCTION("GOOGLEFINANCE(""BOM:""&amp;A46,""MARKETCAP"")/10000000"),259.836646)</f>
        <v>259.83664599999997</v>
      </c>
      <c r="G46" s="95">
        <f t="shared" ca="1" si="0"/>
        <v>9.938312725571502E-5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4.4">
      <c r="A47" s="99">
        <v>544343</v>
      </c>
      <c r="B47" s="98" t="s">
        <v>4971</v>
      </c>
      <c r="C47" s="101"/>
      <c r="D47" s="101"/>
      <c r="E47" s="101">
        <f ca="1">IFERROR(__xludf.DUMMYFUNCTION("GOOGLEFINANCE(""bom:""&amp;A47,""price"")"),87.4)</f>
        <v>87.4</v>
      </c>
      <c r="F47" s="112">
        <f ca="1">IFERROR(__xludf.DUMMYFUNCTION("GOOGLEFINANCE(""BOM:""&amp;A47,""MARKETCAP"")/10000000"),213.4918089)</f>
        <v>213.4918089</v>
      </c>
      <c r="G47" s="95">
        <f t="shared" ca="1" si="0"/>
        <v>8.1657010043000226E-5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4.4">
      <c r="A48" s="99">
        <v>544637</v>
      </c>
      <c r="B48" s="98" t="s">
        <v>4972</v>
      </c>
      <c r="C48" s="101"/>
      <c r="D48" s="101"/>
      <c r="E48" s="101">
        <f ca="1">IFERROR(__xludf.DUMMYFUNCTION("GOOGLEFINANCE(""bom:""&amp;A48,""price"")"),83.65)</f>
        <v>83.65</v>
      </c>
      <c r="F48" s="112">
        <f ca="1">IFERROR(__xludf.DUMMYFUNCTION("GOOGLEFINANCE(""BOM:""&amp;A48,""MARKETCAP"")/10000000"),157.7086102)</f>
        <v>157.70861020000001</v>
      </c>
      <c r="G48" s="95">
        <f t="shared" ca="1" si="0"/>
        <v>6.0320878975741393E-5</v>
      </c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ht="14.4">
      <c r="A49" s="99">
        <v>543268</v>
      </c>
      <c r="B49" s="98" t="s">
        <v>4973</v>
      </c>
      <c r="C49" s="101"/>
      <c r="D49" s="101"/>
      <c r="E49" s="101">
        <f ca="1">IFERROR(__xludf.DUMMYFUNCTION("GOOGLEFINANCE(""bom:""&amp;A49,""price"")"),15.29)</f>
        <v>15.29</v>
      </c>
      <c r="F49" s="112">
        <f ca="1">IFERROR(__xludf.DUMMYFUNCTION("GOOGLEFINANCE(""BOM:""&amp;A49,""MARKETCAP"")/10000000"),217.8509239)</f>
        <v>217.8509239</v>
      </c>
      <c r="G49" s="95">
        <f t="shared" ca="1" si="0"/>
        <v>8.3324297884944187E-5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4.4">
      <c r="A50" s="99">
        <v>543976</v>
      </c>
      <c r="B50" s="98" t="s">
        <v>4974</v>
      </c>
      <c r="C50" s="101"/>
      <c r="D50" s="101"/>
      <c r="E50" s="101">
        <f ca="1">IFERROR(__xludf.DUMMYFUNCTION("GOOGLEFINANCE(""bom:""&amp;A50,""price"")"),29)</f>
        <v>29</v>
      </c>
      <c r="F50" s="112">
        <f ca="1">IFERROR(__xludf.DUMMYFUNCTION("GOOGLEFINANCE(""BOM:""&amp;A50,""MARKETCAP"")/10000000"),176.761989)</f>
        <v>176.761989</v>
      </c>
      <c r="G50" s="95">
        <f t="shared" ca="1" si="0"/>
        <v>6.7608474467301664E-5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4.4">
      <c r="A51" s="99">
        <v>590057</v>
      </c>
      <c r="B51" s="98" t="s">
        <v>4975</v>
      </c>
      <c r="C51" s="101"/>
      <c r="D51" s="101"/>
      <c r="E51" s="101">
        <f ca="1">IFERROR(__xludf.DUMMYFUNCTION("GOOGLEFINANCE(""bom:""&amp;A51,""price"")"),14.77)</f>
        <v>14.77</v>
      </c>
      <c r="F51" s="112">
        <f ca="1">IFERROR(__xludf.DUMMYFUNCTION("GOOGLEFINANCE(""BOM:""&amp;A51,""MARKETCAP"")/10000000"),151.7539266)</f>
        <v>151.7539266</v>
      </c>
      <c r="G51" s="95">
        <f t="shared" ca="1" si="0"/>
        <v>5.8043313100809642E-5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4.4">
      <c r="A52" s="99">
        <v>517562</v>
      </c>
      <c r="B52" s="98" t="s">
        <v>4976</v>
      </c>
      <c r="C52" s="101"/>
      <c r="D52" s="101"/>
      <c r="E52" s="101">
        <f ca="1">IFERROR(__xludf.DUMMYFUNCTION("GOOGLEFINANCE(""bom:""&amp;A52,""price"")"),48.65)</f>
        <v>48.65</v>
      </c>
      <c r="F52" s="112">
        <f ca="1">IFERROR(__xludf.DUMMYFUNCTION("GOOGLEFINANCE(""BOM:""&amp;A52,""MARKETCAP"")/10000000"),149.9264587)</f>
        <v>149.92645870000001</v>
      </c>
      <c r="G52" s="95">
        <f t="shared" ca="1" si="0"/>
        <v>5.7344337503420534E-5</v>
      </c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ht="14.4">
      <c r="A53" s="99">
        <v>504351</v>
      </c>
      <c r="B53" s="98" t="s">
        <v>4977</v>
      </c>
      <c r="C53" s="101"/>
      <c r="D53" s="101"/>
      <c r="E53" s="101">
        <f ca="1">IFERROR(__xludf.DUMMYFUNCTION("GOOGLEFINANCE(""bom:""&amp;A53,""price"")"),1.14)</f>
        <v>1.1399999999999999</v>
      </c>
      <c r="F53" s="112">
        <f ca="1">IFERROR(__xludf.DUMMYFUNCTION("GOOGLEFINANCE(""BOM:""&amp;A53,""MARKETCAP"")/10000000"),133.8367672)</f>
        <v>133.8367672</v>
      </c>
      <c r="G53" s="95">
        <f t="shared" ca="1" si="0"/>
        <v>5.1190302333763604E-5</v>
      </c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ht="14.4">
      <c r="A54" s="99">
        <v>544431</v>
      </c>
      <c r="B54" s="98" t="s">
        <v>4978</v>
      </c>
      <c r="C54" s="101"/>
      <c r="D54" s="101"/>
      <c r="E54" s="101">
        <f ca="1">IFERROR(__xludf.DUMMYFUNCTION("GOOGLEFINANCE(""bom:""&amp;A54,""price"")"),94.9)</f>
        <v>94.9</v>
      </c>
      <c r="F54" s="112">
        <f ca="1">IFERROR(__xludf.DUMMYFUNCTION("GOOGLEFINANCE(""BOM:""&amp;A54,""MARKETCAP"")/10000000"),166.6272257)</f>
        <v>166.6272257</v>
      </c>
      <c r="G54" s="95">
        <f t="shared" ca="1" si="0"/>
        <v>6.3732098727944052E-5</v>
      </c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ht="14.4">
      <c r="A55" s="99">
        <v>543351</v>
      </c>
      <c r="B55" s="98" t="s">
        <v>4979</v>
      </c>
      <c r="C55" s="101"/>
      <c r="D55" s="101"/>
      <c r="E55" s="101">
        <f ca="1">IFERROR(__xludf.DUMMYFUNCTION("GOOGLEFINANCE(""bom:""&amp;A55,""price"")"),97)</f>
        <v>97</v>
      </c>
      <c r="F55" s="112">
        <f ca="1">IFERROR(__xludf.DUMMYFUNCTION("GOOGLEFINANCE(""BOM:""&amp;A55,""MARKETCAP"")/10000000"),105.09174)</f>
        <v>105.09174</v>
      </c>
      <c r="G55" s="95">
        <f t="shared" ca="1" si="0"/>
        <v>4.019581506584147E-5</v>
      </c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ht="14.4">
      <c r="A56" s="99">
        <v>517429</v>
      </c>
      <c r="B56" s="98" t="s">
        <v>4980</v>
      </c>
      <c r="C56" s="101"/>
      <c r="D56" s="101"/>
      <c r="E56" s="101">
        <f ca="1">IFERROR(__xludf.DUMMYFUNCTION("GOOGLEFINANCE(""bom:""&amp;A56,""price"")"),62.5)</f>
        <v>62.5</v>
      </c>
      <c r="F56" s="112">
        <f ca="1">IFERROR(__xludf.DUMMYFUNCTION("GOOGLEFINANCE(""BOM:""&amp;A56,""MARKETCAP"")/10000000"),91.947375)</f>
        <v>91.947374999999994</v>
      </c>
      <c r="G56" s="95">
        <f t="shared" ca="1" si="0"/>
        <v>3.5168317522286485E-5</v>
      </c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ht="14.4">
      <c r="A57" s="99">
        <v>543234</v>
      </c>
      <c r="B57" s="98" t="s">
        <v>4981</v>
      </c>
      <c r="C57" s="101"/>
      <c r="D57" s="101"/>
      <c r="E57" s="101">
        <f ca="1">IFERROR(__xludf.DUMMYFUNCTION("GOOGLEFINANCE(""bom:""&amp;A57,""price"")"),108.45)</f>
        <v>108.45</v>
      </c>
      <c r="F57" s="112">
        <f ca="1">IFERROR(__xludf.DUMMYFUNCTION("GOOGLEFINANCE(""BOM:""&amp;A57,""MARKETCAP"")/10000000"),115.178175)</f>
        <v>115.178175</v>
      </c>
      <c r="G57" s="95">
        <f t="shared" ca="1" si="0"/>
        <v>4.4053706046936946E-5</v>
      </c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ht="14.4">
      <c r="A58" s="99">
        <v>543312</v>
      </c>
      <c r="B58" s="98" t="s">
        <v>4982</v>
      </c>
      <c r="C58" s="101"/>
      <c r="D58" s="101"/>
      <c r="E58" s="101">
        <f ca="1">IFERROR(__xludf.DUMMYFUNCTION("GOOGLEFINANCE(""bom:""&amp;A58,""price"")"),151.05)</f>
        <v>151.05000000000001</v>
      </c>
      <c r="F58" s="112">
        <f ca="1">IFERROR(__xludf.DUMMYFUNCTION("GOOGLEFINANCE(""BOM:""&amp;A58,""MARKETCAP"")/10000000"),110.0720253)</f>
        <v>110.07202530000001</v>
      </c>
      <c r="G58" s="95">
        <f t="shared" ca="1" si="0"/>
        <v>4.2100690053104305E-5</v>
      </c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ht="14.4">
      <c r="A59" s="99">
        <v>531489</v>
      </c>
      <c r="B59" s="98" t="s">
        <v>4983</v>
      </c>
      <c r="C59" s="101"/>
      <c r="D59" s="101"/>
      <c r="E59" s="101">
        <f ca="1">IFERROR(__xludf.DUMMYFUNCTION("GOOGLEFINANCE(""bom:""&amp;A59,""price"")"),205.95)</f>
        <v>205.95</v>
      </c>
      <c r="F59" s="112">
        <f ca="1">IFERROR(__xludf.DUMMYFUNCTION("GOOGLEFINANCE(""BOM:""&amp;A59,""MARKETCAP"")/10000000"),104.0088674)</f>
        <v>104.0088674</v>
      </c>
      <c r="G59" s="95">
        <f t="shared" ca="1" si="0"/>
        <v>3.9781634591053761E-5</v>
      </c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ht="14.4">
      <c r="A60" s="99">
        <v>539724</v>
      </c>
      <c r="B60" s="98" t="s">
        <v>4984</v>
      </c>
      <c r="C60" s="101"/>
      <c r="D60" s="101"/>
      <c r="E60" s="101">
        <f ca="1">IFERROR(__xludf.DUMMYFUNCTION("GOOGLEFINANCE(""bom:""&amp;A60,""price"")"),112.55)</f>
        <v>112.55</v>
      </c>
      <c r="F60" s="112">
        <f ca="1">IFERROR(__xludf.DUMMYFUNCTION("GOOGLEFINANCE(""BOM:""&amp;A60,""MARKETCAP"")/10000000"),950.503459)</f>
        <v>950.50345900000002</v>
      </c>
      <c r="G60" s="95">
        <f t="shared" ca="1" si="0"/>
        <v>3.6355151468047471E-4</v>
      </c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ht="14.4">
      <c r="A61" s="99">
        <v>517447</v>
      </c>
      <c r="B61" s="98" t="s">
        <v>4985</v>
      </c>
      <c r="C61" s="101"/>
      <c r="D61" s="101"/>
      <c r="E61" s="101">
        <f ca="1">IFERROR(__xludf.DUMMYFUNCTION("GOOGLEFINANCE(""bom:""&amp;A61,""price"")"),25.43)</f>
        <v>25.43</v>
      </c>
      <c r="F61" s="112">
        <f ca="1">IFERROR(__xludf.DUMMYFUNCTION("GOOGLEFINANCE(""BOM:""&amp;A61,""MARKETCAP"")/10000000"),65.5337819)</f>
        <v>65.533781899999994</v>
      </c>
      <c r="G61" s="95">
        <f t="shared" ca="1" si="0"/>
        <v>2.5065564408940122E-5</v>
      </c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</row>
    <row r="62" spans="1:25" ht="14.4">
      <c r="A62" s="99">
        <v>538923</v>
      </c>
      <c r="B62" s="98" t="s">
        <v>4986</v>
      </c>
      <c r="C62" s="101"/>
      <c r="D62" s="101"/>
      <c r="E62" s="101">
        <f ca="1">IFERROR(__xludf.DUMMYFUNCTION("GOOGLEFINANCE(""bom:""&amp;A62,""price"")"),23.35)</f>
        <v>23.35</v>
      </c>
      <c r="F62" s="112">
        <f ca="1">IFERROR(__xludf.DUMMYFUNCTION("GOOGLEFINANCE(""BOM:""&amp;A62,""MARKETCAP"")/10000000"),56.5165977)</f>
        <v>56.516597699999998</v>
      </c>
      <c r="G62" s="95">
        <f t="shared" ca="1" si="0"/>
        <v>2.1616643794267386E-5</v>
      </c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</row>
    <row r="63" spans="1:25" ht="14.4">
      <c r="A63" s="99">
        <v>532271</v>
      </c>
      <c r="B63" s="98" t="s">
        <v>4987</v>
      </c>
      <c r="C63" s="101"/>
      <c r="D63" s="101"/>
      <c r="E63" s="101">
        <f ca="1">IFERROR(__xludf.DUMMYFUNCTION("GOOGLEFINANCE(""bom:""&amp;A63,""price"")"),1.99)</f>
        <v>1.99</v>
      </c>
      <c r="F63" s="112">
        <f ca="1">IFERROR(__xludf.DUMMYFUNCTION("GOOGLEFINANCE(""BOM:""&amp;A63,""MARKETCAP"")/10000000"),64.5491599)</f>
        <v>64.549159900000006</v>
      </c>
      <c r="G63" s="95">
        <f t="shared" ca="1" si="0"/>
        <v>2.4688963128746659E-5</v>
      </c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</row>
    <row r="64" spans="1:25" ht="14.4">
      <c r="A64" s="99">
        <v>532332</v>
      </c>
      <c r="B64" s="98" t="s">
        <v>4988</v>
      </c>
      <c r="C64" s="101"/>
      <c r="D64" s="101"/>
      <c r="E64" s="101">
        <f ca="1">IFERROR(__xludf.DUMMYFUNCTION("GOOGLEFINANCE(""bom:""&amp;A64,""price"")"),114)</f>
        <v>114</v>
      </c>
      <c r="F64" s="112">
        <f ca="1">IFERROR(__xludf.DUMMYFUNCTION("GOOGLEFINANCE(""BOM:""&amp;A64,""MARKETCAP"")/10000000"),107.6921987)</f>
        <v>107.69219870000001</v>
      </c>
      <c r="G64" s="95">
        <f t="shared" ca="1" si="0"/>
        <v>4.1190446584851039E-5</v>
      </c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</row>
    <row r="65" spans="1:25" ht="14.4">
      <c r="A65" s="99">
        <v>517170</v>
      </c>
      <c r="B65" s="98" t="s">
        <v>4989</v>
      </c>
      <c r="C65" s="101"/>
      <c r="D65" s="101"/>
      <c r="E65" s="101">
        <f ca="1">IFERROR(__xludf.DUMMYFUNCTION("GOOGLEFINANCE(""bom:""&amp;A65,""price"")"),22.81)</f>
        <v>22.81</v>
      </c>
      <c r="F65" s="112">
        <f ca="1">IFERROR(__xludf.DUMMYFUNCTION("GOOGLEFINANCE(""BOM:""&amp;A65,""MARKETCAP"")/10000000"),66.6416031)</f>
        <v>66.641603099999998</v>
      </c>
      <c r="G65" s="95">
        <f t="shared" ca="1" si="0"/>
        <v>2.5489287301730921E-5</v>
      </c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</row>
    <row r="66" spans="1:25" ht="14.4">
      <c r="A66" s="99">
        <v>517494</v>
      </c>
      <c r="B66" s="98" t="s">
        <v>4990</v>
      </c>
      <c r="C66" s="101"/>
      <c r="D66" s="101"/>
      <c r="E66" s="101">
        <f ca="1">IFERROR(__xludf.DUMMYFUNCTION("GOOGLEFINANCE(""bom:""&amp;A66,""price"")"),12.6)</f>
        <v>12.6</v>
      </c>
      <c r="F66" s="112">
        <f ca="1">IFERROR(__xludf.DUMMYFUNCTION("GOOGLEFINANCE(""BOM:""&amp;A66,""MARKETCAP"")/10000000"),72.5412261)</f>
        <v>72.541226100000003</v>
      </c>
      <c r="G66" s="95">
        <f t="shared" ca="1" si="0"/>
        <v>2.7745793427390134E-5</v>
      </c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</row>
    <row r="67" spans="1:25" ht="14.4">
      <c r="A67" s="99">
        <v>544388</v>
      </c>
      <c r="B67" s="98" t="s">
        <v>4991</v>
      </c>
      <c r="C67" s="101"/>
      <c r="D67" s="101"/>
      <c r="E67" s="101">
        <f ca="1">IFERROR(__xludf.DUMMYFUNCTION("GOOGLEFINANCE(""bom:""&amp;A67,""price"")"),82.5)</f>
        <v>82.5</v>
      </c>
      <c r="F67" s="112">
        <f ca="1">IFERROR(__xludf.DUMMYFUNCTION("GOOGLEFINANCE(""BOM:""&amp;A67,""MARKETCAP"")/10000000"),86.14279)</f>
        <v>86.142790000000005</v>
      </c>
      <c r="G67" s="95">
        <f t="shared" ca="1" si="0"/>
        <v>3.2948161825997159E-5</v>
      </c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</row>
    <row r="68" spans="1:25" ht="14.4">
      <c r="A68" s="99">
        <v>532801</v>
      </c>
      <c r="B68" s="98" t="s">
        <v>4992</v>
      </c>
      <c r="C68" s="101"/>
      <c r="D68" s="101"/>
      <c r="E68" s="101">
        <f ca="1">IFERROR(__xludf.DUMMYFUNCTION("GOOGLEFINANCE(""bom:""&amp;A68,""price"")"),26.32)</f>
        <v>26.32</v>
      </c>
      <c r="F68" s="112">
        <f ca="1">IFERROR(__xludf.DUMMYFUNCTION("GOOGLEFINANCE(""BOM:""&amp;A68,""MARKETCAP"")/10000000"),50.4432795)</f>
        <v>50.443279500000003</v>
      </c>
      <c r="G68" s="95">
        <f t="shared" ca="1" si="0"/>
        <v>1.9293702189121166E-5</v>
      </c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</row>
    <row r="69" spans="1:25" ht="14.4">
      <c r="A69" s="99">
        <v>540143</v>
      </c>
      <c r="B69" s="98" t="s">
        <v>4993</v>
      </c>
      <c r="C69" s="101"/>
      <c r="D69" s="101"/>
      <c r="E69" s="101">
        <f ca="1">IFERROR(__xludf.DUMMYFUNCTION("GOOGLEFINANCE(""bom:""&amp;A69,""price"")"),76.94)</f>
        <v>76.94</v>
      </c>
      <c r="F69" s="112">
        <f ca="1">IFERROR(__xludf.DUMMYFUNCTION("GOOGLEFINANCE(""BOM:""&amp;A69,""MARKETCAP"")/10000000"),49.1818807)</f>
        <v>49.181880700000001</v>
      </c>
      <c r="G69" s="95">
        <f t="shared" ca="1" si="0"/>
        <v>1.8811238458964309E-5</v>
      </c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</row>
    <row r="70" spans="1:25" ht="14.4">
      <c r="A70" s="99">
        <v>544505</v>
      </c>
      <c r="B70" s="98" t="s">
        <v>4994</v>
      </c>
      <c r="C70" s="101"/>
      <c r="D70" s="101"/>
      <c r="E70" s="101">
        <f ca="1">IFERROR(__xludf.DUMMYFUNCTION("GOOGLEFINANCE(""bom:""&amp;A70,""price"")"),44)</f>
        <v>44</v>
      </c>
      <c r="F70" s="112">
        <f ca="1">IFERROR(__xludf.DUMMYFUNCTION("GOOGLEFINANCE(""BOM:""&amp;A70,""MARKETCAP"")/10000000"),46.103772)</f>
        <v>46.103771999999999</v>
      </c>
      <c r="G70" s="95">
        <f t="shared" ca="1" si="0"/>
        <v>1.7633913884666106E-5</v>
      </c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</row>
    <row r="71" spans="1:25" ht="14.4">
      <c r="A71" s="99">
        <v>531677</v>
      </c>
      <c r="B71" s="98" t="s">
        <v>4995</v>
      </c>
      <c r="C71" s="101"/>
      <c r="D71" s="101"/>
      <c r="E71" s="101">
        <f ca="1">IFERROR(__xludf.DUMMYFUNCTION("GOOGLEFINANCE(""bom:""&amp;A71,""price"")"),380.15)</f>
        <v>380.15</v>
      </c>
      <c r="F71" s="112">
        <f ca="1">IFERROR(__xludf.DUMMYFUNCTION("GOOGLEFINANCE(""BOM:""&amp;A71,""MARKETCAP"")/10000000"),57.022499)</f>
        <v>57.022499000000003</v>
      </c>
      <c r="G71" s="95">
        <f t="shared" ca="1" si="0"/>
        <v>2.1810142494511277E-5</v>
      </c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</row>
    <row r="72" spans="1:25" ht="14.4">
      <c r="A72" s="99">
        <v>538743</v>
      </c>
      <c r="B72" s="98" t="s">
        <v>4996</v>
      </c>
      <c r="C72" s="101"/>
      <c r="D72" s="101"/>
      <c r="E72" s="101">
        <f ca="1">IFERROR(__xludf.DUMMYFUNCTION("GOOGLEFINANCE(""bom:""&amp;A72,""price"")"),11.85)</f>
        <v>11.85</v>
      </c>
      <c r="F72" s="112">
        <f ca="1">IFERROR(__xludf.DUMMYFUNCTION("GOOGLEFINANCE(""BOM:""&amp;A72,""MARKETCAP"")/10000000"),38.7732012)</f>
        <v>38.773201200000003</v>
      </c>
      <c r="G72" s="95">
        <f t="shared" ca="1" si="0"/>
        <v>1.483009440081459E-5</v>
      </c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</row>
    <row r="73" spans="1:25" ht="14.4">
      <c r="A73" s="99">
        <v>543938</v>
      </c>
      <c r="B73" s="98" t="s">
        <v>4997</v>
      </c>
      <c r="C73" s="101"/>
      <c r="D73" s="101"/>
      <c r="E73" s="101">
        <f ca="1">IFERROR(__xludf.DUMMYFUNCTION("GOOGLEFINANCE(""bom:""&amp;A73,""price"")"),166.55)</f>
        <v>166.55</v>
      </c>
      <c r="F73" s="112">
        <f ca="1">IFERROR(__xludf.DUMMYFUNCTION("GOOGLEFINANCE(""BOM:""&amp;A73,""MARKETCAP"")/10000000"),57.26122)</f>
        <v>57.261220000000002</v>
      </c>
      <c r="G73" s="95">
        <f t="shared" ca="1" si="0"/>
        <v>2.1901449243912635E-5</v>
      </c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</row>
    <row r="74" spans="1:25" ht="14.4">
      <c r="A74" s="99">
        <v>531616</v>
      </c>
      <c r="B74" s="98" t="s">
        <v>4998</v>
      </c>
      <c r="C74" s="101"/>
      <c r="D74" s="101"/>
      <c r="E74" s="101">
        <f ca="1">IFERROR(__xludf.DUMMYFUNCTION("GOOGLEFINANCE(""bom:""&amp;A74,""price"")"),49.75)</f>
        <v>49.75</v>
      </c>
      <c r="F74" s="112">
        <f ca="1">IFERROR(__xludf.DUMMYFUNCTION("GOOGLEFINANCE(""BOM:""&amp;A74,""MARKETCAP"")/10000000"),24.87798)</f>
        <v>24.877980000000001</v>
      </c>
      <c r="G74" s="95">
        <f t="shared" ca="1" si="0"/>
        <v>9.5154070461836765E-6</v>
      </c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</row>
    <row r="75" spans="1:25" ht="14.4">
      <c r="A75" s="99">
        <v>532386</v>
      </c>
      <c r="B75" s="98" t="s">
        <v>4999</v>
      </c>
      <c r="C75" s="101"/>
      <c r="D75" s="101"/>
      <c r="E75" s="101">
        <f ca="1">IFERROR(__xludf.DUMMYFUNCTION("GOOGLEFINANCE(""bom:""&amp;A75,""price"")"),11.54)</f>
        <v>11.54</v>
      </c>
      <c r="F75" s="112">
        <f ca="1">IFERROR(__xludf.DUMMYFUNCTION("GOOGLEFINANCE(""BOM:""&amp;A75,""MARKETCAP"")/10000000"),33.3184997)</f>
        <v>33.318499699999997</v>
      </c>
      <c r="G75" s="95">
        <f t="shared" ca="1" si="0"/>
        <v>1.2743763232129324E-5</v>
      </c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</row>
    <row r="76" spans="1:25" ht="14.4">
      <c r="A76" s="99">
        <v>544625</v>
      </c>
      <c r="B76" s="98" t="s">
        <v>5000</v>
      </c>
      <c r="C76" s="101"/>
      <c r="D76" s="101"/>
      <c r="E76" s="101">
        <f ca="1">IFERROR(__xludf.DUMMYFUNCTION("GOOGLEFINANCE(""bom:""&amp;A76,""price"")"),39.5)</f>
        <v>39.5</v>
      </c>
      <c r="F76" s="112">
        <f ca="1">IFERROR(__xludf.DUMMYFUNCTION("GOOGLEFINANCE(""BOM:""&amp;A76,""MARKETCAP"")/10000000"),29.498201)</f>
        <v>29.498201000000002</v>
      </c>
      <c r="G76" s="95">
        <f t="shared" ca="1" si="0"/>
        <v>1.1282563521843107E-5</v>
      </c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</row>
    <row r="77" spans="1:25" ht="14.4">
      <c r="A77" s="99">
        <v>531533</v>
      </c>
      <c r="B77" s="98" t="s">
        <v>5001</v>
      </c>
      <c r="C77" s="101"/>
      <c r="D77" s="101"/>
      <c r="E77" s="101">
        <f ca="1">IFERROR(__xludf.DUMMYFUNCTION("GOOGLEFINANCE(""bom:""&amp;A77,""price"")"),64.89)</f>
        <v>64.89</v>
      </c>
      <c r="F77" s="112">
        <f ca="1">IFERROR(__xludf.DUMMYFUNCTION("GOOGLEFINANCE(""BOM:""&amp;A77,""MARKETCAP"")/10000000"),32.0327535)</f>
        <v>32.032753499999998</v>
      </c>
      <c r="G77" s="95">
        <f t="shared" ca="1" si="0"/>
        <v>1.2251987032812342E-5</v>
      </c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ht="14.4">
      <c r="A78" s="99">
        <v>543282</v>
      </c>
      <c r="B78" s="98" t="s">
        <v>5002</v>
      </c>
      <c r="C78" s="101"/>
      <c r="D78" s="101"/>
      <c r="E78" s="101">
        <f ca="1">IFERROR(__xludf.DUMMYFUNCTION("GOOGLEFINANCE(""bom:""&amp;A78,""price"")"),435)</f>
        <v>435</v>
      </c>
      <c r="F78" s="112">
        <f ca="1">IFERROR(__xludf.DUMMYFUNCTION("GOOGLEFINANCE(""BOM:""&amp;A78,""MARKETCAP"")/10000000"),19.575)</f>
        <v>19.574999999999999</v>
      </c>
      <c r="G78" s="95">
        <f t="shared" ca="1" si="0"/>
        <v>7.4871067879725539E-6</v>
      </c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ht="14.4">
      <c r="A79" s="99">
        <v>531980</v>
      </c>
      <c r="B79" s="98" t="s">
        <v>5003</v>
      </c>
      <c r="C79" s="101"/>
      <c r="D79" s="101"/>
      <c r="E79" s="101">
        <f ca="1">IFERROR(__xludf.DUMMYFUNCTION("GOOGLEFINANCE(""bom:""&amp;A79,""price"")"),29.93)</f>
        <v>29.93</v>
      </c>
      <c r="F79" s="112">
        <f ca="1">IFERROR(__xludf.DUMMYFUNCTION("GOOGLEFINANCE(""BOM:""&amp;A79,""MARKETCAP"")/10000000"),15.11465)</f>
        <v>15.114649999999999</v>
      </c>
      <c r="G79" s="95">
        <f t="shared" ca="1" si="0"/>
        <v>5.7810982688546288E-6</v>
      </c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</row>
    <row r="80" spans="1:25" ht="14.4">
      <c r="A80" s="99">
        <v>540063</v>
      </c>
      <c r="B80" s="98" t="s">
        <v>5004</v>
      </c>
      <c r="C80" s="101"/>
      <c r="D80" s="101"/>
      <c r="E80" s="101">
        <f ca="1">IFERROR(__xludf.DUMMYFUNCTION("GOOGLEFINANCE(""bom:""&amp;A80,""price"")"),10.24)</f>
        <v>10.24</v>
      </c>
      <c r="F80" s="112">
        <f ca="1">IFERROR(__xludf.DUMMYFUNCTION("GOOGLEFINANCE(""BOM:""&amp;A80,""MARKETCAP"")/10000000"),21.0483604)</f>
        <v>21.0483604</v>
      </c>
      <c r="G80" s="95">
        <f t="shared" ca="1" si="0"/>
        <v>8.0506422491204454E-6</v>
      </c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5" ht="14.4">
      <c r="A81" s="99">
        <v>540174</v>
      </c>
      <c r="B81" s="98" t="s">
        <v>5005</v>
      </c>
      <c r="C81" s="101"/>
      <c r="D81" s="101"/>
      <c r="E81" s="101">
        <f ca="1">IFERROR(__xludf.DUMMYFUNCTION("GOOGLEFINANCE(""bom:""&amp;A81,""price"")"),20.5)</f>
        <v>20.5</v>
      </c>
      <c r="F81" s="112">
        <f ca="1">IFERROR(__xludf.DUMMYFUNCTION("GOOGLEFINANCE(""BOM:""&amp;A81,""MARKETCAP"")/10000000"),10.291)</f>
        <v>10.291</v>
      </c>
      <c r="G81" s="95">
        <f t="shared" ca="1" si="0"/>
        <v>3.9361336375491986E-6</v>
      </c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5" ht="14.4">
      <c r="A82" s="99">
        <v>531370</v>
      </c>
      <c r="B82" s="98" t="s">
        <v>5006</v>
      </c>
      <c r="C82" s="101"/>
      <c r="D82" s="101"/>
      <c r="E82" s="101">
        <f ca="1">IFERROR(__xludf.DUMMYFUNCTION("GOOGLEFINANCE(""bom:""&amp;A82,""price"")"),5.59)</f>
        <v>5.59</v>
      </c>
      <c r="F82" s="112">
        <f ca="1">IFERROR(__xludf.DUMMYFUNCTION("GOOGLEFINANCE(""BOM:""&amp;A82,""MARKETCAP"")/10000000"),10.9318042)</f>
        <v>10.9318042</v>
      </c>
      <c r="G82" s="95">
        <f t="shared" ca="1" si="0"/>
        <v>4.1812304179109522E-6</v>
      </c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</row>
    <row r="83" spans="1:25" ht="14.4">
      <c r="A83" s="99">
        <v>541890</v>
      </c>
      <c r="B83" s="98" t="s">
        <v>5007</v>
      </c>
      <c r="C83" s="101"/>
      <c r="D83" s="101"/>
      <c r="E83" s="101">
        <f ca="1">IFERROR(__xludf.DUMMYFUNCTION("GOOGLEFINANCE(""bom:""&amp;A83,""price"")"),0.19)</f>
        <v>0.19</v>
      </c>
      <c r="F83" s="112">
        <f ca="1">IFERROR(__xludf.DUMMYFUNCTION("GOOGLEFINANCE(""BOM:""&amp;A83,""MARKETCAP"")/10000000"),6.5757422)</f>
        <v>6.5757421999999996</v>
      </c>
      <c r="G83" s="95">
        <f t="shared" ca="1" si="0"/>
        <v>2.5151102968877434E-6</v>
      </c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5" ht="14.4">
      <c r="A84" s="99">
        <v>543436</v>
      </c>
      <c r="B84" s="98" t="s">
        <v>5008</v>
      </c>
      <c r="C84" s="101"/>
      <c r="D84" s="101"/>
      <c r="E84" s="101">
        <f ca="1">IFERROR(__xludf.DUMMYFUNCTION("GOOGLEFINANCE(""bom:""&amp;A84,""price"")"),173.4)</f>
        <v>173.4</v>
      </c>
      <c r="F84" s="112">
        <f ca="1">IFERROR(__xludf.DUMMYFUNCTION("GOOGLEFINANCE(""BOM:""&amp;A84,""MARKETCAP"")/10000000"),6.755664)</f>
        <v>6.7556640000000003</v>
      </c>
      <c r="G84" s="95">
        <f t="shared" ca="1" si="0"/>
        <v>2.5839273456787647E-6</v>
      </c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</row>
    <row r="85" spans="1:25" ht="14.4">
      <c r="A85" s="99">
        <v>531825</v>
      </c>
      <c r="B85" s="98" t="s">
        <v>5009</v>
      </c>
      <c r="C85" s="101"/>
      <c r="D85" s="101"/>
      <c r="E85" s="101">
        <f ca="1">IFERROR(__xludf.DUMMYFUNCTION("GOOGLEFINANCE(""bom:""&amp;A85,""price"")"),14.24)</f>
        <v>14.24</v>
      </c>
      <c r="F85" s="112">
        <f ca="1">IFERROR(__xludf.DUMMYFUNCTION("GOOGLEFINANCE(""BOM:""&amp;A85,""MARKETCAP"")/10000000"),7.977248)</f>
        <v>7.9772480000000003</v>
      </c>
      <c r="G85" s="95">
        <f t="shared" ca="1" si="0"/>
        <v>3.0511625874912126E-6</v>
      </c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</row>
    <row r="86" spans="1:25" ht="14.4">
      <c r="A86" s="99">
        <v>535657</v>
      </c>
      <c r="B86" s="98" t="s">
        <v>5010</v>
      </c>
      <c r="C86" s="101"/>
      <c r="D86" s="101"/>
      <c r="E86" s="101">
        <f ca="1">IFERROR(__xludf.DUMMYFUNCTION("GOOGLEFINANCE(""bom:""&amp;A86,""price"")"),6.5)</f>
        <v>6.5</v>
      </c>
      <c r="F86" s="112">
        <f ca="1">IFERROR(__xludf.DUMMYFUNCTION("GOOGLEFINANCE(""BOM:""&amp;A86,""MARKETCAP"")/10000000"),6.8327285)</f>
        <v>6.8327285</v>
      </c>
      <c r="G86" s="95">
        <f t="shared" ca="1" si="0"/>
        <v>2.6134032149539478E-6</v>
      </c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</row>
    <row r="87" spans="1:25" ht="14.4">
      <c r="A87" s="99">
        <v>534659</v>
      </c>
      <c r="B87" s="98" t="s">
        <v>5011</v>
      </c>
      <c r="C87" s="101"/>
      <c r="D87" s="101"/>
      <c r="E87" s="101">
        <f ca="1">IFERROR(__xludf.DUMMYFUNCTION("GOOGLEFINANCE(""bom:""&amp;A87,""price"")"),5.35)</f>
        <v>5.35</v>
      </c>
      <c r="F87" s="112">
        <f ca="1">IFERROR(__xludf.DUMMYFUNCTION("GOOGLEFINANCE(""BOM:""&amp;A87,""MARKETCAP"")/10000000"),5.358185)</f>
        <v>5.3581849999999998</v>
      </c>
      <c r="G87" s="95">
        <f t="shared" ca="1" si="0"/>
        <v>2.0494152380440726E-6</v>
      </c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</row>
    <row r="88" spans="1:25" ht="14.4">
      <c r="A88" s="99">
        <v>542923</v>
      </c>
      <c r="B88" s="98" t="s">
        <v>5012</v>
      </c>
      <c r="C88" s="101"/>
      <c r="D88" s="101"/>
      <c r="E88" s="101">
        <f ca="1">IFERROR(__xludf.DUMMYFUNCTION("GOOGLEFINANCE(""bom:""&amp;A88,""price"")"),4.05)</f>
        <v>4.05</v>
      </c>
      <c r="F88" s="112">
        <f ca="1">IFERROR(__xludf.DUMMYFUNCTION("GOOGLEFINANCE(""BOM:""&amp;A88,""MARKETCAP"")/10000000"),4.292514)</f>
        <v>4.2925139999999997</v>
      </c>
      <c r="G88" s="95">
        <f t="shared" ca="1" si="0"/>
        <v>1.6418140846420035E-6</v>
      </c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</row>
    <row r="89" spans="1:25" ht="14.4">
      <c r="A89" s="99">
        <v>543269</v>
      </c>
      <c r="B89" s="98" t="s">
        <v>5013</v>
      </c>
      <c r="C89" s="101"/>
      <c r="D89" s="101"/>
      <c r="E89" s="101">
        <f ca="1">IFERROR(__xludf.DUMMYFUNCTION("GOOGLEFINANCE(""bom:""&amp;A89,""price"")"),56.09)</f>
        <v>56.09</v>
      </c>
      <c r="F89" s="112">
        <f ca="1">IFERROR(__xludf.DUMMYFUNCTION("GOOGLEFINANCE(""BOM:""&amp;A89,""MARKETCAP"")/10000000"),4.703097)</f>
        <v>4.7030969999999996</v>
      </c>
      <c r="G89" s="95">
        <f t="shared" ca="1" si="0"/>
        <v>1.7988551455015761E-6</v>
      </c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</row>
    <row r="90" spans="1:25" ht="14.4">
      <c r="A90" s="99">
        <v>504375</v>
      </c>
      <c r="B90" s="98" t="s">
        <v>5014</v>
      </c>
      <c r="C90" s="101"/>
      <c r="D90" s="101"/>
      <c r="E90" s="101">
        <f ca="1">IFERROR(__xludf.DUMMYFUNCTION("GOOGLEFINANCE(""bom:""&amp;A90,""price"")"),296.95)</f>
        <v>296.95</v>
      </c>
      <c r="F90" s="112">
        <f ca="1">IFERROR(__xludf.DUMMYFUNCTION("GOOGLEFINANCE(""BOM:""&amp;A90,""MARKETCAP"")/10000000"),4.4542501)</f>
        <v>4.4542501000000003</v>
      </c>
      <c r="G90" s="95">
        <f t="shared" ca="1" si="0"/>
        <v>1.7036754104233683E-6</v>
      </c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</row>
    <row r="91" spans="1:25" ht="14.4">
      <c r="A91" s="99">
        <v>539383</v>
      </c>
      <c r="B91" s="98" t="s">
        <v>5015</v>
      </c>
      <c r="C91" s="101"/>
      <c r="D91" s="101"/>
      <c r="E91" s="101">
        <f ca="1">IFERROR(__xludf.DUMMYFUNCTION("GOOGLEFINANCE(""bom:""&amp;A91,""price"")"),9.39)</f>
        <v>9.39</v>
      </c>
      <c r="F91" s="112">
        <f ca="1">IFERROR(__xludf.DUMMYFUNCTION("GOOGLEFINANCE(""BOM:""&amp;A91,""MARKETCAP"")/10000000"),5.1729511)</f>
        <v>5.1729510999999997</v>
      </c>
      <c r="G91" s="95">
        <f t="shared" ca="1" si="0"/>
        <v>1.9785664007489191E-6</v>
      </c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</row>
    <row r="92" spans="1:25" ht="14.4">
      <c r="A92" s="99">
        <v>532866</v>
      </c>
      <c r="B92" s="98" t="s">
        <v>5016</v>
      </c>
      <c r="C92" s="101"/>
      <c r="D92" s="101"/>
      <c r="E92" s="101">
        <f ca="1">IFERROR(__xludf.DUMMYFUNCTION("GOOGLEFINANCE(""bom:""&amp;A92,""price"")"),1.89)</f>
        <v>1.89</v>
      </c>
      <c r="F92" s="112"/>
      <c r="G92" s="95">
        <f t="shared" ca="1" si="0"/>
        <v>0</v>
      </c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</row>
    <row r="93" spans="1:25" ht="14.4">
      <c r="A93" s="99">
        <v>534920</v>
      </c>
      <c r="B93" s="98" t="s">
        <v>5017</v>
      </c>
      <c r="C93" s="101"/>
      <c r="D93" s="101"/>
      <c r="E93" s="101">
        <f ca="1">IFERROR(__xludf.DUMMYFUNCTION("GOOGLEFINANCE(""bom:""&amp;A93,""price"")"),58.52)</f>
        <v>58.52</v>
      </c>
      <c r="F93" s="112"/>
      <c r="G93" s="95">
        <f t="shared" ca="1" si="0"/>
        <v>0</v>
      </c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</row>
    <row r="94" spans="1:25" ht="13.2">
      <c r="A94" s="101"/>
      <c r="B94" s="101"/>
      <c r="C94" s="101"/>
      <c r="D94" s="101"/>
      <c r="E94" s="101"/>
      <c r="F94" s="112"/>
      <c r="G94" s="95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</row>
    <row r="95" spans="1:25" ht="13.2">
      <c r="A95" s="101"/>
      <c r="B95" s="101"/>
      <c r="C95" s="101"/>
      <c r="D95" s="101"/>
      <c r="E95" s="101"/>
      <c r="F95" s="112">
        <f ca="1">SUM(F2:F93)</f>
        <v>2614494.5643684007</v>
      </c>
      <c r="G95" s="95">
        <f ca="1">F95/$F$95</f>
        <v>1</v>
      </c>
      <c r="H95" s="101">
        <f t="shared" ref="H95:O95" si="1">SUM(H2:H93)</f>
        <v>648561</v>
      </c>
      <c r="I95" s="101">
        <f t="shared" si="1"/>
        <v>606002</v>
      </c>
      <c r="J95" s="101">
        <f t="shared" si="1"/>
        <v>92907</v>
      </c>
      <c r="K95" s="101">
        <f t="shared" si="1"/>
        <v>92058</v>
      </c>
      <c r="L95" s="101">
        <f t="shared" si="1"/>
        <v>219392</v>
      </c>
      <c r="M95" s="101">
        <f t="shared" si="1"/>
        <v>201940</v>
      </c>
      <c r="N95" s="101">
        <f t="shared" si="1"/>
        <v>28837</v>
      </c>
      <c r="O95" s="101">
        <f t="shared" si="1"/>
        <v>31514</v>
      </c>
      <c r="P95" s="95">
        <f t="shared" ref="P95:Q95" si="2">J95/H95</f>
        <v>0.14325098178891424</v>
      </c>
      <c r="Q95" s="95">
        <f t="shared" si="2"/>
        <v>0.15191038973468735</v>
      </c>
      <c r="R95" s="95">
        <f>P95-Q95</f>
        <v>-8.6594079457731066E-3</v>
      </c>
      <c r="S95" s="95">
        <f t="shared" ref="S95:T95" si="3">N95/L95</f>
        <v>0.13144052654609101</v>
      </c>
      <c r="T95" s="95">
        <f t="shared" si="3"/>
        <v>0.15605625433297018</v>
      </c>
      <c r="U95" s="95">
        <f>S95-T95</f>
        <v>-2.4615727786879177E-2</v>
      </c>
      <c r="V95" s="95">
        <f>(H95/I95)-1</f>
        <v>7.022914115794987E-2</v>
      </c>
      <c r="W95" s="95">
        <f>(J95/K95)-1</f>
        <v>9.222446718373245E-3</v>
      </c>
      <c r="X95" s="95">
        <f>(L95/M95)-1</f>
        <v>8.6421709418639248E-2</v>
      </c>
      <c r="Y95" s="95">
        <f>(N95/O95)-1</f>
        <v>-8.4946373040553413E-2</v>
      </c>
    </row>
    <row r="96" spans="1:25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93" xr:uid="{00000000-0009-0000-0000-0000A6000000}"/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511218</v>
      </c>
      <c r="B2" s="98" t="s">
        <v>5018</v>
      </c>
      <c r="C2" s="101" t="str">
        <f>VLOOKUP(A2,'BSE ALL CAP'!$B$4:$Y$1038,2,)</f>
        <v>Financial Services</v>
      </c>
      <c r="D2" s="101" t="str">
        <f>VLOOKUP(A2,'BSE ALL CAP'!$B$4:$Y$1038,3,)</f>
        <v>Non Banking Financial Company (NBFC)</v>
      </c>
      <c r="E2" s="101">
        <f ca="1">IFERROR(__xludf.DUMMYFUNCTION("GOOGLEFINANCE(""bom:""&amp;A2,""price"")"),925.7)</f>
        <v>925.7</v>
      </c>
      <c r="F2" s="112">
        <f ca="1">IFERROR(__xludf.DUMMYFUNCTION("GOOGLEFINANCE(""BOM:""&amp;A2,""MARKETCAP"")/10000000"),174204.6909313)</f>
        <v>174204.69093129999</v>
      </c>
      <c r="G2" s="95">
        <f t="shared" ref="G2:G256" ca="1" si="0">F2/$F$302</f>
        <v>0.10935829799190969</v>
      </c>
      <c r="H2" s="101">
        <f>VLOOKUP(A2,'BSE ALL CAP'!$B$4:$Y$1038,7,)</f>
        <v>35660</v>
      </c>
      <c r="I2" s="101">
        <f>VLOOKUP(A2,'BSE ALL CAP'!$B$4:$Y$1038,8,)</f>
        <v>30399</v>
      </c>
      <c r="J2" s="101">
        <f>VLOOKUP(A2,'BSE ALL CAP'!$B$4:$Y$1038,9,)</f>
        <v>7003</v>
      </c>
      <c r="K2" s="101">
        <f>VLOOKUP(A2,'BSE ALL CAP'!$B$4:$Y$1038,10,)</f>
        <v>7432</v>
      </c>
      <c r="L2" s="101">
        <f>VLOOKUP(A2,'BSE ALL CAP'!$B$4:$Y$1038,11,)</f>
        <v>12196</v>
      </c>
      <c r="M2" s="101">
        <f>VLOOKUP(A2,'BSE ALL CAP'!$B$4:$Y$1038,12,)</f>
        <v>10705</v>
      </c>
      <c r="N2" s="101">
        <f>VLOOKUP(A2,'BSE ALL CAP'!$B$4:$Y$1038,13,)</f>
        <v>2529</v>
      </c>
      <c r="O2" s="101">
        <f>VLOOKUP(A2,'BSE ALL CAP'!$B$4:$Y$1038,14,)</f>
        <v>3248</v>
      </c>
      <c r="P2" s="95">
        <f>VLOOKUP(A2,'BSE ALL CAP'!$B$4:$Y$1038,15,)</f>
        <v>0.19638250140213123</v>
      </c>
      <c r="Q2" s="95">
        <f>VLOOKUP(A2,'BSE ALL CAP'!$B$4:$Y$1038,16,)</f>
        <v>0.24448172637257803</v>
      </c>
      <c r="R2" s="95">
        <f>VLOOKUP(A2,'BSE ALL CAP'!$B$4:$Y$1038,17,)</f>
        <v>-4.8099224970446802E-2</v>
      </c>
      <c r="S2" s="95">
        <f>VLOOKUP(A2,'BSE ALL CAP'!$B$4:$Y$1038,18,)</f>
        <v>0.20736306985897016</v>
      </c>
      <c r="T2" s="95">
        <f>VLOOKUP(A2,'BSE ALL CAP'!$B$4:$Y$1038,19,)</f>
        <v>0.30340962167211583</v>
      </c>
      <c r="U2" s="95">
        <f>VLOOKUP(A2,'BSE ALL CAP'!$B$4:$Y$1038,20,)</f>
        <v>-9.604655181314567E-2</v>
      </c>
      <c r="V2" s="95">
        <f>VLOOKUP(A2,'BSE ALL CAP'!$B$4:$Y$1038,21,)</f>
        <v>0.17306490345077141</v>
      </c>
      <c r="W2" s="95">
        <f>VLOOKUP(A2,'BSE ALL CAP'!$B$4:$Y$1038,22,)</f>
        <v>-5.7723358449946138E-2</v>
      </c>
      <c r="X2" s="95">
        <f>VLOOKUP(A2,'BSE ALL CAP'!$B$4:$Y$1038,23,)</f>
        <v>0.13928070994862218</v>
      </c>
      <c r="Y2" s="95">
        <f>VLOOKUP(A2,'BSE ALL CAP'!$B$4:$Y$1038,24,)</f>
        <v>-0.22136699507389157</v>
      </c>
    </row>
    <row r="3" spans="1:25" ht="15.75" customHeight="1">
      <c r="A3" s="99">
        <v>533398</v>
      </c>
      <c r="B3" s="98" t="s">
        <v>5019</v>
      </c>
      <c r="C3" s="101" t="str">
        <f>VLOOKUP(A3,'BSE ALL CAP'!$B$4:$Y$1038,2,)</f>
        <v>Financial Services</v>
      </c>
      <c r="D3" s="101" t="str">
        <f>VLOOKUP(A3,'BSE ALL CAP'!$B$4:$Y$1038,3,)</f>
        <v>Non Banking Financial Company (NBFC)</v>
      </c>
      <c r="E3" s="101">
        <f ca="1">IFERROR(__xludf.DUMMYFUNCTION("GOOGLEFINANCE(""bom:""&amp;A3,""price"")"),3302.5)</f>
        <v>3302.5</v>
      </c>
      <c r="F3" s="112">
        <f ca="1">IFERROR(__xludf.DUMMYFUNCTION("GOOGLEFINANCE(""BOM:""&amp;A3,""MARKETCAP"")/10000000"),132604.3750394)</f>
        <v>132604.37503940001</v>
      </c>
      <c r="G3" s="95">
        <f t="shared" ca="1" si="0"/>
        <v>8.3243388470569252E-2</v>
      </c>
      <c r="H3" s="101">
        <f>VLOOKUP(A3,'BSE ALL CAP'!$B$4:$Y$1038,7,)</f>
        <v>22056</v>
      </c>
      <c r="I3" s="101">
        <f>VLOOKUP(A3,'BSE ALL CAP'!$B$4:$Y$1038,8,)</f>
        <v>14671</v>
      </c>
      <c r="J3" s="101">
        <f>VLOOKUP(A3,'BSE ALL CAP'!$B$4:$Y$1038,9,)</f>
        <v>7209</v>
      </c>
      <c r="K3" s="101">
        <f>VLOOKUP(A3,'BSE ALL CAP'!$B$4:$Y$1038,10,)</f>
        <v>3908</v>
      </c>
      <c r="L3" s="101">
        <f>VLOOKUP(A3,'BSE ALL CAP'!$B$4:$Y$1038,11,)</f>
        <v>8239</v>
      </c>
      <c r="M3" s="101">
        <f>VLOOKUP(A3,'BSE ALL CAP'!$B$4:$Y$1038,12,)</f>
        <v>5221</v>
      </c>
      <c r="N3" s="101">
        <f>VLOOKUP(A3,'BSE ALL CAP'!$B$4:$Y$1038,13,)</f>
        <v>2823</v>
      </c>
      <c r="O3" s="101">
        <f>VLOOKUP(A3,'BSE ALL CAP'!$B$4:$Y$1038,14,)</f>
        <v>1391</v>
      </c>
      <c r="P3" s="95">
        <f>VLOOKUP(A3,'BSE ALL CAP'!$B$4:$Y$1038,15,)</f>
        <v>0.32684983677910773</v>
      </c>
      <c r="Q3" s="95">
        <f>VLOOKUP(A3,'BSE ALL CAP'!$B$4:$Y$1038,16,)</f>
        <v>0.26637584350078386</v>
      </c>
      <c r="R3" s="95">
        <f>VLOOKUP(A3,'BSE ALL CAP'!$B$4:$Y$1038,17,)</f>
        <v>6.0473993278323868E-2</v>
      </c>
      <c r="S3" s="95">
        <f>VLOOKUP(A3,'BSE ALL CAP'!$B$4:$Y$1038,18,)</f>
        <v>0.3426386697414735</v>
      </c>
      <c r="T3" s="95">
        <f>VLOOKUP(A3,'BSE ALL CAP'!$B$4:$Y$1038,19,)</f>
        <v>0.26642405669411989</v>
      </c>
      <c r="U3" s="95">
        <f>VLOOKUP(A3,'BSE ALL CAP'!$B$4:$Y$1038,20,)</f>
        <v>7.6214613047353608E-2</v>
      </c>
      <c r="V3" s="95">
        <f>VLOOKUP(A3,'BSE ALL CAP'!$B$4:$Y$1038,21,)</f>
        <v>0.50337400313543723</v>
      </c>
      <c r="W3" s="95">
        <f>VLOOKUP(A3,'BSE ALL CAP'!$B$4:$Y$1038,22,)</f>
        <v>0.84467758444216989</v>
      </c>
      <c r="X3" s="95">
        <f>VLOOKUP(A3,'BSE ALL CAP'!$B$4:$Y$1038,23,)</f>
        <v>0.57805018195747948</v>
      </c>
      <c r="Y3" s="95">
        <f>VLOOKUP(A3,'BSE ALL CAP'!$B$4:$Y$1038,24,)</f>
        <v>1.0294751976994969</v>
      </c>
    </row>
    <row r="4" spans="1:25" ht="15.75" customHeight="1">
      <c r="A4" s="99">
        <v>544574</v>
      </c>
      <c r="B4" s="98" t="s">
        <v>5020</v>
      </c>
      <c r="C4" s="101" t="str">
        <f>VLOOKUP(A4,'BSE ALL CAP'!$B$4:$Y$1038,2,)</f>
        <v>Financial Services</v>
      </c>
      <c r="D4" s="101" t="str">
        <f>VLOOKUP(A4,'BSE ALL CAP'!$B$4:$Y$1038,3,)</f>
        <v>Non Banking Financial Company (NBFC)</v>
      </c>
      <c r="E4" s="101">
        <f ca="1">IFERROR(__xludf.DUMMYFUNCTION("GOOGLEFINANCE(""bom:""&amp;A4,""price"")"),307.5)</f>
        <v>307.5</v>
      </c>
      <c r="F4" s="112">
        <f ca="1">IFERROR(__xludf.DUMMYFUNCTION("GOOGLEFINANCE(""BOM:""&amp;A4,""MARKETCAP"")/10000000"),129662.7255)</f>
        <v>129662.7255</v>
      </c>
      <c r="G4" s="95">
        <f t="shared" ca="1" si="0"/>
        <v>8.1396745965148232E-2</v>
      </c>
      <c r="H4" s="101">
        <f>VLOOKUP(A4,'BSE ALL CAP'!$B$4:$Y$1038,7,)</f>
        <v>23420</v>
      </c>
      <c r="I4" s="101">
        <f>VLOOKUP(A4,'BSE ALL CAP'!$B$4:$Y$1038,8,)</f>
        <v>20861</v>
      </c>
      <c r="J4" s="101">
        <f>VLOOKUP(A4,'BSE ALL CAP'!$B$4:$Y$1038,9,)</f>
        <v>3424</v>
      </c>
      <c r="K4" s="101">
        <f>VLOOKUP(A4,'BSE ALL CAP'!$B$4:$Y$1038,10,)</f>
        <v>2655</v>
      </c>
      <c r="L4" s="101">
        <f>VLOOKUP(A4,'BSE ALL CAP'!$B$4:$Y$1038,11,)</f>
        <v>7978</v>
      </c>
      <c r="M4" s="101">
        <f>VLOOKUP(A4,'BSE ALL CAP'!$B$4:$Y$1038,12,)</f>
        <v>7111</v>
      </c>
      <c r="N4" s="101">
        <f>VLOOKUP(A4,'BSE ALL CAP'!$B$4:$Y$1038,13,)</f>
        <v>1265</v>
      </c>
      <c r="O4" s="101">
        <f>VLOOKUP(A4,'BSE ALL CAP'!$B$4:$Y$1038,14,)</f>
        <v>1050</v>
      </c>
      <c r="P4" s="95">
        <f>VLOOKUP(A4,'BSE ALL CAP'!$B$4:$Y$1038,15,)</f>
        <v>0.14619982920580701</v>
      </c>
      <c r="Q4" s="95">
        <f>VLOOKUP(A4,'BSE ALL CAP'!$B$4:$Y$1038,16,)</f>
        <v>0.12727098413307128</v>
      </c>
      <c r="R4" s="95">
        <f>VLOOKUP(A4,'BSE ALL CAP'!$B$4:$Y$1038,17,)</f>
        <v>1.8928845072735734E-2</v>
      </c>
      <c r="S4" s="95">
        <f>VLOOKUP(A4,'BSE ALL CAP'!$B$4:$Y$1038,18,)</f>
        <v>0.15856104286788669</v>
      </c>
      <c r="T4" s="95">
        <f>VLOOKUP(A4,'BSE ALL CAP'!$B$4:$Y$1038,19,)</f>
        <v>0.14765855716495571</v>
      </c>
      <c r="U4" s="95">
        <f>VLOOKUP(A4,'BSE ALL CAP'!$B$4:$Y$1038,20,)</f>
        <v>1.0902485702930981E-2</v>
      </c>
      <c r="V4" s="95">
        <f>VLOOKUP(A4,'BSE ALL CAP'!$B$4:$Y$1038,21,)</f>
        <v>0.12266909544125393</v>
      </c>
      <c r="W4" s="95">
        <f>VLOOKUP(A4,'BSE ALL CAP'!$B$4:$Y$1038,22,)</f>
        <v>0.28964218455743884</v>
      </c>
      <c r="X4" s="95">
        <f>VLOOKUP(A4,'BSE ALL CAP'!$B$4:$Y$1038,23,)</f>
        <v>0.12192378005906335</v>
      </c>
      <c r="Y4" s="95">
        <f>VLOOKUP(A4,'BSE ALL CAP'!$B$4:$Y$1038,24,)</f>
        <v>0.2047619047619047</v>
      </c>
    </row>
    <row r="5" spans="1:25" ht="15.75" customHeight="1">
      <c r="A5" s="99">
        <v>511243</v>
      </c>
      <c r="B5" s="98" t="s">
        <v>5021</v>
      </c>
      <c r="C5" s="101" t="str">
        <f>VLOOKUP(A5,'BSE ALL CAP'!$B$4:$Y$1038,2,)</f>
        <v>Financial Services</v>
      </c>
      <c r="D5" s="101" t="str">
        <f>VLOOKUP(A5,'BSE ALL CAP'!$B$4:$Y$1038,3,)</f>
        <v>Non Banking Financial Company (NBFC)</v>
      </c>
      <c r="E5" s="101">
        <f ca="1">IFERROR(__xludf.DUMMYFUNCTION("GOOGLEFINANCE(""bom:""&amp;A5,""price"")"),1394.35)</f>
        <v>1394.35</v>
      </c>
      <c r="F5" s="112">
        <f ca="1">IFERROR(__xludf.DUMMYFUNCTION("GOOGLEFINANCE(""BOM:""&amp;A5,""MARKETCAP"")/10000000"),118859.17545)</f>
        <v>118859.17545</v>
      </c>
      <c r="G5" s="95">
        <f t="shared" ca="1" si="0"/>
        <v>7.4614736597763659E-2</v>
      </c>
      <c r="H5" s="101">
        <f>VLOOKUP(A5,'BSE ALL CAP'!$B$4:$Y$1038,7,)</f>
        <v>22975</v>
      </c>
      <c r="I5" s="101">
        <f>VLOOKUP(A5,'BSE ALL CAP'!$B$4:$Y$1038,8,)</f>
        <v>19015</v>
      </c>
      <c r="J5" s="101">
        <f>VLOOKUP(A5,'BSE ALL CAP'!$B$4:$Y$1038,9,)</f>
        <v>3587</v>
      </c>
      <c r="K5" s="101">
        <f>VLOOKUP(A5,'BSE ALL CAP'!$B$4:$Y$1038,10,)</f>
        <v>3003</v>
      </c>
      <c r="L5" s="101">
        <f>VLOOKUP(A5,'BSE ALL CAP'!$B$4:$Y$1038,11,)</f>
        <v>8009</v>
      </c>
      <c r="M5" s="101">
        <f>VLOOKUP(A5,'BSE ALL CAP'!$B$4:$Y$1038,12,)</f>
        <v>6837</v>
      </c>
      <c r="N5" s="101">
        <f>VLOOKUP(A5,'BSE ALL CAP'!$B$4:$Y$1038,13,)</f>
        <v>1290</v>
      </c>
      <c r="O5" s="101">
        <f>VLOOKUP(A5,'BSE ALL CAP'!$B$4:$Y$1038,14,)</f>
        <v>1088</v>
      </c>
      <c r="P5" s="95">
        <f>VLOOKUP(A5,'BSE ALL CAP'!$B$4:$Y$1038,15,)</f>
        <v>0.15612622415669206</v>
      </c>
      <c r="Q5" s="95">
        <f>VLOOKUP(A5,'BSE ALL CAP'!$B$4:$Y$1038,16,)</f>
        <v>0.15792795161714435</v>
      </c>
      <c r="R5" s="95">
        <f>VLOOKUP(A5,'BSE ALL CAP'!$B$4:$Y$1038,17,)</f>
        <v>-1.8017274604522904E-3</v>
      </c>
      <c r="S5" s="95">
        <f>VLOOKUP(A5,'BSE ALL CAP'!$B$4:$Y$1038,18,)</f>
        <v>0.16106879760269696</v>
      </c>
      <c r="T5" s="95">
        <f>VLOOKUP(A5,'BSE ALL CAP'!$B$4:$Y$1038,19,)</f>
        <v>0.15913412315342987</v>
      </c>
      <c r="U5" s="95">
        <f>VLOOKUP(A5,'BSE ALL CAP'!$B$4:$Y$1038,20,)</f>
        <v>1.9346744492670931E-3</v>
      </c>
      <c r="V5" s="95">
        <f>VLOOKUP(A5,'BSE ALL CAP'!$B$4:$Y$1038,21,)</f>
        <v>0.20825663949513551</v>
      </c>
      <c r="W5" s="95">
        <f>VLOOKUP(A5,'BSE ALL CAP'!$B$4:$Y$1038,22,)</f>
        <v>0.19447219447219455</v>
      </c>
      <c r="X5" s="95">
        <f>VLOOKUP(A5,'BSE ALL CAP'!$B$4:$Y$1038,23,)</f>
        <v>0.17142021354395198</v>
      </c>
      <c r="Y5" s="95">
        <f>VLOOKUP(A5,'BSE ALL CAP'!$B$4:$Y$1038,24,)</f>
        <v>0.18566176470588225</v>
      </c>
    </row>
    <row r="6" spans="1:25" ht="15.75" customHeight="1">
      <c r="A6" s="99">
        <v>543066</v>
      </c>
      <c r="B6" s="98" t="s">
        <v>5022</v>
      </c>
      <c r="C6" s="101" t="str">
        <f>VLOOKUP(A6,'BSE ALL CAP'!$B$4:$Y$1038,2,)</f>
        <v>Financial Services</v>
      </c>
      <c r="D6" s="101" t="str">
        <f>VLOOKUP(A6,'BSE ALL CAP'!$B$4:$Y$1038,3,)</f>
        <v>Non Banking Financial Company (NBFC)</v>
      </c>
      <c r="E6" s="101">
        <f ca="1">IFERROR(__xludf.DUMMYFUNCTION("GOOGLEFINANCE(""bom:""&amp;A6,""price"")"),637.55)</f>
        <v>637.54999999999995</v>
      </c>
      <c r="F6" s="112">
        <f ca="1">IFERROR(__xludf.DUMMYFUNCTION("GOOGLEFINANCE(""BOM:""&amp;A6,""MARKETCAP"")/10000000"),60654.9990712)</f>
        <v>60654.9990712</v>
      </c>
      <c r="G6" s="95">
        <f t="shared" ca="1" si="0"/>
        <v>3.8076629439003799E-2</v>
      </c>
      <c r="H6" s="101">
        <f>VLOOKUP(A6,'BSE ALL CAP'!$B$4:$Y$1038,7,)</f>
        <v>15520</v>
      </c>
      <c r="I6" s="101">
        <f>VLOOKUP(A6,'BSE ALL CAP'!$B$4:$Y$1038,8,)</f>
        <v>13804</v>
      </c>
      <c r="J6" s="101">
        <f>VLOOKUP(A6,'BSE ALL CAP'!$B$4:$Y$1038,9,)</f>
        <v>1557</v>
      </c>
      <c r="K6" s="101">
        <f>VLOOKUP(A6,'BSE ALL CAP'!$B$4:$Y$1038,10,)</f>
        <v>1382</v>
      </c>
      <c r="L6" s="101">
        <f>VLOOKUP(A6,'BSE ALL CAP'!$B$4:$Y$1038,11,)</f>
        <v>5353</v>
      </c>
      <c r="M6" s="101">
        <f>VLOOKUP(A6,'BSE ALL CAP'!$B$4:$Y$1038,12,)</f>
        <v>4767</v>
      </c>
      <c r="N6" s="101">
        <f>VLOOKUP(A6,'BSE ALL CAP'!$B$4:$Y$1038,13,)</f>
        <v>557</v>
      </c>
      <c r="O6" s="101">
        <f>VLOOKUP(A6,'BSE ALL CAP'!$B$4:$Y$1038,14,)</f>
        <v>383</v>
      </c>
      <c r="P6" s="95">
        <f>VLOOKUP(A6,'BSE ALL CAP'!$B$4:$Y$1038,15,)</f>
        <v>0.10032216494845361</v>
      </c>
      <c r="Q6" s="95">
        <f>VLOOKUP(A6,'BSE ALL CAP'!$B$4:$Y$1038,16,)</f>
        <v>0.10011590843233845</v>
      </c>
      <c r="R6" s="95">
        <f>VLOOKUP(A6,'BSE ALL CAP'!$B$4:$Y$1038,17,)</f>
        <v>2.0625651611516638E-4</v>
      </c>
      <c r="S6" s="95">
        <f>VLOOKUP(A6,'BSE ALL CAP'!$B$4:$Y$1038,18,)</f>
        <v>0.10405380160657575</v>
      </c>
      <c r="T6" s="95">
        <f>VLOOKUP(A6,'BSE ALL CAP'!$B$4:$Y$1038,19,)</f>
        <v>8.03440318858821E-2</v>
      </c>
      <c r="U6" s="95">
        <f>VLOOKUP(A6,'BSE ALL CAP'!$B$4:$Y$1038,20,)</f>
        <v>2.3709769720693649E-2</v>
      </c>
      <c r="V6" s="95">
        <f>VLOOKUP(A6,'BSE ALL CAP'!$B$4:$Y$1038,21,)</f>
        <v>0.1243117936829905</v>
      </c>
      <c r="W6" s="95">
        <f>VLOOKUP(A6,'BSE ALL CAP'!$B$4:$Y$1038,22,)</f>
        <v>0.12662807525325626</v>
      </c>
      <c r="X6" s="95">
        <f>VLOOKUP(A6,'BSE ALL CAP'!$B$4:$Y$1038,23,)</f>
        <v>0.12292846654080125</v>
      </c>
      <c r="Y6" s="95">
        <f>VLOOKUP(A6,'BSE ALL CAP'!$B$4:$Y$1038,24,)</f>
        <v>0.45430809399477812</v>
      </c>
    </row>
    <row r="7" spans="1:25" ht="15.75" customHeight="1">
      <c r="A7" s="99">
        <v>533519</v>
      </c>
      <c r="B7" s="98" t="s">
        <v>5023</v>
      </c>
      <c r="C7" s="101" t="str">
        <f>VLOOKUP(A7,'BSE ALL CAP'!$B$4:$Y$1038,2,)</f>
        <v>Financial Services</v>
      </c>
      <c r="D7" s="101" t="str">
        <f>VLOOKUP(A7,'BSE ALL CAP'!$B$4:$Y$1038,3,)</f>
        <v>Non Banking Financial Company (NBFC)</v>
      </c>
      <c r="E7" s="101">
        <f ca="1">IFERROR(__xludf.DUMMYFUNCTION("GOOGLEFINANCE(""bom:""&amp;A7,""price"")"),257.15)</f>
        <v>257.14999999999998</v>
      </c>
      <c r="F7" s="112">
        <f ca="1">IFERROR(__xludf.DUMMYFUNCTION("GOOGLEFINANCE(""BOM:""&amp;A7,""MARKETCAP"")/10000000"),60192.92)</f>
        <v>60192.92</v>
      </c>
      <c r="G7" s="95">
        <f t="shared" ca="1" si="0"/>
        <v>3.7786555845152968E-2</v>
      </c>
      <c r="H7" s="101">
        <f>VLOOKUP(A7,'BSE ALL CAP'!$B$4:$Y$1038,7,)</f>
        <v>13165</v>
      </c>
      <c r="I7" s="101">
        <f>VLOOKUP(A7,'BSE ALL CAP'!$B$4:$Y$1038,8,)</f>
        <v>11913</v>
      </c>
      <c r="J7" s="101">
        <f>VLOOKUP(A7,'BSE ALL CAP'!$B$4:$Y$1038,9,)</f>
        <v>2174</v>
      </c>
      <c r="K7" s="101">
        <f>VLOOKUP(A7,'BSE ALL CAP'!$B$4:$Y$1038,10,)</f>
        <v>2007</v>
      </c>
      <c r="L7" s="101">
        <f>VLOOKUP(A7,'BSE ALL CAP'!$B$4:$Y$1038,11,)</f>
        <v>4581</v>
      </c>
      <c r="M7" s="101">
        <f>VLOOKUP(A7,'BSE ALL CAP'!$B$4:$Y$1038,12,)</f>
        <v>4105</v>
      </c>
      <c r="N7" s="101">
        <f>VLOOKUP(A7,'BSE ALL CAP'!$B$4:$Y$1038,13,)</f>
        <v>738</v>
      </c>
      <c r="O7" s="101">
        <f>VLOOKUP(A7,'BSE ALL CAP'!$B$4:$Y$1038,14,)</f>
        <v>626</v>
      </c>
      <c r="P7" s="95">
        <f>VLOOKUP(A7,'BSE ALL CAP'!$B$4:$Y$1038,15,)</f>
        <v>0.1651348271933156</v>
      </c>
      <c r="Q7" s="95">
        <f>VLOOKUP(A7,'BSE ALL CAP'!$B$4:$Y$1038,16,)</f>
        <v>0.16847141777889701</v>
      </c>
      <c r="R7" s="95">
        <f>VLOOKUP(A7,'BSE ALL CAP'!$B$4:$Y$1038,17,)</f>
        <v>-3.3365905855814171E-3</v>
      </c>
      <c r="S7" s="95">
        <f>VLOOKUP(A7,'BSE ALL CAP'!$B$4:$Y$1038,18,)</f>
        <v>0.16110019646365423</v>
      </c>
      <c r="T7" s="95">
        <f>VLOOKUP(A7,'BSE ALL CAP'!$B$4:$Y$1038,19,)</f>
        <v>0.15249695493300852</v>
      </c>
      <c r="U7" s="95">
        <f>VLOOKUP(A7,'BSE ALL CAP'!$B$4:$Y$1038,20,)</f>
        <v>8.6032415306457055E-3</v>
      </c>
      <c r="V7" s="95">
        <f>VLOOKUP(A7,'BSE ALL CAP'!$B$4:$Y$1038,21,)</f>
        <v>0.10509527407034325</v>
      </c>
      <c r="W7" s="95">
        <f>VLOOKUP(A7,'BSE ALL CAP'!$B$4:$Y$1038,22,)</f>
        <v>8.3208769307423935E-2</v>
      </c>
      <c r="X7" s="95">
        <f>VLOOKUP(A7,'BSE ALL CAP'!$B$4:$Y$1038,23,)</f>
        <v>0.11595615103532286</v>
      </c>
      <c r="Y7" s="95">
        <f>VLOOKUP(A7,'BSE ALL CAP'!$B$4:$Y$1038,24,)</f>
        <v>0.17891373801916943</v>
      </c>
    </row>
    <row r="8" spans="1:25" ht="15.75" customHeight="1">
      <c r="A8" s="99">
        <v>500034</v>
      </c>
      <c r="B8" s="98" t="s">
        <v>74</v>
      </c>
      <c r="C8" s="101" t="str">
        <f>VLOOKUP(A8,'BSE ALL CAP'!$B$4:$Y$1038,2,)</f>
        <v>Financial Services</v>
      </c>
      <c r="D8" s="101" t="str">
        <f>VLOOKUP(A8,'BSE ALL CAP'!$B$4:$Y$1038,3,)</f>
        <v>Non Banking Financial Company (NBFC)</v>
      </c>
      <c r="E8" s="101">
        <f ca="1">IFERROR(__xludf.DUMMYFUNCTION("GOOGLEFINANCE(""bom:""&amp;A8,""price"")"),850.25)</f>
        <v>850.25</v>
      </c>
      <c r="F8" s="112">
        <f ca="1">IFERROR(__xludf.DUMMYFUNCTION("GOOGLEFINANCE(""BOM:""&amp;A8,""MARKETCAP"")/10000000"),528700.2273)</f>
        <v>528700.22730000003</v>
      </c>
      <c r="G8" s="95">
        <f t="shared" ca="1" si="0"/>
        <v>0.33189552299866032</v>
      </c>
      <c r="H8" s="101">
        <f>VLOOKUP(A8,'BSE ALL CAP'!$B$4:$Y$1038,7,)</f>
        <v>60917</v>
      </c>
      <c r="I8" s="101">
        <f>VLOOKUP(A8,'BSE ALL CAP'!$B$4:$Y$1038,8,)</f>
        <v>51227</v>
      </c>
      <c r="J8" s="101">
        <f>VLOOKUP(A8,'BSE ALL CAP'!$B$4:$Y$1038,9,)</f>
        <v>13779</v>
      </c>
      <c r="K8" s="101">
        <f>VLOOKUP(A8,'BSE ALL CAP'!$B$4:$Y$1038,10,)</f>
        <v>12234</v>
      </c>
      <c r="L8" s="101">
        <f>VLOOKUP(A8,'BSE ALL CAP'!$B$4:$Y$1038,11,)</f>
        <v>21215</v>
      </c>
      <c r="M8" s="101">
        <f>VLOOKUP(A8,'BSE ALL CAP'!$B$4:$Y$1038,12,)</f>
        <v>18058</v>
      </c>
      <c r="N8" s="101">
        <f>VLOOKUP(A8,'BSE ALL CAP'!$B$4:$Y$1038,13,)</f>
        <v>4066</v>
      </c>
      <c r="O8" s="101">
        <f>VLOOKUP(A8,'BSE ALL CAP'!$B$4:$Y$1038,14,)</f>
        <v>4308</v>
      </c>
      <c r="P8" s="95">
        <f>VLOOKUP(A8,'BSE ALL CAP'!$B$4:$Y$1038,15,)</f>
        <v>0.22619301672767864</v>
      </c>
      <c r="Q8" s="95">
        <f>VLOOKUP(A8,'BSE ALL CAP'!$B$4:$Y$1038,16,)</f>
        <v>0.23881937259648231</v>
      </c>
      <c r="R8" s="95">
        <f>VLOOKUP(A8,'BSE ALL CAP'!$B$4:$Y$1038,17,)</f>
        <v>-1.2626355868803674E-2</v>
      </c>
      <c r="S8" s="95">
        <f>VLOOKUP(A8,'BSE ALL CAP'!$B$4:$Y$1038,18,)</f>
        <v>0.19165684657082252</v>
      </c>
      <c r="T8" s="95">
        <f>VLOOKUP(A8,'BSE ALL CAP'!$B$4:$Y$1038,19,)</f>
        <v>0.23856462509690995</v>
      </c>
      <c r="U8" s="95">
        <f>VLOOKUP(A8,'BSE ALL CAP'!$B$4:$Y$1038,20,)</f>
        <v>-4.6907778526087435E-2</v>
      </c>
      <c r="V8" s="95">
        <f>VLOOKUP(A8,'BSE ALL CAP'!$B$4:$Y$1038,21,)</f>
        <v>0.1891580611786754</v>
      </c>
      <c r="W8" s="95">
        <f>VLOOKUP(A8,'BSE ALL CAP'!$B$4:$Y$1038,22,)</f>
        <v>0.12628739578224613</v>
      </c>
      <c r="X8" s="95">
        <f>VLOOKUP(A8,'BSE ALL CAP'!$B$4:$Y$1038,23,)</f>
        <v>0.17482556207774946</v>
      </c>
      <c r="Y8" s="95">
        <f>VLOOKUP(A8,'BSE ALL CAP'!$B$4:$Y$1038,24,)</f>
        <v>-5.6174558960074283E-2</v>
      </c>
    </row>
    <row r="9" spans="1:25" ht="15.75" customHeight="1">
      <c r="A9" s="99">
        <v>590071</v>
      </c>
      <c r="B9" s="98" t="s">
        <v>5024</v>
      </c>
      <c r="C9" s="101" t="str">
        <f>VLOOKUP(A9,'BSE ALL CAP'!$B$4:$Y$1038,2,)</f>
        <v>Financial Services</v>
      </c>
      <c r="D9" s="101" t="str">
        <f>VLOOKUP(A9,'BSE ALL CAP'!$B$4:$Y$1038,3,)</f>
        <v>Non Banking Financial Company (NBFC)</v>
      </c>
      <c r="E9" s="101">
        <f ca="1">IFERROR(__xludf.DUMMYFUNCTION("GOOGLEFINANCE(""bom:""&amp;A9,""price"")"),4598.1)</f>
        <v>4598.1000000000004</v>
      </c>
      <c r="F9" s="112">
        <f ca="1">IFERROR(__xludf.DUMMYFUNCTION("GOOGLEFINANCE(""BOM:""&amp;A9,""MARKETCAP"")/10000000"),50755.3002699)</f>
        <v>50755.300269899999</v>
      </c>
      <c r="G9" s="95">
        <f t="shared" ca="1" si="0"/>
        <v>3.1862019454880805E-2</v>
      </c>
      <c r="H9" s="101">
        <f>VLOOKUP(A9,'BSE ALL CAP'!$B$4:$Y$1038,7,)</f>
        <v>7284</v>
      </c>
      <c r="I9" s="101">
        <f>VLOOKUP(A9,'BSE ALL CAP'!$B$4:$Y$1038,8,)</f>
        <v>6263</v>
      </c>
      <c r="J9" s="101">
        <f>VLOOKUP(A9,'BSE ALL CAP'!$B$4:$Y$1038,9,)</f>
        <v>1425</v>
      </c>
      <c r="K9" s="101">
        <f>VLOOKUP(A9,'BSE ALL CAP'!$B$4:$Y$1038,10,)</f>
        <v>1259</v>
      </c>
      <c r="L9" s="101">
        <f>VLOOKUP(A9,'BSE ALL CAP'!$B$4:$Y$1038,11,)</f>
        <v>2530</v>
      </c>
      <c r="M9" s="101">
        <f>VLOOKUP(A9,'BSE ALL CAP'!$B$4:$Y$1038,12,)</f>
        <v>2207</v>
      </c>
      <c r="N9" s="101">
        <f>VLOOKUP(A9,'BSE ALL CAP'!$B$4:$Y$1038,13,)</f>
        <v>522</v>
      </c>
      <c r="O9" s="101">
        <f>VLOOKUP(A9,'BSE ALL CAP'!$B$4:$Y$1038,14,)</f>
        <v>451</v>
      </c>
      <c r="P9" s="95">
        <f>VLOOKUP(A9,'BSE ALL CAP'!$B$4:$Y$1038,15,)</f>
        <v>0.19563426688632621</v>
      </c>
      <c r="Q9" s="95">
        <f>VLOOKUP(A9,'BSE ALL CAP'!$B$4:$Y$1038,16,)</f>
        <v>0.20102187450103784</v>
      </c>
      <c r="R9" s="95">
        <f>VLOOKUP(A9,'BSE ALL CAP'!$B$4:$Y$1038,17,)</f>
        <v>-5.3876076147116314E-3</v>
      </c>
      <c r="S9" s="95">
        <f>VLOOKUP(A9,'BSE ALL CAP'!$B$4:$Y$1038,18,)</f>
        <v>0.20632411067193676</v>
      </c>
      <c r="T9" s="95">
        <f>VLOOKUP(A9,'BSE ALL CAP'!$B$4:$Y$1038,19,)</f>
        <v>0.20434979610330767</v>
      </c>
      <c r="U9" s="95">
        <f>VLOOKUP(A9,'BSE ALL CAP'!$B$4:$Y$1038,20,)</f>
        <v>1.974314568629093E-3</v>
      </c>
      <c r="V9" s="95">
        <f>VLOOKUP(A9,'BSE ALL CAP'!$B$4:$Y$1038,21,)</f>
        <v>0.1630209164936931</v>
      </c>
      <c r="W9" s="95">
        <f>VLOOKUP(A9,'BSE ALL CAP'!$B$4:$Y$1038,22,)</f>
        <v>0.13185067513899917</v>
      </c>
      <c r="X9" s="95">
        <f>VLOOKUP(A9,'BSE ALL CAP'!$B$4:$Y$1038,23,)</f>
        <v>0.14635251472587218</v>
      </c>
      <c r="Y9" s="95">
        <f>VLOOKUP(A9,'BSE ALL CAP'!$B$4:$Y$1038,24,)</f>
        <v>0.15742793791574283</v>
      </c>
    </row>
    <row r="10" spans="1:25" ht="15.75" customHeight="1">
      <c r="A10" s="99">
        <v>544429</v>
      </c>
      <c r="B10" s="98" t="s">
        <v>5025</v>
      </c>
      <c r="C10" s="101" t="str">
        <f>VLOOKUP(A10,'BSE ALL CAP'!$B$4:$Y$1038,2,)</f>
        <v>Financial Services</v>
      </c>
      <c r="D10" s="101" t="str">
        <f>VLOOKUP(A10,'BSE ALL CAP'!$B$4:$Y$1038,3,)</f>
        <v>Non Banking Financial Company (NBFC)</v>
      </c>
      <c r="E10" s="101">
        <f ca="1">IFERROR(__xludf.DUMMYFUNCTION("GOOGLEFINANCE(""bom:""&amp;A10,""price"")"),587.55)</f>
        <v>587.54999999999995</v>
      </c>
      <c r="F10" s="112">
        <f ca="1">IFERROR(__xludf.DUMMYFUNCTION("GOOGLEFINANCE(""BOM:""&amp;A10,""MARKETCAP"")/10000000"),48677.0816535)</f>
        <v>48677.081653499998</v>
      </c>
      <c r="G10" s="95">
        <f t="shared" ca="1" si="0"/>
        <v>3.0557402170870739E-2</v>
      </c>
      <c r="H10" s="101">
        <f>VLOOKUP(A10,'BSE ALL CAP'!$B$4:$Y$1038,7,)</f>
        <v>13684</v>
      </c>
      <c r="I10" s="101">
        <f>VLOOKUP(A10,'BSE ALL CAP'!$B$4:$Y$1038,8,)</f>
        <v>12034</v>
      </c>
      <c r="J10" s="101">
        <f>VLOOKUP(A10,'BSE ALL CAP'!$B$4:$Y$1038,9,)</f>
        <v>1793</v>
      </c>
      <c r="K10" s="101">
        <f>VLOOKUP(A10,'BSE ALL CAP'!$B$4:$Y$1038,10,)</f>
        <v>1645</v>
      </c>
      <c r="L10" s="101">
        <f>VLOOKUP(A10,'BSE ALL CAP'!$B$4:$Y$1038,11,)</f>
        <v>4673</v>
      </c>
      <c r="M10" s="101">
        <f>VLOOKUP(A10,'BSE ALL CAP'!$B$4:$Y$1038,12,)</f>
        <v>4143</v>
      </c>
      <c r="N10" s="101">
        <f>VLOOKUP(A10,'BSE ALL CAP'!$B$4:$Y$1038,13,)</f>
        <v>643</v>
      </c>
      <c r="O10" s="101">
        <f>VLOOKUP(A10,'BSE ALL CAP'!$B$4:$Y$1038,14,)</f>
        <v>472</v>
      </c>
      <c r="P10" s="95">
        <f>VLOOKUP(A10,'BSE ALL CAP'!$B$4:$Y$1038,15,)</f>
        <v>0.13102893890675241</v>
      </c>
      <c r="Q10" s="95">
        <f>VLOOKUP(A10,'BSE ALL CAP'!$B$4:$Y$1038,16,)</f>
        <v>0.13669602792089081</v>
      </c>
      <c r="R10" s="95">
        <f>VLOOKUP(A10,'BSE ALL CAP'!$B$4:$Y$1038,17,)</f>
        <v>-5.6670890141383989E-3</v>
      </c>
      <c r="S10" s="95">
        <f>VLOOKUP(A10,'BSE ALL CAP'!$B$4:$Y$1038,18,)</f>
        <v>0.13759897282259789</v>
      </c>
      <c r="T10" s="95">
        <f>VLOOKUP(A10,'BSE ALL CAP'!$B$4:$Y$1038,19,)</f>
        <v>0.11392710596186338</v>
      </c>
      <c r="U10" s="95">
        <f>VLOOKUP(A10,'BSE ALL CAP'!$B$4:$Y$1038,20,)</f>
        <v>2.3671866860734511E-2</v>
      </c>
      <c r="V10" s="95">
        <f>VLOOKUP(A10,'BSE ALL CAP'!$B$4:$Y$1038,21,)</f>
        <v>0.13711151736745886</v>
      </c>
      <c r="W10" s="95">
        <f>VLOOKUP(A10,'BSE ALL CAP'!$B$4:$Y$1038,22,)</f>
        <v>8.9969604863221919E-2</v>
      </c>
      <c r="X10" s="95">
        <f>VLOOKUP(A10,'BSE ALL CAP'!$B$4:$Y$1038,23,)</f>
        <v>0.12792662321988901</v>
      </c>
      <c r="Y10" s="95">
        <f>VLOOKUP(A10,'BSE ALL CAP'!$B$4:$Y$1038,24,)</f>
        <v>0.36228813559322037</v>
      </c>
    </row>
    <row r="11" spans="1:25" ht="15.75" customHeight="1">
      <c r="A11" s="99">
        <v>544597</v>
      </c>
      <c r="B11" s="98" t="s">
        <v>5026</v>
      </c>
      <c r="C11" s="101" t="str">
        <f>VLOOKUP(A11,'BSE ALL CAP'!$B$4:$Y$1038,2,)</f>
        <v>Financial Services</v>
      </c>
      <c r="D11" s="101" t="str">
        <f>VLOOKUP(A11,'BSE ALL CAP'!$B$4:$Y$1038,3,)</f>
        <v>Non Banking Financial Company (NBFC)</v>
      </c>
      <c r="E11" s="101">
        <f ca="1">IFERROR(__xludf.DUMMYFUNCTION("GOOGLEFINANCE(""bom:""&amp;A11,""price"")"),1729)</f>
        <v>1729</v>
      </c>
      <c r="F11" s="112">
        <f ca="1">IFERROR(__xludf.DUMMYFUNCTION("GOOGLEFINANCE(""BOM:""&amp;A11,""MARKETCAP"")/10000000"),38994.9904393)</f>
        <v>38994.990439300003</v>
      </c>
      <c r="G11" s="95">
        <f t="shared" ca="1" si="0"/>
        <v>2.4479396977515226E-2</v>
      </c>
      <c r="H11" s="101">
        <f>VLOOKUP(A11,'BSE ALL CAP'!$B$4:$Y$1038,7,)</f>
        <v>8567</v>
      </c>
      <c r="I11" s="101">
        <f>VLOOKUP(A11,'BSE ALL CAP'!$B$4:$Y$1038,8,)</f>
        <v>7579</v>
      </c>
      <c r="J11" s="101">
        <f>VLOOKUP(A11,'BSE ALL CAP'!$B$4:$Y$1038,9,)</f>
        <v>1004</v>
      </c>
      <c r="K11" s="101">
        <f>VLOOKUP(A11,'BSE ALL CAP'!$B$4:$Y$1038,10,)</f>
        <v>383</v>
      </c>
      <c r="L11" s="101">
        <f>VLOOKUP(A11,'BSE ALL CAP'!$B$4:$Y$1038,11,)</f>
        <v>2975</v>
      </c>
      <c r="M11" s="101">
        <f>VLOOKUP(A11,'BSE ALL CAP'!$B$4:$Y$1038,12,)</f>
        <v>2878</v>
      </c>
      <c r="N11" s="101">
        <f>VLOOKUP(A11,'BSE ALL CAP'!$B$4:$Y$1038,13,)</f>
        <v>401</v>
      </c>
      <c r="O11" s="101">
        <f>VLOOKUP(A11,'BSE ALL CAP'!$B$4:$Y$1038,14,)</f>
        <v>39</v>
      </c>
      <c r="P11" s="95">
        <f>VLOOKUP(A11,'BSE ALL CAP'!$B$4:$Y$1038,15,)</f>
        <v>0.11719388350647834</v>
      </c>
      <c r="Q11" s="95">
        <f>VLOOKUP(A11,'BSE ALL CAP'!$B$4:$Y$1038,16,)</f>
        <v>5.0534371289088269E-2</v>
      </c>
      <c r="R11" s="95">
        <f>VLOOKUP(A11,'BSE ALL CAP'!$B$4:$Y$1038,17,)</f>
        <v>6.6659512217390082E-2</v>
      </c>
      <c r="S11" s="95">
        <f>VLOOKUP(A11,'BSE ALL CAP'!$B$4:$Y$1038,18,)</f>
        <v>0.13478991596638656</v>
      </c>
      <c r="T11" s="95">
        <f>VLOOKUP(A11,'BSE ALL CAP'!$B$4:$Y$1038,19,)</f>
        <v>1.3551077136900626E-2</v>
      </c>
      <c r="U11" s="95">
        <f>VLOOKUP(A11,'BSE ALL CAP'!$B$4:$Y$1038,20,)</f>
        <v>0.12123883882948594</v>
      </c>
      <c r="V11" s="95">
        <f>VLOOKUP(A11,'BSE ALL CAP'!$B$4:$Y$1038,21,)</f>
        <v>0.130360205831904</v>
      </c>
      <c r="W11" s="95">
        <f>VLOOKUP(A11,'BSE ALL CAP'!$B$4:$Y$1038,22,)</f>
        <v>1.6214099216710185</v>
      </c>
      <c r="X11" s="95">
        <f>VLOOKUP(A11,'BSE ALL CAP'!$B$4:$Y$1038,23,)</f>
        <v>3.3703961084086131E-2</v>
      </c>
      <c r="Y11" s="95">
        <f>VLOOKUP(A11,'BSE ALL CAP'!$B$4:$Y$1038,24,)</f>
        <v>9.2820512820512828</v>
      </c>
    </row>
    <row r="12" spans="1:25" ht="15.75" customHeight="1">
      <c r="A12" s="99">
        <v>539177</v>
      </c>
      <c r="B12" s="98" t="s">
        <v>5027</v>
      </c>
      <c r="C12" s="101" t="str">
        <f>VLOOKUP(A12,'BSE ALL CAP'!$B$4:$Y$1038,2,)</f>
        <v>Financial Services</v>
      </c>
      <c r="D12" s="101" t="str">
        <f>VLOOKUP(A12,'BSE ALL CAP'!$B$4:$Y$1038,3,)</f>
        <v>Non Banking Financial Company (NBFC)</v>
      </c>
      <c r="E12" s="101">
        <f ca="1">IFERROR(__xludf.DUMMYFUNCTION("GOOGLEFINANCE(""bom:""&amp;A12,""price"")"),425)</f>
        <v>425</v>
      </c>
      <c r="F12" s="112">
        <f ca="1">IFERROR(__xludf.DUMMYFUNCTION("GOOGLEFINANCE(""BOM:""&amp;A12,""MARKETCAP"")/10000000"),36045.3688951)</f>
        <v>36045.3688951</v>
      </c>
      <c r="G12" s="95">
        <f t="shared" ca="1" si="0"/>
        <v>2.2627749986440866E-2</v>
      </c>
      <c r="H12" s="101">
        <f>VLOOKUP(A12,'BSE ALL CAP'!$B$4:$Y$1038,7,)</f>
        <v>2298</v>
      </c>
      <c r="I12" s="101">
        <f>VLOOKUP(A12,'BSE ALL CAP'!$B$4:$Y$1038,8,)</f>
        <v>3126</v>
      </c>
      <c r="J12" s="101">
        <f>VLOOKUP(A12,'BSE ALL CAP'!$B$4:$Y$1038,9,)</f>
        <v>1247</v>
      </c>
      <c r="K12" s="101">
        <f>VLOOKUP(A12,'BSE ALL CAP'!$B$4:$Y$1038,10,)</f>
        <v>3096</v>
      </c>
      <c r="L12" s="101">
        <f>VLOOKUP(A12,'BSE ALL CAP'!$B$4:$Y$1038,11,)</f>
        <v>478</v>
      </c>
      <c r="M12" s="101">
        <f>VLOOKUP(A12,'BSE ALL CAP'!$B$4:$Y$1038,12,)</f>
        <v>617</v>
      </c>
      <c r="N12" s="101">
        <f>VLOOKUP(A12,'BSE ALL CAP'!$B$4:$Y$1038,13,)</f>
        <v>-337</v>
      </c>
      <c r="O12" s="101">
        <f>VLOOKUP(A12,'BSE ALL CAP'!$B$4:$Y$1038,14,)</f>
        <v>567</v>
      </c>
      <c r="P12" s="95">
        <f>VLOOKUP(A12,'BSE ALL CAP'!$B$4:$Y$1038,15,)</f>
        <v>0.54264577893820709</v>
      </c>
      <c r="Q12" s="95">
        <f>VLOOKUP(A12,'BSE ALL CAP'!$B$4:$Y$1038,16,)</f>
        <v>0.99040307101727443</v>
      </c>
      <c r="R12" s="95">
        <f>VLOOKUP(A12,'BSE ALL CAP'!$B$4:$Y$1038,17,)</f>
        <v>-0.44775729207906734</v>
      </c>
      <c r="S12" s="95">
        <f>VLOOKUP(A12,'BSE ALL CAP'!$B$4:$Y$1038,18,)</f>
        <v>-0.70502092050209209</v>
      </c>
      <c r="T12" s="95">
        <f>VLOOKUP(A12,'BSE ALL CAP'!$B$4:$Y$1038,19,)</f>
        <v>0.91896272285251213</v>
      </c>
      <c r="U12" s="95">
        <f>VLOOKUP(A12,'BSE ALL CAP'!$B$4:$Y$1038,20,)</f>
        <v>-1.6239836433546042</v>
      </c>
      <c r="V12" s="95">
        <f>VLOOKUP(A12,'BSE ALL CAP'!$B$4:$Y$1038,21,)</f>
        <v>-0.26487523992322459</v>
      </c>
      <c r="W12" s="95">
        <f>VLOOKUP(A12,'BSE ALL CAP'!$B$4:$Y$1038,22,)</f>
        <v>-0.59722222222222221</v>
      </c>
      <c r="X12" s="95">
        <f>VLOOKUP(A12,'BSE ALL CAP'!$B$4:$Y$1038,23,)</f>
        <v>-0.22528363047001621</v>
      </c>
      <c r="Y12" s="95">
        <f>VLOOKUP(A12,'BSE ALL CAP'!$B$4:$Y$1038,24,)</f>
        <v>-1.5943562610229276</v>
      </c>
    </row>
    <row r="13" spans="1:25" ht="15.75" customHeight="1">
      <c r="A13" s="99">
        <v>532720</v>
      </c>
      <c r="B13" s="98" t="s">
        <v>5028</v>
      </c>
      <c r="C13" s="101" t="str">
        <f>VLOOKUP(A13,'BSE ALL CAP'!$B$4:$Y$1038,2,)</f>
        <v>Financial Services</v>
      </c>
      <c r="D13" s="101" t="str">
        <f>VLOOKUP(A13,'BSE ALL CAP'!$B$4:$Y$1038,3,)</f>
        <v>Non Banking Financial Company (NBFC)</v>
      </c>
      <c r="E13" s="101">
        <f ca="1">IFERROR(__xludf.DUMMYFUNCTION("GOOGLEFINANCE(""bom:""&amp;A13,""price"")"),284.7)</f>
        <v>284.7</v>
      </c>
      <c r="F13" s="112">
        <f ca="1">IFERROR(__xludf.DUMMYFUNCTION("GOOGLEFINANCE(""BOM:""&amp;A13,""MARKETCAP"")/10000000"),35161.6757176)</f>
        <v>35161.675717600003</v>
      </c>
      <c r="G13" s="95">
        <f t="shared" ca="1" si="0"/>
        <v>2.2073004983181606E-2</v>
      </c>
      <c r="H13" s="101">
        <f>VLOOKUP(A13,'BSE ALL CAP'!$B$4:$Y$1038,7,)</f>
        <v>16527</v>
      </c>
      <c r="I13" s="101">
        <f>VLOOKUP(A13,'BSE ALL CAP'!$B$4:$Y$1038,8,)</f>
        <v>13633</v>
      </c>
      <c r="J13" s="101">
        <f>VLOOKUP(A13,'BSE ALL CAP'!$B$4:$Y$1038,9,)</f>
        <v>1921</v>
      </c>
      <c r="K13" s="101">
        <f>VLOOKUP(A13,'BSE ALL CAP'!$B$4:$Y$1038,10,)</f>
        <v>1805</v>
      </c>
      <c r="L13" s="101">
        <f>VLOOKUP(A13,'BSE ALL CAP'!$B$4:$Y$1038,11,)</f>
        <v>5464</v>
      </c>
      <c r="M13" s="101">
        <f>VLOOKUP(A13,'BSE ALL CAP'!$B$4:$Y$1038,12,)</f>
        <v>4799</v>
      </c>
      <c r="N13" s="101">
        <f>VLOOKUP(A13,'BSE ALL CAP'!$B$4:$Y$1038,13,)</f>
        <v>827</v>
      </c>
      <c r="O13" s="101">
        <f>VLOOKUP(A13,'BSE ALL CAP'!$B$4:$Y$1038,14,)</f>
        <v>918</v>
      </c>
      <c r="P13" s="95">
        <f>VLOOKUP(A13,'BSE ALL CAP'!$B$4:$Y$1038,15,)</f>
        <v>0.11623404126580747</v>
      </c>
      <c r="Q13" s="95">
        <f>VLOOKUP(A13,'BSE ALL CAP'!$B$4:$Y$1038,16,)</f>
        <v>0.1323993251668745</v>
      </c>
      <c r="R13" s="95">
        <f>VLOOKUP(A13,'BSE ALL CAP'!$B$4:$Y$1038,17,)</f>
        <v>-1.6165283901067029E-2</v>
      </c>
      <c r="S13" s="95">
        <f>VLOOKUP(A13,'BSE ALL CAP'!$B$4:$Y$1038,18,)</f>
        <v>0.15135431918008785</v>
      </c>
      <c r="T13" s="95">
        <f>VLOOKUP(A13,'BSE ALL CAP'!$B$4:$Y$1038,19,)</f>
        <v>0.19128985205251095</v>
      </c>
      <c r="U13" s="95">
        <f>VLOOKUP(A13,'BSE ALL CAP'!$B$4:$Y$1038,20,)</f>
        <v>-3.9935532872423102E-2</v>
      </c>
      <c r="V13" s="95">
        <f>VLOOKUP(A13,'BSE ALL CAP'!$B$4:$Y$1038,21,)</f>
        <v>0.21227902882711058</v>
      </c>
      <c r="W13" s="95">
        <f>VLOOKUP(A13,'BSE ALL CAP'!$B$4:$Y$1038,22,)</f>
        <v>6.4265927977839254E-2</v>
      </c>
      <c r="X13" s="95">
        <f>VLOOKUP(A13,'BSE ALL CAP'!$B$4:$Y$1038,23,)</f>
        <v>0.13857053552823495</v>
      </c>
      <c r="Y13" s="95">
        <f>VLOOKUP(A13,'BSE ALL CAP'!$B$4:$Y$1038,24,)</f>
        <v>-9.9128540305010948E-2</v>
      </c>
    </row>
    <row r="14" spans="1:25" ht="15.75" customHeight="1">
      <c r="A14" s="99">
        <v>524000</v>
      </c>
      <c r="B14" s="98" t="s">
        <v>5029</v>
      </c>
      <c r="C14" s="101" t="str">
        <f>VLOOKUP(A14,'BSE ALL CAP'!$B$4:$Y$1038,2,)</f>
        <v>Financial Services</v>
      </c>
      <c r="D14" s="101" t="str">
        <f>VLOOKUP(A14,'BSE ALL CAP'!$B$4:$Y$1038,3,)</f>
        <v>Non Banking Financial Company (NBFC)</v>
      </c>
      <c r="E14" s="101">
        <f ca="1">IFERROR(__xludf.DUMMYFUNCTION("GOOGLEFINANCE(""bom:""&amp;A14,""price"")"),390.1)</f>
        <v>390.1</v>
      </c>
      <c r="F14" s="112">
        <f ca="1">IFERROR(__xludf.DUMMYFUNCTION("GOOGLEFINANCE(""BOM:""&amp;A14,""MARKETCAP"")/10000000"),31519.5928681)</f>
        <v>31519.5928681</v>
      </c>
      <c r="G14" s="95">
        <f t="shared" ca="1" si="0"/>
        <v>1.9786660227265034E-2</v>
      </c>
      <c r="H14" s="101">
        <f>VLOOKUP(A14,'BSE ALL CAP'!$B$4:$Y$1038,7,)</f>
        <v>4675</v>
      </c>
      <c r="I14" s="101">
        <f>VLOOKUP(A14,'BSE ALL CAP'!$B$4:$Y$1038,8,)</f>
        <v>3049</v>
      </c>
      <c r="J14" s="101">
        <f>VLOOKUP(A14,'BSE ALL CAP'!$B$4:$Y$1038,9,)</f>
        <v>287</v>
      </c>
      <c r="K14" s="101">
        <f>VLOOKUP(A14,'BSE ALL CAP'!$B$4:$Y$1038,10,)</f>
        <v>-160</v>
      </c>
      <c r="L14" s="101">
        <f>VLOOKUP(A14,'BSE ALL CAP'!$B$4:$Y$1038,11,)</f>
        <v>1818</v>
      </c>
      <c r="M14" s="101">
        <f>VLOOKUP(A14,'BSE ALL CAP'!$B$4:$Y$1038,12,)</f>
        <v>1057</v>
      </c>
      <c r="N14" s="101">
        <f>VLOOKUP(A14,'BSE ALL CAP'!$B$4:$Y$1038,13,)</f>
        <v>150</v>
      </c>
      <c r="O14" s="101">
        <f>VLOOKUP(A14,'BSE ALL CAP'!$B$4:$Y$1038,14,)</f>
        <v>19</v>
      </c>
      <c r="P14" s="95">
        <f>VLOOKUP(A14,'BSE ALL CAP'!$B$4:$Y$1038,15,)</f>
        <v>6.1390374331550805E-2</v>
      </c>
      <c r="Q14" s="95">
        <f>VLOOKUP(A14,'BSE ALL CAP'!$B$4:$Y$1038,16,)</f>
        <v>-5.2476221712036732E-2</v>
      </c>
      <c r="R14" s="95">
        <f>VLOOKUP(A14,'BSE ALL CAP'!$B$4:$Y$1038,17,)</f>
        <v>0.11386659604358754</v>
      </c>
      <c r="S14" s="95">
        <f>VLOOKUP(A14,'BSE ALL CAP'!$B$4:$Y$1038,18,)</f>
        <v>8.2508250825082508E-2</v>
      </c>
      <c r="T14" s="95">
        <f>VLOOKUP(A14,'BSE ALL CAP'!$B$4:$Y$1038,19,)</f>
        <v>1.7975402081362345E-2</v>
      </c>
      <c r="U14" s="95">
        <f>VLOOKUP(A14,'BSE ALL CAP'!$B$4:$Y$1038,20,)</f>
        <v>6.4532848743720159E-2</v>
      </c>
      <c r="V14" s="95">
        <f>VLOOKUP(A14,'BSE ALL CAP'!$B$4:$Y$1038,21,)</f>
        <v>0.53328960314857321</v>
      </c>
      <c r="W14" s="95">
        <f>VLOOKUP(A14,'BSE ALL CAP'!$B$4:$Y$1038,22,)</f>
        <v>-2.7937500000000002</v>
      </c>
      <c r="X14" s="95">
        <f>VLOOKUP(A14,'BSE ALL CAP'!$B$4:$Y$1038,23,)</f>
        <v>0.71996215704824973</v>
      </c>
      <c r="Y14" s="95">
        <f>VLOOKUP(A14,'BSE ALL CAP'!$B$4:$Y$1038,24,)</f>
        <v>6.8947368421052628</v>
      </c>
    </row>
    <row r="15" spans="1:25" ht="15.75" customHeight="1">
      <c r="A15" s="99">
        <v>531213</v>
      </c>
      <c r="B15" s="98" t="s">
        <v>5030</v>
      </c>
      <c r="C15" s="101" t="str">
        <f>VLOOKUP(A15,'BSE ALL CAP'!$B$4:$Y$1038,2,)</f>
        <v>Financial Services</v>
      </c>
      <c r="D15" s="101" t="str">
        <f>VLOOKUP(A15,'BSE ALL CAP'!$B$4:$Y$1038,3,)</f>
        <v>Non Banking Financial Company (NBFC)</v>
      </c>
      <c r="E15" s="101">
        <f ca="1">IFERROR(__xludf.DUMMYFUNCTION("GOOGLEFINANCE(""bom:""&amp;A15,""price"")"),261.1)</f>
        <v>261.10000000000002</v>
      </c>
      <c r="F15" s="112">
        <f ca="1">IFERROR(__xludf.DUMMYFUNCTION("GOOGLEFINANCE(""BOM:""&amp;A15,""MARKETCAP"")/10000000"),22123.6320789)</f>
        <v>22123.632078899998</v>
      </c>
      <c r="G15" s="95">
        <f t="shared" ca="1" si="0"/>
        <v>1.3888275548801628E-2</v>
      </c>
      <c r="H15" s="101">
        <f>VLOOKUP(A15,'BSE ALL CAP'!$B$4:$Y$1038,7,)</f>
        <v>6899</v>
      </c>
      <c r="I15" s="101">
        <f>VLOOKUP(A15,'BSE ALL CAP'!$B$4:$Y$1038,8,)</f>
        <v>7712</v>
      </c>
      <c r="J15" s="101">
        <f>VLOOKUP(A15,'BSE ALL CAP'!$B$4:$Y$1038,9,)</f>
        <v>588</v>
      </c>
      <c r="K15" s="101">
        <f>VLOOKUP(A15,'BSE ALL CAP'!$B$4:$Y$1038,10,)</f>
        <v>1407</v>
      </c>
      <c r="L15" s="101">
        <f>VLOOKUP(A15,'BSE ALL CAP'!$B$4:$Y$1038,11,)</f>
        <v>2359</v>
      </c>
      <c r="M15" s="101">
        <f>VLOOKUP(A15,'BSE ALL CAP'!$B$4:$Y$1038,12,)</f>
        <v>2563</v>
      </c>
      <c r="N15" s="101">
        <f>VLOOKUP(A15,'BSE ALL CAP'!$B$4:$Y$1038,13,)</f>
        <v>239</v>
      </c>
      <c r="O15" s="101">
        <f>VLOOKUP(A15,'BSE ALL CAP'!$B$4:$Y$1038,14,)</f>
        <v>278</v>
      </c>
      <c r="P15" s="95">
        <f>VLOOKUP(A15,'BSE ALL CAP'!$B$4:$Y$1038,15,)</f>
        <v>8.522974344107842E-2</v>
      </c>
      <c r="Q15" s="95">
        <f>VLOOKUP(A15,'BSE ALL CAP'!$B$4:$Y$1038,16,)</f>
        <v>0.18244294605809128</v>
      </c>
      <c r="R15" s="95">
        <f>VLOOKUP(A15,'BSE ALL CAP'!$B$4:$Y$1038,17,)</f>
        <v>-9.7213202617012856E-2</v>
      </c>
      <c r="S15" s="95">
        <f>VLOOKUP(A15,'BSE ALL CAP'!$B$4:$Y$1038,18,)</f>
        <v>0.1013141161509114</v>
      </c>
      <c r="T15" s="95">
        <f>VLOOKUP(A15,'BSE ALL CAP'!$B$4:$Y$1038,19,)</f>
        <v>0.10846664065548185</v>
      </c>
      <c r="U15" s="95">
        <f>VLOOKUP(A15,'BSE ALL CAP'!$B$4:$Y$1038,20,)</f>
        <v>-7.1525245045704483E-3</v>
      </c>
      <c r="V15" s="95">
        <f>VLOOKUP(A15,'BSE ALL CAP'!$B$4:$Y$1038,21,)</f>
        <v>-0.10542012448132776</v>
      </c>
      <c r="W15" s="95">
        <f>VLOOKUP(A15,'BSE ALL CAP'!$B$4:$Y$1038,22,)</f>
        <v>-0.58208955223880599</v>
      </c>
      <c r="X15" s="95">
        <f>VLOOKUP(A15,'BSE ALL CAP'!$B$4:$Y$1038,23,)</f>
        <v>-7.9594225516972261E-2</v>
      </c>
      <c r="Y15" s="95">
        <f>VLOOKUP(A15,'BSE ALL CAP'!$B$4:$Y$1038,24,)</f>
        <v>-0.14028776978417268</v>
      </c>
    </row>
    <row r="16" spans="1:25" ht="15.75" customHeight="1">
      <c r="A16" s="99">
        <v>532636</v>
      </c>
      <c r="B16" s="98" t="s">
        <v>5031</v>
      </c>
      <c r="C16" s="101" t="str">
        <f>VLOOKUP(A16,'BSE ALL CAP'!$B$4:$Y$1038,2,)</f>
        <v>Financial Services</v>
      </c>
      <c r="D16" s="101" t="str">
        <f>VLOOKUP(A16,'BSE ALL CAP'!$B$4:$Y$1038,3,)</f>
        <v>Non Banking Financial Company (NBFC)</v>
      </c>
      <c r="E16" s="101">
        <f ca="1">IFERROR(__xludf.DUMMYFUNCTION("GOOGLEFINANCE(""bom:""&amp;A16,""price"")"),439.2)</f>
        <v>439.2</v>
      </c>
      <c r="F16" s="112">
        <f ca="1">IFERROR(__xludf.DUMMYFUNCTION("GOOGLEFINANCE(""BOM:""&amp;A16,""MARKETCAP"")/10000000"),18680.836895)</f>
        <v>18680.836895</v>
      </c>
      <c r="G16" s="95">
        <f t="shared" ca="1" si="0"/>
        <v>1.1727035115875946E-2</v>
      </c>
      <c r="H16" s="101">
        <f>VLOOKUP(A16,'BSE ALL CAP'!$B$4:$Y$1038,7,)</f>
        <v>9688</v>
      </c>
      <c r="I16" s="101">
        <f>VLOOKUP(A16,'BSE ALL CAP'!$B$4:$Y$1038,8,)</f>
        <v>7642</v>
      </c>
      <c r="J16" s="101">
        <f>VLOOKUP(A16,'BSE ALL CAP'!$B$4:$Y$1038,9,)</f>
        <v>1193</v>
      </c>
      <c r="K16" s="101">
        <f>VLOOKUP(A16,'BSE ALL CAP'!$B$4:$Y$1038,10,)</f>
        <v>326</v>
      </c>
      <c r="L16" s="101">
        <f>VLOOKUP(A16,'BSE ALL CAP'!$B$4:$Y$1038,11,)</f>
        <v>3432</v>
      </c>
      <c r="M16" s="101">
        <f>VLOOKUP(A16,'BSE ALL CAP'!$B$4:$Y$1038,12,)</f>
        <v>2448</v>
      </c>
      <c r="N16" s="101">
        <f>VLOOKUP(A16,'BSE ALL CAP'!$B$4:$Y$1038,13,)</f>
        <v>501</v>
      </c>
      <c r="O16" s="101">
        <f>VLOOKUP(A16,'BSE ALL CAP'!$B$4:$Y$1038,14,)</f>
        <v>81</v>
      </c>
      <c r="P16" s="95">
        <f>VLOOKUP(A16,'BSE ALL CAP'!$B$4:$Y$1038,15,)</f>
        <v>0.1231420313790256</v>
      </c>
      <c r="Q16" s="95">
        <f>VLOOKUP(A16,'BSE ALL CAP'!$B$4:$Y$1038,16,)</f>
        <v>4.2658989793247844E-2</v>
      </c>
      <c r="R16" s="95">
        <f>VLOOKUP(A16,'BSE ALL CAP'!$B$4:$Y$1038,17,)</f>
        <v>8.0483041585777765E-2</v>
      </c>
      <c r="S16" s="95">
        <f>VLOOKUP(A16,'BSE ALL CAP'!$B$4:$Y$1038,18,)</f>
        <v>0.14597902097902099</v>
      </c>
      <c r="T16" s="95">
        <f>VLOOKUP(A16,'BSE ALL CAP'!$B$4:$Y$1038,19,)</f>
        <v>3.3088235294117647E-2</v>
      </c>
      <c r="U16" s="95">
        <f>VLOOKUP(A16,'BSE ALL CAP'!$B$4:$Y$1038,20,)</f>
        <v>0.11289078568490335</v>
      </c>
      <c r="V16" s="95">
        <f>VLOOKUP(A16,'BSE ALL CAP'!$B$4:$Y$1038,21,)</f>
        <v>0.26773096048154943</v>
      </c>
      <c r="W16" s="95">
        <f>VLOOKUP(A16,'BSE ALL CAP'!$B$4:$Y$1038,22,)</f>
        <v>2.6595092024539877</v>
      </c>
      <c r="X16" s="95">
        <f>VLOOKUP(A16,'BSE ALL CAP'!$B$4:$Y$1038,23,)</f>
        <v>0.40196078431372539</v>
      </c>
      <c r="Y16" s="95">
        <f>VLOOKUP(A16,'BSE ALL CAP'!$B$4:$Y$1038,24,)</f>
        <v>5.1851851851851851</v>
      </c>
    </row>
    <row r="17" spans="1:25" ht="15.75" customHeight="1">
      <c r="A17" s="99">
        <v>531595</v>
      </c>
      <c r="B17" s="98" t="s">
        <v>5032</v>
      </c>
      <c r="C17" s="101" t="str">
        <f>VLOOKUP(A17,'BSE ALL CAP'!$B$4:$Y$1038,2,)</f>
        <v>Financial Services</v>
      </c>
      <c r="D17" s="101" t="str">
        <f>VLOOKUP(A17,'BSE ALL CAP'!$B$4:$Y$1038,3,)</f>
        <v>Non Banking Financial Company (NBFC)</v>
      </c>
      <c r="E17" s="101">
        <f ca="1">IFERROR(__xludf.DUMMYFUNCTION("GOOGLEFINANCE(""bom:""&amp;A17,""price"")"),165.45)</f>
        <v>165.45</v>
      </c>
      <c r="F17" s="112">
        <f ca="1">IFERROR(__xludf.DUMMYFUNCTION("GOOGLEFINANCE(""BOM:""&amp;A17,""MARKETCAP"")/10000000"),15847.640827)</f>
        <v>15847.640826999999</v>
      </c>
      <c r="G17" s="95">
        <f t="shared" ca="1" si="0"/>
        <v>9.9484750884881751E-3</v>
      </c>
      <c r="H17" s="101">
        <f>VLOOKUP(A17,'BSE ALL CAP'!$B$4:$Y$1038,7,)</f>
        <v>3354</v>
      </c>
      <c r="I17" s="101">
        <f>VLOOKUP(A17,'BSE ALL CAP'!$B$4:$Y$1038,8,)</f>
        <v>2292</v>
      </c>
      <c r="J17" s="101">
        <f>VLOOKUP(A17,'BSE ALL CAP'!$B$4:$Y$1038,9,)</f>
        <v>666</v>
      </c>
      <c r="K17" s="101">
        <f>VLOOKUP(A17,'BSE ALL CAP'!$B$4:$Y$1038,10,)</f>
        <v>300</v>
      </c>
      <c r="L17" s="101">
        <f>VLOOKUP(A17,'BSE ALL CAP'!$B$4:$Y$1038,11,)</f>
        <v>1225</v>
      </c>
      <c r="M17" s="101">
        <f>VLOOKUP(A17,'BSE ALL CAP'!$B$4:$Y$1038,12,)</f>
        <v>821</v>
      </c>
      <c r="N17" s="101">
        <f>VLOOKUP(A17,'BSE ALL CAP'!$B$4:$Y$1038,13,)</f>
        <v>255</v>
      </c>
      <c r="O17" s="101">
        <f>VLOOKUP(A17,'BSE ALL CAP'!$B$4:$Y$1038,14,)</f>
        <v>128</v>
      </c>
      <c r="P17" s="95">
        <f>VLOOKUP(A17,'BSE ALL CAP'!$B$4:$Y$1038,15,)</f>
        <v>0.19856887298747763</v>
      </c>
      <c r="Q17" s="95">
        <f>VLOOKUP(A17,'BSE ALL CAP'!$B$4:$Y$1038,16,)</f>
        <v>0.13089005235602094</v>
      </c>
      <c r="R17" s="95">
        <f>VLOOKUP(A17,'BSE ALL CAP'!$B$4:$Y$1038,17,)</f>
        <v>6.7678820631456693E-2</v>
      </c>
      <c r="S17" s="95">
        <f>VLOOKUP(A17,'BSE ALL CAP'!$B$4:$Y$1038,18,)</f>
        <v>0.20816326530612245</v>
      </c>
      <c r="T17" s="95">
        <f>VLOOKUP(A17,'BSE ALL CAP'!$B$4:$Y$1038,19,)</f>
        <v>0.15590742996345919</v>
      </c>
      <c r="U17" s="95">
        <f>VLOOKUP(A17,'BSE ALL CAP'!$B$4:$Y$1038,20,)</f>
        <v>5.2255835342663259E-2</v>
      </c>
      <c r="V17" s="95">
        <f>VLOOKUP(A17,'BSE ALL CAP'!$B$4:$Y$1038,21,)</f>
        <v>0.46335078534031404</v>
      </c>
      <c r="W17" s="95">
        <f>VLOOKUP(A17,'BSE ALL CAP'!$B$4:$Y$1038,22,)</f>
        <v>1.2200000000000002</v>
      </c>
      <c r="X17" s="95">
        <f>VLOOKUP(A17,'BSE ALL CAP'!$B$4:$Y$1038,23,)</f>
        <v>0.49208282582216811</v>
      </c>
      <c r="Y17" s="95">
        <f>VLOOKUP(A17,'BSE ALL CAP'!$B$4:$Y$1038,24,)</f>
        <v>0.9921875</v>
      </c>
    </row>
    <row r="18" spans="1:25" ht="15.75" customHeight="1">
      <c r="A18" s="99">
        <v>543663</v>
      </c>
      <c r="B18" s="98" t="s">
        <v>5033</v>
      </c>
      <c r="C18" s="101" t="str">
        <f>VLOOKUP(A18,'BSE ALL CAP'!$B$4:$Y$1038,2,)</f>
        <v>Financial Services</v>
      </c>
      <c r="D18" s="101" t="str">
        <f>VLOOKUP(A18,'BSE ALL CAP'!$B$4:$Y$1038,3,)</f>
        <v>Non Banking Financial Company (NBFC)</v>
      </c>
      <c r="E18" s="101">
        <f ca="1">IFERROR(__xludf.DUMMYFUNCTION("GOOGLEFINANCE(""bom:""&amp;A18,""price"")"),357.2)</f>
        <v>357.2</v>
      </c>
      <c r="F18" s="112">
        <f ca="1">IFERROR(__xludf.DUMMYFUNCTION("GOOGLEFINANCE(""BOM:""&amp;A18,""MARKETCAP"")/10000000"),10542.1820878)</f>
        <v>10542.1820878</v>
      </c>
      <c r="G18" s="95">
        <f t="shared" ca="1" si="0"/>
        <v>6.6179336737680452E-3</v>
      </c>
      <c r="H18" s="101">
        <f>VLOOKUP(A18,'BSE ALL CAP'!$B$4:$Y$1038,7,)</f>
        <v>2419</v>
      </c>
      <c r="I18" s="101">
        <f>VLOOKUP(A18,'BSE ALL CAP'!$B$4:$Y$1038,8,)</f>
        <v>2106</v>
      </c>
      <c r="J18" s="101">
        <f>VLOOKUP(A18,'BSE ALL CAP'!$B$4:$Y$1038,9,)</f>
        <v>829</v>
      </c>
      <c r="K18" s="101">
        <f>VLOOKUP(A18,'BSE ALL CAP'!$B$4:$Y$1038,10,)</f>
        <v>793</v>
      </c>
      <c r="L18" s="101">
        <f>VLOOKUP(A18,'BSE ALL CAP'!$B$4:$Y$1038,11,)</f>
        <v>822</v>
      </c>
      <c r="M18" s="101">
        <f>VLOOKUP(A18,'BSE ALL CAP'!$B$4:$Y$1038,12,)</f>
        <v>731</v>
      </c>
      <c r="N18" s="101">
        <f>VLOOKUP(A18,'BSE ALL CAP'!$B$4:$Y$1038,13,)</f>
        <v>277</v>
      </c>
      <c r="O18" s="101">
        <f>VLOOKUP(A18,'BSE ALL CAP'!$B$4:$Y$1038,14,)</f>
        <v>273</v>
      </c>
      <c r="P18" s="95">
        <f>VLOOKUP(A18,'BSE ALL CAP'!$B$4:$Y$1038,15,)</f>
        <v>0.34270359652749072</v>
      </c>
      <c r="Q18" s="95">
        <f>VLOOKUP(A18,'BSE ALL CAP'!$B$4:$Y$1038,16,)</f>
        <v>0.37654320987654322</v>
      </c>
      <c r="R18" s="95">
        <f>VLOOKUP(A18,'BSE ALL CAP'!$B$4:$Y$1038,17,)</f>
        <v>-3.38396133490525E-2</v>
      </c>
      <c r="S18" s="95">
        <f>VLOOKUP(A18,'BSE ALL CAP'!$B$4:$Y$1038,18,)</f>
        <v>0.33698296836982966</v>
      </c>
      <c r="T18" s="95">
        <f>VLOOKUP(A18,'BSE ALL CAP'!$B$4:$Y$1038,19,)</f>
        <v>0.37346101231190149</v>
      </c>
      <c r="U18" s="95">
        <f>VLOOKUP(A18,'BSE ALL CAP'!$B$4:$Y$1038,20,)</f>
        <v>-3.6478043942071825E-2</v>
      </c>
      <c r="V18" s="95">
        <f>VLOOKUP(A18,'BSE ALL CAP'!$B$4:$Y$1038,21,)</f>
        <v>0.14862298195631518</v>
      </c>
      <c r="W18" s="95">
        <f>VLOOKUP(A18,'BSE ALL CAP'!$B$4:$Y$1038,22,)</f>
        <v>4.5397225725094525E-2</v>
      </c>
      <c r="X18" s="95">
        <f>VLOOKUP(A18,'BSE ALL CAP'!$B$4:$Y$1038,23,)</f>
        <v>0.12448700410396718</v>
      </c>
      <c r="Y18" s="95">
        <f>VLOOKUP(A18,'BSE ALL CAP'!$B$4:$Y$1038,24,)</f>
        <v>1.46520146520146E-2</v>
      </c>
    </row>
    <row r="19" spans="1:25" ht="15.75" customHeight="1">
      <c r="A19" s="99">
        <v>543959</v>
      </c>
      <c r="B19" s="98" t="s">
        <v>5034</v>
      </c>
      <c r="C19" s="101" t="str">
        <f>VLOOKUP(A19,'BSE ALL CAP'!$B$4:$Y$1038,2,)</f>
        <v>Financial Services</v>
      </c>
      <c r="D19" s="101" t="str">
        <f>VLOOKUP(A19,'BSE ALL CAP'!$B$4:$Y$1038,3,)</f>
        <v>Non Banking Financial Company (NBFC)</v>
      </c>
      <c r="E19" s="101">
        <f ca="1">IFERROR(__xludf.DUMMYFUNCTION("GOOGLEFINANCE(""bom:""&amp;A19,""price"")"),83.4)</f>
        <v>83.4</v>
      </c>
      <c r="F19" s="112">
        <f ca="1">IFERROR(__xludf.DUMMYFUNCTION("GOOGLEFINANCE(""BOM:""&amp;A19,""MARKETCAP"")/10000000"),9207.1968368)</f>
        <v>9207.1968367999998</v>
      </c>
      <c r="G19" s="95">
        <f t="shared" ca="1" si="0"/>
        <v>5.7798866951637995E-3</v>
      </c>
      <c r="H19" s="101">
        <f>VLOOKUP(A19,'BSE ALL CAP'!$B$4:$Y$1038,7,)</f>
        <v>1225</v>
      </c>
      <c r="I19" s="101">
        <f>VLOOKUP(A19,'BSE ALL CAP'!$B$4:$Y$1038,8,)</f>
        <v>944</v>
      </c>
      <c r="J19" s="101">
        <f>VLOOKUP(A19,'BSE ALL CAP'!$B$4:$Y$1038,9,)</f>
        <v>328</v>
      </c>
      <c r="K19" s="101">
        <f>VLOOKUP(A19,'BSE ALL CAP'!$B$4:$Y$1038,10,)</f>
        <v>250</v>
      </c>
      <c r="L19" s="101">
        <f>VLOOKUP(A19,'BSE ALL CAP'!$B$4:$Y$1038,11,)</f>
        <v>425</v>
      </c>
      <c r="M19" s="101">
        <f>VLOOKUP(A19,'BSE ALL CAP'!$B$4:$Y$1038,12,)</f>
        <v>333</v>
      </c>
      <c r="N19" s="101">
        <f>VLOOKUP(A19,'BSE ALL CAP'!$B$4:$Y$1038,13,)</f>
        <v>118</v>
      </c>
      <c r="O19" s="101">
        <f>VLOOKUP(A19,'BSE ALL CAP'!$B$4:$Y$1038,14,)</f>
        <v>88</v>
      </c>
      <c r="P19" s="95">
        <f>VLOOKUP(A19,'BSE ALL CAP'!$B$4:$Y$1038,15,)</f>
        <v>0.26775510204081632</v>
      </c>
      <c r="Q19" s="95">
        <f>VLOOKUP(A19,'BSE ALL CAP'!$B$4:$Y$1038,16,)</f>
        <v>0.26483050847457629</v>
      </c>
      <c r="R19" s="95">
        <f>VLOOKUP(A19,'BSE ALL CAP'!$B$4:$Y$1038,17,)</f>
        <v>2.9245935662400302E-3</v>
      </c>
      <c r="S19" s="95">
        <f>VLOOKUP(A19,'BSE ALL CAP'!$B$4:$Y$1038,18,)</f>
        <v>0.27764705882352941</v>
      </c>
      <c r="T19" s="95">
        <f>VLOOKUP(A19,'BSE ALL CAP'!$B$4:$Y$1038,19,)</f>
        <v>0.26426426426426425</v>
      </c>
      <c r="U19" s="95">
        <f>VLOOKUP(A19,'BSE ALL CAP'!$B$4:$Y$1038,20,)</f>
        <v>1.3382794559265165E-2</v>
      </c>
      <c r="V19" s="95">
        <f>VLOOKUP(A19,'BSE ALL CAP'!$B$4:$Y$1038,21,)</f>
        <v>0.29766949152542366</v>
      </c>
      <c r="W19" s="95">
        <f>VLOOKUP(A19,'BSE ALL CAP'!$B$4:$Y$1038,22,)</f>
        <v>0.31200000000000006</v>
      </c>
      <c r="X19" s="95">
        <f>VLOOKUP(A19,'BSE ALL CAP'!$B$4:$Y$1038,23,)</f>
        <v>0.27627627627627627</v>
      </c>
      <c r="Y19" s="95">
        <f>VLOOKUP(A19,'BSE ALL CAP'!$B$4:$Y$1038,24,)</f>
        <v>0.34090909090909083</v>
      </c>
    </row>
    <row r="20" spans="1:25" ht="15.75" customHeight="1">
      <c r="A20" s="99">
        <v>533095</v>
      </c>
      <c r="B20" s="98" t="s">
        <v>5035</v>
      </c>
      <c r="C20" s="101" t="str">
        <f>VLOOKUP(A20,'BSE ALL CAP'!$B$4:$Y$1038,2,)</f>
        <v>Financial Services</v>
      </c>
      <c r="D20" s="101" t="str">
        <f>VLOOKUP(A20,'BSE ALL CAP'!$B$4:$Y$1038,3,)</f>
        <v>Non Banking Financial Company (NBFC)</v>
      </c>
      <c r="E20" s="101">
        <f ca="1">IFERROR(__xludf.DUMMYFUNCTION("GOOGLEFINANCE(""bom:""&amp;A20,""price"")"),5603.15)</f>
        <v>5603.15</v>
      </c>
      <c r="F20" s="112">
        <f ca="1">IFERROR(__xludf.DUMMYFUNCTION("GOOGLEFINANCE(""BOM:""&amp;A20,""MARKETCAP"")/10000000"),6389.7705139)</f>
        <v>6389.7705139</v>
      </c>
      <c r="G20" s="95">
        <f t="shared" ca="1" si="0"/>
        <v>4.0112262432391412E-3</v>
      </c>
      <c r="H20" s="101">
        <f>VLOOKUP(A20,'BSE ALL CAP'!$B$4:$Y$1038,7,)</f>
        <v>1845</v>
      </c>
      <c r="I20" s="101">
        <f>VLOOKUP(A20,'BSE ALL CAP'!$B$4:$Y$1038,8,)</f>
        <v>1606</v>
      </c>
      <c r="J20" s="101">
        <f>VLOOKUP(A20,'BSE ALL CAP'!$B$4:$Y$1038,9,)</f>
        <v>639</v>
      </c>
      <c r="K20" s="101">
        <f>VLOOKUP(A20,'BSE ALL CAP'!$B$4:$Y$1038,10,)</f>
        <v>524</v>
      </c>
      <c r="L20" s="101">
        <f>VLOOKUP(A20,'BSE ALL CAP'!$B$4:$Y$1038,11,)</f>
        <v>563</v>
      </c>
      <c r="M20" s="101">
        <f>VLOOKUP(A20,'BSE ALL CAP'!$B$4:$Y$1038,12,)</f>
        <v>681</v>
      </c>
      <c r="N20" s="101">
        <f>VLOOKUP(A20,'BSE ALL CAP'!$B$4:$Y$1038,13,)</f>
        <v>155</v>
      </c>
      <c r="O20" s="101">
        <f>VLOOKUP(A20,'BSE ALL CAP'!$B$4:$Y$1038,14,)</f>
        <v>225</v>
      </c>
      <c r="P20" s="95">
        <f>VLOOKUP(A20,'BSE ALL CAP'!$B$4:$Y$1038,15,)</f>
        <v>0.34634146341463412</v>
      </c>
      <c r="Q20" s="95">
        <f>VLOOKUP(A20,'BSE ALL CAP'!$B$4:$Y$1038,16,)</f>
        <v>0.32627646326276466</v>
      </c>
      <c r="R20" s="95">
        <f>VLOOKUP(A20,'BSE ALL CAP'!$B$4:$Y$1038,17,)</f>
        <v>2.0065000151869461E-2</v>
      </c>
      <c r="S20" s="95">
        <f>VLOOKUP(A20,'BSE ALL CAP'!$B$4:$Y$1038,18,)</f>
        <v>0.27531083481349911</v>
      </c>
      <c r="T20" s="95">
        <f>VLOOKUP(A20,'BSE ALL CAP'!$B$4:$Y$1038,19,)</f>
        <v>0.33039647577092512</v>
      </c>
      <c r="U20" s="95">
        <f>VLOOKUP(A20,'BSE ALL CAP'!$B$4:$Y$1038,20,)</f>
        <v>-5.5085640957426019E-2</v>
      </c>
      <c r="V20" s="95">
        <f>VLOOKUP(A20,'BSE ALL CAP'!$B$4:$Y$1038,21,)</f>
        <v>0.14881693648816929</v>
      </c>
      <c r="W20" s="95">
        <f>VLOOKUP(A20,'BSE ALL CAP'!$B$4:$Y$1038,22,)</f>
        <v>0.21946564885496178</v>
      </c>
      <c r="X20" s="95">
        <f>VLOOKUP(A20,'BSE ALL CAP'!$B$4:$Y$1038,23,)</f>
        <v>-0.17327459618208518</v>
      </c>
      <c r="Y20" s="95">
        <f>VLOOKUP(A20,'BSE ALL CAP'!$B$4:$Y$1038,24,)</f>
        <v>-0.31111111111111112</v>
      </c>
    </row>
    <row r="21" spans="1:25" ht="15.75" customHeight="1">
      <c r="A21" s="99">
        <v>540749</v>
      </c>
      <c r="B21" s="98" t="s">
        <v>5036</v>
      </c>
      <c r="C21" s="101" t="str">
        <f>VLOOKUP(A21,'BSE ALL CAP'!$B$4:$Y$1038,2,)</f>
        <v>Financial Services</v>
      </c>
      <c r="D21" s="101" t="str">
        <f>VLOOKUP(A21,'BSE ALL CAP'!$B$4:$Y$1038,3,)</f>
        <v>Non Banking Financial Company (NBFC)</v>
      </c>
      <c r="E21" s="101">
        <f ca="1">IFERROR(__xludf.DUMMYFUNCTION("GOOGLEFINANCE(""bom:""&amp;A21,""price"")"),304.3)</f>
        <v>304.3</v>
      </c>
      <c r="F21" s="112">
        <f ca="1">IFERROR(__xludf.DUMMYFUNCTION("GOOGLEFINANCE(""BOM:""&amp;A21,""MARKETCAP"")/10000000"),5513.4586312)</f>
        <v>5513.4586312000001</v>
      </c>
      <c r="G21" s="95">
        <f t="shared" ca="1" si="0"/>
        <v>3.461114903011508E-3</v>
      </c>
      <c r="H21" s="101">
        <f>VLOOKUP(A21,'BSE ALL CAP'!$B$4:$Y$1038,7,)</f>
        <v>1453</v>
      </c>
      <c r="I21" s="101">
        <f>VLOOKUP(A21,'BSE ALL CAP'!$B$4:$Y$1038,8,)</f>
        <v>1158</v>
      </c>
      <c r="J21" s="101">
        <f>VLOOKUP(A21,'BSE ALL CAP'!$B$4:$Y$1038,9,)</f>
        <v>271</v>
      </c>
      <c r="K21" s="101">
        <f>VLOOKUP(A21,'BSE ALL CAP'!$B$4:$Y$1038,10,)</f>
        <v>231</v>
      </c>
      <c r="L21" s="101">
        <f>VLOOKUP(A21,'BSE ALL CAP'!$B$4:$Y$1038,11,)</f>
        <v>507</v>
      </c>
      <c r="M21" s="101">
        <f>VLOOKUP(A21,'BSE ALL CAP'!$B$4:$Y$1038,12,)</f>
        <v>410</v>
      </c>
      <c r="N21" s="101">
        <f>VLOOKUP(A21,'BSE ALL CAP'!$B$4:$Y$1038,13,)</f>
        <v>93</v>
      </c>
      <c r="O21" s="101">
        <f>VLOOKUP(A21,'BSE ALL CAP'!$B$4:$Y$1038,14,)</f>
        <v>80</v>
      </c>
      <c r="P21" s="95">
        <f>VLOOKUP(A21,'BSE ALL CAP'!$B$4:$Y$1038,15,)</f>
        <v>0.18651066758430832</v>
      </c>
      <c r="Q21" s="95">
        <f>VLOOKUP(A21,'BSE ALL CAP'!$B$4:$Y$1038,16,)</f>
        <v>0.19948186528497408</v>
      </c>
      <c r="R21" s="95">
        <f>VLOOKUP(A21,'BSE ALL CAP'!$B$4:$Y$1038,17,)</f>
        <v>-1.2971197700665765E-2</v>
      </c>
      <c r="S21" s="95">
        <f>VLOOKUP(A21,'BSE ALL CAP'!$B$4:$Y$1038,18,)</f>
        <v>0.18343195266272189</v>
      </c>
      <c r="T21" s="95">
        <f>VLOOKUP(A21,'BSE ALL CAP'!$B$4:$Y$1038,19,)</f>
        <v>0.1951219512195122</v>
      </c>
      <c r="U21" s="95">
        <f>VLOOKUP(A21,'BSE ALL CAP'!$B$4:$Y$1038,20,)</f>
        <v>-1.1689998556790315E-2</v>
      </c>
      <c r="V21" s="95">
        <f>VLOOKUP(A21,'BSE ALL CAP'!$B$4:$Y$1038,21,)</f>
        <v>0.25474956822107075</v>
      </c>
      <c r="W21" s="95">
        <f>VLOOKUP(A21,'BSE ALL CAP'!$B$4:$Y$1038,22,)</f>
        <v>0.17316017316017307</v>
      </c>
      <c r="X21" s="95">
        <f>VLOOKUP(A21,'BSE ALL CAP'!$B$4:$Y$1038,23,)</f>
        <v>0.23658536585365852</v>
      </c>
      <c r="Y21" s="95">
        <f>VLOOKUP(A21,'BSE ALL CAP'!$B$4:$Y$1038,24,)</f>
        <v>0.16250000000000009</v>
      </c>
    </row>
    <row r="22" spans="1:25" ht="15.75" customHeight="1">
      <c r="A22" s="99">
        <v>544027</v>
      </c>
      <c r="B22" s="98" t="s">
        <v>5037</v>
      </c>
      <c r="C22" s="101" t="str">
        <f>VLOOKUP(A22,'BSE ALL CAP'!$B$4:$Y$1038,2,)</f>
        <v>Financial Services</v>
      </c>
      <c r="D22" s="101" t="str">
        <f>VLOOKUP(A22,'BSE ALL CAP'!$B$4:$Y$1038,3,)</f>
        <v>Non Banking Financial Company (NBFC)</v>
      </c>
      <c r="E22" s="101">
        <f ca="1">IFERROR(__xludf.DUMMYFUNCTION("GOOGLEFINANCE(""bom:""&amp;A22,""price"")"),135.65)</f>
        <v>135.65</v>
      </c>
      <c r="F22" s="112">
        <f ca="1">IFERROR(__xludf.DUMMYFUNCTION("GOOGLEFINANCE(""BOM:""&amp;A22,""MARKETCAP"")/10000000"),5079.0088896)</f>
        <v>5079.0088895999997</v>
      </c>
      <c r="G22" s="95">
        <f t="shared" ca="1" si="0"/>
        <v>3.1883858275175681E-3</v>
      </c>
      <c r="H22" s="101">
        <f>VLOOKUP(A22,'BSE ALL CAP'!$B$4:$Y$1038,7,)</f>
        <v>1609</v>
      </c>
      <c r="I22" s="101">
        <f>VLOOKUP(A22,'BSE ALL CAP'!$B$4:$Y$1038,8,)</f>
        <v>1542</v>
      </c>
      <c r="J22" s="101">
        <f>VLOOKUP(A22,'BSE ALL CAP'!$B$4:$Y$1038,9,)</f>
        <v>243</v>
      </c>
      <c r="K22" s="101">
        <f>VLOOKUP(A22,'BSE ALL CAP'!$B$4:$Y$1038,10,)</f>
        <v>153</v>
      </c>
      <c r="L22" s="101">
        <f>VLOOKUP(A22,'BSE ALL CAP'!$B$4:$Y$1038,11,)</f>
        <v>555</v>
      </c>
      <c r="M22" s="101">
        <f>VLOOKUP(A22,'BSE ALL CAP'!$B$4:$Y$1038,12,)</f>
        <v>532</v>
      </c>
      <c r="N22" s="101">
        <f>VLOOKUP(A22,'BSE ALL CAP'!$B$4:$Y$1038,13,)</f>
        <v>87</v>
      </c>
      <c r="O22" s="101">
        <f>VLOOKUP(A22,'BSE ALL CAP'!$B$4:$Y$1038,14,)</f>
        <v>18</v>
      </c>
      <c r="P22" s="95">
        <f>VLOOKUP(A22,'BSE ALL CAP'!$B$4:$Y$1038,15,)</f>
        <v>0.15102548166563082</v>
      </c>
      <c r="Q22" s="95">
        <f>VLOOKUP(A22,'BSE ALL CAP'!$B$4:$Y$1038,16,)</f>
        <v>9.9221789883268477E-2</v>
      </c>
      <c r="R22" s="95">
        <f>VLOOKUP(A22,'BSE ALL CAP'!$B$4:$Y$1038,17,)</f>
        <v>5.1803691782362341E-2</v>
      </c>
      <c r="S22" s="95">
        <f>VLOOKUP(A22,'BSE ALL CAP'!$B$4:$Y$1038,18,)</f>
        <v>0.15675675675675677</v>
      </c>
      <c r="T22" s="95">
        <f>VLOOKUP(A22,'BSE ALL CAP'!$B$4:$Y$1038,19,)</f>
        <v>3.3834586466165412E-2</v>
      </c>
      <c r="U22" s="95">
        <f>VLOOKUP(A22,'BSE ALL CAP'!$B$4:$Y$1038,20,)</f>
        <v>0.12292217029059135</v>
      </c>
      <c r="V22" s="95">
        <f>VLOOKUP(A22,'BSE ALL CAP'!$B$4:$Y$1038,21,)</f>
        <v>4.3450064850843129E-2</v>
      </c>
      <c r="W22" s="95">
        <f>VLOOKUP(A22,'BSE ALL CAP'!$B$4:$Y$1038,22,)</f>
        <v>0.58823529411764697</v>
      </c>
      <c r="X22" s="95">
        <f>VLOOKUP(A22,'BSE ALL CAP'!$B$4:$Y$1038,23,)</f>
        <v>4.3233082706766846E-2</v>
      </c>
      <c r="Y22" s="95">
        <f>VLOOKUP(A22,'BSE ALL CAP'!$B$4:$Y$1038,24,)</f>
        <v>3.833333333333333</v>
      </c>
    </row>
    <row r="23" spans="1:25" ht="15.75" customHeight="1">
      <c r="A23" s="99">
        <v>501945</v>
      </c>
      <c r="B23" s="98" t="s">
        <v>5038</v>
      </c>
      <c r="C23" s="101"/>
      <c r="D23" s="101"/>
      <c r="E23" s="101">
        <f ca="1">IFERROR(__xludf.DUMMYFUNCTION("GOOGLEFINANCE(""bom:""&amp;A23,""price"")"),8.35)</f>
        <v>8.35</v>
      </c>
      <c r="F23" s="112">
        <f ca="1">IFERROR(__xludf.DUMMYFUNCTION("GOOGLEFINANCE(""BOM:""&amp;A23,""MARKETCAP"")/10000000"),4954.7173813)</f>
        <v>4954.7173812999999</v>
      </c>
      <c r="G23" s="95">
        <f t="shared" ca="1" si="0"/>
        <v>3.1103609033328594E-3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544260</v>
      </c>
      <c r="B24" s="98" t="s">
        <v>5039</v>
      </c>
      <c r="C24" s="101" t="str">
        <f>VLOOKUP(A24,'BSE ALL CAP'!$B$4:$Y$1038,2,)</f>
        <v>Financial Services</v>
      </c>
      <c r="D24" s="101" t="str">
        <f>VLOOKUP(A24,'BSE ALL CAP'!$B$4:$Y$1038,3,)</f>
        <v>Non Banking Financial Company (NBFC)</v>
      </c>
      <c r="E24" s="101">
        <f ca="1">IFERROR(__xludf.DUMMYFUNCTION("GOOGLEFINANCE(""bom:""&amp;A24,""price"")"),225.3)</f>
        <v>225.3</v>
      </c>
      <c r="F24" s="112">
        <f ca="1">IFERROR(__xludf.DUMMYFUNCTION("GOOGLEFINANCE(""BOM:""&amp;A24,""MARKETCAP"")/10000000"),3638.178687)</f>
        <v>3638.1786870000001</v>
      </c>
      <c r="G24" s="95">
        <f t="shared" ca="1" si="0"/>
        <v>2.2838938886993823E-3</v>
      </c>
      <c r="H24" s="101">
        <f>VLOOKUP(A24,'BSE ALL CAP'!$B$4:$Y$1038,7,)</f>
        <v>1960</v>
      </c>
      <c r="I24" s="101">
        <f>VLOOKUP(A24,'BSE ALL CAP'!$B$4:$Y$1038,8,)</f>
        <v>1749</v>
      </c>
      <c r="J24" s="101">
        <f>VLOOKUP(A24,'BSE ALL CAP'!$B$4:$Y$1038,9,)</f>
        <v>270</v>
      </c>
      <c r="K24" s="101">
        <f>VLOOKUP(A24,'BSE ALL CAP'!$B$4:$Y$1038,10,)</f>
        <v>262</v>
      </c>
      <c r="L24" s="101">
        <f>VLOOKUP(A24,'BSE ALL CAP'!$B$4:$Y$1038,11,)</f>
        <v>724</v>
      </c>
      <c r="M24" s="101">
        <f>VLOOKUP(A24,'BSE ALL CAP'!$B$4:$Y$1038,12,)</f>
        <v>580</v>
      </c>
      <c r="N24" s="101">
        <f>VLOOKUP(A24,'BSE ALL CAP'!$B$4:$Y$1038,13,)</f>
        <v>101</v>
      </c>
      <c r="O24" s="101">
        <f>VLOOKUP(A24,'BSE ALL CAP'!$B$4:$Y$1038,14,)</f>
        <v>73</v>
      </c>
      <c r="P24" s="95">
        <f>VLOOKUP(A24,'BSE ALL CAP'!$B$4:$Y$1038,15,)</f>
        <v>0.13775510204081631</v>
      </c>
      <c r="Q24" s="95">
        <f>VLOOKUP(A24,'BSE ALL CAP'!$B$4:$Y$1038,16,)</f>
        <v>0.14979988564894225</v>
      </c>
      <c r="R24" s="95">
        <f>VLOOKUP(A24,'BSE ALL CAP'!$B$4:$Y$1038,17,)</f>
        <v>-1.2044783608125942E-2</v>
      </c>
      <c r="S24" s="95">
        <f>VLOOKUP(A24,'BSE ALL CAP'!$B$4:$Y$1038,18,)</f>
        <v>0.13950276243093923</v>
      </c>
      <c r="T24" s="95">
        <f>VLOOKUP(A24,'BSE ALL CAP'!$B$4:$Y$1038,19,)</f>
        <v>0.12586206896551724</v>
      </c>
      <c r="U24" s="95">
        <f>VLOOKUP(A24,'BSE ALL CAP'!$B$4:$Y$1038,20,)</f>
        <v>1.3640693465421988E-2</v>
      </c>
      <c r="V24" s="95">
        <f>VLOOKUP(A24,'BSE ALL CAP'!$B$4:$Y$1038,21,)</f>
        <v>0.12064036592338478</v>
      </c>
      <c r="W24" s="95">
        <f>VLOOKUP(A24,'BSE ALL CAP'!$B$4:$Y$1038,22,)</f>
        <v>3.0534351145038219E-2</v>
      </c>
      <c r="X24" s="95">
        <f>VLOOKUP(A24,'BSE ALL CAP'!$B$4:$Y$1038,23,)</f>
        <v>0.24827586206896557</v>
      </c>
      <c r="Y24" s="95">
        <f>VLOOKUP(A24,'BSE ALL CAP'!$B$4:$Y$1038,24,)</f>
        <v>0.38356164383561642</v>
      </c>
    </row>
    <row r="25" spans="1:25" ht="14.4">
      <c r="A25" s="99">
        <v>541336</v>
      </c>
      <c r="B25" s="98" t="s">
        <v>5040</v>
      </c>
      <c r="C25" s="101" t="str">
        <f>VLOOKUP(A25,'BSE ALL CAP'!$B$4:$Y$1038,2,)</f>
        <v>Financial Services</v>
      </c>
      <c r="D25" s="101" t="str">
        <f>VLOOKUP(A25,'BSE ALL CAP'!$B$4:$Y$1038,3,)</f>
        <v>Non Banking Financial Company (NBFC)</v>
      </c>
      <c r="E25" s="101">
        <f ca="1">IFERROR(__xludf.DUMMYFUNCTION("GOOGLEFINANCE(""bom:""&amp;A25,""price"")"),201.8)</f>
        <v>201.8</v>
      </c>
      <c r="F25" s="112">
        <f ca="1">IFERROR(__xludf.DUMMYFUNCTION("GOOGLEFINANCE(""BOM:""&amp;A25,""MARKETCAP"")/10000000"),3225.2517943)</f>
        <v>3225.2517942999998</v>
      </c>
      <c r="G25" s="95">
        <f t="shared" ca="1" si="0"/>
        <v>2.0246759426191113E-3</v>
      </c>
      <c r="H25" s="101">
        <f>VLOOKUP(A25,'BSE ALL CAP'!$B$4:$Y$1038,7,)</f>
        <v>1046</v>
      </c>
      <c r="I25" s="101">
        <f>VLOOKUP(A25,'BSE ALL CAP'!$B$4:$Y$1038,8,)</f>
        <v>1031</v>
      </c>
      <c r="J25" s="101">
        <f>VLOOKUP(A25,'BSE ALL CAP'!$B$4:$Y$1038,9,)</f>
        <v>564</v>
      </c>
      <c r="K25" s="101">
        <f>VLOOKUP(A25,'BSE ALL CAP'!$B$4:$Y$1038,10,)</f>
        <v>84</v>
      </c>
      <c r="L25" s="101">
        <f>VLOOKUP(A25,'BSE ALL CAP'!$B$4:$Y$1038,11,)</f>
        <v>346</v>
      </c>
      <c r="M25" s="101">
        <f>VLOOKUP(A25,'BSE ALL CAP'!$B$4:$Y$1038,12,)</f>
        <v>373</v>
      </c>
      <c r="N25" s="101">
        <f>VLOOKUP(A25,'BSE ALL CAP'!$B$4:$Y$1038,13,)</f>
        <v>8</v>
      </c>
      <c r="O25" s="101">
        <f>VLOOKUP(A25,'BSE ALL CAP'!$B$4:$Y$1038,14,)</f>
        <v>27</v>
      </c>
      <c r="P25" s="95">
        <f>VLOOKUP(A25,'BSE ALL CAP'!$B$4:$Y$1038,15,)</f>
        <v>0.53919694072657742</v>
      </c>
      <c r="Q25" s="95">
        <f>VLOOKUP(A25,'BSE ALL CAP'!$B$4:$Y$1038,16,)</f>
        <v>8.147429679922405E-2</v>
      </c>
      <c r="R25" s="95">
        <f>VLOOKUP(A25,'BSE ALL CAP'!$B$4:$Y$1038,17,)</f>
        <v>0.4577226439273534</v>
      </c>
      <c r="S25" s="95">
        <f>VLOOKUP(A25,'BSE ALL CAP'!$B$4:$Y$1038,18,)</f>
        <v>2.3121387283236993E-2</v>
      </c>
      <c r="T25" s="95">
        <f>VLOOKUP(A25,'BSE ALL CAP'!$B$4:$Y$1038,19,)</f>
        <v>7.2386058981233251E-2</v>
      </c>
      <c r="U25" s="95">
        <f>VLOOKUP(A25,'BSE ALL CAP'!$B$4:$Y$1038,20,)</f>
        <v>-4.9264671697996254E-2</v>
      </c>
      <c r="V25" s="95">
        <f>VLOOKUP(A25,'BSE ALL CAP'!$B$4:$Y$1038,21,)</f>
        <v>1.4548981571290032E-2</v>
      </c>
      <c r="W25" s="95">
        <f>VLOOKUP(A25,'BSE ALL CAP'!$B$4:$Y$1038,22,)</f>
        <v>5.7142857142857144</v>
      </c>
      <c r="X25" s="95">
        <f>VLOOKUP(A25,'BSE ALL CAP'!$B$4:$Y$1038,23,)</f>
        <v>-7.2386058981233292E-2</v>
      </c>
      <c r="Y25" s="95">
        <f>VLOOKUP(A25,'BSE ALL CAP'!$B$4:$Y$1038,24,)</f>
        <v>-0.70370370370370372</v>
      </c>
    </row>
    <row r="26" spans="1:25" ht="14.4">
      <c r="A26" s="99">
        <v>532900</v>
      </c>
      <c r="B26" s="98" t="s">
        <v>5041</v>
      </c>
      <c r="C26" s="101" t="str">
        <f>VLOOKUP(A26,'BSE ALL CAP'!$B$4:$Y$1038,2,)</f>
        <v>Financial Services</v>
      </c>
      <c r="D26" s="101" t="str">
        <f>VLOOKUP(A26,'BSE ALL CAP'!$B$4:$Y$1038,3,)</f>
        <v>Non Banking Financial Company (NBFC)</v>
      </c>
      <c r="E26" s="101">
        <f ca="1">IFERROR(__xludf.DUMMYFUNCTION("GOOGLEFINANCE(""bom:""&amp;A26,""price"")"),35.8)</f>
        <v>35.799999999999997</v>
      </c>
      <c r="F26" s="112">
        <f ca="1">IFERROR(__xludf.DUMMYFUNCTION("GOOGLEFINANCE(""BOM:""&amp;A26,""MARKETCAP"")/10000000"),3256.0879746)</f>
        <v>3256.0879746000001</v>
      </c>
      <c r="G26" s="95">
        <f t="shared" ca="1" si="0"/>
        <v>2.0440335854940072E-3</v>
      </c>
      <c r="H26" s="101">
        <f>VLOOKUP(A26,'BSE ALL CAP'!$B$4:$Y$1038,7,)</f>
        <v>682</v>
      </c>
      <c r="I26" s="101">
        <f>VLOOKUP(A26,'BSE ALL CAP'!$B$4:$Y$1038,8,)</f>
        <v>577</v>
      </c>
      <c r="J26" s="101">
        <f>VLOOKUP(A26,'BSE ALL CAP'!$B$4:$Y$1038,9,)</f>
        <v>164</v>
      </c>
      <c r="K26" s="101">
        <f>VLOOKUP(A26,'BSE ALL CAP'!$B$4:$Y$1038,10,)</f>
        <v>153</v>
      </c>
      <c r="L26" s="101">
        <f>VLOOKUP(A26,'BSE ALL CAP'!$B$4:$Y$1038,11,)</f>
        <v>243</v>
      </c>
      <c r="M26" s="101">
        <f>VLOOKUP(A26,'BSE ALL CAP'!$B$4:$Y$1038,12,)</f>
        <v>181</v>
      </c>
      <c r="N26" s="101">
        <f>VLOOKUP(A26,'BSE ALL CAP'!$B$4:$Y$1038,13,)</f>
        <v>66</v>
      </c>
      <c r="O26" s="101">
        <f>VLOOKUP(A26,'BSE ALL CAP'!$B$4:$Y$1038,14,)</f>
        <v>62</v>
      </c>
      <c r="P26" s="95">
        <f>VLOOKUP(A26,'BSE ALL CAP'!$B$4:$Y$1038,15,)</f>
        <v>0.2404692082111437</v>
      </c>
      <c r="Q26" s="95">
        <f>VLOOKUP(A26,'BSE ALL CAP'!$B$4:$Y$1038,16,)</f>
        <v>0.26516464471403811</v>
      </c>
      <c r="R26" s="95">
        <f>VLOOKUP(A26,'BSE ALL CAP'!$B$4:$Y$1038,17,)</f>
        <v>-2.4695436502894408E-2</v>
      </c>
      <c r="S26" s="95">
        <f>VLOOKUP(A26,'BSE ALL CAP'!$B$4:$Y$1038,18,)</f>
        <v>0.27160493827160492</v>
      </c>
      <c r="T26" s="95">
        <f>VLOOKUP(A26,'BSE ALL CAP'!$B$4:$Y$1038,19,)</f>
        <v>0.34254143646408841</v>
      </c>
      <c r="U26" s="95">
        <f>VLOOKUP(A26,'BSE ALL CAP'!$B$4:$Y$1038,20,)</f>
        <v>-7.0936498192483488E-2</v>
      </c>
      <c r="V26" s="95">
        <f>VLOOKUP(A26,'BSE ALL CAP'!$B$4:$Y$1038,21,)</f>
        <v>0.18197573656845756</v>
      </c>
      <c r="W26" s="95">
        <f>VLOOKUP(A26,'BSE ALL CAP'!$B$4:$Y$1038,22,)</f>
        <v>7.1895424836601274E-2</v>
      </c>
      <c r="X26" s="95">
        <f>VLOOKUP(A26,'BSE ALL CAP'!$B$4:$Y$1038,23,)</f>
        <v>0.34254143646408841</v>
      </c>
      <c r="Y26" s="95">
        <f>VLOOKUP(A26,'BSE ALL CAP'!$B$4:$Y$1038,24,)</f>
        <v>6.4516129032258007E-2</v>
      </c>
    </row>
    <row r="27" spans="1:25" ht="14.4">
      <c r="A27" s="99">
        <v>539199</v>
      </c>
      <c r="B27" s="98" t="s">
        <v>5042</v>
      </c>
      <c r="C27" s="101" t="str">
        <f>VLOOKUP(A27,'BSE ALL CAP'!$B$4:$Y$1038,2,)</f>
        <v>Financial Services</v>
      </c>
      <c r="D27" s="101" t="str">
        <f>VLOOKUP(A27,'BSE ALL CAP'!$B$4:$Y$1038,3,)</f>
        <v>Non Banking Financial Company (NBFC)</v>
      </c>
      <c r="E27" s="101">
        <f ca="1">IFERROR(__xludf.DUMMYFUNCTION("GOOGLEFINANCE(""bom:""&amp;A27,""price"")"),450)</f>
        <v>450</v>
      </c>
      <c r="F27" s="112">
        <f ca="1">IFERROR(__xludf.DUMMYFUNCTION("GOOGLEFINANCE(""BOM:""&amp;A27,""MARKETCAP"")/10000000"),2937.02445)</f>
        <v>2937.0244499999999</v>
      </c>
      <c r="G27" s="95">
        <f t="shared" ca="1" si="0"/>
        <v>1.8437390709489536E-3</v>
      </c>
      <c r="H27" s="101">
        <f>VLOOKUP(A27,'BSE ALL CAP'!$B$4:$Y$1038,7,)</f>
        <v>228</v>
      </c>
      <c r="I27" s="101">
        <f>VLOOKUP(A27,'BSE ALL CAP'!$B$4:$Y$1038,8,)</f>
        <v>116</v>
      </c>
      <c r="J27" s="101">
        <f>VLOOKUP(A27,'BSE ALL CAP'!$B$4:$Y$1038,9,)</f>
        <v>85</v>
      </c>
      <c r="K27" s="101">
        <f>VLOOKUP(A27,'BSE ALL CAP'!$B$4:$Y$1038,10,)</f>
        <v>57</v>
      </c>
      <c r="L27" s="101">
        <f>VLOOKUP(A27,'BSE ALL CAP'!$B$4:$Y$1038,11,)</f>
        <v>86</v>
      </c>
      <c r="M27" s="101">
        <f>VLOOKUP(A27,'BSE ALL CAP'!$B$4:$Y$1038,12,)</f>
        <v>42</v>
      </c>
      <c r="N27" s="101">
        <f>VLOOKUP(A27,'BSE ALL CAP'!$B$4:$Y$1038,13,)</f>
        <v>32</v>
      </c>
      <c r="O27" s="101">
        <f>VLOOKUP(A27,'BSE ALL CAP'!$B$4:$Y$1038,14,)</f>
        <v>23</v>
      </c>
      <c r="P27" s="95">
        <f>VLOOKUP(A27,'BSE ALL CAP'!$B$4:$Y$1038,15,)</f>
        <v>0.37280701754385964</v>
      </c>
      <c r="Q27" s="95">
        <f>VLOOKUP(A27,'BSE ALL CAP'!$B$4:$Y$1038,16,)</f>
        <v>0.49137931034482757</v>
      </c>
      <c r="R27" s="95">
        <f>VLOOKUP(A27,'BSE ALL CAP'!$B$4:$Y$1038,17,)</f>
        <v>-0.11857229280096793</v>
      </c>
      <c r="S27" s="95">
        <f>VLOOKUP(A27,'BSE ALL CAP'!$B$4:$Y$1038,18,)</f>
        <v>0.37209302325581395</v>
      </c>
      <c r="T27" s="95">
        <f>VLOOKUP(A27,'BSE ALL CAP'!$B$4:$Y$1038,19,)</f>
        <v>0.54761904761904767</v>
      </c>
      <c r="U27" s="95">
        <f>VLOOKUP(A27,'BSE ALL CAP'!$B$4:$Y$1038,20,)</f>
        <v>-0.17552602436323372</v>
      </c>
      <c r="V27" s="95">
        <f>VLOOKUP(A27,'BSE ALL CAP'!$B$4:$Y$1038,21,)</f>
        <v>0.96551724137931028</v>
      </c>
      <c r="W27" s="95">
        <f>VLOOKUP(A27,'BSE ALL CAP'!$B$4:$Y$1038,22,)</f>
        <v>0.49122807017543857</v>
      </c>
      <c r="X27" s="95">
        <f>VLOOKUP(A27,'BSE ALL CAP'!$B$4:$Y$1038,23,)</f>
        <v>1.0476190476190474</v>
      </c>
      <c r="Y27" s="95">
        <f>VLOOKUP(A27,'BSE ALL CAP'!$B$4:$Y$1038,24,)</f>
        <v>0.39130434782608692</v>
      </c>
    </row>
    <row r="28" spans="1:25" ht="14.4">
      <c r="A28" s="99">
        <v>542774</v>
      </c>
      <c r="B28" s="98" t="s">
        <v>5043</v>
      </c>
      <c r="C28" s="101"/>
      <c r="D28" s="101"/>
      <c r="E28" s="101">
        <f ca="1">IFERROR(__xludf.DUMMYFUNCTION("GOOGLEFINANCE(""bom:""&amp;A28,""price"")"),99.52)</f>
        <v>99.52</v>
      </c>
      <c r="F28" s="112">
        <f ca="1">IFERROR(__xludf.DUMMYFUNCTION("GOOGLEFINANCE(""BOM:""&amp;A28,""MARKETCAP"")/10000000"),1972.3073571)</f>
        <v>1972.3073571</v>
      </c>
      <c r="G28" s="95">
        <f t="shared" ca="1" si="0"/>
        <v>1.2381306986413885E-3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533344</v>
      </c>
      <c r="B29" s="98" t="s">
        <v>5044</v>
      </c>
      <c r="C29" s="101"/>
      <c r="D29" s="101"/>
      <c r="E29" s="101">
        <f ca="1">IFERROR(__xludf.DUMMYFUNCTION("GOOGLEFINANCE(""bom:""&amp;A29,""price"")"),27)</f>
        <v>27</v>
      </c>
      <c r="F29" s="112">
        <f ca="1">IFERROR(__xludf.DUMMYFUNCTION("GOOGLEFINANCE(""BOM:""&amp;A29,""MARKETCAP"")/10000000"),1743.7996779)</f>
        <v>1743.7996779</v>
      </c>
      <c r="G29" s="95">
        <f t="shared" ca="1" si="0"/>
        <v>1.0946832935123951E-3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523862</v>
      </c>
      <c r="B30" s="98" t="s">
        <v>5045</v>
      </c>
      <c r="C30" s="101"/>
      <c r="D30" s="101"/>
      <c r="E30" s="101">
        <f ca="1">IFERROR(__xludf.DUMMYFUNCTION("GOOGLEFINANCE(""bom:""&amp;A30,""price"")"),30.4)</f>
        <v>30.4</v>
      </c>
      <c r="F30" s="112">
        <f ca="1">IFERROR(__xludf.DUMMYFUNCTION("GOOGLEFINANCE(""BOM:""&amp;A30,""MARKETCAP"")/10000000"),1577.4058202)</f>
        <v>1577.4058202000001</v>
      </c>
      <c r="G30" s="95">
        <f t="shared" ca="1" si="0"/>
        <v>9.9022830451582391E-4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531179</v>
      </c>
      <c r="B31" s="98" t="s">
        <v>5046</v>
      </c>
      <c r="C31" s="101"/>
      <c r="D31" s="101"/>
      <c r="E31" s="101">
        <f ca="1">IFERROR(__xludf.DUMMYFUNCTION("GOOGLEFINANCE(""bom:""&amp;A31,""price"")"),1512.6)</f>
        <v>1512.6</v>
      </c>
      <c r="F31" s="112">
        <f ca="1">IFERROR(__xludf.DUMMYFUNCTION("GOOGLEFINANCE(""BOM:""&amp;A31,""MARKETCAP"")/10000000"),1593.6375192)</f>
        <v>1593.6375192</v>
      </c>
      <c r="G31" s="95">
        <f t="shared" ca="1" si="0"/>
        <v>1.000417874995628E-3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532485</v>
      </c>
      <c r="B32" s="98" t="s">
        <v>5047</v>
      </c>
      <c r="C32" s="101"/>
      <c r="D32" s="101"/>
      <c r="E32" s="101">
        <f ca="1">IFERROR(__xludf.DUMMYFUNCTION("GOOGLEFINANCE(""bom:""&amp;A32,""price"")"),68.73)</f>
        <v>68.73</v>
      </c>
      <c r="F32" s="112">
        <f ca="1">IFERROR(__xludf.DUMMYFUNCTION("GOOGLEFINANCE(""BOM:""&amp;A32,""MARKETCAP"")/10000000"),1525.6177543)</f>
        <v>1525.6177542999999</v>
      </c>
      <c r="G32" s="95">
        <f t="shared" ca="1" si="0"/>
        <v>9.5771795871032355E-4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543766</v>
      </c>
      <c r="B33" s="98" t="s">
        <v>5048</v>
      </c>
      <c r="C33" s="101"/>
      <c r="D33" s="101"/>
      <c r="E33" s="101">
        <f ca="1">IFERROR(__xludf.DUMMYFUNCTION("GOOGLEFINANCE(""bom:""&amp;A33,""price"")"),331.75)</f>
        <v>331.75</v>
      </c>
      <c r="F33" s="112">
        <f ca="1">IFERROR(__xludf.DUMMYFUNCTION("GOOGLEFINANCE(""BOM:""&amp;A33,""MARKETCAP"")/10000000"),1483.750548)</f>
        <v>1483.750548</v>
      </c>
      <c r="G33" s="95">
        <f t="shared" ca="1" si="0"/>
        <v>9.3143550673863845E-4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511742</v>
      </c>
      <c r="B34" s="98" t="s">
        <v>5049</v>
      </c>
      <c r="C34" s="101"/>
      <c r="D34" s="101"/>
      <c r="E34" s="101">
        <f ca="1">IFERROR(__xludf.DUMMYFUNCTION("GOOGLEFINANCE(""bom:""&amp;A34,""price"")"),88.7)</f>
        <v>88.7</v>
      </c>
      <c r="F34" s="112">
        <f ca="1">IFERROR(__xludf.DUMMYFUNCTION("GOOGLEFINANCE(""BOM:""&amp;A34,""MARKETCAP"")/10000000"),1358.224122)</f>
        <v>1358.2241220000001</v>
      </c>
      <c r="G34" s="95">
        <f t="shared" ca="1" si="0"/>
        <v>8.5263535372909086E-4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512065</v>
      </c>
      <c r="B35" s="98" t="s">
        <v>5050</v>
      </c>
      <c r="C35" s="101"/>
      <c r="D35" s="101"/>
      <c r="E35" s="101">
        <f ca="1">IFERROR(__xludf.DUMMYFUNCTION("GOOGLEFINANCE(""bom:""&amp;A35,""price"")"),18.22)</f>
        <v>18.22</v>
      </c>
      <c r="F35" s="112">
        <f ca="1">IFERROR(__xludf.DUMMYFUNCTION("GOOGLEFINANCE(""BOM:""&amp;A35,""MARKETCAP"")/10000000"),1316.3036681)</f>
        <v>1316.3036681000001</v>
      </c>
      <c r="G35" s="95">
        <f t="shared" ca="1" si="0"/>
        <v>8.2631947517814981E-4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512020</v>
      </c>
      <c r="B36" s="98" t="s">
        <v>5051</v>
      </c>
      <c r="C36" s="101"/>
      <c r="D36" s="101"/>
      <c r="E36" s="101">
        <f ca="1">IFERROR(__xludf.DUMMYFUNCTION("GOOGLEFINANCE(""bom:""&amp;A36,""price"")"),9520.05)</f>
        <v>9520.0499999999993</v>
      </c>
      <c r="F36" s="112">
        <f ca="1">IFERROR(__xludf.DUMMYFUNCTION("GOOGLEFINANCE(""BOM:""&amp;A36,""MARKETCAP"")/10000000"),1043.3289142)</f>
        <v>1043.3289142000001</v>
      </c>
      <c r="G36" s="95">
        <f t="shared" ca="1" si="0"/>
        <v>6.5495753123924071E-4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530499</v>
      </c>
      <c r="B37" s="98" t="s">
        <v>5052</v>
      </c>
      <c r="C37" s="101"/>
      <c r="D37" s="101"/>
      <c r="E37" s="101">
        <f ca="1">IFERROR(__xludf.DUMMYFUNCTION("GOOGLEFINANCE(""bom:""&amp;A37,""price"")"),1524.9)</f>
        <v>1524.9</v>
      </c>
      <c r="F37" s="112">
        <f ca="1">IFERROR(__xludf.DUMMYFUNCTION("GOOGLEFINANCE(""BOM:""&amp;A37,""MARKETCAP"")/10000000"),1003.6914834)</f>
        <v>1003.6914834</v>
      </c>
      <c r="G37" s="95">
        <f t="shared" ca="1" si="0"/>
        <v>6.3007483751907243E-4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511413</v>
      </c>
      <c r="B38" s="98" t="s">
        <v>5053</v>
      </c>
      <c r="C38" s="101"/>
      <c r="D38" s="101"/>
      <c r="E38" s="101">
        <f ca="1">IFERROR(__xludf.DUMMYFUNCTION("GOOGLEFINANCE(""bom:""&amp;A38,""price"")"),327.95)</f>
        <v>327.95</v>
      </c>
      <c r="F38" s="112">
        <f ca="1">IFERROR(__xludf.DUMMYFUNCTION("GOOGLEFINANCE(""BOM:""&amp;A38,""MARKETCAP"")/10000000"),930.49341)</f>
        <v>930.49341000000004</v>
      </c>
      <c r="G38" s="95">
        <f t="shared" ca="1" si="0"/>
        <v>5.8412419933294186E-4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530879</v>
      </c>
      <c r="B39" s="98" t="s">
        <v>5054</v>
      </c>
      <c r="C39" s="101"/>
      <c r="D39" s="101"/>
      <c r="E39" s="101">
        <f ca="1">IFERROR(__xludf.DUMMYFUNCTION("GOOGLEFINANCE(""bom:""&amp;A39,""price"")"),23.94)</f>
        <v>23.94</v>
      </c>
      <c r="F39" s="112">
        <f ca="1">IFERROR(__xludf.DUMMYFUNCTION("GOOGLEFINANCE(""BOM:""&amp;A39,""MARKETCAP"")/10000000"),938.1440547)</f>
        <v>938.14405469999997</v>
      </c>
      <c r="G39" s="95">
        <f t="shared" ca="1" si="0"/>
        <v>5.889269487793547E-4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508954</v>
      </c>
      <c r="B40" s="98" t="s">
        <v>5055</v>
      </c>
      <c r="C40" s="101"/>
      <c r="D40" s="101"/>
      <c r="E40" s="101">
        <f ca="1">IFERROR(__xludf.DUMMYFUNCTION("GOOGLEFINANCE(""bom:""&amp;A40,""price"")"),55.53)</f>
        <v>55.53</v>
      </c>
      <c r="F40" s="112">
        <f ca="1">IFERROR(__xludf.DUMMYFUNCTION("GOOGLEFINANCE(""BOM:""&amp;A40,""MARKETCAP"")/10000000"),781.0610872)</f>
        <v>781.06108719999997</v>
      </c>
      <c r="G40" s="95">
        <f t="shared" ca="1" si="0"/>
        <v>4.9031694076244665E-4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530245</v>
      </c>
      <c r="B41" s="98" t="s">
        <v>5056</v>
      </c>
      <c r="C41" s="101"/>
      <c r="D41" s="101"/>
      <c r="E41" s="101">
        <f ca="1">IFERROR(__xludf.DUMMYFUNCTION("GOOGLEFINANCE(""bom:""&amp;A41,""price"")"),610)</f>
        <v>610</v>
      </c>
      <c r="F41" s="112">
        <f ca="1">IFERROR(__xludf.DUMMYFUNCTION("GOOGLEFINANCE(""BOM:""&amp;A41,""MARKETCAP"")/10000000"),747.067)</f>
        <v>747.06700000000001</v>
      </c>
      <c r="G41" s="95">
        <f t="shared" ca="1" si="0"/>
        <v>4.6897689820614939E-4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511702</v>
      </c>
      <c r="B42" s="98" t="s">
        <v>5057</v>
      </c>
      <c r="C42" s="101"/>
      <c r="D42" s="101"/>
      <c r="E42" s="101">
        <f ca="1">IFERROR(__xludf.DUMMYFUNCTION("GOOGLEFINANCE(""bom:""&amp;A42,""price"")"),161.95)</f>
        <v>161.94999999999999</v>
      </c>
      <c r="F42" s="112">
        <f ca="1">IFERROR(__xludf.DUMMYFUNCTION("GOOGLEFINANCE(""BOM:""&amp;A42,""MARKETCAP"")/10000000"),705.2344)</f>
        <v>705.23440000000005</v>
      </c>
      <c r="G42" s="95">
        <f t="shared" ca="1" si="0"/>
        <v>4.4271617059818581E-4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4.4">
      <c r="A43" s="99">
        <v>511628</v>
      </c>
      <c r="B43" s="98" t="s">
        <v>5058</v>
      </c>
      <c r="C43" s="101"/>
      <c r="D43" s="101"/>
      <c r="E43" s="101">
        <f ca="1">IFERROR(__xludf.DUMMYFUNCTION("GOOGLEFINANCE(""bom:""&amp;A43,""price"")"),35.38)</f>
        <v>35.380000000000003</v>
      </c>
      <c r="F43" s="112">
        <f ca="1">IFERROR(__xludf.DUMMYFUNCTION("GOOGLEFINANCE(""BOM:""&amp;A43,""MARKETCAP"")/10000000"),712.6094757)</f>
        <v>712.60947569999996</v>
      </c>
      <c r="G43" s="95">
        <f t="shared" ca="1" si="0"/>
        <v>4.4734592954326238E-4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4.4">
      <c r="A44" s="99">
        <v>544262</v>
      </c>
      <c r="B44" s="98" t="s">
        <v>5059</v>
      </c>
      <c r="C44" s="101"/>
      <c r="D44" s="101"/>
      <c r="E44" s="101">
        <f ca="1">IFERROR(__xludf.DUMMYFUNCTION("GOOGLEFINANCE(""bom:""&amp;A44,""price"")"),108)</f>
        <v>108</v>
      </c>
      <c r="F44" s="112">
        <f ca="1">IFERROR(__xludf.DUMMYFUNCTION("GOOGLEFINANCE(""BOM:""&amp;A44,""MARKETCAP"")/10000000"),541.5807473)</f>
        <v>541.58074729999998</v>
      </c>
      <c r="G44" s="95">
        <f t="shared" ca="1" si="0"/>
        <v>3.3998136579038078E-4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4.4">
      <c r="A45" s="99">
        <v>535667</v>
      </c>
      <c r="B45" s="98" t="s">
        <v>5060</v>
      </c>
      <c r="C45" s="101"/>
      <c r="D45" s="101"/>
      <c r="E45" s="101">
        <f ca="1">IFERROR(__xludf.DUMMYFUNCTION("GOOGLEFINANCE(""bom:""&amp;A45,""price"")"),183)</f>
        <v>183</v>
      </c>
      <c r="F45" s="112">
        <f ca="1">IFERROR(__xludf.DUMMYFUNCTION("GOOGLEFINANCE(""BOM:""&amp;A45,""MARKETCAP"")/10000000"),534.208293)</f>
        <v>534.20829300000003</v>
      </c>
      <c r="G45" s="95">
        <f t="shared" ca="1" si="0"/>
        <v>3.3535325244876544E-4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530067</v>
      </c>
      <c r="B46" s="98" t="s">
        <v>5061</v>
      </c>
      <c r="C46" s="101"/>
      <c r="D46" s="101"/>
      <c r="E46" s="101">
        <f ca="1">IFERROR(__xludf.DUMMYFUNCTION("GOOGLEFINANCE(""bom:""&amp;A46,""price"")"),239)</f>
        <v>239</v>
      </c>
      <c r="F46" s="112">
        <f ca="1">IFERROR(__xludf.DUMMYFUNCTION("GOOGLEFINANCE(""BOM:""&amp;A46,""MARKETCAP"")/10000000"),535.632221)</f>
        <v>535.63222099999996</v>
      </c>
      <c r="G46" s="95">
        <f t="shared" ca="1" si="0"/>
        <v>3.3624713390345269E-4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4.4">
      <c r="A47" s="99">
        <v>538772</v>
      </c>
      <c r="B47" s="98" t="s">
        <v>5062</v>
      </c>
      <c r="C47" s="101"/>
      <c r="D47" s="101"/>
      <c r="E47" s="101">
        <f ca="1">IFERROR(__xludf.DUMMYFUNCTION("GOOGLEFINANCE(""bom:""&amp;A47,""price"")"),45.73)</f>
        <v>45.73</v>
      </c>
      <c r="F47" s="112">
        <f ca="1">IFERROR(__xludf.DUMMYFUNCTION("GOOGLEFINANCE(""BOM:""&amp;A47,""MARKETCAP"")/10000000"),508.7343551)</f>
        <v>508.73435510000002</v>
      </c>
      <c r="G47" s="95">
        <f t="shared" ca="1" si="0"/>
        <v>3.1936179735646703E-4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4.4">
      <c r="A48" s="99">
        <v>537750</v>
      </c>
      <c r="B48" s="98" t="s">
        <v>5063</v>
      </c>
      <c r="C48" s="101"/>
      <c r="D48" s="101"/>
      <c r="E48" s="101">
        <f ca="1">IFERROR(__xludf.DUMMYFUNCTION("GOOGLEFINANCE(""bom:""&amp;A48,""price"")"),168.5)</f>
        <v>168.5</v>
      </c>
      <c r="F48" s="112">
        <f ca="1">IFERROR(__xludf.DUMMYFUNCTION("GOOGLEFINANCE(""BOM:""&amp;A48,""MARKETCAP"")/10000000"),459.7389385)</f>
        <v>459.73893850000002</v>
      </c>
      <c r="G48" s="95">
        <f t="shared" ca="1" si="0"/>
        <v>2.8860455804140419E-4</v>
      </c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ht="14.4">
      <c r="A49" s="99">
        <v>533336</v>
      </c>
      <c r="B49" s="98" t="s">
        <v>5064</v>
      </c>
      <c r="C49" s="101"/>
      <c r="D49" s="101"/>
      <c r="E49" s="101">
        <f ca="1">IFERROR(__xludf.DUMMYFUNCTION("GOOGLEFINANCE(""bom:""&amp;A49,""price"")"),752.95)</f>
        <v>752.95</v>
      </c>
      <c r="F49" s="112">
        <f ca="1">IFERROR(__xludf.DUMMYFUNCTION("GOOGLEFINANCE(""BOM:""&amp;A49,""MARKETCAP"")/10000000"),462.4709513)</f>
        <v>462.47095130000002</v>
      </c>
      <c r="G49" s="95">
        <f t="shared" ca="1" si="0"/>
        <v>2.9031959951533287E-4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4.4">
      <c r="A50" s="99">
        <v>538446</v>
      </c>
      <c r="B50" s="98" t="s">
        <v>5065</v>
      </c>
      <c r="C50" s="101"/>
      <c r="D50" s="101"/>
      <c r="E50" s="101">
        <f ca="1">IFERROR(__xludf.DUMMYFUNCTION("GOOGLEFINANCE(""bom:""&amp;A50,""price"")"),59.23)</f>
        <v>59.23</v>
      </c>
      <c r="F50" s="112">
        <f ca="1">IFERROR(__xludf.DUMMYFUNCTION("GOOGLEFINANCE(""BOM:""&amp;A50,""MARKETCAP"")/10000000"),413.4100909)</f>
        <v>413.4100909</v>
      </c>
      <c r="G50" s="95">
        <f t="shared" ca="1" si="0"/>
        <v>2.5952127736522196E-4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4.4">
      <c r="A51" s="99">
        <v>544465</v>
      </c>
      <c r="B51" s="98" t="s">
        <v>5066</v>
      </c>
      <c r="C51" s="101"/>
      <c r="D51" s="101"/>
      <c r="E51" s="101">
        <f ca="1">IFERROR(__xludf.DUMMYFUNCTION("GOOGLEFINANCE(""bom:""&amp;A51,""price"")"),81.31)</f>
        <v>81.31</v>
      </c>
      <c r="F51" s="112">
        <f ca="1">IFERROR(__xludf.DUMMYFUNCTION("GOOGLEFINANCE(""BOM:""&amp;A51,""MARKETCAP"")/10000000"),423.9446967)</f>
        <v>423.94469670000001</v>
      </c>
      <c r="G51" s="95">
        <f t="shared" ca="1" si="0"/>
        <v>2.6613445496764386E-4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4.4">
      <c r="A52" s="99">
        <v>505850</v>
      </c>
      <c r="B52" s="98" t="s">
        <v>5067</v>
      </c>
      <c r="C52" s="101"/>
      <c r="D52" s="101"/>
      <c r="E52" s="101">
        <f ca="1">IFERROR(__xludf.DUMMYFUNCTION("GOOGLEFINANCE(""bom:""&amp;A52,""price"")"),172.05)</f>
        <v>172.05</v>
      </c>
      <c r="F52" s="112">
        <f ca="1">IFERROR(__xludf.DUMMYFUNCTION("GOOGLEFINANCE(""BOM:""&amp;A52,""MARKETCAP"")/10000000"),363.9627975)</f>
        <v>363.96279750000002</v>
      </c>
      <c r="G52" s="95">
        <f t="shared" ca="1" si="0"/>
        <v>2.2848036900837928E-4</v>
      </c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ht="14.4">
      <c r="A53" s="99">
        <v>544200</v>
      </c>
      <c r="B53" s="98" t="s">
        <v>5068</v>
      </c>
      <c r="C53" s="101"/>
      <c r="D53" s="101"/>
      <c r="E53" s="101">
        <f ca="1">IFERROR(__xludf.DUMMYFUNCTION("GOOGLEFINANCE(""bom:""&amp;A53,""price"")"),8.4)</f>
        <v>8.4</v>
      </c>
      <c r="F53" s="112">
        <f ca="1">IFERROR(__xludf.DUMMYFUNCTION("GOOGLEFINANCE(""BOM:""&amp;A53,""MARKETCAP"")/10000000"),357.1896614)</f>
        <v>357.18966139999998</v>
      </c>
      <c r="G53" s="95">
        <f t="shared" ca="1" si="0"/>
        <v>2.2422848215043197E-4</v>
      </c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ht="14.4">
      <c r="A54" s="99">
        <v>511589</v>
      </c>
      <c r="B54" s="98" t="s">
        <v>5069</v>
      </c>
      <c r="C54" s="101"/>
      <c r="D54" s="101"/>
      <c r="E54" s="101">
        <f ca="1">IFERROR(__xludf.DUMMYFUNCTION("GOOGLEFINANCE(""bom:""&amp;A54,""price"")"),11.67)</f>
        <v>11.67</v>
      </c>
      <c r="F54" s="112">
        <f ca="1">IFERROR(__xludf.DUMMYFUNCTION("GOOGLEFINANCE(""BOM:""&amp;A54,""MARKETCAP"")/10000000"),329.5917382)</f>
        <v>329.59173820000001</v>
      </c>
      <c r="G54" s="95">
        <f t="shared" ca="1" si="0"/>
        <v>2.0690367939610403E-4</v>
      </c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ht="14.4">
      <c r="A55" s="99">
        <v>544191</v>
      </c>
      <c r="B55" s="98" t="s">
        <v>5070</v>
      </c>
      <c r="C55" s="101"/>
      <c r="D55" s="101"/>
      <c r="E55" s="101">
        <f ca="1">IFERROR(__xludf.DUMMYFUNCTION("GOOGLEFINANCE(""bom:""&amp;A55,""price"")"),55.74)</f>
        <v>55.74</v>
      </c>
      <c r="F55" s="112">
        <f ca="1">IFERROR(__xludf.DUMMYFUNCTION("GOOGLEFINANCE(""BOM:""&amp;A55,""MARKETCAP"")/10000000"),328.4435006)</f>
        <v>328.44350059999999</v>
      </c>
      <c r="G55" s="95">
        <f t="shared" ca="1" si="0"/>
        <v>2.0618286465251117E-4</v>
      </c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ht="14.4">
      <c r="A56" s="99">
        <v>531652</v>
      </c>
      <c r="B56" s="98" t="s">
        <v>5071</v>
      </c>
      <c r="C56" s="101"/>
      <c r="D56" s="101"/>
      <c r="E56" s="101">
        <f ca="1">IFERROR(__xludf.DUMMYFUNCTION("GOOGLEFINANCE(""bom:""&amp;A56,""price"")"),85.47)</f>
        <v>85.47</v>
      </c>
      <c r="F56" s="112">
        <f ca="1">IFERROR(__xludf.DUMMYFUNCTION("GOOGLEFINANCE(""BOM:""&amp;A56,""MARKETCAP"")/10000000"),323.1356)</f>
        <v>323.13560000000001</v>
      </c>
      <c r="G56" s="95">
        <f t="shared" ca="1" si="0"/>
        <v>2.0285079034140582E-4</v>
      </c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ht="14.4">
      <c r="A57" s="99">
        <v>511766</v>
      </c>
      <c r="B57" s="98" t="s">
        <v>5072</v>
      </c>
      <c r="C57" s="101"/>
      <c r="D57" s="101"/>
      <c r="E57" s="101">
        <f ca="1">IFERROR(__xludf.DUMMYFUNCTION("GOOGLEFINANCE(""bom:""&amp;A57,""price"")"),189.6)</f>
        <v>189.6</v>
      </c>
      <c r="F57" s="112">
        <f ca="1">IFERROR(__xludf.DUMMYFUNCTION("GOOGLEFINANCE(""BOM:""&amp;A57,""MARKETCAP"")/10000000"),311.664255)</f>
        <v>311.66425500000003</v>
      </c>
      <c r="G57" s="95">
        <f t="shared" ca="1" si="0"/>
        <v>1.956495676982525E-4</v>
      </c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ht="14.4">
      <c r="A58" s="99">
        <v>509470</v>
      </c>
      <c r="B58" s="98" t="s">
        <v>5073</v>
      </c>
      <c r="C58" s="101"/>
      <c r="D58" s="101"/>
      <c r="E58" s="101">
        <f ca="1">IFERROR(__xludf.DUMMYFUNCTION("GOOGLEFINANCE(""bom:""&amp;A58,""price"")"),20250)</f>
        <v>20250</v>
      </c>
      <c r="F58" s="112">
        <f ca="1">IFERROR(__xludf.DUMMYFUNCTION("GOOGLEFINANCE(""BOM:""&amp;A58,""MARKETCAP"")/10000000"),303.75)</f>
        <v>303.75</v>
      </c>
      <c r="G58" s="95">
        <f t="shared" ca="1" si="0"/>
        <v>1.9068133491389376E-4</v>
      </c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ht="14.4">
      <c r="A59" s="99">
        <v>511754</v>
      </c>
      <c r="B59" s="98" t="s">
        <v>5074</v>
      </c>
      <c r="C59" s="101"/>
      <c r="D59" s="101"/>
      <c r="E59" s="101">
        <f ca="1">IFERROR(__xludf.DUMMYFUNCTION("GOOGLEFINANCE(""bom:""&amp;A59,""price"")"),78.05)</f>
        <v>78.05</v>
      </c>
      <c r="F59" s="112">
        <f ca="1">IFERROR(__xludf.DUMMYFUNCTION("GOOGLEFINANCE(""BOM:""&amp;A59,""MARKETCAP"")/10000000"),241.0839714)</f>
        <v>241.0839714</v>
      </c>
      <c r="G59" s="95">
        <f t="shared" ca="1" si="0"/>
        <v>1.5134226664327569E-4</v>
      </c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ht="14.4">
      <c r="A60" s="99">
        <v>530579</v>
      </c>
      <c r="B60" s="98" t="s">
        <v>5075</v>
      </c>
      <c r="C60" s="101"/>
      <c r="D60" s="101"/>
      <c r="E60" s="101">
        <f ca="1">IFERROR(__xludf.DUMMYFUNCTION("GOOGLEFINANCE(""bom:""&amp;A60,""price"")"),12.99)</f>
        <v>12.99</v>
      </c>
      <c r="F60" s="112">
        <f ca="1">IFERROR(__xludf.DUMMYFUNCTION("GOOGLEFINANCE(""BOM:""&amp;A60,""MARKETCAP"")/10000000"),249.0219376)</f>
        <v>249.0219376</v>
      </c>
      <c r="G60" s="95">
        <f t="shared" ca="1" si="0"/>
        <v>1.5632538431082258E-4</v>
      </c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ht="14.4">
      <c r="A61" s="99">
        <v>511559</v>
      </c>
      <c r="B61" s="98" t="s">
        <v>5076</v>
      </c>
      <c r="C61" s="101"/>
      <c r="D61" s="101"/>
      <c r="E61" s="101">
        <f ca="1">IFERROR(__xludf.DUMMYFUNCTION("GOOGLEFINANCE(""bom:""&amp;A61,""price"")"),248.25)</f>
        <v>248.25</v>
      </c>
      <c r="F61" s="112">
        <f ca="1">IFERROR(__xludf.DUMMYFUNCTION("GOOGLEFINANCE(""BOM:""&amp;A61,""MARKETCAP"")/10000000"),227.2568219)</f>
        <v>227.25682190000001</v>
      </c>
      <c r="G61" s="95">
        <f t="shared" ca="1" si="0"/>
        <v>1.4266217010100744E-4</v>
      </c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</row>
    <row r="62" spans="1:25" ht="14.4">
      <c r="A62" s="99">
        <v>512381</v>
      </c>
      <c r="B62" s="98" t="s">
        <v>5077</v>
      </c>
      <c r="C62" s="101"/>
      <c r="D62" s="101"/>
      <c r="E62" s="101">
        <f ca="1">IFERROR(__xludf.DUMMYFUNCTION("GOOGLEFINANCE(""bom:""&amp;A62,""price"")"),239.6)</f>
        <v>239.6</v>
      </c>
      <c r="F62" s="112">
        <f ca="1">IFERROR(__xludf.DUMMYFUNCTION("GOOGLEFINANCE(""BOM:""&amp;A62,""MARKETCAP"")/10000000"),238.8488578)</f>
        <v>238.84885779999999</v>
      </c>
      <c r="G62" s="95">
        <f t="shared" ca="1" si="0"/>
        <v>1.4993915735954827E-4</v>
      </c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</row>
    <row r="63" spans="1:25" ht="14.4">
      <c r="A63" s="99">
        <v>512399</v>
      </c>
      <c r="B63" s="98" t="s">
        <v>5078</v>
      </c>
      <c r="C63" s="101"/>
      <c r="D63" s="101"/>
      <c r="E63" s="101">
        <f ca="1">IFERROR(__xludf.DUMMYFUNCTION("GOOGLEFINANCE(""bom:""&amp;A63,""price"")"),35.59)</f>
        <v>35.590000000000003</v>
      </c>
      <c r="F63" s="112">
        <f ca="1">IFERROR(__xludf.DUMMYFUNCTION("GOOGLEFINANCE(""BOM:""&amp;A63,""MARKETCAP"")/10000000"),228.7016)</f>
        <v>228.70160000000001</v>
      </c>
      <c r="G63" s="95">
        <f t="shared" ca="1" si="0"/>
        <v>1.435691403619535E-4</v>
      </c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</row>
    <row r="64" spans="1:25" ht="14.4">
      <c r="A64" s="99">
        <v>532320</v>
      </c>
      <c r="B64" s="98" t="s">
        <v>5079</v>
      </c>
      <c r="C64" s="101"/>
      <c r="D64" s="101"/>
      <c r="E64" s="101">
        <f ca="1">IFERROR(__xludf.DUMMYFUNCTION("GOOGLEFINANCE(""bom:""&amp;A64,""price"")"),9.25)</f>
        <v>9.25</v>
      </c>
      <c r="F64" s="112">
        <f ca="1">IFERROR(__xludf.DUMMYFUNCTION("GOOGLEFINANCE(""BOM:""&amp;A64,""MARKETCAP"")/10000000"),231.1603)</f>
        <v>231.16030000000001</v>
      </c>
      <c r="G64" s="95">
        <f t="shared" ca="1" si="0"/>
        <v>1.4511260768097501E-4</v>
      </c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</row>
    <row r="65" spans="1:25" ht="14.4">
      <c r="A65" s="99">
        <v>511571</v>
      </c>
      <c r="B65" s="98" t="s">
        <v>5080</v>
      </c>
      <c r="C65" s="101"/>
      <c r="D65" s="101"/>
      <c r="E65" s="101">
        <f ca="1">IFERROR(__xludf.DUMMYFUNCTION("GOOGLEFINANCE(""bom:""&amp;A65,""price"")"),117)</f>
        <v>117</v>
      </c>
      <c r="F65" s="112">
        <f ca="1">IFERROR(__xludf.DUMMYFUNCTION("GOOGLEFINANCE(""BOM:""&amp;A65,""MARKETCAP"")/10000000"),199.058535)</f>
        <v>199.05853500000001</v>
      </c>
      <c r="G65" s="95">
        <f t="shared" ca="1" si="0"/>
        <v>1.2496048454256476E-4</v>
      </c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</row>
    <row r="66" spans="1:25" ht="14.4">
      <c r="A66" s="99">
        <v>538476</v>
      </c>
      <c r="B66" s="98" t="s">
        <v>5081</v>
      </c>
      <c r="C66" s="101"/>
      <c r="D66" s="101"/>
      <c r="E66" s="101">
        <f ca="1">IFERROR(__xludf.DUMMYFUNCTION("GOOGLEFINANCE(""bom:""&amp;A66,""price"")"),15.99)</f>
        <v>15.99</v>
      </c>
      <c r="F66" s="112">
        <f ca="1">IFERROR(__xludf.DUMMYFUNCTION("GOOGLEFINANCE(""BOM:""&amp;A66,""MARKETCAP"")/10000000"),205.887237)</f>
        <v>205.887237</v>
      </c>
      <c r="G66" s="95">
        <f t="shared" ca="1" si="0"/>
        <v>1.2924725330993653E-4</v>
      </c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</row>
    <row r="67" spans="1:25" ht="14.4">
      <c r="A67" s="99">
        <v>505216</v>
      </c>
      <c r="B67" s="98" t="s">
        <v>5082</v>
      </c>
      <c r="C67" s="101"/>
      <c r="D67" s="101"/>
      <c r="E67" s="101">
        <f ca="1">IFERROR(__xludf.DUMMYFUNCTION("GOOGLEFINANCE(""bom:""&amp;A67,""price"")"),2730)</f>
        <v>2730</v>
      </c>
      <c r="F67" s="112">
        <f ca="1">IFERROR(__xludf.DUMMYFUNCTION("GOOGLEFINANCE(""BOM:""&amp;A67,""MARKETCAP"")/10000000"),210.600117)</f>
        <v>210.60011700000001</v>
      </c>
      <c r="G67" s="95">
        <f t="shared" ca="1" si="0"/>
        <v>1.3220579898792499E-4</v>
      </c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</row>
    <row r="68" spans="1:25" ht="14.4">
      <c r="A68" s="99">
        <v>538714</v>
      </c>
      <c r="B68" s="98" t="s">
        <v>5083</v>
      </c>
      <c r="C68" s="101"/>
      <c r="D68" s="101"/>
      <c r="E68" s="101">
        <f ca="1">IFERROR(__xludf.DUMMYFUNCTION("GOOGLEFINANCE(""bom:""&amp;A68,""price"")"),39.9)</f>
        <v>39.9</v>
      </c>
      <c r="F68" s="112">
        <f ca="1">IFERROR(__xludf.DUMMYFUNCTION("GOOGLEFINANCE(""BOM:""&amp;A68,""MARKETCAP"")/10000000"),185.9848796)</f>
        <v>185.9848796</v>
      </c>
      <c r="G68" s="95">
        <f t="shared" ca="1" si="0"/>
        <v>1.1675339955861007E-4</v>
      </c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</row>
    <row r="69" spans="1:25" ht="14.4">
      <c r="A69" s="99">
        <v>539598</v>
      </c>
      <c r="B69" s="98" t="s">
        <v>5084</v>
      </c>
      <c r="C69" s="101"/>
      <c r="D69" s="101"/>
      <c r="E69" s="101">
        <f ca="1">IFERROR(__xludf.DUMMYFUNCTION("GOOGLEFINANCE(""bom:""&amp;A69,""price"")"),29.6)</f>
        <v>29.6</v>
      </c>
      <c r="F69" s="112">
        <f ca="1">IFERROR(__xludf.DUMMYFUNCTION("GOOGLEFINANCE(""BOM:""&amp;A69,""MARKETCAP"")/10000000"),181.9251839)</f>
        <v>181.92518390000001</v>
      </c>
      <c r="G69" s="95">
        <f t="shared" ca="1" si="0"/>
        <v>1.1420489521154771E-4</v>
      </c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</row>
    <row r="70" spans="1:25" ht="14.4">
      <c r="A70" s="99">
        <v>538882</v>
      </c>
      <c r="B70" s="98" t="s">
        <v>5085</v>
      </c>
      <c r="C70" s="101"/>
      <c r="D70" s="101"/>
      <c r="E70" s="101">
        <f ca="1">IFERROR(__xludf.DUMMYFUNCTION("GOOGLEFINANCE(""bom:""&amp;A70,""price"")"),64.75)</f>
        <v>64.75</v>
      </c>
      <c r="F70" s="112">
        <f ca="1">IFERROR(__xludf.DUMMYFUNCTION("GOOGLEFINANCE(""BOM:""&amp;A70,""MARKETCAP"")/10000000"),223.6485072)</f>
        <v>223.64850720000001</v>
      </c>
      <c r="G70" s="95">
        <f t="shared" ca="1" si="0"/>
        <v>1.403970235535657E-4</v>
      </c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</row>
    <row r="71" spans="1:25" ht="14.4">
      <c r="A71" s="99">
        <v>532275</v>
      </c>
      <c r="B71" s="98" t="s">
        <v>5086</v>
      </c>
      <c r="C71" s="101"/>
      <c r="D71" s="101"/>
      <c r="E71" s="101">
        <f ca="1">IFERROR(__xludf.DUMMYFUNCTION("GOOGLEFINANCE(""bom:""&amp;A71,""price"")"),1.84)</f>
        <v>1.84</v>
      </c>
      <c r="F71" s="112">
        <f ca="1">IFERROR(__xludf.DUMMYFUNCTION("GOOGLEFINANCE(""BOM:""&amp;A71,""MARKETCAP"")/10000000"),180.3200032)</f>
        <v>180.3200032</v>
      </c>
      <c r="G71" s="95">
        <f t="shared" ca="1" si="0"/>
        <v>1.1319723101844806E-4</v>
      </c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</row>
    <row r="72" spans="1:25" ht="14.4">
      <c r="A72" s="99">
        <v>511724</v>
      </c>
      <c r="B72" s="98" t="s">
        <v>5087</v>
      </c>
      <c r="C72" s="101"/>
      <c r="D72" s="101"/>
      <c r="E72" s="101">
        <f ca="1">IFERROR(__xludf.DUMMYFUNCTION("GOOGLEFINANCE(""bom:""&amp;A72,""price"")"),10.31)</f>
        <v>10.31</v>
      </c>
      <c r="F72" s="112">
        <f ca="1">IFERROR(__xludf.DUMMYFUNCTION("GOOGLEFINANCE(""BOM:""&amp;A72,""MARKETCAP"")/10000000"),160.4639626)</f>
        <v>160.4639626</v>
      </c>
      <c r="G72" s="95">
        <f t="shared" ca="1" si="0"/>
        <v>1.0073245298482676E-4</v>
      </c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</row>
    <row r="73" spans="1:25" ht="14.4">
      <c r="A73" s="99">
        <v>540168</v>
      </c>
      <c r="B73" s="98" t="s">
        <v>5088</v>
      </c>
      <c r="C73" s="101"/>
      <c r="D73" s="101"/>
      <c r="E73" s="101">
        <f ca="1">IFERROR(__xludf.DUMMYFUNCTION("GOOGLEFINANCE(""bom:""&amp;A73,""price"")"),23.7)</f>
        <v>23.7</v>
      </c>
      <c r="F73" s="112">
        <f ca="1">IFERROR(__xludf.DUMMYFUNCTION("GOOGLEFINANCE(""BOM:""&amp;A73,""MARKETCAP"")/10000000"),113.7106)</f>
        <v>113.7106</v>
      </c>
      <c r="G73" s="95">
        <f t="shared" ca="1" si="0"/>
        <v>7.1382679841513775E-5</v>
      </c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</row>
    <row r="74" spans="1:25" ht="14.4">
      <c r="A74" s="99">
        <v>538943</v>
      </c>
      <c r="B74" s="98" t="s">
        <v>5089</v>
      </c>
      <c r="C74" s="101"/>
      <c r="D74" s="101"/>
      <c r="E74" s="101">
        <f ca="1">IFERROR(__xludf.DUMMYFUNCTION("GOOGLEFINANCE(""bom:""&amp;A74,""price"")"),95.3)</f>
        <v>95.3</v>
      </c>
      <c r="F74" s="112">
        <f ca="1">IFERROR(__xludf.DUMMYFUNCTION("GOOGLEFINANCE(""BOM:""&amp;A74,""MARKETCAP"")/10000000"),140.4581)</f>
        <v>140.4581</v>
      </c>
      <c r="G74" s="95">
        <f t="shared" ca="1" si="0"/>
        <v>8.8173623069857398E-5</v>
      </c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</row>
    <row r="75" spans="1:25" ht="14.4">
      <c r="A75" s="99">
        <v>533260</v>
      </c>
      <c r="B75" s="98" t="s">
        <v>5090</v>
      </c>
      <c r="C75" s="101"/>
      <c r="D75" s="101"/>
      <c r="E75" s="101">
        <f ca="1">IFERROR(__xludf.DUMMYFUNCTION("GOOGLEFINANCE(""bom:""&amp;A75,""price"")"),90)</f>
        <v>90</v>
      </c>
      <c r="F75" s="112">
        <f ca="1">IFERROR(__xludf.DUMMYFUNCTION("GOOGLEFINANCE(""BOM:""&amp;A75,""MARKETCAP"")/10000000"),154.6218)</f>
        <v>154.62180000000001</v>
      </c>
      <c r="G75" s="95">
        <f t="shared" ca="1" si="0"/>
        <v>9.7064991706301569E-5</v>
      </c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</row>
    <row r="76" spans="1:25" ht="14.4">
      <c r="A76" s="99">
        <v>531390</v>
      </c>
      <c r="B76" s="98" t="s">
        <v>5091</v>
      </c>
      <c r="C76" s="101"/>
      <c r="D76" s="101"/>
      <c r="E76" s="101">
        <f ca="1">IFERROR(__xludf.DUMMYFUNCTION("GOOGLEFINANCE(""bom:""&amp;A76,""price"")"),60)</f>
        <v>60</v>
      </c>
      <c r="F76" s="112">
        <f ca="1">IFERROR(__xludf.DUMMYFUNCTION("GOOGLEFINANCE(""BOM:""&amp;A76,""MARKETCAP"")/10000000"),131.5284)</f>
        <v>131.5284</v>
      </c>
      <c r="G76" s="95">
        <f t="shared" ca="1" si="0"/>
        <v>8.2567937090003573E-5</v>
      </c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</row>
    <row r="77" spans="1:25" ht="14.4">
      <c r="A77" s="99">
        <v>534060</v>
      </c>
      <c r="B77" s="98" t="s">
        <v>5092</v>
      </c>
      <c r="C77" s="101"/>
      <c r="D77" s="101"/>
      <c r="E77" s="101">
        <f ca="1">IFERROR(__xludf.DUMMYFUNCTION("GOOGLEFINANCE(""bom:""&amp;A77,""price"")"),1.87)</f>
        <v>1.87</v>
      </c>
      <c r="F77" s="112">
        <f ca="1">IFERROR(__xludf.DUMMYFUNCTION("GOOGLEFINANCE(""BOM:""&amp;A77,""MARKETCAP"")/10000000"),133.1592595)</f>
        <v>133.15925949999999</v>
      </c>
      <c r="G77" s="95">
        <f t="shared" ca="1" si="0"/>
        <v>8.3591721341911407E-5</v>
      </c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ht="14.4">
      <c r="A78" s="99">
        <v>535566</v>
      </c>
      <c r="B78" s="98" t="s">
        <v>5093</v>
      </c>
      <c r="C78" s="101"/>
      <c r="D78" s="101"/>
      <c r="E78" s="101">
        <f ca="1">IFERROR(__xludf.DUMMYFUNCTION("GOOGLEFINANCE(""bom:""&amp;A78,""price"")"),108.55)</f>
        <v>108.55</v>
      </c>
      <c r="F78" s="112">
        <f ca="1">IFERROR(__xludf.DUMMYFUNCTION("GOOGLEFINANCE(""BOM:""&amp;A78,""MARKETCAP"")/10000000"),117.4293933)</f>
        <v>117.4293933</v>
      </c>
      <c r="G78" s="95">
        <f t="shared" ca="1" si="0"/>
        <v>7.3717180156617786E-5</v>
      </c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ht="14.4">
      <c r="A79" s="99">
        <v>512437</v>
      </c>
      <c r="B79" s="98" t="s">
        <v>5094</v>
      </c>
      <c r="C79" s="101"/>
      <c r="D79" s="101"/>
      <c r="E79" s="101">
        <f ca="1">IFERROR(__xludf.DUMMYFUNCTION("GOOGLEFINANCE(""bom:""&amp;A79,""price"")"),338.6)</f>
        <v>338.6</v>
      </c>
      <c r="F79" s="112">
        <f ca="1">IFERROR(__xludf.DUMMYFUNCTION("GOOGLEFINANCE(""BOM:""&amp;A79,""MARKETCAP"")/10000000"),126.3882761)</f>
        <v>126.3882761</v>
      </c>
      <c r="G79" s="95">
        <f t="shared" ca="1" si="0"/>
        <v>7.9341185857493917E-5</v>
      </c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</row>
    <row r="80" spans="1:25" ht="14.4">
      <c r="A80" s="99">
        <v>542911</v>
      </c>
      <c r="B80" s="98" t="s">
        <v>5095</v>
      </c>
      <c r="C80" s="101"/>
      <c r="D80" s="101"/>
      <c r="E80" s="101">
        <f ca="1">IFERROR(__xludf.DUMMYFUNCTION("GOOGLEFINANCE(""bom:""&amp;A80,""price"")"),833.15)</f>
        <v>833.15</v>
      </c>
      <c r="F80" s="112">
        <f ca="1">IFERROR(__xludf.DUMMYFUNCTION("GOOGLEFINANCE(""BOM:""&amp;A80,""MARKETCAP"")/10000000"),119.9561073)</f>
        <v>119.9561073</v>
      </c>
      <c r="G80" s="95">
        <f t="shared" ca="1" si="0"/>
        <v>7.5303343772965519E-5</v>
      </c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5" ht="14.4">
      <c r="A81" s="99">
        <v>530045</v>
      </c>
      <c r="B81" s="98" t="s">
        <v>5096</v>
      </c>
      <c r="C81" s="101"/>
      <c r="D81" s="101"/>
      <c r="E81" s="101">
        <f ca="1">IFERROR(__xludf.DUMMYFUNCTION("GOOGLEFINANCE(""bom:""&amp;A81,""price"")"),54.54)</f>
        <v>54.54</v>
      </c>
      <c r="F81" s="112">
        <f ca="1">IFERROR(__xludf.DUMMYFUNCTION("GOOGLEFINANCE(""BOM:""&amp;A81,""MARKETCAP"")/10000000"),136.438357)</f>
        <v>136.438357</v>
      </c>
      <c r="G81" s="95">
        <f t="shared" ca="1" si="0"/>
        <v>8.5650199329114082E-5</v>
      </c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5" ht="14.4">
      <c r="A82" s="99">
        <v>531127</v>
      </c>
      <c r="B82" s="98" t="s">
        <v>5097</v>
      </c>
      <c r="C82" s="101"/>
      <c r="D82" s="101"/>
      <c r="E82" s="101">
        <f ca="1">IFERROR(__xludf.DUMMYFUNCTION("GOOGLEFINANCE(""bom:""&amp;A82,""price"")"),9.87)</f>
        <v>9.8699999999999992</v>
      </c>
      <c r="F82" s="112">
        <f ca="1">IFERROR(__xludf.DUMMYFUNCTION("GOOGLEFINANCE(""BOM:""&amp;A82,""MARKETCAP"")/10000000"),114.6963)</f>
        <v>114.69629999999999</v>
      </c>
      <c r="G82" s="95">
        <f t="shared" ca="1" si="0"/>
        <v>7.2001460390730643E-5</v>
      </c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</row>
    <row r="83" spans="1:25" ht="14.4">
      <c r="A83" s="99">
        <v>539167</v>
      </c>
      <c r="B83" s="98" t="s">
        <v>5098</v>
      </c>
      <c r="C83" s="101"/>
      <c r="D83" s="101"/>
      <c r="E83" s="101">
        <f ca="1">IFERROR(__xludf.DUMMYFUNCTION("GOOGLEFINANCE(""bom:""&amp;A83,""price"")"),50.16)</f>
        <v>50.16</v>
      </c>
      <c r="F83" s="112">
        <f ca="1">IFERROR(__xludf.DUMMYFUNCTION("GOOGLEFINANCE(""BOM:""&amp;A83,""MARKETCAP"")/10000000"),130.2203756)</f>
        <v>130.22037560000001</v>
      </c>
      <c r="G83" s="95">
        <f t="shared" ca="1" si="0"/>
        <v>8.1746814987314058E-5</v>
      </c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5" ht="14.4">
      <c r="A84" s="99">
        <v>537800</v>
      </c>
      <c r="B84" s="98" t="s">
        <v>5099</v>
      </c>
      <c r="C84" s="101"/>
      <c r="D84" s="101"/>
      <c r="E84" s="101">
        <f ca="1">IFERROR(__xludf.DUMMYFUNCTION("GOOGLEFINANCE(""bom:""&amp;A84,""price"")"),0.8)</f>
        <v>0.8</v>
      </c>
      <c r="F84" s="112">
        <f ca="1">IFERROR(__xludf.DUMMYFUNCTION("GOOGLEFINANCE(""BOM:""&amp;A84,""MARKETCAP"")/10000000"),114.0103216)</f>
        <v>114.0103216</v>
      </c>
      <c r="G84" s="95">
        <f t="shared" ca="1" si="0"/>
        <v>7.157083231819041E-5</v>
      </c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</row>
    <row r="85" spans="1:25" ht="14.4">
      <c r="A85" s="99">
        <v>539773</v>
      </c>
      <c r="B85" s="98" t="s">
        <v>5100</v>
      </c>
      <c r="C85" s="101"/>
      <c r="D85" s="101"/>
      <c r="E85" s="101">
        <f ca="1">IFERROR(__xludf.DUMMYFUNCTION("GOOGLEFINANCE(""bom:""&amp;A85,""price"")"),1.79)</f>
        <v>1.79</v>
      </c>
      <c r="F85" s="112">
        <f ca="1">IFERROR(__xludf.DUMMYFUNCTION("GOOGLEFINANCE(""BOM:""&amp;A85,""MARKETCAP"")/10000000"),108.9251313)</f>
        <v>108.9251313</v>
      </c>
      <c r="G85" s="95">
        <f t="shared" ca="1" si="0"/>
        <v>6.8378566064049897E-5</v>
      </c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</row>
    <row r="86" spans="1:25" ht="14.4">
      <c r="A86" s="99">
        <v>531237</v>
      </c>
      <c r="B86" s="98" t="s">
        <v>5101</v>
      </c>
      <c r="C86" s="101"/>
      <c r="D86" s="101"/>
      <c r="E86" s="101">
        <f ca="1">IFERROR(__xludf.DUMMYFUNCTION("GOOGLEFINANCE(""bom:""&amp;A86,""price"")"),249.3)</f>
        <v>249.3</v>
      </c>
      <c r="F86" s="112">
        <f ca="1">IFERROR(__xludf.DUMMYFUNCTION("GOOGLEFINANCE(""BOM:""&amp;A86,""MARKETCAP"")/10000000"),101.2581573)</f>
        <v>101.25815729999999</v>
      </c>
      <c r="G86" s="95">
        <f t="shared" ca="1" si="0"/>
        <v>6.3565565777399301E-5</v>
      </c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</row>
    <row r="87" spans="1:25" ht="14.4">
      <c r="A87" s="99">
        <v>526961</v>
      </c>
      <c r="B87" s="98" t="s">
        <v>5102</v>
      </c>
      <c r="C87" s="101"/>
      <c r="D87" s="101"/>
      <c r="E87" s="101">
        <f ca="1">IFERROR(__xludf.DUMMYFUNCTION("GOOGLEFINANCE(""bom:""&amp;A87,""price"")"),3.18)</f>
        <v>3.18</v>
      </c>
      <c r="F87" s="112">
        <f ca="1">IFERROR(__xludf.DUMMYFUNCTION("GOOGLEFINANCE(""BOM:""&amp;A87,""MARKETCAP"")/10000000"),113.1345125)</f>
        <v>113.1345125</v>
      </c>
      <c r="G87" s="95">
        <f t="shared" ca="1" si="0"/>
        <v>7.1021036603564116E-5</v>
      </c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</row>
    <row r="88" spans="1:25" ht="14.4">
      <c r="A88" s="99">
        <v>539875</v>
      </c>
      <c r="B88" s="98" t="s">
        <v>5103</v>
      </c>
      <c r="C88" s="101"/>
      <c r="D88" s="101"/>
      <c r="E88" s="101">
        <f ca="1">IFERROR(__xludf.DUMMYFUNCTION("GOOGLEFINANCE(""bom:""&amp;A88,""price"")"),77.62)</f>
        <v>77.62</v>
      </c>
      <c r="F88" s="112">
        <f ca="1">IFERROR(__xludf.DUMMYFUNCTION("GOOGLEFINANCE(""BOM:""&amp;A88,""MARKETCAP"")/10000000"),100.4905813)</f>
        <v>100.4905813</v>
      </c>
      <c r="G88" s="95">
        <f t="shared" ca="1" si="0"/>
        <v>6.3083714201011258E-5</v>
      </c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</row>
    <row r="89" spans="1:25" ht="14.4">
      <c r="A89" s="99">
        <v>539218</v>
      </c>
      <c r="B89" s="98" t="s">
        <v>5104</v>
      </c>
      <c r="C89" s="101"/>
      <c r="D89" s="101"/>
      <c r="E89" s="101">
        <f ca="1">IFERROR(__xludf.DUMMYFUNCTION("GOOGLEFINANCE(""bom:""&amp;A89,""price"")"),138.4)</f>
        <v>138.4</v>
      </c>
      <c r="F89" s="112">
        <f ca="1">IFERROR(__xludf.DUMMYFUNCTION("GOOGLEFINANCE(""BOM:""&amp;A89,""MARKETCAP"")/10000000"),95.5915748)</f>
        <v>95.591574800000004</v>
      </c>
      <c r="G89" s="95">
        <f t="shared" ca="1" si="0"/>
        <v>6.0008326220198612E-5</v>
      </c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</row>
    <row r="90" spans="1:25" ht="14.4">
      <c r="A90" s="99">
        <v>511700</v>
      </c>
      <c r="B90" s="98" t="s">
        <v>5105</v>
      </c>
      <c r="C90" s="101"/>
      <c r="D90" s="101"/>
      <c r="E90" s="101">
        <f ca="1">IFERROR(__xludf.DUMMYFUNCTION("GOOGLEFINANCE(""bom:""&amp;A90,""price"")"),0.39)</f>
        <v>0.39</v>
      </c>
      <c r="F90" s="112">
        <f ca="1">IFERROR(__xludf.DUMMYFUNCTION("GOOGLEFINANCE(""BOM:""&amp;A90,""MARKETCAP"")/10000000"),93.2739248)</f>
        <v>93.273924800000003</v>
      </c>
      <c r="G90" s="95">
        <f t="shared" ca="1" si="0"/>
        <v>5.8553404093900058E-5</v>
      </c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</row>
    <row r="91" spans="1:25" ht="14.4">
      <c r="A91" s="99">
        <v>507962</v>
      </c>
      <c r="B91" s="98" t="s">
        <v>5106</v>
      </c>
      <c r="C91" s="101"/>
      <c r="D91" s="101"/>
      <c r="E91" s="101">
        <f ca="1">IFERROR(__xludf.DUMMYFUNCTION("GOOGLEFINANCE(""bom:""&amp;A91,""price"")"),5.25)</f>
        <v>5.25</v>
      </c>
      <c r="F91" s="112">
        <f ca="1">IFERROR(__xludf.DUMMYFUNCTION("GOOGLEFINANCE(""BOM:""&amp;A91,""MARKETCAP"")/10000000"),105)</f>
        <v>105</v>
      </c>
      <c r="G91" s="95">
        <f t="shared" ca="1" si="0"/>
        <v>6.591453552579044E-5</v>
      </c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</row>
    <row r="92" spans="1:25" ht="14.4">
      <c r="A92" s="99">
        <v>539574</v>
      </c>
      <c r="B92" s="98" t="s">
        <v>5107</v>
      </c>
      <c r="C92" s="101"/>
      <c r="D92" s="101"/>
      <c r="E92" s="101">
        <f ca="1">IFERROR(__xludf.DUMMYFUNCTION("GOOGLEFINANCE(""bom:""&amp;A92,""price"")"),0.18)</f>
        <v>0.18</v>
      </c>
      <c r="F92" s="112">
        <f ca="1">IFERROR(__xludf.DUMMYFUNCTION("GOOGLEFINANCE(""BOM:""&amp;A92,""MARKETCAP"")/10000000"),94.1250997)</f>
        <v>94.125099700000007</v>
      </c>
      <c r="G92" s="95">
        <f t="shared" ca="1" si="0"/>
        <v>5.9087735505183022E-5</v>
      </c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</row>
    <row r="93" spans="1:25" ht="14.4">
      <c r="A93" s="99">
        <v>531254</v>
      </c>
      <c r="B93" s="98" t="s">
        <v>5108</v>
      </c>
      <c r="C93" s="101"/>
      <c r="D93" s="101"/>
      <c r="E93" s="101">
        <f ca="1">IFERROR(__xludf.DUMMYFUNCTION("GOOGLEFINANCE(""bom:""&amp;A93,""price"")"),12.05)</f>
        <v>12.05</v>
      </c>
      <c r="F93" s="112">
        <f ca="1">IFERROR(__xludf.DUMMYFUNCTION("GOOGLEFINANCE(""BOM:""&amp;A93,""MARKETCAP"")/10000000"),90.0412043)</f>
        <v>90.041204300000004</v>
      </c>
      <c r="G93" s="95">
        <f t="shared" ca="1" si="0"/>
        <v>5.6524039615402907E-5</v>
      </c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</row>
    <row r="94" spans="1:25" ht="14.4">
      <c r="A94" s="99">
        <v>511626</v>
      </c>
      <c r="B94" s="98" t="s">
        <v>5109</v>
      </c>
      <c r="C94" s="101"/>
      <c r="D94" s="101"/>
      <c r="E94" s="101">
        <f ca="1">IFERROR(__xludf.DUMMYFUNCTION("GOOGLEFINANCE(""bom:""&amp;A94,""price"")"),75.06)</f>
        <v>75.06</v>
      </c>
      <c r="F94" s="112">
        <f ca="1">IFERROR(__xludf.DUMMYFUNCTION("GOOGLEFINANCE(""BOM:""&amp;A94,""MARKETCAP"")/10000000"),83.0215364)</f>
        <v>83.021536400000002</v>
      </c>
      <c r="G94" s="95">
        <f t="shared" ca="1" si="0"/>
        <v>5.2117390575652423E-5</v>
      </c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</row>
    <row r="95" spans="1:25" ht="14.4">
      <c r="A95" s="99">
        <v>530341</v>
      </c>
      <c r="B95" s="98" t="s">
        <v>5110</v>
      </c>
      <c r="C95" s="101"/>
      <c r="D95" s="101"/>
      <c r="E95" s="101">
        <f ca="1">IFERROR(__xludf.DUMMYFUNCTION("GOOGLEFINANCE(""bom:""&amp;A95,""price"")"),108)</f>
        <v>108</v>
      </c>
      <c r="F95" s="112">
        <f ca="1">IFERROR(__xludf.DUMMYFUNCTION("GOOGLEFINANCE(""BOM:""&amp;A95,""MARKETCAP"")/10000000"),75.28572)</f>
        <v>75.285719999999998</v>
      </c>
      <c r="G95" s="95">
        <f t="shared" ca="1" si="0"/>
        <v>4.7261173957378206E-5</v>
      </c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</row>
    <row r="96" spans="1:25" ht="14.4">
      <c r="A96" s="99">
        <v>538732</v>
      </c>
      <c r="B96" s="98" t="s">
        <v>5111</v>
      </c>
      <c r="C96" s="101"/>
      <c r="D96" s="101"/>
      <c r="E96" s="101">
        <f ca="1">IFERROR(__xludf.DUMMYFUNCTION("GOOGLEFINANCE(""bom:""&amp;A96,""price"")"),34.49)</f>
        <v>34.49</v>
      </c>
      <c r="F96" s="112">
        <f ca="1">IFERROR(__xludf.DUMMYFUNCTION("GOOGLEFINANCE(""BOM:""&amp;A96,""MARKETCAP"")/10000000"),79.0075574)</f>
        <v>79.007557399999996</v>
      </c>
      <c r="G96" s="95">
        <f t="shared" ca="1" si="0"/>
        <v>4.9597585229030736E-5</v>
      </c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</row>
    <row r="97" spans="1:25" ht="14.4">
      <c r="A97" s="99">
        <v>532057</v>
      </c>
      <c r="B97" s="98" t="s">
        <v>5112</v>
      </c>
      <c r="C97" s="101"/>
      <c r="D97" s="101"/>
      <c r="E97" s="101">
        <f ca="1">IFERROR(__xludf.DUMMYFUNCTION("GOOGLEFINANCE(""bom:""&amp;A97,""price"")"),123.4)</f>
        <v>123.4</v>
      </c>
      <c r="F97" s="112">
        <f ca="1">IFERROR(__xludf.DUMMYFUNCTION("GOOGLEFINANCE(""BOM:""&amp;A97,""MARKETCAP"")/10000000"),85.449565)</f>
        <v>85.449565000000007</v>
      </c>
      <c r="G97" s="95">
        <f t="shared" ca="1" si="0"/>
        <v>5.3641603693865145E-5</v>
      </c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</row>
    <row r="98" spans="1:25" ht="14.4">
      <c r="A98" s="99">
        <v>543860</v>
      </c>
      <c r="B98" s="98" t="s">
        <v>5113</v>
      </c>
      <c r="C98" s="101"/>
      <c r="D98" s="101"/>
      <c r="E98" s="101">
        <f ca="1">IFERROR(__xludf.DUMMYFUNCTION("GOOGLEFINANCE(""bom:""&amp;A98,""price"")"),82.53)</f>
        <v>82.53</v>
      </c>
      <c r="F98" s="112">
        <f ca="1">IFERROR(__xludf.DUMMYFUNCTION("GOOGLEFINANCE(""BOM:""&amp;A98,""MARKETCAP"")/10000000"),87.8839673)</f>
        <v>87.883967299999995</v>
      </c>
      <c r="G98" s="95">
        <f t="shared" ca="1" si="0"/>
        <v>5.5169817949935763E-5</v>
      </c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</row>
    <row r="99" spans="1:25" ht="14.4">
      <c r="A99" s="99">
        <v>540360</v>
      </c>
      <c r="B99" s="98" t="s">
        <v>5114</v>
      </c>
      <c r="C99" s="101"/>
      <c r="D99" s="101"/>
      <c r="E99" s="101">
        <f ca="1">IFERROR(__xludf.DUMMYFUNCTION("GOOGLEFINANCE(""bom:""&amp;A99,""price"")"),1.44)</f>
        <v>1.44</v>
      </c>
      <c r="F99" s="112">
        <f ca="1">IFERROR(__xludf.DUMMYFUNCTION("GOOGLEFINANCE(""BOM:""&amp;A99,""MARKETCAP"")/10000000"),81.1534352)</f>
        <v>81.153435200000004</v>
      </c>
      <c r="G99" s="95">
        <f t="shared" ca="1" si="0"/>
        <v>5.0944676071717454E-5</v>
      </c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</row>
    <row r="100" spans="1:25" ht="14.4">
      <c r="A100" s="99">
        <v>538540</v>
      </c>
      <c r="B100" s="98" t="s">
        <v>5115</v>
      </c>
      <c r="C100" s="101"/>
      <c r="D100" s="101"/>
      <c r="E100" s="101">
        <f ca="1">IFERROR(__xludf.DUMMYFUNCTION("GOOGLEFINANCE(""bom:""&amp;A100,""price"")"),9.87)</f>
        <v>9.8699999999999992</v>
      </c>
      <c r="F100" s="112">
        <f ca="1">IFERROR(__xludf.DUMMYFUNCTION("GOOGLEFINANCE(""BOM:""&amp;A100,""MARKETCAP"")/10000000"),80.106893)</f>
        <v>80.106892999999999</v>
      </c>
      <c r="G100" s="95">
        <f t="shared" ca="1" si="0"/>
        <v>5.0287701376278035E-5</v>
      </c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</row>
    <row r="101" spans="1:25" ht="14.4">
      <c r="A101" s="99">
        <v>539391</v>
      </c>
      <c r="B101" s="98" t="s">
        <v>5116</v>
      </c>
      <c r="C101" s="101"/>
      <c r="D101" s="101"/>
      <c r="E101" s="101">
        <f ca="1">IFERROR(__xludf.DUMMYFUNCTION("GOOGLEFINANCE(""bom:""&amp;A101,""price"")"),30.57)</f>
        <v>30.57</v>
      </c>
      <c r="F101" s="112">
        <f ca="1">IFERROR(__xludf.DUMMYFUNCTION("GOOGLEFINANCE(""BOM:""&amp;A101,""MARKETCAP"")/10000000"),78.6994072)</f>
        <v>78.699407199999996</v>
      </c>
      <c r="G101" s="95">
        <f t="shared" ca="1" si="0"/>
        <v>4.9404141635648071E-5</v>
      </c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</row>
    <row r="102" spans="1:25" ht="14.4">
      <c r="A102" s="99">
        <v>539552</v>
      </c>
      <c r="B102" s="98" t="s">
        <v>5117</v>
      </c>
      <c r="C102" s="101"/>
      <c r="D102" s="101"/>
      <c r="E102" s="101">
        <f ca="1">IFERROR(__xludf.DUMMYFUNCTION("GOOGLEFINANCE(""bom:""&amp;A102,""price"")"),84.9)</f>
        <v>84.9</v>
      </c>
      <c r="F102" s="112">
        <f ca="1">IFERROR(__xludf.DUMMYFUNCTION("GOOGLEFINANCE(""BOM:""&amp;A102,""MARKETCAP"")/10000000"),75.4911116)</f>
        <v>75.491111599999996</v>
      </c>
      <c r="G102" s="95">
        <f t="shared" ca="1" si="0"/>
        <v>4.7390110070853431E-5</v>
      </c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</row>
    <row r="103" spans="1:25" ht="14.4">
      <c r="A103" s="99">
        <v>531591</v>
      </c>
      <c r="B103" s="98" t="s">
        <v>5118</v>
      </c>
      <c r="C103" s="101"/>
      <c r="D103" s="101"/>
      <c r="E103" s="101">
        <f ca="1">IFERROR(__xludf.DUMMYFUNCTION("GOOGLEFINANCE(""bom:""&amp;A103,""price"")"),18.55)</f>
        <v>18.55</v>
      </c>
      <c r="F103" s="112">
        <f ca="1">IFERROR(__xludf.DUMMYFUNCTION("GOOGLEFINANCE(""BOM:""&amp;A103,""MARKETCAP"")/10000000"),63.1352192)</f>
        <v>63.135219200000002</v>
      </c>
      <c r="G103" s="95">
        <f t="shared" ca="1" si="0"/>
        <v>3.9633606179875872E-5</v>
      </c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</row>
    <row r="104" spans="1:25" ht="14.4">
      <c r="A104" s="99">
        <v>511391</v>
      </c>
      <c r="B104" s="98" t="s">
        <v>5119</v>
      </c>
      <c r="C104" s="101"/>
      <c r="D104" s="101"/>
      <c r="E104" s="101">
        <f ca="1">IFERROR(__xludf.DUMMYFUNCTION("GOOGLEFINANCE(""bom:""&amp;A104,""price"")"),51)</f>
        <v>51</v>
      </c>
      <c r="F104" s="112">
        <f ca="1">IFERROR(__xludf.DUMMYFUNCTION("GOOGLEFINANCE(""BOM:""&amp;A104,""MARKETCAP"")/10000000"),69.177879)</f>
        <v>69.177879000000004</v>
      </c>
      <c r="G104" s="95">
        <f t="shared" ca="1" si="0"/>
        <v>4.3426931075660311E-5</v>
      </c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</row>
    <row r="105" spans="1:25" ht="14.4">
      <c r="A105" s="99">
        <v>530709</v>
      </c>
      <c r="B105" s="98" t="s">
        <v>5120</v>
      </c>
      <c r="C105" s="101"/>
      <c r="D105" s="101"/>
      <c r="E105" s="101">
        <f ca="1">IFERROR(__xludf.DUMMYFUNCTION("GOOGLEFINANCE(""bom:""&amp;A105,""price"")"),89.95)</f>
        <v>89.95</v>
      </c>
      <c r="F105" s="112">
        <f ca="1">IFERROR(__xludf.DUMMYFUNCTION("GOOGLEFINANCE(""BOM:""&amp;A105,""MARKETCAP"")/10000000"),69.6919083)</f>
        <v>69.691908299999994</v>
      </c>
      <c r="G105" s="95">
        <f t="shared" ca="1" si="0"/>
        <v>4.3749616814290281E-5</v>
      </c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</row>
    <row r="106" spans="1:25" ht="14.4">
      <c r="A106" s="99">
        <v>532812</v>
      </c>
      <c r="B106" s="98" t="s">
        <v>5121</v>
      </c>
      <c r="C106" s="101"/>
      <c r="D106" s="101"/>
      <c r="E106" s="101">
        <f ca="1">IFERROR(__xludf.DUMMYFUNCTION("GOOGLEFINANCE(""bom:""&amp;A106,""price"")"),12.15)</f>
        <v>12.15</v>
      </c>
      <c r="F106" s="112">
        <f ca="1">IFERROR(__xludf.DUMMYFUNCTION("GOOGLEFINANCE(""BOM:""&amp;A106,""MARKETCAP"")/10000000"),65.9740809)</f>
        <v>65.974080900000004</v>
      </c>
      <c r="G106" s="95">
        <f t="shared" ca="1" si="0"/>
        <v>4.1415722850137361E-5</v>
      </c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</row>
    <row r="107" spans="1:25" ht="14.4">
      <c r="A107" s="99">
        <v>531169</v>
      </c>
      <c r="B107" s="98" t="s">
        <v>5122</v>
      </c>
      <c r="C107" s="101"/>
      <c r="D107" s="101"/>
      <c r="E107" s="101">
        <f ca="1">IFERROR(__xludf.DUMMYFUNCTION("GOOGLEFINANCE(""bom:""&amp;A107,""price"")"),93)</f>
        <v>93</v>
      </c>
      <c r="F107" s="112">
        <f ca="1">IFERROR(__xludf.DUMMYFUNCTION("GOOGLEFINANCE(""BOM:""&amp;A107,""MARKETCAP"")/10000000"),63.32184)</f>
        <v>63.321840000000002</v>
      </c>
      <c r="G107" s="95">
        <f t="shared" ca="1" si="0"/>
        <v>3.9750758783223032E-5</v>
      </c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</row>
    <row r="108" spans="1:25" ht="14.4">
      <c r="A108" s="99">
        <v>535267</v>
      </c>
      <c r="B108" s="98" t="s">
        <v>5123</v>
      </c>
      <c r="C108" s="101"/>
      <c r="D108" s="101"/>
      <c r="E108" s="101">
        <f ca="1">IFERROR(__xludf.DUMMYFUNCTION("GOOGLEFINANCE(""bom:""&amp;A108,""price"")"),7.22)</f>
        <v>7.22</v>
      </c>
      <c r="F108" s="112">
        <f ca="1">IFERROR(__xludf.DUMMYFUNCTION("GOOGLEFINANCE(""BOM:""&amp;A108,""MARKETCAP"")/10000000"),64.9846838)</f>
        <v>64.984683799999999</v>
      </c>
      <c r="G108" s="95">
        <f t="shared" ca="1" si="0"/>
        <v>4.079462141873675E-5</v>
      </c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</row>
    <row r="109" spans="1:25" ht="14.4">
      <c r="A109" s="99">
        <v>530789</v>
      </c>
      <c r="B109" s="98" t="s">
        <v>5124</v>
      </c>
      <c r="C109" s="101"/>
      <c r="D109" s="101"/>
      <c r="E109" s="101">
        <f ca="1">IFERROR(__xludf.DUMMYFUNCTION("GOOGLEFINANCE(""bom:""&amp;A109,""price"")"),171)</f>
        <v>171</v>
      </c>
      <c r="F109" s="112">
        <f ca="1">IFERROR(__xludf.DUMMYFUNCTION("GOOGLEFINANCE(""BOM:""&amp;A109,""MARKETCAP"")/10000000"),58.995)</f>
        <v>58.994999999999997</v>
      </c>
      <c r="G109" s="95">
        <f t="shared" ca="1" si="0"/>
        <v>3.7034552603276253E-5</v>
      </c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</row>
    <row r="110" spans="1:25" ht="14.4">
      <c r="A110" s="99">
        <v>531529</v>
      </c>
      <c r="B110" s="98" t="s">
        <v>5125</v>
      </c>
      <c r="C110" s="101"/>
      <c r="D110" s="101"/>
      <c r="E110" s="101">
        <f ca="1">IFERROR(__xludf.DUMMYFUNCTION("GOOGLEFINANCE(""bom:""&amp;A110,""price"")"),1.47)</f>
        <v>1.47</v>
      </c>
      <c r="F110" s="112">
        <f ca="1">IFERROR(__xludf.DUMMYFUNCTION("GOOGLEFINANCE(""BOM:""&amp;A110,""MARKETCAP"")/10000000"),66.2645142)</f>
        <v>66.264514199999994</v>
      </c>
      <c r="G110" s="95">
        <f t="shared" ca="1" si="0"/>
        <v>4.159804452700138E-5</v>
      </c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</row>
    <row r="111" spans="1:25" ht="14.4">
      <c r="A111" s="99">
        <v>514358</v>
      </c>
      <c r="B111" s="98" t="s">
        <v>5126</v>
      </c>
      <c r="C111" s="101"/>
      <c r="D111" s="101"/>
      <c r="E111" s="101">
        <f ca="1">IFERROR(__xludf.DUMMYFUNCTION("GOOGLEFINANCE(""bom:""&amp;A111,""price"")"),91.94)</f>
        <v>91.94</v>
      </c>
      <c r="F111" s="112">
        <f ca="1">IFERROR(__xludf.DUMMYFUNCTION("GOOGLEFINANCE(""BOM:""&amp;A111,""MARKETCAP"")/10000000"),57.0028015)</f>
        <v>57.002801499999997</v>
      </c>
      <c r="G111" s="95">
        <f t="shared" ca="1" si="0"/>
        <v>3.5783935090869814E-5</v>
      </c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ht="14.4">
      <c r="A112" s="99">
        <v>530139</v>
      </c>
      <c r="B112" s="98" t="s">
        <v>5127</v>
      </c>
      <c r="C112" s="101"/>
      <c r="D112" s="101"/>
      <c r="E112" s="101">
        <f ca="1">IFERROR(__xludf.DUMMYFUNCTION("GOOGLEFINANCE(""bom:""&amp;A112,""price"")"),27.2)</f>
        <v>27.2</v>
      </c>
      <c r="F112" s="112">
        <f ca="1">IFERROR(__xludf.DUMMYFUNCTION("GOOGLEFINANCE(""BOM:""&amp;A112,""MARKETCAP"")/10000000"),54.9027292)</f>
        <v>54.902729200000003</v>
      </c>
      <c r="G112" s="95">
        <f t="shared" ca="1" si="0"/>
        <v>3.4465598993488121E-5</v>
      </c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</row>
    <row r="113" spans="1:25" ht="14.4">
      <c r="A113" s="99">
        <v>543208</v>
      </c>
      <c r="B113" s="98" t="s">
        <v>5128</v>
      </c>
      <c r="C113" s="101"/>
      <c r="D113" s="101"/>
      <c r="E113" s="101">
        <f ca="1">IFERROR(__xludf.DUMMYFUNCTION("GOOGLEFINANCE(""bom:""&amp;A113,""price"")"),2.35)</f>
        <v>2.35</v>
      </c>
      <c r="F113" s="112">
        <f ca="1">IFERROR(__xludf.DUMMYFUNCTION("GOOGLEFINANCE(""BOM:""&amp;A113,""MARKETCAP"")/10000000"),60.6567875)</f>
        <v>60.6567875</v>
      </c>
      <c r="G113" s="95">
        <f t="shared" ca="1" si="0"/>
        <v>3.8077752138562588E-5</v>
      </c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</row>
    <row r="114" spans="1:25" ht="14.4">
      <c r="A114" s="99">
        <v>540268</v>
      </c>
      <c r="B114" s="98" t="s">
        <v>5129</v>
      </c>
      <c r="C114" s="101"/>
      <c r="D114" s="101"/>
      <c r="E114" s="101">
        <f ca="1">IFERROR(__xludf.DUMMYFUNCTION("GOOGLEFINANCE(""bom:""&amp;A114,""price"")"),5.4)</f>
        <v>5.4</v>
      </c>
      <c r="F114" s="112">
        <f ca="1">IFERROR(__xludf.DUMMYFUNCTION("GOOGLEFINANCE(""BOM:""&amp;A114,""MARKETCAP"")/10000000"),63.5910618)</f>
        <v>63.591061799999999</v>
      </c>
      <c r="G114" s="95">
        <f t="shared" ca="1" si="0"/>
        <v>3.9919764782274621E-5</v>
      </c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</row>
    <row r="115" spans="1:25" ht="14.4">
      <c r="A115" s="99">
        <v>512048</v>
      </c>
      <c r="B115" s="98" t="s">
        <v>5130</v>
      </c>
      <c r="C115" s="101"/>
      <c r="D115" s="101"/>
      <c r="E115" s="101">
        <f ca="1">IFERROR(__xludf.DUMMYFUNCTION("GOOGLEFINANCE(""bom:""&amp;A115,""price"")"),2.87)</f>
        <v>2.87</v>
      </c>
      <c r="F115" s="112">
        <f ca="1">IFERROR(__xludf.DUMMYFUNCTION("GOOGLEFINANCE(""BOM:""&amp;A115,""MARKETCAP"")/10000000"),65.1891774)</f>
        <v>65.189177400000005</v>
      </c>
      <c r="G115" s="95">
        <f t="shared" ca="1" si="0"/>
        <v>4.0922993805993864E-5</v>
      </c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</row>
    <row r="116" spans="1:25" ht="14.4">
      <c r="A116" s="99">
        <v>511764</v>
      </c>
      <c r="B116" s="98" t="s">
        <v>5131</v>
      </c>
      <c r="C116" s="101"/>
      <c r="D116" s="101"/>
      <c r="E116" s="101">
        <f ca="1">IFERROR(__xludf.DUMMYFUNCTION("GOOGLEFINANCE(""bom:""&amp;A116,""price"")"),34.54)</f>
        <v>34.54</v>
      </c>
      <c r="F116" s="112">
        <f ca="1">IFERROR(__xludf.DUMMYFUNCTION("GOOGLEFINANCE(""BOM:""&amp;A116,""MARKETCAP"")/10000000"),53.6659392)</f>
        <v>53.665939199999997</v>
      </c>
      <c r="G116" s="95">
        <f t="shared" ca="1" si="0"/>
        <v>3.3689194818317236E-5</v>
      </c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</row>
    <row r="117" spans="1:25" ht="14.4">
      <c r="A117" s="99">
        <v>531417</v>
      </c>
      <c r="B117" s="98" t="s">
        <v>5132</v>
      </c>
      <c r="C117" s="101"/>
      <c r="D117" s="101"/>
      <c r="E117" s="101">
        <f ca="1">IFERROR(__xludf.DUMMYFUNCTION("GOOGLEFINANCE(""bom:""&amp;A117,""price"")"),2.49)</f>
        <v>2.4900000000000002</v>
      </c>
      <c r="F117" s="112">
        <f ca="1">IFERROR(__xludf.DUMMYFUNCTION("GOOGLEFINANCE(""BOM:""&amp;A117,""MARKETCAP"")/10000000"),49.8000001)</f>
        <v>49.800000099999998</v>
      </c>
      <c r="G117" s="95">
        <f t="shared" ca="1" si="0"/>
        <v>3.1262322626436356E-5</v>
      </c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</row>
    <row r="118" spans="1:25" ht="14.4">
      <c r="A118" s="99">
        <v>531996</v>
      </c>
      <c r="B118" s="98" t="s">
        <v>5133</v>
      </c>
      <c r="C118" s="101"/>
      <c r="D118" s="101"/>
      <c r="E118" s="101">
        <f ca="1">IFERROR(__xludf.DUMMYFUNCTION("GOOGLEFINANCE(""bom:""&amp;A118,""price"")"),7.96)</f>
        <v>7.96</v>
      </c>
      <c r="F118" s="112">
        <f ca="1">IFERROR(__xludf.DUMMYFUNCTION("GOOGLEFINANCE(""BOM:""&amp;A118,""MARKETCAP"")/10000000"),59.7385824)</f>
        <v>59.738582399999999</v>
      </c>
      <c r="G118" s="95">
        <f t="shared" ca="1" si="0"/>
        <v>3.750134201776342E-5</v>
      </c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</row>
    <row r="119" spans="1:25" ht="14.4">
      <c r="A119" s="99">
        <v>530577</v>
      </c>
      <c r="B119" s="98" t="s">
        <v>5134</v>
      </c>
      <c r="C119" s="101"/>
      <c r="D119" s="101"/>
      <c r="E119" s="101">
        <f ca="1">IFERROR(__xludf.DUMMYFUNCTION("GOOGLEFINANCE(""bom:""&amp;A119,""price"")"),48.4)</f>
        <v>48.4</v>
      </c>
      <c r="F119" s="112">
        <f ca="1">IFERROR(__xludf.DUMMYFUNCTION("GOOGLEFINANCE(""BOM:""&amp;A119,""MARKETCAP"")/10000000"),51.3159564)</f>
        <v>51.315956399999997</v>
      </c>
      <c r="G119" s="95">
        <f t="shared" ca="1" si="0"/>
        <v>3.2213975534930598E-5</v>
      </c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</row>
    <row r="120" spans="1:25" ht="14.4">
      <c r="A120" s="99">
        <v>538897</v>
      </c>
      <c r="B120" s="98" t="s">
        <v>5135</v>
      </c>
      <c r="C120" s="101"/>
      <c r="D120" s="101"/>
      <c r="E120" s="101">
        <f ca="1">IFERROR(__xludf.DUMMYFUNCTION("GOOGLEFINANCE(""bom:""&amp;A120,""price"")"),10.66)</f>
        <v>10.66</v>
      </c>
      <c r="F120" s="112">
        <f ca="1">IFERROR(__xludf.DUMMYFUNCTION("GOOGLEFINANCE(""BOM:""&amp;A120,""MARKETCAP"")/10000000"),46.86882)</f>
        <v>46.868819999999999</v>
      </c>
      <c r="G120" s="95">
        <f t="shared" ca="1" si="0"/>
        <v>2.9422252389922642E-5</v>
      </c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</row>
    <row r="121" spans="1:25" ht="14.4">
      <c r="A121" s="99">
        <v>530557</v>
      </c>
      <c r="B121" s="98" t="s">
        <v>5136</v>
      </c>
      <c r="C121" s="101"/>
      <c r="D121" s="101"/>
      <c r="E121" s="101">
        <f ca="1">IFERROR(__xludf.DUMMYFUNCTION("GOOGLEFINANCE(""bom:""&amp;A121,""price"")"),0.43)</f>
        <v>0.43</v>
      </c>
      <c r="F121" s="112">
        <f ca="1">IFERROR(__xludf.DUMMYFUNCTION("GOOGLEFINANCE(""BOM:""&amp;A121,""MARKETCAP"")/10000000"),46.0240617)</f>
        <v>46.024061699999997</v>
      </c>
      <c r="G121" s="95">
        <f t="shared" ca="1" si="0"/>
        <v>2.8891949047293533E-5</v>
      </c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</row>
    <row r="122" spans="1:25" ht="14.4">
      <c r="A122" s="99">
        <v>538868</v>
      </c>
      <c r="B122" s="98" t="s">
        <v>5137</v>
      </c>
      <c r="C122" s="101"/>
      <c r="D122" s="101"/>
      <c r="E122" s="101">
        <f ca="1">IFERROR(__xludf.DUMMYFUNCTION("GOOGLEFINANCE(""bom:""&amp;A122,""price"")"),15.17)</f>
        <v>15.17</v>
      </c>
      <c r="F122" s="112">
        <f ca="1">IFERROR(__xludf.DUMMYFUNCTION("GOOGLEFINANCE(""BOM:""&amp;A122,""MARKETCAP"")/10000000"),46.1972012)</f>
        <v>46.197201200000002</v>
      </c>
      <c r="G122" s="95">
        <f t="shared" ca="1" si="0"/>
        <v>2.9000638663709419E-5</v>
      </c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</row>
    <row r="123" spans="1:25" ht="14.4">
      <c r="A123" s="99">
        <v>537820</v>
      </c>
      <c r="B123" s="98" t="s">
        <v>5138</v>
      </c>
      <c r="C123" s="101"/>
      <c r="D123" s="101"/>
      <c r="E123" s="101">
        <f ca="1">IFERROR(__xludf.DUMMYFUNCTION("GOOGLEFINANCE(""bom:""&amp;A123,""price"")"),3.22)</f>
        <v>3.22</v>
      </c>
      <c r="F123" s="112">
        <f ca="1">IFERROR(__xludf.DUMMYFUNCTION("GOOGLEFINANCE(""BOM:""&amp;A123,""MARKETCAP"")/10000000"),43.4624993)</f>
        <v>43.462499299999998</v>
      </c>
      <c r="G123" s="95">
        <f t="shared" ca="1" si="0"/>
        <v>2.7283909087138019E-5</v>
      </c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</row>
    <row r="124" spans="1:25" ht="14.4">
      <c r="A124" s="99">
        <v>531841</v>
      </c>
      <c r="B124" s="98" t="s">
        <v>5139</v>
      </c>
      <c r="C124" s="101"/>
      <c r="D124" s="101"/>
      <c r="E124" s="101">
        <f ca="1">IFERROR(__xludf.DUMMYFUNCTION("GOOGLEFINANCE(""bom:""&amp;A124,""price"")"),42.6)</f>
        <v>42.6</v>
      </c>
      <c r="F124" s="112">
        <f ca="1">IFERROR(__xludf.DUMMYFUNCTION("GOOGLEFINANCE(""BOM:""&amp;A124,""MARKETCAP"")/10000000"),39.4403565)</f>
        <v>39.4403565</v>
      </c>
      <c r="G124" s="95">
        <f t="shared" ca="1" si="0"/>
        <v>2.4758978853991334E-5</v>
      </c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</row>
    <row r="125" spans="1:25" ht="14.4">
      <c r="A125" s="99">
        <v>531199</v>
      </c>
      <c r="B125" s="98" t="s">
        <v>5140</v>
      </c>
      <c r="C125" s="101"/>
      <c r="D125" s="101"/>
      <c r="E125" s="101">
        <f ca="1">IFERROR(__xludf.DUMMYFUNCTION("GOOGLEFINANCE(""bom:""&amp;A125,""price"")"),188)</f>
        <v>188</v>
      </c>
      <c r="F125" s="112">
        <f ca="1">IFERROR(__xludf.DUMMYFUNCTION("GOOGLEFINANCE(""BOM:""&amp;A125,""MARKETCAP"")/10000000"),42.4222)</f>
        <v>42.422199999999997</v>
      </c>
      <c r="G125" s="95">
        <f t="shared" ca="1" si="0"/>
        <v>2.6630853418877973E-5</v>
      </c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</row>
    <row r="126" spans="1:25" ht="14.4">
      <c r="A126" s="99">
        <v>511577</v>
      </c>
      <c r="B126" s="98" t="s">
        <v>5141</v>
      </c>
      <c r="C126" s="101"/>
      <c r="D126" s="101"/>
      <c r="E126" s="101">
        <f ca="1">IFERROR(__xludf.DUMMYFUNCTION("GOOGLEFINANCE(""bom:""&amp;A126,""price"")"),15)</f>
        <v>15</v>
      </c>
      <c r="F126" s="112">
        <f ca="1">IFERROR(__xludf.DUMMYFUNCTION("GOOGLEFINANCE(""BOM:""&amp;A126,""MARKETCAP"")/10000000"),48)</f>
        <v>48</v>
      </c>
      <c r="G126" s="95">
        <f t="shared" ca="1" si="0"/>
        <v>3.0132359097504203E-5</v>
      </c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</row>
    <row r="127" spans="1:25" ht="14.4">
      <c r="A127" s="99">
        <v>526237</v>
      </c>
      <c r="B127" s="98" t="s">
        <v>5142</v>
      </c>
      <c r="C127" s="101"/>
      <c r="D127" s="101"/>
      <c r="E127" s="101">
        <f ca="1">IFERROR(__xludf.DUMMYFUNCTION("GOOGLEFINANCE(""bom:""&amp;A127,""price"")"),42.15)</f>
        <v>42.15</v>
      </c>
      <c r="F127" s="112">
        <f ca="1">IFERROR(__xludf.DUMMYFUNCTION("GOOGLEFINANCE(""BOM:""&amp;A127,""MARKETCAP"")/10000000"),41.7230177)</f>
        <v>41.7230177</v>
      </c>
      <c r="G127" s="95">
        <f t="shared" ca="1" si="0"/>
        <v>2.6191936499331747E-5</v>
      </c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</row>
    <row r="128" spans="1:25" ht="14.4">
      <c r="A128" s="99">
        <v>511505</v>
      </c>
      <c r="B128" s="98" t="s">
        <v>5143</v>
      </c>
      <c r="C128" s="101"/>
      <c r="D128" s="101"/>
      <c r="E128" s="101">
        <f ca="1">IFERROR(__xludf.DUMMYFUNCTION("GOOGLEFINANCE(""bom:""&amp;A128,""price"")"),11.99)</f>
        <v>11.99</v>
      </c>
      <c r="F128" s="112">
        <f ca="1">IFERROR(__xludf.DUMMYFUNCTION("GOOGLEFINANCE(""BOM:""&amp;A128,""MARKETCAP"")/10000000"),40.142445)</f>
        <v>40.142445000000002</v>
      </c>
      <c r="G128" s="95">
        <f t="shared" ca="1" si="0"/>
        <v>2.5199720162329419E-5</v>
      </c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</row>
    <row r="129" spans="1:25" ht="14.4">
      <c r="A129" s="99">
        <v>530109</v>
      </c>
      <c r="B129" s="98" t="s">
        <v>5144</v>
      </c>
      <c r="C129" s="101"/>
      <c r="D129" s="101"/>
      <c r="E129" s="101">
        <f ca="1">IFERROR(__xludf.DUMMYFUNCTION("GOOGLEFINANCE(""bom:""&amp;A129,""price"")"),2.05)</f>
        <v>2.0499999999999998</v>
      </c>
      <c r="F129" s="112">
        <f ca="1">IFERROR(__xludf.DUMMYFUNCTION("GOOGLEFINANCE(""BOM:""&amp;A129,""MARKETCAP"")/10000000"),38.9023775)</f>
        <v>38.9023775</v>
      </c>
      <c r="G129" s="95">
        <f t="shared" ca="1" si="0"/>
        <v>2.4421258512013911E-5</v>
      </c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</row>
    <row r="130" spans="1:25" ht="14.4">
      <c r="A130" s="99">
        <v>511000</v>
      </c>
      <c r="B130" s="98" t="s">
        <v>5145</v>
      </c>
      <c r="C130" s="101"/>
      <c r="D130" s="101"/>
      <c r="E130" s="101">
        <f ca="1">IFERROR(__xludf.DUMMYFUNCTION("GOOGLEFINANCE(""bom:""&amp;A130,""price"")"),19)</f>
        <v>19</v>
      </c>
      <c r="F130" s="112">
        <f ca="1">IFERROR(__xludf.DUMMYFUNCTION("GOOGLEFINANCE(""BOM:""&amp;A130,""MARKETCAP"")/10000000"),40.697012)</f>
        <v>40.697012000000001</v>
      </c>
      <c r="G130" s="95">
        <f t="shared" ca="1" si="0"/>
        <v>2.5547853745404953E-5</v>
      </c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</row>
    <row r="131" spans="1:25" ht="14.4">
      <c r="A131" s="99">
        <v>511359</v>
      </c>
      <c r="B131" s="98" t="s">
        <v>5146</v>
      </c>
      <c r="C131" s="101"/>
      <c r="D131" s="101"/>
      <c r="E131" s="101">
        <f ca="1">IFERROR(__xludf.DUMMYFUNCTION("GOOGLEFINANCE(""bom:""&amp;A131,""price"")"),50)</f>
        <v>50</v>
      </c>
      <c r="F131" s="112">
        <f ca="1">IFERROR(__xludf.DUMMYFUNCTION("GOOGLEFINANCE(""BOM:""&amp;A131,""MARKETCAP"")/10000000"),37.5)</f>
        <v>37.5</v>
      </c>
      <c r="G131" s="95">
        <f t="shared" ca="1" si="0"/>
        <v>2.3540905544925159E-5</v>
      </c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</row>
    <row r="132" spans="1:25" ht="14.4">
      <c r="A132" s="99">
        <v>507948</v>
      </c>
      <c r="B132" s="98" t="s">
        <v>5147</v>
      </c>
      <c r="C132" s="101"/>
      <c r="D132" s="101"/>
      <c r="E132" s="101">
        <f ca="1">IFERROR(__xludf.DUMMYFUNCTION("GOOGLEFINANCE(""bom:""&amp;A132,""price"")"),63.48)</f>
        <v>63.48</v>
      </c>
      <c r="F132" s="112">
        <f ca="1">IFERROR(__xludf.DUMMYFUNCTION("GOOGLEFINANCE(""BOM:""&amp;A132,""MARKETCAP"")/10000000"),38.0879997)</f>
        <v>38.087999699999997</v>
      </c>
      <c r="G132" s="95">
        <f t="shared" ca="1" si="0"/>
        <v>2.3910026755542338E-5</v>
      </c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</row>
    <row r="133" spans="1:25" ht="14.4">
      <c r="A133" s="99">
        <v>530855</v>
      </c>
      <c r="B133" s="98" t="s">
        <v>5148</v>
      </c>
      <c r="C133" s="101"/>
      <c r="D133" s="101"/>
      <c r="E133" s="101">
        <f ca="1">IFERROR(__xludf.DUMMYFUNCTION("GOOGLEFINANCE(""bom:""&amp;A133,""price"")"),74.1)</f>
        <v>74.099999999999994</v>
      </c>
      <c r="F133" s="112">
        <f ca="1">IFERROR(__xludf.DUMMYFUNCTION("GOOGLEFINANCE(""BOM:""&amp;A133,""MARKETCAP"")/10000000"),37.1248402)</f>
        <v>37.124840200000001</v>
      </c>
      <c r="G133" s="95">
        <f t="shared" ca="1" si="0"/>
        <v>2.330539617383041E-5</v>
      </c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</row>
    <row r="134" spans="1:25" ht="14.4">
      <c r="A134" s="99">
        <v>507946</v>
      </c>
      <c r="B134" s="98" t="s">
        <v>5149</v>
      </c>
      <c r="C134" s="101"/>
      <c r="D134" s="101"/>
      <c r="E134" s="101">
        <f ca="1">IFERROR(__xludf.DUMMYFUNCTION("GOOGLEFINANCE(""bom:""&amp;A134,""price"")"),15.69)</f>
        <v>15.69</v>
      </c>
      <c r="F134" s="112">
        <f ca="1">IFERROR(__xludf.DUMMYFUNCTION("GOOGLEFINANCE(""BOM:""&amp;A134,""MARKETCAP"")/10000000"),37.6559989)</f>
        <v>37.6559989</v>
      </c>
      <c r="G134" s="95">
        <f t="shared" ca="1" si="0"/>
        <v>2.3638835021458818E-5</v>
      </c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</row>
    <row r="135" spans="1:25" ht="14.4">
      <c r="A135" s="99">
        <v>540181</v>
      </c>
      <c r="B135" s="98" t="s">
        <v>5150</v>
      </c>
      <c r="C135" s="101"/>
      <c r="D135" s="101"/>
      <c r="E135" s="101">
        <f ca="1">IFERROR(__xludf.DUMMYFUNCTION("GOOGLEFINANCE(""bom:""&amp;A135,""price"")"),31.99)</f>
        <v>31.99</v>
      </c>
      <c r="F135" s="112">
        <f ca="1">IFERROR(__xludf.DUMMYFUNCTION("GOOGLEFINANCE(""BOM:""&amp;A135,""MARKETCAP"")/10000000"),36.6781662)</f>
        <v>36.6781662</v>
      </c>
      <c r="G135" s="95">
        <f t="shared" ca="1" si="0"/>
        <v>2.3024993228673774E-5</v>
      </c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</row>
    <row r="136" spans="1:25" ht="14.4">
      <c r="A136" s="99">
        <v>511654</v>
      </c>
      <c r="B136" s="98" t="s">
        <v>5151</v>
      </c>
      <c r="C136" s="101"/>
      <c r="D136" s="101"/>
      <c r="E136" s="101">
        <f ca="1">IFERROR(__xludf.DUMMYFUNCTION("GOOGLEFINANCE(""bom:""&amp;A136,""price"")"),59)</f>
        <v>59</v>
      </c>
      <c r="F136" s="112">
        <f ca="1">IFERROR(__xludf.DUMMYFUNCTION("GOOGLEFINANCE(""BOM:""&amp;A136,""MARKETCAP"")/10000000"),36.8750413)</f>
        <v>36.875041299999999</v>
      </c>
      <c r="G136" s="95">
        <f t="shared" ca="1" si="0"/>
        <v>2.3148583045560378E-5</v>
      </c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</row>
    <row r="137" spans="1:25" ht="14.4">
      <c r="A137" s="99">
        <v>539198</v>
      </c>
      <c r="B137" s="98" t="s">
        <v>5152</v>
      </c>
      <c r="C137" s="101"/>
      <c r="D137" s="101"/>
      <c r="E137" s="101">
        <f ca="1">IFERROR(__xludf.DUMMYFUNCTION("GOOGLEFINANCE(""bom:""&amp;A137,""price"")"),116.55)</f>
        <v>116.55</v>
      </c>
      <c r="F137" s="112">
        <f ca="1">IFERROR(__xludf.DUMMYFUNCTION("GOOGLEFINANCE(""BOM:""&amp;A137,""MARKETCAP"")/10000000"),34.2450598)</f>
        <v>34.2450598</v>
      </c>
      <c r="G137" s="95">
        <f t="shared" ca="1" si="0"/>
        <v>2.1497592483523029E-5</v>
      </c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</row>
    <row r="138" spans="1:25" ht="14.4">
      <c r="A138" s="99">
        <v>539679</v>
      </c>
      <c r="B138" s="98" t="s">
        <v>5153</v>
      </c>
      <c r="C138" s="101"/>
      <c r="D138" s="101"/>
      <c r="E138" s="101">
        <f ca="1">IFERROR(__xludf.DUMMYFUNCTION("GOOGLEFINANCE(""bom:""&amp;A138,""price"")"),3.08)</f>
        <v>3.08</v>
      </c>
      <c r="F138" s="112">
        <f ca="1">IFERROR(__xludf.DUMMYFUNCTION("GOOGLEFINANCE(""BOM:""&amp;A138,""MARKETCAP"")/10000000"),33.6951991)</f>
        <v>33.695199100000004</v>
      </c>
      <c r="G138" s="95">
        <f t="shared" ca="1" si="0"/>
        <v>2.115241331548126E-5</v>
      </c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</row>
    <row r="139" spans="1:25" ht="14.4">
      <c r="A139" s="99">
        <v>532216</v>
      </c>
      <c r="B139" s="98" t="s">
        <v>5154</v>
      </c>
      <c r="C139" s="101"/>
      <c r="D139" s="101"/>
      <c r="E139" s="101">
        <f ca="1">IFERROR(__xludf.DUMMYFUNCTION("GOOGLEFINANCE(""bom:""&amp;A139,""price"")"),48.41)</f>
        <v>48.41</v>
      </c>
      <c r="F139" s="112">
        <f ca="1">IFERROR(__xludf.DUMMYFUNCTION("GOOGLEFINANCE(""BOM:""&amp;A139,""MARKETCAP"")/10000000"),34.2607872)</f>
        <v>34.260787200000003</v>
      </c>
      <c r="G139" s="95">
        <f t="shared" ca="1" si="0"/>
        <v>2.1507465476532826E-5</v>
      </c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</row>
    <row r="140" spans="1:25" ht="14.4">
      <c r="A140" s="99">
        <v>530747</v>
      </c>
      <c r="B140" s="98" t="s">
        <v>5155</v>
      </c>
      <c r="C140" s="101"/>
      <c r="D140" s="101"/>
      <c r="E140" s="101">
        <f ca="1">IFERROR(__xludf.DUMMYFUNCTION("GOOGLEFINANCE(""bom:""&amp;A140,""price"")"),20.5)</f>
        <v>20.5</v>
      </c>
      <c r="F140" s="112">
        <f ca="1">IFERROR(__xludf.DUMMYFUNCTION("GOOGLEFINANCE(""BOM:""&amp;A140,""MARKETCAP"")/10000000"),30.75)</f>
        <v>30.75</v>
      </c>
      <c r="G140" s="95">
        <f t="shared" ca="1" si="0"/>
        <v>1.930354254683863E-5</v>
      </c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</row>
    <row r="141" spans="1:25" ht="14.4">
      <c r="A141" s="99">
        <v>530925</v>
      </c>
      <c r="B141" s="98" t="s">
        <v>5156</v>
      </c>
      <c r="C141" s="101"/>
      <c r="D141" s="101"/>
      <c r="E141" s="101">
        <f ca="1">IFERROR(__xludf.DUMMYFUNCTION("GOOGLEFINANCE(""bom:""&amp;A141,""price"")"),93.58)</f>
        <v>93.58</v>
      </c>
      <c r="F141" s="112">
        <f ca="1">IFERROR(__xludf.DUMMYFUNCTION("GOOGLEFINANCE(""BOM:""&amp;A141,""MARKETCAP"")/10000000"),28.1348275)</f>
        <v>28.1348275</v>
      </c>
      <c r="G141" s="95">
        <f t="shared" ca="1" si="0"/>
        <v>1.7661848445340341E-5</v>
      </c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</row>
    <row r="142" spans="1:25" ht="14.4">
      <c r="A142" s="99">
        <v>500206</v>
      </c>
      <c r="B142" s="98" t="s">
        <v>5157</v>
      </c>
      <c r="C142" s="101"/>
      <c r="D142" s="101"/>
      <c r="E142" s="101">
        <f ca="1">IFERROR(__xludf.DUMMYFUNCTION("GOOGLEFINANCE(""bom:""&amp;A142,""price"")"),64.3)</f>
        <v>64.3</v>
      </c>
      <c r="F142" s="112">
        <f ca="1">IFERROR(__xludf.DUMMYFUNCTION("GOOGLEFINANCE(""BOM:""&amp;A142,""MARKETCAP"")/10000000"),29.3851013)</f>
        <v>29.385101299999999</v>
      </c>
      <c r="G142" s="95">
        <f t="shared" ca="1" si="0"/>
        <v>1.8446717176836197E-5</v>
      </c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</row>
    <row r="143" spans="1:25" ht="14.4">
      <c r="A143" s="99">
        <v>511593</v>
      </c>
      <c r="B143" s="98" t="s">
        <v>5158</v>
      </c>
      <c r="C143" s="101"/>
      <c r="D143" s="101"/>
      <c r="E143" s="101">
        <f ca="1">IFERROR(__xludf.DUMMYFUNCTION("GOOGLEFINANCE(""bom:""&amp;A143,""price"")"),16.9)</f>
        <v>16.899999999999999</v>
      </c>
      <c r="F143" s="112">
        <f ca="1">IFERROR(__xludf.DUMMYFUNCTION("GOOGLEFINANCE(""BOM:""&amp;A143,""MARKETCAP"")/10000000"),26.5329994)</f>
        <v>26.532999400000001</v>
      </c>
      <c r="G143" s="95">
        <f t="shared" ca="1" si="0"/>
        <v>1.6656288871972158E-5</v>
      </c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</row>
    <row r="144" spans="1:25" ht="14.4">
      <c r="A144" s="99">
        <v>537069</v>
      </c>
      <c r="B144" s="98" t="s">
        <v>5159</v>
      </c>
      <c r="C144" s="101"/>
      <c r="D144" s="101"/>
      <c r="E144" s="101">
        <f ca="1">IFERROR(__xludf.DUMMYFUNCTION("GOOGLEFINANCE(""bom:""&amp;A144,""price"")"),12.1)</f>
        <v>12.1</v>
      </c>
      <c r="F144" s="112">
        <f ca="1">IFERROR(__xludf.DUMMYFUNCTION("GOOGLEFINANCE(""BOM:""&amp;A144,""MARKETCAP"")/10000000"),28.7677509)</f>
        <v>28.767750899999999</v>
      </c>
      <c r="G144" s="95">
        <f t="shared" ca="1" si="0"/>
        <v>1.8059170844715617E-5</v>
      </c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</row>
    <row r="145" spans="1:25" ht="14.4">
      <c r="A145" s="99">
        <v>532284</v>
      </c>
      <c r="B145" s="98" t="s">
        <v>5160</v>
      </c>
      <c r="C145" s="101"/>
      <c r="D145" s="101"/>
      <c r="E145" s="101">
        <f ca="1">IFERROR(__xludf.DUMMYFUNCTION("GOOGLEFINANCE(""bom:""&amp;A145,""price"")"),25.9)</f>
        <v>25.9</v>
      </c>
      <c r="F145" s="112">
        <f ca="1">IFERROR(__xludf.DUMMYFUNCTION("GOOGLEFINANCE(""BOM:""&amp;A145,""MARKETCAP"")/10000000"),27.1486904)</f>
        <v>27.1486904</v>
      </c>
      <c r="G145" s="95">
        <f t="shared" ca="1" si="0"/>
        <v>1.7042793503328437E-5</v>
      </c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</row>
    <row r="146" spans="1:25" ht="14.4">
      <c r="A146" s="99">
        <v>530779</v>
      </c>
      <c r="B146" s="98" t="s">
        <v>5161</v>
      </c>
      <c r="C146" s="101"/>
      <c r="D146" s="101"/>
      <c r="E146" s="101">
        <f ca="1">IFERROR(__xludf.DUMMYFUNCTION("GOOGLEFINANCE(""bom:""&amp;A146,""price"")"),24)</f>
        <v>24</v>
      </c>
      <c r="F146" s="112">
        <f ca="1">IFERROR(__xludf.DUMMYFUNCTION("GOOGLEFINANCE(""BOM:""&amp;A146,""MARKETCAP"")/10000000"),28.06032)</f>
        <v>28.060320000000001</v>
      </c>
      <c r="G146" s="95">
        <f t="shared" ca="1" si="0"/>
        <v>1.7615075804809983E-5</v>
      </c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</row>
    <row r="147" spans="1:25" ht="14.4">
      <c r="A147" s="99">
        <v>501700</v>
      </c>
      <c r="B147" s="98" t="s">
        <v>5162</v>
      </c>
      <c r="C147" s="101"/>
      <c r="D147" s="101"/>
      <c r="E147" s="101">
        <f ca="1">IFERROR(__xludf.DUMMYFUNCTION("GOOGLEFINANCE(""bom:""&amp;A147,""price"")"),7.6)</f>
        <v>7.6</v>
      </c>
      <c r="F147" s="112">
        <f ca="1">IFERROR(__xludf.DUMMYFUNCTION("GOOGLEFINANCE(""BOM:""&amp;A147,""MARKETCAP"")/10000000"),28.6899996)</f>
        <v>28.6899996</v>
      </c>
      <c r="G147" s="95">
        <f t="shared" ca="1" si="0"/>
        <v>1.8010361884467747E-5</v>
      </c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</row>
    <row r="148" spans="1:25" ht="14.4">
      <c r="A148" s="99">
        <v>531003</v>
      </c>
      <c r="B148" s="98" t="s">
        <v>5163</v>
      </c>
      <c r="C148" s="101"/>
      <c r="D148" s="101"/>
      <c r="E148" s="101">
        <f ca="1">IFERROR(__xludf.DUMMYFUNCTION("GOOGLEFINANCE(""bom:""&amp;A148,""price"")"),86)</f>
        <v>86</v>
      </c>
      <c r="F148" s="112">
        <f ca="1">IFERROR(__xludf.DUMMYFUNCTION("GOOGLEFINANCE(""BOM:""&amp;A148,""MARKETCAP"")/10000000"),25.8)</f>
        <v>25.8</v>
      </c>
      <c r="G148" s="95">
        <f t="shared" ca="1" si="0"/>
        <v>1.6196143014908508E-5</v>
      </c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</row>
    <row r="149" spans="1:25" ht="14.4">
      <c r="A149" s="99">
        <v>543914</v>
      </c>
      <c r="B149" s="98" t="s">
        <v>5164</v>
      </c>
      <c r="C149" s="101"/>
      <c r="D149" s="101"/>
      <c r="E149" s="101">
        <f ca="1">IFERROR(__xludf.DUMMYFUNCTION("GOOGLEFINANCE(""bom:""&amp;A149,""price"")"),28.21)</f>
        <v>28.21</v>
      </c>
      <c r="F149" s="112">
        <f ca="1">IFERROR(__xludf.DUMMYFUNCTION("GOOGLEFINANCE(""BOM:""&amp;A149,""MARKETCAP"")/10000000"),28.492099)</f>
        <v>28.492099</v>
      </c>
      <c r="G149" s="95">
        <f t="shared" ca="1" si="0"/>
        <v>1.7886128302284173E-5</v>
      </c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</row>
    <row r="150" spans="1:25" ht="14.4">
      <c r="A150" s="99">
        <v>538646</v>
      </c>
      <c r="B150" s="98" t="s">
        <v>5165</v>
      </c>
      <c r="C150" s="101"/>
      <c r="D150" s="101"/>
      <c r="E150" s="101">
        <f ca="1">IFERROR(__xludf.DUMMYFUNCTION("GOOGLEFINANCE(""bom:""&amp;A150,""price"")"),38.99)</f>
        <v>38.99</v>
      </c>
      <c r="F150" s="112">
        <f ca="1">IFERROR(__xludf.DUMMYFUNCTION("GOOGLEFINANCE(""BOM:""&amp;A150,""MARKETCAP"")/10000000"),26.91429)</f>
        <v>26.914290000000001</v>
      </c>
      <c r="G150" s="95">
        <f t="shared" ca="1" si="0"/>
        <v>1.6895646898632633E-5</v>
      </c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</row>
    <row r="151" spans="1:25" ht="14.4">
      <c r="A151" s="99">
        <v>511730</v>
      </c>
      <c r="B151" s="98" t="s">
        <v>5166</v>
      </c>
      <c r="C151" s="101"/>
      <c r="D151" s="101"/>
      <c r="E151" s="101">
        <f ca="1">IFERROR(__xludf.DUMMYFUNCTION("GOOGLEFINANCE(""bom:""&amp;A151,""price"")"),17.12)</f>
        <v>17.12</v>
      </c>
      <c r="F151" s="112">
        <f ca="1">IFERROR(__xludf.DUMMYFUNCTION("GOOGLEFINANCE(""BOM:""&amp;A151,""MARKETCAP"")/10000000"),25.6846065)</f>
        <v>25.684606500000001</v>
      </c>
      <c r="G151" s="95">
        <f t="shared" ca="1" si="0"/>
        <v>1.6123703882001887E-5</v>
      </c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</row>
    <row r="152" spans="1:25" ht="14.4">
      <c r="A152" s="99">
        <v>538647</v>
      </c>
      <c r="B152" s="98" t="s">
        <v>5167</v>
      </c>
      <c r="C152" s="101"/>
      <c r="D152" s="101"/>
      <c r="E152" s="101">
        <f ca="1">IFERROR(__xludf.DUMMYFUNCTION("GOOGLEFINANCE(""bom:""&amp;A152,""price"")"),34.4)</f>
        <v>34.4</v>
      </c>
      <c r="F152" s="112">
        <f ca="1">IFERROR(__xludf.DUMMYFUNCTION("GOOGLEFINANCE(""BOM:""&amp;A152,""MARKETCAP"")/10000000"),25.5361359)</f>
        <v>25.536135900000001</v>
      </c>
      <c r="G152" s="95">
        <f t="shared" ca="1" si="0"/>
        <v>1.6030500352113932E-5</v>
      </c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</row>
    <row r="153" spans="1:25" ht="14.4">
      <c r="A153" s="99">
        <v>530407</v>
      </c>
      <c r="B153" s="98" t="s">
        <v>5168</v>
      </c>
      <c r="C153" s="101"/>
      <c r="D153" s="101"/>
      <c r="E153" s="101">
        <f ca="1">IFERROR(__xludf.DUMMYFUNCTION("GOOGLEFINANCE(""bom:""&amp;A153,""price"")"),36.1)</f>
        <v>36.1</v>
      </c>
      <c r="F153" s="112">
        <f ca="1">IFERROR(__xludf.DUMMYFUNCTION("GOOGLEFINANCE(""BOM:""&amp;A153,""MARKETCAP"")/10000000"),26.0335102)</f>
        <v>26.033510199999998</v>
      </c>
      <c r="G153" s="95">
        <f t="shared" ca="1" si="0"/>
        <v>1.6342730789894548E-5</v>
      </c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</row>
    <row r="154" spans="1:25" ht="14.4">
      <c r="A154" s="99">
        <v>531212</v>
      </c>
      <c r="B154" s="98" t="s">
        <v>5169</v>
      </c>
      <c r="C154" s="101"/>
      <c r="D154" s="101"/>
      <c r="E154" s="101">
        <f ca="1">IFERROR(__xludf.DUMMYFUNCTION("GOOGLEFINANCE(""bom:""&amp;A154,""price"")"),39.3)</f>
        <v>39.299999999999997</v>
      </c>
      <c r="F154" s="112">
        <f ca="1">IFERROR(__xludf.DUMMYFUNCTION("GOOGLEFINANCE(""BOM:""&amp;A154,""MARKETCAP"")/10000000"),26.23272)</f>
        <v>26.23272</v>
      </c>
      <c r="G154" s="95">
        <f t="shared" ca="1" si="0"/>
        <v>1.646778623217251E-5</v>
      </c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</row>
    <row r="155" spans="1:25" ht="14.4">
      <c r="A155" s="99">
        <v>539681</v>
      </c>
      <c r="B155" s="98" t="s">
        <v>5170</v>
      </c>
      <c r="C155" s="101"/>
      <c r="D155" s="101"/>
      <c r="E155" s="101">
        <f ca="1">IFERROR(__xludf.DUMMYFUNCTION("GOOGLEFINANCE(""bom:""&amp;A155,""price"")"),49.88)</f>
        <v>49.88</v>
      </c>
      <c r="F155" s="112">
        <f ca="1">IFERROR(__xludf.DUMMYFUNCTION("GOOGLEFINANCE(""BOM:""&amp;A155,""MARKETCAP"")/10000000"),24.98988)</f>
        <v>24.989879999999999</v>
      </c>
      <c r="G155" s="95">
        <f t="shared" ca="1" si="0"/>
        <v>1.5687584124240382E-5</v>
      </c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</row>
    <row r="156" spans="1:25" ht="14.4">
      <c r="A156" s="99">
        <v>511355</v>
      </c>
      <c r="B156" s="98" t="s">
        <v>5171</v>
      </c>
      <c r="C156" s="101"/>
      <c r="D156" s="101"/>
      <c r="E156" s="101">
        <f ca="1">IFERROR(__xludf.DUMMYFUNCTION("GOOGLEFINANCE(""bom:""&amp;A156,""price"")"),11.6)</f>
        <v>11.6</v>
      </c>
      <c r="F156" s="112">
        <f ca="1">IFERROR(__xludf.DUMMYFUNCTION("GOOGLEFINANCE(""BOM:""&amp;A156,""MARKETCAP"")/10000000"),25.1791812)</f>
        <v>25.179181199999999</v>
      </c>
      <c r="G156" s="95">
        <f t="shared" ca="1" si="0"/>
        <v>1.5806419368740141E-5</v>
      </c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</row>
    <row r="157" spans="1:25" ht="14.4">
      <c r="A157" s="99">
        <v>538778</v>
      </c>
      <c r="B157" s="98" t="s">
        <v>5172</v>
      </c>
      <c r="C157" s="101"/>
      <c r="D157" s="101"/>
      <c r="E157" s="101">
        <f ca="1">IFERROR(__xludf.DUMMYFUNCTION("GOOGLEFINANCE(""bom:""&amp;A157,""price"")"),5.75)</f>
        <v>5.75</v>
      </c>
      <c r="F157" s="112">
        <f ca="1">IFERROR(__xludf.DUMMYFUNCTION("GOOGLEFINANCE(""BOM:""&amp;A157,""MARKETCAP"")/10000000"),28.40959)</f>
        <v>28.409590000000001</v>
      </c>
      <c r="G157" s="95">
        <f t="shared" ca="1" si="0"/>
        <v>1.7834332660268011E-5</v>
      </c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</row>
    <row r="158" spans="1:25" ht="14.4">
      <c r="A158" s="99">
        <v>539174</v>
      </c>
      <c r="B158" s="98" t="s">
        <v>5173</v>
      </c>
      <c r="C158" s="101"/>
      <c r="D158" s="101"/>
      <c r="E158" s="101">
        <f ca="1">IFERROR(__xludf.DUMMYFUNCTION("GOOGLEFINANCE(""bom:""&amp;A158,""price"")"),21.11)</f>
        <v>21.11</v>
      </c>
      <c r="F158" s="112">
        <f ca="1">IFERROR(__xludf.DUMMYFUNCTION("GOOGLEFINANCE(""BOM:""&amp;A158,""MARKETCAP"")/10000000"),20.9991773)</f>
        <v>20.999177299999999</v>
      </c>
      <c r="G158" s="95">
        <f t="shared" ca="1" si="0"/>
        <v>1.3182390649078307E-5</v>
      </c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</row>
    <row r="159" spans="1:25" ht="14.4">
      <c r="A159" s="99">
        <v>508969</v>
      </c>
      <c r="B159" s="98" t="s">
        <v>5174</v>
      </c>
      <c r="C159" s="101"/>
      <c r="D159" s="101"/>
      <c r="E159" s="101">
        <f ca="1">IFERROR(__xludf.DUMMYFUNCTION("GOOGLEFINANCE(""bom:""&amp;A159,""price"")"),2.33)</f>
        <v>2.33</v>
      </c>
      <c r="F159" s="112">
        <f ca="1">IFERROR(__xludf.DUMMYFUNCTION("GOOGLEFINANCE(""BOM:""&amp;A159,""MARKETCAP"")/10000000"),23.4106742)</f>
        <v>23.410674199999999</v>
      </c>
      <c r="G159" s="95">
        <f t="shared" ca="1" si="0"/>
        <v>1.4696225868939101E-5</v>
      </c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</row>
    <row r="160" spans="1:25" ht="14.4">
      <c r="A160" s="99">
        <v>538918</v>
      </c>
      <c r="B160" s="98" t="s">
        <v>5175</v>
      </c>
      <c r="C160" s="101"/>
      <c r="D160" s="101"/>
      <c r="E160" s="101">
        <f ca="1">IFERROR(__xludf.DUMMYFUNCTION("GOOGLEFINANCE(""bom:""&amp;A160,""price"")"),9.3)</f>
        <v>9.3000000000000007</v>
      </c>
      <c r="F160" s="112">
        <f ca="1">IFERROR(__xludf.DUMMYFUNCTION("GOOGLEFINANCE(""BOM:""&amp;A160,""MARKETCAP"")/10000000"),27.3487709)</f>
        <v>27.348770900000002</v>
      </c>
      <c r="G160" s="95">
        <f t="shared" ca="1" si="0"/>
        <v>1.7168395534045274E-5</v>
      </c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</row>
    <row r="161" spans="1:25" ht="14.4">
      <c r="A161" s="99">
        <v>532092</v>
      </c>
      <c r="B161" s="98" t="s">
        <v>5176</v>
      </c>
      <c r="C161" s="101"/>
      <c r="D161" s="101"/>
      <c r="E161" s="101">
        <f ca="1">IFERROR(__xludf.DUMMYFUNCTION("GOOGLEFINANCE(""bom:""&amp;A161,""price"")"),1.85)</f>
        <v>1.85</v>
      </c>
      <c r="F161" s="112">
        <f ca="1">IFERROR(__xludf.DUMMYFUNCTION("GOOGLEFINANCE(""BOM:""&amp;A161,""MARKETCAP"")/10000000"),20.9201332)</f>
        <v>20.920133199999999</v>
      </c>
      <c r="G161" s="95">
        <f t="shared" ca="1" si="0"/>
        <v>1.3132770123958742E-5</v>
      </c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</row>
    <row r="162" spans="1:25" ht="14.4">
      <c r="A162" s="99">
        <v>531255</v>
      </c>
      <c r="B162" s="98" t="s">
        <v>5177</v>
      </c>
      <c r="C162" s="101"/>
      <c r="D162" s="101"/>
      <c r="E162" s="101">
        <f ca="1">IFERROR(__xludf.DUMMYFUNCTION("GOOGLEFINANCE(""bom:""&amp;A162,""price"")"),52.25)</f>
        <v>52.25</v>
      </c>
      <c r="F162" s="112">
        <f ca="1">IFERROR(__xludf.DUMMYFUNCTION("GOOGLEFINANCE(""BOM:""&amp;A162,""MARKETCAP"")/10000000"),22.20625)</f>
        <v>22.206250000000001</v>
      </c>
      <c r="G162" s="95">
        <f t="shared" ca="1" si="0"/>
        <v>1.3940139566853182E-5</v>
      </c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</row>
    <row r="163" spans="1:25" ht="14.4">
      <c r="A163" s="99">
        <v>530235</v>
      </c>
      <c r="B163" s="98" t="s">
        <v>5178</v>
      </c>
      <c r="C163" s="101"/>
      <c r="D163" s="101"/>
      <c r="E163" s="101">
        <f ca="1">IFERROR(__xludf.DUMMYFUNCTION("GOOGLEFINANCE(""bom:""&amp;A163,""price"")"),45)</f>
        <v>45</v>
      </c>
      <c r="F163" s="112">
        <f ca="1">IFERROR(__xludf.DUMMYFUNCTION("GOOGLEFINANCE(""BOM:""&amp;A163,""MARKETCAP"")/10000000"),21.53583)</f>
        <v>21.535830000000001</v>
      </c>
      <c r="G163" s="95">
        <f t="shared" ca="1" si="0"/>
        <v>1.3519278396308416E-5</v>
      </c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</row>
    <row r="164" spans="1:25" ht="14.4">
      <c r="A164" s="99">
        <v>511758</v>
      </c>
      <c r="B164" s="98" t="s">
        <v>5179</v>
      </c>
      <c r="C164" s="101"/>
      <c r="D164" s="101"/>
      <c r="E164" s="101">
        <f ca="1">IFERROR(__xludf.DUMMYFUNCTION("GOOGLEFINANCE(""bom:""&amp;A164,""price"")"),64.9)</f>
        <v>64.900000000000006</v>
      </c>
      <c r="F164" s="112">
        <f ca="1">IFERROR(__xludf.DUMMYFUNCTION("GOOGLEFINANCE(""BOM:""&amp;A164,""MARKETCAP"")/10000000"),22.9415015)</f>
        <v>22.941501500000001</v>
      </c>
      <c r="G164" s="95">
        <f t="shared" ca="1" si="0"/>
        <v>1.4401699196540237E-5</v>
      </c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</row>
    <row r="165" spans="1:25" ht="14.4">
      <c r="A165" s="99">
        <v>511549</v>
      </c>
      <c r="B165" s="98" t="s">
        <v>5180</v>
      </c>
      <c r="C165" s="101"/>
      <c r="D165" s="101"/>
      <c r="E165" s="101">
        <f ca="1">IFERROR(__xludf.DUMMYFUNCTION("GOOGLEFINANCE(""bom:""&amp;A165,""price"")"),49.65)</f>
        <v>49.65</v>
      </c>
      <c r="F165" s="112">
        <f ca="1">IFERROR(__xludf.DUMMYFUNCTION("GOOGLEFINANCE(""BOM:""&amp;A165,""MARKETCAP"")/10000000"),22.3529271)</f>
        <v>22.352927099999999</v>
      </c>
      <c r="G165" s="95">
        <f t="shared" ca="1" si="0"/>
        <v>1.4032217213698607E-5</v>
      </c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</row>
    <row r="166" spans="1:25" ht="14.4">
      <c r="A166" s="99">
        <v>539494</v>
      </c>
      <c r="B166" s="98" t="s">
        <v>5181</v>
      </c>
      <c r="C166" s="101"/>
      <c r="D166" s="101"/>
      <c r="E166" s="101">
        <f ca="1">IFERROR(__xludf.DUMMYFUNCTION("GOOGLEFINANCE(""bom:""&amp;A166,""price"")"),7.6)</f>
        <v>7.6</v>
      </c>
      <c r="F166" s="112">
        <f ca="1">IFERROR(__xludf.DUMMYFUNCTION("GOOGLEFINANCE(""BOM:""&amp;A166,""MARKETCAP"")/10000000"),22.7999997)</f>
        <v>22.799999700000001</v>
      </c>
      <c r="G166" s="95">
        <f t="shared" ca="1" si="0"/>
        <v>1.4312870382987253E-5</v>
      </c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</row>
    <row r="167" spans="1:25" ht="14.4">
      <c r="A167" s="99">
        <v>540254</v>
      </c>
      <c r="B167" s="98" t="s">
        <v>5182</v>
      </c>
      <c r="C167" s="101"/>
      <c r="D167" s="101"/>
      <c r="E167" s="101">
        <f ca="1">IFERROR(__xludf.DUMMYFUNCTION("GOOGLEFINANCE(""bom:""&amp;A167,""price"")"),20.69)</f>
        <v>20.69</v>
      </c>
      <c r="F167" s="112">
        <f ca="1">IFERROR(__xludf.DUMMYFUNCTION("GOOGLEFINANCE(""BOM:""&amp;A167,""MARKETCAP"")/10000000"),20.6900005)</f>
        <v>20.6900005</v>
      </c>
      <c r="G167" s="95">
        <f t="shared" ca="1" si="0"/>
        <v>1.2988302599865448E-5</v>
      </c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</row>
    <row r="168" spans="1:25" ht="14.4">
      <c r="A168" s="99">
        <v>538597</v>
      </c>
      <c r="B168" s="98" t="s">
        <v>5183</v>
      </c>
      <c r="C168" s="101"/>
      <c r="D168" s="101"/>
      <c r="E168" s="101">
        <f ca="1">IFERROR(__xludf.DUMMYFUNCTION("GOOGLEFINANCE(""bom:""&amp;A168,""price"")"),8.43)</f>
        <v>8.43</v>
      </c>
      <c r="F168" s="112">
        <f ca="1">IFERROR(__xludf.DUMMYFUNCTION("GOOGLEFINANCE(""BOM:""&amp;A168,""MARKETCAP"")/10000000"),21.4159184)</f>
        <v>21.415918399999999</v>
      </c>
      <c r="G168" s="95">
        <f t="shared" ca="1" si="0"/>
        <v>1.3444002992325992E-5</v>
      </c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</row>
    <row r="169" spans="1:25" ht="14.4">
      <c r="A169" s="99">
        <v>504180</v>
      </c>
      <c r="B169" s="98" t="s">
        <v>5184</v>
      </c>
      <c r="C169" s="101"/>
      <c r="D169" s="101"/>
      <c r="E169" s="101">
        <f ca="1">IFERROR(__xludf.DUMMYFUNCTION("GOOGLEFINANCE(""bom:""&amp;A169,""price"")"),41.15)</f>
        <v>41.15</v>
      </c>
      <c r="F169" s="112">
        <f ca="1">IFERROR(__xludf.DUMMYFUNCTION("GOOGLEFINANCE(""BOM:""&amp;A169,""MARKETCAP"")/10000000"),21.2791719)</f>
        <v>21.279171900000001</v>
      </c>
      <c r="G169" s="95">
        <f t="shared" ca="1" si="0"/>
        <v>1.335815935392335E-5</v>
      </c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</row>
    <row r="170" spans="1:25" ht="14.4">
      <c r="A170" s="99">
        <v>500358</v>
      </c>
      <c r="B170" s="98" t="s">
        <v>5185</v>
      </c>
      <c r="C170" s="101"/>
      <c r="D170" s="101"/>
      <c r="E170" s="101">
        <f ca="1">IFERROR(__xludf.DUMMYFUNCTION("GOOGLEFINANCE(""bom:""&amp;A170,""price"")"),15.36)</f>
        <v>15.36</v>
      </c>
      <c r="F170" s="112">
        <f ca="1">IFERROR(__xludf.DUMMYFUNCTION("GOOGLEFINANCE(""BOM:""&amp;A170,""MARKETCAP"")/10000000"),20.46044)</f>
        <v>20.460439999999998</v>
      </c>
      <c r="G170" s="95">
        <f t="shared" ca="1" si="0"/>
        <v>1.2844194278602892E-5</v>
      </c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</row>
    <row r="171" spans="1:25" ht="14.4">
      <c r="A171" s="99">
        <v>531962</v>
      </c>
      <c r="B171" s="98" t="s">
        <v>5186</v>
      </c>
      <c r="C171" s="101"/>
      <c r="D171" s="101"/>
      <c r="E171" s="101">
        <f ca="1">IFERROR(__xludf.DUMMYFUNCTION("GOOGLEFINANCE(""bom:""&amp;A171,""price"")"),40.3)</f>
        <v>40.299999999999997</v>
      </c>
      <c r="F171" s="112">
        <f ca="1">IFERROR(__xludf.DUMMYFUNCTION("GOOGLEFINANCE(""BOM:""&amp;A171,""MARKETCAP"")/10000000"),21.1828885)</f>
        <v>21.182888500000001</v>
      </c>
      <c r="G171" s="95">
        <f t="shared" ca="1" si="0"/>
        <v>1.3297716729258169E-5</v>
      </c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</row>
    <row r="172" spans="1:25" ht="14.4">
      <c r="A172" s="99">
        <v>526871</v>
      </c>
      <c r="B172" s="98" t="s">
        <v>5187</v>
      </c>
      <c r="C172" s="101"/>
      <c r="D172" s="101"/>
      <c r="E172" s="101">
        <f ca="1">IFERROR(__xludf.DUMMYFUNCTION("GOOGLEFINANCE(""bom:""&amp;A172,""price"")"),10.6)</f>
        <v>10.6</v>
      </c>
      <c r="F172" s="112">
        <f ca="1">IFERROR(__xludf.DUMMYFUNCTION("GOOGLEFINANCE(""BOM:""&amp;A172,""MARKETCAP"")/10000000"),19.4682257)</f>
        <v>19.468225700000001</v>
      </c>
      <c r="G172" s="95">
        <f t="shared" ca="1" si="0"/>
        <v>1.2221324328826252E-5</v>
      </c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</row>
    <row r="173" spans="1:25" ht="14.4">
      <c r="A173" s="99">
        <v>512489</v>
      </c>
      <c r="B173" s="98" t="s">
        <v>5188</v>
      </c>
      <c r="C173" s="101"/>
      <c r="D173" s="101"/>
      <c r="E173" s="101">
        <f ca="1">IFERROR(__xludf.DUMMYFUNCTION("GOOGLEFINANCE(""bom:""&amp;A173,""price"")"),11.48)</f>
        <v>11.48</v>
      </c>
      <c r="F173" s="112">
        <f ca="1">IFERROR(__xludf.DUMMYFUNCTION("GOOGLEFINANCE(""BOM:""&amp;A173,""MARKETCAP"")/10000000"),21.2379991)</f>
        <v>21.2379991</v>
      </c>
      <c r="G173" s="95">
        <f t="shared" ca="1" si="0"/>
        <v>1.333231282070148E-5</v>
      </c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</row>
    <row r="174" spans="1:25" ht="14.4">
      <c r="A174" s="99">
        <v>536737</v>
      </c>
      <c r="B174" s="98" t="s">
        <v>5189</v>
      </c>
      <c r="C174" s="101"/>
      <c r="D174" s="101"/>
      <c r="E174" s="101">
        <f ca="1">IFERROR(__xludf.DUMMYFUNCTION("GOOGLEFINANCE(""bom:""&amp;A174,""price"")"),20.04)</f>
        <v>20.04</v>
      </c>
      <c r="F174" s="112">
        <f ca="1">IFERROR(__xludf.DUMMYFUNCTION("GOOGLEFINANCE(""BOM:""&amp;A174,""MARKETCAP"")/10000000"),19.59631)</f>
        <v>19.596309999999999</v>
      </c>
      <c r="G174" s="95">
        <f t="shared" ca="1" si="0"/>
        <v>1.2301730206375261E-5</v>
      </c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</row>
    <row r="175" spans="1:25" ht="14.4">
      <c r="A175" s="99">
        <v>511543</v>
      </c>
      <c r="B175" s="98" t="s">
        <v>5190</v>
      </c>
      <c r="C175" s="101"/>
      <c r="D175" s="101"/>
      <c r="E175" s="101">
        <f ca="1">IFERROR(__xludf.DUMMYFUNCTION("GOOGLEFINANCE(""bom:""&amp;A175,""price"")"),33.17)</f>
        <v>33.17</v>
      </c>
      <c r="F175" s="112">
        <f ca="1">IFERROR(__xludf.DUMMYFUNCTION("GOOGLEFINANCE(""BOM:""&amp;A175,""MARKETCAP"")/10000000"),19.9019989)</f>
        <v>19.901998899999999</v>
      </c>
      <c r="G175" s="95">
        <f t="shared" ca="1" si="0"/>
        <v>1.2493628700269449E-5</v>
      </c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</row>
    <row r="176" spans="1:25" ht="14.4">
      <c r="A176" s="99">
        <v>530263</v>
      </c>
      <c r="B176" s="98" t="s">
        <v>5191</v>
      </c>
      <c r="C176" s="101"/>
      <c r="D176" s="101"/>
      <c r="E176" s="101">
        <f ca="1">IFERROR(__xludf.DUMMYFUNCTION("GOOGLEFINANCE(""bom:""&amp;A176,""price"")"),0.48)</f>
        <v>0.48</v>
      </c>
      <c r="F176" s="112">
        <f ca="1">IFERROR(__xludf.DUMMYFUNCTION("GOOGLEFINANCE(""BOM:""&amp;A176,""MARKETCAP"")/10000000"),19.5165043)</f>
        <v>19.516504300000001</v>
      </c>
      <c r="G176" s="95">
        <f t="shared" ca="1" si="0"/>
        <v>1.2251631581158019E-5</v>
      </c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</row>
    <row r="177" spans="1:25" ht="14.4">
      <c r="A177" s="99">
        <v>538935</v>
      </c>
      <c r="B177" s="98" t="s">
        <v>5192</v>
      </c>
      <c r="C177" s="101"/>
      <c r="D177" s="101"/>
      <c r="E177" s="101">
        <f ca="1">IFERROR(__xludf.DUMMYFUNCTION("GOOGLEFINANCE(""bom:""&amp;A177,""price"")"),40.15)</f>
        <v>40.15</v>
      </c>
      <c r="F177" s="112">
        <f ca="1">IFERROR(__xludf.DUMMYFUNCTION("GOOGLEFINANCE(""BOM:""&amp;A177,""MARKETCAP"")/10000000"),18.52003)</f>
        <v>18.520029999999998</v>
      </c>
      <c r="G177" s="95">
        <f t="shared" ca="1" si="0"/>
        <v>1.1626087384511474E-5</v>
      </c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</row>
    <row r="178" spans="1:25" ht="14.4">
      <c r="A178" s="99">
        <v>531033</v>
      </c>
      <c r="B178" s="98" t="s">
        <v>5193</v>
      </c>
      <c r="C178" s="101"/>
      <c r="D178" s="101"/>
      <c r="E178" s="101">
        <f ca="1">IFERROR(__xludf.DUMMYFUNCTION("GOOGLEFINANCE(""bom:""&amp;A178,""price"")"),18.6)</f>
        <v>18.600000000000001</v>
      </c>
      <c r="F178" s="112">
        <f ca="1">IFERROR(__xludf.DUMMYFUNCTION("GOOGLEFINANCE(""BOM:""&amp;A178,""MARKETCAP"")/10000000"),16.5709077)</f>
        <v>16.570907699999999</v>
      </c>
      <c r="G178" s="95">
        <f t="shared" ca="1" si="0"/>
        <v>1.0402511278916612E-5</v>
      </c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</row>
    <row r="179" spans="1:25" ht="14.4">
      <c r="A179" s="99">
        <v>539669</v>
      </c>
      <c r="B179" s="98" t="s">
        <v>5194</v>
      </c>
      <c r="C179" s="101"/>
      <c r="D179" s="101"/>
      <c r="E179" s="101">
        <f ca="1">IFERROR(__xludf.DUMMYFUNCTION("GOOGLEFINANCE(""bom:""&amp;A179,""price"")"),1.24)</f>
        <v>1.24</v>
      </c>
      <c r="F179" s="112">
        <f ca="1">IFERROR(__xludf.DUMMYFUNCTION("GOOGLEFINANCE(""BOM:""&amp;A179,""MARKETCAP"")/10000000"),18.6029761)</f>
        <v>18.602976099999999</v>
      </c>
      <c r="G179" s="95">
        <f t="shared" ca="1" si="0"/>
        <v>1.1678157419322671E-5</v>
      </c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</row>
    <row r="180" spans="1:25" ht="14.4">
      <c r="A180" s="99">
        <v>538788</v>
      </c>
      <c r="B180" s="98" t="s">
        <v>5195</v>
      </c>
      <c r="C180" s="101"/>
      <c r="D180" s="101"/>
      <c r="E180" s="101">
        <f ca="1">IFERROR(__xludf.DUMMYFUNCTION("GOOGLEFINANCE(""bom:""&amp;A180,""price"")"),12.12)</f>
        <v>12.12</v>
      </c>
      <c r="F180" s="112">
        <f ca="1">IFERROR(__xludf.DUMMYFUNCTION("GOOGLEFINANCE(""BOM:""&amp;A180,""MARKETCAP"")/10000000"),17.0276181)</f>
        <v>17.027618100000002</v>
      </c>
      <c r="G180" s="95">
        <f t="shared" ca="1" si="0"/>
        <v>1.0689214649257546E-5</v>
      </c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</row>
    <row r="181" spans="1:25" ht="14.4">
      <c r="A181" s="99">
        <v>531735</v>
      </c>
      <c r="B181" s="98" t="s">
        <v>5196</v>
      </c>
      <c r="C181" s="101"/>
      <c r="D181" s="101"/>
      <c r="E181" s="101">
        <f ca="1">IFERROR(__xludf.DUMMYFUNCTION("GOOGLEFINANCE(""bom:""&amp;A181,""price"")"),26.96)</f>
        <v>26.96</v>
      </c>
      <c r="F181" s="112">
        <f ca="1">IFERROR(__xludf.DUMMYFUNCTION("GOOGLEFINANCE(""BOM:""&amp;A181,""MARKETCAP"")/10000000"),17.52481)</f>
        <v>17.524809999999999</v>
      </c>
      <c r="G181" s="95">
        <f t="shared" ca="1" si="0"/>
        <v>1.1001330584073594E-5</v>
      </c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</row>
    <row r="182" spans="1:25" ht="14.4">
      <c r="A182" s="99">
        <v>542906</v>
      </c>
      <c r="B182" s="98" t="s">
        <v>5197</v>
      </c>
      <c r="C182" s="101"/>
      <c r="D182" s="101"/>
      <c r="E182" s="101">
        <f ca="1">IFERROR(__xludf.DUMMYFUNCTION("GOOGLEFINANCE(""bom:""&amp;A182,""price"")"),33.21)</f>
        <v>33.21</v>
      </c>
      <c r="F182" s="112">
        <f ca="1">IFERROR(__xludf.DUMMYFUNCTION("GOOGLEFINANCE(""BOM:""&amp;A182,""MARKETCAP"")/10000000"),17.3661992)</f>
        <v>17.366199200000001</v>
      </c>
      <c r="G182" s="95">
        <f t="shared" ca="1" si="0"/>
        <v>1.0901761467774795E-5</v>
      </c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</row>
    <row r="183" spans="1:25" ht="14.4">
      <c r="A183" s="99">
        <v>523062</v>
      </c>
      <c r="B183" s="98" t="s">
        <v>5198</v>
      </c>
      <c r="C183" s="101"/>
      <c r="D183" s="101"/>
      <c r="E183" s="101">
        <f ca="1">IFERROR(__xludf.DUMMYFUNCTION("GOOGLEFINANCE(""bom:""&amp;A183,""price"")"),58.53)</f>
        <v>58.53</v>
      </c>
      <c r="F183" s="112">
        <f ca="1">IFERROR(__xludf.DUMMYFUNCTION("GOOGLEFINANCE(""BOM:""&amp;A183,""MARKETCAP"")/10000000"),16.5054596)</f>
        <v>16.505459599999998</v>
      </c>
      <c r="G183" s="95">
        <f t="shared" ca="1" si="0"/>
        <v>1.0361425744511417E-5</v>
      </c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</row>
    <row r="184" spans="1:25" ht="14.4">
      <c r="A184" s="99">
        <v>530829</v>
      </c>
      <c r="B184" s="98" t="s">
        <v>5199</v>
      </c>
      <c r="C184" s="101"/>
      <c r="D184" s="101"/>
      <c r="E184" s="101">
        <f ca="1">IFERROR(__xludf.DUMMYFUNCTION("GOOGLEFINANCE(""bom:""&amp;A184,""price"")"),37.35)</f>
        <v>37.35</v>
      </c>
      <c r="F184" s="112">
        <f ca="1">IFERROR(__xludf.DUMMYFUNCTION("GOOGLEFINANCE(""BOM:""&amp;A184,""MARKETCAP"")/10000000"),18.6749992)</f>
        <v>18.674999199999998</v>
      </c>
      <c r="G184" s="95">
        <f t="shared" ca="1" si="0"/>
        <v>1.1723370459166742E-5</v>
      </c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</row>
    <row r="185" spans="1:25" ht="14.4">
      <c r="A185" s="99">
        <v>501242</v>
      </c>
      <c r="B185" s="98" t="s">
        <v>5200</v>
      </c>
      <c r="C185" s="101"/>
      <c r="D185" s="101"/>
      <c r="E185" s="101">
        <f ca="1">IFERROR(__xludf.DUMMYFUNCTION("GOOGLEFINANCE(""bom:""&amp;A185,""price"")"),13.51)</f>
        <v>13.51</v>
      </c>
      <c r="F185" s="112">
        <f ca="1">IFERROR(__xludf.DUMMYFUNCTION("GOOGLEFINANCE(""BOM:""&amp;A185,""MARKETCAP"")/10000000"),17.3649887)</f>
        <v>17.364988700000001</v>
      </c>
      <c r="G185" s="95">
        <f t="shared" ca="1" si="0"/>
        <v>1.0901001567343807E-5</v>
      </c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</row>
    <row r="186" spans="1:25" ht="14.4">
      <c r="A186" s="99">
        <v>539117</v>
      </c>
      <c r="B186" s="98" t="s">
        <v>5201</v>
      </c>
      <c r="C186" s="101"/>
      <c r="D186" s="101"/>
      <c r="E186" s="101">
        <f ca="1">IFERROR(__xludf.DUMMYFUNCTION("GOOGLEFINANCE(""bom:""&amp;A186,""price"")"),29.41)</f>
        <v>29.41</v>
      </c>
      <c r="F186" s="112">
        <f ca="1">IFERROR(__xludf.DUMMYFUNCTION("GOOGLEFINANCE(""BOM:""&amp;A186,""MARKETCAP"")/10000000"),16.8276607)</f>
        <v>16.827660699999999</v>
      </c>
      <c r="G186" s="95">
        <f t="shared" ca="1" si="0"/>
        <v>1.0563689895486644E-5</v>
      </c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</row>
    <row r="187" spans="1:25" ht="14.4">
      <c r="A187" s="99">
        <v>511756</v>
      </c>
      <c r="B187" s="98" t="s">
        <v>5202</v>
      </c>
      <c r="C187" s="101"/>
      <c r="D187" s="101"/>
      <c r="E187" s="101">
        <f ca="1">IFERROR(__xludf.DUMMYFUNCTION("GOOGLEFINANCE(""bom:""&amp;A187,""price"")"),29.71)</f>
        <v>29.71</v>
      </c>
      <c r="F187" s="112">
        <f ca="1">IFERROR(__xludf.DUMMYFUNCTION("GOOGLEFINANCE(""BOM:""&amp;A187,""MARKETCAP"")/10000000"),16.0433995)</f>
        <v>16.0433995</v>
      </c>
      <c r="G187" s="95">
        <f t="shared" ca="1" si="0"/>
        <v>1.007136405997332E-5</v>
      </c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</row>
    <row r="188" spans="1:25" ht="14.4">
      <c r="A188" s="99">
        <v>512217</v>
      </c>
      <c r="B188" s="98" t="s">
        <v>5203</v>
      </c>
      <c r="C188" s="101"/>
      <c r="D188" s="101"/>
      <c r="E188" s="101">
        <f ca="1">IFERROR(__xludf.DUMMYFUNCTION("GOOGLEFINANCE(""bom:""&amp;A188,""price"")"),27)</f>
        <v>27</v>
      </c>
      <c r="F188" s="112">
        <f ca="1">IFERROR(__xludf.DUMMYFUNCTION("GOOGLEFINANCE(""BOM:""&amp;A188,""MARKETCAP"")/10000000"),16.3712502)</f>
        <v>16.371250199999999</v>
      </c>
      <c r="G188" s="95">
        <f t="shared" ca="1" si="0"/>
        <v>1.0277174789614321E-5</v>
      </c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</row>
    <row r="189" spans="1:25" ht="14.4">
      <c r="A189" s="99">
        <v>531319</v>
      </c>
      <c r="B189" s="98" t="s">
        <v>5204</v>
      </c>
      <c r="C189" s="101"/>
      <c r="D189" s="101"/>
      <c r="E189" s="101">
        <f ca="1">IFERROR(__xludf.DUMMYFUNCTION("GOOGLEFINANCE(""bom:""&amp;A189,""price"")"),31.76)</f>
        <v>31.76</v>
      </c>
      <c r="F189" s="112">
        <f ca="1">IFERROR(__xludf.DUMMYFUNCTION("GOOGLEFINANCE(""BOM:""&amp;A189,""MARKETCAP"")/10000000"),16.95102)</f>
        <v>16.95102</v>
      </c>
      <c r="G189" s="95">
        <f t="shared" ca="1" si="0"/>
        <v>1.0641129618936993E-5</v>
      </c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</row>
    <row r="190" spans="1:25" ht="14.4">
      <c r="A190" s="99">
        <v>530469</v>
      </c>
      <c r="B190" s="98" t="s">
        <v>5205</v>
      </c>
      <c r="C190" s="101"/>
      <c r="D190" s="101"/>
      <c r="E190" s="101">
        <f ca="1">IFERROR(__xludf.DUMMYFUNCTION("GOOGLEFINANCE(""bom:""&amp;A190,""price"")"),36.88)</f>
        <v>36.880000000000003</v>
      </c>
      <c r="F190" s="112">
        <f ca="1">IFERROR(__xludf.DUMMYFUNCTION("GOOGLEFINANCE(""BOM:""&amp;A190,""MARKETCAP"")/10000000"),15.76657)</f>
        <v>15.76657</v>
      </c>
      <c r="G190" s="95">
        <f t="shared" ca="1" si="0"/>
        <v>9.8975822703320176E-6</v>
      </c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</row>
    <row r="191" spans="1:25" ht="14.4">
      <c r="A191" s="99">
        <v>539190</v>
      </c>
      <c r="B191" s="98" t="s">
        <v>5206</v>
      </c>
      <c r="C191" s="101"/>
      <c r="D191" s="101"/>
      <c r="E191" s="101">
        <f ca="1">IFERROR(__xludf.DUMMYFUNCTION("GOOGLEFINANCE(""bom:""&amp;A191,""price"")"),44.56)</f>
        <v>44.56</v>
      </c>
      <c r="F191" s="112">
        <f ca="1">IFERROR(__xludf.DUMMYFUNCTION("GOOGLEFINANCE(""BOM:""&amp;A191,""MARKETCAP"")/10000000"),15.5960004)</f>
        <v>15.596000399999999</v>
      </c>
      <c r="G191" s="95">
        <f t="shared" ca="1" si="0"/>
        <v>9.7905059278670658E-6</v>
      </c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</row>
    <row r="192" spans="1:25" ht="14.4">
      <c r="A192" s="99">
        <v>543256</v>
      </c>
      <c r="B192" s="98" t="s">
        <v>5207</v>
      </c>
      <c r="C192" s="101"/>
      <c r="D192" s="101"/>
      <c r="E192" s="101">
        <f ca="1">IFERROR(__xludf.DUMMYFUNCTION("GOOGLEFINANCE(""bom:""&amp;A192,""price"")"),17.27)</f>
        <v>17.27</v>
      </c>
      <c r="F192" s="112">
        <f ca="1">IFERROR(__xludf.DUMMYFUNCTION("GOOGLEFINANCE(""BOM:""&amp;A192,""MARKETCAP"")/10000000"),17.2700004)</f>
        <v>17.270000400000001</v>
      </c>
      <c r="G192" s="95">
        <f t="shared" ca="1" si="0"/>
        <v>1.0841371951392526E-5</v>
      </c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</row>
    <row r="193" spans="1:25" ht="14.4">
      <c r="A193" s="99">
        <v>532164</v>
      </c>
      <c r="B193" s="98" t="s">
        <v>5208</v>
      </c>
      <c r="C193" s="101"/>
      <c r="D193" s="101"/>
      <c r="E193" s="101">
        <f ca="1">IFERROR(__xludf.DUMMYFUNCTION("GOOGLEFINANCE(""bom:""&amp;A193,""price"")"),1.53)</f>
        <v>1.53</v>
      </c>
      <c r="F193" s="112">
        <f ca="1">IFERROR(__xludf.DUMMYFUNCTION("GOOGLEFINANCE(""BOM:""&amp;A193,""MARKETCAP"")/10000000"),15.2999997)</f>
        <v>15.299999700000001</v>
      </c>
      <c r="G193" s="95">
        <f t="shared" ca="1" si="0"/>
        <v>9.6046892740022205E-6</v>
      </c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</row>
    <row r="194" spans="1:25" ht="14.4">
      <c r="A194" s="99">
        <v>538975</v>
      </c>
      <c r="B194" s="98" t="s">
        <v>5209</v>
      </c>
      <c r="C194" s="101"/>
      <c r="D194" s="101"/>
      <c r="E194" s="101">
        <f ca="1">IFERROR(__xludf.DUMMYFUNCTION("GOOGLEFINANCE(""bom:""&amp;A194,""price"")"),0.19)</f>
        <v>0.19</v>
      </c>
      <c r="F194" s="112">
        <f ca="1">IFERROR(__xludf.DUMMYFUNCTION("GOOGLEFINANCE(""BOM:""&amp;A194,""MARKETCAP"")/10000000"),15.1619998)</f>
        <v>15.1619998</v>
      </c>
      <c r="G194" s="95">
        <f t="shared" ca="1" si="0"/>
        <v>9.5180588043726441E-6</v>
      </c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</row>
    <row r="195" spans="1:25" ht="14.4">
      <c r="A195" s="99">
        <v>531644</v>
      </c>
      <c r="B195" s="98" t="s">
        <v>5210</v>
      </c>
      <c r="C195" s="101"/>
      <c r="D195" s="101"/>
      <c r="E195" s="101">
        <f ca="1">IFERROR(__xludf.DUMMYFUNCTION("GOOGLEFINANCE(""bom:""&amp;A195,""price"")"),21)</f>
        <v>21</v>
      </c>
      <c r="F195" s="112">
        <f ca="1">IFERROR(__xludf.DUMMYFUNCTION("GOOGLEFINANCE(""BOM:""&amp;A195,""MARKETCAP"")/10000000"),14.6372037)</f>
        <v>14.637203700000001</v>
      </c>
      <c r="G195" s="95">
        <f t="shared" ca="1" si="0"/>
        <v>9.1886141264941084E-6</v>
      </c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</row>
    <row r="196" spans="1:25" ht="14.4">
      <c r="A196" s="99">
        <v>539468</v>
      </c>
      <c r="B196" s="98" t="s">
        <v>5211</v>
      </c>
      <c r="C196" s="101"/>
      <c r="D196" s="101"/>
      <c r="E196" s="101">
        <f ca="1">IFERROR(__xludf.DUMMYFUNCTION("GOOGLEFINANCE(""bom:""&amp;A196,""price"")"),49.35)</f>
        <v>49.35</v>
      </c>
      <c r="F196" s="112">
        <f ca="1">IFERROR(__xludf.DUMMYFUNCTION("GOOGLEFINANCE(""BOM:""&amp;A196,""MARKETCAP"")/10000000"),14.8079556)</f>
        <v>14.8079556</v>
      </c>
      <c r="G196" s="95">
        <f t="shared" ca="1" si="0"/>
        <v>9.29580490914788E-6</v>
      </c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</row>
    <row r="197" spans="1:25" ht="14.4">
      <c r="A197" s="99">
        <v>509024</v>
      </c>
      <c r="B197" s="98" t="s">
        <v>5212</v>
      </c>
      <c r="C197" s="101"/>
      <c r="D197" s="101"/>
      <c r="E197" s="101">
        <f ca="1">IFERROR(__xludf.DUMMYFUNCTION("GOOGLEFINANCE(""bom:""&amp;A197,""price"")"),9.9)</f>
        <v>9.9</v>
      </c>
      <c r="F197" s="112">
        <f ca="1">IFERROR(__xludf.DUMMYFUNCTION("GOOGLEFINANCE(""BOM:""&amp;A197,""MARKETCAP"")/10000000"),14.7212994)</f>
        <v>14.721299399999999</v>
      </c>
      <c r="G197" s="95">
        <f t="shared" ca="1" si="0"/>
        <v>9.2414058313056898E-6</v>
      </c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</row>
    <row r="198" spans="1:25" ht="14.4">
      <c r="A198" s="99">
        <v>538787</v>
      </c>
      <c r="B198" s="98" t="s">
        <v>5213</v>
      </c>
      <c r="C198" s="101"/>
      <c r="D198" s="101"/>
      <c r="E198" s="101">
        <f ca="1">IFERROR(__xludf.DUMMYFUNCTION("GOOGLEFINANCE(""bom:""&amp;A198,""price"")"),10.05)</f>
        <v>10.050000000000001</v>
      </c>
      <c r="F198" s="112">
        <f ca="1">IFERROR(__xludf.DUMMYFUNCTION("GOOGLEFINANCE(""BOM:""&amp;A198,""MARKETCAP"")/10000000"),13.0650906)</f>
        <v>13.0650906</v>
      </c>
      <c r="G198" s="95">
        <f t="shared" ca="1" si="0"/>
        <v>8.2017083666797209E-6</v>
      </c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</row>
    <row r="199" spans="1:25" ht="14.4">
      <c r="A199" s="99">
        <v>508956</v>
      </c>
      <c r="B199" s="98" t="s">
        <v>5214</v>
      </c>
      <c r="C199" s="101"/>
      <c r="D199" s="101"/>
      <c r="E199" s="101">
        <f ca="1">IFERROR(__xludf.DUMMYFUNCTION("GOOGLEFINANCE(""bom:""&amp;A199,""price"")"),11.5)</f>
        <v>11.5</v>
      </c>
      <c r="F199" s="112">
        <f ca="1">IFERROR(__xludf.DUMMYFUNCTION("GOOGLEFINANCE(""BOM:""&amp;A199,""MARKETCAP"")/10000000"),14.7921395)</f>
        <v>14.792139499999999</v>
      </c>
      <c r="G199" s="95">
        <f t="shared" ca="1" si="0"/>
        <v>9.2858762340495043E-6</v>
      </c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</row>
    <row r="200" spans="1:25" ht="14.4">
      <c r="A200" s="99">
        <v>539506</v>
      </c>
      <c r="B200" s="98" t="s">
        <v>5215</v>
      </c>
      <c r="C200" s="101"/>
      <c r="D200" s="101"/>
      <c r="E200" s="101">
        <f ca="1">IFERROR(__xludf.DUMMYFUNCTION("GOOGLEFINANCE(""bom:""&amp;A200,""price"")"),0.43)</f>
        <v>0.43</v>
      </c>
      <c r="F200" s="112">
        <f ca="1">IFERROR(__xludf.DUMMYFUNCTION("GOOGLEFINANCE(""BOM:""&amp;A200,""MARKETCAP"")/10000000"),14.2517482)</f>
        <v>14.2517482</v>
      </c>
      <c r="G200" s="95">
        <f t="shared" ca="1" si="0"/>
        <v>8.9466415527001896E-6</v>
      </c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</row>
    <row r="201" spans="1:25" ht="14.4">
      <c r="A201" s="99">
        <v>511377</v>
      </c>
      <c r="B201" s="98" t="s">
        <v>5216</v>
      </c>
      <c r="C201" s="101"/>
      <c r="D201" s="101"/>
      <c r="E201" s="101">
        <f ca="1">IFERROR(__xludf.DUMMYFUNCTION("GOOGLEFINANCE(""bom:""&amp;A201,""price"")"),28.5)</f>
        <v>28.5</v>
      </c>
      <c r="F201" s="112">
        <f ca="1">IFERROR(__xludf.DUMMYFUNCTION("GOOGLEFINANCE(""BOM:""&amp;A201,""MARKETCAP"")/10000000"),14.25)</f>
        <v>14.25</v>
      </c>
      <c r="G201" s="95">
        <f t="shared" ca="1" si="0"/>
        <v>8.9455441070715592E-6</v>
      </c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</row>
    <row r="202" spans="1:25" ht="14.4">
      <c r="A202" s="99">
        <v>539839</v>
      </c>
      <c r="B202" s="98" t="s">
        <v>5217</v>
      </c>
      <c r="C202" s="101"/>
      <c r="D202" s="101"/>
      <c r="E202" s="101">
        <f ca="1">IFERROR(__xludf.DUMMYFUNCTION("GOOGLEFINANCE(""bom:""&amp;A202,""price"")"),8.92)</f>
        <v>8.92</v>
      </c>
      <c r="F202" s="112">
        <f ca="1">IFERROR(__xludf.DUMMYFUNCTION("GOOGLEFINANCE(""BOM:""&amp;A202,""MARKETCAP"")/10000000"),14.077892)</f>
        <v>14.077892</v>
      </c>
      <c r="G202" s="95">
        <f t="shared" ca="1" si="0"/>
        <v>8.837502022497534E-6</v>
      </c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</row>
    <row r="203" spans="1:25" ht="14.4">
      <c r="A203" s="99">
        <v>531341</v>
      </c>
      <c r="B203" s="98" t="s">
        <v>5218</v>
      </c>
      <c r="C203" s="101"/>
      <c r="D203" s="101"/>
      <c r="E203" s="101">
        <f ca="1">IFERROR(__xludf.DUMMYFUNCTION("GOOGLEFINANCE(""bom:""&amp;A203,""price"")"),20.43)</f>
        <v>20.43</v>
      </c>
      <c r="F203" s="112">
        <f ca="1">IFERROR(__xludf.DUMMYFUNCTION("GOOGLEFINANCE(""BOM:""&amp;A203,""MARKETCAP"")/10000000"),15.3427198)</f>
        <v>15.342719799999999</v>
      </c>
      <c r="G203" s="95">
        <f t="shared" ca="1" si="0"/>
        <v>9.6315071363747457E-6</v>
      </c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</row>
    <row r="204" spans="1:25" ht="14.4">
      <c r="A204" s="99">
        <v>511507</v>
      </c>
      <c r="B204" s="98" t="s">
        <v>5219</v>
      </c>
      <c r="C204" s="101"/>
      <c r="D204" s="101"/>
      <c r="E204" s="101">
        <f ca="1">IFERROR(__xludf.DUMMYFUNCTION("GOOGLEFINANCE(""bom:""&amp;A204,""price"")"),51.11)</f>
        <v>51.11</v>
      </c>
      <c r="F204" s="112">
        <f ca="1">IFERROR(__xludf.DUMMYFUNCTION("GOOGLEFINANCE(""BOM:""&amp;A204,""MARKETCAP"")/10000000"),13.0049396)</f>
        <v>13.0049396</v>
      </c>
      <c r="G204" s="95">
        <f t="shared" ca="1" si="0"/>
        <v>8.1639481264281796E-6</v>
      </c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</row>
    <row r="205" spans="1:25" ht="14.4">
      <c r="A205" s="99">
        <v>531582</v>
      </c>
      <c r="B205" s="98" t="s">
        <v>5220</v>
      </c>
      <c r="C205" s="101"/>
      <c r="D205" s="101"/>
      <c r="E205" s="101">
        <f ca="1">IFERROR(__xludf.DUMMYFUNCTION("GOOGLEFINANCE(""bom:""&amp;A205,""price"")"),27.43)</f>
        <v>27.43</v>
      </c>
      <c r="F205" s="112">
        <f ca="1">IFERROR(__xludf.DUMMYFUNCTION("GOOGLEFINANCE(""BOM:""&amp;A205,""MARKETCAP"")/10000000"),13.30273)</f>
        <v>13.30273</v>
      </c>
      <c r="G205" s="95">
        <f t="shared" ca="1" si="0"/>
        <v>8.3508882778571259E-6</v>
      </c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</row>
    <row r="206" spans="1:25" ht="14.4">
      <c r="A206" s="99">
        <v>539124</v>
      </c>
      <c r="B206" s="98" t="s">
        <v>5221</v>
      </c>
      <c r="C206" s="101"/>
      <c r="D206" s="101"/>
      <c r="E206" s="101">
        <f ca="1">IFERROR(__xludf.DUMMYFUNCTION("GOOGLEFINANCE(""bom:""&amp;A206,""price"")"),18.93)</f>
        <v>18.93</v>
      </c>
      <c r="F206" s="112">
        <f ca="1">IFERROR(__xludf.DUMMYFUNCTION("GOOGLEFINANCE(""BOM:""&amp;A206,""MARKETCAP"")/10000000"),14.1975002)</f>
        <v>14.1975002</v>
      </c>
      <c r="G206" s="95">
        <f t="shared" ca="1" si="0"/>
        <v>8.9125869648601617E-6</v>
      </c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</row>
    <row r="207" spans="1:25" ht="14.4">
      <c r="A207" s="99">
        <v>539946</v>
      </c>
      <c r="B207" s="98" t="s">
        <v>5222</v>
      </c>
      <c r="C207" s="101"/>
      <c r="D207" s="101"/>
      <c r="E207" s="101">
        <f ca="1">IFERROR(__xludf.DUMMYFUNCTION("GOOGLEFINANCE(""bom:""&amp;A207,""price"")"),18.5)</f>
        <v>18.5</v>
      </c>
      <c r="F207" s="112">
        <f ca="1">IFERROR(__xludf.DUMMYFUNCTION("GOOGLEFINANCE(""BOM:""&amp;A207,""MARKETCAP"")/10000000"),17.7544426)</f>
        <v>17.754442600000001</v>
      </c>
      <c r="G207" s="95">
        <f t="shared" ca="1" si="0"/>
        <v>1.1145484166650546E-5</v>
      </c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</row>
    <row r="208" spans="1:25" ht="14.4">
      <c r="A208" s="99">
        <v>538857</v>
      </c>
      <c r="B208" s="98" t="s">
        <v>5223</v>
      </c>
      <c r="C208" s="101"/>
      <c r="D208" s="101"/>
      <c r="E208" s="101">
        <f ca="1">IFERROR(__xludf.DUMMYFUNCTION("GOOGLEFINANCE(""bom:""&amp;A208,""price"")"),14.4)</f>
        <v>14.4</v>
      </c>
      <c r="F208" s="112">
        <f ca="1">IFERROR(__xludf.DUMMYFUNCTION("GOOGLEFINANCE(""BOM:""&amp;A208,""MARKETCAP"")/10000000"),14.4399884)</f>
        <v>14.439988400000001</v>
      </c>
      <c r="G208" s="95">
        <f t="shared" ca="1" si="0"/>
        <v>9.0648107465123988E-6</v>
      </c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</row>
    <row r="209" spans="1:25" ht="14.4">
      <c r="A209" s="99">
        <v>531505</v>
      </c>
      <c r="B209" s="98" t="s">
        <v>5224</v>
      </c>
      <c r="C209" s="101"/>
      <c r="D209" s="101"/>
      <c r="E209" s="101">
        <f ca="1">IFERROR(__xludf.DUMMYFUNCTION("GOOGLEFINANCE(""bom:""&amp;A209,""price"")"),24.75)</f>
        <v>24.75</v>
      </c>
      <c r="F209" s="112">
        <f ca="1">IFERROR(__xludf.DUMMYFUNCTION("GOOGLEFINANCE(""BOM:""&amp;A209,""MARKETCAP"")/10000000"),12.52597)</f>
        <v>12.525969999999999</v>
      </c>
      <c r="G209" s="95">
        <f t="shared" ca="1" si="0"/>
        <v>7.8632713767617648E-6</v>
      </c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</row>
    <row r="210" spans="1:25" ht="14.4">
      <c r="A210" s="99">
        <v>507938</v>
      </c>
      <c r="B210" s="98" t="s">
        <v>5225</v>
      </c>
      <c r="C210" s="101"/>
      <c r="D210" s="101"/>
      <c r="E210" s="101">
        <f ca="1">IFERROR(__xludf.DUMMYFUNCTION("GOOGLEFINANCE(""bom:""&amp;A210,""price"")"),16.92)</f>
        <v>16.920000000000002</v>
      </c>
      <c r="F210" s="112">
        <f ca="1">IFERROR(__xludf.DUMMYFUNCTION("GOOGLEFINANCE(""BOM:""&amp;A210,""MARKETCAP"")/10000000"),14.180586)</f>
        <v>14.180586</v>
      </c>
      <c r="G210" s="95">
        <f t="shared" ca="1" si="0"/>
        <v>8.901968949271682E-6</v>
      </c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</row>
    <row r="211" spans="1:25" ht="14.4">
      <c r="A211" s="99">
        <v>539492</v>
      </c>
      <c r="B211" s="98" t="s">
        <v>5226</v>
      </c>
      <c r="C211" s="101"/>
      <c r="D211" s="101"/>
      <c r="E211" s="101">
        <f ca="1">IFERROR(__xludf.DUMMYFUNCTION("GOOGLEFINANCE(""bom:""&amp;A211,""price"")"),11.24)</f>
        <v>11.24</v>
      </c>
      <c r="F211" s="112">
        <f ca="1">IFERROR(__xludf.DUMMYFUNCTION("GOOGLEFINANCE(""BOM:""&amp;A211,""MARKETCAP"")/10000000"),13.1852728)</f>
        <v>13.1852728</v>
      </c>
      <c r="G211" s="95">
        <f t="shared" ca="1" si="0"/>
        <v>8.2771536418365568E-6</v>
      </c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</row>
    <row r="212" spans="1:25" ht="14.4">
      <c r="A212" s="99">
        <v>538708</v>
      </c>
      <c r="B212" s="98" t="s">
        <v>5227</v>
      </c>
      <c r="C212" s="101"/>
      <c r="D212" s="101"/>
      <c r="E212" s="101">
        <f ca="1">IFERROR(__xludf.DUMMYFUNCTION("GOOGLEFINANCE(""bom:""&amp;A212,""price"")"),6.9)</f>
        <v>6.9</v>
      </c>
      <c r="F212" s="112">
        <f ca="1">IFERROR(__xludf.DUMMYFUNCTION("GOOGLEFINANCE(""BOM:""&amp;A212,""MARKETCAP"")/10000000"),12.8820034)</f>
        <v>12.8820034</v>
      </c>
      <c r="G212" s="95">
        <f t="shared" ca="1" si="0"/>
        <v>8.0867740071681272E-6</v>
      </c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</row>
    <row r="213" spans="1:25" ht="14.4">
      <c r="A213" s="99">
        <v>538834</v>
      </c>
      <c r="B213" s="98" t="s">
        <v>5228</v>
      </c>
      <c r="C213" s="101"/>
      <c r="D213" s="101"/>
      <c r="E213" s="101">
        <f ca="1">IFERROR(__xludf.DUMMYFUNCTION("GOOGLEFINANCE(""bom:""&amp;A213,""price"")"),9.41)</f>
        <v>9.41</v>
      </c>
      <c r="F213" s="112">
        <f ca="1">IFERROR(__xludf.DUMMYFUNCTION("GOOGLEFINANCE(""BOM:""&amp;A213,""MARKETCAP"")/10000000"),12.0831994)</f>
        <v>12.0831994</v>
      </c>
      <c r="G213" s="95">
        <f t="shared" ca="1" si="0"/>
        <v>7.5853188201572357E-6</v>
      </c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</row>
    <row r="214" spans="1:25" ht="14.4">
      <c r="A214" s="99">
        <v>530167</v>
      </c>
      <c r="B214" s="98" t="s">
        <v>5229</v>
      </c>
      <c r="C214" s="101"/>
      <c r="D214" s="101"/>
      <c r="E214" s="101">
        <f ca="1">IFERROR(__xludf.DUMMYFUNCTION("GOOGLEFINANCE(""bom:""&amp;A214,""price"")"),13.99)</f>
        <v>13.99</v>
      </c>
      <c r="F214" s="112">
        <f ca="1">IFERROR(__xludf.DUMMYFUNCTION("GOOGLEFINANCE(""BOM:""&amp;A214,""MARKETCAP"")/10000000"),12.8209911)</f>
        <v>12.820991100000001</v>
      </c>
      <c r="G214" s="95">
        <f t="shared" ca="1" si="0"/>
        <v>8.0484730793980296E-6</v>
      </c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</row>
    <row r="215" spans="1:25" ht="14.4">
      <c r="A215" s="99">
        <v>530799</v>
      </c>
      <c r="B215" s="98" t="s">
        <v>5230</v>
      </c>
      <c r="C215" s="101"/>
      <c r="D215" s="101"/>
      <c r="E215" s="101">
        <f ca="1">IFERROR(__xludf.DUMMYFUNCTION("GOOGLEFINANCE(""bom:""&amp;A215,""price"")"),29.86)</f>
        <v>29.86</v>
      </c>
      <c r="F215" s="112">
        <f ca="1">IFERROR(__xludf.DUMMYFUNCTION("GOOGLEFINANCE(""BOM:""&amp;A215,""MARKETCAP"")/10000000"),11.3468002)</f>
        <v>11.346800200000001</v>
      </c>
      <c r="G215" s="95">
        <f t="shared" ca="1" si="0"/>
        <v>7.1230387132090108E-6</v>
      </c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</row>
    <row r="216" spans="1:25" ht="14.4">
      <c r="A216" s="99">
        <v>531235</v>
      </c>
      <c r="B216" s="98" t="s">
        <v>5231</v>
      </c>
      <c r="C216" s="101"/>
      <c r="D216" s="101"/>
      <c r="E216" s="101">
        <f ca="1">IFERROR(__xludf.DUMMYFUNCTION("GOOGLEFINANCE(""bom:""&amp;A216,""price"")"),39.62)</f>
        <v>39.619999999999997</v>
      </c>
      <c r="F216" s="112">
        <f ca="1">IFERROR(__xludf.DUMMYFUNCTION("GOOGLEFINANCE(""BOM:""&amp;A216,""MARKETCAP"")/10000000"),12.2821996)</f>
        <v>12.2821996</v>
      </c>
      <c r="G216" s="95">
        <f t="shared" ca="1" si="0"/>
        <v>7.7102426844671342E-6</v>
      </c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</row>
    <row r="217" spans="1:25" ht="14.4">
      <c r="A217" s="99">
        <v>536710</v>
      </c>
      <c r="B217" s="98" t="s">
        <v>5232</v>
      </c>
      <c r="C217" s="101"/>
      <c r="D217" s="101"/>
      <c r="E217" s="101">
        <f ca="1">IFERROR(__xludf.DUMMYFUNCTION("GOOGLEFINANCE(""bom:""&amp;A217,""price"")"),22.8)</f>
        <v>22.8</v>
      </c>
      <c r="F217" s="112">
        <f ca="1">IFERROR(__xludf.DUMMYFUNCTION("GOOGLEFINANCE(""BOM:""&amp;A217,""MARKETCAP"")/10000000"),12.25591)</f>
        <v>12.25591</v>
      </c>
      <c r="G217" s="95">
        <f t="shared" ca="1" si="0"/>
        <v>7.6937391913894311E-6</v>
      </c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</row>
    <row r="218" spans="1:25" ht="14.4">
      <c r="A218" s="99">
        <v>531758</v>
      </c>
      <c r="B218" s="98" t="s">
        <v>5233</v>
      </c>
      <c r="C218" s="101"/>
      <c r="D218" s="101"/>
      <c r="E218" s="101">
        <f ca="1">IFERROR(__xludf.DUMMYFUNCTION("GOOGLEFINANCE(""bom:""&amp;A218,""price"")"),10.76)</f>
        <v>10.76</v>
      </c>
      <c r="F218" s="112">
        <f ca="1">IFERROR(__xludf.DUMMYFUNCTION("GOOGLEFINANCE(""BOM:""&amp;A218,""MARKETCAP"")/10000000"),12.171497)</f>
        <v>12.171497</v>
      </c>
      <c r="G218" s="95">
        <f t="shared" ca="1" si="0"/>
        <v>7.6407482991290645E-6</v>
      </c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</row>
    <row r="219" spans="1:25" ht="14.4">
      <c r="A219" s="99">
        <v>531228</v>
      </c>
      <c r="B219" s="98" t="s">
        <v>5234</v>
      </c>
      <c r="C219" s="101"/>
      <c r="D219" s="101"/>
      <c r="E219" s="101">
        <f ca="1">IFERROR(__xludf.DUMMYFUNCTION("GOOGLEFINANCE(""bom:""&amp;A219,""price"")"),9.9)</f>
        <v>9.9</v>
      </c>
      <c r="F219" s="112">
        <f ca="1">IFERROR(__xludf.DUMMYFUNCTION("GOOGLEFINANCE(""BOM:""&amp;A219,""MARKETCAP"")/10000000"),12.2136196)</f>
        <v>12.213619599999999</v>
      </c>
      <c r="G219" s="95">
        <f t="shared" ca="1" si="0"/>
        <v>7.6671910764065753E-6</v>
      </c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</row>
    <row r="220" spans="1:25" ht="14.4">
      <c r="A220" s="99">
        <v>531091</v>
      </c>
      <c r="B220" s="98" t="s">
        <v>5235</v>
      </c>
      <c r="C220" s="101"/>
      <c r="D220" s="101"/>
      <c r="E220" s="101">
        <f ca="1">IFERROR(__xludf.DUMMYFUNCTION("GOOGLEFINANCE(""bom:""&amp;A220,""price"")"),22.84)</f>
        <v>22.84</v>
      </c>
      <c r="F220" s="112">
        <f ca="1">IFERROR(__xludf.DUMMYFUNCTION("GOOGLEFINANCE(""BOM:""&amp;A220,""MARKETCAP"")/10000000"),12.1687432)</f>
        <v>12.1687432</v>
      </c>
      <c r="G220" s="95">
        <f t="shared" ca="1" si="0"/>
        <v>7.6390195805773405E-6</v>
      </c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</row>
    <row r="221" spans="1:25" ht="14.4">
      <c r="A221" s="99">
        <v>538777</v>
      </c>
      <c r="B221" s="98" t="s">
        <v>5236</v>
      </c>
      <c r="C221" s="101"/>
      <c r="D221" s="101"/>
      <c r="E221" s="101">
        <f ca="1">IFERROR(__xludf.DUMMYFUNCTION("GOOGLEFINANCE(""bom:""&amp;A221,""price"")"),41.69)</f>
        <v>41.69</v>
      </c>
      <c r="F221" s="112">
        <f ca="1">IFERROR(__xludf.DUMMYFUNCTION("GOOGLEFINANCE(""BOM:""&amp;A221,""MARKETCAP"")/10000000"),12.8905434)</f>
        <v>12.8905434</v>
      </c>
      <c r="G221" s="95">
        <f t="shared" ca="1" si="0"/>
        <v>8.0921350560575577E-6</v>
      </c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</row>
    <row r="222" spans="1:25" ht="14.4">
      <c r="A222" s="99">
        <v>539016</v>
      </c>
      <c r="B222" s="98" t="s">
        <v>5237</v>
      </c>
      <c r="C222" s="101"/>
      <c r="D222" s="101"/>
      <c r="E222" s="101">
        <f ca="1">IFERROR(__xludf.DUMMYFUNCTION("GOOGLEFINANCE(""bom:""&amp;A222,""price"")"),6.49)</f>
        <v>6.49</v>
      </c>
      <c r="F222" s="112">
        <f ca="1">IFERROR(__xludf.DUMMYFUNCTION("GOOGLEFINANCE(""BOM:""&amp;A222,""MARKETCAP"")/10000000"),12.6900263)</f>
        <v>12.6900263</v>
      </c>
      <c r="G222" s="95">
        <f t="shared" ca="1" si="0"/>
        <v>7.966258946424429E-6</v>
      </c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</row>
    <row r="223" spans="1:25" ht="14.4">
      <c r="A223" s="99">
        <v>538928</v>
      </c>
      <c r="B223" s="98" t="s">
        <v>5238</v>
      </c>
      <c r="C223" s="101"/>
      <c r="D223" s="101"/>
      <c r="E223" s="101">
        <f ca="1">IFERROR(__xludf.DUMMYFUNCTION("GOOGLEFINANCE(""bom:""&amp;A223,""price"")"),1.2)</f>
        <v>1.2</v>
      </c>
      <c r="F223" s="112">
        <f ca="1">IFERROR(__xludf.DUMMYFUNCTION("GOOGLEFINANCE(""BOM:""&amp;A223,""MARKETCAP"")/10000000"),12.0600004)</f>
        <v>12.0600004</v>
      </c>
      <c r="G223" s="95">
        <f t="shared" ca="1" si="0"/>
        <v>7.5707554743509228E-6</v>
      </c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</row>
    <row r="224" spans="1:25" ht="14.4">
      <c r="A224" s="99">
        <v>500142</v>
      </c>
      <c r="B224" s="98" t="s">
        <v>5239</v>
      </c>
      <c r="C224" s="101"/>
      <c r="D224" s="101"/>
      <c r="E224" s="101">
        <f ca="1">IFERROR(__xludf.DUMMYFUNCTION("GOOGLEFINANCE(""bom:""&amp;A224,""price"")"),9.69)</f>
        <v>9.69</v>
      </c>
      <c r="F224" s="112">
        <f ca="1">IFERROR(__xludf.DUMMYFUNCTION("GOOGLEFINANCE(""BOM:""&amp;A224,""MARKETCAP"")/10000000"),11.5263029)</f>
        <v>11.526302899999999</v>
      </c>
      <c r="G224" s="95">
        <f t="shared" ca="1" si="0"/>
        <v>7.235722876029251E-6</v>
      </c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</row>
    <row r="225" spans="1:25" ht="14.4">
      <c r="A225" s="99">
        <v>534109</v>
      </c>
      <c r="B225" s="98" t="s">
        <v>5240</v>
      </c>
      <c r="C225" s="101"/>
      <c r="D225" s="101"/>
      <c r="E225" s="101">
        <f ca="1">IFERROR(__xludf.DUMMYFUNCTION("GOOGLEFINANCE(""bom:""&amp;A225,""price"")"),9.76)</f>
        <v>9.76</v>
      </c>
      <c r="F225" s="112">
        <f ca="1">IFERROR(__xludf.DUMMYFUNCTION("GOOGLEFINANCE(""BOM:""&amp;A225,""MARKETCAP"")/10000000"),11.2265183)</f>
        <v>11.2265183</v>
      </c>
      <c r="G225" s="95">
        <f t="shared" ca="1" si="0"/>
        <v>7.0475308506313002E-6</v>
      </c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</row>
    <row r="226" spans="1:25" ht="14.4">
      <c r="A226" s="99">
        <v>511710</v>
      </c>
      <c r="B226" s="98" t="s">
        <v>5241</v>
      </c>
      <c r="C226" s="101"/>
      <c r="D226" s="101"/>
      <c r="E226" s="101">
        <f ca="1">IFERROR(__xludf.DUMMYFUNCTION("GOOGLEFINANCE(""bom:""&amp;A226,""price"")"),1.82)</f>
        <v>1.82</v>
      </c>
      <c r="F226" s="112">
        <f ca="1">IFERROR(__xludf.DUMMYFUNCTION("GOOGLEFINANCE(""BOM:""&amp;A226,""MARKETCAP"")/10000000"),11.8609403)</f>
        <v>11.860940299999999</v>
      </c>
      <c r="G226" s="95">
        <f t="shared" ca="1" si="0"/>
        <v>7.4457940073679002E-6</v>
      </c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</row>
    <row r="227" spans="1:25" ht="14.4">
      <c r="A227" s="99">
        <v>500202</v>
      </c>
      <c r="B227" s="98" t="s">
        <v>5242</v>
      </c>
      <c r="C227" s="101"/>
      <c r="D227" s="101"/>
      <c r="E227" s="101">
        <f ca="1">IFERROR(__xludf.DUMMYFUNCTION("GOOGLEFINANCE(""bom:""&amp;A227,""price"")"),7.57)</f>
        <v>7.57</v>
      </c>
      <c r="F227" s="112">
        <f ca="1">IFERROR(__xludf.DUMMYFUNCTION("GOOGLEFINANCE(""BOM:""&amp;A227,""MARKETCAP"")/10000000"),11.1281122)</f>
        <v>11.1281122</v>
      </c>
      <c r="G227" s="95">
        <f t="shared" ca="1" si="0"/>
        <v>6.9857556851607814E-6</v>
      </c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</row>
    <row r="228" spans="1:25" ht="14.4">
      <c r="A228" s="99">
        <v>526869</v>
      </c>
      <c r="B228" s="98" t="s">
        <v>5243</v>
      </c>
      <c r="C228" s="101"/>
      <c r="D228" s="101"/>
      <c r="E228" s="101">
        <f ca="1">IFERROR(__xludf.DUMMYFUNCTION("GOOGLEFINANCE(""bom:""&amp;A228,""price"")"),21.45)</f>
        <v>21.45</v>
      </c>
      <c r="F228" s="112">
        <f ca="1">IFERROR(__xludf.DUMMYFUNCTION("GOOGLEFINANCE(""BOM:""&amp;A228,""MARKETCAP"")/10000000"),10.98634)</f>
        <v>10.98634</v>
      </c>
      <c r="G228" s="95">
        <f t="shared" ca="1" si="0"/>
        <v>6.8967571259848816E-6</v>
      </c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</row>
    <row r="229" spans="1:25" ht="14.4">
      <c r="A229" s="99">
        <v>538894</v>
      </c>
      <c r="B229" s="98" t="s">
        <v>5244</v>
      </c>
      <c r="C229" s="101"/>
      <c r="D229" s="101"/>
      <c r="E229" s="101">
        <f ca="1">IFERROR(__xludf.DUMMYFUNCTION("GOOGLEFINANCE(""bom:""&amp;A229,""price"")"),22.01)</f>
        <v>22.01</v>
      </c>
      <c r="F229" s="112">
        <f ca="1">IFERROR(__xludf.DUMMYFUNCTION("GOOGLEFINANCE(""BOM:""&amp;A229,""MARKETCAP"")/10000000"),11.00698)</f>
        <v>11.00698</v>
      </c>
      <c r="G229" s="95">
        <f t="shared" ca="1" si="0"/>
        <v>6.9097140403968089E-6</v>
      </c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</row>
    <row r="230" spans="1:25" ht="14.4">
      <c r="A230" s="99">
        <v>539090</v>
      </c>
      <c r="B230" s="98" t="s">
        <v>5245</v>
      </c>
      <c r="C230" s="101"/>
      <c r="D230" s="101"/>
      <c r="E230" s="101">
        <f ca="1">IFERROR(__xludf.DUMMYFUNCTION("GOOGLEFINANCE(""bom:""&amp;A230,""price"")"),32)</f>
        <v>32</v>
      </c>
      <c r="F230" s="112">
        <f ca="1">IFERROR(__xludf.DUMMYFUNCTION("GOOGLEFINANCE(""BOM:""&amp;A230,""MARKETCAP"")/10000000"),9.856)</f>
        <v>9.8559999999999999</v>
      </c>
      <c r="G230" s="95">
        <f t="shared" ca="1" si="0"/>
        <v>6.1871777346875296E-6</v>
      </c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</row>
    <row r="231" spans="1:25" ht="14.4">
      <c r="A231" s="99">
        <v>508963</v>
      </c>
      <c r="B231" s="98" t="s">
        <v>5246</v>
      </c>
      <c r="C231" s="101"/>
      <c r="D231" s="101"/>
      <c r="E231" s="101">
        <f ca="1">IFERROR(__xludf.DUMMYFUNCTION("GOOGLEFINANCE(""bom:""&amp;A231,""price"")"),13.88)</f>
        <v>13.88</v>
      </c>
      <c r="F231" s="112">
        <f ca="1">IFERROR(__xludf.DUMMYFUNCTION("GOOGLEFINANCE(""BOM:""&amp;A231,""MARKETCAP"")/10000000"),9.074189)</f>
        <v>9.0741890000000005</v>
      </c>
      <c r="G231" s="95">
        <f t="shared" ca="1" si="0"/>
        <v>5.696390030554637E-6</v>
      </c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</row>
    <row r="232" spans="1:25" ht="14.4">
      <c r="A232" s="99">
        <v>511493</v>
      </c>
      <c r="B232" s="98" t="s">
        <v>5247</v>
      </c>
      <c r="C232" s="101"/>
      <c r="D232" s="101"/>
      <c r="E232" s="101">
        <f ca="1">IFERROR(__xludf.DUMMYFUNCTION("GOOGLEFINANCE(""bom:""&amp;A232,""price"")"),2.92)</f>
        <v>2.92</v>
      </c>
      <c r="F232" s="112">
        <f ca="1">IFERROR(__xludf.DUMMYFUNCTION("GOOGLEFINANCE(""BOM:""&amp;A232,""MARKETCAP"")/10000000"),9.3481145)</f>
        <v>9.3481144999999994</v>
      </c>
      <c r="G232" s="95">
        <f t="shared" ca="1" si="0"/>
        <v>5.8683488124705402E-6</v>
      </c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</row>
    <row r="233" spans="1:25" ht="14.4">
      <c r="A233" s="99">
        <v>531387</v>
      </c>
      <c r="B233" s="98" t="s">
        <v>5248</v>
      </c>
      <c r="C233" s="101"/>
      <c r="D233" s="101"/>
      <c r="E233" s="101">
        <f ca="1">IFERROR(__xludf.DUMMYFUNCTION("GOOGLEFINANCE(""bom:""&amp;A233,""price"")"),8.46)</f>
        <v>8.4600000000000009</v>
      </c>
      <c r="F233" s="112">
        <f ca="1">IFERROR(__xludf.DUMMYFUNCTION("GOOGLEFINANCE(""BOM:""&amp;A233,""MARKETCAP"")/10000000"),9.1704116)</f>
        <v>9.1704115999999996</v>
      </c>
      <c r="G233" s="95">
        <f t="shared" ca="1" si="0"/>
        <v>5.7567944875649596E-6</v>
      </c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</row>
    <row r="234" spans="1:25" ht="14.4">
      <c r="A234" s="99">
        <v>531878</v>
      </c>
      <c r="B234" s="98" t="s">
        <v>5249</v>
      </c>
      <c r="C234" s="101"/>
      <c r="D234" s="101"/>
      <c r="E234" s="101">
        <f ca="1">IFERROR(__xludf.DUMMYFUNCTION("GOOGLEFINANCE(""bom:""&amp;A234,""price"")"),8.99)</f>
        <v>8.99</v>
      </c>
      <c r="F234" s="112">
        <f ca="1">IFERROR(__xludf.DUMMYFUNCTION("GOOGLEFINANCE(""BOM:""&amp;A234,""MARKETCAP"")/10000000"),9.1188174)</f>
        <v>9.1188173999999993</v>
      </c>
      <c r="G234" s="95">
        <f t="shared" ca="1" si="0"/>
        <v>5.7244058425285329E-6</v>
      </c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</row>
    <row r="235" spans="1:25" ht="14.4">
      <c r="A235" s="99">
        <v>538212</v>
      </c>
      <c r="B235" s="98" t="s">
        <v>5250</v>
      </c>
      <c r="C235" s="101"/>
      <c r="D235" s="101"/>
      <c r="E235" s="101">
        <f ca="1">IFERROR(__xludf.DUMMYFUNCTION("GOOGLEFINANCE(""bom:""&amp;A235,""price"")"),0.37)</f>
        <v>0.37</v>
      </c>
      <c r="F235" s="112">
        <f ca="1">IFERROR(__xludf.DUMMYFUNCTION("GOOGLEFINANCE(""BOM:""&amp;A235,""MARKETCAP"")/10000000"),8.9576076)</f>
        <v>8.9576075999999993</v>
      </c>
      <c r="G235" s="95">
        <f t="shared" ca="1" si="0"/>
        <v>5.623205184536099E-6</v>
      </c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</row>
    <row r="236" spans="1:25" ht="14.4">
      <c r="A236" s="99">
        <v>539384</v>
      </c>
      <c r="B236" s="98" t="s">
        <v>5251</v>
      </c>
      <c r="C236" s="101"/>
      <c r="D236" s="101"/>
      <c r="E236" s="101">
        <f ca="1">IFERROR(__xludf.DUMMYFUNCTION("GOOGLEFINANCE(""bom:""&amp;A236,""price"")"),31.47)</f>
        <v>31.47</v>
      </c>
      <c r="F236" s="112">
        <f ca="1">IFERROR(__xludf.DUMMYFUNCTION("GOOGLEFINANCE(""BOM:""&amp;A236,""MARKETCAP"")/10000000"),9.9394814)</f>
        <v>9.9394814</v>
      </c>
      <c r="G236" s="95">
        <f t="shared" ca="1" si="0"/>
        <v>6.2395838080784125E-6</v>
      </c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</row>
    <row r="237" spans="1:25" ht="14.4">
      <c r="A237" s="99">
        <v>531441</v>
      </c>
      <c r="B237" s="98" t="s">
        <v>5252</v>
      </c>
      <c r="C237" s="101"/>
      <c r="D237" s="101"/>
      <c r="E237" s="101">
        <f ca="1">IFERROR(__xludf.DUMMYFUNCTION("GOOGLEFINANCE(""bom:""&amp;A237,""price"")"),18.32)</f>
        <v>18.32</v>
      </c>
      <c r="F237" s="112">
        <f ca="1">IFERROR(__xludf.DUMMYFUNCTION("GOOGLEFINANCE(""BOM:""&amp;A237,""MARKETCAP"")/10000000"),8.570096)</f>
        <v>8.5700959999999995</v>
      </c>
      <c r="G237" s="95">
        <f t="shared" ca="1" si="0"/>
        <v>5.379941878585091E-6</v>
      </c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</row>
    <row r="238" spans="1:25" ht="14.4">
      <c r="A238" s="99">
        <v>501311</v>
      </c>
      <c r="B238" s="98" t="s">
        <v>5253</v>
      </c>
      <c r="C238" s="101"/>
      <c r="D238" s="101"/>
      <c r="E238" s="101">
        <f ca="1">IFERROR(__xludf.DUMMYFUNCTION("GOOGLEFINANCE(""bom:""&amp;A238,""price"")"),16.75)</f>
        <v>16.75</v>
      </c>
      <c r="F238" s="112">
        <f ca="1">IFERROR(__xludf.DUMMYFUNCTION("GOOGLEFINANCE(""BOM:""&amp;A238,""MARKETCAP"")/10000000"),8.375)</f>
        <v>8.375</v>
      </c>
      <c r="G238" s="95">
        <f t="shared" ca="1" si="0"/>
        <v>5.2574689050332852E-6</v>
      </c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</row>
    <row r="239" spans="1:25" ht="14.4">
      <c r="A239" s="99">
        <v>511688</v>
      </c>
      <c r="B239" s="98" t="s">
        <v>5254</v>
      </c>
      <c r="C239" s="101"/>
      <c r="D239" s="101"/>
      <c r="E239" s="101">
        <f ca="1">IFERROR(__xludf.DUMMYFUNCTION("GOOGLEFINANCE(""bom:""&amp;A239,""price"")"),12.2)</f>
        <v>12.2</v>
      </c>
      <c r="F239" s="112">
        <f ca="1">IFERROR(__xludf.DUMMYFUNCTION("GOOGLEFINANCE(""BOM:""&amp;A239,""MARKETCAP"")/10000000"),8.113)</f>
        <v>8.1129999999999995</v>
      </c>
      <c r="G239" s="95">
        <f t="shared" ca="1" si="0"/>
        <v>5.0929964449594075E-6</v>
      </c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</row>
    <row r="240" spans="1:25" ht="14.4">
      <c r="A240" s="99">
        <v>532113</v>
      </c>
      <c r="B240" s="98" t="s">
        <v>5255</v>
      </c>
      <c r="C240" s="101"/>
      <c r="D240" s="101"/>
      <c r="E240" s="101">
        <f ca="1">IFERROR(__xludf.DUMMYFUNCTION("GOOGLEFINANCE(""bom:""&amp;A240,""price"")"),11.65)</f>
        <v>11.65</v>
      </c>
      <c r="F240" s="112">
        <f ca="1">IFERROR(__xludf.DUMMYFUNCTION("GOOGLEFINANCE(""BOM:""&amp;A240,""MARKETCAP"")/10000000"),7.5299772)</f>
        <v>7.5299772000000003</v>
      </c>
      <c r="G240" s="95">
        <f t="shared" ca="1" si="0"/>
        <v>4.7269995205504001E-6</v>
      </c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</row>
    <row r="241" spans="1:25" ht="14.4">
      <c r="A241" s="99">
        <v>539662</v>
      </c>
      <c r="B241" s="98" t="s">
        <v>5256</v>
      </c>
      <c r="C241" s="101"/>
      <c r="D241" s="101"/>
      <c r="E241" s="101">
        <f ca="1">IFERROR(__xludf.DUMMYFUNCTION("GOOGLEFINANCE(""bom:""&amp;A241,""price"")"),8.15)</f>
        <v>8.15</v>
      </c>
      <c r="F241" s="112">
        <f ca="1">IFERROR(__xludf.DUMMYFUNCTION("GOOGLEFINANCE(""BOM:""&amp;A241,""MARKETCAP"")/10000000"),8.3158439)</f>
        <v>8.3158439000000008</v>
      </c>
      <c r="G241" s="95">
        <f t="shared" ca="1" si="0"/>
        <v>5.2203332206997886E-6</v>
      </c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</row>
    <row r="242" spans="1:25" ht="14.4">
      <c r="A242" s="99">
        <v>538464</v>
      </c>
      <c r="B242" s="98" t="s">
        <v>5257</v>
      </c>
      <c r="C242" s="101"/>
      <c r="D242" s="101"/>
      <c r="E242" s="101">
        <f ca="1">IFERROR(__xludf.DUMMYFUNCTION("GOOGLEFINANCE(""bom:""&amp;A242,""price"")"),4.34)</f>
        <v>4.34</v>
      </c>
      <c r="F242" s="112">
        <f ca="1">IFERROR(__xludf.DUMMYFUNCTION("GOOGLEFINANCE(""BOM:""&amp;A242,""MARKETCAP"")/10000000"),8.7723858)</f>
        <v>8.7723858000000003</v>
      </c>
      <c r="G242" s="95">
        <f t="shared" ca="1" si="0"/>
        <v>5.506930813905139E-6</v>
      </c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</row>
    <row r="243" spans="1:25" ht="14.4">
      <c r="A243" s="99">
        <v>531272</v>
      </c>
      <c r="B243" s="98" t="s">
        <v>5258</v>
      </c>
      <c r="C243" s="101"/>
      <c r="D243" s="101"/>
      <c r="E243" s="101">
        <f ca="1">IFERROR(__xludf.DUMMYFUNCTION("GOOGLEFINANCE(""bom:""&amp;A243,""price"")"),22.32)</f>
        <v>22.32</v>
      </c>
      <c r="F243" s="112">
        <f ca="1">IFERROR(__xludf.DUMMYFUNCTION("GOOGLEFINANCE(""BOM:""&amp;A243,""MARKETCAP"")/10000000"),7.63277)</f>
        <v>7.6327699999999998</v>
      </c>
      <c r="G243" s="95">
        <f t="shared" ca="1" si="0"/>
        <v>4.7915284697636904E-6</v>
      </c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</row>
    <row r="244" spans="1:25" ht="14.4">
      <c r="A244" s="99">
        <v>526859</v>
      </c>
      <c r="B244" s="98" t="s">
        <v>5259</v>
      </c>
      <c r="C244" s="101"/>
      <c r="D244" s="101"/>
      <c r="E244" s="101">
        <f ca="1">IFERROR(__xludf.DUMMYFUNCTION("GOOGLEFINANCE(""bom:""&amp;A244,""price"")"),0.93)</f>
        <v>0.93</v>
      </c>
      <c r="F244" s="112">
        <f ca="1">IFERROR(__xludf.DUMMYFUNCTION("GOOGLEFINANCE(""BOM:""&amp;A244,""MARKETCAP"")/10000000"),8.835)</f>
        <v>8.8350000000000009</v>
      </c>
      <c r="G244" s="95">
        <f t="shared" ca="1" si="0"/>
        <v>5.5462373463843676E-6</v>
      </c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</row>
    <row r="245" spans="1:25" ht="14.4">
      <c r="A245" s="99">
        <v>531314</v>
      </c>
      <c r="B245" s="98" t="s">
        <v>5260</v>
      </c>
      <c r="C245" s="101"/>
      <c r="D245" s="101"/>
      <c r="E245" s="101">
        <f ca="1">IFERROR(__xludf.DUMMYFUNCTION("GOOGLEFINANCE(""bom:""&amp;A245,""price"")"),14.42)</f>
        <v>14.42</v>
      </c>
      <c r="F245" s="112">
        <f ca="1">IFERROR(__xludf.DUMMYFUNCTION("GOOGLEFINANCE(""BOM:""&amp;A245,""MARKETCAP"")/10000000"),6.781438)</f>
        <v>6.7814379999999996</v>
      </c>
      <c r="G245" s="95">
        <f t="shared" ca="1" si="0"/>
        <v>4.2570984377804312E-6</v>
      </c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</row>
    <row r="246" spans="1:25" ht="14.4">
      <c r="A246" s="99">
        <v>530187</v>
      </c>
      <c r="B246" s="98" t="s">
        <v>5261</v>
      </c>
      <c r="C246" s="101"/>
      <c r="D246" s="101"/>
      <c r="E246" s="101">
        <f ca="1">IFERROR(__xludf.DUMMYFUNCTION("GOOGLEFINANCE(""bom:""&amp;A246,""price"")"),3.56)</f>
        <v>3.56</v>
      </c>
      <c r="F246" s="112">
        <f ca="1">IFERROR(__xludf.DUMMYFUNCTION("GOOGLEFINANCE(""BOM:""&amp;A246,""MARKETCAP"")/10000000"),6.0519999)</f>
        <v>6.0519999000000002</v>
      </c>
      <c r="G246" s="95">
        <f t="shared" ca="1" si="0"/>
        <v>3.7991882134345735E-6</v>
      </c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</row>
    <row r="247" spans="1:25" ht="14.4">
      <c r="A247" s="99">
        <v>511728</v>
      </c>
      <c r="B247" s="98" t="s">
        <v>5262</v>
      </c>
      <c r="C247" s="101"/>
      <c r="D247" s="101"/>
      <c r="E247" s="101">
        <f ca="1">IFERROR(__xludf.DUMMYFUNCTION("GOOGLEFINANCE(""bom:""&amp;A247,""price"")"),20.68)</f>
        <v>20.68</v>
      </c>
      <c r="F247" s="112">
        <f ca="1">IFERROR(__xludf.DUMMYFUNCTION("GOOGLEFINANCE(""BOM:""&amp;A247,""MARKETCAP"")/10000000"),6.2891996)</f>
        <v>6.2891995999999999</v>
      </c>
      <c r="G247" s="95">
        <f t="shared" ca="1" si="0"/>
        <v>3.9480920996474955E-6</v>
      </c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</row>
    <row r="248" spans="1:25" ht="14.4">
      <c r="A248" s="99">
        <v>538881</v>
      </c>
      <c r="B248" s="98" t="s">
        <v>5263</v>
      </c>
      <c r="C248" s="101"/>
      <c r="D248" s="101"/>
      <c r="E248" s="101">
        <f ca="1">IFERROR(__xludf.DUMMYFUNCTION("GOOGLEFINANCE(""bom:""&amp;A248,""price"")"),21.92)</f>
        <v>21.92</v>
      </c>
      <c r="F248" s="112">
        <f ca="1">IFERROR(__xludf.DUMMYFUNCTION("GOOGLEFINANCE(""BOM:""&amp;A248,""MARKETCAP"")/10000000"),6.576)</f>
        <v>6.5759999999999996</v>
      </c>
      <c r="G248" s="95">
        <f t="shared" ca="1" si="0"/>
        <v>4.1281331963580756E-6</v>
      </c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</row>
    <row r="249" spans="1:25" ht="14.4">
      <c r="A249" s="99">
        <v>538952</v>
      </c>
      <c r="B249" s="98" t="s">
        <v>5264</v>
      </c>
      <c r="C249" s="101"/>
      <c r="D249" s="101"/>
      <c r="E249" s="101">
        <f ca="1">IFERROR(__xludf.DUMMYFUNCTION("GOOGLEFINANCE(""bom:""&amp;A249,""price"")"),1.3)</f>
        <v>1.3</v>
      </c>
      <c r="F249" s="112">
        <f ca="1">IFERROR(__xludf.DUMMYFUNCTION("GOOGLEFINANCE(""BOM:""&amp;A249,""MARKETCAP"")/10000000"),6.4973997)</f>
        <v>6.4973996999999999</v>
      </c>
      <c r="G249" s="95">
        <f t="shared" ca="1" si="0"/>
        <v>4.0787912700086682E-6</v>
      </c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</row>
    <row r="250" spans="1:25" ht="14.4">
      <c r="A250" s="99">
        <v>531288</v>
      </c>
      <c r="B250" s="98" t="s">
        <v>5265</v>
      </c>
      <c r="C250" s="101"/>
      <c r="D250" s="101"/>
      <c r="E250" s="101">
        <f ca="1">IFERROR(__xludf.DUMMYFUNCTION("GOOGLEFINANCE(""bom:""&amp;A250,""price"")"),18)</f>
        <v>18</v>
      </c>
      <c r="F250" s="112">
        <f ca="1">IFERROR(__xludf.DUMMYFUNCTION("GOOGLEFINANCE(""BOM:""&amp;A250,""MARKETCAP"")/10000000"),5.94)</f>
        <v>5.94</v>
      </c>
      <c r="G250" s="95">
        <f t="shared" ca="1" si="0"/>
        <v>3.728879438316145E-6</v>
      </c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</row>
    <row r="251" spans="1:25" ht="14.4">
      <c r="A251" s="99">
        <v>535910</v>
      </c>
      <c r="B251" s="98" t="s">
        <v>5266</v>
      </c>
      <c r="C251" s="101"/>
      <c r="D251" s="101"/>
      <c r="E251" s="101">
        <f ca="1">IFERROR(__xludf.DUMMYFUNCTION("GOOGLEFINANCE(""bom:""&amp;A251,""price"")"),0.61)</f>
        <v>0.61</v>
      </c>
      <c r="F251" s="112">
        <f ca="1">IFERROR(__xludf.DUMMYFUNCTION("GOOGLEFINANCE(""BOM:""&amp;A251,""MARKETCAP"")/10000000"),6.1233143)</f>
        <v>6.1233142999999997</v>
      </c>
      <c r="G251" s="95">
        <f t="shared" ca="1" si="0"/>
        <v>3.8439563615517204E-6</v>
      </c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</row>
    <row r="252" spans="1:25" ht="14.4">
      <c r="A252" s="99">
        <v>531432</v>
      </c>
      <c r="B252" s="98" t="s">
        <v>5267</v>
      </c>
      <c r="C252" s="101"/>
      <c r="D252" s="101"/>
      <c r="E252" s="101">
        <f ca="1">IFERROR(__xludf.DUMMYFUNCTION("GOOGLEFINANCE(""bom:""&amp;A252,""price"")"),11.33)</f>
        <v>11.33</v>
      </c>
      <c r="F252" s="112">
        <f ca="1">IFERROR(__xludf.DUMMYFUNCTION("GOOGLEFINANCE(""BOM:""&amp;A252,""MARKETCAP"")/10000000"),5.665)</f>
        <v>5.665</v>
      </c>
      <c r="G252" s="95">
        <f t="shared" ca="1" si="0"/>
        <v>3.5562461309866936E-6</v>
      </c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</row>
    <row r="253" spans="1:25" ht="14.4">
      <c r="A253" s="99">
        <v>539110</v>
      </c>
      <c r="B253" s="98" t="s">
        <v>5268</v>
      </c>
      <c r="C253" s="101"/>
      <c r="D253" s="101"/>
      <c r="E253" s="101">
        <f ca="1">IFERROR(__xludf.DUMMYFUNCTION("GOOGLEFINANCE(""bom:""&amp;A253,""price"")"),18.23)</f>
        <v>18.23</v>
      </c>
      <c r="F253" s="112">
        <f ca="1">IFERROR(__xludf.DUMMYFUNCTION("GOOGLEFINANCE(""BOM:""&amp;A253,""MARKETCAP"")/10000000"),5.92475)</f>
        <v>5.9247500000000004</v>
      </c>
      <c r="G253" s="95">
        <f t="shared" ca="1" si="0"/>
        <v>3.7193061367278757E-6</v>
      </c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</row>
    <row r="254" spans="1:25" ht="14.4">
      <c r="A254" s="99">
        <v>531433</v>
      </c>
      <c r="B254" s="98" t="s">
        <v>5269</v>
      </c>
      <c r="C254" s="101"/>
      <c r="D254" s="101"/>
      <c r="E254" s="101">
        <f ca="1">IFERROR(__xludf.DUMMYFUNCTION("GOOGLEFINANCE(""bom:""&amp;A254,""price"")"),3.3)</f>
        <v>3.3</v>
      </c>
      <c r="F254" s="112">
        <f ca="1">IFERROR(__xludf.DUMMYFUNCTION("GOOGLEFINANCE(""BOM:""&amp;A254,""MARKETCAP"")/10000000"),6.0731483)</f>
        <v>6.0731482999999997</v>
      </c>
      <c r="G254" s="95">
        <f t="shared" ca="1" si="0"/>
        <v>3.812464279749941E-6</v>
      </c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</row>
    <row r="255" spans="1:25" ht="14.4">
      <c r="A255" s="99">
        <v>539621</v>
      </c>
      <c r="B255" s="98" t="s">
        <v>5270</v>
      </c>
      <c r="C255" s="101"/>
      <c r="D255" s="101"/>
      <c r="E255" s="101">
        <f ca="1">IFERROR(__xludf.DUMMYFUNCTION("GOOGLEFINANCE(""bom:""&amp;A255,""price"")"),0.51)</f>
        <v>0.51</v>
      </c>
      <c r="F255" s="112">
        <f ca="1">IFERROR(__xludf.DUMMYFUNCTION("GOOGLEFINANCE(""BOM:""&amp;A255,""MARKETCAP"")/10000000"),5.9465998)</f>
        <v>5.9465998000000004</v>
      </c>
      <c r="G255" s="95">
        <f t="shared" ca="1" si="0"/>
        <v>3.7330225121405558E-6</v>
      </c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</row>
    <row r="256" spans="1:25" ht="14.4">
      <c r="A256" s="99">
        <v>526887</v>
      </c>
      <c r="B256" s="98" t="s">
        <v>5271</v>
      </c>
      <c r="C256" s="101"/>
      <c r="D256" s="101"/>
      <c r="E256" s="101">
        <f ca="1">IFERROR(__xludf.DUMMYFUNCTION("GOOGLEFINANCE(""bom:""&amp;A256,""price"")"),8.46)</f>
        <v>8.4600000000000009</v>
      </c>
      <c r="F256" s="112">
        <f ca="1">IFERROR(__xludf.DUMMYFUNCTION("GOOGLEFINANCE(""BOM:""&amp;A256,""MARKETCAP"")/10000000"),6.1172568)</f>
        <v>6.1172567999999998</v>
      </c>
      <c r="G256" s="95">
        <f t="shared" ca="1" si="0"/>
        <v>3.8401537206093631E-6</v>
      </c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</row>
    <row r="257" spans="1:25" ht="14.4">
      <c r="A257" s="99">
        <v>511734</v>
      </c>
      <c r="B257" s="98" t="s">
        <v>5272</v>
      </c>
      <c r="C257" s="101"/>
      <c r="D257" s="101"/>
      <c r="E257" s="101">
        <f ca="1">IFERROR(__xludf.DUMMYFUNCTION("GOOGLEFINANCE(""bom:""&amp;A257,""price"")"),11.05)</f>
        <v>11.05</v>
      </c>
      <c r="F257" s="112">
        <f ca="1">IFERROR(__xludf.DUMMYFUNCTION("GOOGLEFINANCE(""BOM:""&amp;A257,""MARKETCAP"")/10000000"),5.1935)</f>
        <v>5.1935000000000002</v>
      </c>
      <c r="G257" s="95">
        <f t="shared" ref="G257:G300" ca="1" si="1">F257/$F$302</f>
        <v>3.260258478601835E-6</v>
      </c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</row>
    <row r="258" spans="1:25" ht="14.4">
      <c r="A258" s="99">
        <v>538860</v>
      </c>
      <c r="B258" s="98" t="s">
        <v>5273</v>
      </c>
      <c r="C258" s="101"/>
      <c r="D258" s="101"/>
      <c r="E258" s="101">
        <f ca="1">IFERROR(__xludf.DUMMYFUNCTION("GOOGLEFINANCE(""bom:""&amp;A258,""price"")"),0.72)</f>
        <v>0.72</v>
      </c>
      <c r="F258" s="112">
        <f ca="1">IFERROR(__xludf.DUMMYFUNCTION("GOOGLEFINANCE(""BOM:""&amp;A258,""MARKETCAP"")/10000000"),5.9130002)</f>
        <v>5.9130001999999999</v>
      </c>
      <c r="G258" s="95">
        <f t="shared" ca="1" si="1"/>
        <v>3.7119301118752951E-6</v>
      </c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</row>
    <row r="259" spans="1:25" ht="14.4">
      <c r="A259" s="99">
        <v>535514</v>
      </c>
      <c r="B259" s="98" t="s">
        <v>5274</v>
      </c>
      <c r="C259" s="101"/>
      <c r="D259" s="101"/>
      <c r="E259" s="101">
        <f ca="1">IFERROR(__xludf.DUMMYFUNCTION("GOOGLEFINANCE(""bom:""&amp;A259,""price"")"),5.37)</f>
        <v>5.37</v>
      </c>
      <c r="F259" s="112">
        <f ca="1">IFERROR(__xludf.DUMMYFUNCTION("GOOGLEFINANCE(""BOM:""&amp;A259,""MARKETCAP"")/10000000"),5.3700482)</f>
        <v>5.3700482000000003</v>
      </c>
      <c r="G259" s="95">
        <f t="shared" ca="1" si="1"/>
        <v>3.3710879319438765E-6</v>
      </c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</row>
    <row r="260" spans="1:25" ht="14.4">
      <c r="A260" s="99">
        <v>539835</v>
      </c>
      <c r="B260" s="98" t="s">
        <v>5275</v>
      </c>
      <c r="C260" s="101"/>
      <c r="D260" s="101"/>
      <c r="E260" s="101">
        <f ca="1">IFERROR(__xludf.DUMMYFUNCTION("GOOGLEFINANCE(""bom:""&amp;A260,""price"")"),1.74)</f>
        <v>1.74</v>
      </c>
      <c r="F260" s="112">
        <f ca="1">IFERROR(__xludf.DUMMYFUNCTION("GOOGLEFINANCE(""BOM:""&amp;A260,""MARKETCAP"")/10000000"),5.22174)</f>
        <v>5.2217399999999996</v>
      </c>
      <c r="G260" s="95">
        <f t="shared" ca="1" si="1"/>
        <v>3.277986349870866E-6</v>
      </c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</row>
    <row r="261" spans="1:25" ht="14.4">
      <c r="A261" s="99">
        <v>509038</v>
      </c>
      <c r="B261" s="98" t="s">
        <v>5276</v>
      </c>
      <c r="C261" s="101"/>
      <c r="D261" s="101"/>
      <c r="E261" s="101">
        <f ca="1">IFERROR(__xludf.DUMMYFUNCTION("GOOGLEFINANCE(""bom:""&amp;A261,""price"")"),11.54)</f>
        <v>11.54</v>
      </c>
      <c r="F261" s="112">
        <f ca="1">IFERROR(__xludf.DUMMYFUNCTION("GOOGLEFINANCE(""BOM:""&amp;A261,""MARKETCAP"")/10000000"),4.7521719)</f>
        <v>4.7521718999999996</v>
      </c>
      <c r="G261" s="95">
        <f t="shared" ca="1" si="1"/>
        <v>2.9832114621639334E-6</v>
      </c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</row>
    <row r="262" spans="1:25" ht="14.4">
      <c r="A262" s="99">
        <v>530271</v>
      </c>
      <c r="B262" s="98" t="s">
        <v>5277</v>
      </c>
      <c r="C262" s="101"/>
      <c r="D262" s="101"/>
      <c r="E262" s="101">
        <f ca="1">IFERROR(__xludf.DUMMYFUNCTION("GOOGLEFINANCE(""bom:""&amp;A262,""price"")"),6.46)</f>
        <v>6.46</v>
      </c>
      <c r="F262" s="112">
        <f ca="1">IFERROR(__xludf.DUMMYFUNCTION("GOOGLEFINANCE(""BOM:""&amp;A262,""MARKETCAP"")/10000000"),4.6853088)</f>
        <v>4.6853087999999996</v>
      </c>
      <c r="G262" s="95">
        <f t="shared" ca="1" si="1"/>
        <v>2.9412376509228436E-6</v>
      </c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</row>
    <row r="263" spans="1:25" ht="14.4">
      <c r="A263" s="99">
        <v>539495</v>
      </c>
      <c r="B263" s="98" t="s">
        <v>5278</v>
      </c>
      <c r="C263" s="101"/>
      <c r="D263" s="101"/>
      <c r="E263" s="101">
        <f ca="1">IFERROR(__xludf.DUMMYFUNCTION("GOOGLEFINANCE(""bom:""&amp;A263,""price"")"),42.51)</f>
        <v>42.51</v>
      </c>
      <c r="F263" s="112">
        <f ca="1">IFERROR(__xludf.DUMMYFUNCTION("GOOGLEFINANCE(""BOM:""&amp;A263,""MARKETCAP"")/10000000"),4.251)</f>
        <v>4.2510000000000003</v>
      </c>
      <c r="G263" s="95">
        <f t="shared" ca="1" si="1"/>
        <v>2.6685970525727159E-6</v>
      </c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</row>
    <row r="264" spans="1:25" ht="14.4">
      <c r="A264" s="99">
        <v>519214</v>
      </c>
      <c r="B264" s="98" t="s">
        <v>5279</v>
      </c>
      <c r="C264" s="101"/>
      <c r="D264" s="101"/>
      <c r="E264" s="101">
        <f ca="1">IFERROR(__xludf.DUMMYFUNCTION("GOOGLEFINANCE(""bom:""&amp;A264,""price"")"),5.81)</f>
        <v>5.81</v>
      </c>
      <c r="F264" s="112">
        <f ca="1">IFERROR(__xludf.DUMMYFUNCTION("GOOGLEFINANCE(""BOM:""&amp;A264,""MARKETCAP"")/10000000"),4.8566573)</f>
        <v>4.8566573000000002</v>
      </c>
      <c r="G264" s="95">
        <f t="shared" ca="1" si="1"/>
        <v>3.0488029536898998E-6</v>
      </c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</row>
    <row r="265" spans="1:25" ht="14.4">
      <c r="A265" s="99">
        <v>530439</v>
      </c>
      <c r="B265" s="98" t="s">
        <v>5280</v>
      </c>
      <c r="C265" s="101"/>
      <c r="D265" s="101"/>
      <c r="E265" s="101">
        <f ca="1">IFERROR(__xludf.DUMMYFUNCTION("GOOGLEFINANCE(""bom:""&amp;A265,""price"")"),4.25)</f>
        <v>4.25</v>
      </c>
      <c r="F265" s="112">
        <f ca="1">IFERROR(__xludf.DUMMYFUNCTION("GOOGLEFINANCE(""BOM:""&amp;A265,""MARKETCAP"")/10000000"),4.24915)</f>
        <v>4.2491500000000002</v>
      </c>
      <c r="G265" s="95">
        <f t="shared" ca="1" si="1"/>
        <v>2.6674357012324998E-6</v>
      </c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</row>
    <row r="266" spans="1:25" ht="14.4">
      <c r="A266" s="99">
        <v>531051</v>
      </c>
      <c r="B266" s="98" t="s">
        <v>5281</v>
      </c>
      <c r="C266" s="101"/>
      <c r="D266" s="101"/>
      <c r="E266" s="101">
        <f ca="1">IFERROR(__xludf.DUMMYFUNCTION("GOOGLEFINANCE(""bom:""&amp;A266,""price"")"),11.97)</f>
        <v>11.97</v>
      </c>
      <c r="F266" s="112">
        <f ca="1">IFERROR(__xludf.DUMMYFUNCTION("GOOGLEFINANCE(""BOM:""&amp;A266,""MARKETCAP"")/10000000"),4.3891596)</f>
        <v>4.3891596000000002</v>
      </c>
      <c r="G266" s="95">
        <f t="shared" ca="1" si="1"/>
        <v>2.7553277750720399E-6</v>
      </c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</row>
    <row r="267" spans="1:25" ht="14.4">
      <c r="A267" s="99">
        <v>511451</v>
      </c>
      <c r="B267" s="98" t="s">
        <v>5282</v>
      </c>
      <c r="C267" s="101"/>
      <c r="D267" s="101"/>
      <c r="E267" s="101">
        <f ca="1">IFERROR(__xludf.DUMMYFUNCTION("GOOGLEFINANCE(""bom:""&amp;A267,""price"")"),8.64)</f>
        <v>8.64</v>
      </c>
      <c r="F267" s="112">
        <f ca="1">IFERROR(__xludf.DUMMYFUNCTION("GOOGLEFINANCE(""BOM:""&amp;A267,""MARKETCAP"")/10000000"),4.3151617)</f>
        <v>4.3151617</v>
      </c>
      <c r="G267" s="95">
        <f t="shared" ca="1" si="1"/>
        <v>2.708875039754098E-6</v>
      </c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</row>
    <row r="268" spans="1:25" ht="14.4">
      <c r="A268" s="99">
        <v>539408</v>
      </c>
      <c r="B268" s="98" t="s">
        <v>5283</v>
      </c>
      <c r="C268" s="101"/>
      <c r="D268" s="101"/>
      <c r="E268" s="101">
        <f ca="1">IFERROR(__xludf.DUMMYFUNCTION("GOOGLEFINANCE(""bom:""&amp;A268,""price"")"),11.94)</f>
        <v>11.94</v>
      </c>
      <c r="F268" s="112">
        <f ca="1">IFERROR(__xludf.DUMMYFUNCTION("GOOGLEFINANCE(""BOM:""&amp;A268,""MARKETCAP"")/10000000"),4.0990018)</f>
        <v>4.0990017999999999</v>
      </c>
      <c r="G268" s="95">
        <f t="shared" ca="1" si="1"/>
        <v>2.5731790453940854E-6</v>
      </c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</row>
    <row r="269" spans="1:25" ht="14.4">
      <c r="A269" s="99">
        <v>542377</v>
      </c>
      <c r="B269" s="98" t="s">
        <v>5284</v>
      </c>
      <c r="C269" s="101"/>
      <c r="D269" s="101"/>
      <c r="E269" s="101">
        <f ca="1">IFERROR(__xludf.DUMMYFUNCTION("GOOGLEFINANCE(""bom:""&amp;A269,""price"")"),13.57)</f>
        <v>13.57</v>
      </c>
      <c r="F269" s="112">
        <f ca="1">IFERROR(__xludf.DUMMYFUNCTION("GOOGLEFINANCE(""BOM:""&amp;A269,""MARKETCAP"")/10000000"),4.071)</f>
        <v>4.0709999999999997</v>
      </c>
      <c r="G269" s="95">
        <f t="shared" ca="1" si="1"/>
        <v>2.5556007059570749E-6</v>
      </c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</row>
    <row r="270" spans="1:25" ht="14.4">
      <c r="A270" s="99">
        <v>530663</v>
      </c>
      <c r="B270" s="98" t="s">
        <v>5285</v>
      </c>
      <c r="C270" s="101"/>
      <c r="D270" s="101"/>
      <c r="E270" s="101">
        <f ca="1">IFERROR(__xludf.DUMMYFUNCTION("GOOGLEFINANCE(""bom:""&amp;A270,""price"")"),0.75)</f>
        <v>0.75</v>
      </c>
      <c r="F270" s="112">
        <f ca="1">IFERROR(__xludf.DUMMYFUNCTION("GOOGLEFINANCE(""BOM:""&amp;A270,""MARKETCAP"")/10000000"),3.9703125)</f>
        <v>3.9703124999999999</v>
      </c>
      <c r="G270" s="95">
        <f t="shared" ca="1" si="1"/>
        <v>2.4923933745689511E-6</v>
      </c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</row>
    <row r="271" spans="1:25" ht="14.4">
      <c r="A271" s="99">
        <v>531283</v>
      </c>
      <c r="B271" s="98" t="s">
        <v>5286</v>
      </c>
      <c r="C271" s="101"/>
      <c r="D271" s="101"/>
      <c r="E271" s="101">
        <f ca="1">IFERROR(__xludf.DUMMYFUNCTION("GOOGLEFINANCE(""bom:""&amp;A271,""price"")"),8.88)</f>
        <v>8.8800000000000008</v>
      </c>
      <c r="F271" s="112">
        <f ca="1">IFERROR(__xludf.DUMMYFUNCTION("GOOGLEFINANCE(""BOM:""&amp;A271,""MARKETCAP"")/10000000"),3.69408)</f>
        <v>3.69408</v>
      </c>
      <c r="G271" s="95">
        <f t="shared" ca="1" si="1"/>
        <v>2.3189863561439234E-6</v>
      </c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</row>
    <row r="272" spans="1:25" ht="14.4">
      <c r="A272" s="99">
        <v>538465</v>
      </c>
      <c r="B272" s="98" t="s">
        <v>5287</v>
      </c>
      <c r="C272" s="101"/>
      <c r="D272" s="101"/>
      <c r="E272" s="101">
        <f ca="1">IFERROR(__xludf.DUMMYFUNCTION("GOOGLEFINANCE(""bom:""&amp;A272,""price"")"),11.88)</f>
        <v>11.88</v>
      </c>
      <c r="F272" s="112">
        <f ca="1">IFERROR(__xludf.DUMMYFUNCTION("GOOGLEFINANCE(""BOM:""&amp;A272,""MARKETCAP"")/10000000"),3.5642364)</f>
        <v>3.5642364</v>
      </c>
      <c r="G272" s="95">
        <f t="shared" ca="1" si="1"/>
        <v>2.2374760648582423E-6</v>
      </c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</row>
    <row r="273" spans="1:25" ht="14.4">
      <c r="A273" s="99">
        <v>530547</v>
      </c>
      <c r="B273" s="98" t="s">
        <v>5288</v>
      </c>
      <c r="C273" s="101"/>
      <c r="D273" s="101"/>
      <c r="E273" s="101">
        <f ca="1">IFERROR(__xludf.DUMMYFUNCTION("GOOGLEFINANCE(""bom:""&amp;A273,""price"")"),9.52)</f>
        <v>9.52</v>
      </c>
      <c r="F273" s="112">
        <f ca="1">IFERROR(__xludf.DUMMYFUNCTION("GOOGLEFINANCE(""BOM:""&amp;A273,""MARKETCAP"")/10000000"),2.856095)</f>
        <v>2.8560949999999998</v>
      </c>
      <c r="G273" s="95">
        <f t="shared" ca="1" si="1"/>
        <v>1.7929350032622137E-6</v>
      </c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</row>
    <row r="274" spans="1:25" ht="14.4">
      <c r="A274" s="99">
        <v>512221</v>
      </c>
      <c r="B274" s="98" t="s">
        <v>5289</v>
      </c>
      <c r="C274" s="101"/>
      <c r="D274" s="101"/>
      <c r="E274" s="101">
        <f ca="1">IFERROR(__xludf.DUMMYFUNCTION("GOOGLEFINANCE(""bom:""&amp;A274,""price"")"),14.45)</f>
        <v>14.45</v>
      </c>
      <c r="F274" s="112">
        <f ca="1">IFERROR(__xludf.DUMMYFUNCTION("GOOGLEFINANCE(""BOM:""&amp;A274,""MARKETCAP"")/10000000"),2.8322)</f>
        <v>2.8321999999999998</v>
      </c>
      <c r="G274" s="95">
        <f t="shared" ca="1" si="1"/>
        <v>1.7779347382489874E-6</v>
      </c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</row>
    <row r="275" spans="1:25" ht="14.4">
      <c r="A275" s="99">
        <v>539434</v>
      </c>
      <c r="B275" s="98" t="s">
        <v>5290</v>
      </c>
      <c r="C275" s="101"/>
      <c r="D275" s="101"/>
      <c r="E275" s="101">
        <f ca="1">IFERROR(__xludf.DUMMYFUNCTION("GOOGLEFINANCE(""bom:""&amp;A275,""price"")"),8.88)</f>
        <v>8.8800000000000008</v>
      </c>
      <c r="F275" s="112">
        <f ca="1">IFERROR(__xludf.DUMMYFUNCTION("GOOGLEFINANCE(""BOM:""&amp;A275,""MARKETCAP"")/10000000"),2.754398)</f>
        <v>2.7543980000000001</v>
      </c>
      <c r="G275" s="95">
        <f t="shared" ca="1" si="1"/>
        <v>1.7290939506968205E-6</v>
      </c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</row>
    <row r="276" spans="1:25" ht="14.4">
      <c r="A276" s="99">
        <v>539486</v>
      </c>
      <c r="B276" s="98" t="s">
        <v>5291</v>
      </c>
      <c r="C276" s="101"/>
      <c r="D276" s="101"/>
      <c r="E276" s="101">
        <f ca="1">IFERROR(__xludf.DUMMYFUNCTION("GOOGLEFINANCE(""bom:""&amp;A276,""price"")"),5.55)</f>
        <v>5.55</v>
      </c>
      <c r="F276" s="112">
        <f ca="1">IFERROR(__xludf.DUMMYFUNCTION("GOOGLEFINANCE(""BOM:""&amp;A276,""MARKETCAP"")/10000000"),2.3379631)</f>
        <v>2.3379631000000001</v>
      </c>
      <c r="G276" s="95">
        <f t="shared" ca="1" si="1"/>
        <v>1.4676738267898776E-6</v>
      </c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</row>
    <row r="277" spans="1:25" ht="14.4">
      <c r="A277" s="99">
        <v>506161</v>
      </c>
      <c r="B277" s="98" t="s">
        <v>5292</v>
      </c>
      <c r="C277" s="101"/>
      <c r="D277" s="101"/>
      <c r="E277" s="101">
        <f ca="1">IFERROR(__xludf.DUMMYFUNCTION("GOOGLEFINANCE(""bom:""&amp;A277,""price"")"),5.01)</f>
        <v>5.01</v>
      </c>
      <c r="F277" s="112">
        <f ca="1">IFERROR(__xludf.DUMMYFUNCTION("GOOGLEFINANCE(""BOM:""&amp;A277,""MARKETCAP"")/10000000"),0.72144)</f>
        <v>0.72143999999999997</v>
      </c>
      <c r="G277" s="95">
        <f t="shared" ca="1" si="1"/>
        <v>4.5288935723548815E-7</v>
      </c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</row>
    <row r="278" spans="1:25" ht="14.4">
      <c r="A278" s="99">
        <v>507987</v>
      </c>
      <c r="B278" s="98" t="s">
        <v>5293</v>
      </c>
      <c r="C278" s="101"/>
      <c r="D278" s="101"/>
      <c r="E278" s="101">
        <f ca="1">IFERROR(__xludf.DUMMYFUNCTION("GOOGLEFINANCE(""bom:""&amp;A278,""price"")"),3.99)</f>
        <v>3.99</v>
      </c>
      <c r="F278" s="112">
        <f ca="1">IFERROR(__xludf.DUMMYFUNCTION("GOOGLEFINANCE(""BOM:""&amp;A278,""MARKETCAP"")/10000000"),0.399)</f>
        <v>0.39900000000000002</v>
      </c>
      <c r="G278" s="95">
        <f t="shared" ca="1" si="1"/>
        <v>2.5047523499800368E-7</v>
      </c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</row>
    <row r="279" spans="1:25" ht="14.4">
      <c r="A279" s="99">
        <v>541358</v>
      </c>
      <c r="B279" s="98" t="s">
        <v>5294</v>
      </c>
      <c r="C279" s="101"/>
      <c r="D279" s="101"/>
      <c r="E279" s="101">
        <f ca="1">IFERROR(__xludf.DUMMYFUNCTION("GOOGLEFINANCE(""bom:""&amp;A279,""price"")"),94)</f>
        <v>94</v>
      </c>
      <c r="F279" s="112"/>
      <c r="G279" s="95">
        <f t="shared" ca="1" si="1"/>
        <v>0</v>
      </c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</row>
    <row r="280" spans="1:25" ht="14.4">
      <c r="A280" s="99">
        <v>511122</v>
      </c>
      <c r="B280" s="98" t="s">
        <v>5295</v>
      </c>
      <c r="C280" s="101"/>
      <c r="D280" s="101"/>
      <c r="E280" s="101">
        <f ca="1">IFERROR(__xludf.DUMMYFUNCTION("GOOGLEFINANCE(""bom:""&amp;A280,""price"")"),77.5)</f>
        <v>77.5</v>
      </c>
      <c r="F280" s="112"/>
      <c r="G280" s="95">
        <f t="shared" ca="1" si="1"/>
        <v>0</v>
      </c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</row>
    <row r="281" spans="1:25" ht="14.4">
      <c r="A281" s="99">
        <v>541133</v>
      </c>
      <c r="B281" s="98" t="s">
        <v>5296</v>
      </c>
      <c r="C281" s="101"/>
      <c r="D281" s="101"/>
      <c r="E281" s="101">
        <f ca="1">IFERROR(__xludf.DUMMYFUNCTION("GOOGLEFINANCE(""bom:""&amp;A281,""price"")"),45.6)</f>
        <v>45.6</v>
      </c>
      <c r="F281" s="112"/>
      <c r="G281" s="95">
        <f t="shared" ca="1" si="1"/>
        <v>0</v>
      </c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</row>
    <row r="282" spans="1:25" ht="14.4">
      <c r="A282" s="99">
        <v>538863</v>
      </c>
      <c r="B282" s="98" t="s">
        <v>5297</v>
      </c>
      <c r="C282" s="101"/>
      <c r="D282" s="101"/>
      <c r="E282" s="101">
        <f ca="1">IFERROR(__xludf.DUMMYFUNCTION("GOOGLEFINANCE(""bom:""&amp;A282,""price"")"),7.77)</f>
        <v>7.77</v>
      </c>
      <c r="F282" s="112"/>
      <c r="G282" s="95">
        <f t="shared" ca="1" si="1"/>
        <v>0</v>
      </c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</row>
    <row r="283" spans="1:25" ht="14.4">
      <c r="A283" s="99">
        <v>531557</v>
      </c>
      <c r="B283" s="98" t="s">
        <v>5298</v>
      </c>
      <c r="C283" s="101"/>
      <c r="D283" s="101"/>
      <c r="E283" s="101">
        <f ca="1">IFERROR(__xludf.DUMMYFUNCTION("GOOGLEFINANCE(""bom:""&amp;A283,""price"")"),58.4)</f>
        <v>58.4</v>
      </c>
      <c r="F283" s="112"/>
      <c r="G283" s="95">
        <f t="shared" ca="1" si="1"/>
        <v>0</v>
      </c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</row>
    <row r="284" spans="1:25" ht="14.4">
      <c r="A284" s="99">
        <v>536965</v>
      </c>
      <c r="B284" s="98" t="s">
        <v>5299</v>
      </c>
      <c r="C284" s="101"/>
      <c r="D284" s="101"/>
      <c r="E284" s="101">
        <f ca="1">IFERROR(__xludf.DUMMYFUNCTION("GOOGLEFINANCE(""bom:""&amp;A284,""price"")"),8.13)</f>
        <v>8.1300000000000008</v>
      </c>
      <c r="F284" s="112"/>
      <c r="G284" s="95">
        <f t="shared" ca="1" si="1"/>
        <v>0</v>
      </c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</row>
    <row r="285" spans="1:25" ht="14.4">
      <c r="A285" s="99">
        <v>523113</v>
      </c>
      <c r="B285" s="98" t="s">
        <v>5300</v>
      </c>
      <c r="C285" s="101"/>
      <c r="D285" s="101"/>
      <c r="E285" s="101">
        <f ca="1">IFERROR(__xludf.DUMMYFUNCTION("GOOGLEFINANCE(""bom:""&amp;A285,""price"")"),38.3)</f>
        <v>38.299999999999997</v>
      </c>
      <c r="F285" s="112"/>
      <c r="G285" s="95">
        <f t="shared" ca="1" si="1"/>
        <v>0</v>
      </c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</row>
    <row r="286" spans="1:25" ht="14.4">
      <c r="A286" s="99">
        <v>530985</v>
      </c>
      <c r="B286" s="98" t="s">
        <v>5301</v>
      </c>
      <c r="C286" s="101"/>
      <c r="D286" s="101"/>
      <c r="E286" s="101">
        <f ca="1">IFERROR(__xludf.DUMMYFUNCTION("GOOGLEFINANCE(""bom:""&amp;A286,""price"")"),21.23)</f>
        <v>21.23</v>
      </c>
      <c r="F286" s="112"/>
      <c r="G286" s="95">
        <f t="shared" ca="1" si="1"/>
        <v>0</v>
      </c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</row>
    <row r="287" spans="1:25" ht="14.4">
      <c r="A287" s="99">
        <v>531274</v>
      </c>
      <c r="B287" s="98" t="s">
        <v>5302</v>
      </c>
      <c r="C287" s="101"/>
      <c r="D287" s="101"/>
      <c r="E287" s="101">
        <f ca="1">IFERROR(__xludf.DUMMYFUNCTION("GOOGLEFINANCE(""bom:""&amp;A287,""price"")"),46.9)</f>
        <v>46.9</v>
      </c>
      <c r="F287" s="112"/>
      <c r="G287" s="95">
        <f t="shared" ca="1" si="1"/>
        <v>0</v>
      </c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</row>
    <row r="288" spans="1:25" ht="14.4">
      <c r="A288" s="99">
        <v>530771</v>
      </c>
      <c r="B288" s="98" t="s">
        <v>5303</v>
      </c>
      <c r="C288" s="101"/>
      <c r="D288" s="101"/>
      <c r="E288" s="101">
        <f ca="1">IFERROR(__xludf.DUMMYFUNCTION("GOOGLEFINANCE(""bom:""&amp;A288,""price"")"),19.66)</f>
        <v>19.66</v>
      </c>
      <c r="F288" s="112"/>
      <c r="G288" s="95">
        <f t="shared" ca="1" si="1"/>
        <v>0</v>
      </c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</row>
    <row r="289" spans="1:25" ht="14.4">
      <c r="A289" s="99">
        <v>523343</v>
      </c>
      <c r="B289" s="98" t="s">
        <v>5304</v>
      </c>
      <c r="C289" s="101"/>
      <c r="D289" s="101"/>
      <c r="E289" s="101">
        <f ca="1">IFERROR(__xludf.DUMMYFUNCTION("GOOGLEFINANCE(""bom:""&amp;A289,""price"")"),0)</f>
        <v>0</v>
      </c>
      <c r="F289" s="112"/>
      <c r="G289" s="95">
        <f t="shared" ca="1" si="1"/>
        <v>0</v>
      </c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</row>
    <row r="290" spans="1:25" ht="14.4">
      <c r="A290" s="99">
        <v>512481</v>
      </c>
      <c r="B290" s="98" t="s">
        <v>5305</v>
      </c>
      <c r="C290" s="101"/>
      <c r="D290" s="101"/>
      <c r="E290" s="101">
        <f ca="1">IFERROR(__xludf.DUMMYFUNCTION("GOOGLEFINANCE(""bom:""&amp;A290,""price"")"),5.45)</f>
        <v>5.45</v>
      </c>
      <c r="F290" s="112"/>
      <c r="G290" s="95">
        <f t="shared" ca="1" si="1"/>
        <v>0</v>
      </c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</row>
    <row r="291" spans="1:25" ht="14.4">
      <c r="A291" s="99">
        <v>531572</v>
      </c>
      <c r="B291" s="98" t="s">
        <v>5306</v>
      </c>
      <c r="C291" s="101"/>
      <c r="D291" s="101"/>
      <c r="E291" s="101">
        <f ca="1">IFERROR(__xludf.DUMMYFUNCTION("GOOGLEFINANCE(""bom:""&amp;A291,""price"")"),83.78)</f>
        <v>83.78</v>
      </c>
      <c r="F291" s="112"/>
      <c r="G291" s="95">
        <f t="shared" ca="1" si="1"/>
        <v>0</v>
      </c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</row>
    <row r="292" spans="1:25" ht="14.4">
      <c r="A292" s="99">
        <v>511254</v>
      </c>
      <c r="B292" s="98" t="s">
        <v>5307</v>
      </c>
      <c r="C292" s="101"/>
      <c r="D292" s="101"/>
      <c r="E292" s="101">
        <f ca="1">IFERROR(__xludf.DUMMYFUNCTION("GOOGLEFINANCE(""bom:""&amp;A292,""price"")"),61.75)</f>
        <v>61.75</v>
      </c>
      <c r="F292" s="112"/>
      <c r="G292" s="95">
        <f t="shared" ca="1" si="1"/>
        <v>0</v>
      </c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</row>
    <row r="293" spans="1:25" ht="14.4">
      <c r="A293" s="99">
        <v>526883</v>
      </c>
      <c r="B293" s="98" t="s">
        <v>5308</v>
      </c>
      <c r="C293" s="101"/>
      <c r="D293" s="101"/>
      <c r="E293" s="101">
        <f ca="1">IFERROR(__xludf.DUMMYFUNCTION("GOOGLEFINANCE(""bom:""&amp;A293,""price"")"),13.5)</f>
        <v>13.5</v>
      </c>
      <c r="F293" s="112"/>
      <c r="G293" s="95">
        <f t="shared" ca="1" si="1"/>
        <v>0</v>
      </c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</row>
    <row r="294" spans="1:25" ht="14.4">
      <c r="A294" s="99">
        <v>507952</v>
      </c>
      <c r="B294" s="98" t="s">
        <v>5309</v>
      </c>
      <c r="C294" s="101"/>
      <c r="D294" s="101"/>
      <c r="E294" s="101">
        <f ca="1">IFERROR(__xludf.DUMMYFUNCTION("GOOGLEFINANCE(""bom:""&amp;A294,""price"")"),0)</f>
        <v>0</v>
      </c>
      <c r="F294" s="112"/>
      <c r="G294" s="95">
        <f t="shared" ca="1" si="1"/>
        <v>0</v>
      </c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</row>
    <row r="295" spans="1:25" ht="14.4">
      <c r="A295" s="99">
        <v>539683</v>
      </c>
      <c r="B295" s="98" t="s">
        <v>5310</v>
      </c>
      <c r="C295" s="101"/>
      <c r="D295" s="101"/>
      <c r="E295" s="101">
        <f ca="1">IFERROR(__xludf.DUMMYFUNCTION("GOOGLEFINANCE(""bom:""&amp;A295,""price"")"),0)</f>
        <v>0</v>
      </c>
      <c r="F295" s="112"/>
      <c r="G295" s="95">
        <f t="shared" ca="1" si="1"/>
        <v>0</v>
      </c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</row>
    <row r="296" spans="1:25" ht="14.4">
      <c r="A296" s="99">
        <v>512197</v>
      </c>
      <c r="B296" s="98" t="s">
        <v>5311</v>
      </c>
      <c r="C296" s="101"/>
      <c r="D296" s="101"/>
      <c r="E296" s="101">
        <f ca="1">IFERROR(__xludf.DUMMYFUNCTION("GOOGLEFINANCE(""bom:""&amp;A296,""price"")"),4.88)</f>
        <v>4.88</v>
      </c>
      <c r="F296" s="112"/>
      <c r="G296" s="95">
        <f t="shared" ca="1" si="1"/>
        <v>0</v>
      </c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</row>
    <row r="297" spans="1:25" ht="14.4">
      <c r="A297" s="99">
        <v>532138</v>
      </c>
      <c r="B297" s="98" t="s">
        <v>5312</v>
      </c>
      <c r="C297" s="101"/>
      <c r="D297" s="101"/>
      <c r="E297" s="101">
        <f ca="1">IFERROR(__xludf.DUMMYFUNCTION("GOOGLEFINANCE(""bom:""&amp;A297,""price"")"),0)</f>
        <v>0</v>
      </c>
      <c r="F297" s="112"/>
      <c r="G297" s="95">
        <f t="shared" ca="1" si="1"/>
        <v>0</v>
      </c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</row>
    <row r="298" spans="1:25" ht="14.4">
      <c r="A298" s="99">
        <v>539253</v>
      </c>
      <c r="B298" s="98" t="s">
        <v>5313</v>
      </c>
      <c r="C298" s="101"/>
      <c r="D298" s="101"/>
      <c r="E298" s="101">
        <f ca="1">IFERROR(__xludf.DUMMYFUNCTION("GOOGLEFINANCE(""bom:""&amp;A298,""price"")"),18.25)</f>
        <v>18.25</v>
      </c>
      <c r="F298" s="112"/>
      <c r="G298" s="95">
        <f t="shared" ca="1" si="1"/>
        <v>0</v>
      </c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</row>
    <row r="299" spans="1:25" ht="14.4">
      <c r="A299" s="99">
        <v>542931</v>
      </c>
      <c r="B299" s="98" t="s">
        <v>5314</v>
      </c>
      <c r="C299" s="101"/>
      <c r="D299" s="101"/>
      <c r="E299" s="101">
        <f ca="1">IFERROR(__xludf.DUMMYFUNCTION("GOOGLEFINANCE(""bom:""&amp;A299,""price"")"),0)</f>
        <v>0</v>
      </c>
      <c r="F299" s="112"/>
      <c r="G299" s="95">
        <f t="shared" ca="1" si="1"/>
        <v>0</v>
      </c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</row>
    <row r="300" spans="1:25" ht="14.4">
      <c r="A300" s="99">
        <v>512022</v>
      </c>
      <c r="B300" s="98" t="s">
        <v>5315</v>
      </c>
      <c r="C300" s="101"/>
      <c r="D300" s="101"/>
      <c r="E300" s="101">
        <f ca="1">IFERROR(__xludf.DUMMYFUNCTION("GOOGLEFINANCE(""bom:""&amp;A300,""price"")"),244.45)</f>
        <v>244.45</v>
      </c>
      <c r="F300" s="112"/>
      <c r="G300" s="95">
        <f t="shared" ca="1" si="1"/>
        <v>0</v>
      </c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</row>
    <row r="301" spans="1:25" ht="13.2">
      <c r="A301" s="101"/>
      <c r="B301" s="101"/>
      <c r="C301" s="101"/>
      <c r="D301" s="101"/>
      <c r="E301" s="101"/>
      <c r="F301" s="112"/>
      <c r="G301" s="95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</row>
    <row r="302" spans="1:25" ht="13.2">
      <c r="A302" s="101"/>
      <c r="B302" s="101"/>
      <c r="C302" s="101"/>
      <c r="D302" s="101"/>
      <c r="E302" s="101"/>
      <c r="F302" s="112">
        <f ca="1">SUM(F2:F300)</f>
        <v>1592971.8560925997</v>
      </c>
      <c r="G302" s="95">
        <f ca="1">F302/$F$302</f>
        <v>1</v>
      </c>
      <c r="H302" s="101">
        <f t="shared" ref="H302:O302" si="2">SUM(H2:H300)</f>
        <v>279156</v>
      </c>
      <c r="I302" s="101">
        <f t="shared" si="2"/>
        <v>236049</v>
      </c>
      <c r="J302" s="101">
        <f t="shared" si="2"/>
        <v>52250</v>
      </c>
      <c r="K302" s="101">
        <f t="shared" si="2"/>
        <v>45189</v>
      </c>
      <c r="L302" s="101">
        <f t="shared" si="2"/>
        <v>96796</v>
      </c>
      <c r="M302" s="101">
        <f t="shared" si="2"/>
        <v>82200</v>
      </c>
      <c r="N302" s="101">
        <f t="shared" si="2"/>
        <v>17406</v>
      </c>
      <c r="O302" s="101">
        <f t="shared" si="2"/>
        <v>15916</v>
      </c>
      <c r="P302" s="95">
        <f t="shared" ref="P302:Q302" si="3">J302/H302</f>
        <v>0.18717133072547248</v>
      </c>
      <c r="Q302" s="95">
        <f t="shared" si="3"/>
        <v>0.19143906561773191</v>
      </c>
      <c r="R302" s="95">
        <f>P302-Q302</f>
        <v>-4.2677348922594283E-3</v>
      </c>
      <c r="S302" s="95">
        <f t="shared" ref="S302:T302" si="4">N302/L302</f>
        <v>0.17982148022645564</v>
      </c>
      <c r="T302" s="95">
        <f t="shared" si="4"/>
        <v>0.19362530413625303</v>
      </c>
      <c r="U302" s="95">
        <f>S302-T302</f>
        <v>-1.3803823909797397E-2</v>
      </c>
      <c r="V302" s="95">
        <f>(H302/I302)-1</f>
        <v>0.18261886303267549</v>
      </c>
      <c r="W302" s="95">
        <f>(J302/K302)-1</f>
        <v>0.15625484077983587</v>
      </c>
      <c r="X302" s="95">
        <f>(L302/M302)-1</f>
        <v>0.17756690997566915</v>
      </c>
      <c r="Y302" s="95">
        <f>(N302/O302)-1</f>
        <v>9.3616486554410683E-2</v>
      </c>
    </row>
    <row r="303" spans="1:25" ht="13.2">
      <c r="F303" s="94"/>
    </row>
    <row r="304" spans="1:25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300" xr:uid="{00000000-0009-0000-0000-0000A7000000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538730</v>
      </c>
      <c r="B2" s="98" t="s">
        <v>1580</v>
      </c>
      <c r="C2" s="334" t="str">
        <f>VLOOKUP(A2,'BSE ALL CAP'!$B$4:$Y$1038,2,)</f>
        <v>Consumer Discretionary</v>
      </c>
      <c r="D2" s="334" t="str">
        <f>VLOOKUP(A2,'BSE ALL CAP'!$B$4:$Y$1038,3,)</f>
        <v>Trading - Textile Products</v>
      </c>
      <c r="E2" s="101">
        <f ca="1">IFERROR(__xludf.DUMMYFUNCTION("GOOGLEFINANCE(""BOM:""&amp;A2,""PRICE"")"),287.95)</f>
        <v>287.95</v>
      </c>
      <c r="F2" s="112">
        <f ca="1">IFERROR(__xludf.DUMMYFUNCTION("GOOGLEFINANCE(""BOM:""&amp;A2,""MARKETCAP"")/10000000"),4052.98817)</f>
        <v>4052.9881700000001</v>
      </c>
      <c r="G2" s="95">
        <f t="shared" ref="G2:G11" ca="1" si="0">F2/$F$13</f>
        <v>0.89123743460282545</v>
      </c>
      <c r="H2" s="101">
        <f>VLOOKUP(A2,'BSE ALL CAP'!$B$4:$Y$1038,7,)</f>
        <v>9591</v>
      </c>
      <c r="I2" s="101">
        <f>VLOOKUP(A2,'BSE ALL CAP'!$B$4:$Y$1038,8,)</f>
        <v>9052</v>
      </c>
      <c r="J2" s="101">
        <f>VLOOKUP(A2,'BSE ALL CAP'!$B$4:$Y$1038,9,)</f>
        <v>105</v>
      </c>
      <c r="K2" s="101">
        <f>VLOOKUP(A2,'BSE ALL CAP'!$B$4:$Y$1038,10,)</f>
        <v>161</v>
      </c>
      <c r="L2" s="101">
        <f>VLOOKUP(A2,'BSE ALL CAP'!$B$4:$Y$1038,11,)</f>
        <v>3172</v>
      </c>
      <c r="M2" s="101">
        <f>VLOOKUP(A2,'BSE ALL CAP'!$B$4:$Y$1038,12,)</f>
        <v>3124</v>
      </c>
      <c r="N2" s="101">
        <f>VLOOKUP(A2,'BSE ALL CAP'!$B$4:$Y$1038,13,)</f>
        <v>37</v>
      </c>
      <c r="O2" s="101">
        <f>VLOOKUP(A2,'BSE ALL CAP'!$B$4:$Y$1038,14,)</f>
        <v>45</v>
      </c>
      <c r="P2" s="95">
        <f>VLOOKUP(A2,'BSE ALL CAP'!$B$4:$Y$1038,15,)</f>
        <v>1.0947763528307789E-2</v>
      </c>
      <c r="Q2" s="95">
        <f>VLOOKUP(A2,'BSE ALL CAP'!$B$4:$Y$1038,16,)</f>
        <v>1.7786124613345118E-2</v>
      </c>
      <c r="R2" s="95">
        <f>VLOOKUP(A2,'BSE ALL CAP'!$B$4:$Y$1038,17,)</f>
        <v>-6.838361085037329E-3</v>
      </c>
      <c r="S2" s="95">
        <f>VLOOKUP(A2,'BSE ALL CAP'!$B$4:$Y$1038,18,)</f>
        <v>1.1664564943253467E-2</v>
      </c>
      <c r="T2" s="95">
        <f>VLOOKUP(A2,'BSE ALL CAP'!$B$4:$Y$1038,19,)</f>
        <v>1.4404609475032011E-2</v>
      </c>
      <c r="U2" s="95">
        <f>VLOOKUP(A2,'BSE ALL CAP'!$B$4:$Y$1038,20,)</f>
        <v>-2.7400445317785436E-3</v>
      </c>
      <c r="V2" s="95">
        <f>VLOOKUP(A2,'BSE ALL CAP'!$B$4:$Y$1038,21,)</f>
        <v>5.9544851966416346E-2</v>
      </c>
      <c r="W2" s="95">
        <f>VLOOKUP(A2,'BSE ALL CAP'!$B$4:$Y$1038,22,)</f>
        <v>-0.34782608695652173</v>
      </c>
      <c r="X2" s="95">
        <f>VLOOKUP(A2,'BSE ALL CAP'!$B$4:$Y$1038,23,)</f>
        <v>1.5364916773367376E-2</v>
      </c>
      <c r="Y2" s="95">
        <f>VLOOKUP(A2,'BSE ALL CAP'!$B$4:$Y$1038,24,)</f>
        <v>-0.17777777777777781</v>
      </c>
    </row>
    <row r="3" spans="1:25" ht="15.75" customHeight="1">
      <c r="A3" s="99">
        <v>533108</v>
      </c>
      <c r="B3" s="98" t="s">
        <v>1581</v>
      </c>
      <c r="C3" s="334"/>
      <c r="D3" s="334"/>
      <c r="E3" s="101">
        <f ca="1">IFERROR(__xludf.DUMMYFUNCTION("GOOGLEFINANCE(""BOM:""&amp;A3,""PRICE"")"),35.5)</f>
        <v>35.5</v>
      </c>
      <c r="F3" s="112">
        <f ca="1">IFERROR(__xludf.DUMMYFUNCTION("GOOGLEFINANCE(""BOM:""&amp;A3,""MARKETCAP"")/10000000"),207.2252505)</f>
        <v>207.22525049999999</v>
      </c>
      <c r="G3" s="95">
        <f t="shared" ca="1" si="0"/>
        <v>4.556808283024124E-2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542721</v>
      </c>
      <c r="B4" s="98" t="s">
        <v>1582</v>
      </c>
      <c r="C4" s="334"/>
      <c r="D4" s="334"/>
      <c r="E4" s="101">
        <f ca="1">IFERROR(__xludf.DUMMYFUNCTION("GOOGLEFINANCE(""BOM:""&amp;A4,""PRICE"")"),65.89)</f>
        <v>65.89</v>
      </c>
      <c r="F4" s="112">
        <f ca="1">IFERROR(__xludf.DUMMYFUNCTION("GOOGLEFINANCE(""BOM:""&amp;A4,""MARKETCAP"")/10000000"),140.3390438)</f>
        <v>140.33904380000001</v>
      </c>
      <c r="G4" s="95">
        <f t="shared" ca="1" si="0"/>
        <v>3.0860047975645972E-2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532651</v>
      </c>
      <c r="B5" s="98" t="s">
        <v>1583</v>
      </c>
      <c r="C5" s="334"/>
      <c r="D5" s="334"/>
      <c r="E5" s="101">
        <f ca="1">IFERROR(__xludf.DUMMYFUNCTION("GOOGLEFINANCE(""BOM:""&amp;A5,""PRICE"")"),26.29)</f>
        <v>26.29</v>
      </c>
      <c r="F5" s="112">
        <f ca="1">IFERROR(__xludf.DUMMYFUNCTION("GOOGLEFINANCE(""BOM:""&amp;A5,""MARKETCAP"")/10000000"),76.5599988)</f>
        <v>76.559998800000002</v>
      </c>
      <c r="G5" s="95">
        <f t="shared" ca="1" si="0"/>
        <v>1.6835266736963457E-2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521222</v>
      </c>
      <c r="B6" s="98" t="s">
        <v>1584</v>
      </c>
      <c r="C6" s="334"/>
      <c r="D6" s="334"/>
      <c r="E6" s="101">
        <f ca="1">IFERROR(__xludf.DUMMYFUNCTION("GOOGLEFINANCE(""BOM:""&amp;A6,""PRICE"")"),28.64)</f>
        <v>28.64</v>
      </c>
      <c r="F6" s="112">
        <f ca="1">IFERROR(__xludf.DUMMYFUNCTION("GOOGLEFINANCE(""BOM:""&amp;A6,""MARKETCAP"")/10000000"),14.3187824)</f>
        <v>14.3187824</v>
      </c>
      <c r="G6" s="95">
        <f t="shared" ca="1" si="0"/>
        <v>3.1486484434550149E-3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542206</v>
      </c>
      <c r="B7" s="98" t="s">
        <v>1585</v>
      </c>
      <c r="C7" s="334"/>
      <c r="D7" s="334"/>
      <c r="E7" s="101">
        <f ca="1">IFERROR(__xludf.DUMMYFUNCTION("GOOGLEFINANCE(""BOM:""&amp;A7,""PRICE"")"),1.35)</f>
        <v>1.35</v>
      </c>
      <c r="F7" s="112">
        <f ca="1">IFERROR(__xludf.DUMMYFUNCTION("GOOGLEFINANCE(""BOM:""&amp;A7,""MARKETCAP"")/10000000"),13.8631502)</f>
        <v>13.8631502</v>
      </c>
      <c r="G7" s="95">
        <f t="shared" ca="1" si="0"/>
        <v>3.0484565711825519E-3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540210</v>
      </c>
      <c r="B8" s="98" t="s">
        <v>1586</v>
      </c>
      <c r="C8" s="334"/>
      <c r="D8" s="334"/>
      <c r="E8" s="101">
        <f ca="1">IFERROR(__xludf.DUMMYFUNCTION("GOOGLEFINANCE(""BOM:""&amp;A8,""PRICE"")"),7.33)</f>
        <v>7.33</v>
      </c>
      <c r="F8" s="112">
        <f ca="1">IFERROR(__xludf.DUMMYFUNCTION("GOOGLEFINANCE(""BOM:""&amp;A8,""MARKETCAP"")/10000000"),15.1265876)</f>
        <v>15.126587600000001</v>
      </c>
      <c r="G8" s="95">
        <f t="shared" ca="1" si="0"/>
        <v>3.3262818842421916E-3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544002</v>
      </c>
      <c r="B9" s="98" t="s">
        <v>1587</v>
      </c>
      <c r="C9" s="334"/>
      <c r="D9" s="334"/>
      <c r="E9" s="101">
        <f ca="1">IFERROR(__xludf.DUMMYFUNCTION("GOOGLEFINANCE(""BOM:""&amp;A9,""PRICE"")"),35)</f>
        <v>35</v>
      </c>
      <c r="F9" s="112">
        <f ca="1">IFERROR(__xludf.DUMMYFUNCTION("GOOGLEFINANCE(""BOM:""&amp;A9,""MARKETCAP"")/10000000"),13.78125)</f>
        <v>13.78125</v>
      </c>
      <c r="G9" s="95">
        <f t="shared" ca="1" si="0"/>
        <v>3.030447013522911E-3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544234</v>
      </c>
      <c r="B10" s="98" t="s">
        <v>1588</v>
      </c>
      <c r="C10" s="334"/>
      <c r="D10" s="334"/>
      <c r="E10" s="101">
        <f ca="1">IFERROR(__xludf.DUMMYFUNCTION("GOOGLEFINANCE(""BOM:""&amp;A10,""PRICE"")"),10)</f>
        <v>10</v>
      </c>
      <c r="F10" s="112">
        <f ca="1">IFERROR(__xludf.DUMMYFUNCTION("GOOGLEFINANCE(""BOM:""&amp;A10,""MARKETCAP"")/10000000"),10.8751562)</f>
        <v>10.875156199999999</v>
      </c>
      <c r="G10" s="95">
        <f t="shared" ca="1" si="0"/>
        <v>2.3914075013431414E-3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539911</v>
      </c>
      <c r="B11" s="98" t="s">
        <v>1589</v>
      </c>
      <c r="C11" s="334"/>
      <c r="D11" s="334"/>
      <c r="E11" s="101">
        <f ca="1">IFERROR(__xludf.DUMMYFUNCTION("GOOGLEFINANCE(""BOM:""&amp;A11,""PRICE"")"),10.36)</f>
        <v>10.36</v>
      </c>
      <c r="F11" s="112">
        <f ca="1">IFERROR(__xludf.DUMMYFUNCTION("GOOGLEFINANCE(""BOM:""&amp;A11,""MARKETCAP"")/10000000"),2.5190339)</f>
        <v>2.5190339000000002</v>
      </c>
      <c r="G11" s="95">
        <f t="shared" ca="1" si="0"/>
        <v>5.539264405781748E-4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>
      <c r="A12" s="101"/>
      <c r="B12" s="101"/>
      <c r="C12" s="101"/>
      <c r="D12" s="101"/>
      <c r="E12" s="101"/>
      <c r="F12" s="112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>
      <c r="A13" s="101"/>
      <c r="B13" s="101"/>
      <c r="C13" s="101"/>
      <c r="D13" s="101"/>
      <c r="E13" s="101"/>
      <c r="F13" s="112">
        <f ca="1">SUM(F2:F11)</f>
        <v>4547.5964233999994</v>
      </c>
      <c r="G13" s="95">
        <f ca="1">F13/$F$13</f>
        <v>1</v>
      </c>
      <c r="H13" s="101">
        <f t="shared" ref="H13:O13" si="1">SUM(H2:H11)</f>
        <v>9591</v>
      </c>
      <c r="I13" s="101">
        <f t="shared" si="1"/>
        <v>9052</v>
      </c>
      <c r="J13" s="101">
        <f t="shared" si="1"/>
        <v>105</v>
      </c>
      <c r="K13" s="101">
        <f t="shared" si="1"/>
        <v>161</v>
      </c>
      <c r="L13" s="101">
        <f t="shared" si="1"/>
        <v>3172</v>
      </c>
      <c r="M13" s="101">
        <f t="shared" si="1"/>
        <v>3124</v>
      </c>
      <c r="N13" s="101">
        <f t="shared" si="1"/>
        <v>37</v>
      </c>
      <c r="O13" s="101">
        <f t="shared" si="1"/>
        <v>45</v>
      </c>
      <c r="P13" s="95">
        <f t="shared" ref="P13:Q13" si="2">J13/H13</f>
        <v>1.0947763528307789E-2</v>
      </c>
      <c r="Q13" s="95">
        <f t="shared" si="2"/>
        <v>1.7786124613345118E-2</v>
      </c>
      <c r="R13" s="95">
        <f>P13-Q13</f>
        <v>-6.838361085037329E-3</v>
      </c>
      <c r="S13" s="95">
        <f t="shared" ref="S13:T13" si="3">N13/L13</f>
        <v>1.1664564943253467E-2</v>
      </c>
      <c r="T13" s="95">
        <f t="shared" si="3"/>
        <v>1.4404609475032011E-2</v>
      </c>
      <c r="U13" s="95">
        <f>S13-T13</f>
        <v>-2.7400445317785436E-3</v>
      </c>
      <c r="V13" s="95">
        <f>(H13/I13)-1</f>
        <v>5.9544851966416346E-2</v>
      </c>
      <c r="W13" s="95">
        <f>(J13/K13)-1</f>
        <v>-0.34782608695652173</v>
      </c>
      <c r="X13" s="95">
        <f>(L13/M13)-1</f>
        <v>1.5364916773367376E-2</v>
      </c>
      <c r="Y13" s="95">
        <f>(N13/O13)-1</f>
        <v>-0.17777777777777781</v>
      </c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1" xr:uid="{00000000-0009-0000-0000-000018000000}"/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500480</v>
      </c>
      <c r="B2" s="98" t="s">
        <v>1392</v>
      </c>
      <c r="C2" s="101" t="str">
        <f>VLOOKUP(A2,'BSE ALL CAP'!$B$4:$Y$1038,2,)</f>
        <v>Industrials</v>
      </c>
      <c r="D2" s="101" t="str">
        <f>VLOOKUP(A2,'BSE ALL CAP'!$B$4:$Y$1038,3,)</f>
        <v>Compressors, Pumps &amp; Diesel Engines</v>
      </c>
      <c r="E2" s="101">
        <f ca="1">IFERROR(__xludf.DUMMYFUNCTION("GOOGLEFINANCE(""BOM:""&amp;A2,""PRICE"")"),4686.9)</f>
        <v>4686.8999999999996</v>
      </c>
      <c r="F2" s="112">
        <f ca="1">IFERROR(__xludf.DUMMYFUNCTION("GOOGLEFINANCE(""BOM:""&amp;A2,""MARKETCAP"")/10000000"),129851.5652929)</f>
        <v>129851.56529290001</v>
      </c>
      <c r="G2" s="95">
        <f t="shared" ref="G2:G14" ca="1" si="0">F2/$F$16</f>
        <v>0.56586549900587491</v>
      </c>
      <c r="H2" s="101">
        <f>VLOOKUP(A2,'BSE ALL CAP'!$B$4:$Y$1038,7,)</f>
        <v>9505</v>
      </c>
      <c r="I2" s="101">
        <f>VLOOKUP(A2,'BSE ALL CAP'!$B$4:$Y$1038,8,)</f>
        <v>8241</v>
      </c>
      <c r="J2" s="101">
        <f>VLOOKUP(A2,'BSE ALL CAP'!$B$4:$Y$1038,9,)</f>
        <v>1712</v>
      </c>
      <c r="K2" s="101">
        <f>VLOOKUP(A2,'BSE ALL CAP'!$B$4:$Y$1038,10,)</f>
        <v>1470</v>
      </c>
      <c r="L2" s="101">
        <f>VLOOKUP(A2,'BSE ALL CAP'!$B$4:$Y$1038,11,)</f>
        <v>3171</v>
      </c>
      <c r="M2" s="101">
        <f>VLOOKUP(A2,'BSE ALL CAP'!$B$4:$Y$1038,12,)</f>
        <v>3207</v>
      </c>
      <c r="N2" s="101">
        <f>VLOOKUP(A2,'BSE ALL CAP'!$B$4:$Y$1038,13,)</f>
        <v>486</v>
      </c>
      <c r="O2" s="101">
        <f>VLOOKUP(A2,'BSE ALL CAP'!$B$4:$Y$1038,14,)</f>
        <v>558</v>
      </c>
      <c r="P2" s="95">
        <f>VLOOKUP(A2,'BSE ALL CAP'!$B$4:$Y$1038,15,)</f>
        <v>0.18011572856391372</v>
      </c>
      <c r="Q2" s="95">
        <f>VLOOKUP(A2,'BSE ALL CAP'!$B$4:$Y$1038,16,)</f>
        <v>0.17837641062977794</v>
      </c>
      <c r="R2" s="95">
        <f>VLOOKUP(A2,'BSE ALL CAP'!$B$4:$Y$1038,17,)</f>
        <v>1.7393179341357867E-3</v>
      </c>
      <c r="S2" s="95">
        <f>VLOOKUP(A2,'BSE ALL CAP'!$B$4:$Y$1038,18,)</f>
        <v>0.1532639545884579</v>
      </c>
      <c r="T2" s="95">
        <f>VLOOKUP(A2,'BSE ALL CAP'!$B$4:$Y$1038,19,)</f>
        <v>0.17399438727782976</v>
      </c>
      <c r="U2" s="95">
        <f>VLOOKUP(A2,'BSE ALL CAP'!$B$4:$Y$1038,20,)</f>
        <v>-2.0730432689371858E-2</v>
      </c>
      <c r="V2" s="95">
        <f>VLOOKUP(A2,'BSE ALL CAP'!$B$4:$Y$1038,21,)</f>
        <v>0.15337944424220362</v>
      </c>
      <c r="W2" s="95">
        <f>VLOOKUP(A2,'BSE ALL CAP'!$B$4:$Y$1038,22,)</f>
        <v>0.1646258503401361</v>
      </c>
      <c r="X2" s="95">
        <f>VLOOKUP(A2,'BSE ALL CAP'!$B$4:$Y$1038,23,)</f>
        <v>-1.1225444340505097E-2</v>
      </c>
      <c r="Y2" s="95">
        <f>VLOOKUP(A2,'BSE ALL CAP'!$B$4:$Y$1038,24,)</f>
        <v>-0.12903225806451613</v>
      </c>
    </row>
    <row r="3" spans="1:25" ht="15.75" customHeight="1">
      <c r="A3" s="99">
        <v>533293</v>
      </c>
      <c r="B3" s="98" t="s">
        <v>5316</v>
      </c>
      <c r="C3" s="101" t="str">
        <f>VLOOKUP(A3,'BSE ALL CAP'!$B$4:$Y$1038,2,)</f>
        <v>Industrials</v>
      </c>
      <c r="D3" s="101" t="str">
        <f>VLOOKUP(A3,'BSE ALL CAP'!$B$4:$Y$1038,3,)</f>
        <v>Compressors, Pumps &amp; Diesel Engines</v>
      </c>
      <c r="E3" s="101">
        <f ca="1">IFERROR(__xludf.DUMMYFUNCTION("GOOGLEFINANCE(""BOM:""&amp;A3,""PRICE"")"),1415)</f>
        <v>1415</v>
      </c>
      <c r="F3" s="112">
        <f ca="1">IFERROR(__xludf.DUMMYFUNCTION("GOOGLEFINANCE(""BOM:""&amp;A3,""MARKETCAP"")/10000000"),20548.347)</f>
        <v>20548.347000000002</v>
      </c>
      <c r="G3" s="95">
        <f t="shared" ca="1" si="0"/>
        <v>8.9545325100032852E-2</v>
      </c>
      <c r="H3" s="101">
        <f>VLOOKUP(A3,'BSE ALL CAP'!$B$4:$Y$1038,7,)</f>
        <v>5585</v>
      </c>
      <c r="I3" s="101">
        <f>VLOOKUP(A3,'BSE ALL CAP'!$B$4:$Y$1038,8,)</f>
        <v>4580</v>
      </c>
      <c r="J3" s="101">
        <f>VLOOKUP(A3,'BSE ALL CAP'!$B$4:$Y$1038,9,)</f>
        <v>407</v>
      </c>
      <c r="K3" s="101">
        <f>VLOOKUP(A3,'BSE ALL CAP'!$B$4:$Y$1038,10,)</f>
        <v>349</v>
      </c>
      <c r="L3" s="101">
        <f>VLOOKUP(A3,'BSE ALL CAP'!$B$4:$Y$1038,11,)</f>
        <v>1872</v>
      </c>
      <c r="M3" s="101">
        <f>VLOOKUP(A3,'BSE ALL CAP'!$B$4:$Y$1038,12,)</f>
        <v>1449</v>
      </c>
      <c r="N3" s="101">
        <f>VLOOKUP(A3,'BSE ALL CAP'!$B$4:$Y$1038,13,)</f>
        <v>109</v>
      </c>
      <c r="O3" s="101">
        <f>VLOOKUP(A3,'BSE ALL CAP'!$B$4:$Y$1038,14,)</f>
        <v>68</v>
      </c>
      <c r="P3" s="95">
        <f>VLOOKUP(A3,'BSE ALL CAP'!$B$4:$Y$1038,15,)</f>
        <v>7.2873769024171892E-2</v>
      </c>
      <c r="Q3" s="95">
        <f>VLOOKUP(A3,'BSE ALL CAP'!$B$4:$Y$1038,16,)</f>
        <v>7.6200873362445409E-2</v>
      </c>
      <c r="R3" s="95">
        <f>VLOOKUP(A3,'BSE ALL CAP'!$B$4:$Y$1038,17,)</f>
        <v>-3.3271043382735177E-3</v>
      </c>
      <c r="S3" s="95">
        <f>VLOOKUP(A3,'BSE ALL CAP'!$B$4:$Y$1038,18,)</f>
        <v>5.8226495726495728E-2</v>
      </c>
      <c r="T3" s="95">
        <f>VLOOKUP(A3,'BSE ALL CAP'!$B$4:$Y$1038,19,)</f>
        <v>4.6928916494133888E-2</v>
      </c>
      <c r="U3" s="95">
        <f>VLOOKUP(A3,'BSE ALL CAP'!$B$4:$Y$1038,20,)</f>
        <v>1.129757923236184E-2</v>
      </c>
      <c r="V3" s="95">
        <f>VLOOKUP(A3,'BSE ALL CAP'!$B$4:$Y$1038,21,)</f>
        <v>0.21943231441048039</v>
      </c>
      <c r="W3" s="95">
        <f>VLOOKUP(A3,'BSE ALL CAP'!$B$4:$Y$1038,22,)</f>
        <v>0.16618911174785089</v>
      </c>
      <c r="X3" s="95">
        <f>VLOOKUP(A3,'BSE ALL CAP'!$B$4:$Y$1038,23,)</f>
        <v>0.29192546583850931</v>
      </c>
      <c r="Y3" s="95">
        <f>VLOOKUP(A3,'BSE ALL CAP'!$B$4:$Y$1038,24,)</f>
        <v>0.60294117647058831</v>
      </c>
    </row>
    <row r="4" spans="1:25" ht="15.75" customHeight="1">
      <c r="A4" s="99">
        <v>522074</v>
      </c>
      <c r="B4" s="98" t="s">
        <v>5317</v>
      </c>
      <c r="C4" s="101" t="str">
        <f>VLOOKUP(A4,'BSE ALL CAP'!$B$4:$Y$1038,2,)</f>
        <v>Industrials</v>
      </c>
      <c r="D4" s="101" t="str">
        <f>VLOOKUP(A4,'BSE ALL CAP'!$B$4:$Y$1038,3,)</f>
        <v>Compressors, Pumps &amp; Diesel Engines</v>
      </c>
      <c r="E4" s="101">
        <f ca="1">IFERROR(__xludf.DUMMYFUNCTION("GOOGLEFINANCE(""BOM:""&amp;A4,""PRICE"")"),478)</f>
        <v>478</v>
      </c>
      <c r="F4" s="112">
        <f ca="1">IFERROR(__xludf.DUMMYFUNCTION("GOOGLEFINANCE(""BOM:""&amp;A4,""MARKETCAP"")/10000000"),15101.1499154)</f>
        <v>15101.149915399999</v>
      </c>
      <c r="G4" s="95">
        <f t="shared" ca="1" si="0"/>
        <v>6.5807598954739602E-2</v>
      </c>
      <c r="H4" s="101">
        <f>VLOOKUP(A4,'BSE ALL CAP'!$B$4:$Y$1038,7,)</f>
        <v>2838</v>
      </c>
      <c r="I4" s="101">
        <f>VLOOKUP(A4,'BSE ALL CAP'!$B$4:$Y$1038,8,)</f>
        <v>2517</v>
      </c>
      <c r="J4" s="101">
        <f>VLOOKUP(A4,'BSE ALL CAP'!$B$4:$Y$1038,9,)</f>
        <v>302</v>
      </c>
      <c r="K4" s="101">
        <f>VLOOKUP(A4,'BSE ALL CAP'!$B$4:$Y$1038,10,)</f>
        <v>248</v>
      </c>
      <c r="L4" s="101">
        <f>VLOOKUP(A4,'BSE ALL CAP'!$B$4:$Y$1038,11,)</f>
        <v>1003</v>
      </c>
      <c r="M4" s="101">
        <f>VLOOKUP(A4,'BSE ALL CAP'!$B$4:$Y$1038,12,)</f>
        <v>847</v>
      </c>
      <c r="N4" s="101">
        <f>VLOOKUP(A4,'BSE ALL CAP'!$B$4:$Y$1038,13,)</f>
        <v>95</v>
      </c>
      <c r="O4" s="101">
        <f>VLOOKUP(A4,'BSE ALL CAP'!$B$4:$Y$1038,14,)</f>
        <v>80</v>
      </c>
      <c r="P4" s="95">
        <f>VLOOKUP(A4,'BSE ALL CAP'!$B$4:$Y$1038,15,)</f>
        <v>0.10641296687808316</v>
      </c>
      <c r="Q4" s="95">
        <f>VLOOKUP(A4,'BSE ALL CAP'!$B$4:$Y$1038,16,)</f>
        <v>9.8529996027016287E-2</v>
      </c>
      <c r="R4" s="95">
        <f>VLOOKUP(A4,'BSE ALL CAP'!$B$4:$Y$1038,17,)</f>
        <v>7.8829708510668728E-3</v>
      </c>
      <c r="S4" s="95">
        <f>VLOOKUP(A4,'BSE ALL CAP'!$B$4:$Y$1038,18,)</f>
        <v>9.4715852442671986E-2</v>
      </c>
      <c r="T4" s="95">
        <f>VLOOKUP(A4,'BSE ALL CAP'!$B$4:$Y$1038,19,)</f>
        <v>9.4451003541912631E-2</v>
      </c>
      <c r="U4" s="95">
        <f>VLOOKUP(A4,'BSE ALL CAP'!$B$4:$Y$1038,20,)</f>
        <v>2.6484890075935408E-4</v>
      </c>
      <c r="V4" s="95">
        <f>VLOOKUP(A4,'BSE ALL CAP'!$B$4:$Y$1038,21,)</f>
        <v>0.12753277711561384</v>
      </c>
      <c r="W4" s="95">
        <f>VLOOKUP(A4,'BSE ALL CAP'!$B$4:$Y$1038,22,)</f>
        <v>0.217741935483871</v>
      </c>
      <c r="X4" s="95">
        <f>VLOOKUP(A4,'BSE ALL CAP'!$B$4:$Y$1038,23,)</f>
        <v>0.18417945690672965</v>
      </c>
      <c r="Y4" s="95">
        <f>VLOOKUP(A4,'BSE ALL CAP'!$B$4:$Y$1038,24,)</f>
        <v>0.1875</v>
      </c>
    </row>
    <row r="5" spans="1:25" ht="15.75" customHeight="1">
      <c r="A5" s="99">
        <v>500241</v>
      </c>
      <c r="B5" s="98" t="s">
        <v>5318</v>
      </c>
      <c r="C5" s="101" t="str">
        <f>VLOOKUP(A5,'BSE ALL CAP'!$B$4:$Y$1038,2,)</f>
        <v>Industrials</v>
      </c>
      <c r="D5" s="101" t="str">
        <f>VLOOKUP(A5,'BSE ALL CAP'!$B$4:$Y$1038,3,)</f>
        <v>Compressors, Pumps &amp; Diesel Engines</v>
      </c>
      <c r="E5" s="101">
        <f ca="1">IFERROR(__xludf.DUMMYFUNCTION("GOOGLEFINANCE(""BOM:""&amp;A5,""PRICE"")"),1434.45)</f>
        <v>1434.45</v>
      </c>
      <c r="F5" s="112">
        <f ca="1">IFERROR(__xludf.DUMMYFUNCTION("GOOGLEFINANCE(""BOM:""&amp;A5,""MARKETCAP"")/10000000"),11377.7118781)</f>
        <v>11377.711878100001</v>
      </c>
      <c r="G5" s="95">
        <f t="shared" ca="1" si="0"/>
        <v>4.9581648052710516E-2</v>
      </c>
      <c r="H5" s="101">
        <f>VLOOKUP(A5,'BSE ALL CAP'!$B$4:$Y$1038,7,)</f>
        <v>3122</v>
      </c>
      <c r="I5" s="101">
        <f>VLOOKUP(A5,'BSE ALL CAP'!$B$4:$Y$1038,8,)</f>
        <v>3210</v>
      </c>
      <c r="J5" s="101">
        <f>VLOOKUP(A5,'BSE ALL CAP'!$B$4:$Y$1038,9,)</f>
        <v>256</v>
      </c>
      <c r="K5" s="101">
        <f>VLOOKUP(A5,'BSE ALL CAP'!$B$4:$Y$1038,10,)</f>
        <v>279</v>
      </c>
      <c r="L5" s="101">
        <f>VLOOKUP(A5,'BSE ALL CAP'!$B$4:$Y$1038,11,)</f>
        <v>1116</v>
      </c>
      <c r="M5" s="101">
        <f>VLOOKUP(A5,'BSE ALL CAP'!$B$4:$Y$1038,12,)</f>
        <v>1144</v>
      </c>
      <c r="N5" s="101">
        <f>VLOOKUP(A5,'BSE ALL CAP'!$B$4:$Y$1038,13,)</f>
        <v>119</v>
      </c>
      <c r="O5" s="101">
        <f>VLOOKUP(A5,'BSE ALL CAP'!$B$4:$Y$1038,14,)</f>
        <v>113</v>
      </c>
      <c r="P5" s="95">
        <f>VLOOKUP(A5,'BSE ALL CAP'!$B$4:$Y$1038,15,)</f>
        <v>8.1998718770019213E-2</v>
      </c>
      <c r="Q5" s="95">
        <f>VLOOKUP(A5,'BSE ALL CAP'!$B$4:$Y$1038,16,)</f>
        <v>8.6915887850467291E-2</v>
      </c>
      <c r="R5" s="95">
        <f>VLOOKUP(A5,'BSE ALL CAP'!$B$4:$Y$1038,17,)</f>
        <v>-4.9171690804480778E-3</v>
      </c>
      <c r="S5" s="95">
        <f>VLOOKUP(A5,'BSE ALL CAP'!$B$4:$Y$1038,18,)</f>
        <v>0.10663082437275985</v>
      </c>
      <c r="T5" s="95">
        <f>VLOOKUP(A5,'BSE ALL CAP'!$B$4:$Y$1038,19,)</f>
        <v>9.8776223776223776E-2</v>
      </c>
      <c r="U5" s="95">
        <f>VLOOKUP(A5,'BSE ALL CAP'!$B$4:$Y$1038,20,)</f>
        <v>7.8546005965360738E-3</v>
      </c>
      <c r="V5" s="95">
        <f>VLOOKUP(A5,'BSE ALL CAP'!$B$4:$Y$1038,21,)</f>
        <v>-2.7414330218068494E-2</v>
      </c>
      <c r="W5" s="95">
        <f>VLOOKUP(A5,'BSE ALL CAP'!$B$4:$Y$1038,22,)</f>
        <v>-8.2437275985663083E-2</v>
      </c>
      <c r="X5" s="95">
        <f>VLOOKUP(A5,'BSE ALL CAP'!$B$4:$Y$1038,23,)</f>
        <v>-2.4475524475524479E-2</v>
      </c>
      <c r="Y5" s="95">
        <f>VLOOKUP(A5,'BSE ALL CAP'!$B$4:$Y$1038,24,)</f>
        <v>5.3097345132743445E-2</v>
      </c>
    </row>
    <row r="6" spans="1:25" ht="15.75" customHeight="1">
      <c r="A6" s="99">
        <v>500249</v>
      </c>
      <c r="B6" s="98" t="s">
        <v>5319</v>
      </c>
      <c r="C6" s="101" t="str">
        <f>VLOOKUP(A6,'BSE ALL CAP'!$B$4:$Y$1038,2,)</f>
        <v>Industrials</v>
      </c>
      <c r="D6" s="101" t="str">
        <f>VLOOKUP(A6,'BSE ALL CAP'!$B$4:$Y$1038,3,)</f>
        <v>Compressors, Pumps &amp; Diesel Engines</v>
      </c>
      <c r="E6" s="101">
        <f ca="1">IFERROR(__xludf.DUMMYFUNCTION("GOOGLEFINANCE(""BOM:""&amp;A6,""PRICE"")"),831.75)</f>
        <v>831.75</v>
      </c>
      <c r="F6" s="112">
        <f ca="1">IFERROR(__xludf.DUMMYFUNCTION("GOOGLEFINANCE(""BOM:""&amp;A6,""MARKETCAP"")/10000000"),14447.8646129)</f>
        <v>14447.864612900001</v>
      </c>
      <c r="G6" s="95">
        <f t="shared" ca="1" si="0"/>
        <v>6.296072057588821E-2</v>
      </c>
      <c r="H6" s="101">
        <f>VLOOKUP(A6,'BSE ALL CAP'!$B$4:$Y$1038,7,)</f>
        <v>2696</v>
      </c>
      <c r="I6" s="101">
        <f>VLOOKUP(A6,'BSE ALL CAP'!$B$4:$Y$1038,8,)</f>
        <v>2533</v>
      </c>
      <c r="J6" s="101">
        <f>VLOOKUP(A6,'BSE ALL CAP'!$B$4:$Y$1038,9,)</f>
        <v>270</v>
      </c>
      <c r="K6" s="101">
        <f>VLOOKUP(A6,'BSE ALL CAP'!$B$4:$Y$1038,10,)</f>
        <v>247</v>
      </c>
      <c r="L6" s="101">
        <f>VLOOKUP(A6,'BSE ALL CAP'!$B$4:$Y$1038,11,)</f>
        <v>784</v>
      </c>
      <c r="M6" s="101">
        <f>VLOOKUP(A6,'BSE ALL CAP'!$B$4:$Y$1038,12,)</f>
        <v>726</v>
      </c>
      <c r="N6" s="101">
        <f>VLOOKUP(A6,'BSE ALL CAP'!$B$4:$Y$1038,13,)</f>
        <v>81</v>
      </c>
      <c r="O6" s="101">
        <f>VLOOKUP(A6,'BSE ALL CAP'!$B$4:$Y$1038,14,)</f>
        <v>73</v>
      </c>
      <c r="P6" s="95">
        <f>VLOOKUP(A6,'BSE ALL CAP'!$B$4:$Y$1038,15,)</f>
        <v>0.10014836795252226</v>
      </c>
      <c r="Q6" s="95">
        <f>VLOOKUP(A6,'BSE ALL CAP'!$B$4:$Y$1038,16,)</f>
        <v>9.7512830635609948E-2</v>
      </c>
      <c r="R6" s="95">
        <f>VLOOKUP(A6,'BSE ALL CAP'!$B$4:$Y$1038,17,)</f>
        <v>2.6355373169123092E-3</v>
      </c>
      <c r="S6" s="95">
        <f>VLOOKUP(A6,'BSE ALL CAP'!$B$4:$Y$1038,18,)</f>
        <v>0.10331632653061225</v>
      </c>
      <c r="T6" s="95">
        <f>VLOOKUP(A6,'BSE ALL CAP'!$B$4:$Y$1038,19,)</f>
        <v>0.10055096418732783</v>
      </c>
      <c r="U6" s="95">
        <f>VLOOKUP(A6,'BSE ALL CAP'!$B$4:$Y$1038,20,)</f>
        <v>2.7653623432844221E-3</v>
      </c>
      <c r="V6" s="95">
        <f>VLOOKUP(A6,'BSE ALL CAP'!$B$4:$Y$1038,21,)</f>
        <v>6.4350572443742537E-2</v>
      </c>
      <c r="W6" s="95">
        <f>VLOOKUP(A6,'BSE ALL CAP'!$B$4:$Y$1038,22,)</f>
        <v>9.3117408906882693E-2</v>
      </c>
      <c r="X6" s="95">
        <f>VLOOKUP(A6,'BSE ALL CAP'!$B$4:$Y$1038,23,)</f>
        <v>7.9889807162534465E-2</v>
      </c>
      <c r="Y6" s="95">
        <f>VLOOKUP(A6,'BSE ALL CAP'!$B$4:$Y$1038,24,)</f>
        <v>0.1095890410958904</v>
      </c>
    </row>
    <row r="7" spans="1:25" ht="15.75" customHeight="1">
      <c r="A7" s="99">
        <v>500210</v>
      </c>
      <c r="B7" s="98" t="s">
        <v>5320</v>
      </c>
      <c r="C7" s="101" t="str">
        <f>VLOOKUP(A7,'BSE ALL CAP'!$B$4:$Y$1038,2,)</f>
        <v>Industrials</v>
      </c>
      <c r="D7" s="101" t="str">
        <f>VLOOKUP(A7,'BSE ALL CAP'!$B$4:$Y$1038,3,)</f>
        <v>Compressors, Pumps &amp; Diesel Engines</v>
      </c>
      <c r="E7" s="101">
        <f ca="1">IFERROR(__xludf.DUMMYFUNCTION("GOOGLEFINANCE(""BOM:""&amp;A7,""PRICE"")"),3676.2)</f>
        <v>3676.2</v>
      </c>
      <c r="F7" s="112">
        <f ca="1">IFERROR(__xludf.DUMMYFUNCTION("GOOGLEFINANCE(""BOM:""&amp;A7,""MARKETCAP"")/10000000"),11603.101677)</f>
        <v>11603.101677000001</v>
      </c>
      <c r="G7" s="95">
        <f t="shared" ca="1" si="0"/>
        <v>5.0563848850503711E-2</v>
      </c>
      <c r="H7" s="101">
        <f>VLOOKUP(A7,'BSE ALL CAP'!$B$4:$Y$1038,7,)</f>
        <v>1092</v>
      </c>
      <c r="I7" s="101">
        <f>VLOOKUP(A7,'BSE ALL CAP'!$B$4:$Y$1038,8,)</f>
        <v>1013</v>
      </c>
      <c r="J7" s="101">
        <f>VLOOKUP(A7,'BSE ALL CAP'!$B$4:$Y$1038,9,)</f>
        <v>191</v>
      </c>
      <c r="K7" s="101">
        <f>VLOOKUP(A7,'BSE ALL CAP'!$B$4:$Y$1038,10,)</f>
        <v>199</v>
      </c>
      <c r="L7" s="101">
        <f>VLOOKUP(A7,'BSE ALL CAP'!$B$4:$Y$1038,11,)</f>
        <v>455</v>
      </c>
      <c r="M7" s="101">
        <f>VLOOKUP(A7,'BSE ALL CAP'!$B$4:$Y$1038,12,)</f>
        <v>381</v>
      </c>
      <c r="N7" s="101">
        <f>VLOOKUP(A7,'BSE ALL CAP'!$B$4:$Y$1038,13,)</f>
        <v>71</v>
      </c>
      <c r="O7" s="101">
        <f>VLOOKUP(A7,'BSE ALL CAP'!$B$4:$Y$1038,14,)</f>
        <v>77</v>
      </c>
      <c r="P7" s="95">
        <f>VLOOKUP(A7,'BSE ALL CAP'!$B$4:$Y$1038,15,)</f>
        <v>0.1749084249084249</v>
      </c>
      <c r="Q7" s="95">
        <f>VLOOKUP(A7,'BSE ALL CAP'!$B$4:$Y$1038,16,)</f>
        <v>0.19644619940769989</v>
      </c>
      <c r="R7" s="95">
        <f>VLOOKUP(A7,'BSE ALL CAP'!$B$4:$Y$1038,17,)</f>
        <v>-2.1537774499274992E-2</v>
      </c>
      <c r="S7" s="95">
        <f>VLOOKUP(A7,'BSE ALL CAP'!$B$4:$Y$1038,18,)</f>
        <v>0.15604395604395604</v>
      </c>
      <c r="T7" s="95">
        <f>VLOOKUP(A7,'BSE ALL CAP'!$B$4:$Y$1038,19,)</f>
        <v>0.20209973753280841</v>
      </c>
      <c r="U7" s="95">
        <f>VLOOKUP(A7,'BSE ALL CAP'!$B$4:$Y$1038,20,)</f>
        <v>-4.6055781488852365E-2</v>
      </c>
      <c r="V7" s="95">
        <f>VLOOKUP(A7,'BSE ALL CAP'!$B$4:$Y$1038,21,)</f>
        <v>7.7986179664363275E-2</v>
      </c>
      <c r="W7" s="95">
        <f>VLOOKUP(A7,'BSE ALL CAP'!$B$4:$Y$1038,22,)</f>
        <v>-4.020100502512558E-2</v>
      </c>
      <c r="X7" s="95">
        <f>VLOOKUP(A7,'BSE ALL CAP'!$B$4:$Y$1038,23,)</f>
        <v>0.19422572178477693</v>
      </c>
      <c r="Y7" s="95">
        <f>VLOOKUP(A7,'BSE ALL CAP'!$B$4:$Y$1038,24,)</f>
        <v>-7.7922077922077948E-2</v>
      </c>
    </row>
    <row r="8" spans="1:25" ht="15.75" customHeight="1">
      <c r="A8" s="99">
        <v>505283</v>
      </c>
      <c r="B8" s="98" t="s">
        <v>5321</v>
      </c>
      <c r="C8" s="101" t="str">
        <f>VLOOKUP(A8,'BSE ALL CAP'!$B$4:$Y$1038,2,)</f>
        <v>Industrials</v>
      </c>
      <c r="D8" s="101" t="str">
        <f>VLOOKUP(A8,'BSE ALL CAP'!$B$4:$Y$1038,3,)</f>
        <v>Compressors, Pumps &amp; Diesel Engines</v>
      </c>
      <c r="E8" s="101">
        <f ca="1">IFERROR(__xludf.DUMMYFUNCTION("GOOGLEFINANCE(""BOM:""&amp;A8,""PRICE"")"),1122.4)</f>
        <v>1122.4000000000001</v>
      </c>
      <c r="F8" s="112">
        <f ca="1">IFERROR(__xludf.DUMMYFUNCTION("GOOGLEFINANCE(""BOM:""&amp;A8,""MARKETCAP"")/10000000"),7301.9488552)</f>
        <v>7301.9488552000003</v>
      </c>
      <c r="G8" s="95">
        <f t="shared" ca="1" si="0"/>
        <v>3.182033981140657E-2</v>
      </c>
      <c r="H8" s="101">
        <f>VLOOKUP(A8,'BSE ALL CAP'!$B$4:$Y$1038,7,)</f>
        <v>1074</v>
      </c>
      <c r="I8" s="101">
        <f>VLOOKUP(A8,'BSE ALL CAP'!$B$4:$Y$1038,8,)</f>
        <v>1048</v>
      </c>
      <c r="J8" s="101">
        <f>VLOOKUP(A8,'BSE ALL CAP'!$B$4:$Y$1038,9,)</f>
        <v>110</v>
      </c>
      <c r="K8" s="101">
        <f>VLOOKUP(A8,'BSE ALL CAP'!$B$4:$Y$1038,10,)</f>
        <v>131</v>
      </c>
      <c r="L8" s="101">
        <f>VLOOKUP(A8,'BSE ALL CAP'!$B$4:$Y$1038,11,)</f>
        <v>406</v>
      </c>
      <c r="M8" s="101">
        <f>VLOOKUP(A8,'BSE ALL CAP'!$B$4:$Y$1038,12,)</f>
        <v>342</v>
      </c>
      <c r="N8" s="101">
        <f>VLOOKUP(A8,'BSE ALL CAP'!$B$4:$Y$1038,13,)</f>
        <v>41</v>
      </c>
      <c r="O8" s="101">
        <f>VLOOKUP(A8,'BSE ALL CAP'!$B$4:$Y$1038,14,)</f>
        <v>36</v>
      </c>
      <c r="P8" s="95">
        <f>VLOOKUP(A8,'BSE ALL CAP'!$B$4:$Y$1038,15,)</f>
        <v>0.10242085661080075</v>
      </c>
      <c r="Q8" s="95">
        <f>VLOOKUP(A8,'BSE ALL CAP'!$B$4:$Y$1038,16,)</f>
        <v>0.125</v>
      </c>
      <c r="R8" s="95">
        <f>VLOOKUP(A8,'BSE ALL CAP'!$B$4:$Y$1038,17,)</f>
        <v>-2.2579143389199252E-2</v>
      </c>
      <c r="S8" s="95">
        <f>VLOOKUP(A8,'BSE ALL CAP'!$B$4:$Y$1038,18,)</f>
        <v>0.10098522167487685</v>
      </c>
      <c r="T8" s="95">
        <f>VLOOKUP(A8,'BSE ALL CAP'!$B$4:$Y$1038,19,)</f>
        <v>0.10526315789473684</v>
      </c>
      <c r="U8" s="95">
        <f>VLOOKUP(A8,'BSE ALL CAP'!$B$4:$Y$1038,20,)</f>
        <v>-4.2779362198599874E-3</v>
      </c>
      <c r="V8" s="95">
        <f>VLOOKUP(A8,'BSE ALL CAP'!$B$4:$Y$1038,21,)</f>
        <v>2.4809160305343525E-2</v>
      </c>
      <c r="W8" s="95">
        <f>VLOOKUP(A8,'BSE ALL CAP'!$B$4:$Y$1038,22,)</f>
        <v>-0.16030534351145043</v>
      </c>
      <c r="X8" s="95">
        <f>VLOOKUP(A8,'BSE ALL CAP'!$B$4:$Y$1038,23,)</f>
        <v>0.1871345029239766</v>
      </c>
      <c r="Y8" s="95">
        <f>VLOOKUP(A8,'BSE ALL CAP'!$B$4:$Y$1038,24,)</f>
        <v>0.13888888888888884</v>
      </c>
    </row>
    <row r="9" spans="1:25" ht="15.75" customHeight="1">
      <c r="A9" s="99">
        <v>531431</v>
      </c>
      <c r="B9" s="98" t="s">
        <v>5322</v>
      </c>
      <c r="C9" s="101" t="str">
        <f>VLOOKUP(A9,'BSE ALL CAP'!$B$4:$Y$1038,2,)</f>
        <v>Industrials</v>
      </c>
      <c r="D9" s="101" t="str">
        <f>VLOOKUP(A9,'BSE ALL CAP'!$B$4:$Y$1038,3,)</f>
        <v>Compressors, Pumps &amp; Diesel Engines</v>
      </c>
      <c r="E9" s="101">
        <f ca="1">IFERROR(__xludf.DUMMYFUNCTION("GOOGLEFINANCE(""BOM:""&amp;A9,""PRICE"")"),496.3)</f>
        <v>496.3</v>
      </c>
      <c r="F9" s="112">
        <f ca="1">IFERROR(__xludf.DUMMYFUNCTION("GOOGLEFINANCE(""BOM:""&amp;A9,""MARKETCAP"")/10000000"),6122.3867331)</f>
        <v>6122.3867331000001</v>
      </c>
      <c r="G9" s="95">
        <f t="shared" ca="1" si="0"/>
        <v>2.6680059004433182E-2</v>
      </c>
      <c r="H9" s="101">
        <f>VLOOKUP(A9,'BSE ALL CAP'!$B$4:$Y$1038,7,)</f>
        <v>1840</v>
      </c>
      <c r="I9" s="101">
        <f>VLOOKUP(A9,'BSE ALL CAP'!$B$4:$Y$1038,8,)</f>
        <v>1851</v>
      </c>
      <c r="J9" s="101">
        <f>VLOOKUP(A9,'BSE ALL CAP'!$B$4:$Y$1038,9,)</f>
        <v>219</v>
      </c>
      <c r="K9" s="101">
        <f>VLOOKUP(A9,'BSE ALL CAP'!$B$4:$Y$1038,10,)</f>
        <v>298</v>
      </c>
      <c r="L9" s="101">
        <f>VLOOKUP(A9,'BSE ALL CAP'!$B$4:$Y$1038,11,)</f>
        <v>550</v>
      </c>
      <c r="M9" s="101">
        <f>VLOOKUP(A9,'BSE ALL CAP'!$B$4:$Y$1038,12,)</f>
        <v>649</v>
      </c>
      <c r="N9" s="101">
        <f>VLOOKUP(A9,'BSE ALL CAP'!$B$4:$Y$1038,13,)</f>
        <v>32</v>
      </c>
      <c r="O9" s="101">
        <f>VLOOKUP(A9,'BSE ALL CAP'!$B$4:$Y$1038,14,)</f>
        <v>104</v>
      </c>
      <c r="P9" s="95">
        <f>VLOOKUP(A9,'BSE ALL CAP'!$B$4:$Y$1038,15,)</f>
        <v>0.11902173913043479</v>
      </c>
      <c r="Q9" s="95">
        <f>VLOOKUP(A9,'BSE ALL CAP'!$B$4:$Y$1038,16,)</f>
        <v>0.16099405726634253</v>
      </c>
      <c r="R9" s="95">
        <f>VLOOKUP(A9,'BSE ALL CAP'!$B$4:$Y$1038,17,)</f>
        <v>-4.1972318135907738E-2</v>
      </c>
      <c r="S9" s="95">
        <f>VLOOKUP(A9,'BSE ALL CAP'!$B$4:$Y$1038,18,)</f>
        <v>5.8181818181818182E-2</v>
      </c>
      <c r="T9" s="95">
        <f>VLOOKUP(A9,'BSE ALL CAP'!$B$4:$Y$1038,19,)</f>
        <v>0.16024653312788906</v>
      </c>
      <c r="U9" s="95">
        <f>VLOOKUP(A9,'BSE ALL CAP'!$B$4:$Y$1038,20,)</f>
        <v>-0.10206471494607088</v>
      </c>
      <c r="V9" s="95">
        <f>VLOOKUP(A9,'BSE ALL CAP'!$B$4:$Y$1038,21,)</f>
        <v>-5.9427336574824352E-3</v>
      </c>
      <c r="W9" s="95">
        <f>VLOOKUP(A9,'BSE ALL CAP'!$B$4:$Y$1038,22,)</f>
        <v>-0.2651006711409396</v>
      </c>
      <c r="X9" s="95">
        <f>VLOOKUP(A9,'BSE ALL CAP'!$B$4:$Y$1038,23,)</f>
        <v>-0.15254237288135597</v>
      </c>
      <c r="Y9" s="95">
        <f>VLOOKUP(A9,'BSE ALL CAP'!$B$4:$Y$1038,24,)</f>
        <v>-0.69230769230769229</v>
      </c>
    </row>
    <row r="10" spans="1:25" ht="15.75" customHeight="1">
      <c r="A10" s="99">
        <v>500407</v>
      </c>
      <c r="B10" s="98" t="s">
        <v>5323</v>
      </c>
      <c r="C10" s="101" t="str">
        <f>VLOOKUP(A10,'BSE ALL CAP'!$B$4:$Y$1038,2,)</f>
        <v>Industrials</v>
      </c>
      <c r="D10" s="101" t="str">
        <f>VLOOKUP(A10,'BSE ALL CAP'!$B$4:$Y$1038,3,)</f>
        <v>Compressors, Pumps &amp; Diesel Engines</v>
      </c>
      <c r="E10" s="101">
        <f ca="1">IFERROR(__xludf.DUMMYFUNCTION("GOOGLEFINANCE(""BOM:""&amp;A10,""PRICE"")"),3630)</f>
        <v>3630</v>
      </c>
      <c r="F10" s="112">
        <f ca="1">IFERROR(__xludf.DUMMYFUNCTION("GOOGLEFINANCE(""BOM:""&amp;A10,""MARKETCAP"")/10000000"),4412.829152)</f>
        <v>4412.8291520000002</v>
      </c>
      <c r="G10" s="95">
        <f t="shared" ca="1" si="0"/>
        <v>1.9230170729876341E-2</v>
      </c>
      <c r="H10" s="101">
        <f>VLOOKUP(A10,'BSE ALL CAP'!$B$4:$Y$1038,7,)</f>
        <v>1461</v>
      </c>
      <c r="I10" s="101">
        <f>VLOOKUP(A10,'BSE ALL CAP'!$B$4:$Y$1038,8,)</f>
        <v>1227</v>
      </c>
      <c r="J10" s="101">
        <f>VLOOKUP(A10,'BSE ALL CAP'!$B$4:$Y$1038,9,)</f>
        <v>141</v>
      </c>
      <c r="K10" s="101">
        <f>VLOOKUP(A10,'BSE ALL CAP'!$B$4:$Y$1038,10,)</f>
        <v>120</v>
      </c>
      <c r="L10" s="101">
        <f>VLOOKUP(A10,'BSE ALL CAP'!$B$4:$Y$1038,11,)</f>
        <v>476</v>
      </c>
      <c r="M10" s="101">
        <f>VLOOKUP(A10,'BSE ALL CAP'!$B$4:$Y$1038,12,)</f>
        <v>349</v>
      </c>
      <c r="N10" s="101">
        <f>VLOOKUP(A10,'BSE ALL CAP'!$B$4:$Y$1038,13,)</f>
        <v>42</v>
      </c>
      <c r="O10" s="101">
        <f>VLOOKUP(A10,'BSE ALL CAP'!$B$4:$Y$1038,14,)</f>
        <v>31</v>
      </c>
      <c r="P10" s="95">
        <f>VLOOKUP(A10,'BSE ALL CAP'!$B$4:$Y$1038,15,)</f>
        <v>9.6509240246406572E-2</v>
      </c>
      <c r="Q10" s="95">
        <f>VLOOKUP(A10,'BSE ALL CAP'!$B$4:$Y$1038,16,)</f>
        <v>9.7799511002444994E-2</v>
      </c>
      <c r="R10" s="95">
        <f>VLOOKUP(A10,'BSE ALL CAP'!$B$4:$Y$1038,17,)</f>
        <v>-1.2902707560384225E-3</v>
      </c>
      <c r="S10" s="95">
        <f>VLOOKUP(A10,'BSE ALL CAP'!$B$4:$Y$1038,18,)</f>
        <v>8.8235294117647065E-2</v>
      </c>
      <c r="T10" s="95">
        <f>VLOOKUP(A10,'BSE ALL CAP'!$B$4:$Y$1038,19,)</f>
        <v>8.882521489971347E-2</v>
      </c>
      <c r="U10" s="95">
        <f>VLOOKUP(A10,'BSE ALL CAP'!$B$4:$Y$1038,20,)</f>
        <v>-5.8992078206640541E-4</v>
      </c>
      <c r="V10" s="95">
        <f>VLOOKUP(A10,'BSE ALL CAP'!$B$4:$Y$1038,21,)</f>
        <v>0.19070904645476783</v>
      </c>
      <c r="W10" s="95">
        <f>VLOOKUP(A10,'BSE ALL CAP'!$B$4:$Y$1038,22,)</f>
        <v>0.17500000000000004</v>
      </c>
      <c r="X10" s="95">
        <f>VLOOKUP(A10,'BSE ALL CAP'!$B$4:$Y$1038,23,)</f>
        <v>0.36389684813753576</v>
      </c>
      <c r="Y10" s="95">
        <f>VLOOKUP(A10,'BSE ALL CAP'!$B$4:$Y$1038,24,)</f>
        <v>0.35483870967741926</v>
      </c>
    </row>
    <row r="11" spans="1:25" ht="15.75" customHeight="1">
      <c r="A11" s="99">
        <v>544418</v>
      </c>
      <c r="B11" s="98" t="s">
        <v>5324</v>
      </c>
      <c r="C11" s="101" t="str">
        <f>VLOOKUP(A11,'BSE ALL CAP'!$B$4:$Y$1038,2,)</f>
        <v>Industrials</v>
      </c>
      <c r="D11" s="101" t="str">
        <f>VLOOKUP(A11,'BSE ALL CAP'!$B$4:$Y$1038,3,)</f>
        <v>Compressors, Pumps &amp; Diesel Engines</v>
      </c>
      <c r="E11" s="101">
        <f ca="1">IFERROR(__xludf.DUMMYFUNCTION("GOOGLEFINANCE(""BOM:""&amp;A11,""PRICE"")"),322.4)</f>
        <v>322.39999999999998</v>
      </c>
      <c r="F11" s="112">
        <f ca="1">IFERROR(__xludf.DUMMYFUNCTION("GOOGLEFINANCE(""BOM:""&amp;A11,""MARKETCAP"")/10000000"),3673.4914628)</f>
        <v>3673.4914628000001</v>
      </c>
      <c r="G11" s="95">
        <f t="shared" ca="1" si="0"/>
        <v>1.6008294355191747E-2</v>
      </c>
      <c r="H11" s="101">
        <f>VLOOKUP(A11,'BSE ALL CAP'!$B$4:$Y$1038,7,)</f>
        <v>1554</v>
      </c>
      <c r="I11" s="101">
        <f>VLOOKUP(A11,'BSE ALL CAP'!$B$4:$Y$1038,8,)</f>
        <v>1065</v>
      </c>
      <c r="J11" s="101">
        <f>VLOOKUP(A11,'BSE ALL CAP'!$B$4:$Y$1038,9,)</f>
        <v>283</v>
      </c>
      <c r="K11" s="101">
        <f>VLOOKUP(A11,'BSE ALL CAP'!$B$4:$Y$1038,10,)</f>
        <v>216</v>
      </c>
      <c r="L11" s="101">
        <f>VLOOKUP(A11,'BSE ALL CAP'!$B$4:$Y$1038,11,)</f>
        <v>501</v>
      </c>
      <c r="M11" s="101">
        <f>VLOOKUP(A11,'BSE ALL CAP'!$B$4:$Y$1038,12,)</f>
        <v>379</v>
      </c>
      <c r="N11" s="101">
        <f>VLOOKUP(A11,'BSE ALL CAP'!$B$4:$Y$1038,13,)</f>
        <v>91</v>
      </c>
      <c r="O11" s="101">
        <f>VLOOKUP(A11,'BSE ALL CAP'!$B$4:$Y$1038,14,)</f>
        <v>80</v>
      </c>
      <c r="P11" s="95">
        <f>VLOOKUP(A11,'BSE ALL CAP'!$B$4:$Y$1038,15,)</f>
        <v>0.1821106821106821</v>
      </c>
      <c r="Q11" s="95">
        <f>VLOOKUP(A11,'BSE ALL CAP'!$B$4:$Y$1038,16,)</f>
        <v>0.20281690140845071</v>
      </c>
      <c r="R11" s="95">
        <f>VLOOKUP(A11,'BSE ALL CAP'!$B$4:$Y$1038,17,)</f>
        <v>-2.0706219297768613E-2</v>
      </c>
      <c r="S11" s="95">
        <f>VLOOKUP(A11,'BSE ALL CAP'!$B$4:$Y$1038,18,)</f>
        <v>0.18163672654690619</v>
      </c>
      <c r="T11" s="95">
        <f>VLOOKUP(A11,'BSE ALL CAP'!$B$4:$Y$1038,19,)</f>
        <v>0.21108179419525067</v>
      </c>
      <c r="U11" s="95">
        <f>VLOOKUP(A11,'BSE ALL CAP'!$B$4:$Y$1038,20,)</f>
        <v>-2.9445067648344481E-2</v>
      </c>
      <c r="V11" s="95">
        <f>VLOOKUP(A11,'BSE ALL CAP'!$B$4:$Y$1038,21,)</f>
        <v>0.45915492957746484</v>
      </c>
      <c r="W11" s="95">
        <f>VLOOKUP(A11,'BSE ALL CAP'!$B$4:$Y$1038,22,)</f>
        <v>0.31018518518518512</v>
      </c>
      <c r="X11" s="95">
        <f>VLOOKUP(A11,'BSE ALL CAP'!$B$4:$Y$1038,23,)</f>
        <v>0.32189973614775735</v>
      </c>
      <c r="Y11" s="95">
        <f>VLOOKUP(A11,'BSE ALL CAP'!$B$4:$Y$1038,24,)</f>
        <v>0.13749999999999996</v>
      </c>
    </row>
    <row r="12" spans="1:25" ht="15.75" customHeight="1">
      <c r="A12" s="99">
        <v>501455</v>
      </c>
      <c r="B12" s="98" t="s">
        <v>5325</v>
      </c>
      <c r="C12" s="101" t="str">
        <f>VLOOKUP(A12,'BSE ALL CAP'!$B$4:$Y$1038,2,)</f>
        <v>Industrials</v>
      </c>
      <c r="D12" s="101" t="str">
        <f>VLOOKUP(A12,'BSE ALL CAP'!$B$4:$Y$1038,3,)</f>
        <v>Compressors, Pumps &amp; Diesel Engines</v>
      </c>
      <c r="E12" s="101">
        <f ca="1">IFERROR(__xludf.DUMMYFUNCTION("GOOGLEFINANCE(""BOM:""&amp;A12,""PRICE"")"),135.2)</f>
        <v>135.19999999999999</v>
      </c>
      <c r="F12" s="112">
        <f ca="1">IFERROR(__xludf.DUMMYFUNCTION("GOOGLEFINANCE(""BOM:""&amp;A12,""MARKETCAP"")/10000000"),3156.5777001)</f>
        <v>3156.5777001000001</v>
      </c>
      <c r="G12" s="95">
        <f t="shared" ca="1" si="0"/>
        <v>1.3755694137293308E-2</v>
      </c>
      <c r="H12" s="101">
        <f>VLOOKUP(A12,'BSE ALL CAP'!$B$4:$Y$1038,7,)</f>
        <v>2436</v>
      </c>
      <c r="I12" s="101">
        <f>VLOOKUP(A12,'BSE ALL CAP'!$B$4:$Y$1038,8,)</f>
        <v>2096</v>
      </c>
      <c r="J12" s="101">
        <f>VLOOKUP(A12,'BSE ALL CAP'!$B$4:$Y$1038,9,)</f>
        <v>33</v>
      </c>
      <c r="K12" s="101">
        <f>VLOOKUP(A12,'BSE ALL CAP'!$B$4:$Y$1038,10,)</f>
        <v>-7</v>
      </c>
      <c r="L12" s="101">
        <f>VLOOKUP(A12,'BSE ALL CAP'!$B$4:$Y$1038,11,)</f>
        <v>875</v>
      </c>
      <c r="M12" s="101">
        <f>VLOOKUP(A12,'BSE ALL CAP'!$B$4:$Y$1038,12,)</f>
        <v>751</v>
      </c>
      <c r="N12" s="101">
        <f>VLOOKUP(A12,'BSE ALL CAP'!$B$4:$Y$1038,13,)</f>
        <v>6</v>
      </c>
      <c r="O12" s="101">
        <f>VLOOKUP(A12,'BSE ALL CAP'!$B$4:$Y$1038,14,)</f>
        <v>7</v>
      </c>
      <c r="P12" s="95">
        <f>VLOOKUP(A12,'BSE ALL CAP'!$B$4:$Y$1038,15,)</f>
        <v>1.3546798029556651E-2</v>
      </c>
      <c r="Q12" s="95">
        <f>VLOOKUP(A12,'BSE ALL CAP'!$B$4:$Y$1038,16,)</f>
        <v>-3.3396946564885495E-3</v>
      </c>
      <c r="R12" s="95">
        <f>VLOOKUP(A12,'BSE ALL CAP'!$B$4:$Y$1038,17,)</f>
        <v>1.6886492686045199E-2</v>
      </c>
      <c r="S12" s="95">
        <f>VLOOKUP(A12,'BSE ALL CAP'!$B$4:$Y$1038,18,)</f>
        <v>6.8571428571428568E-3</v>
      </c>
      <c r="T12" s="95">
        <f>VLOOKUP(A12,'BSE ALL CAP'!$B$4:$Y$1038,19,)</f>
        <v>9.3209054593874838E-3</v>
      </c>
      <c r="U12" s="95">
        <f>VLOOKUP(A12,'BSE ALL CAP'!$B$4:$Y$1038,20,)</f>
        <v>-2.463762602244627E-3</v>
      </c>
      <c r="V12" s="95">
        <f>VLOOKUP(A12,'BSE ALL CAP'!$B$4:$Y$1038,21,)</f>
        <v>0.16221374045801529</v>
      </c>
      <c r="W12" s="95">
        <f>VLOOKUP(A12,'BSE ALL CAP'!$B$4:$Y$1038,22,)</f>
        <v>-5.7142857142857144</v>
      </c>
      <c r="X12" s="95">
        <f>VLOOKUP(A12,'BSE ALL CAP'!$B$4:$Y$1038,23,)</f>
        <v>0.16511318242343531</v>
      </c>
      <c r="Y12" s="95">
        <f>VLOOKUP(A12,'BSE ALL CAP'!$B$4:$Y$1038,24,)</f>
        <v>-0.1428571428571429</v>
      </c>
    </row>
    <row r="13" spans="1:25" ht="15.75" customHeight="1">
      <c r="A13" s="99">
        <v>517500</v>
      </c>
      <c r="B13" s="98" t="s">
        <v>5326</v>
      </c>
      <c r="C13" s="101"/>
      <c r="D13" s="101"/>
      <c r="E13" s="101">
        <f ca="1">IFERROR(__xludf.DUMMYFUNCTION("GOOGLEFINANCE(""BOM:""&amp;A13,""PRICE"")"),53)</f>
        <v>53</v>
      </c>
      <c r="F13" s="112">
        <f ca="1">IFERROR(__xludf.DUMMYFUNCTION("GOOGLEFINANCE(""BOM:""&amp;A13,""MARKETCAP"")/10000000"),998.76168)</f>
        <v>998.76167999999996</v>
      </c>
      <c r="G13" s="95">
        <f t="shared" ca="1" si="0"/>
        <v>4.3523909408895506E-3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522108</v>
      </c>
      <c r="B14" s="98" t="s">
        <v>5327</v>
      </c>
      <c r="C14" s="101"/>
      <c r="D14" s="101"/>
      <c r="E14" s="101">
        <f ca="1">IFERROR(__xludf.DUMMYFUNCTION("GOOGLEFINANCE(""BOM:""&amp;A14,""PRICE"")"),649.15)</f>
        <v>649.15</v>
      </c>
      <c r="F14" s="112">
        <f ca="1">IFERROR(__xludf.DUMMYFUNCTION("GOOGLEFINANCE(""BOM:""&amp;A14,""MARKETCAP"")/10000000"),878.521653)</f>
        <v>878.52165300000001</v>
      </c>
      <c r="G14" s="95">
        <f t="shared" ca="1" si="0"/>
        <v>3.8284104811595432E-3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>
      <c r="A15" s="101"/>
      <c r="B15" s="101"/>
      <c r="C15" s="101"/>
      <c r="D15" s="101"/>
      <c r="E15" s="101"/>
      <c r="F15" s="112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>
      <c r="A16" s="101"/>
      <c r="B16" s="101"/>
      <c r="C16" s="101"/>
      <c r="D16" s="101"/>
      <c r="E16" s="101"/>
      <c r="F16" s="112">
        <f ca="1">SUM(F1:F14)</f>
        <v>229474.25761249999</v>
      </c>
      <c r="G16" s="95">
        <f ca="1">F16/$F$16</f>
        <v>1</v>
      </c>
      <c r="H16" s="101">
        <f t="shared" ref="H16:O16" si="1">SUM(H2:H14)</f>
        <v>33203</v>
      </c>
      <c r="I16" s="101">
        <f t="shared" si="1"/>
        <v>29381</v>
      </c>
      <c r="J16" s="101">
        <f t="shared" si="1"/>
        <v>3924</v>
      </c>
      <c r="K16" s="101">
        <f t="shared" si="1"/>
        <v>3550</v>
      </c>
      <c r="L16" s="101">
        <f t="shared" si="1"/>
        <v>11209</v>
      </c>
      <c r="M16" s="101">
        <f t="shared" si="1"/>
        <v>10224</v>
      </c>
      <c r="N16" s="101">
        <f t="shared" si="1"/>
        <v>1173</v>
      </c>
      <c r="O16" s="101">
        <f t="shared" si="1"/>
        <v>1227</v>
      </c>
      <c r="P16" s="95">
        <f t="shared" ref="P16:Q16" si="2">J16/H16</f>
        <v>0.1181820919796404</v>
      </c>
      <c r="Q16" s="95">
        <f t="shared" si="2"/>
        <v>0.1208263843980804</v>
      </c>
      <c r="R16" s="95">
        <f>P16-Q16</f>
        <v>-2.6442924184399974E-3</v>
      </c>
      <c r="S16" s="95">
        <f t="shared" ref="S16:T16" si="3">N16/L16</f>
        <v>0.10464805067356589</v>
      </c>
      <c r="T16" s="95">
        <f t="shared" si="3"/>
        <v>0.12001173708920188</v>
      </c>
      <c r="U16" s="95">
        <f>S16-T16</f>
        <v>-1.5363686415635985E-2</v>
      </c>
      <c r="V16" s="95">
        <f>(H16/I16)-1</f>
        <v>0.13008406793506011</v>
      </c>
      <c r="W16" s="95">
        <f>(J16/K16)-1</f>
        <v>0.10535211267605638</v>
      </c>
      <c r="X16" s="95">
        <f>(L16/M16)-1</f>
        <v>9.6341940532081338E-2</v>
      </c>
      <c r="Y16" s="95">
        <f>(N16/O16)-1</f>
        <v>-4.4009779951100225E-2</v>
      </c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4" xr:uid="{00000000-0009-0000-0000-0000A8000000}"/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500092</v>
      </c>
      <c r="B2" s="98" t="s">
        <v>1424</v>
      </c>
      <c r="C2" s="101" t="str">
        <f>VLOOKUP(A2,'BSE ALL CAP'!$B$4:$Y$1038,2,)</f>
        <v>Financial Services</v>
      </c>
      <c r="D2" s="101" t="str">
        <f>VLOOKUP(A2,'BSE ALL CAP'!$B$4:$Y$1038,3,)</f>
        <v>Other Financial Services</v>
      </c>
      <c r="E2" s="101">
        <f ca="1">IFERROR(__xludf.DUMMYFUNCTION("GOOGLEFINANCE(""BOM:""&amp;A2,""PRICE"")"),3784.3)</f>
        <v>3784.3</v>
      </c>
      <c r="F2" s="112">
        <f ca="1">IFERROR(__xludf.DUMMYFUNCTION("GOOGLEFINANCE(""BOM:""&amp;A2,""MARKETCAP"")/10000000"),27600.0181001)</f>
        <v>27600.018100099998</v>
      </c>
      <c r="G2" s="95">
        <f t="shared" ref="G2:G128" ca="1" si="0">F2/$F$130</f>
        <v>0.48397790150794556</v>
      </c>
      <c r="H2" s="101">
        <f>VLOOKUP(A2,'BSE ALL CAP'!$B$4:$Y$1038,7,)</f>
        <v>3756</v>
      </c>
      <c r="I2" s="101">
        <f>VLOOKUP(A2,'BSE ALL CAP'!$B$4:$Y$1038,8,)</f>
        <v>3349</v>
      </c>
      <c r="J2" s="101">
        <f>VLOOKUP(A2,'BSE ALL CAP'!$B$4:$Y$1038,9,)</f>
        <v>766</v>
      </c>
      <c r="K2" s="101">
        <f>VLOOKUP(A2,'BSE ALL CAP'!$B$4:$Y$1038,10,)</f>
        <v>684</v>
      </c>
      <c r="L2" s="101">
        <f>VLOOKUP(A2,'BSE ALL CAP'!$B$4:$Y$1038,11,)</f>
        <v>1109</v>
      </c>
      <c r="M2" s="101">
        <f>VLOOKUP(A2,'BSE ALL CAP'!$B$4:$Y$1038,12,)</f>
        <v>943</v>
      </c>
      <c r="N2" s="101">
        <f>VLOOKUP(A2,'BSE ALL CAP'!$B$4:$Y$1038,13,)</f>
        <v>241</v>
      </c>
      <c r="O2" s="101">
        <f>VLOOKUP(A2,'BSE ALL CAP'!$B$4:$Y$1038,14,)</f>
        <v>225</v>
      </c>
      <c r="P2" s="95">
        <f>VLOOKUP(A2,'BSE ALL CAP'!$B$4:$Y$1038,15,)</f>
        <v>0.20394036208732694</v>
      </c>
      <c r="Q2" s="95">
        <f>VLOOKUP(A2,'BSE ALL CAP'!$B$4:$Y$1038,16,)</f>
        <v>0.20424007166318303</v>
      </c>
      <c r="R2" s="95">
        <f>VLOOKUP(A2,'BSE ALL CAP'!$B$4:$Y$1038,17,)</f>
        <v>-2.9970957585609415E-4</v>
      </c>
      <c r="S2" s="95">
        <f>VLOOKUP(A2,'BSE ALL CAP'!$B$4:$Y$1038,18,)</f>
        <v>0.21731289449954913</v>
      </c>
      <c r="T2" s="95">
        <f>VLOOKUP(A2,'BSE ALL CAP'!$B$4:$Y$1038,19,)</f>
        <v>0.23860021208907742</v>
      </c>
      <c r="U2" s="95">
        <f>VLOOKUP(A2,'BSE ALL CAP'!$B$4:$Y$1038,20,)</f>
        <v>-2.1287317589528287E-2</v>
      </c>
      <c r="V2" s="95">
        <f>VLOOKUP(A2,'BSE ALL CAP'!$B$4:$Y$1038,21,)</f>
        <v>0.12152881457151388</v>
      </c>
      <c r="W2" s="95">
        <f>VLOOKUP(A2,'BSE ALL CAP'!$B$4:$Y$1038,22,)</f>
        <v>0.11988304093567259</v>
      </c>
      <c r="X2" s="95">
        <f>VLOOKUP(A2,'BSE ALL CAP'!$B$4:$Y$1038,23,)</f>
        <v>0.176033934252386</v>
      </c>
      <c r="Y2" s="95">
        <f>VLOOKUP(A2,'BSE ALL CAP'!$B$4:$Y$1038,24,)</f>
        <v>7.1111111111111125E-2</v>
      </c>
    </row>
    <row r="3" spans="1:25" ht="15.75" customHeight="1">
      <c r="A3" s="99">
        <v>504346</v>
      </c>
      <c r="B3" s="98" t="s">
        <v>5328</v>
      </c>
      <c r="C3" s="101"/>
      <c r="D3" s="101"/>
      <c r="E3" s="101">
        <f ca="1">IFERROR(__xludf.DUMMYFUNCTION("GOOGLEFINANCE(""BOM:""&amp;A3,""PRICE"")"),9736.4)</f>
        <v>9736.4</v>
      </c>
      <c r="F3" s="112">
        <f ca="1">IFERROR(__xludf.DUMMYFUNCTION("GOOGLEFINANCE(""BOM:""&amp;A3,""MARKETCAP"")/10000000"),13362.24)</f>
        <v>13362.24</v>
      </c>
      <c r="G3" s="95">
        <f t="shared" ca="1" si="0"/>
        <v>0.23431248672340907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542866</v>
      </c>
      <c r="B4" s="98" t="s">
        <v>5329</v>
      </c>
      <c r="C4" s="101"/>
      <c r="D4" s="101"/>
      <c r="E4" s="101">
        <f ca="1">IFERROR(__xludf.DUMMYFUNCTION("GOOGLEFINANCE(""BOM:""&amp;A4,""PRICE"")"),164.55)</f>
        <v>164.55</v>
      </c>
      <c r="F4" s="112">
        <f ca="1">IFERROR(__xludf.DUMMYFUNCTION("GOOGLEFINANCE(""BOM:""&amp;A4,""MARKETCAP"")/10000000"),3356.8184167)</f>
        <v>3356.8184166999999</v>
      </c>
      <c r="G4" s="95">
        <f t="shared" ca="1" si="0"/>
        <v>5.8863219841576997E-2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505725</v>
      </c>
      <c r="B5" s="98" t="s">
        <v>5330</v>
      </c>
      <c r="C5" s="101"/>
      <c r="D5" s="101"/>
      <c r="E5" s="101">
        <f ca="1">IFERROR(__xludf.DUMMYFUNCTION("GOOGLEFINANCE(""BOM:""&amp;A5,""PRICE"")"),51.98)</f>
        <v>51.98</v>
      </c>
      <c r="F5" s="112">
        <f ca="1">IFERROR(__xludf.DUMMYFUNCTION("GOOGLEFINANCE(""BOM:""&amp;A5,""MARKETCAP"")/10000000"),1461.69868)</f>
        <v>1461.69868</v>
      </c>
      <c r="G5" s="95">
        <f t="shared" ca="1" si="0"/>
        <v>2.5631499849660278E-2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507912</v>
      </c>
      <c r="B6" s="98" t="s">
        <v>5331</v>
      </c>
      <c r="C6" s="101"/>
      <c r="D6" s="101"/>
      <c r="E6" s="101">
        <f ca="1">IFERROR(__xludf.DUMMYFUNCTION("GOOGLEFINANCE(""BOM:""&amp;A6,""PRICE"")"),156.6)</f>
        <v>156.6</v>
      </c>
      <c r="F6" s="112">
        <f ca="1">IFERROR(__xludf.DUMMYFUNCTION("GOOGLEFINANCE(""BOM:""&amp;A6,""MARKETCAP"")/10000000"),1202.8172418)</f>
        <v>1202.8172417999999</v>
      </c>
      <c r="G6" s="95">
        <f t="shared" ca="1" si="0"/>
        <v>2.1091905174577767E-2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501150</v>
      </c>
      <c r="B7" s="98" t="s">
        <v>5332</v>
      </c>
      <c r="C7" s="101"/>
      <c r="D7" s="101"/>
      <c r="E7" s="101">
        <f ca="1">IFERROR(__xludf.DUMMYFUNCTION("GOOGLEFINANCE(""BOM:""&amp;A7,""PRICE"")"),27.96)</f>
        <v>27.96</v>
      </c>
      <c r="F7" s="112">
        <f ca="1">IFERROR(__xludf.DUMMYFUNCTION("GOOGLEFINANCE(""BOM:""&amp;A7,""MARKETCAP"")/10000000"),1436.7356525)</f>
        <v>1436.7356525</v>
      </c>
      <c r="G7" s="95">
        <f t="shared" ca="1" si="0"/>
        <v>2.5193762685107791E-2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544536</v>
      </c>
      <c r="B8" s="98" t="s">
        <v>5333</v>
      </c>
      <c r="C8" s="101"/>
      <c r="D8" s="101"/>
      <c r="E8" s="101">
        <f ca="1">IFERROR(__xludf.DUMMYFUNCTION("GOOGLEFINANCE(""BOM:""&amp;A8,""PRICE"")"),834.15)</f>
        <v>834.15</v>
      </c>
      <c r="F8" s="112">
        <f ca="1">IFERROR(__xludf.DUMMYFUNCTION("GOOGLEFINANCE(""BOM:""&amp;A8,""MARKETCAP"")/10000000"),879.0899369)</f>
        <v>879.0899369</v>
      </c>
      <c r="G8" s="95">
        <f t="shared" ca="1" si="0"/>
        <v>1.5415211010172229E-2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500337</v>
      </c>
      <c r="B9" s="98" t="s">
        <v>5334</v>
      </c>
      <c r="C9" s="101"/>
      <c r="D9" s="101"/>
      <c r="E9" s="101">
        <f ca="1">IFERROR(__xludf.DUMMYFUNCTION("GOOGLEFINANCE(""BOM:""&amp;A9,""PRICE"")"),283)</f>
        <v>283</v>
      </c>
      <c r="F9" s="112">
        <f ca="1">IFERROR(__xludf.DUMMYFUNCTION("GOOGLEFINANCE(""BOM:""&amp;A9,""MARKETCAP"")/10000000"),962.769088)</f>
        <v>962.76908800000001</v>
      </c>
      <c r="G9" s="95">
        <f t="shared" ca="1" si="0"/>
        <v>1.6882560046048316E-2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540199</v>
      </c>
      <c r="B10" s="98" t="s">
        <v>5335</v>
      </c>
      <c r="C10" s="101"/>
      <c r="D10" s="101"/>
      <c r="E10" s="101">
        <f ca="1">IFERROR(__xludf.DUMMYFUNCTION("GOOGLEFINANCE(""BOM:""&amp;A10,""PRICE"")"),45.81)</f>
        <v>45.81</v>
      </c>
      <c r="F10" s="112">
        <f ca="1">IFERROR(__xludf.DUMMYFUNCTION("GOOGLEFINANCE(""BOM:""&amp;A10,""MARKETCAP"")/10000000"),290.4542824)</f>
        <v>290.45428240000001</v>
      </c>
      <c r="G10" s="95">
        <f t="shared" ca="1" si="0"/>
        <v>5.0932377497041898E-3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530023</v>
      </c>
      <c r="B11" s="98" t="s">
        <v>5336</v>
      </c>
      <c r="C11" s="101"/>
      <c r="D11" s="101"/>
      <c r="E11" s="101">
        <f ca="1">IFERROR(__xludf.DUMMYFUNCTION("GOOGLEFINANCE(""BOM:""&amp;A11,""PRICE"")"),97.23)</f>
        <v>97.23</v>
      </c>
      <c r="F11" s="112">
        <f ca="1">IFERROR(__xludf.DUMMYFUNCTION("GOOGLEFINANCE(""BOM:""&amp;A11,""MARKETCAP"")/10000000"),507.5330781)</f>
        <v>507.53307810000001</v>
      </c>
      <c r="G11" s="95">
        <f t="shared" ca="1" si="0"/>
        <v>8.8998055433817374E-3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533452</v>
      </c>
      <c r="B12" s="98" t="s">
        <v>5337</v>
      </c>
      <c r="C12" s="101"/>
      <c r="D12" s="101"/>
      <c r="E12" s="101">
        <f ca="1">IFERROR(__xludf.DUMMYFUNCTION("GOOGLEFINANCE(""BOM:""&amp;A12,""PRICE"")"),9.86)</f>
        <v>9.86</v>
      </c>
      <c r="F12" s="112">
        <f ca="1">IFERROR(__xludf.DUMMYFUNCTION("GOOGLEFINANCE(""BOM:""&amp;A12,""MARKETCAP"")/10000000"),240.6076239)</f>
        <v>240.60762389999999</v>
      </c>
      <c r="G12" s="95">
        <f t="shared" ca="1" si="0"/>
        <v>4.2191556715505596E-3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500189</v>
      </c>
      <c r="B13" s="98" t="s">
        <v>5338</v>
      </c>
      <c r="C13" s="101"/>
      <c r="D13" s="101"/>
      <c r="E13" s="101">
        <f ca="1">IFERROR(__xludf.DUMMYFUNCTION("GOOGLEFINANCE(""BOM:""&amp;A13,""PRICE"")"),123.1)</f>
        <v>123.1</v>
      </c>
      <c r="F13" s="112">
        <f ca="1">IFERROR(__xludf.DUMMYFUNCTION("GOOGLEFINANCE(""BOM:""&amp;A13,""MARKETCAP"")/10000000"),414.8681)</f>
        <v>414.86810000000003</v>
      </c>
      <c r="G13" s="95">
        <f t="shared" ca="1" si="0"/>
        <v>7.2748862595804261E-3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535916</v>
      </c>
      <c r="B14" s="98" t="s">
        <v>5339</v>
      </c>
      <c r="C14" s="101"/>
      <c r="D14" s="101"/>
      <c r="E14" s="101">
        <f ca="1">IFERROR(__xludf.DUMMYFUNCTION("GOOGLEFINANCE(""BOM:""&amp;A14,""PRICE"")"),54.4)</f>
        <v>54.4</v>
      </c>
      <c r="F14" s="112">
        <f ca="1">IFERROR(__xludf.DUMMYFUNCTION("GOOGLEFINANCE(""BOM:""&amp;A14,""MARKETCAP"")/10000000"),253.8304071)</f>
        <v>253.8304071</v>
      </c>
      <c r="G14" s="95">
        <f t="shared" ca="1" si="0"/>
        <v>4.4510227247539537E-3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540175</v>
      </c>
      <c r="B15" s="98" t="s">
        <v>5340</v>
      </c>
      <c r="C15" s="101"/>
      <c r="D15" s="101"/>
      <c r="E15" s="101">
        <f ca="1">IFERROR(__xludf.DUMMYFUNCTION("GOOGLEFINANCE(""BOM:""&amp;A15,""PRICE"")"),24.43)</f>
        <v>24.43</v>
      </c>
      <c r="F15" s="112">
        <f ca="1">IFERROR(__xludf.DUMMYFUNCTION("GOOGLEFINANCE(""BOM:""&amp;A15,""MARKETCAP"")/10000000"),195.8578775)</f>
        <v>195.8578775</v>
      </c>
      <c r="G15" s="95">
        <f t="shared" ca="1" si="0"/>
        <v>3.4344500863174011E-3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526071</v>
      </c>
      <c r="B16" s="98" t="s">
        <v>5341</v>
      </c>
      <c r="C16" s="101"/>
      <c r="D16" s="101"/>
      <c r="E16" s="101">
        <f ca="1">IFERROR(__xludf.DUMMYFUNCTION("GOOGLEFINANCE(""BOM:""&amp;A16,""PRICE"")"),665)</f>
        <v>665</v>
      </c>
      <c r="F16" s="112">
        <f ca="1">IFERROR(__xludf.DUMMYFUNCTION("GOOGLEFINANCE(""BOM:""&amp;A16,""MARKETCAP"")/10000000"),246.2096)</f>
        <v>246.20959999999999</v>
      </c>
      <c r="G16" s="95">
        <f t="shared" ca="1" si="0"/>
        <v>4.3173886736936219E-3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540097</v>
      </c>
      <c r="B17" s="98" t="s">
        <v>5342</v>
      </c>
      <c r="C17" s="101"/>
      <c r="D17" s="101"/>
      <c r="E17" s="101">
        <f ca="1">IFERROR(__xludf.DUMMYFUNCTION("GOOGLEFINANCE(""BOM:""&amp;A17,""PRICE"")"),36.95)</f>
        <v>36.950000000000003</v>
      </c>
      <c r="F17" s="112">
        <f ca="1">IFERROR(__xludf.DUMMYFUNCTION("GOOGLEFINANCE(""BOM:""&amp;A17,""MARKETCAP"")/10000000"),199.6463596)</f>
        <v>199.64635960000001</v>
      </c>
      <c r="G17" s="95">
        <f t="shared" ca="1" si="0"/>
        <v>3.5008827100210709E-3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511260</v>
      </c>
      <c r="B18" s="98" t="s">
        <v>5343</v>
      </c>
      <c r="C18" s="101"/>
      <c r="D18" s="101"/>
      <c r="E18" s="101">
        <f ca="1">IFERROR(__xludf.DUMMYFUNCTION("GOOGLEFINANCE(""BOM:""&amp;A18,""PRICE"")"),36.82)</f>
        <v>36.82</v>
      </c>
      <c r="F18" s="112">
        <f ca="1">IFERROR(__xludf.DUMMYFUNCTION("GOOGLEFINANCE(""BOM:""&amp;A18,""MARKETCAP"")/10000000"),124.6062797)</f>
        <v>124.6062797</v>
      </c>
      <c r="G18" s="95">
        <f t="shared" ca="1" si="0"/>
        <v>2.1850234135788347E-3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531550</v>
      </c>
      <c r="B19" s="98" t="s">
        <v>5344</v>
      </c>
      <c r="C19" s="101"/>
      <c r="D19" s="101"/>
      <c r="E19" s="101">
        <f ca="1">IFERROR(__xludf.DUMMYFUNCTION("GOOGLEFINANCE(""BOM:""&amp;A19,""PRICE"")"),188)</f>
        <v>188</v>
      </c>
      <c r="F19" s="112">
        <f ca="1">IFERROR(__xludf.DUMMYFUNCTION("GOOGLEFINANCE(""BOM:""&amp;A19,""MARKETCAP"")/10000000"),178.335578)</f>
        <v>178.335578</v>
      </c>
      <c r="G19" s="95">
        <f t="shared" ca="1" si="0"/>
        <v>3.1271892102249683E-3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539113</v>
      </c>
      <c r="B20" s="98" t="s">
        <v>5345</v>
      </c>
      <c r="C20" s="101"/>
      <c r="D20" s="101"/>
      <c r="E20" s="101">
        <f ca="1">IFERROR(__xludf.DUMMYFUNCTION("GOOGLEFINANCE(""BOM:""&amp;A20,""PRICE"")"),472)</f>
        <v>472</v>
      </c>
      <c r="F20" s="112">
        <f ca="1">IFERROR(__xludf.DUMMYFUNCTION("GOOGLEFINANCE(""BOM:""&amp;A20,""MARKETCAP"")/10000000"),145.5647528)</f>
        <v>145.56475280000001</v>
      </c>
      <c r="G20" s="95">
        <f t="shared" ca="1" si="0"/>
        <v>2.5525390359585165E-3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544207</v>
      </c>
      <c r="B21" s="98" t="s">
        <v>5346</v>
      </c>
      <c r="C21" s="101"/>
      <c r="D21" s="101"/>
      <c r="E21" s="101">
        <f ca="1">IFERROR(__xludf.DUMMYFUNCTION("GOOGLEFINANCE(""BOM:""&amp;A21,""PRICE"")"),117)</f>
        <v>117</v>
      </c>
      <c r="F21" s="112">
        <f ca="1">IFERROR(__xludf.DUMMYFUNCTION("GOOGLEFINANCE(""BOM:""&amp;A21,""MARKETCAP"")/10000000"),120.5376031)</f>
        <v>120.5376031</v>
      </c>
      <c r="G21" s="95">
        <f t="shared" ca="1" si="0"/>
        <v>2.1136774617160222E-3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531310</v>
      </c>
      <c r="B22" s="98" t="s">
        <v>5347</v>
      </c>
      <c r="C22" s="101"/>
      <c r="D22" s="101"/>
      <c r="E22" s="101">
        <f ca="1">IFERROR(__xludf.DUMMYFUNCTION("GOOGLEFINANCE(""BOM:""&amp;A22,""PRICE"")"),138.95)</f>
        <v>138.94999999999999</v>
      </c>
      <c r="F22" s="112">
        <f ca="1">IFERROR(__xludf.DUMMYFUNCTION("GOOGLEFINANCE(""BOM:""&amp;A22,""MARKETCAP"")/10000000"),141.7804083)</f>
        <v>141.7804083</v>
      </c>
      <c r="G22" s="95">
        <f t="shared" ca="1" si="0"/>
        <v>2.4861789668074565E-3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503635</v>
      </c>
      <c r="B23" s="98" t="s">
        <v>5348</v>
      </c>
      <c r="C23" s="101"/>
      <c r="D23" s="101"/>
      <c r="E23" s="101">
        <f ca="1">IFERROR(__xludf.DUMMYFUNCTION("GOOGLEFINANCE(""BOM:""&amp;A23,""PRICE"")"),789.5)</f>
        <v>789.5</v>
      </c>
      <c r="F23" s="112">
        <f ca="1">IFERROR(__xludf.DUMMYFUNCTION("GOOGLEFINANCE(""BOM:""&amp;A23,""MARKETCAP"")/10000000"),550.439321)</f>
        <v>550.43932099999995</v>
      </c>
      <c r="G23" s="95">
        <f t="shared" ca="1" si="0"/>
        <v>9.6521845209975865E-3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530881</v>
      </c>
      <c r="B24" s="98" t="s">
        <v>5349</v>
      </c>
      <c r="C24" s="101"/>
      <c r="D24" s="101"/>
      <c r="E24" s="101">
        <f ca="1">IFERROR(__xludf.DUMMYFUNCTION("GOOGLEFINANCE(""BOM:""&amp;A24,""PRICE"")"),7.2)</f>
        <v>7.2</v>
      </c>
      <c r="F24" s="112">
        <f ca="1">IFERROR(__xludf.DUMMYFUNCTION("GOOGLEFINANCE(""BOM:""&amp;A24,""MARKETCAP"")/10000000"),134.1943164)</f>
        <v>134.19431639999999</v>
      </c>
      <c r="G24" s="95">
        <f t="shared" ca="1" si="0"/>
        <v>2.3531536613495907E-3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507864</v>
      </c>
      <c r="B25" s="98" t="s">
        <v>5350</v>
      </c>
      <c r="C25" s="101"/>
      <c r="D25" s="101"/>
      <c r="E25" s="101">
        <f ca="1">IFERROR(__xludf.DUMMYFUNCTION("GOOGLEFINANCE(""BOM:""&amp;A25,""PRICE"")"),85.52)</f>
        <v>85.52</v>
      </c>
      <c r="F25" s="112">
        <f ca="1">IFERROR(__xludf.DUMMYFUNCTION("GOOGLEFINANCE(""BOM:""&amp;A25,""MARKETCAP"")/10000000"),105.1630846)</f>
        <v>105.1630846</v>
      </c>
      <c r="G25" s="95">
        <f t="shared" ca="1" si="0"/>
        <v>1.844078826913021E-3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523384</v>
      </c>
      <c r="B26" s="98" t="s">
        <v>5351</v>
      </c>
      <c r="C26" s="101"/>
      <c r="D26" s="101"/>
      <c r="E26" s="101">
        <f ca="1">IFERROR(__xludf.DUMMYFUNCTION("GOOGLEFINANCE(""BOM:""&amp;A26,""PRICE"")"),45.94)</f>
        <v>45.94</v>
      </c>
      <c r="F26" s="112">
        <f ca="1">IFERROR(__xludf.DUMMYFUNCTION("GOOGLEFINANCE(""BOM:""&amp;A26,""MARKETCAP"")/10000000"),129.3353646)</f>
        <v>129.33536459999999</v>
      </c>
      <c r="G26" s="95">
        <f t="shared" ca="1" si="0"/>
        <v>2.2679499021649643E-3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509945</v>
      </c>
      <c r="B27" s="98" t="s">
        <v>5352</v>
      </c>
      <c r="C27" s="101"/>
      <c r="D27" s="101"/>
      <c r="E27" s="101">
        <f ca="1">IFERROR(__xludf.DUMMYFUNCTION("GOOGLEFINANCE(""BOM:""&amp;A27,""PRICE"")"),799)</f>
        <v>799</v>
      </c>
      <c r="F27" s="112">
        <f ca="1">IFERROR(__xludf.DUMMYFUNCTION("GOOGLEFINANCE(""BOM:""&amp;A27,""MARKETCAP"")/10000000"),86.90875)</f>
        <v>86.908749999999998</v>
      </c>
      <c r="G27" s="95">
        <f t="shared" ca="1" si="0"/>
        <v>1.5239814080964776E-3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540455</v>
      </c>
      <c r="B28" s="98" t="s">
        <v>5353</v>
      </c>
      <c r="C28" s="101"/>
      <c r="D28" s="101"/>
      <c r="E28" s="101">
        <f ca="1">IFERROR(__xludf.DUMMYFUNCTION("GOOGLEFINANCE(""BOM:""&amp;A28,""PRICE"")"),110)</f>
        <v>110</v>
      </c>
      <c r="F28" s="112"/>
      <c r="G28" s="95">
        <f t="shared" ca="1" si="0"/>
        <v>0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512345</v>
      </c>
      <c r="B29" s="98" t="s">
        <v>5354</v>
      </c>
      <c r="C29" s="101"/>
      <c r="D29" s="101"/>
      <c r="E29" s="101">
        <f ca="1">IFERROR(__xludf.DUMMYFUNCTION("GOOGLEFINANCE(""BOM:""&amp;A29,""PRICE"")"),127.3)</f>
        <v>127.3</v>
      </c>
      <c r="F29" s="112">
        <f ca="1">IFERROR(__xludf.DUMMYFUNCTION("GOOGLEFINANCE(""BOM:""&amp;A29,""MARKETCAP"")/10000000"),127.300003)</f>
        <v>127.300003</v>
      </c>
      <c r="G29" s="95">
        <f t="shared" ca="1" si="0"/>
        <v>2.2322589822385643E-3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542332</v>
      </c>
      <c r="B30" s="98" t="s">
        <v>5355</v>
      </c>
      <c r="C30" s="101"/>
      <c r="D30" s="101"/>
      <c r="E30" s="101">
        <f ca="1">IFERROR(__xludf.DUMMYFUNCTION("GOOGLEFINANCE(""BOM:""&amp;A30,""PRICE"")"),59.03)</f>
        <v>59.03</v>
      </c>
      <c r="F30" s="112">
        <f ca="1">IFERROR(__xludf.DUMMYFUNCTION("GOOGLEFINANCE(""BOM:""&amp;A30,""MARKETCAP"")/10000000"),178.3733)</f>
        <v>178.3733</v>
      </c>
      <c r="G30" s="95">
        <f t="shared" ca="1" si="0"/>
        <v>3.1278506813274317E-3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531688</v>
      </c>
      <c r="B31" s="98" t="s">
        <v>5356</v>
      </c>
      <c r="C31" s="101"/>
      <c r="D31" s="101"/>
      <c r="E31" s="101">
        <f ca="1">IFERROR(__xludf.DUMMYFUNCTION("GOOGLEFINANCE(""BOM:""&amp;A31,""PRICE"")"),114)</f>
        <v>114</v>
      </c>
      <c r="F31" s="112">
        <f ca="1">IFERROR(__xludf.DUMMYFUNCTION("GOOGLEFINANCE(""BOM:""&amp;A31,""MARKETCAP"")/10000000"),94.04601)</f>
        <v>94.046009999999995</v>
      </c>
      <c r="G31" s="95">
        <f t="shared" ca="1" si="0"/>
        <v>1.6491362578066697E-3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512018</v>
      </c>
      <c r="B32" s="98" t="s">
        <v>5357</v>
      </c>
      <c r="C32" s="101"/>
      <c r="D32" s="101"/>
      <c r="E32" s="101">
        <f ca="1">IFERROR(__xludf.DUMMYFUNCTION("GOOGLEFINANCE(""BOM:""&amp;A32,""PRICE"")"),8.69)</f>
        <v>8.69</v>
      </c>
      <c r="F32" s="112">
        <f ca="1">IFERROR(__xludf.DUMMYFUNCTION("GOOGLEFINANCE(""BOM:""&amp;A32,""MARKETCAP"")/10000000"),97.58383)</f>
        <v>97.583830000000006</v>
      </c>
      <c r="G32" s="95">
        <f t="shared" ca="1" si="0"/>
        <v>1.711173416380368E-3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532410</v>
      </c>
      <c r="B33" s="98" t="s">
        <v>5358</v>
      </c>
      <c r="C33" s="101"/>
      <c r="D33" s="101"/>
      <c r="E33" s="101">
        <f ca="1">IFERROR(__xludf.DUMMYFUNCTION("GOOGLEFINANCE(""BOM:""&amp;A33,""PRICE"")"),25.69)</f>
        <v>25.69</v>
      </c>
      <c r="F33" s="112">
        <f ca="1">IFERROR(__xludf.DUMMYFUNCTION("GOOGLEFINANCE(""BOM:""&amp;A33,""MARKETCAP"")/10000000"),82.0891597)</f>
        <v>82.089159699999996</v>
      </c>
      <c r="G33" s="95">
        <f t="shared" ca="1" si="0"/>
        <v>1.4394678693349361E-3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511696</v>
      </c>
      <c r="B34" s="98" t="s">
        <v>5359</v>
      </c>
      <c r="C34" s="101"/>
      <c r="D34" s="101"/>
      <c r="E34" s="101">
        <f ca="1">IFERROR(__xludf.DUMMYFUNCTION("GOOGLEFINANCE(""BOM:""&amp;A34,""PRICE"")"),265)</f>
        <v>265</v>
      </c>
      <c r="F34" s="112">
        <f ca="1">IFERROR(__xludf.DUMMYFUNCTION("GOOGLEFINANCE(""BOM:""&amp;A34,""MARKETCAP"")/10000000"),79.8073735)</f>
        <v>79.807373499999997</v>
      </c>
      <c r="G34" s="95">
        <f t="shared" ca="1" si="0"/>
        <v>1.399455790619604E-3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511609</v>
      </c>
      <c r="B35" s="98" t="s">
        <v>5360</v>
      </c>
      <c r="C35" s="101"/>
      <c r="D35" s="101"/>
      <c r="E35" s="101">
        <f ca="1">IFERROR(__xludf.DUMMYFUNCTION("GOOGLEFINANCE(""BOM:""&amp;A35,""PRICE"")"),28.8)</f>
        <v>28.8</v>
      </c>
      <c r="F35" s="112">
        <f ca="1">IFERROR(__xludf.DUMMYFUNCTION("GOOGLEFINANCE(""BOM:""&amp;A35,""MARKETCAP"")/10000000"),69.1199981)</f>
        <v>69.119998100000004</v>
      </c>
      <c r="G35" s="95">
        <f t="shared" ca="1" si="0"/>
        <v>1.2120481773361586E-3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523019</v>
      </c>
      <c r="B36" s="98" t="s">
        <v>5361</v>
      </c>
      <c r="C36" s="101"/>
      <c r="D36" s="101"/>
      <c r="E36" s="101">
        <f ca="1">IFERROR(__xludf.DUMMYFUNCTION("GOOGLEFINANCE(""BOM:""&amp;A36,""PRICE"")"),14.44)</f>
        <v>14.44</v>
      </c>
      <c r="F36" s="112">
        <f ca="1">IFERROR(__xludf.DUMMYFUNCTION("GOOGLEFINANCE(""BOM:""&amp;A36,""MARKETCAP"")/10000000"),60.2869982)</f>
        <v>60.286998199999999</v>
      </c>
      <c r="G36" s="95">
        <f t="shared" ca="1" si="0"/>
        <v>1.0571578167531555E-3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539545</v>
      </c>
      <c r="B37" s="98" t="s">
        <v>5362</v>
      </c>
      <c r="C37" s="101"/>
      <c r="D37" s="101"/>
      <c r="E37" s="101">
        <f ca="1">IFERROR(__xludf.DUMMYFUNCTION("GOOGLEFINANCE(""BOM:""&amp;A37,""PRICE"")"),35.99)</f>
        <v>35.99</v>
      </c>
      <c r="F37" s="112">
        <f ca="1">IFERROR(__xludf.DUMMYFUNCTION("GOOGLEFINANCE(""BOM:""&amp;A37,""MARKETCAP"")/10000000"),71.8896684)</f>
        <v>71.889668400000005</v>
      </c>
      <c r="G37" s="95">
        <f t="shared" ca="1" si="0"/>
        <v>1.2606155085169313E-3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542376</v>
      </c>
      <c r="B38" s="98" t="s">
        <v>5363</v>
      </c>
      <c r="C38" s="101"/>
      <c r="D38" s="101"/>
      <c r="E38" s="101">
        <f ca="1">IFERROR(__xludf.DUMMYFUNCTION("GOOGLEFINANCE(""BOM:""&amp;A38,""PRICE"")"),219.9)</f>
        <v>219.9</v>
      </c>
      <c r="F38" s="112">
        <f ca="1">IFERROR(__xludf.DUMMYFUNCTION("GOOGLEFINANCE(""BOM:""&amp;A38,""MARKETCAP"")/10000000"),67.60221)</f>
        <v>67.602209999999999</v>
      </c>
      <c r="G38" s="95">
        <f t="shared" ca="1" si="0"/>
        <v>1.1854331259652656E-3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531278</v>
      </c>
      <c r="B39" s="98" t="s">
        <v>5364</v>
      </c>
      <c r="C39" s="101"/>
      <c r="D39" s="101"/>
      <c r="E39" s="101">
        <f ca="1">IFERROR(__xludf.DUMMYFUNCTION("GOOGLEFINANCE(""BOM:""&amp;A39,""PRICE"")"),83.25)</f>
        <v>83.25</v>
      </c>
      <c r="F39" s="112">
        <f ca="1">IFERROR(__xludf.DUMMYFUNCTION("GOOGLEFINANCE(""BOM:""&amp;A39,""MARKETCAP"")/10000000"),48.31164)</f>
        <v>48.311639999999997</v>
      </c>
      <c r="G39" s="95">
        <f t="shared" ca="1" si="0"/>
        <v>8.4716488448689125E-4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544251</v>
      </c>
      <c r="B40" s="98" t="s">
        <v>5365</v>
      </c>
      <c r="C40" s="101"/>
      <c r="D40" s="101"/>
      <c r="E40" s="101">
        <f ca="1">IFERROR(__xludf.DUMMYFUNCTION("GOOGLEFINANCE(""BOM:""&amp;A40,""PRICE"")"),39.9)</f>
        <v>39.9</v>
      </c>
      <c r="F40" s="112">
        <f ca="1">IFERROR(__xludf.DUMMYFUNCTION("GOOGLEFINANCE(""BOM:""&amp;A40,""MARKETCAP"")/10000000"),48.9577008)</f>
        <v>48.957700799999998</v>
      </c>
      <c r="G40" s="95">
        <f t="shared" ca="1" si="0"/>
        <v>8.5849383177585739E-4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531752</v>
      </c>
      <c r="B41" s="98" t="s">
        <v>5366</v>
      </c>
      <c r="C41" s="101"/>
      <c r="D41" s="101"/>
      <c r="E41" s="101">
        <f ca="1">IFERROR(__xludf.DUMMYFUNCTION("GOOGLEFINANCE(""BOM:""&amp;A41,""PRICE"")"),0.56)</f>
        <v>0.56000000000000005</v>
      </c>
      <c r="F41" s="112">
        <f ca="1">IFERROR(__xludf.DUMMYFUNCTION("GOOGLEFINANCE(""BOM:""&amp;A41,""MARKETCAP"")/10000000"),50.5457738)</f>
        <v>50.545773799999999</v>
      </c>
      <c r="G41" s="95">
        <f t="shared" ca="1" si="0"/>
        <v>8.8634135836782892E-4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538611</v>
      </c>
      <c r="B42" s="98" t="s">
        <v>5367</v>
      </c>
      <c r="C42" s="101"/>
      <c r="D42" s="101"/>
      <c r="E42" s="101">
        <f ca="1">IFERROR(__xludf.DUMMYFUNCTION("GOOGLEFINANCE(""BOM:""&amp;A42,""PRICE"")"),54.47)</f>
        <v>54.47</v>
      </c>
      <c r="F42" s="112">
        <f ca="1">IFERROR(__xludf.DUMMYFUNCTION("GOOGLEFINANCE(""BOM:""&amp;A42,""MARKETCAP"")/10000000"),69.1370295)</f>
        <v>69.137029499999997</v>
      </c>
      <c r="G42" s="95">
        <f t="shared" ca="1" si="0"/>
        <v>1.2123468300834809E-3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4.4">
      <c r="A43" s="99">
        <v>532333</v>
      </c>
      <c r="B43" s="98" t="s">
        <v>5368</v>
      </c>
      <c r="C43" s="101"/>
      <c r="D43" s="101"/>
      <c r="E43" s="101">
        <f ca="1">IFERROR(__xludf.DUMMYFUNCTION("GOOGLEFINANCE(""BOM:""&amp;A43,""PRICE"")"),55.5)</f>
        <v>55.5</v>
      </c>
      <c r="F43" s="112">
        <f ca="1">IFERROR(__xludf.DUMMYFUNCTION("GOOGLEFINANCE(""BOM:""&amp;A43,""MARKETCAP"")/10000000"),59.741421)</f>
        <v>59.741421000000003</v>
      </c>
      <c r="G43" s="95">
        <f t="shared" ca="1" si="0"/>
        <v>1.0475908915645949E-3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4.4">
      <c r="A44" s="99">
        <v>538607</v>
      </c>
      <c r="B44" s="98" t="s">
        <v>5369</v>
      </c>
      <c r="C44" s="101"/>
      <c r="D44" s="101"/>
      <c r="E44" s="101">
        <f ca="1">IFERROR(__xludf.DUMMYFUNCTION("GOOGLEFINANCE(""BOM:""&amp;A44,""PRICE"")"),0.82)</f>
        <v>0.82</v>
      </c>
      <c r="F44" s="112">
        <f ca="1">IFERROR(__xludf.DUMMYFUNCTION("GOOGLEFINANCE(""BOM:""&amp;A44,""MARKETCAP"")/10000000"),43.33612)</f>
        <v>43.336120000000001</v>
      </c>
      <c r="G44" s="95">
        <f t="shared" ca="1" si="0"/>
        <v>7.5991705298992249E-4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4.4">
      <c r="A45" s="99">
        <v>511441</v>
      </c>
      <c r="B45" s="98" t="s">
        <v>5370</v>
      </c>
      <c r="C45" s="101"/>
      <c r="D45" s="101"/>
      <c r="E45" s="101">
        <f ca="1">IFERROR(__xludf.DUMMYFUNCTION("GOOGLEFINANCE(""BOM:""&amp;A45,""PRICE"")"),24.75)</f>
        <v>24.75</v>
      </c>
      <c r="F45" s="112">
        <f ca="1">IFERROR(__xludf.DUMMYFUNCTION("GOOGLEFINANCE(""BOM:""&amp;A45,""MARKETCAP"")/10000000"),61.875)</f>
        <v>61.875</v>
      </c>
      <c r="G45" s="95">
        <f t="shared" ca="1" si="0"/>
        <v>1.0850040948232435E-3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540135</v>
      </c>
      <c r="B46" s="98" t="s">
        <v>5371</v>
      </c>
      <c r="C46" s="101"/>
      <c r="D46" s="101"/>
      <c r="E46" s="101">
        <f ca="1">IFERROR(__xludf.DUMMYFUNCTION("GOOGLEFINANCE(""BOM:""&amp;A46,""PRICE"")"),0.53)</f>
        <v>0.53</v>
      </c>
      <c r="F46" s="112">
        <f ca="1">IFERROR(__xludf.DUMMYFUNCTION("GOOGLEFINANCE(""BOM:""&amp;A46,""MARKETCAP"")/10000000"),46.1900063)</f>
        <v>46.1900063</v>
      </c>
      <c r="G46" s="95">
        <f t="shared" ca="1" si="0"/>
        <v>8.0996114707735615E-4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4.4">
      <c r="A47" s="99">
        <v>531723</v>
      </c>
      <c r="B47" s="98" t="s">
        <v>5372</v>
      </c>
      <c r="C47" s="101"/>
      <c r="D47" s="101"/>
      <c r="E47" s="101">
        <f ca="1">IFERROR(__xludf.DUMMYFUNCTION("GOOGLEFINANCE(""BOM:""&amp;A47,""PRICE"")"),0.46)</f>
        <v>0.46</v>
      </c>
      <c r="F47" s="112">
        <f ca="1">IFERROR(__xludf.DUMMYFUNCTION("GOOGLEFINANCE(""BOM:""&amp;A47,""MARKETCAP"")/10000000"),50.7261329)</f>
        <v>50.726132900000003</v>
      </c>
      <c r="G47" s="95">
        <f t="shared" ca="1" si="0"/>
        <v>8.8950403088562506E-4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4.4">
      <c r="A48" s="99">
        <v>570005</v>
      </c>
      <c r="B48" s="98" t="s">
        <v>5373</v>
      </c>
      <c r="C48" s="101"/>
      <c r="D48" s="101"/>
      <c r="E48" s="101">
        <f ca="1">IFERROR(__xludf.DUMMYFUNCTION("GOOGLEFINANCE(""BOM:""&amp;A48,""PRICE"")"),0.41)</f>
        <v>0.41</v>
      </c>
      <c r="F48" s="112">
        <f ca="1">IFERROR(__xludf.DUMMYFUNCTION("GOOGLEFINANCE(""BOM:""&amp;A48,""MARKETCAP"")/10000000"),50.7261329)</f>
        <v>50.726132900000003</v>
      </c>
      <c r="G48" s="95">
        <f t="shared" ca="1" si="0"/>
        <v>8.8950403088562506E-4</v>
      </c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ht="14.4">
      <c r="A49" s="99">
        <v>534732</v>
      </c>
      <c r="B49" s="98" t="s">
        <v>5374</v>
      </c>
      <c r="C49" s="101"/>
      <c r="D49" s="101"/>
      <c r="E49" s="101">
        <f ca="1">IFERROR(__xludf.DUMMYFUNCTION("GOOGLEFINANCE(""BOM:""&amp;A49,""PRICE"")"),32.8)</f>
        <v>32.799999999999997</v>
      </c>
      <c r="F49" s="112">
        <f ca="1">IFERROR(__xludf.DUMMYFUNCTION("GOOGLEFINANCE(""BOM:""&amp;A49,""MARKETCAP"")/10000000"),41.524799)</f>
        <v>41.524799000000002</v>
      </c>
      <c r="G49" s="95">
        <f t="shared" ca="1" si="0"/>
        <v>7.281547790175697E-4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4.4">
      <c r="A50" s="99">
        <v>508905</v>
      </c>
      <c r="B50" s="98" t="s">
        <v>5375</v>
      </c>
      <c r="C50" s="101"/>
      <c r="D50" s="101"/>
      <c r="E50" s="101">
        <f ca="1">IFERROR(__xludf.DUMMYFUNCTION("GOOGLEFINANCE(""BOM:""&amp;A50,""PRICE"")"),82.5)</f>
        <v>82.5</v>
      </c>
      <c r="F50" s="112">
        <f ca="1">IFERROR(__xludf.DUMMYFUNCTION("GOOGLEFINANCE(""BOM:""&amp;A50,""MARKETCAP"")/10000000"),72.727875)</f>
        <v>72.727874999999997</v>
      </c>
      <c r="G50" s="95">
        <f t="shared" ca="1" si="0"/>
        <v>1.2753138130552402E-3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4.4">
      <c r="A51" s="99">
        <v>530249</v>
      </c>
      <c r="B51" s="98" t="s">
        <v>5376</v>
      </c>
      <c r="C51" s="101"/>
      <c r="D51" s="101"/>
      <c r="E51" s="101">
        <f ca="1">IFERROR(__xludf.DUMMYFUNCTION("GOOGLEFINANCE(""BOM:""&amp;A51,""PRICE"")"),14.86)</f>
        <v>14.86</v>
      </c>
      <c r="F51" s="112">
        <f ca="1">IFERROR(__xludf.DUMMYFUNCTION("GOOGLEFINANCE(""BOM:""&amp;A51,""MARKETCAP"")/10000000"),57.7697346)</f>
        <v>57.7697346</v>
      </c>
      <c r="G51" s="95">
        <f t="shared" ca="1" si="0"/>
        <v>1.013016542995588E-3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4.4">
      <c r="A52" s="99">
        <v>534063</v>
      </c>
      <c r="B52" s="98" t="s">
        <v>5377</v>
      </c>
      <c r="C52" s="101"/>
      <c r="D52" s="101"/>
      <c r="E52" s="101">
        <f ca="1">IFERROR(__xludf.DUMMYFUNCTION("GOOGLEFINANCE(""BOM:""&amp;A52,""PRICE"")"),40.38)</f>
        <v>40.380000000000003</v>
      </c>
      <c r="F52" s="112">
        <f ca="1">IFERROR(__xludf.DUMMYFUNCTION("GOOGLEFINANCE(""BOM:""&amp;A52,""MARKETCAP"")/10000000"),42.2917518)</f>
        <v>42.2917518</v>
      </c>
      <c r="G52" s="95">
        <f t="shared" ca="1" si="0"/>
        <v>7.4160361826663881E-4</v>
      </c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ht="14.4">
      <c r="A53" s="99">
        <v>538395</v>
      </c>
      <c r="B53" s="98" t="s">
        <v>5378</v>
      </c>
      <c r="C53" s="101"/>
      <c r="D53" s="101"/>
      <c r="E53" s="101">
        <f ca="1">IFERROR(__xludf.DUMMYFUNCTION("GOOGLEFINANCE(""BOM:""&amp;A53,""PRICE"")"),78.93)</f>
        <v>78.930000000000007</v>
      </c>
      <c r="F53" s="112">
        <f ca="1">IFERROR(__xludf.DUMMYFUNCTION("GOOGLEFINANCE(""BOM:""&amp;A53,""MARKETCAP"")/10000000"),42.5590482)</f>
        <v>42.559048199999999</v>
      </c>
      <c r="G53" s="95">
        <f t="shared" ca="1" si="0"/>
        <v>7.4629077282876424E-4</v>
      </c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ht="14.4">
      <c r="A54" s="99">
        <v>511712</v>
      </c>
      <c r="B54" s="98" t="s">
        <v>5379</v>
      </c>
      <c r="C54" s="101"/>
      <c r="D54" s="101"/>
      <c r="E54" s="101">
        <f ca="1">IFERROR(__xludf.DUMMYFUNCTION("GOOGLEFINANCE(""BOM:""&amp;A54,""PRICE"")"),70)</f>
        <v>70</v>
      </c>
      <c r="F54" s="112">
        <f ca="1">IFERROR(__xludf.DUMMYFUNCTION("GOOGLEFINANCE(""BOM:""&amp;A54,""MARKETCAP"")/10000000"),39.138141)</f>
        <v>39.138140999999997</v>
      </c>
      <c r="G54" s="95">
        <f t="shared" ca="1" si="0"/>
        <v>6.8630372927304189E-4</v>
      </c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ht="14.4">
      <c r="A55" s="99">
        <v>532217</v>
      </c>
      <c r="B55" s="98" t="s">
        <v>5380</v>
      </c>
      <c r="C55" s="101"/>
      <c r="D55" s="101"/>
      <c r="E55" s="101">
        <f ca="1">IFERROR(__xludf.DUMMYFUNCTION("GOOGLEFINANCE(""BOM:""&amp;A55,""PRICE"")"),25.15)</f>
        <v>25.15</v>
      </c>
      <c r="F55" s="112">
        <f ca="1">IFERROR(__xludf.DUMMYFUNCTION("GOOGLEFINANCE(""BOM:""&amp;A55,""MARKETCAP"")/10000000"),28.5295308)</f>
        <v>28.5295308</v>
      </c>
      <c r="G55" s="95">
        <f t="shared" ca="1" si="0"/>
        <v>5.0027729683047831E-4</v>
      </c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ht="14.4">
      <c r="A56" s="99">
        <v>511692</v>
      </c>
      <c r="B56" s="98" t="s">
        <v>5381</v>
      </c>
      <c r="C56" s="101"/>
      <c r="D56" s="101"/>
      <c r="E56" s="101">
        <f ca="1">IFERROR(__xludf.DUMMYFUNCTION("GOOGLEFINANCE(""BOM:""&amp;A56,""PRICE"")"),5.77)</f>
        <v>5.77</v>
      </c>
      <c r="F56" s="112">
        <f ca="1">IFERROR(__xludf.DUMMYFUNCTION("GOOGLEFINANCE(""BOM:""&amp;A56,""MARKETCAP"")/10000000"),35.2904738)</f>
        <v>35.290473800000001</v>
      </c>
      <c r="G56" s="95">
        <f t="shared" ca="1" si="0"/>
        <v>6.1883327000003866E-4</v>
      </c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ht="14.4">
      <c r="A57" s="99">
        <v>505515</v>
      </c>
      <c r="B57" s="98" t="s">
        <v>5382</v>
      </c>
      <c r="C57" s="101"/>
      <c r="D57" s="101"/>
      <c r="E57" s="101">
        <f ca="1">IFERROR(__xludf.DUMMYFUNCTION("GOOGLEFINANCE(""BOM:""&amp;A57,""PRICE"")"),12.89)</f>
        <v>12.89</v>
      </c>
      <c r="F57" s="112">
        <f ca="1">IFERROR(__xludf.DUMMYFUNCTION("GOOGLEFINANCE(""BOM:""&amp;A57,""MARKETCAP"")/10000000"),34.046345)</f>
        <v>34.046345000000002</v>
      </c>
      <c r="G57" s="95">
        <f t="shared" ca="1" si="0"/>
        <v>5.9701694931337153E-4</v>
      </c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ht="14.4">
      <c r="A58" s="99">
        <v>531340</v>
      </c>
      <c r="B58" s="98" t="s">
        <v>5383</v>
      </c>
      <c r="C58" s="101"/>
      <c r="D58" s="101"/>
      <c r="E58" s="101">
        <f ca="1">IFERROR(__xludf.DUMMYFUNCTION("GOOGLEFINANCE(""BOM:""&amp;A58,""PRICE"")"),62.99)</f>
        <v>62.99</v>
      </c>
      <c r="F58" s="112">
        <f ca="1">IFERROR(__xludf.DUMMYFUNCTION("GOOGLEFINANCE(""BOM:""&amp;A58,""MARKETCAP"")/10000000"),37.1521265)</f>
        <v>37.152126500000001</v>
      </c>
      <c r="G58" s="95">
        <f t="shared" ca="1" si="0"/>
        <v>6.5147813145682648E-4</v>
      </c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ht="14.4">
      <c r="A59" s="99">
        <v>538382</v>
      </c>
      <c r="B59" s="98" t="s">
        <v>5384</v>
      </c>
      <c r="C59" s="101"/>
      <c r="D59" s="101"/>
      <c r="E59" s="101">
        <f ca="1">IFERROR(__xludf.DUMMYFUNCTION("GOOGLEFINANCE(""BOM:""&amp;A59,""PRICE"")"),93.9)</f>
        <v>93.9</v>
      </c>
      <c r="F59" s="112">
        <f ca="1">IFERROR(__xludf.DUMMYFUNCTION("GOOGLEFINANCE(""BOM:""&amp;A59,""MARKETCAP"")/10000000"),28.6708348)</f>
        <v>28.670834800000002</v>
      </c>
      <c r="G59" s="95">
        <f t="shared" ca="1" si="0"/>
        <v>5.0275512177778991E-4</v>
      </c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ht="14.4">
      <c r="A60" s="99">
        <v>530419</v>
      </c>
      <c r="B60" s="98" t="s">
        <v>5385</v>
      </c>
      <c r="C60" s="101"/>
      <c r="D60" s="101"/>
      <c r="E60" s="101">
        <f ca="1">IFERROR(__xludf.DUMMYFUNCTION("GOOGLEFINANCE(""BOM:""&amp;A60,""PRICE"")"),34.72)</f>
        <v>34.72</v>
      </c>
      <c r="F60" s="112">
        <f ca="1">IFERROR(__xludf.DUMMYFUNCTION("GOOGLEFINANCE(""BOM:""&amp;A60,""MARKETCAP"")/10000000"),27.7219245)</f>
        <v>27.7219245</v>
      </c>
      <c r="G60" s="95">
        <f t="shared" ca="1" si="0"/>
        <v>4.8611558139605328E-4</v>
      </c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ht="14.4">
      <c r="A61" s="99">
        <v>501151</v>
      </c>
      <c r="B61" s="98" t="s">
        <v>5386</v>
      </c>
      <c r="C61" s="101"/>
      <c r="D61" s="101"/>
      <c r="E61" s="101">
        <f ca="1">IFERROR(__xludf.DUMMYFUNCTION("GOOGLEFINANCE(""BOM:""&amp;A61,""PRICE"")"),2741.2)</f>
        <v>2741.2</v>
      </c>
      <c r="F61" s="112">
        <f ca="1">IFERROR(__xludf.DUMMYFUNCTION("GOOGLEFINANCE(""BOM:""&amp;A61,""MARKETCAP"")/10000000"),66.8852788)</f>
        <v>66.885278799999995</v>
      </c>
      <c r="G61" s="95">
        <f t="shared" ca="1" si="0"/>
        <v>1.1728614364669781E-3</v>
      </c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</row>
    <row r="62" spans="1:25" ht="14.4">
      <c r="A62" s="99">
        <v>531950</v>
      </c>
      <c r="B62" s="98" t="s">
        <v>5387</v>
      </c>
      <c r="C62" s="101"/>
      <c r="D62" s="101"/>
      <c r="E62" s="101">
        <f ca="1">IFERROR(__xludf.DUMMYFUNCTION("GOOGLEFINANCE(""BOM:""&amp;A62,""PRICE"")"),2.68)</f>
        <v>2.68</v>
      </c>
      <c r="F62" s="112">
        <f ca="1">IFERROR(__xludf.DUMMYFUNCTION("GOOGLEFINANCE(""BOM:""&amp;A62,""MARKETCAP"")/10000000"),39.6705133)</f>
        <v>39.670513300000003</v>
      </c>
      <c r="G62" s="95">
        <f t="shared" ca="1" si="0"/>
        <v>6.9563910099781727E-4</v>
      </c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</row>
    <row r="63" spans="1:25" ht="14.4">
      <c r="A63" s="99">
        <v>539521</v>
      </c>
      <c r="B63" s="98" t="s">
        <v>5388</v>
      </c>
      <c r="C63" s="101"/>
      <c r="D63" s="101"/>
      <c r="E63" s="101">
        <f ca="1">IFERROR(__xludf.DUMMYFUNCTION("GOOGLEFINANCE(""BOM:""&amp;A63,""PRICE"")"),85.03)</f>
        <v>85.03</v>
      </c>
      <c r="F63" s="112">
        <f ca="1">IFERROR(__xludf.DUMMYFUNCTION("GOOGLEFINANCE(""BOM:""&amp;A63,""MARKETCAP"")/10000000"),26.80783)</f>
        <v>26.807829999999999</v>
      </c>
      <c r="G63" s="95">
        <f t="shared" ca="1" si="0"/>
        <v>4.700865506800063E-4</v>
      </c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</row>
    <row r="64" spans="1:25" ht="14.4">
      <c r="A64" s="99">
        <v>530405</v>
      </c>
      <c r="B64" s="98" t="s">
        <v>5389</v>
      </c>
      <c r="C64" s="101"/>
      <c r="D64" s="101"/>
      <c r="E64" s="101">
        <f ca="1">IFERROR(__xludf.DUMMYFUNCTION("GOOGLEFINANCE(""BOM:""&amp;A64,""PRICE"")"),28.5)</f>
        <v>28.5</v>
      </c>
      <c r="F64" s="112">
        <f ca="1">IFERROR(__xludf.DUMMYFUNCTION("GOOGLEFINANCE(""BOM:""&amp;A64,""MARKETCAP"")/10000000"),20.5430821)</f>
        <v>20.543082099999999</v>
      </c>
      <c r="G64" s="95">
        <f t="shared" ca="1" si="0"/>
        <v>3.6023156684913249E-4</v>
      </c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</row>
    <row r="65" spans="1:25" ht="14.4">
      <c r="A65" s="99">
        <v>512247</v>
      </c>
      <c r="B65" s="98" t="s">
        <v>5390</v>
      </c>
      <c r="C65" s="101"/>
      <c r="D65" s="101"/>
      <c r="E65" s="101">
        <f ca="1">IFERROR(__xludf.DUMMYFUNCTION("GOOGLEFINANCE(""BOM:""&amp;A65,""PRICE"")"),2.63)</f>
        <v>2.63</v>
      </c>
      <c r="F65" s="112">
        <f ca="1">IFERROR(__xludf.DUMMYFUNCTION("GOOGLEFINANCE(""BOM:""&amp;A65,""MARKETCAP"")/10000000"),23.670001)</f>
        <v>23.670000999999999</v>
      </c>
      <c r="G65" s="95">
        <f t="shared" ca="1" si="0"/>
        <v>4.1506340217325679E-4</v>
      </c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</row>
    <row r="66" spans="1:25" ht="14.4">
      <c r="A66" s="99">
        <v>539435</v>
      </c>
      <c r="B66" s="98" t="s">
        <v>5391</v>
      </c>
      <c r="C66" s="101"/>
      <c r="D66" s="101"/>
      <c r="E66" s="101">
        <f ca="1">IFERROR(__xludf.DUMMYFUNCTION("GOOGLEFINANCE(""BOM:""&amp;A66,""PRICE"")"),29.49)</f>
        <v>29.49</v>
      </c>
      <c r="F66" s="112">
        <f ca="1">IFERROR(__xludf.DUMMYFUNCTION("GOOGLEFINANCE(""BOM:""&amp;A66,""MARKETCAP"")/10000000"),22.1180896)</f>
        <v>22.118089600000001</v>
      </c>
      <c r="G66" s="95">
        <f t="shared" ca="1" si="0"/>
        <v>3.8784998441482657E-4</v>
      </c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</row>
    <row r="67" spans="1:25" ht="14.4">
      <c r="A67" s="99">
        <v>539770</v>
      </c>
      <c r="B67" s="98" t="s">
        <v>5392</v>
      </c>
      <c r="C67" s="101"/>
      <c r="D67" s="101"/>
      <c r="E67" s="101">
        <f ca="1">IFERROR(__xludf.DUMMYFUNCTION("GOOGLEFINANCE(""BOM:""&amp;A67,""PRICE"")"),30.1)</f>
        <v>30.1</v>
      </c>
      <c r="F67" s="112">
        <f ca="1">IFERROR(__xludf.DUMMYFUNCTION("GOOGLEFINANCE(""BOM:""&amp;A67,""MARKETCAP"")/10000000"),23.6646534)</f>
        <v>23.664653399999999</v>
      </c>
      <c r="G67" s="95">
        <f t="shared" ca="1" si="0"/>
        <v>4.1496962976279254E-4</v>
      </c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</row>
    <row r="68" spans="1:25" ht="14.4">
      <c r="A68" s="99">
        <v>531025</v>
      </c>
      <c r="B68" s="98" t="s">
        <v>5393</v>
      </c>
      <c r="C68" s="101"/>
      <c r="D68" s="101"/>
      <c r="E68" s="101">
        <f ca="1">IFERROR(__xludf.DUMMYFUNCTION("GOOGLEFINANCE(""BOM:""&amp;A68,""PRICE"")"),0.37)</f>
        <v>0.37</v>
      </c>
      <c r="F68" s="112">
        <f ca="1">IFERROR(__xludf.DUMMYFUNCTION("GOOGLEFINANCE(""BOM:""&amp;A68,""MARKETCAP"")/10000000"),21.6048737)</f>
        <v>21.604873699999999</v>
      </c>
      <c r="G68" s="95">
        <f t="shared" ca="1" si="0"/>
        <v>3.7885052820426664E-4</v>
      </c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</row>
    <row r="69" spans="1:25" ht="14.4">
      <c r="A69" s="99">
        <v>500450</v>
      </c>
      <c r="B69" s="98" t="s">
        <v>5394</v>
      </c>
      <c r="C69" s="101"/>
      <c r="D69" s="101"/>
      <c r="E69" s="101">
        <f ca="1">IFERROR(__xludf.DUMMYFUNCTION("GOOGLEFINANCE(""BOM:""&amp;A69,""PRICE"")"),421.85)</f>
        <v>421.85</v>
      </c>
      <c r="F69" s="112">
        <f ca="1">IFERROR(__xludf.DUMMYFUNCTION("GOOGLEFINANCE(""BOM:""&amp;A69,""MARKETCAP"")/10000000"),24.1119803)</f>
        <v>24.111980299999999</v>
      </c>
      <c r="G69" s="95">
        <f t="shared" ca="1" si="0"/>
        <v>4.2281369470379597E-4</v>
      </c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</row>
    <row r="70" spans="1:25" ht="14.4">
      <c r="A70" s="99">
        <v>531324</v>
      </c>
      <c r="B70" s="98" t="s">
        <v>5395</v>
      </c>
      <c r="C70" s="101"/>
      <c r="D70" s="101"/>
      <c r="E70" s="101">
        <f ca="1">IFERROR(__xludf.DUMMYFUNCTION("GOOGLEFINANCE(""BOM:""&amp;A70,""PRICE"")"),23.08)</f>
        <v>23.08</v>
      </c>
      <c r="F70" s="112">
        <f ca="1">IFERROR(__xludf.DUMMYFUNCTION("GOOGLEFINANCE(""BOM:""&amp;A70,""MARKETCAP"")/10000000"),23.0799999)</f>
        <v>23.079999900000001</v>
      </c>
      <c r="G70" s="95">
        <f t="shared" ca="1" si="0"/>
        <v>4.0471748525284926E-4</v>
      </c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</row>
    <row r="71" spans="1:25" ht="14.4">
      <c r="A71" s="99">
        <v>531509</v>
      </c>
      <c r="B71" s="98" t="s">
        <v>5396</v>
      </c>
      <c r="C71" s="101"/>
      <c r="D71" s="101"/>
      <c r="E71" s="101">
        <f ca="1">IFERROR(__xludf.DUMMYFUNCTION("GOOGLEFINANCE(""BOM:""&amp;A71,""PRICE"")"),31.5)</f>
        <v>31.5</v>
      </c>
      <c r="F71" s="112">
        <f ca="1">IFERROR(__xludf.DUMMYFUNCTION("GOOGLEFINANCE(""BOM:""&amp;A71,""MARKETCAP"")/10000000"),23.2936168)</f>
        <v>23.293616799999999</v>
      </c>
      <c r="G71" s="95">
        <f t="shared" ca="1" si="0"/>
        <v>4.0846334725242009E-4</v>
      </c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</row>
    <row r="72" spans="1:25" ht="14.4">
      <c r="A72" s="99">
        <v>511539</v>
      </c>
      <c r="B72" s="98" t="s">
        <v>5397</v>
      </c>
      <c r="C72" s="101"/>
      <c r="D72" s="101"/>
      <c r="E72" s="101">
        <f ca="1">IFERROR(__xludf.DUMMYFUNCTION("GOOGLEFINANCE(""BOM:""&amp;A72,""PRICE"")"),14.4)</f>
        <v>14.4</v>
      </c>
      <c r="F72" s="112">
        <f ca="1">IFERROR(__xludf.DUMMYFUNCTION("GOOGLEFINANCE(""BOM:""&amp;A72,""MARKETCAP"")/10000000"),19.4936106)</f>
        <v>19.4936106</v>
      </c>
      <c r="G72" s="95">
        <f t="shared" ca="1" si="0"/>
        <v>3.4182864361842073E-4</v>
      </c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</row>
    <row r="73" spans="1:25" ht="14.4">
      <c r="A73" s="99">
        <v>511535</v>
      </c>
      <c r="B73" s="98" t="s">
        <v>5398</v>
      </c>
      <c r="C73" s="101"/>
      <c r="D73" s="101"/>
      <c r="E73" s="101">
        <f ca="1">IFERROR(__xludf.DUMMYFUNCTION("GOOGLEFINANCE(""BOM:""&amp;A73,""PRICE"")"),36.65)</f>
        <v>36.65</v>
      </c>
      <c r="F73" s="112">
        <f ca="1">IFERROR(__xludf.DUMMYFUNCTION("GOOGLEFINANCE(""BOM:""&amp;A73,""MARKETCAP"")/10000000"),21.8007549)</f>
        <v>21.800754900000001</v>
      </c>
      <c r="G73" s="95">
        <f t="shared" ca="1" si="0"/>
        <v>3.8228538726041032E-4</v>
      </c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</row>
    <row r="74" spans="1:25" ht="14.4">
      <c r="A74" s="99">
        <v>532304</v>
      </c>
      <c r="B74" s="98" t="s">
        <v>5399</v>
      </c>
      <c r="C74" s="101"/>
      <c r="D74" s="101"/>
      <c r="E74" s="101">
        <f ca="1">IFERROR(__xludf.DUMMYFUNCTION("GOOGLEFINANCE(""BOM:""&amp;A74,""PRICE"")"),43.83)</f>
        <v>43.83</v>
      </c>
      <c r="F74" s="112">
        <f ca="1">IFERROR(__xludf.DUMMYFUNCTION("GOOGLEFINANCE(""BOM:""&amp;A74,""MARKETCAP"")/10000000"),17.2095828)</f>
        <v>17.2095828</v>
      </c>
      <c r="G74" s="95">
        <f t="shared" ca="1" si="0"/>
        <v>3.0177725750625713E-4</v>
      </c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</row>
    <row r="75" spans="1:25" ht="14.4">
      <c r="A75" s="99">
        <v>538609</v>
      </c>
      <c r="B75" s="98" t="s">
        <v>5400</v>
      </c>
      <c r="C75" s="101"/>
      <c r="D75" s="101"/>
      <c r="E75" s="101">
        <f ca="1">IFERROR(__xludf.DUMMYFUNCTION("GOOGLEFINANCE(""BOM:""&amp;A75,""PRICE"")"),57.79)</f>
        <v>57.79</v>
      </c>
      <c r="F75" s="112">
        <f ca="1">IFERROR(__xludf.DUMMYFUNCTION("GOOGLEFINANCE(""BOM:""&amp;A75,""MARKETCAP"")/10000000"),17.9264582)</f>
        <v>17.926458199999999</v>
      </c>
      <c r="G75" s="95">
        <f t="shared" ca="1" si="0"/>
        <v>3.1434796852812459E-4</v>
      </c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</row>
    <row r="76" spans="1:25" ht="14.4">
      <c r="A76" s="99">
        <v>511636</v>
      </c>
      <c r="B76" s="98" t="s">
        <v>5401</v>
      </c>
      <c r="C76" s="101"/>
      <c r="D76" s="101"/>
      <c r="E76" s="101">
        <f ca="1">IFERROR(__xludf.DUMMYFUNCTION("GOOGLEFINANCE(""BOM:""&amp;A76,""PRICE"")"),2.01)</f>
        <v>2.0099999999999998</v>
      </c>
      <c r="F76" s="112">
        <f ca="1">IFERROR(__xludf.DUMMYFUNCTION("GOOGLEFINANCE(""BOM:""&amp;A76,""MARKETCAP"")/10000000"),15.1666519)</f>
        <v>15.1666519</v>
      </c>
      <c r="G76" s="95">
        <f t="shared" ca="1" si="0"/>
        <v>2.6595360672741373E-4</v>
      </c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</row>
    <row r="77" spans="1:25" ht="14.4">
      <c r="A77" s="99">
        <v>500174</v>
      </c>
      <c r="B77" s="98" t="s">
        <v>5402</v>
      </c>
      <c r="C77" s="101"/>
      <c r="D77" s="101"/>
      <c r="E77" s="101">
        <f ca="1">IFERROR(__xludf.DUMMYFUNCTION("GOOGLEFINANCE(""BOM:""&amp;A77,""PRICE"")"),5.32)</f>
        <v>5.32</v>
      </c>
      <c r="F77" s="112">
        <f ca="1">IFERROR(__xludf.DUMMYFUNCTION("GOOGLEFINANCE(""BOM:""&amp;A77,""MARKETCAP"")/10000000"),10.470543)</f>
        <v>10.470542999999999</v>
      </c>
      <c r="G77" s="95">
        <f t="shared" ca="1" si="0"/>
        <v>1.8360536614178338E-4</v>
      </c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ht="14.4">
      <c r="A78" s="99">
        <v>511501</v>
      </c>
      <c r="B78" s="98" t="s">
        <v>5403</v>
      </c>
      <c r="C78" s="101"/>
      <c r="D78" s="101"/>
      <c r="E78" s="101">
        <f ca="1">IFERROR(__xludf.DUMMYFUNCTION("GOOGLEFINANCE(""BOM:""&amp;A78,""PRICE"")"),21.8)</f>
        <v>21.8</v>
      </c>
      <c r="F78" s="112">
        <f ca="1">IFERROR(__xludf.DUMMYFUNCTION("GOOGLEFINANCE(""BOM:""&amp;A78,""MARKETCAP"")/10000000"),14.7385478)</f>
        <v>14.738547799999999</v>
      </c>
      <c r="G78" s="95">
        <f t="shared" ca="1" si="0"/>
        <v>2.5844662165249463E-4</v>
      </c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ht="14.4">
      <c r="A79" s="99">
        <v>530127</v>
      </c>
      <c r="B79" s="98" t="s">
        <v>5404</v>
      </c>
      <c r="C79" s="101"/>
      <c r="D79" s="101"/>
      <c r="E79" s="101">
        <f ca="1">IFERROR(__xludf.DUMMYFUNCTION("GOOGLEFINANCE(""BOM:""&amp;A79,""PRICE"")"),19.96)</f>
        <v>19.96</v>
      </c>
      <c r="F79" s="112">
        <f ca="1">IFERROR(__xludf.DUMMYFUNCTION("GOOGLEFINANCE(""BOM:""&amp;A79,""MARKETCAP"")/10000000"),11.955239)</f>
        <v>11.955239000000001</v>
      </c>
      <c r="G79" s="95">
        <f t="shared" ca="1" si="0"/>
        <v>2.096401336499481E-4</v>
      </c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</row>
    <row r="80" spans="1:25" ht="14.4">
      <c r="A80" s="99">
        <v>530171</v>
      </c>
      <c r="B80" s="98" t="s">
        <v>5405</v>
      </c>
      <c r="C80" s="101"/>
      <c r="D80" s="101"/>
      <c r="E80" s="101">
        <f ca="1">IFERROR(__xludf.DUMMYFUNCTION("GOOGLEFINANCE(""BOM:""&amp;A80,""PRICE"")"),32.08)</f>
        <v>32.08</v>
      </c>
      <c r="F80" s="112">
        <f ca="1">IFERROR(__xludf.DUMMYFUNCTION("GOOGLEFINANCE(""BOM:""&amp;A80,""MARKETCAP"")/10000000"),16.0400009)</f>
        <v>16.040000899999999</v>
      </c>
      <c r="G80" s="95">
        <f t="shared" ca="1" si="0"/>
        <v>2.8126814799949107E-4</v>
      </c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5" ht="14.4">
      <c r="A81" s="99">
        <v>536738</v>
      </c>
      <c r="B81" s="98" t="s">
        <v>5406</v>
      </c>
      <c r="C81" s="101"/>
      <c r="D81" s="101"/>
      <c r="E81" s="101">
        <f ca="1">IFERROR(__xludf.DUMMYFUNCTION("GOOGLEFINANCE(""BOM:""&amp;A81,""PRICE"")"),4.8)</f>
        <v>4.8</v>
      </c>
      <c r="F81" s="112">
        <f ca="1">IFERROR(__xludf.DUMMYFUNCTION("GOOGLEFINANCE(""BOM:""&amp;A81,""MARKETCAP"")/10000000"),11.98152)</f>
        <v>11.98152</v>
      </c>
      <c r="G81" s="95">
        <f t="shared" ca="1" si="0"/>
        <v>2.1010098201546001E-4</v>
      </c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5" ht="14.4">
      <c r="A82" s="99">
        <v>530357</v>
      </c>
      <c r="B82" s="98" t="s">
        <v>5407</v>
      </c>
      <c r="C82" s="101"/>
      <c r="D82" s="101"/>
      <c r="E82" s="101">
        <f ca="1">IFERROR(__xludf.DUMMYFUNCTION("GOOGLEFINANCE(""BOM:""&amp;A82,""PRICE"")"),1.08)</f>
        <v>1.08</v>
      </c>
      <c r="F82" s="112">
        <f ca="1">IFERROR(__xludf.DUMMYFUNCTION("GOOGLEFINANCE(""BOM:""&amp;A82,""MARKETCAP"")/10000000"),11.6868748)</f>
        <v>11.6868748</v>
      </c>
      <c r="G82" s="95">
        <f t="shared" ca="1" si="0"/>
        <v>2.0493425476665169E-4</v>
      </c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</row>
    <row r="83" spans="1:25" ht="14.4">
      <c r="A83" s="99">
        <v>534691</v>
      </c>
      <c r="B83" s="98" t="s">
        <v>5408</v>
      </c>
      <c r="C83" s="101"/>
      <c r="D83" s="101"/>
      <c r="E83" s="101">
        <f ca="1">IFERROR(__xludf.DUMMYFUNCTION("GOOGLEFINANCE(""BOM:""&amp;A83,""PRICE"")"),14)</f>
        <v>14</v>
      </c>
      <c r="F83" s="112">
        <f ca="1">IFERROR(__xludf.DUMMYFUNCTION("GOOGLEFINANCE(""BOM:""&amp;A83,""MARKETCAP"")/10000000"),14.028)</f>
        <v>14.028</v>
      </c>
      <c r="G83" s="95">
        <f t="shared" ca="1" si="0"/>
        <v>2.4598686775241144E-4</v>
      </c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5" ht="14.4">
      <c r="A84" s="99">
        <v>531821</v>
      </c>
      <c r="B84" s="98" t="s">
        <v>5409</v>
      </c>
      <c r="C84" s="101"/>
      <c r="D84" s="101"/>
      <c r="E84" s="101">
        <f ca="1">IFERROR(__xludf.DUMMYFUNCTION("GOOGLEFINANCE(""BOM:""&amp;A84,""PRICE"")"),16.4)</f>
        <v>16.399999999999999</v>
      </c>
      <c r="F84" s="112">
        <f ca="1">IFERROR(__xludf.DUMMYFUNCTION("GOOGLEFINANCE(""BOM:""&amp;A84,""MARKETCAP"")/10000000"),8.4218918)</f>
        <v>8.4218917999999992</v>
      </c>
      <c r="G84" s="95">
        <f t="shared" ca="1" si="0"/>
        <v>1.476814075015482E-4</v>
      </c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</row>
    <row r="85" spans="1:25" ht="14.4">
      <c r="A85" s="99">
        <v>526891</v>
      </c>
      <c r="B85" s="98" t="s">
        <v>5410</v>
      </c>
      <c r="C85" s="101"/>
      <c r="D85" s="101"/>
      <c r="E85" s="101">
        <f ca="1">IFERROR(__xludf.DUMMYFUNCTION("GOOGLEFINANCE(""BOM:""&amp;A85,""PRICE"")"),11.85)</f>
        <v>11.85</v>
      </c>
      <c r="F85" s="112">
        <f ca="1">IFERROR(__xludf.DUMMYFUNCTION("GOOGLEFINANCE(""BOM:""&amp;A85,""MARKETCAP"")/10000000"),12.4425)</f>
        <v>12.442500000000001</v>
      </c>
      <c r="G85" s="95">
        <f t="shared" ca="1" si="0"/>
        <v>2.1818445979536496E-4</v>
      </c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</row>
    <row r="86" spans="1:25" ht="14.4">
      <c r="A86" s="99">
        <v>503622</v>
      </c>
      <c r="B86" s="98" t="s">
        <v>5411</v>
      </c>
      <c r="C86" s="101"/>
      <c r="D86" s="101"/>
      <c r="E86" s="101">
        <f ca="1">IFERROR(__xludf.DUMMYFUNCTION("GOOGLEFINANCE(""BOM:""&amp;A86,""PRICE"")"),7.71)</f>
        <v>7.71</v>
      </c>
      <c r="F86" s="112">
        <f ca="1">IFERROR(__xludf.DUMMYFUNCTION("GOOGLEFINANCE(""BOM:""&amp;A86,""MARKETCAP"")/10000000"),13.1841)</f>
        <v>13.184100000000001</v>
      </c>
      <c r="G86" s="95">
        <f t="shared" ca="1" si="0"/>
        <v>2.3118872705550099E-4</v>
      </c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</row>
    <row r="87" spans="1:25" ht="14.4">
      <c r="A87" s="99">
        <v>540386</v>
      </c>
      <c r="B87" s="98" t="s">
        <v>5412</v>
      </c>
      <c r="C87" s="101"/>
      <c r="D87" s="101"/>
      <c r="E87" s="101">
        <f ca="1">IFERROR(__xludf.DUMMYFUNCTION("GOOGLEFINANCE(""BOM:""&amp;A87,""PRICE"")"),1.37)</f>
        <v>1.37</v>
      </c>
      <c r="F87" s="112">
        <f ca="1">IFERROR(__xludf.DUMMYFUNCTION("GOOGLEFINANCE(""BOM:""&amp;A87,""MARKETCAP"")/10000000"),12.3304069)</f>
        <v>12.3304069</v>
      </c>
      <c r="G87" s="95">
        <f t="shared" ca="1" si="0"/>
        <v>2.1621886023978626E-4</v>
      </c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</row>
    <row r="88" spans="1:25" ht="14.4">
      <c r="A88" s="99">
        <v>532131</v>
      </c>
      <c r="B88" s="98" t="s">
        <v>5413</v>
      </c>
      <c r="C88" s="101"/>
      <c r="D88" s="101"/>
      <c r="E88" s="101">
        <f ca="1">IFERROR(__xludf.DUMMYFUNCTION("GOOGLEFINANCE(""BOM:""&amp;A88,""PRICE"")"),15.21)</f>
        <v>15.21</v>
      </c>
      <c r="F88" s="112">
        <f ca="1">IFERROR(__xludf.DUMMYFUNCTION("GOOGLEFINANCE(""BOM:""&amp;A88,""MARKETCAP"")/10000000"),11.4075)</f>
        <v>11.407500000000001</v>
      </c>
      <c r="G88" s="95">
        <f t="shared" ca="1" si="0"/>
        <v>2.0003530039104889E-4</v>
      </c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</row>
    <row r="89" spans="1:25" ht="14.4">
      <c r="A89" s="99">
        <v>540481</v>
      </c>
      <c r="B89" s="98" t="s">
        <v>5414</v>
      </c>
      <c r="C89" s="101"/>
      <c r="D89" s="101"/>
      <c r="E89" s="101">
        <f ca="1">IFERROR(__xludf.DUMMYFUNCTION("GOOGLEFINANCE(""BOM:""&amp;A89,""PRICE"")"),50.3)</f>
        <v>50.3</v>
      </c>
      <c r="F89" s="112">
        <f ca="1">IFERROR(__xludf.DUMMYFUNCTION("GOOGLEFINANCE(""BOM:""&amp;A89,""MARKETCAP"")/10000000"),15.09101)</f>
        <v>15.091010000000001</v>
      </c>
      <c r="G89" s="95">
        <f t="shared" ca="1" si="0"/>
        <v>2.6462719426292549E-4</v>
      </c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</row>
    <row r="90" spans="1:25" ht="14.4">
      <c r="A90" s="99">
        <v>509760</v>
      </c>
      <c r="B90" s="98" t="s">
        <v>5415</v>
      </c>
      <c r="C90" s="101"/>
      <c r="D90" s="101"/>
      <c r="E90" s="101">
        <f ca="1">IFERROR(__xludf.DUMMYFUNCTION("GOOGLEFINANCE(""BOM:""&amp;A90,""PRICE"")"),27.8)</f>
        <v>27.8</v>
      </c>
      <c r="F90" s="112">
        <f ca="1">IFERROR(__xludf.DUMMYFUNCTION("GOOGLEFINANCE(""BOM:""&amp;A90,""MARKETCAP"")/10000000"),8.1485272)</f>
        <v>8.1485272000000002</v>
      </c>
      <c r="G90" s="95">
        <f t="shared" ca="1" si="0"/>
        <v>1.4288784450551238E-4</v>
      </c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</row>
    <row r="91" spans="1:25" ht="14.4">
      <c r="A91" s="99">
        <v>503624</v>
      </c>
      <c r="B91" s="98" t="s">
        <v>5416</v>
      </c>
      <c r="C91" s="101"/>
      <c r="D91" s="101"/>
      <c r="E91" s="101">
        <f ca="1">IFERROR(__xludf.DUMMYFUNCTION("GOOGLEFINANCE(""BOM:""&amp;A91,""PRICE"")"),9.15)</f>
        <v>9.15</v>
      </c>
      <c r="F91" s="112">
        <f ca="1">IFERROR(__xludf.DUMMYFUNCTION("GOOGLEFINANCE(""BOM:""&amp;A91,""MARKETCAP"")/10000000"),13.4962494)</f>
        <v>13.4962494</v>
      </c>
      <c r="G91" s="95">
        <f t="shared" ca="1" si="0"/>
        <v>2.3666239779807259E-4</v>
      </c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</row>
    <row r="92" spans="1:25" ht="14.4">
      <c r="A92" s="99">
        <v>533149</v>
      </c>
      <c r="B92" s="98" t="s">
        <v>5417</v>
      </c>
      <c r="C92" s="101"/>
      <c r="D92" s="101"/>
      <c r="E92" s="101">
        <f ca="1">IFERROR(__xludf.DUMMYFUNCTION("GOOGLEFINANCE(""BOM:""&amp;A92,""PRICE"")"),6.15)</f>
        <v>6.15</v>
      </c>
      <c r="F92" s="112">
        <f ca="1">IFERROR(__xludf.DUMMYFUNCTION("GOOGLEFINANCE(""BOM:""&amp;A92,""MARKETCAP"")/10000000"),9.844263)</f>
        <v>9.8442629999999998</v>
      </c>
      <c r="G92" s="95">
        <f t="shared" ca="1" si="0"/>
        <v>1.7262328348310218E-4</v>
      </c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</row>
    <row r="93" spans="1:25" ht="14.4">
      <c r="A93" s="99">
        <v>531846</v>
      </c>
      <c r="B93" s="98" t="s">
        <v>5418</v>
      </c>
      <c r="C93" s="101"/>
      <c r="D93" s="101"/>
      <c r="E93" s="101">
        <f ca="1">IFERROR(__xludf.DUMMYFUNCTION("GOOGLEFINANCE(""BOM:""&amp;A93,""PRICE"")"),12.17)</f>
        <v>12.17</v>
      </c>
      <c r="F93" s="112">
        <f ca="1">IFERROR(__xludf.DUMMYFUNCTION("GOOGLEFINANCE(""BOM:""&amp;A93,""MARKETCAP"")/10000000"),9.634867)</f>
        <v>9.6348669999999998</v>
      </c>
      <c r="G93" s="95">
        <f t="shared" ca="1" si="0"/>
        <v>1.6895143673660345E-4</v>
      </c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</row>
    <row r="94" spans="1:25" ht="14.4">
      <c r="A94" s="99">
        <v>504340</v>
      </c>
      <c r="B94" s="98" t="s">
        <v>5419</v>
      </c>
      <c r="C94" s="101"/>
      <c r="D94" s="101"/>
      <c r="E94" s="101">
        <f ca="1">IFERROR(__xludf.DUMMYFUNCTION("GOOGLEFINANCE(""BOM:""&amp;A94,""PRICE"")"),5.78)</f>
        <v>5.78</v>
      </c>
      <c r="F94" s="112">
        <f ca="1">IFERROR(__xludf.DUMMYFUNCTION("GOOGLEFINANCE(""BOM:""&amp;A94,""MARKETCAP"")/10000000"),7.73955)</f>
        <v>7.7395500000000004</v>
      </c>
      <c r="G94" s="95">
        <f t="shared" ca="1" si="0"/>
        <v>1.3571625764992703E-4</v>
      </c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</row>
    <row r="95" spans="1:25" ht="14.4">
      <c r="A95" s="99">
        <v>531672</v>
      </c>
      <c r="B95" s="98" t="s">
        <v>5420</v>
      </c>
      <c r="C95" s="101"/>
      <c r="D95" s="101"/>
      <c r="E95" s="101">
        <f ca="1">IFERROR(__xludf.DUMMYFUNCTION("GOOGLEFINANCE(""BOM:""&amp;A95,""PRICE"")"),23.88)</f>
        <v>23.88</v>
      </c>
      <c r="F95" s="112">
        <f ca="1">IFERROR(__xludf.DUMMYFUNCTION("GOOGLEFINANCE(""BOM:""&amp;A95,""MARKETCAP"")/10000000"),10.8837848)</f>
        <v>10.883784800000001</v>
      </c>
      <c r="G95" s="95">
        <f t="shared" ca="1" si="0"/>
        <v>1.9085173454828244E-4</v>
      </c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</row>
    <row r="96" spans="1:25" ht="14.4">
      <c r="A96" s="99">
        <v>532745</v>
      </c>
      <c r="B96" s="98" t="s">
        <v>5421</v>
      </c>
      <c r="C96" s="101"/>
      <c r="D96" s="101"/>
      <c r="E96" s="101">
        <f ca="1">IFERROR(__xludf.DUMMYFUNCTION("GOOGLEFINANCE(""BOM:""&amp;A96,""PRICE"")"),3.2)</f>
        <v>3.2</v>
      </c>
      <c r="F96" s="112">
        <f ca="1">IFERROR(__xludf.DUMMYFUNCTION("GOOGLEFINANCE(""BOM:""&amp;A96,""MARKETCAP"")/10000000"),7.4731585)</f>
        <v>7.4731585000000003</v>
      </c>
      <c r="G96" s="95">
        <f t="shared" ca="1" si="0"/>
        <v>1.3104497088910105E-4</v>
      </c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</row>
    <row r="97" spans="1:25" ht="14.4">
      <c r="A97" s="99">
        <v>538874</v>
      </c>
      <c r="B97" s="98" t="s">
        <v>5422</v>
      </c>
      <c r="C97" s="101"/>
      <c r="D97" s="101"/>
      <c r="E97" s="101">
        <f ca="1">IFERROR(__xludf.DUMMYFUNCTION("GOOGLEFINANCE(""BOM:""&amp;A97,""PRICE"")"),18)</f>
        <v>18</v>
      </c>
      <c r="F97" s="112">
        <f ca="1">IFERROR(__xludf.DUMMYFUNCTION("GOOGLEFINANCE(""BOM:""&amp;A97,""MARKETCAP"")/10000000"),9.685263)</f>
        <v>9.6852630000000008</v>
      </c>
      <c r="G97" s="95">
        <f t="shared" ca="1" si="0"/>
        <v>1.6983515174852609E-4</v>
      </c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</row>
    <row r="98" spans="1:25" ht="14.4">
      <c r="A98" s="99">
        <v>511110</v>
      </c>
      <c r="B98" s="98" t="s">
        <v>5423</v>
      </c>
      <c r="C98" s="101"/>
      <c r="D98" s="101"/>
      <c r="E98" s="101">
        <f ca="1">IFERROR(__xludf.DUMMYFUNCTION("GOOGLEFINANCE(""BOM:""&amp;A98,""PRICE"")"),17.5)</f>
        <v>17.5</v>
      </c>
      <c r="F98" s="112">
        <f ca="1">IFERROR(__xludf.DUMMYFUNCTION("GOOGLEFINANCE(""BOM:""&amp;A98,""MARKETCAP"")/10000000"),7.9238075)</f>
        <v>7.9238074999999997</v>
      </c>
      <c r="G98" s="95">
        <f t="shared" ca="1" si="0"/>
        <v>1.3894729024793742E-4</v>
      </c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</row>
    <row r="99" spans="1:25" ht="14.4">
      <c r="A99" s="99">
        <v>522209</v>
      </c>
      <c r="B99" s="98" t="s">
        <v>5424</v>
      </c>
      <c r="C99" s="101"/>
      <c r="D99" s="101"/>
      <c r="E99" s="101">
        <f ca="1">IFERROR(__xludf.DUMMYFUNCTION("GOOGLEFINANCE(""BOM:""&amp;A99,""PRICE"")"),6.56)</f>
        <v>6.56</v>
      </c>
      <c r="F99" s="112">
        <f ca="1">IFERROR(__xludf.DUMMYFUNCTION("GOOGLEFINANCE(""BOM:""&amp;A99,""MARKETCAP"")/10000000"),11.0508381)</f>
        <v>11.0508381</v>
      </c>
      <c r="G99" s="95">
        <f t="shared" ca="1" si="0"/>
        <v>1.9378108427844381E-4</v>
      </c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</row>
    <row r="100" spans="1:25" ht="14.4">
      <c r="A100" s="99">
        <v>531027</v>
      </c>
      <c r="B100" s="98" t="s">
        <v>5425</v>
      </c>
      <c r="C100" s="101"/>
      <c r="D100" s="101"/>
      <c r="E100" s="101">
        <f ca="1">IFERROR(__xludf.DUMMYFUNCTION("GOOGLEFINANCE(""BOM:""&amp;A100,""PRICE"")"),16)</f>
        <v>16</v>
      </c>
      <c r="F100" s="112">
        <f ca="1">IFERROR(__xludf.DUMMYFUNCTION("GOOGLEFINANCE(""BOM:""&amp;A100,""MARKETCAP"")/10000000"),8)</f>
        <v>8</v>
      </c>
      <c r="G100" s="95">
        <f t="shared" ca="1" si="0"/>
        <v>1.4028335771452036E-4</v>
      </c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</row>
    <row r="101" spans="1:25" ht="14.4">
      <c r="A101" s="99">
        <v>526251</v>
      </c>
      <c r="B101" s="98" t="s">
        <v>5426</v>
      </c>
      <c r="C101" s="101"/>
      <c r="D101" s="101"/>
      <c r="E101" s="101">
        <f ca="1">IFERROR(__xludf.DUMMYFUNCTION("GOOGLEFINANCE(""BOM:""&amp;A101,""PRICE"")"),22)</f>
        <v>22</v>
      </c>
      <c r="F101" s="112">
        <f ca="1">IFERROR(__xludf.DUMMYFUNCTION("GOOGLEFINANCE(""BOM:""&amp;A101,""MARKETCAP"")/10000000"),11.066)</f>
        <v>11.066000000000001</v>
      </c>
      <c r="G101" s="95">
        <f t="shared" ca="1" si="0"/>
        <v>1.9404695455861032E-4</v>
      </c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</row>
    <row r="102" spans="1:25" ht="14.4">
      <c r="A102" s="99">
        <v>539596</v>
      </c>
      <c r="B102" s="98" t="s">
        <v>5427</v>
      </c>
      <c r="C102" s="101"/>
      <c r="D102" s="101"/>
      <c r="E102" s="101">
        <f ca="1">IFERROR(__xludf.DUMMYFUNCTION("GOOGLEFINANCE(""BOM:""&amp;A102,""PRICE"")"),12.39)</f>
        <v>12.39</v>
      </c>
      <c r="F102" s="112">
        <f ca="1">IFERROR(__xludf.DUMMYFUNCTION("GOOGLEFINANCE(""BOM:""&amp;A102,""MARKETCAP"")/10000000"),6.6819271)</f>
        <v>6.6819271000000002</v>
      </c>
      <c r="G102" s="95">
        <f t="shared" ca="1" si="0"/>
        <v>1.1717039619895596E-4</v>
      </c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</row>
    <row r="103" spans="1:25" ht="14.4">
      <c r="A103" s="99">
        <v>538319</v>
      </c>
      <c r="B103" s="98" t="s">
        <v>5428</v>
      </c>
      <c r="C103" s="101"/>
      <c r="D103" s="101"/>
      <c r="E103" s="101">
        <f ca="1">IFERROR(__xludf.DUMMYFUNCTION("GOOGLEFINANCE(""BOM:""&amp;A103,""PRICE"")"),3.34)</f>
        <v>3.34</v>
      </c>
      <c r="F103" s="112">
        <f ca="1">IFERROR(__xludf.DUMMYFUNCTION("GOOGLEFINANCE(""BOM:""&amp;A103,""MARKETCAP"")/10000000"),5.65796)</f>
        <v>5.6579600000000001</v>
      </c>
      <c r="G103" s="95">
        <f t="shared" ca="1" si="0"/>
        <v>9.921470332680595E-5</v>
      </c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</row>
    <row r="104" spans="1:25" ht="14.4">
      <c r="A104" s="99">
        <v>505502</v>
      </c>
      <c r="B104" s="98" t="s">
        <v>5429</v>
      </c>
      <c r="C104" s="101"/>
      <c r="D104" s="101"/>
      <c r="E104" s="101">
        <f ca="1">IFERROR(__xludf.DUMMYFUNCTION("GOOGLEFINANCE(""BOM:""&amp;A104,""PRICE"")"),1.18)</f>
        <v>1.18</v>
      </c>
      <c r="F104" s="112">
        <f ca="1">IFERROR(__xludf.DUMMYFUNCTION("GOOGLEFINANCE(""BOM:""&amp;A104,""MARKETCAP"")/10000000"),6.3436797)</f>
        <v>6.3436797</v>
      </c>
      <c r="G104" s="95">
        <f t="shared" ca="1" si="0"/>
        <v>1.1123908607268015E-4</v>
      </c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</row>
    <row r="105" spans="1:25" ht="14.4">
      <c r="A105" s="99">
        <v>542176</v>
      </c>
      <c r="B105" s="98" t="s">
        <v>5430</v>
      </c>
      <c r="C105" s="101"/>
      <c r="D105" s="101"/>
      <c r="E105" s="101">
        <f ca="1">IFERROR(__xludf.DUMMYFUNCTION("GOOGLEFINANCE(""BOM:""&amp;A105,""PRICE"")"),18.53)</f>
        <v>18.53</v>
      </c>
      <c r="F105" s="112">
        <f ca="1">IFERROR(__xludf.DUMMYFUNCTION("GOOGLEFINANCE(""BOM:""&amp;A105,""MARKETCAP"")/10000000"),5.5590002)</f>
        <v>5.5590001999999998</v>
      </c>
      <c r="G105" s="95">
        <f t="shared" ca="1" si="0"/>
        <v>9.7479401698961278E-5</v>
      </c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</row>
    <row r="106" spans="1:25" ht="14.4">
      <c r="A106" s="99">
        <v>532024</v>
      </c>
      <c r="B106" s="98" t="s">
        <v>5431</v>
      </c>
      <c r="C106" s="101"/>
      <c r="D106" s="101"/>
      <c r="E106" s="101">
        <f ca="1">IFERROR(__xludf.DUMMYFUNCTION("GOOGLEFINANCE(""BOM:""&amp;A106,""PRICE"")"),13.69)</f>
        <v>13.69</v>
      </c>
      <c r="F106" s="112">
        <f ca="1">IFERROR(__xludf.DUMMYFUNCTION("GOOGLEFINANCE(""BOM:""&amp;A106,""MARKETCAP"")/10000000"),6.553266)</f>
        <v>6.5532659999999998</v>
      </c>
      <c r="G106" s="95">
        <f t="shared" ca="1" si="0"/>
        <v>1.1491426980955049E-4</v>
      </c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</row>
    <row r="107" spans="1:25" ht="14.4">
      <c r="A107" s="99">
        <v>534755</v>
      </c>
      <c r="B107" s="98" t="s">
        <v>5432</v>
      </c>
      <c r="C107" s="101"/>
      <c r="D107" s="101"/>
      <c r="E107" s="101">
        <f ca="1">IFERROR(__xludf.DUMMYFUNCTION("GOOGLEFINANCE(""BOM:""&amp;A107,""PRICE"")"),0.96)</f>
        <v>0.96</v>
      </c>
      <c r="F107" s="112">
        <f ca="1">IFERROR(__xludf.DUMMYFUNCTION("GOOGLEFINANCE(""BOM:""&amp;A107,""MARKETCAP"")/10000000"),6.5219134)</f>
        <v>6.5219133999999999</v>
      </c>
      <c r="G107" s="95">
        <f t="shared" ca="1" si="0"/>
        <v>1.1436448880941546E-4</v>
      </c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</row>
    <row r="108" spans="1:25" ht="14.4">
      <c r="A108" s="99">
        <v>539278</v>
      </c>
      <c r="B108" s="98" t="s">
        <v>5433</v>
      </c>
      <c r="C108" s="101"/>
      <c r="D108" s="101"/>
      <c r="E108" s="101">
        <f ca="1">IFERROR(__xludf.DUMMYFUNCTION("GOOGLEFINANCE(""BOM:""&amp;A108,""PRICE"")"),1.59)</f>
        <v>1.59</v>
      </c>
      <c r="F108" s="112">
        <f ca="1">IFERROR(__xludf.DUMMYFUNCTION("GOOGLEFINANCE(""BOM:""&amp;A108,""MARKETCAP"")/10000000"),4.9746855)</f>
        <v>4.9746854999999996</v>
      </c>
      <c r="G108" s="95">
        <f t="shared" ca="1" si="0"/>
        <v>8.7233198189217191E-5</v>
      </c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</row>
    <row r="109" spans="1:25" ht="14.4">
      <c r="A109" s="99">
        <v>511401</v>
      </c>
      <c r="B109" s="98" t="s">
        <v>5434</v>
      </c>
      <c r="C109" s="101"/>
      <c r="D109" s="101"/>
      <c r="E109" s="101">
        <f ca="1">IFERROR(__xludf.DUMMYFUNCTION("GOOGLEFINANCE(""BOM:""&amp;A109,""PRICE"")"),6.56)</f>
        <v>6.56</v>
      </c>
      <c r="F109" s="112">
        <f ca="1">IFERROR(__xludf.DUMMYFUNCTION("GOOGLEFINANCE(""BOM:""&amp;A109,""MARKETCAP"")/10000000"),6.3300063)</f>
        <v>6.3300063</v>
      </c>
      <c r="G109" s="95">
        <f t="shared" ca="1" si="0"/>
        <v>1.1099931726475844E-4</v>
      </c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</row>
    <row r="110" spans="1:25" ht="14.4">
      <c r="A110" s="99">
        <v>540515</v>
      </c>
      <c r="B110" s="98" t="s">
        <v>5435</v>
      </c>
      <c r="C110" s="101"/>
      <c r="D110" s="101"/>
      <c r="E110" s="101">
        <f ca="1">IFERROR(__xludf.DUMMYFUNCTION("GOOGLEFINANCE(""BOM:""&amp;A110,""PRICE"")"),9.54)</f>
        <v>9.5399999999999991</v>
      </c>
      <c r="F110" s="112">
        <f ca="1">IFERROR(__xludf.DUMMYFUNCTION("GOOGLEFINANCE(""BOM:""&amp;A110,""MARKETCAP"")/10000000"),4.4208359)</f>
        <v>4.4208359000000002</v>
      </c>
      <c r="G110" s="95">
        <f t="shared" ca="1" si="0"/>
        <v>7.7521212994611699E-5</v>
      </c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</row>
    <row r="111" spans="1:25" ht="14.4">
      <c r="A111" s="99">
        <v>539593</v>
      </c>
      <c r="B111" s="98" t="s">
        <v>5436</v>
      </c>
      <c r="C111" s="101"/>
      <c r="D111" s="101"/>
      <c r="E111" s="101">
        <f ca="1">IFERROR(__xludf.DUMMYFUNCTION("GOOGLEFINANCE(""BOM:""&amp;A111,""PRICE"")"),8.1)</f>
        <v>8.1</v>
      </c>
      <c r="F111" s="112">
        <f ca="1">IFERROR(__xludf.DUMMYFUNCTION("GOOGLEFINANCE(""BOM:""&amp;A111,""MARKETCAP"")/10000000"),5.0544002)</f>
        <v>5.0544001999999999</v>
      </c>
      <c r="G111" s="95">
        <f t="shared" ca="1" si="0"/>
        <v>8.8631028911117911E-5</v>
      </c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ht="14.4">
      <c r="A112" s="99">
        <v>539026</v>
      </c>
      <c r="B112" s="98" t="s">
        <v>5437</v>
      </c>
      <c r="C112" s="101"/>
      <c r="D112" s="101"/>
      <c r="E112" s="101">
        <f ca="1">IFERROR(__xludf.DUMMYFUNCTION("GOOGLEFINANCE(""BOM:""&amp;A112,""PRICE"")"),10.59)</f>
        <v>10.59</v>
      </c>
      <c r="F112" s="112">
        <f ca="1">IFERROR(__xludf.DUMMYFUNCTION("GOOGLEFINANCE(""BOM:""&amp;A112,""MARKETCAP"")/10000000"),4.009798)</f>
        <v>4.009798</v>
      </c>
      <c r="G112" s="95">
        <f t="shared" ca="1" si="0"/>
        <v>7.0313490899621045E-5</v>
      </c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</row>
    <row r="113" spans="1:25" ht="14.4">
      <c r="A113" s="99">
        <v>535917</v>
      </c>
      <c r="B113" s="98" t="s">
        <v>5438</v>
      </c>
      <c r="C113" s="101"/>
      <c r="D113" s="101"/>
      <c r="E113" s="101">
        <f ca="1">IFERROR(__xludf.DUMMYFUNCTION("GOOGLEFINANCE(""BOM:""&amp;A113,""PRICE"")"),4.23)</f>
        <v>4.2300000000000004</v>
      </c>
      <c r="F113" s="112">
        <f ca="1">IFERROR(__xludf.DUMMYFUNCTION("GOOGLEFINANCE(""BOM:""&amp;A113,""MARKETCAP"")/10000000"),3.141621)</f>
        <v>3.1416210000000002</v>
      </c>
      <c r="G113" s="95">
        <f t="shared" ca="1" si="0"/>
        <v>5.5089642818306154E-5</v>
      </c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</row>
    <row r="114" spans="1:25" ht="14.4">
      <c r="A114" s="99">
        <v>531327</v>
      </c>
      <c r="B114" s="98" t="s">
        <v>5439</v>
      </c>
      <c r="C114" s="101"/>
      <c r="D114" s="101"/>
      <c r="E114" s="101">
        <f ca="1">IFERROR(__xludf.DUMMYFUNCTION("GOOGLEFINANCE(""BOM:""&amp;A114,""PRICE"")"),6.88)</f>
        <v>6.88</v>
      </c>
      <c r="F114" s="112">
        <f ca="1">IFERROR(__xludf.DUMMYFUNCTION("GOOGLEFINANCE(""BOM:""&amp;A114,""MARKETCAP"")/10000000"),2.8249968)</f>
        <v>2.8249968000000001</v>
      </c>
      <c r="G114" s="95">
        <f t="shared" ca="1" si="0"/>
        <v>4.953750457959692E-5</v>
      </c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</row>
    <row r="115" spans="1:25" ht="14.4">
      <c r="A115" s="99">
        <v>501386</v>
      </c>
      <c r="B115" s="98" t="s">
        <v>5440</v>
      </c>
      <c r="C115" s="101"/>
      <c r="D115" s="101"/>
      <c r="E115" s="101">
        <f ca="1">IFERROR(__xludf.DUMMYFUNCTION("GOOGLEFINANCE(""BOM:""&amp;A115,""PRICE"")"),19.21)</f>
        <v>19.21</v>
      </c>
      <c r="F115" s="112">
        <f ca="1">IFERROR(__xludf.DUMMYFUNCTION("GOOGLEFINANCE(""BOM:""&amp;A115,""MARKETCAP"")/10000000"),0.46104)</f>
        <v>0.46104000000000001</v>
      </c>
      <c r="G115" s="95">
        <f t="shared" ca="1" si="0"/>
        <v>8.0845299050878092E-6</v>
      </c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</row>
    <row r="116" spans="1:25" ht="14.4">
      <c r="A116" s="99">
        <v>512445</v>
      </c>
      <c r="B116" s="98" t="s">
        <v>5441</v>
      </c>
      <c r="C116" s="101"/>
      <c r="D116" s="101"/>
      <c r="E116" s="101">
        <f ca="1">IFERROR(__xludf.DUMMYFUNCTION("GOOGLEFINANCE(""BOM:""&amp;A116,""PRICE"")"),0)</f>
        <v>0</v>
      </c>
      <c r="F116" s="112"/>
      <c r="G116" s="95">
        <f t="shared" ca="1" si="0"/>
        <v>0</v>
      </c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</row>
    <row r="117" spans="1:25" ht="14.4">
      <c r="A117" s="99">
        <v>542544</v>
      </c>
      <c r="B117" s="98" t="s">
        <v>5442</v>
      </c>
      <c r="C117" s="101"/>
      <c r="D117" s="101"/>
      <c r="E117" s="101">
        <f ca="1">IFERROR(__xludf.DUMMYFUNCTION("GOOGLEFINANCE(""BOM:""&amp;A117,""PRICE"")"),0)</f>
        <v>0</v>
      </c>
      <c r="F117" s="112"/>
      <c r="G117" s="95">
        <f t="shared" ca="1" si="0"/>
        <v>0</v>
      </c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</row>
    <row r="118" spans="1:25" ht="14.4">
      <c r="A118" s="99">
        <v>512147</v>
      </c>
      <c r="B118" s="98" t="s">
        <v>5443</v>
      </c>
      <c r="C118" s="101"/>
      <c r="D118" s="101"/>
      <c r="E118" s="101">
        <f ca="1">IFERROR(__xludf.DUMMYFUNCTION("GOOGLEFINANCE(""BOM:""&amp;A118,""PRICE"")"),0)</f>
        <v>0</v>
      </c>
      <c r="F118" s="112"/>
      <c r="G118" s="95">
        <f t="shared" ca="1" si="0"/>
        <v>0</v>
      </c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</row>
    <row r="119" spans="1:25" ht="14.4">
      <c r="A119" s="99">
        <v>503626</v>
      </c>
      <c r="B119" s="98" t="s">
        <v>5444</v>
      </c>
      <c r="C119" s="101"/>
      <c r="D119" s="101"/>
      <c r="E119" s="101">
        <f ca="1">IFERROR(__xludf.DUMMYFUNCTION("GOOGLEFINANCE(""BOM:""&amp;A119,""PRICE"")"),10.5)</f>
        <v>10.5</v>
      </c>
      <c r="F119" s="112"/>
      <c r="G119" s="95">
        <f t="shared" ca="1" si="0"/>
        <v>0</v>
      </c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</row>
    <row r="120" spans="1:25" ht="14.4">
      <c r="A120" s="99">
        <v>511738</v>
      </c>
      <c r="B120" s="98" t="s">
        <v>5445</v>
      </c>
      <c r="C120" s="101"/>
      <c r="D120" s="101"/>
      <c r="E120" s="101">
        <f ca="1">IFERROR(__xludf.DUMMYFUNCTION("GOOGLEFINANCE(""BOM:""&amp;A120,""PRICE"")"),34)</f>
        <v>34</v>
      </c>
      <c r="F120" s="112"/>
      <c r="G120" s="95">
        <f t="shared" ca="1" si="0"/>
        <v>0</v>
      </c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</row>
    <row r="121" spans="1:25" ht="14.4">
      <c r="A121" s="99">
        <v>539819</v>
      </c>
      <c r="B121" s="98" t="s">
        <v>5446</v>
      </c>
      <c r="C121" s="101"/>
      <c r="D121" s="101"/>
      <c r="E121" s="101">
        <f ca="1">IFERROR(__xludf.DUMMYFUNCTION("GOOGLEFINANCE(""BOM:""&amp;A121,""PRICE"")"),4.3)</f>
        <v>4.3</v>
      </c>
      <c r="F121" s="112"/>
      <c r="G121" s="95">
        <f t="shared" ca="1" si="0"/>
        <v>0</v>
      </c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</row>
    <row r="122" spans="1:25" ht="14.4">
      <c r="A122" s="99">
        <v>504365</v>
      </c>
      <c r="B122" s="98" t="s">
        <v>5447</v>
      </c>
      <c r="C122" s="101"/>
      <c r="D122" s="101"/>
      <c r="E122" s="101">
        <f ca="1">IFERROR(__xludf.DUMMYFUNCTION("GOOGLEFINANCE(""BOM:""&amp;A122,""PRICE"")"),4.11)</f>
        <v>4.1100000000000003</v>
      </c>
      <c r="F122" s="112"/>
      <c r="G122" s="95">
        <f t="shared" ca="1" si="0"/>
        <v>0</v>
      </c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</row>
    <row r="123" spans="1:25" ht="14.4">
      <c r="A123" s="99">
        <v>539983</v>
      </c>
      <c r="B123" s="98" t="s">
        <v>5448</v>
      </c>
      <c r="C123" s="101"/>
      <c r="D123" s="101"/>
      <c r="E123" s="101">
        <f ca="1">IFERROR(__xludf.DUMMYFUNCTION("GOOGLEFINANCE(""BOM:""&amp;A123,""PRICE"")"),12.5)</f>
        <v>12.5</v>
      </c>
      <c r="F123" s="112"/>
      <c r="G123" s="95">
        <f t="shared" ca="1" si="0"/>
        <v>0</v>
      </c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</row>
    <row r="124" spans="1:25" ht="14.4">
      <c r="A124" s="99">
        <v>501110</v>
      </c>
      <c r="B124" s="98" t="s">
        <v>5449</v>
      </c>
      <c r="C124" s="101"/>
      <c r="D124" s="101"/>
      <c r="E124" s="101">
        <f ca="1">IFERROR(__xludf.DUMMYFUNCTION("GOOGLEFINANCE(""BOM:""&amp;A124,""PRICE"")"),7.15)</f>
        <v>7.15</v>
      </c>
      <c r="F124" s="112"/>
      <c r="G124" s="95">
        <f t="shared" ca="1" si="0"/>
        <v>0</v>
      </c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</row>
    <row r="125" spans="1:25" ht="14.4">
      <c r="A125" s="99">
        <v>506162</v>
      </c>
      <c r="B125" s="98" t="s">
        <v>5450</v>
      </c>
      <c r="C125" s="101"/>
      <c r="D125" s="101"/>
      <c r="E125" s="101">
        <f ca="1">IFERROR(__xludf.DUMMYFUNCTION("GOOGLEFINANCE(""BOM:""&amp;A125,""PRICE"")"),0)</f>
        <v>0</v>
      </c>
      <c r="F125" s="112"/>
      <c r="G125" s="95">
        <f t="shared" ca="1" si="0"/>
        <v>0</v>
      </c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</row>
    <row r="126" spans="1:25" ht="14.4">
      <c r="A126" s="99">
        <v>503893</v>
      </c>
      <c r="B126" s="98" t="s">
        <v>5451</v>
      </c>
      <c r="C126" s="101"/>
      <c r="D126" s="101"/>
      <c r="E126" s="101">
        <f ca="1">IFERROR(__xludf.DUMMYFUNCTION("GOOGLEFINANCE(""BOM:""&amp;A126,""PRICE"")"),0)</f>
        <v>0</v>
      </c>
      <c r="F126" s="112"/>
      <c r="G126" s="95">
        <f t="shared" ca="1" si="0"/>
        <v>0</v>
      </c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</row>
    <row r="127" spans="1:25" ht="14.4">
      <c r="A127" s="99">
        <v>512367</v>
      </c>
      <c r="B127" s="98" t="s">
        <v>5452</v>
      </c>
      <c r="C127" s="101"/>
      <c r="D127" s="101"/>
      <c r="E127" s="101">
        <f ca="1">IFERROR(__xludf.DUMMYFUNCTION("GOOGLEFINANCE(""BOM:""&amp;A127,""PRICE"")"),11.52)</f>
        <v>11.52</v>
      </c>
      <c r="F127" s="112"/>
      <c r="G127" s="95">
        <f t="shared" ca="1" si="0"/>
        <v>0</v>
      </c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</row>
    <row r="128" spans="1:25" ht="14.4">
      <c r="A128" s="99">
        <v>512291</v>
      </c>
      <c r="B128" s="98" t="s">
        <v>5453</v>
      </c>
      <c r="C128" s="101"/>
      <c r="D128" s="101"/>
      <c r="E128" s="101">
        <f ca="1">IFERROR(__xludf.DUMMYFUNCTION("GOOGLEFINANCE(""BOM:""&amp;A128,""PRICE"")"),9.5)</f>
        <v>9.5</v>
      </c>
      <c r="F128" s="112"/>
      <c r="G128" s="95">
        <f t="shared" ca="1" si="0"/>
        <v>0</v>
      </c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</row>
    <row r="129" spans="1:25" ht="13.2">
      <c r="A129" s="101"/>
      <c r="B129" s="101"/>
      <c r="C129" s="101"/>
      <c r="D129" s="101"/>
      <c r="E129" s="101"/>
      <c r="F129" s="112"/>
      <c r="G129" s="95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</row>
    <row r="130" spans="1:25" ht="13.2">
      <c r="A130" s="101"/>
      <c r="B130" s="101"/>
      <c r="C130" s="101"/>
      <c r="D130" s="101"/>
      <c r="E130" s="101"/>
      <c r="F130" s="112">
        <f ca="1">SUM(F2:F128)</f>
        <v>57027.434546300006</v>
      </c>
      <c r="G130" s="95">
        <f ca="1">F130/$F$130</f>
        <v>1</v>
      </c>
      <c r="H130" s="101">
        <f t="shared" ref="H130:O130" si="1">SUM(H2:H128)</f>
        <v>3756</v>
      </c>
      <c r="I130" s="101">
        <f t="shared" si="1"/>
        <v>3349</v>
      </c>
      <c r="J130" s="101">
        <f t="shared" si="1"/>
        <v>766</v>
      </c>
      <c r="K130" s="101">
        <f t="shared" si="1"/>
        <v>684</v>
      </c>
      <c r="L130" s="101">
        <f t="shared" si="1"/>
        <v>1109</v>
      </c>
      <c r="M130" s="101">
        <f t="shared" si="1"/>
        <v>943</v>
      </c>
      <c r="N130" s="101">
        <f t="shared" si="1"/>
        <v>241</v>
      </c>
      <c r="O130" s="101">
        <f t="shared" si="1"/>
        <v>225</v>
      </c>
      <c r="P130" s="95">
        <f t="shared" ref="P130:Q130" si="2">J130/H130</f>
        <v>0.20394036208732694</v>
      </c>
      <c r="Q130" s="95">
        <f t="shared" si="2"/>
        <v>0.20424007166318303</v>
      </c>
      <c r="R130" s="95">
        <f>P130-Q130</f>
        <v>-2.9970957585609415E-4</v>
      </c>
      <c r="S130" s="95">
        <f t="shared" ref="S130:T130" si="3">N130/L130</f>
        <v>0.21731289449954913</v>
      </c>
      <c r="T130" s="95">
        <f t="shared" si="3"/>
        <v>0.23860021208907742</v>
      </c>
      <c r="U130" s="95">
        <f>S130-T130</f>
        <v>-2.1287317589528287E-2</v>
      </c>
      <c r="V130" s="95">
        <f>(H130/I130)-1</f>
        <v>0.12152881457151388</v>
      </c>
      <c r="W130" s="95">
        <f>(J130/K130)-1</f>
        <v>0.11988304093567259</v>
      </c>
      <c r="X130" s="95">
        <f>(L130/M130)-1</f>
        <v>0.176033934252386</v>
      </c>
      <c r="Y130" s="95">
        <f>(N130/O130)-1</f>
        <v>7.1111111111111125E-2</v>
      </c>
    </row>
    <row r="131" spans="1:25" ht="13.2">
      <c r="F131" s="94"/>
    </row>
    <row r="132" spans="1:25" ht="13.2">
      <c r="F132" s="94"/>
    </row>
    <row r="133" spans="1:25" ht="13.2">
      <c r="F133" s="94"/>
    </row>
    <row r="134" spans="1:25" ht="13.2">
      <c r="F134" s="94"/>
    </row>
    <row r="135" spans="1:25" ht="13.2">
      <c r="F135" s="94"/>
    </row>
    <row r="136" spans="1:25" ht="13.2">
      <c r="F136" s="94"/>
    </row>
    <row r="137" spans="1:25" ht="13.2">
      <c r="F137" s="94"/>
    </row>
    <row r="138" spans="1:25" ht="13.2">
      <c r="F138" s="94"/>
    </row>
    <row r="139" spans="1:25" ht="13.2">
      <c r="F139" s="94"/>
    </row>
    <row r="140" spans="1:25" ht="13.2">
      <c r="F140" s="94"/>
    </row>
    <row r="141" spans="1:25" ht="13.2">
      <c r="F141" s="94"/>
    </row>
    <row r="142" spans="1:25" ht="13.2">
      <c r="F142" s="94"/>
    </row>
    <row r="143" spans="1:25" ht="13.2">
      <c r="F143" s="94"/>
    </row>
    <row r="144" spans="1:25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28" xr:uid="{00000000-0009-0000-0000-0000A9000000}"/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532174</v>
      </c>
      <c r="B2" s="98" t="s">
        <v>5454</v>
      </c>
      <c r="C2" s="101" t="str">
        <f>VLOOKUP(A2,'BSE ALL CAP'!$B$4:$Y$1038,2,)</f>
        <v>Financial Services</v>
      </c>
      <c r="D2" s="101" t="str">
        <f>VLOOKUP(A2,'BSE ALL CAP'!$B$4:$Y$1038,3,)</f>
        <v>Private Sector Bank</v>
      </c>
      <c r="E2" s="101">
        <f ca="1">IFERROR(__xludf.DUMMYFUNCTION("GOOGLEFINANCE(""BOM:""&amp;A2,""PRICE"")"),1229.8)</f>
        <v>1229.8</v>
      </c>
      <c r="F2" s="112">
        <f ca="1">IFERROR(__xludf.DUMMYFUNCTION("GOOGLEFINANCE(""BOM:""&amp;A2,""MARKETCAP"")/10000000"),876826.4749053)</f>
        <v>876826.47490529995</v>
      </c>
      <c r="G2" s="95">
        <f t="shared" ref="G2:G21" ca="1" si="0">F2/$F$23</f>
        <v>0.26981269075332998</v>
      </c>
      <c r="H2" s="101">
        <f>VLOOKUP(A2,'BSE ALL CAP'!$B$4:$Y$1038,7,)</f>
        <v>227504</v>
      </c>
      <c r="I2" s="101">
        <f>VLOOKUP(A2,'BSE ALL CAP'!$B$4:$Y$1038,8,)</f>
        <v>214839</v>
      </c>
      <c r="J2" s="101">
        <f>VLOOKUP(A2,'BSE ALL CAP'!$B$4:$Y$1038,9,)</f>
        <v>39452</v>
      </c>
      <c r="K2" s="101">
        <f>VLOOKUP(A2,'BSE ALL CAP'!$B$4:$Y$1038,10,)</f>
        <v>37526</v>
      </c>
      <c r="L2" s="101">
        <f>VLOOKUP(A2,'BSE ALL CAP'!$B$4:$Y$1038,11,)</f>
        <v>76782</v>
      </c>
      <c r="M2" s="101">
        <f>VLOOKUP(A2,'BSE ALL CAP'!$B$4:$Y$1038,12,)</f>
        <v>74626</v>
      </c>
      <c r="N2" s="101">
        <f>VLOOKUP(A2,'BSE ALL CAP'!$B$4:$Y$1038,13,)</f>
        <v>12539</v>
      </c>
      <c r="O2" s="101">
        <f>VLOOKUP(A2,'BSE ALL CAP'!$B$4:$Y$1038,14,)</f>
        <v>12883</v>
      </c>
      <c r="P2" s="95">
        <f>VLOOKUP(A2,'BSE ALL CAP'!$B$4:$Y$1038,15,)</f>
        <v>0.17341233560728603</v>
      </c>
      <c r="Q2" s="95">
        <f>VLOOKUP(A2,'BSE ALL CAP'!$B$4:$Y$1038,16,)</f>
        <v>0.17467033452957798</v>
      </c>
      <c r="R2" s="95">
        <f>VLOOKUP(A2,'BSE ALL CAP'!$B$4:$Y$1038,17,)</f>
        <v>-1.2579989222919474E-3</v>
      </c>
      <c r="S2" s="95">
        <f>VLOOKUP(A2,'BSE ALL CAP'!$B$4:$Y$1038,18,)</f>
        <v>0.16330650412857181</v>
      </c>
      <c r="T2" s="95">
        <f>VLOOKUP(A2,'BSE ALL CAP'!$B$4:$Y$1038,19,)</f>
        <v>0.17263420255674966</v>
      </c>
      <c r="U2" s="95">
        <f>VLOOKUP(A2,'BSE ALL CAP'!$B$4:$Y$1038,20,)</f>
        <v>-9.3276984281778497E-3</v>
      </c>
      <c r="V2" s="95">
        <f>VLOOKUP(A2,'BSE ALL CAP'!$B$4:$Y$1038,21,)</f>
        <v>5.8951121537523354E-2</v>
      </c>
      <c r="W2" s="95">
        <f>VLOOKUP(A2,'BSE ALL CAP'!$B$4:$Y$1038,22,)</f>
        <v>5.1324415072216523E-2</v>
      </c>
      <c r="X2" s="95">
        <f>VLOOKUP(A2,'BSE ALL CAP'!$B$4:$Y$1038,23,)</f>
        <v>2.8890735132527601E-2</v>
      </c>
      <c r="Y2" s="95">
        <f>VLOOKUP(A2,'BSE ALL CAP'!$B$4:$Y$1038,24,)</f>
        <v>-2.6701855157960086E-2</v>
      </c>
    </row>
    <row r="3" spans="1:25" ht="15.75" customHeight="1">
      <c r="A3" s="99">
        <v>500180</v>
      </c>
      <c r="B3" s="98" t="s">
        <v>73</v>
      </c>
      <c r="C3" s="101" t="str">
        <f>VLOOKUP(A3,'BSE ALL CAP'!$B$4:$Y$1038,2,)</f>
        <v>Financial Services</v>
      </c>
      <c r="D3" s="101" t="str">
        <f>VLOOKUP(A3,'BSE ALL CAP'!$B$4:$Y$1038,3,)</f>
        <v>Private Sector Bank</v>
      </c>
      <c r="E3" s="101">
        <f ca="1">IFERROR(__xludf.DUMMYFUNCTION("GOOGLEFINANCE(""BOM:""&amp;A3,""PRICE"")"),768.6)</f>
        <v>768.6</v>
      </c>
      <c r="F3" s="112">
        <f ca="1">IFERROR(__xludf.DUMMYFUNCTION("GOOGLEFINANCE(""BOM:""&amp;A3,""MARKETCAP"")/10000000"),1183202.9674812)</f>
        <v>1183202.9674811999</v>
      </c>
      <c r="G3" s="95">
        <f t="shared" ca="1" si="0"/>
        <v>0.36408934435733892</v>
      </c>
      <c r="H3" s="101">
        <f>VLOOKUP(A3,'BSE ALL CAP'!$B$4:$Y$1038,7,)</f>
        <v>378542</v>
      </c>
      <c r="I3" s="101">
        <f>VLOOKUP(A3,'BSE ALL CAP'!$B$4:$Y$1038,8,)</f>
        <v>350647</v>
      </c>
      <c r="J3" s="101">
        <f>VLOOKUP(A3,'BSE ALL CAP'!$B$4:$Y$1038,9,)</f>
        <v>55675</v>
      </c>
      <c r="K3" s="101">
        <f>VLOOKUP(A3,'BSE ALL CAP'!$B$4:$Y$1038,10,)</f>
        <v>51957</v>
      </c>
      <c r="L3" s="101">
        <f>VLOOKUP(A3,'BSE ALL CAP'!$B$4:$Y$1038,11,)</f>
        <v>126927</v>
      </c>
      <c r="M3" s="101">
        <f>VLOOKUP(A3,'BSE ALL CAP'!$B$4:$Y$1038,12,)</f>
        <v>112193</v>
      </c>
      <c r="N3" s="101">
        <f>VLOOKUP(A3,'BSE ALL CAP'!$B$4:$Y$1038,13,)</f>
        <v>19807</v>
      </c>
      <c r="O3" s="101">
        <f>VLOOKUP(A3,'BSE ALL CAP'!$B$4:$Y$1038,14,)</f>
        <v>17657</v>
      </c>
      <c r="P3" s="95">
        <f>VLOOKUP(A3,'BSE ALL CAP'!$B$4:$Y$1038,15,)</f>
        <v>0.14707747092792875</v>
      </c>
      <c r="Q3" s="95">
        <f>VLOOKUP(A3,'BSE ALL CAP'!$B$4:$Y$1038,16,)</f>
        <v>0.1481746599856836</v>
      </c>
      <c r="R3" s="95">
        <f>VLOOKUP(A3,'BSE ALL CAP'!$B$4:$Y$1038,17,)</f>
        <v>-1.0971890577548549E-3</v>
      </c>
      <c r="S3" s="95">
        <f>VLOOKUP(A3,'BSE ALL CAP'!$B$4:$Y$1038,18,)</f>
        <v>0.1560503281413726</v>
      </c>
      <c r="T3" s="95">
        <f>VLOOKUP(A3,'BSE ALL CAP'!$B$4:$Y$1038,19,)</f>
        <v>0.15738058524150347</v>
      </c>
      <c r="U3" s="95">
        <f>VLOOKUP(A3,'BSE ALL CAP'!$B$4:$Y$1038,20,)</f>
        <v>-1.3302571001308772E-3</v>
      </c>
      <c r="V3" s="95">
        <f>VLOOKUP(A3,'BSE ALL CAP'!$B$4:$Y$1038,21,)</f>
        <v>7.9552940706750563E-2</v>
      </c>
      <c r="W3" s="95">
        <f>VLOOKUP(A3,'BSE ALL CAP'!$B$4:$Y$1038,22,)</f>
        <v>7.1559173932290054E-2</v>
      </c>
      <c r="X3" s="95">
        <f>VLOOKUP(A3,'BSE ALL CAP'!$B$4:$Y$1038,23,)</f>
        <v>0.1313272664069951</v>
      </c>
      <c r="Y3" s="95">
        <f>VLOOKUP(A3,'BSE ALL CAP'!$B$4:$Y$1038,24,)</f>
        <v>0.12176473919691899</v>
      </c>
    </row>
    <row r="4" spans="1:25" ht="15.75" customHeight="1">
      <c r="A4" s="99">
        <v>532215</v>
      </c>
      <c r="B4" s="98" t="s">
        <v>5455</v>
      </c>
      <c r="C4" s="101" t="str">
        <f>VLOOKUP(A4,'BSE ALL CAP'!$B$4:$Y$1038,2,)</f>
        <v>Financial Services</v>
      </c>
      <c r="D4" s="101" t="str">
        <f>VLOOKUP(A4,'BSE ALL CAP'!$B$4:$Y$1038,3,)</f>
        <v>Private Sector Bank</v>
      </c>
      <c r="E4" s="101">
        <f ca="1">IFERROR(__xludf.DUMMYFUNCTION("GOOGLEFINANCE(""BOM:""&amp;A4,""PRICE"")"),1244.4)</f>
        <v>1244.4000000000001</v>
      </c>
      <c r="F4" s="112">
        <f ca="1">IFERROR(__xludf.DUMMYFUNCTION("GOOGLEFINANCE(""BOM:""&amp;A4,""MARKETCAP"")/10000000"),385677.5464597)</f>
        <v>385677.54645969998</v>
      </c>
      <c r="G4" s="95">
        <f t="shared" ca="1" si="0"/>
        <v>0.11867878029649251</v>
      </c>
      <c r="H4" s="101">
        <f>VLOOKUP(A4,'BSE ALL CAP'!$B$4:$Y$1038,7,)</f>
        <v>121069</v>
      </c>
      <c r="I4" s="101">
        <f>VLOOKUP(A4,'BSE ALL CAP'!$B$4:$Y$1038,8,)</f>
        <v>115958</v>
      </c>
      <c r="J4" s="101">
        <f>VLOOKUP(A4,'BSE ALL CAP'!$B$4:$Y$1038,9,)</f>
        <v>18862</v>
      </c>
      <c r="K4" s="101">
        <f>VLOOKUP(A4,'BSE ALL CAP'!$B$4:$Y$1038,10,)</f>
        <v>20622</v>
      </c>
      <c r="L4" s="101">
        <f>VLOOKUP(A4,'BSE ALL CAP'!$B$4:$Y$1038,11,)</f>
        <v>40898</v>
      </c>
      <c r="M4" s="101">
        <f>VLOOKUP(A4,'BSE ALL CAP'!$B$4:$Y$1038,12,)</f>
        <v>38959</v>
      </c>
      <c r="N4" s="101">
        <f>VLOOKUP(A4,'BSE ALL CAP'!$B$4:$Y$1038,13,)</f>
        <v>7044</v>
      </c>
      <c r="O4" s="101">
        <f>VLOOKUP(A4,'BSE ALL CAP'!$B$4:$Y$1038,14,)</f>
        <v>6763</v>
      </c>
      <c r="P4" s="95">
        <f>VLOOKUP(A4,'BSE ALL CAP'!$B$4:$Y$1038,15,)</f>
        <v>0.15579545548406282</v>
      </c>
      <c r="Q4" s="95">
        <f>VLOOKUP(A4,'BSE ALL CAP'!$B$4:$Y$1038,16,)</f>
        <v>0.1778402525052174</v>
      </c>
      <c r="R4" s="95">
        <f>VLOOKUP(A4,'BSE ALL CAP'!$B$4:$Y$1038,17,)</f>
        <v>-2.2044797021154583E-2</v>
      </c>
      <c r="S4" s="95">
        <f>VLOOKUP(A4,'BSE ALL CAP'!$B$4:$Y$1038,18,)</f>
        <v>0.17223336104454987</v>
      </c>
      <c r="T4" s="95">
        <f>VLOOKUP(A4,'BSE ALL CAP'!$B$4:$Y$1038,19,)</f>
        <v>0.17359275135398752</v>
      </c>
      <c r="U4" s="95">
        <f>VLOOKUP(A4,'BSE ALL CAP'!$B$4:$Y$1038,20,)</f>
        <v>-1.359390309437658E-3</v>
      </c>
      <c r="V4" s="95">
        <f>VLOOKUP(A4,'BSE ALL CAP'!$B$4:$Y$1038,21,)</f>
        <v>4.4076303489194446E-2</v>
      </c>
      <c r="W4" s="95">
        <f>VLOOKUP(A4,'BSE ALL CAP'!$B$4:$Y$1038,22,)</f>
        <v>-8.5345747260207494E-2</v>
      </c>
      <c r="X4" s="95">
        <f>VLOOKUP(A4,'BSE ALL CAP'!$B$4:$Y$1038,23,)</f>
        <v>4.97702713108652E-2</v>
      </c>
      <c r="Y4" s="95">
        <f>VLOOKUP(A4,'BSE ALL CAP'!$B$4:$Y$1038,24,)</f>
        <v>4.1549608162058327E-2</v>
      </c>
    </row>
    <row r="5" spans="1:25" ht="15.75" customHeight="1">
      <c r="A5" s="99">
        <v>500116</v>
      </c>
      <c r="B5" s="98" t="s">
        <v>5456</v>
      </c>
      <c r="C5" s="101" t="str">
        <f>VLOOKUP(A5,'BSE ALL CAP'!$B$4:$Y$1038,2,)</f>
        <v>Financial Services</v>
      </c>
      <c r="D5" s="101" t="str">
        <f>VLOOKUP(A5,'BSE ALL CAP'!$B$4:$Y$1038,3,)</f>
        <v>Private Sector Bank</v>
      </c>
      <c r="E5" s="101">
        <f ca="1">IFERROR(__xludf.DUMMYFUNCTION("GOOGLEFINANCE(""BOM:""&amp;A5,""PRICE"")"),69.81)</f>
        <v>69.81</v>
      </c>
      <c r="F5" s="112">
        <f ca="1">IFERROR(__xludf.DUMMYFUNCTION("GOOGLEFINANCE(""BOM:""&amp;A5,""MARKETCAP"")/10000000"),74987.235303)</f>
        <v>74987.235302999994</v>
      </c>
      <c r="G5" s="95">
        <f t="shared" ca="1" si="0"/>
        <v>2.307469985032181E-2</v>
      </c>
      <c r="H5" s="101">
        <f>VLOOKUP(A5,'BSE ALL CAP'!$B$4:$Y$1038,7,)</f>
        <v>26113</v>
      </c>
      <c r="I5" s="101">
        <f>VLOOKUP(A5,'BSE ALL CAP'!$B$4:$Y$1038,8,)</f>
        <v>24968</v>
      </c>
      <c r="J5" s="101">
        <f>VLOOKUP(A5,'BSE ALL CAP'!$B$4:$Y$1038,9,)</f>
        <v>7224</v>
      </c>
      <c r="K5" s="101">
        <f>VLOOKUP(A5,'BSE ALL CAP'!$B$4:$Y$1038,10,)</f>
        <v>5516</v>
      </c>
      <c r="L5" s="101">
        <f>VLOOKUP(A5,'BSE ALL CAP'!$B$4:$Y$1038,11,)</f>
        <v>8351</v>
      </c>
      <c r="M5" s="101">
        <f>VLOOKUP(A5,'BSE ALL CAP'!$B$4:$Y$1038,12,)</f>
        <v>8628</v>
      </c>
      <c r="N5" s="101">
        <f>VLOOKUP(A5,'BSE ALL CAP'!$B$4:$Y$1038,13,)</f>
        <v>1959</v>
      </c>
      <c r="O5" s="101">
        <f>VLOOKUP(A5,'BSE ALL CAP'!$B$4:$Y$1038,14,)</f>
        <v>1929</v>
      </c>
      <c r="P5" s="95">
        <f>VLOOKUP(A5,'BSE ALL CAP'!$B$4:$Y$1038,15,)</f>
        <v>0.27664381725577297</v>
      </c>
      <c r="Q5" s="95">
        <f>VLOOKUP(A5,'BSE ALL CAP'!$B$4:$Y$1038,16,)</f>
        <v>0.22092278115988465</v>
      </c>
      <c r="R5" s="95">
        <f>VLOOKUP(A5,'BSE ALL CAP'!$B$4:$Y$1038,17,)</f>
        <v>5.5721036095888327E-2</v>
      </c>
      <c r="S5" s="95">
        <f>VLOOKUP(A5,'BSE ALL CAP'!$B$4:$Y$1038,18,)</f>
        <v>0.23458268470841814</v>
      </c>
      <c r="T5" s="95">
        <f>VLOOKUP(A5,'BSE ALL CAP'!$B$4:$Y$1038,19,)</f>
        <v>0.22357440890125174</v>
      </c>
      <c r="U5" s="95">
        <f>VLOOKUP(A5,'BSE ALL CAP'!$B$4:$Y$1038,20,)</f>
        <v>1.1008275807166401E-2</v>
      </c>
      <c r="V5" s="95">
        <f>VLOOKUP(A5,'BSE ALL CAP'!$B$4:$Y$1038,21,)</f>
        <v>4.58586991348926E-2</v>
      </c>
      <c r="W5" s="95">
        <f>VLOOKUP(A5,'BSE ALL CAP'!$B$4:$Y$1038,22,)</f>
        <v>0.30964467005076135</v>
      </c>
      <c r="X5" s="95">
        <f>VLOOKUP(A5,'BSE ALL CAP'!$B$4:$Y$1038,23,)</f>
        <v>-3.2104775150672227E-2</v>
      </c>
      <c r="Y5" s="95">
        <f>VLOOKUP(A5,'BSE ALL CAP'!$B$4:$Y$1038,24,)</f>
        <v>1.5552099533437058E-2</v>
      </c>
    </row>
    <row r="6" spans="1:25" ht="15.75" customHeight="1">
      <c r="A6" s="99">
        <v>500247</v>
      </c>
      <c r="B6" s="98" t="s">
        <v>5457</v>
      </c>
      <c r="C6" s="101" t="str">
        <f>VLOOKUP(A6,'BSE ALL CAP'!$B$4:$Y$1038,2,)</f>
        <v>Financial Services</v>
      </c>
      <c r="D6" s="101" t="str">
        <f>VLOOKUP(A6,'BSE ALL CAP'!$B$4:$Y$1038,3,)</f>
        <v>Private Sector Bank</v>
      </c>
      <c r="E6" s="101">
        <f ca="1">IFERROR(__xludf.DUMMYFUNCTION("GOOGLEFINANCE(""BOM:""&amp;A6,""PRICE"")"),359.9)</f>
        <v>359.9</v>
      </c>
      <c r="F6" s="112">
        <f ca="1">IFERROR(__xludf.DUMMYFUNCTION("GOOGLEFINANCE(""BOM:""&amp;A6,""MARKETCAP"")/10000000"),357873.8345383)</f>
        <v>357873.8345383</v>
      </c>
      <c r="G6" s="95">
        <f t="shared" ca="1" si="0"/>
        <v>0.11012316006701256</v>
      </c>
      <c r="H6" s="101">
        <f>VLOOKUP(A6,'BSE ALL CAP'!$B$4:$Y$1038,7,)</f>
        <v>79456</v>
      </c>
      <c r="I6" s="101">
        <f>VLOOKUP(A6,'BSE ALL CAP'!$B$4:$Y$1038,8,)</f>
        <v>75901</v>
      </c>
      <c r="J6" s="101">
        <f>VLOOKUP(A6,'BSE ALL CAP'!$B$4:$Y$1038,9,)</f>
        <v>13864</v>
      </c>
      <c r="K6" s="101">
        <f>VLOOKUP(A6,'BSE ALL CAP'!$B$4:$Y$1038,10,)</f>
        <v>17193</v>
      </c>
      <c r="L6" s="101">
        <f>VLOOKUP(A6,'BSE ALL CAP'!$B$4:$Y$1038,11,)</f>
        <v>27850</v>
      </c>
      <c r="M6" s="101">
        <f>VLOOKUP(A6,'BSE ALL CAP'!$B$4:$Y$1038,12,)</f>
        <v>23945</v>
      </c>
      <c r="N6" s="101">
        <f>VLOOKUP(A6,'BSE ALL CAP'!$B$4:$Y$1038,13,)</f>
        <v>4924</v>
      </c>
      <c r="O6" s="101">
        <f>VLOOKUP(A6,'BSE ALL CAP'!$B$4:$Y$1038,14,)</f>
        <v>4701</v>
      </c>
      <c r="P6" s="95">
        <f>VLOOKUP(A6,'BSE ALL CAP'!$B$4:$Y$1038,15,)</f>
        <v>0.17448650825614176</v>
      </c>
      <c r="Q6" s="95">
        <f>VLOOKUP(A6,'BSE ALL CAP'!$B$4:$Y$1038,16,)</f>
        <v>0.22651875469361404</v>
      </c>
      <c r="R6" s="95">
        <f>VLOOKUP(A6,'BSE ALL CAP'!$B$4:$Y$1038,17,)</f>
        <v>-5.2032246437472285E-2</v>
      </c>
      <c r="S6" s="95">
        <f>VLOOKUP(A6,'BSE ALL CAP'!$B$4:$Y$1038,18,)</f>
        <v>0.17680430879712747</v>
      </c>
      <c r="T6" s="95">
        <f>VLOOKUP(A6,'BSE ALL CAP'!$B$4:$Y$1038,19,)</f>
        <v>0.19632491125495929</v>
      </c>
      <c r="U6" s="95">
        <f>VLOOKUP(A6,'BSE ALL CAP'!$B$4:$Y$1038,20,)</f>
        <v>-1.9520602457831826E-2</v>
      </c>
      <c r="V6" s="95">
        <f>VLOOKUP(A6,'BSE ALL CAP'!$B$4:$Y$1038,21,)</f>
        <v>4.6837327571441767E-2</v>
      </c>
      <c r="W6" s="95">
        <f>VLOOKUP(A6,'BSE ALL CAP'!$B$4:$Y$1038,22,)</f>
        <v>-0.19362531262723204</v>
      </c>
      <c r="X6" s="95">
        <f>VLOOKUP(A6,'BSE ALL CAP'!$B$4:$Y$1038,23,)</f>
        <v>0.16308206306118178</v>
      </c>
      <c r="Y6" s="95">
        <f>VLOOKUP(A6,'BSE ALL CAP'!$B$4:$Y$1038,24,)</f>
        <v>4.7436715592427126E-2</v>
      </c>
    </row>
    <row r="7" spans="1:25" ht="15.75" customHeight="1">
      <c r="A7" s="99">
        <v>532187</v>
      </c>
      <c r="B7" s="98" t="s">
        <v>5458</v>
      </c>
      <c r="C7" s="101" t="str">
        <f>VLOOKUP(A7,'BSE ALL CAP'!$B$4:$Y$1038,2,)</f>
        <v>Financial Services</v>
      </c>
      <c r="D7" s="101" t="str">
        <f>VLOOKUP(A7,'BSE ALL CAP'!$B$4:$Y$1038,3,)</f>
        <v>Private Sector Bank</v>
      </c>
      <c r="E7" s="101">
        <f ca="1">IFERROR(__xludf.DUMMYFUNCTION("GOOGLEFINANCE(""BOM:""&amp;A7,""PRICE"")"),784.4)</f>
        <v>784.4</v>
      </c>
      <c r="F7" s="112">
        <f ca="1">IFERROR(__xludf.DUMMYFUNCTION("GOOGLEFINANCE(""BOM:""&amp;A7,""MARKETCAP"")/10000000"),61083.4811291)</f>
        <v>61083.481129100001</v>
      </c>
      <c r="G7" s="95">
        <f t="shared" ca="1" si="0"/>
        <v>1.8796305626837668E-2</v>
      </c>
      <c r="H7" s="101">
        <f>VLOOKUP(A7,'BSE ALL CAP'!$B$4:$Y$1038,7,)</f>
        <v>40760</v>
      </c>
      <c r="I7" s="101">
        <f>VLOOKUP(A7,'BSE ALL CAP'!$B$4:$Y$1038,8,)</f>
        <v>45015</v>
      </c>
      <c r="J7" s="101">
        <f>VLOOKUP(A7,'BSE ALL CAP'!$B$4:$Y$1038,9,)</f>
        <v>295</v>
      </c>
      <c r="K7" s="101">
        <f>VLOOKUP(A7,'BSE ALL CAP'!$B$4:$Y$1038,10,)</f>
        <v>4904</v>
      </c>
      <c r="L7" s="101">
        <f>VLOOKUP(A7,'BSE ALL CAP'!$B$4:$Y$1038,11,)</f>
        <v>13080</v>
      </c>
      <c r="M7" s="101">
        <f>VLOOKUP(A7,'BSE ALL CAP'!$B$4:$Y$1038,12,)</f>
        <v>15155</v>
      </c>
      <c r="N7" s="101">
        <f>VLOOKUP(A7,'BSE ALL CAP'!$B$4:$Y$1038,13,)</f>
        <v>127</v>
      </c>
      <c r="O7" s="101">
        <f>VLOOKUP(A7,'BSE ALL CAP'!$B$4:$Y$1038,14,)</f>
        <v>1402</v>
      </c>
      <c r="P7" s="95">
        <f>VLOOKUP(A7,'BSE ALL CAP'!$B$4:$Y$1038,15,)</f>
        <v>7.2374877330716389E-3</v>
      </c>
      <c r="Q7" s="95">
        <f>VLOOKUP(A7,'BSE ALL CAP'!$B$4:$Y$1038,16,)</f>
        <v>0.10894146395645896</v>
      </c>
      <c r="R7" s="95">
        <f>VLOOKUP(A7,'BSE ALL CAP'!$B$4:$Y$1038,17,)</f>
        <v>-0.10170397622338731</v>
      </c>
      <c r="S7" s="95">
        <f>VLOOKUP(A7,'BSE ALL CAP'!$B$4:$Y$1038,18,)</f>
        <v>9.709480122324159E-3</v>
      </c>
      <c r="T7" s="95">
        <f>VLOOKUP(A7,'BSE ALL CAP'!$B$4:$Y$1038,19,)</f>
        <v>9.2510722533817216E-2</v>
      </c>
      <c r="U7" s="95">
        <f>VLOOKUP(A7,'BSE ALL CAP'!$B$4:$Y$1038,20,)</f>
        <v>-8.2801242411493059E-2</v>
      </c>
      <c r="V7" s="95">
        <f>VLOOKUP(A7,'BSE ALL CAP'!$B$4:$Y$1038,21,)</f>
        <v>-9.4524047539709E-2</v>
      </c>
      <c r="W7" s="95">
        <f>VLOOKUP(A7,'BSE ALL CAP'!$B$4:$Y$1038,22,)</f>
        <v>-0.93984502446982054</v>
      </c>
      <c r="X7" s="95">
        <f>VLOOKUP(A7,'BSE ALL CAP'!$B$4:$Y$1038,23,)</f>
        <v>-0.13691850874298916</v>
      </c>
      <c r="Y7" s="95">
        <f>VLOOKUP(A7,'BSE ALL CAP'!$B$4:$Y$1038,24,)</f>
        <v>-0.90941512125534951</v>
      </c>
    </row>
    <row r="8" spans="1:25" ht="15.75" customHeight="1">
      <c r="A8" s="99">
        <v>539437</v>
      </c>
      <c r="B8" s="98" t="s">
        <v>5459</v>
      </c>
      <c r="C8" s="101" t="str">
        <f>VLOOKUP(A8,'BSE ALL CAP'!$B$4:$Y$1038,2,)</f>
        <v>Financial Services</v>
      </c>
      <c r="D8" s="101" t="str">
        <f>VLOOKUP(A8,'BSE ALL CAP'!$B$4:$Y$1038,3,)</f>
        <v>Private Sector Bank</v>
      </c>
      <c r="E8" s="101">
        <f ca="1">IFERROR(__xludf.DUMMYFUNCTION("GOOGLEFINANCE(""BOM:""&amp;A8,""PRICE"")"),60.59)</f>
        <v>60.59</v>
      </c>
      <c r="F8" s="112">
        <f ca="1">IFERROR(__xludf.DUMMYFUNCTION("GOOGLEFINANCE(""BOM:""&amp;A8,""MARKETCAP"")/10000000"),44367.6404628)</f>
        <v>44367.640462800002</v>
      </c>
      <c r="G8" s="95">
        <f t="shared" ca="1" si="0"/>
        <v>1.3652590105627556E-2</v>
      </c>
      <c r="H8" s="101">
        <f>VLOOKUP(A8,'BSE ALL CAP'!$B$4:$Y$1038,7,)</f>
        <v>36239</v>
      </c>
      <c r="I8" s="101">
        <f>VLOOKUP(A8,'BSE ALL CAP'!$B$4:$Y$1038,8,)</f>
        <v>32169</v>
      </c>
      <c r="J8" s="101">
        <f>VLOOKUP(A8,'BSE ALL CAP'!$B$4:$Y$1038,9,)</f>
        <v>1279</v>
      </c>
      <c r="K8" s="101">
        <f>VLOOKUP(A8,'BSE ALL CAP'!$B$4:$Y$1038,10,)</f>
        <v>1194</v>
      </c>
      <c r="L8" s="101">
        <f>VLOOKUP(A8,'BSE ALL CAP'!$B$4:$Y$1038,11,)</f>
        <v>12541</v>
      </c>
      <c r="M8" s="101">
        <f>VLOOKUP(A8,'BSE ALL CAP'!$B$4:$Y$1038,12,)</f>
        <v>11122</v>
      </c>
      <c r="N8" s="101">
        <f>VLOOKUP(A8,'BSE ALL CAP'!$B$4:$Y$1038,13,)</f>
        <v>478</v>
      </c>
      <c r="O8" s="101">
        <f>VLOOKUP(A8,'BSE ALL CAP'!$B$4:$Y$1038,14,)</f>
        <v>340</v>
      </c>
      <c r="P8" s="95">
        <f>VLOOKUP(A8,'BSE ALL CAP'!$B$4:$Y$1038,15,)</f>
        <v>3.5293468362813545E-2</v>
      </c>
      <c r="Q8" s="95">
        <f>VLOOKUP(A8,'BSE ALL CAP'!$B$4:$Y$1038,16,)</f>
        <v>3.7116478597407444E-2</v>
      </c>
      <c r="R8" s="95">
        <f>VLOOKUP(A8,'BSE ALL CAP'!$B$4:$Y$1038,17,)</f>
        <v>-1.8230102345938998E-3</v>
      </c>
      <c r="S8" s="95">
        <f>VLOOKUP(A8,'BSE ALL CAP'!$B$4:$Y$1038,18,)</f>
        <v>3.8114982856231563E-2</v>
      </c>
      <c r="T8" s="95">
        <f>VLOOKUP(A8,'BSE ALL CAP'!$B$4:$Y$1038,19,)</f>
        <v>3.0570041359467722E-2</v>
      </c>
      <c r="U8" s="95">
        <f>VLOOKUP(A8,'BSE ALL CAP'!$B$4:$Y$1038,20,)</f>
        <v>7.5449414967638413E-3</v>
      </c>
      <c r="V8" s="95">
        <f>VLOOKUP(A8,'BSE ALL CAP'!$B$4:$Y$1038,21,)</f>
        <v>0.12651931984208398</v>
      </c>
      <c r="W8" s="95">
        <f>VLOOKUP(A8,'BSE ALL CAP'!$B$4:$Y$1038,22,)</f>
        <v>7.1189279731993294E-2</v>
      </c>
      <c r="X8" s="95">
        <f>VLOOKUP(A8,'BSE ALL CAP'!$B$4:$Y$1038,23,)</f>
        <v>0.12758496673260211</v>
      </c>
      <c r="Y8" s="95">
        <f>VLOOKUP(A8,'BSE ALL CAP'!$B$4:$Y$1038,24,)</f>
        <v>0.40588235294117636</v>
      </c>
    </row>
    <row r="9" spans="1:25" ht="15.75" customHeight="1">
      <c r="A9" s="99">
        <v>500469</v>
      </c>
      <c r="B9" s="98" t="s">
        <v>5460</v>
      </c>
      <c r="C9" s="101" t="str">
        <f>VLOOKUP(A9,'BSE ALL CAP'!$B$4:$Y$1038,2,)</f>
        <v>Financial Services</v>
      </c>
      <c r="D9" s="101" t="str">
        <f>VLOOKUP(A9,'BSE ALL CAP'!$B$4:$Y$1038,3,)</f>
        <v>Private Sector Bank</v>
      </c>
      <c r="E9" s="101">
        <f ca="1">IFERROR(__xludf.DUMMYFUNCTION("GOOGLEFINANCE(""BOM:""&amp;A9,""PRICE"")"),271.05)</f>
        <v>271.05</v>
      </c>
      <c r="F9" s="112">
        <f ca="1">IFERROR(__xludf.DUMMYFUNCTION("GOOGLEFINANCE(""BOM:""&amp;A9,""MARKETCAP"")/10000000"),66755.0681359)</f>
        <v>66755.068135900001</v>
      </c>
      <c r="G9" s="95">
        <f t="shared" ca="1" si="0"/>
        <v>2.0541538229801221E-2</v>
      </c>
      <c r="H9" s="101">
        <f>VLOOKUP(A9,'BSE ALL CAP'!$B$4:$Y$1038,7,)</f>
        <v>25139</v>
      </c>
      <c r="I9" s="101">
        <f>VLOOKUP(A9,'BSE ALL CAP'!$B$4:$Y$1038,8,)</f>
        <v>23874</v>
      </c>
      <c r="J9" s="101">
        <f>VLOOKUP(A9,'BSE ALL CAP'!$B$4:$Y$1038,9,)</f>
        <v>3090</v>
      </c>
      <c r="K9" s="101">
        <f>VLOOKUP(A9,'BSE ALL CAP'!$B$4:$Y$1038,10,)</f>
        <v>3093</v>
      </c>
      <c r="L9" s="101">
        <f>VLOOKUP(A9,'BSE ALL CAP'!$B$4:$Y$1038,11,)</f>
        <v>8503</v>
      </c>
      <c r="M9" s="101">
        <f>VLOOKUP(A9,'BSE ALL CAP'!$B$4:$Y$1038,12,)</f>
        <v>8196</v>
      </c>
      <c r="N9" s="101">
        <f>VLOOKUP(A9,'BSE ALL CAP'!$B$4:$Y$1038,13,)</f>
        <v>1123</v>
      </c>
      <c r="O9" s="101">
        <f>VLOOKUP(A9,'BSE ALL CAP'!$B$4:$Y$1038,14,)</f>
        <v>948</v>
      </c>
      <c r="P9" s="95">
        <f>VLOOKUP(A9,'BSE ALL CAP'!$B$4:$Y$1038,15,)</f>
        <v>0.12291658379410478</v>
      </c>
      <c r="Q9" s="95">
        <f>VLOOKUP(A9,'BSE ALL CAP'!$B$4:$Y$1038,16,)</f>
        <v>0.12955516461422467</v>
      </c>
      <c r="R9" s="95">
        <f>VLOOKUP(A9,'BSE ALL CAP'!$B$4:$Y$1038,17,)</f>
        <v>-6.6385808201198937E-3</v>
      </c>
      <c r="S9" s="95">
        <f>VLOOKUP(A9,'BSE ALL CAP'!$B$4:$Y$1038,18,)</f>
        <v>0.13207103375279314</v>
      </c>
      <c r="T9" s="95">
        <f>VLOOKUP(A9,'BSE ALL CAP'!$B$4:$Y$1038,19,)</f>
        <v>0.11566617862371889</v>
      </c>
      <c r="U9" s="95">
        <f>VLOOKUP(A9,'BSE ALL CAP'!$B$4:$Y$1038,20,)</f>
        <v>1.6404855129074247E-2</v>
      </c>
      <c r="V9" s="95">
        <f>VLOOKUP(A9,'BSE ALL CAP'!$B$4:$Y$1038,21,)</f>
        <v>5.2986512524084706E-2</v>
      </c>
      <c r="W9" s="95">
        <f>VLOOKUP(A9,'BSE ALL CAP'!$B$4:$Y$1038,22,)</f>
        <v>-9.6993210475271319E-4</v>
      </c>
      <c r="X9" s="95">
        <f>VLOOKUP(A9,'BSE ALL CAP'!$B$4:$Y$1038,23,)</f>
        <v>3.7457296242069393E-2</v>
      </c>
      <c r="Y9" s="95">
        <f>VLOOKUP(A9,'BSE ALL CAP'!$B$4:$Y$1038,24,)</f>
        <v>0.18459915611814348</v>
      </c>
    </row>
    <row r="10" spans="1:25" ht="15.75" customHeight="1">
      <c r="A10" s="99">
        <v>532648</v>
      </c>
      <c r="B10" s="98" t="s">
        <v>5461</v>
      </c>
      <c r="C10" s="101" t="str">
        <f>VLOOKUP(A10,'BSE ALL CAP'!$B$4:$Y$1038,2,)</f>
        <v>Financial Services</v>
      </c>
      <c r="D10" s="101" t="str">
        <f>VLOOKUP(A10,'BSE ALL CAP'!$B$4:$Y$1038,3,)</f>
        <v>Private Sector Bank</v>
      </c>
      <c r="E10" s="101">
        <f ca="1">IFERROR(__xludf.DUMMYFUNCTION("GOOGLEFINANCE(""BOM:""&amp;A10,""PRICE"")"),18.08)</f>
        <v>18.079999999999998</v>
      </c>
      <c r="F10" s="112">
        <f ca="1">IFERROR(__xludf.DUMMYFUNCTION("GOOGLEFINANCE(""BOM:""&amp;A10,""MARKETCAP"")/10000000"),56725.6924006)</f>
        <v>56725.692400599997</v>
      </c>
      <c r="G10" s="95">
        <f t="shared" ca="1" si="0"/>
        <v>1.7455348509070316E-2</v>
      </c>
      <c r="H10" s="101">
        <f>VLOOKUP(A10,'BSE ALL CAP'!$B$4:$Y$1038,7,)</f>
        <v>27814</v>
      </c>
      <c r="I10" s="101">
        <f>VLOOKUP(A10,'BSE ALL CAP'!$B$4:$Y$1038,8,)</f>
        <v>27637</v>
      </c>
      <c r="J10" s="101">
        <f>VLOOKUP(A10,'BSE ALL CAP'!$B$4:$Y$1038,9,)</f>
        <v>2429</v>
      </c>
      <c r="K10" s="101">
        <f>VLOOKUP(A10,'BSE ALL CAP'!$B$4:$Y$1038,10,)</f>
        <v>1701</v>
      </c>
      <c r="L10" s="101">
        <f>VLOOKUP(A10,'BSE ALL CAP'!$B$4:$Y$1038,11,)</f>
        <v>9272</v>
      </c>
      <c r="M10" s="101">
        <f>VLOOKUP(A10,'BSE ALL CAP'!$B$4:$Y$1038,12,)</f>
        <v>9416</v>
      </c>
      <c r="N10" s="101">
        <f>VLOOKUP(A10,'BSE ALL CAP'!$B$4:$Y$1038,13,)</f>
        <v>956</v>
      </c>
      <c r="O10" s="101">
        <f>VLOOKUP(A10,'BSE ALL CAP'!$B$4:$Y$1038,14,)</f>
        <v>619</v>
      </c>
      <c r="P10" s="95">
        <f>VLOOKUP(A10,'BSE ALL CAP'!$B$4:$Y$1038,15,)</f>
        <v>8.7330121521535922E-2</v>
      </c>
      <c r="Q10" s="95">
        <f>VLOOKUP(A10,'BSE ALL CAP'!$B$4:$Y$1038,16,)</f>
        <v>6.1547924883308611E-2</v>
      </c>
      <c r="R10" s="95">
        <f>VLOOKUP(A10,'BSE ALL CAP'!$B$4:$Y$1038,17,)</f>
        <v>2.5782196638227312E-2</v>
      </c>
      <c r="S10" s="95">
        <f>VLOOKUP(A10,'BSE ALL CAP'!$B$4:$Y$1038,18,)</f>
        <v>0.10310612597066436</v>
      </c>
      <c r="T10" s="95">
        <f>VLOOKUP(A10,'BSE ALL CAP'!$B$4:$Y$1038,19,)</f>
        <v>6.5739167374681398E-2</v>
      </c>
      <c r="U10" s="95">
        <f>VLOOKUP(A10,'BSE ALL CAP'!$B$4:$Y$1038,20,)</f>
        <v>3.7366958595982963E-2</v>
      </c>
      <c r="V10" s="95">
        <f>VLOOKUP(A10,'BSE ALL CAP'!$B$4:$Y$1038,21,)</f>
        <v>6.4044577920903123E-3</v>
      </c>
      <c r="W10" s="95">
        <f>VLOOKUP(A10,'BSE ALL CAP'!$B$4:$Y$1038,22,)</f>
        <v>0.42798353909465026</v>
      </c>
      <c r="X10" s="95">
        <f>VLOOKUP(A10,'BSE ALL CAP'!$B$4:$Y$1038,23,)</f>
        <v>-1.5293118096856406E-2</v>
      </c>
      <c r="Y10" s="95">
        <f>VLOOKUP(A10,'BSE ALL CAP'!$B$4:$Y$1038,24,)</f>
        <v>0.54442649434571888</v>
      </c>
    </row>
    <row r="11" spans="1:25" ht="15.75" customHeight="1">
      <c r="A11" s="99">
        <v>590003</v>
      </c>
      <c r="B11" s="98" t="s">
        <v>5462</v>
      </c>
      <c r="C11" s="101" t="str">
        <f>VLOOKUP(A11,'BSE ALL CAP'!$B$4:$Y$1038,2,)</f>
        <v>Financial Services</v>
      </c>
      <c r="D11" s="101" t="str">
        <f>VLOOKUP(A11,'BSE ALL CAP'!$B$4:$Y$1038,3,)</f>
        <v>Private Sector Bank</v>
      </c>
      <c r="E11" s="101">
        <f ca="1">IFERROR(__xludf.DUMMYFUNCTION("GOOGLEFINANCE(""BOM:""&amp;A11,""PRICE"")"),269.1)</f>
        <v>269.10000000000002</v>
      </c>
      <c r="F11" s="112">
        <f ca="1">IFERROR(__xludf.DUMMYFUNCTION("GOOGLEFINANCE(""BOM:""&amp;A11,""MARKETCAP"")/10000000"),26002.78278)</f>
        <v>26002.782780000001</v>
      </c>
      <c r="G11" s="95">
        <f t="shared" ca="1" si="0"/>
        <v>8.0014472529514949E-3</v>
      </c>
      <c r="H11" s="101">
        <f>VLOOKUP(A11,'BSE ALL CAP'!$B$4:$Y$1038,7,)</f>
        <v>9639</v>
      </c>
      <c r="I11" s="101">
        <f>VLOOKUP(A11,'BSE ALL CAP'!$B$4:$Y$1038,8,)</f>
        <v>8482</v>
      </c>
      <c r="J11" s="101">
        <f>VLOOKUP(A11,'BSE ALL CAP'!$B$4:$Y$1038,9,)</f>
        <v>1785</v>
      </c>
      <c r="K11" s="101">
        <f>VLOOKUP(A11,'BSE ALL CAP'!$B$4:$Y$1038,10,)</f>
        <v>1428</v>
      </c>
      <c r="L11" s="101">
        <f>VLOOKUP(A11,'BSE ALL CAP'!$B$4:$Y$1038,11,)</f>
        <v>3303</v>
      </c>
      <c r="M11" s="101">
        <f>VLOOKUP(A11,'BSE ALL CAP'!$B$4:$Y$1038,12,)</f>
        <v>2953</v>
      </c>
      <c r="N11" s="101">
        <f>VLOOKUP(A11,'BSE ALL CAP'!$B$4:$Y$1038,13,)</f>
        <v>689</v>
      </c>
      <c r="O11" s="101">
        <f>VLOOKUP(A11,'BSE ALL CAP'!$B$4:$Y$1038,14,)</f>
        <v>496</v>
      </c>
      <c r="P11" s="95">
        <f>VLOOKUP(A11,'BSE ALL CAP'!$B$4:$Y$1038,15,)</f>
        <v>0.18518518518518517</v>
      </c>
      <c r="Q11" s="95">
        <f>VLOOKUP(A11,'BSE ALL CAP'!$B$4:$Y$1038,16,)</f>
        <v>0.16835651968875265</v>
      </c>
      <c r="R11" s="95">
        <f>VLOOKUP(A11,'BSE ALL CAP'!$B$4:$Y$1038,17,)</f>
        <v>1.6828665496432527E-2</v>
      </c>
      <c r="S11" s="95">
        <f>VLOOKUP(A11,'BSE ALL CAP'!$B$4:$Y$1038,18,)</f>
        <v>0.20859824402058735</v>
      </c>
      <c r="T11" s="95">
        <f>VLOOKUP(A11,'BSE ALL CAP'!$B$4:$Y$1038,19,)</f>
        <v>0.16796478157805622</v>
      </c>
      <c r="U11" s="95">
        <f>VLOOKUP(A11,'BSE ALL CAP'!$B$4:$Y$1038,20,)</f>
        <v>4.0633462442531132E-2</v>
      </c>
      <c r="V11" s="95">
        <f>VLOOKUP(A11,'BSE ALL CAP'!$B$4:$Y$1038,21,)</f>
        <v>0.13640650789908038</v>
      </c>
      <c r="W11" s="95">
        <f>VLOOKUP(A11,'BSE ALL CAP'!$B$4:$Y$1038,22,)</f>
        <v>0.25</v>
      </c>
      <c r="X11" s="95">
        <f>VLOOKUP(A11,'BSE ALL CAP'!$B$4:$Y$1038,23,)</f>
        <v>0.11852353538774119</v>
      </c>
      <c r="Y11" s="95">
        <f>VLOOKUP(A11,'BSE ALL CAP'!$B$4:$Y$1038,24,)</f>
        <v>0.38911290322580649</v>
      </c>
    </row>
    <row r="12" spans="1:25" ht="15.75" customHeight="1">
      <c r="A12" s="99">
        <v>541153</v>
      </c>
      <c r="B12" s="98" t="s">
        <v>5463</v>
      </c>
      <c r="C12" s="101" t="str">
        <f>VLOOKUP(A12,'BSE ALL CAP'!$B$4:$Y$1038,2,)</f>
        <v>Financial Services</v>
      </c>
      <c r="D12" s="101" t="str">
        <f>VLOOKUP(A12,'BSE ALL CAP'!$B$4:$Y$1038,3,)</f>
        <v>Private Sector Bank</v>
      </c>
      <c r="E12" s="101">
        <f ca="1">IFERROR(__xludf.DUMMYFUNCTION("GOOGLEFINANCE(""BOM:""&amp;A12,""PRICE"")"),151.2)</f>
        <v>151.19999999999999</v>
      </c>
      <c r="F12" s="112">
        <f ca="1">IFERROR(__xludf.DUMMYFUNCTION("GOOGLEFINANCE(""BOM:""&amp;A12,""MARKETCAP"")/10000000"),24348.6880685)</f>
        <v>24348.6880685</v>
      </c>
      <c r="G12" s="95">
        <f t="shared" ca="1" si="0"/>
        <v>7.4924574383831441E-3</v>
      </c>
      <c r="H12" s="101">
        <f>VLOOKUP(A12,'BSE ALL CAP'!$B$4:$Y$1038,7,)</f>
        <v>18224</v>
      </c>
      <c r="I12" s="101">
        <f>VLOOKUP(A12,'BSE ALL CAP'!$B$4:$Y$1038,8,)</f>
        <v>18781</v>
      </c>
      <c r="J12" s="101">
        <f>VLOOKUP(A12,'BSE ALL CAP'!$B$4:$Y$1038,9,)</f>
        <v>689</v>
      </c>
      <c r="K12" s="101">
        <f>VLOOKUP(A12,'BSE ALL CAP'!$B$4:$Y$1038,10,)</f>
        <v>2427</v>
      </c>
      <c r="L12" s="101">
        <f>VLOOKUP(A12,'BSE ALL CAP'!$B$4:$Y$1038,11,)</f>
        <v>6122</v>
      </c>
      <c r="M12" s="101">
        <f>VLOOKUP(A12,'BSE ALL CAP'!$B$4:$Y$1038,12,)</f>
        <v>6590</v>
      </c>
      <c r="N12" s="101">
        <f>VLOOKUP(A12,'BSE ALL CAP'!$B$4:$Y$1038,13,)</f>
        <v>205</v>
      </c>
      <c r="O12" s="101">
        <f>VLOOKUP(A12,'BSE ALL CAP'!$B$4:$Y$1038,14,)</f>
        <v>426</v>
      </c>
      <c r="P12" s="95">
        <f>VLOOKUP(A12,'BSE ALL CAP'!$B$4:$Y$1038,15,)</f>
        <v>3.7807287093942057E-2</v>
      </c>
      <c r="Q12" s="95">
        <f>VLOOKUP(A12,'BSE ALL CAP'!$B$4:$Y$1038,16,)</f>
        <v>0.12922634577498535</v>
      </c>
      <c r="R12" s="95">
        <f>VLOOKUP(A12,'BSE ALL CAP'!$B$4:$Y$1038,17,)</f>
        <v>-9.1419058681043289E-2</v>
      </c>
      <c r="S12" s="95">
        <f>VLOOKUP(A12,'BSE ALL CAP'!$B$4:$Y$1038,18,)</f>
        <v>3.3485788957856907E-2</v>
      </c>
      <c r="T12" s="95">
        <f>VLOOKUP(A12,'BSE ALL CAP'!$B$4:$Y$1038,19,)</f>
        <v>6.4643399089529596E-2</v>
      </c>
      <c r="U12" s="95">
        <f>VLOOKUP(A12,'BSE ALL CAP'!$B$4:$Y$1038,20,)</f>
        <v>-3.1157610131672689E-2</v>
      </c>
      <c r="V12" s="95">
        <f>VLOOKUP(A12,'BSE ALL CAP'!$B$4:$Y$1038,21,)</f>
        <v>-2.9657632713912974E-2</v>
      </c>
      <c r="W12" s="95">
        <f>VLOOKUP(A12,'BSE ALL CAP'!$B$4:$Y$1038,22,)</f>
        <v>-0.71611042439225381</v>
      </c>
      <c r="X12" s="95">
        <f>VLOOKUP(A12,'BSE ALL CAP'!$B$4:$Y$1038,23,)</f>
        <v>-7.1016691957511369E-2</v>
      </c>
      <c r="Y12" s="95">
        <f>VLOOKUP(A12,'BSE ALL CAP'!$B$4:$Y$1038,24,)</f>
        <v>-0.51877934272300474</v>
      </c>
    </row>
    <row r="13" spans="1:25" ht="15.75" customHeight="1">
      <c r="A13" s="99">
        <v>532210</v>
      </c>
      <c r="B13" s="98" t="s">
        <v>5464</v>
      </c>
      <c r="C13" s="101" t="str">
        <f>VLOOKUP(A13,'BSE ALL CAP'!$B$4:$Y$1038,2,)</f>
        <v>Financial Services</v>
      </c>
      <c r="D13" s="101" t="str">
        <f>VLOOKUP(A13,'BSE ALL CAP'!$B$4:$Y$1038,3,)</f>
        <v>Private Sector Bank</v>
      </c>
      <c r="E13" s="101">
        <f ca="1">IFERROR(__xludf.DUMMYFUNCTION("GOOGLEFINANCE(""BOM:""&amp;A13,""PRICE"")"),249.35)</f>
        <v>249.35</v>
      </c>
      <c r="F13" s="112">
        <f ca="1">IFERROR(__xludf.DUMMYFUNCTION("GOOGLEFINANCE(""BOM:""&amp;A13,""MARKETCAP"")/10000000"),18575.434861)</f>
        <v>18575.434861000002</v>
      </c>
      <c r="G13" s="95">
        <f t="shared" ca="1" si="0"/>
        <v>5.7159406167576294E-3</v>
      </c>
      <c r="H13" s="101">
        <f>VLOOKUP(A13,'BSE ALL CAP'!$B$4:$Y$1038,7,)</f>
        <v>5762</v>
      </c>
      <c r="I13" s="101">
        <f>VLOOKUP(A13,'BSE ALL CAP'!$B$4:$Y$1038,8,)</f>
        <v>4948</v>
      </c>
      <c r="J13" s="101">
        <f>VLOOKUP(A13,'BSE ALL CAP'!$B$4:$Y$1038,9,)</f>
        <v>966</v>
      </c>
      <c r="K13" s="101">
        <f>VLOOKUP(A13,'BSE ALL CAP'!$B$4:$Y$1038,10,)</f>
        <v>835</v>
      </c>
      <c r="L13" s="101">
        <f>VLOOKUP(A13,'BSE ALL CAP'!$B$4:$Y$1038,11,)</f>
        <v>2001</v>
      </c>
      <c r="M13" s="101">
        <f>VLOOKUP(A13,'BSE ALL CAP'!$B$4:$Y$1038,12,)</f>
        <v>1707</v>
      </c>
      <c r="N13" s="101">
        <f>VLOOKUP(A13,'BSE ALL CAP'!$B$4:$Y$1038,13,)</f>
        <v>332</v>
      </c>
      <c r="O13" s="101">
        <f>VLOOKUP(A13,'BSE ALL CAP'!$B$4:$Y$1038,14,)</f>
        <v>285</v>
      </c>
      <c r="P13" s="95">
        <f>VLOOKUP(A13,'BSE ALL CAP'!$B$4:$Y$1038,15,)</f>
        <v>0.16765012148559527</v>
      </c>
      <c r="Q13" s="95">
        <f>VLOOKUP(A13,'BSE ALL CAP'!$B$4:$Y$1038,16,)</f>
        <v>0.16875505254648343</v>
      </c>
      <c r="R13" s="95">
        <f>VLOOKUP(A13,'BSE ALL CAP'!$B$4:$Y$1038,17,)</f>
        <v>-1.1049310608881591E-3</v>
      </c>
      <c r="S13" s="95">
        <f>VLOOKUP(A13,'BSE ALL CAP'!$B$4:$Y$1038,18,)</f>
        <v>0.16591704147926037</v>
      </c>
      <c r="T13" s="95">
        <f>VLOOKUP(A13,'BSE ALL CAP'!$B$4:$Y$1038,19,)</f>
        <v>0.16695957820738136</v>
      </c>
      <c r="U13" s="95">
        <f>VLOOKUP(A13,'BSE ALL CAP'!$B$4:$Y$1038,20,)</f>
        <v>-1.0425367281209907E-3</v>
      </c>
      <c r="V13" s="95">
        <f>VLOOKUP(A13,'BSE ALL CAP'!$B$4:$Y$1038,21,)</f>
        <v>0.16451091350040414</v>
      </c>
      <c r="W13" s="95">
        <f>VLOOKUP(A13,'BSE ALL CAP'!$B$4:$Y$1038,22,)</f>
        <v>0.15688622754491011</v>
      </c>
      <c r="X13" s="95">
        <f>VLOOKUP(A13,'BSE ALL CAP'!$B$4:$Y$1038,23,)</f>
        <v>0.17223198594024614</v>
      </c>
      <c r="Y13" s="95">
        <f>VLOOKUP(A13,'BSE ALL CAP'!$B$4:$Y$1038,24,)</f>
        <v>0.16491228070175445</v>
      </c>
    </row>
    <row r="14" spans="1:25" ht="15.75" customHeight="1">
      <c r="A14" s="99">
        <v>540065</v>
      </c>
      <c r="B14" s="98" t="s">
        <v>5465</v>
      </c>
      <c r="C14" s="101" t="str">
        <f>VLOOKUP(A14,'BSE ALL CAP'!$B$4:$Y$1038,2,)</f>
        <v>Financial Services</v>
      </c>
      <c r="D14" s="101" t="str">
        <f>VLOOKUP(A14,'BSE ALL CAP'!$B$4:$Y$1038,3,)</f>
        <v>Private Sector Bank</v>
      </c>
      <c r="E14" s="101">
        <f ca="1">IFERROR(__xludf.DUMMYFUNCTION("GOOGLEFINANCE(""BOM:""&amp;A14,""PRICE"")"),317.7)</f>
        <v>317.7</v>
      </c>
      <c r="F14" s="112">
        <f ca="1">IFERROR(__xludf.DUMMYFUNCTION("GOOGLEFINANCE(""BOM:""&amp;A14,""MARKETCAP"")/10000000"),19632.456925)</f>
        <v>19632.456924999999</v>
      </c>
      <c r="G14" s="95">
        <f t="shared" ca="1" si="0"/>
        <v>6.0412021997912398E-3</v>
      </c>
      <c r="H14" s="101">
        <f>VLOOKUP(A14,'BSE ALL CAP'!$B$4:$Y$1038,7,)</f>
        <v>13672</v>
      </c>
      <c r="I14" s="101">
        <f>VLOOKUP(A14,'BSE ALL CAP'!$B$4:$Y$1038,8,)</f>
        <v>13341</v>
      </c>
      <c r="J14" s="101">
        <f>VLOOKUP(A14,'BSE ALL CAP'!$B$4:$Y$1038,9,)</f>
        <v>634</v>
      </c>
      <c r="K14" s="101">
        <f>VLOOKUP(A14,'BSE ALL CAP'!$B$4:$Y$1038,10,)</f>
        <v>630</v>
      </c>
      <c r="L14" s="101">
        <f>VLOOKUP(A14,'BSE ALL CAP'!$B$4:$Y$1038,11,)</f>
        <v>4718</v>
      </c>
      <c r="M14" s="101">
        <f>VLOOKUP(A14,'BSE ALL CAP'!$B$4:$Y$1038,12,)</f>
        <v>4610</v>
      </c>
      <c r="N14" s="101">
        <f>VLOOKUP(A14,'BSE ALL CAP'!$B$4:$Y$1038,13,)</f>
        <v>227</v>
      </c>
      <c r="O14" s="101">
        <f>VLOOKUP(A14,'BSE ALL CAP'!$B$4:$Y$1038,14,)</f>
        <v>47</v>
      </c>
      <c r="P14" s="95">
        <f>VLOOKUP(A14,'BSE ALL CAP'!$B$4:$Y$1038,15,)</f>
        <v>4.6372147454651846E-2</v>
      </c>
      <c r="Q14" s="95">
        <f>VLOOKUP(A14,'BSE ALL CAP'!$B$4:$Y$1038,16,)</f>
        <v>4.7222846863053745E-2</v>
      </c>
      <c r="R14" s="95">
        <f>VLOOKUP(A14,'BSE ALL CAP'!$B$4:$Y$1038,17,)</f>
        <v>-8.50699408401899E-4</v>
      </c>
      <c r="S14" s="95">
        <f>VLOOKUP(A14,'BSE ALL CAP'!$B$4:$Y$1038,18,)</f>
        <v>4.8113607460788473E-2</v>
      </c>
      <c r="T14" s="95">
        <f>VLOOKUP(A14,'BSE ALL CAP'!$B$4:$Y$1038,19,)</f>
        <v>1.0195227765726681E-2</v>
      </c>
      <c r="U14" s="95">
        <f>VLOOKUP(A14,'BSE ALL CAP'!$B$4:$Y$1038,20,)</f>
        <v>3.7918379695061788E-2</v>
      </c>
      <c r="V14" s="95">
        <f>VLOOKUP(A14,'BSE ALL CAP'!$B$4:$Y$1038,21,)</f>
        <v>2.481073382804877E-2</v>
      </c>
      <c r="W14" s="95">
        <f>VLOOKUP(A14,'BSE ALL CAP'!$B$4:$Y$1038,22,)</f>
        <v>6.3492063492063266E-3</v>
      </c>
      <c r="X14" s="95">
        <f>VLOOKUP(A14,'BSE ALL CAP'!$B$4:$Y$1038,23,)</f>
        <v>2.3427331887201808E-2</v>
      </c>
      <c r="Y14" s="95">
        <f>VLOOKUP(A14,'BSE ALL CAP'!$B$4:$Y$1038,24,)</f>
        <v>3.8297872340425529</v>
      </c>
    </row>
    <row r="15" spans="1:25" ht="15.75" customHeight="1">
      <c r="A15" s="99">
        <v>532209</v>
      </c>
      <c r="B15" s="98" t="s">
        <v>5466</v>
      </c>
      <c r="C15" s="101" t="str">
        <f>VLOOKUP(A15,'BSE ALL CAP'!$B$4:$Y$1038,2,)</f>
        <v>Financial Services</v>
      </c>
      <c r="D15" s="101" t="str">
        <f>VLOOKUP(A15,'BSE ALL CAP'!$B$4:$Y$1038,3,)</f>
        <v>Private Sector Bank</v>
      </c>
      <c r="E15" s="101">
        <f ca="1">IFERROR(__xludf.DUMMYFUNCTION("GOOGLEFINANCE(""BOM:""&amp;A15,""PRICE"")"),115.15)</f>
        <v>115.15</v>
      </c>
      <c r="F15" s="112">
        <f ca="1">IFERROR(__xludf.DUMMYFUNCTION("GOOGLEFINANCE(""BOM:""&amp;A15,""MARKETCAP"")/10000000"),12690.0211327)</f>
        <v>12690.0211327</v>
      </c>
      <c r="G15" s="95">
        <f t="shared" ca="1" si="0"/>
        <v>3.904910316377254E-3</v>
      </c>
      <c r="H15" s="101">
        <f>VLOOKUP(A15,'BSE ALL CAP'!$B$4:$Y$1038,7,)</f>
        <v>11526</v>
      </c>
      <c r="I15" s="101">
        <f>VLOOKUP(A15,'BSE ALL CAP'!$B$4:$Y$1038,8,)</f>
        <v>11096</v>
      </c>
      <c r="J15" s="101">
        <f>VLOOKUP(A15,'BSE ALL CAP'!$B$4:$Y$1038,9,)</f>
        <v>1561</v>
      </c>
      <c r="K15" s="101">
        <f>VLOOKUP(A15,'BSE ALL CAP'!$B$4:$Y$1038,10,)</f>
        <v>1500</v>
      </c>
      <c r="L15" s="101">
        <f>VLOOKUP(A15,'BSE ALL CAP'!$B$4:$Y$1038,11,)</f>
        <v>3858</v>
      </c>
      <c r="M15" s="101">
        <f>VLOOKUP(A15,'BSE ALL CAP'!$B$4:$Y$1038,12,)</f>
        <v>3831</v>
      </c>
      <c r="N15" s="101">
        <f>VLOOKUP(A15,'BSE ALL CAP'!$B$4:$Y$1038,13,)</f>
        <v>581</v>
      </c>
      <c r="O15" s="101">
        <f>VLOOKUP(A15,'BSE ALL CAP'!$B$4:$Y$1038,14,)</f>
        <v>529</v>
      </c>
      <c r="P15" s="95">
        <f>VLOOKUP(A15,'BSE ALL CAP'!$B$4:$Y$1038,15,)</f>
        <v>0.13543293423564115</v>
      </c>
      <c r="Q15" s="95">
        <f>VLOOKUP(A15,'BSE ALL CAP'!$B$4:$Y$1038,16,)</f>
        <v>0.13518385003604902</v>
      </c>
      <c r="R15" s="95">
        <f>VLOOKUP(A15,'BSE ALL CAP'!$B$4:$Y$1038,17,)</f>
        <v>2.4908419959213113E-4</v>
      </c>
      <c r="S15" s="95">
        <f>VLOOKUP(A15,'BSE ALL CAP'!$B$4:$Y$1038,18,)</f>
        <v>0.15059616381544841</v>
      </c>
      <c r="T15" s="95">
        <f>VLOOKUP(A15,'BSE ALL CAP'!$B$4:$Y$1038,19,)</f>
        <v>0.1380840511615766</v>
      </c>
      <c r="U15" s="95">
        <f>VLOOKUP(A15,'BSE ALL CAP'!$B$4:$Y$1038,20,)</f>
        <v>1.251211265387181E-2</v>
      </c>
      <c r="V15" s="95">
        <f>VLOOKUP(A15,'BSE ALL CAP'!$B$4:$Y$1038,21,)</f>
        <v>3.8752703677000788E-2</v>
      </c>
      <c r="W15" s="95">
        <f>VLOOKUP(A15,'BSE ALL CAP'!$B$4:$Y$1038,22,)</f>
        <v>4.0666666666666629E-2</v>
      </c>
      <c r="X15" s="95">
        <f>VLOOKUP(A15,'BSE ALL CAP'!$B$4:$Y$1038,23,)</f>
        <v>7.0477682067344727E-3</v>
      </c>
      <c r="Y15" s="95">
        <f>VLOOKUP(A15,'BSE ALL CAP'!$B$4:$Y$1038,24,)</f>
        <v>9.8298676748582281E-2</v>
      </c>
    </row>
    <row r="16" spans="1:25" ht="15.75" customHeight="1">
      <c r="A16" s="99">
        <v>532218</v>
      </c>
      <c r="B16" s="98" t="s">
        <v>5467</v>
      </c>
      <c r="C16" s="101" t="str">
        <f>VLOOKUP(A16,'BSE ALL CAP'!$B$4:$Y$1038,2,)</f>
        <v>Financial Services</v>
      </c>
      <c r="D16" s="101" t="str">
        <f>VLOOKUP(A16,'BSE ALL CAP'!$B$4:$Y$1038,3,)</f>
        <v>Private Sector Bank</v>
      </c>
      <c r="E16" s="101">
        <f ca="1">IFERROR(__xludf.DUMMYFUNCTION("GOOGLEFINANCE(""BOM:""&amp;A16,""PRICE"")"),37.28)</f>
        <v>37.28</v>
      </c>
      <c r="F16" s="112">
        <f ca="1">IFERROR(__xludf.DUMMYFUNCTION("GOOGLEFINANCE(""BOM:""&amp;A16,""MARKETCAP"")/10000000"),9761.6632963)</f>
        <v>9761.6632962999993</v>
      </c>
      <c r="G16" s="95">
        <f t="shared" ca="1" si="0"/>
        <v>3.0038105777852849E-3</v>
      </c>
      <c r="H16" s="101">
        <f>VLOOKUP(A16,'BSE ALL CAP'!$B$4:$Y$1038,7,)</f>
        <v>8909</v>
      </c>
      <c r="I16" s="101">
        <f>VLOOKUP(A16,'BSE ALL CAP'!$B$4:$Y$1038,8,)</f>
        <v>8280</v>
      </c>
      <c r="J16" s="101">
        <f>VLOOKUP(A16,'BSE ALL CAP'!$B$4:$Y$1038,9,)</f>
        <v>1048</v>
      </c>
      <c r="K16" s="101">
        <f>VLOOKUP(A16,'BSE ALL CAP'!$B$4:$Y$1038,10,)</f>
        <v>960</v>
      </c>
      <c r="L16" s="101">
        <f>VLOOKUP(A16,'BSE ALL CAP'!$B$4:$Y$1038,11,)</f>
        <v>3003</v>
      </c>
      <c r="M16" s="101">
        <f>VLOOKUP(A16,'BSE ALL CAP'!$B$4:$Y$1038,12,)</f>
        <v>2779</v>
      </c>
      <c r="N16" s="101">
        <f>VLOOKUP(A16,'BSE ALL CAP'!$B$4:$Y$1038,13,)</f>
        <v>374</v>
      </c>
      <c r="O16" s="101">
        <f>VLOOKUP(A16,'BSE ALL CAP'!$B$4:$Y$1038,14,)</f>
        <v>342</v>
      </c>
      <c r="P16" s="95">
        <f>VLOOKUP(A16,'BSE ALL CAP'!$B$4:$Y$1038,15,)</f>
        <v>0.11763385340666742</v>
      </c>
      <c r="Q16" s="95">
        <f>VLOOKUP(A16,'BSE ALL CAP'!$B$4:$Y$1038,16,)</f>
        <v>0.11594202898550725</v>
      </c>
      <c r="R16" s="95">
        <f>VLOOKUP(A16,'BSE ALL CAP'!$B$4:$Y$1038,17,)</f>
        <v>1.6918244211601707E-3</v>
      </c>
      <c r="S16" s="95">
        <f>VLOOKUP(A16,'BSE ALL CAP'!$B$4:$Y$1038,18,)</f>
        <v>0.12454212454212454</v>
      </c>
      <c r="T16" s="95">
        <f>VLOOKUP(A16,'BSE ALL CAP'!$B$4:$Y$1038,19,)</f>
        <v>0.12306585102554876</v>
      </c>
      <c r="U16" s="95">
        <f>VLOOKUP(A16,'BSE ALL CAP'!$B$4:$Y$1038,20,)</f>
        <v>1.4762735165757823E-3</v>
      </c>
      <c r="V16" s="95">
        <f>VLOOKUP(A16,'BSE ALL CAP'!$B$4:$Y$1038,21,)</f>
        <v>7.5966183574879276E-2</v>
      </c>
      <c r="W16" s="95">
        <f>VLOOKUP(A16,'BSE ALL CAP'!$B$4:$Y$1038,22,)</f>
        <v>9.1666666666666563E-2</v>
      </c>
      <c r="X16" s="95">
        <f>VLOOKUP(A16,'BSE ALL CAP'!$B$4:$Y$1038,23,)</f>
        <v>8.0604534005037864E-2</v>
      </c>
      <c r="Y16" s="95">
        <f>VLOOKUP(A16,'BSE ALL CAP'!$B$4:$Y$1038,24,)</f>
        <v>9.3567251461988299E-2</v>
      </c>
    </row>
    <row r="17" spans="1:25" ht="15.75" customHeight="1">
      <c r="A17" s="99">
        <v>543596</v>
      </c>
      <c r="B17" s="98" t="s">
        <v>5468</v>
      </c>
      <c r="C17" s="101" t="str">
        <f>VLOOKUP(A17,'BSE ALL CAP'!$B$4:$Y$1038,2,)</f>
        <v>Financial Services</v>
      </c>
      <c r="D17" s="101" t="str">
        <f>VLOOKUP(A17,'BSE ALL CAP'!$B$4:$Y$1038,3,)</f>
        <v>Private Sector Bank</v>
      </c>
      <c r="E17" s="101">
        <f ca="1">IFERROR(__xludf.DUMMYFUNCTION("GOOGLEFINANCE(""BOM:""&amp;A17,""PRICE"")"),628.3)</f>
        <v>628.29999999999995</v>
      </c>
      <c r="F17" s="112">
        <f ca="1">IFERROR(__xludf.DUMMYFUNCTION("GOOGLEFINANCE(""BOM:""&amp;A17,""MARKETCAP"")/10000000"),9951.5939263)</f>
        <v>9951.5939263</v>
      </c>
      <c r="G17" s="95">
        <f t="shared" ca="1" si="0"/>
        <v>3.062255088533332E-3</v>
      </c>
      <c r="H17" s="101">
        <f>VLOOKUP(A17,'BSE ALL CAP'!$B$4:$Y$1038,7,)</f>
        <v>4904</v>
      </c>
      <c r="I17" s="101">
        <f>VLOOKUP(A17,'BSE ALL CAP'!$B$4:$Y$1038,8,)</f>
        <v>4599</v>
      </c>
      <c r="J17" s="101">
        <f>VLOOKUP(A17,'BSE ALL CAP'!$B$4:$Y$1038,9,)</f>
        <v>963</v>
      </c>
      <c r="K17" s="101">
        <f>VLOOKUP(A17,'BSE ALL CAP'!$B$4:$Y$1038,10,)</f>
        <v>890</v>
      </c>
      <c r="L17" s="101">
        <f>VLOOKUP(A17,'BSE ALL CAP'!$B$4:$Y$1038,11,)</f>
        <v>1469</v>
      </c>
      <c r="M17" s="101">
        <f>VLOOKUP(A17,'BSE ALL CAP'!$B$4:$Y$1038,12,)</f>
        <v>1331</v>
      </c>
      <c r="N17" s="101">
        <f>VLOOKUP(A17,'BSE ALL CAP'!$B$4:$Y$1038,13,)</f>
        <v>341</v>
      </c>
      <c r="O17" s="101">
        <f>VLOOKUP(A17,'BSE ALL CAP'!$B$4:$Y$1038,14,)</f>
        <v>300</v>
      </c>
      <c r="P17" s="95">
        <f>VLOOKUP(A17,'BSE ALL CAP'!$B$4:$Y$1038,15,)</f>
        <v>0.19637030995106036</v>
      </c>
      <c r="Q17" s="95">
        <f>VLOOKUP(A17,'BSE ALL CAP'!$B$4:$Y$1038,16,)</f>
        <v>0.19352033050663187</v>
      </c>
      <c r="R17" s="95">
        <f>VLOOKUP(A17,'BSE ALL CAP'!$B$4:$Y$1038,17,)</f>
        <v>2.8499794444284965E-3</v>
      </c>
      <c r="S17" s="95">
        <f>VLOOKUP(A17,'BSE ALL CAP'!$B$4:$Y$1038,18,)</f>
        <v>0.23213070115724982</v>
      </c>
      <c r="T17" s="95">
        <f>VLOOKUP(A17,'BSE ALL CAP'!$B$4:$Y$1038,19,)</f>
        <v>0.22539444027047334</v>
      </c>
      <c r="U17" s="95">
        <f>VLOOKUP(A17,'BSE ALL CAP'!$B$4:$Y$1038,20,)</f>
        <v>6.7362608867764795E-3</v>
      </c>
      <c r="V17" s="95">
        <f>VLOOKUP(A17,'BSE ALL CAP'!$B$4:$Y$1038,21,)</f>
        <v>6.6318764948901876E-2</v>
      </c>
      <c r="W17" s="95">
        <f>VLOOKUP(A17,'BSE ALL CAP'!$B$4:$Y$1038,22,)</f>
        <v>8.202247191011236E-2</v>
      </c>
      <c r="X17" s="95">
        <f>VLOOKUP(A17,'BSE ALL CAP'!$B$4:$Y$1038,23,)</f>
        <v>0.10368144252441769</v>
      </c>
      <c r="Y17" s="95">
        <f>VLOOKUP(A17,'BSE ALL CAP'!$B$4:$Y$1038,24,)</f>
        <v>0.13666666666666671</v>
      </c>
    </row>
    <row r="18" spans="1:25" ht="15.75" customHeight="1">
      <c r="A18" s="99">
        <v>542867</v>
      </c>
      <c r="B18" s="98" t="s">
        <v>5469</v>
      </c>
      <c r="C18" s="101" t="str">
        <f>VLOOKUP(A18,'BSE ALL CAP'!$B$4:$Y$1038,2,)</f>
        <v>Financial Services</v>
      </c>
      <c r="D18" s="101" t="str">
        <f>VLOOKUP(A18,'BSE ALL CAP'!$B$4:$Y$1038,3,)</f>
        <v>Private Sector Bank</v>
      </c>
      <c r="E18" s="101">
        <f ca="1">IFERROR(__xludf.DUMMYFUNCTION("GOOGLEFINANCE(""BOM:""&amp;A18,""PRICE"")"),371.55)</f>
        <v>371.55</v>
      </c>
      <c r="F18" s="112">
        <f ca="1">IFERROR(__xludf.DUMMYFUNCTION("GOOGLEFINANCE(""BOM:""&amp;A18,""MARKETCAP"")/10000000"),6288.3954707)</f>
        <v>6288.3954707000003</v>
      </c>
      <c r="G18" s="95">
        <f t="shared" ca="1" si="0"/>
        <v>1.9350338419627075E-3</v>
      </c>
      <c r="H18" s="101">
        <f>VLOOKUP(A18,'BSE ALL CAP'!$B$4:$Y$1038,7,)</f>
        <v>4174</v>
      </c>
      <c r="I18" s="101">
        <f>VLOOKUP(A18,'BSE ALL CAP'!$B$4:$Y$1038,8,)</f>
        <v>3206</v>
      </c>
      <c r="J18" s="101">
        <f>VLOOKUP(A18,'BSE ALL CAP'!$B$4:$Y$1038,9,)</f>
        <v>431</v>
      </c>
      <c r="K18" s="101">
        <f>VLOOKUP(A18,'BSE ALL CAP'!$B$4:$Y$1038,10,)</f>
        <v>403</v>
      </c>
      <c r="L18" s="101">
        <f>VLOOKUP(A18,'BSE ALL CAP'!$B$4:$Y$1038,11,)</f>
        <v>1430</v>
      </c>
      <c r="M18" s="101">
        <f>VLOOKUP(A18,'BSE ALL CAP'!$B$4:$Y$1038,12,)</f>
        <v>1138</v>
      </c>
      <c r="N18" s="101">
        <f>VLOOKUP(A18,'BSE ALL CAP'!$B$4:$Y$1038,13,)</f>
        <v>152</v>
      </c>
      <c r="O18" s="101">
        <f>VLOOKUP(A18,'BSE ALL CAP'!$B$4:$Y$1038,14,)</f>
        <v>151</v>
      </c>
      <c r="P18" s="95">
        <f>VLOOKUP(A18,'BSE ALL CAP'!$B$4:$Y$1038,15,)</f>
        <v>0.10325826545280306</v>
      </c>
      <c r="Q18" s="95">
        <f>VLOOKUP(A18,'BSE ALL CAP'!$B$4:$Y$1038,16,)</f>
        <v>0.12570180910792264</v>
      </c>
      <c r="R18" s="95">
        <f>VLOOKUP(A18,'BSE ALL CAP'!$B$4:$Y$1038,17,)</f>
        <v>-2.244354365511958E-2</v>
      </c>
      <c r="S18" s="95">
        <f>VLOOKUP(A18,'BSE ALL CAP'!$B$4:$Y$1038,18,)</f>
        <v>0.1062937062937063</v>
      </c>
      <c r="T18" s="95">
        <f>VLOOKUP(A18,'BSE ALL CAP'!$B$4:$Y$1038,19,)</f>
        <v>0.13268892794376097</v>
      </c>
      <c r="U18" s="95">
        <f>VLOOKUP(A18,'BSE ALL CAP'!$B$4:$Y$1038,20,)</f>
        <v>-2.6395221650054673E-2</v>
      </c>
      <c r="V18" s="95">
        <f>VLOOKUP(A18,'BSE ALL CAP'!$B$4:$Y$1038,21,)</f>
        <v>0.3019338739862758</v>
      </c>
      <c r="W18" s="95">
        <f>VLOOKUP(A18,'BSE ALL CAP'!$B$4:$Y$1038,22,)</f>
        <v>6.9478908188585597E-2</v>
      </c>
      <c r="X18" s="95">
        <f>VLOOKUP(A18,'BSE ALL CAP'!$B$4:$Y$1038,23,)</f>
        <v>0.25659050966608077</v>
      </c>
      <c r="Y18" s="95">
        <f>VLOOKUP(A18,'BSE ALL CAP'!$B$4:$Y$1038,24,)</f>
        <v>6.6225165562914245E-3</v>
      </c>
    </row>
    <row r="19" spans="1:25" ht="15.75" customHeight="1">
      <c r="A19" s="99">
        <v>532652</v>
      </c>
      <c r="B19" s="98" t="s">
        <v>5470</v>
      </c>
      <c r="C19" s="101" t="str">
        <f>VLOOKUP(A19,'BSE ALL CAP'!$B$4:$Y$1038,2,)</f>
        <v>Financial Services</v>
      </c>
      <c r="D19" s="101" t="str">
        <f>VLOOKUP(A19,'BSE ALL CAP'!$B$4:$Y$1038,3,)</f>
        <v>Private Sector Bank</v>
      </c>
      <c r="E19" s="101">
        <f ca="1">IFERROR(__xludf.DUMMYFUNCTION("GOOGLEFINANCE(""BOM:""&amp;A19,""PRICE"")"),229.6)</f>
        <v>229.6</v>
      </c>
      <c r="F19" s="112">
        <f ca="1">IFERROR(__xludf.DUMMYFUNCTION("GOOGLEFINANCE(""BOM:""&amp;A19,""MARKETCAP"")/10000000"),8673.3147265)</f>
        <v>8673.3147265000007</v>
      </c>
      <c r="G19" s="95">
        <f t="shared" ca="1" si="0"/>
        <v>2.6689093578751637E-3</v>
      </c>
      <c r="H19" s="101">
        <f>VLOOKUP(A19,'BSE ALL CAP'!$B$4:$Y$1038,7,)</f>
        <v>7665</v>
      </c>
      <c r="I19" s="101">
        <f>VLOOKUP(A19,'BSE ALL CAP'!$B$4:$Y$1038,8,)</f>
        <v>7603</v>
      </c>
      <c r="J19" s="101">
        <f>VLOOKUP(A19,'BSE ALL CAP'!$B$4:$Y$1038,9,)</f>
        <v>902</v>
      </c>
      <c r="K19" s="101">
        <f>VLOOKUP(A19,'BSE ALL CAP'!$B$4:$Y$1038,10,)</f>
        <v>1020</v>
      </c>
      <c r="L19" s="101">
        <f>VLOOKUP(A19,'BSE ALL CAP'!$B$4:$Y$1038,11,)</f>
        <v>2522</v>
      </c>
      <c r="M19" s="101">
        <f>VLOOKUP(A19,'BSE ALL CAP'!$B$4:$Y$1038,12,)</f>
        <v>2542</v>
      </c>
      <c r="N19" s="101">
        <f>VLOOKUP(A19,'BSE ALL CAP'!$B$4:$Y$1038,13,)</f>
        <v>291</v>
      </c>
      <c r="O19" s="101">
        <f>VLOOKUP(A19,'BSE ALL CAP'!$B$4:$Y$1038,14,)</f>
        <v>283</v>
      </c>
      <c r="P19" s="95">
        <f>VLOOKUP(A19,'BSE ALL CAP'!$B$4:$Y$1038,15,)</f>
        <v>0.11767775603392042</v>
      </c>
      <c r="Q19" s="95">
        <f>VLOOKUP(A19,'BSE ALL CAP'!$B$4:$Y$1038,16,)</f>
        <v>0.13415756938050769</v>
      </c>
      <c r="R19" s="95">
        <f>VLOOKUP(A19,'BSE ALL CAP'!$B$4:$Y$1038,17,)</f>
        <v>-1.6479813346587269E-2</v>
      </c>
      <c r="S19" s="95">
        <f>VLOOKUP(A19,'BSE ALL CAP'!$B$4:$Y$1038,18,)</f>
        <v>0.11538461538461539</v>
      </c>
      <c r="T19" s="95">
        <f>VLOOKUP(A19,'BSE ALL CAP'!$B$4:$Y$1038,19,)</f>
        <v>0.11132966168371361</v>
      </c>
      <c r="U19" s="95">
        <f>VLOOKUP(A19,'BSE ALL CAP'!$B$4:$Y$1038,20,)</f>
        <v>4.0549537009017811E-3</v>
      </c>
      <c r="V19" s="95">
        <f>VLOOKUP(A19,'BSE ALL CAP'!$B$4:$Y$1038,21,)</f>
        <v>8.1546757858739216E-3</v>
      </c>
      <c r="W19" s="95">
        <f>VLOOKUP(A19,'BSE ALL CAP'!$B$4:$Y$1038,22,)</f>
        <v>-0.11568627450980395</v>
      </c>
      <c r="X19" s="95">
        <f>VLOOKUP(A19,'BSE ALL CAP'!$B$4:$Y$1038,23,)</f>
        <v>-7.8678206136899576E-3</v>
      </c>
      <c r="Y19" s="95">
        <f>VLOOKUP(A19,'BSE ALL CAP'!$B$4:$Y$1038,24,)</f>
        <v>2.8268551236749095E-2</v>
      </c>
    </row>
    <row r="20" spans="1:25" ht="15.75" customHeight="1">
      <c r="A20" s="99">
        <v>532772</v>
      </c>
      <c r="B20" s="98" t="s">
        <v>5471</v>
      </c>
      <c r="C20" s="101" t="str">
        <f>VLOOKUP(A20,'BSE ALL CAP'!$B$4:$Y$1038,2,)</f>
        <v>Financial Services</v>
      </c>
      <c r="D20" s="101" t="str">
        <f>VLOOKUP(A20,'BSE ALL CAP'!$B$4:$Y$1038,3,)</f>
        <v>Private Sector Bank</v>
      </c>
      <c r="E20" s="101">
        <f ca="1">IFERROR(__xludf.DUMMYFUNCTION("GOOGLEFINANCE(""BOM:""&amp;A20,""PRICE"")"),168.45)</f>
        <v>168.45</v>
      </c>
      <c r="F20" s="112">
        <f ca="1">IFERROR(__xludf.DUMMYFUNCTION("GOOGLEFINANCE(""BOM:""&amp;A20,""MARKETCAP"")/10000000"),5424.6875859)</f>
        <v>5424.6875859000002</v>
      </c>
      <c r="G20" s="95">
        <f t="shared" ca="1" si="0"/>
        <v>1.6692579386428127E-3</v>
      </c>
      <c r="H20" s="101">
        <f>VLOOKUP(A20,'BSE ALL CAP'!$B$4:$Y$1038,7,)</f>
        <v>6140</v>
      </c>
      <c r="I20" s="101">
        <f>VLOOKUP(A20,'BSE ALL CAP'!$B$4:$Y$1038,8,)</f>
        <v>5260</v>
      </c>
      <c r="J20" s="101">
        <f>VLOOKUP(A20,'BSE ALL CAP'!$B$4:$Y$1038,9,)</f>
        <v>525</v>
      </c>
      <c r="K20" s="101">
        <f>VLOOKUP(A20,'BSE ALL CAP'!$B$4:$Y$1038,10,)</f>
        <v>438</v>
      </c>
      <c r="L20" s="101">
        <f>VLOOKUP(A20,'BSE ALL CAP'!$B$4:$Y$1038,11,)</f>
        <v>2082</v>
      </c>
      <c r="M20" s="101">
        <f>VLOOKUP(A20,'BSE ALL CAP'!$B$4:$Y$1038,12,)</f>
        <v>1855</v>
      </c>
      <c r="N20" s="101">
        <f>VLOOKUP(A20,'BSE ALL CAP'!$B$4:$Y$1038,13,)</f>
        <v>184</v>
      </c>
      <c r="O20" s="101">
        <f>VLOOKUP(A20,'BSE ALL CAP'!$B$4:$Y$1038,14,)</f>
        <v>151</v>
      </c>
      <c r="P20" s="95">
        <f>VLOOKUP(A20,'BSE ALL CAP'!$B$4:$Y$1038,15,)</f>
        <v>8.5504885993485338E-2</v>
      </c>
      <c r="Q20" s="95">
        <f>VLOOKUP(A20,'BSE ALL CAP'!$B$4:$Y$1038,16,)</f>
        <v>8.3269961977186308E-2</v>
      </c>
      <c r="R20" s="95">
        <f>VLOOKUP(A20,'BSE ALL CAP'!$B$4:$Y$1038,17,)</f>
        <v>2.2349240162990308E-3</v>
      </c>
      <c r="S20" s="95">
        <f>VLOOKUP(A20,'BSE ALL CAP'!$B$4:$Y$1038,18,)</f>
        <v>8.8376560999039386E-2</v>
      </c>
      <c r="T20" s="95">
        <f>VLOOKUP(A20,'BSE ALL CAP'!$B$4:$Y$1038,19,)</f>
        <v>8.1401617250673852E-2</v>
      </c>
      <c r="U20" s="95">
        <f>VLOOKUP(A20,'BSE ALL CAP'!$B$4:$Y$1038,20,)</f>
        <v>6.9749437483655335E-3</v>
      </c>
      <c r="V20" s="95">
        <f>VLOOKUP(A20,'BSE ALL CAP'!$B$4:$Y$1038,21,)</f>
        <v>0.16730038022813698</v>
      </c>
      <c r="W20" s="95">
        <f>VLOOKUP(A20,'BSE ALL CAP'!$B$4:$Y$1038,22,)</f>
        <v>0.19863013698630128</v>
      </c>
      <c r="X20" s="95">
        <f>VLOOKUP(A20,'BSE ALL CAP'!$B$4:$Y$1038,23,)</f>
        <v>0.12237196765498659</v>
      </c>
      <c r="Y20" s="95">
        <f>VLOOKUP(A20,'BSE ALL CAP'!$B$4:$Y$1038,24,)</f>
        <v>0.2185430463576159</v>
      </c>
    </row>
    <row r="21" spans="1:25" ht="15.75" customHeight="1">
      <c r="A21" s="99">
        <v>532180</v>
      </c>
      <c r="B21" s="98" t="s">
        <v>5472</v>
      </c>
      <c r="C21" s="101"/>
      <c r="D21" s="101"/>
      <c r="E21" s="101">
        <f ca="1">IFERROR(__xludf.DUMMYFUNCTION("GOOGLEFINANCE(""BOM:""&amp;A21,""PRICE"")"),23.09)</f>
        <v>23.09</v>
      </c>
      <c r="F21" s="112">
        <f ca="1">IFERROR(__xludf.DUMMYFUNCTION("GOOGLEFINANCE(""BOM:""&amp;A21,""MARKETCAP"")/10000000"),910.9648273)</f>
        <v>910.96482730000002</v>
      </c>
      <c r="G21" s="95">
        <f t="shared" ca="1" si="0"/>
        <v>2.8031757510743691E-4</v>
      </c>
      <c r="H21" s="101"/>
      <c r="I21" s="101"/>
      <c r="J21" s="101"/>
      <c r="K21" s="101"/>
      <c r="L21" s="101"/>
      <c r="M21" s="101"/>
      <c r="N21" s="101"/>
      <c r="O21" s="101"/>
      <c r="P21" s="101" t="e">
        <f>VLOOKUP(A21,'BSE ALL CAP'!$B$4:$Y$1038,15,)</f>
        <v>#N/A</v>
      </c>
      <c r="Q21" s="101" t="e">
        <f>VLOOKUP(A21,'BSE ALL CAP'!$B$4:$Y$1038,16,)</f>
        <v>#N/A</v>
      </c>
      <c r="R21" s="101" t="e">
        <f>VLOOKUP(A21,'BSE ALL CAP'!$B$4:$Y$1038,17,)</f>
        <v>#N/A</v>
      </c>
      <c r="S21" s="101" t="e">
        <f>VLOOKUP(A21,'BSE ALL CAP'!$B$4:$Y$1038,18,)</f>
        <v>#N/A</v>
      </c>
      <c r="T21" s="101" t="e">
        <f>VLOOKUP(A21,'BSE ALL CAP'!$B$4:$Y$1038,19,)</f>
        <v>#N/A</v>
      </c>
      <c r="U21" s="101" t="e">
        <f>VLOOKUP(A21,'BSE ALL CAP'!$B$4:$Y$1038,20,)</f>
        <v>#N/A</v>
      </c>
      <c r="V21" s="101" t="e">
        <f>VLOOKUP(A21,'BSE ALL CAP'!$B$4:$Y$1038,21,)</f>
        <v>#N/A</v>
      </c>
      <c r="W21" s="101" t="e">
        <f>VLOOKUP(A21,'BSE ALL CAP'!$B$4:$Y$1038,22,)</f>
        <v>#N/A</v>
      </c>
      <c r="X21" s="101" t="e">
        <f>VLOOKUP(A21,'BSE ALL CAP'!$B$4:$Y$1038,23,)</f>
        <v>#N/A</v>
      </c>
      <c r="Y21" s="101" t="e">
        <f>VLOOKUP(A21,'BSE ALL CAP'!$B$4:$Y$1038,24,)</f>
        <v>#N/A</v>
      </c>
    </row>
    <row r="22" spans="1:25">
      <c r="A22" s="101"/>
      <c r="B22" s="101"/>
      <c r="C22" s="101"/>
      <c r="D22" s="101"/>
      <c r="E22" s="101"/>
      <c r="F22" s="112"/>
      <c r="G22" s="95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>
      <c r="A23" s="101"/>
      <c r="B23" s="101"/>
      <c r="C23" s="101"/>
      <c r="D23" s="101"/>
      <c r="E23" s="101"/>
      <c r="F23" s="112">
        <f ca="1">SUM(F1:F21)</f>
        <v>3249759.9444160997</v>
      </c>
      <c r="G23" s="95">
        <f ca="1">F23/$F$23</f>
        <v>1</v>
      </c>
      <c r="H23" s="112">
        <f t="shared" ref="H23:O23" si="1">SUM(H2:H21)</f>
        <v>1053251</v>
      </c>
      <c r="I23" s="112">
        <f t="shared" si="1"/>
        <v>996604</v>
      </c>
      <c r="J23" s="112">
        <f t="shared" si="1"/>
        <v>151674</v>
      </c>
      <c r="K23" s="112">
        <f t="shared" si="1"/>
        <v>154237</v>
      </c>
      <c r="L23" s="112">
        <f t="shared" si="1"/>
        <v>354712</v>
      </c>
      <c r="M23" s="112">
        <f t="shared" si="1"/>
        <v>331576</v>
      </c>
      <c r="N23" s="112">
        <f t="shared" si="1"/>
        <v>52333</v>
      </c>
      <c r="O23" s="112">
        <f t="shared" si="1"/>
        <v>50252</v>
      </c>
      <c r="P23" s="95">
        <f t="shared" ref="P23:Q23" si="2">J23/H23</f>
        <v>0.14400555992826022</v>
      </c>
      <c r="Q23" s="95">
        <f t="shared" si="2"/>
        <v>0.15476257370028618</v>
      </c>
      <c r="R23" s="95">
        <f>P23-Q23</f>
        <v>-1.0757013772025953E-2</v>
      </c>
      <c r="S23" s="95">
        <f t="shared" ref="S23:T23" si="3">N23/L23</f>
        <v>0.14753659306705158</v>
      </c>
      <c r="T23" s="95">
        <f t="shared" si="3"/>
        <v>0.15155499794918811</v>
      </c>
      <c r="U23" s="95">
        <f>S23-T23</f>
        <v>-4.0184048821365337E-3</v>
      </c>
      <c r="V23" s="95">
        <f>(H23/I23)-1</f>
        <v>5.6840028737592974E-2</v>
      </c>
      <c r="W23" s="95">
        <f>(J23/K23)-1</f>
        <v>-1.661728379053018E-2</v>
      </c>
      <c r="X23" s="95">
        <f>(L23/M23)-1</f>
        <v>6.9775858325089812E-2</v>
      </c>
      <c r="Y23" s="95">
        <f>(N23/O23)-1</f>
        <v>4.1411287112950834E-2</v>
      </c>
    </row>
    <row r="24" spans="1:25">
      <c r="F24" s="94"/>
    </row>
    <row r="25" spans="1:25" ht="13.2">
      <c r="F25" s="94"/>
    </row>
    <row r="26" spans="1:25" ht="13.2">
      <c r="F26" s="94"/>
    </row>
    <row r="27" spans="1:25" ht="13.2">
      <c r="F27" s="94"/>
    </row>
    <row r="28" spans="1:25" ht="13.2">
      <c r="F28" s="94"/>
    </row>
    <row r="29" spans="1:25" ht="13.2">
      <c r="F29" s="94"/>
    </row>
    <row r="30" spans="1:25" ht="13.2">
      <c r="F30" s="94"/>
    </row>
    <row r="31" spans="1:25" ht="13.2">
      <c r="F31" s="94"/>
    </row>
    <row r="32" spans="1:25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21" xr:uid="{00000000-0009-0000-0000-0000AA000000}"/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503806</v>
      </c>
      <c r="B2" s="98" t="s">
        <v>5473</v>
      </c>
      <c r="C2" s="101" t="str">
        <f>VLOOKUP(A2,'BSE ALL CAP'!$B$4:$Y$1038,2,)</f>
        <v>Commodities</v>
      </c>
      <c r="D2" s="101" t="str">
        <f>VLOOKUP(A2,'BSE ALL CAP'!$B$4:$Y$1038,3,)</f>
        <v>Commodity Chemicals</v>
      </c>
      <c r="E2" s="101">
        <f ca="1">IFERROR(__xludf.DUMMYFUNCTION("GOOGLEFINANCE(""BOM:""&amp;A2,""PRICE"")"),2422.8)</f>
        <v>2422.8000000000002</v>
      </c>
      <c r="F2" s="112">
        <f ca="1">IFERROR(__xludf.DUMMYFUNCTION("GOOGLEFINANCE(""BOM:""&amp;A2,""MARKETCAP"")/10000000"),71880.0468572)</f>
        <v>71880.046857199995</v>
      </c>
      <c r="G2" s="95">
        <f t="shared" ref="G2:G75" ca="1" si="0">F2/$F$77</f>
        <v>0.50205522088631371</v>
      </c>
      <c r="H2" s="101">
        <f>VLOOKUP(A2,'BSE ALL CAP'!$B$4:$Y$1038,7,)</f>
        <v>11171</v>
      </c>
      <c r="I2" s="101">
        <f>VLOOKUP(A2,'BSE ALL CAP'!$B$4:$Y$1038,8,)</f>
        <v>10380</v>
      </c>
      <c r="J2" s="101">
        <f>VLOOKUP(A2,'BSE ALL CAP'!$B$4:$Y$1038,9,)</f>
        <v>1253</v>
      </c>
      <c r="K2" s="101">
        <f>VLOOKUP(A2,'BSE ALL CAP'!$B$4:$Y$1038,10,)</f>
        <v>725</v>
      </c>
      <c r="L2" s="101">
        <f>VLOOKUP(A2,'BSE ALL CAP'!$B$4:$Y$1038,11,)</f>
        <v>3713</v>
      </c>
      <c r="M2" s="101">
        <f>VLOOKUP(A2,'BSE ALL CAP'!$B$4:$Y$1038,12,)</f>
        <v>3419</v>
      </c>
      <c r="N2" s="101">
        <f>VLOOKUP(A2,'BSE ALL CAP'!$B$4:$Y$1038,13,)</f>
        <v>433</v>
      </c>
      <c r="O2" s="101">
        <f>VLOOKUP(A2,'BSE ALL CAP'!$B$4:$Y$1038,14,)</f>
        <v>271</v>
      </c>
      <c r="P2" s="95">
        <f>VLOOKUP(A2,'BSE ALL CAP'!$B$4:$Y$1038,15,)</f>
        <v>0.11216542834124071</v>
      </c>
      <c r="Q2" s="95">
        <f>VLOOKUP(A2,'BSE ALL CAP'!$B$4:$Y$1038,16,)</f>
        <v>6.9845857418111751E-2</v>
      </c>
      <c r="R2" s="95">
        <f>VLOOKUP(A2,'BSE ALL CAP'!$B$4:$Y$1038,17,)</f>
        <v>4.2319570923128963E-2</v>
      </c>
      <c r="S2" s="95">
        <f>VLOOKUP(A2,'BSE ALL CAP'!$B$4:$Y$1038,18,)</f>
        <v>0.11661729060059252</v>
      </c>
      <c r="T2" s="95">
        <f>VLOOKUP(A2,'BSE ALL CAP'!$B$4:$Y$1038,19,)</f>
        <v>7.9262942380813106E-2</v>
      </c>
      <c r="U2" s="95">
        <f>VLOOKUP(A2,'BSE ALL CAP'!$B$4:$Y$1038,20,)</f>
        <v>3.7354348219779412E-2</v>
      </c>
      <c r="V2" s="95">
        <f>VLOOKUP(A2,'BSE ALL CAP'!$B$4:$Y$1038,21,)</f>
        <v>7.6204238921002032E-2</v>
      </c>
      <c r="W2" s="95">
        <f>VLOOKUP(A2,'BSE ALL CAP'!$B$4:$Y$1038,22,)</f>
        <v>0.72827586206896555</v>
      </c>
      <c r="X2" s="95">
        <f>VLOOKUP(A2,'BSE ALL CAP'!$B$4:$Y$1038,23,)</f>
        <v>8.5990055571804724E-2</v>
      </c>
      <c r="Y2" s="95">
        <f>VLOOKUP(A2,'BSE ALL CAP'!$B$4:$Y$1038,24,)</f>
        <v>0.59778597785977849</v>
      </c>
    </row>
    <row r="3" spans="1:25" ht="15.75" customHeight="1">
      <c r="A3" s="99">
        <v>500770</v>
      </c>
      <c r="B3" s="98" t="s">
        <v>5474</v>
      </c>
      <c r="C3" s="101" t="str">
        <f>VLOOKUP(A3,'BSE ALL CAP'!$B$4:$Y$1038,2,)</f>
        <v>Commodities</v>
      </c>
      <c r="D3" s="101" t="str">
        <f>VLOOKUP(A3,'BSE ALL CAP'!$B$4:$Y$1038,3,)</f>
        <v>Commodity Chemicals</v>
      </c>
      <c r="E3" s="101">
        <f ca="1">IFERROR(__xludf.DUMMYFUNCTION("GOOGLEFINANCE(""BOM:""&amp;A3,""PRICE"")"),632.4)</f>
        <v>632.4</v>
      </c>
      <c r="F3" s="112">
        <f ca="1">IFERROR(__xludf.DUMMYFUNCTION("GOOGLEFINANCE(""BOM:""&amp;A3,""MARKETCAP"")/10000000"),16099.3931855)</f>
        <v>16099.393185499999</v>
      </c>
      <c r="G3" s="95">
        <f t="shared" ca="1" si="0"/>
        <v>0.112448235014919</v>
      </c>
      <c r="H3" s="101">
        <f>VLOOKUP(A3,'BSE ALL CAP'!$B$4:$Y$1038,7,)</f>
        <v>11146</v>
      </c>
      <c r="I3" s="101">
        <f>VLOOKUP(A3,'BSE ALL CAP'!$B$4:$Y$1038,8,)</f>
        <v>11378</v>
      </c>
      <c r="J3" s="101">
        <f>VLOOKUP(A3,'BSE ALL CAP'!$B$4:$Y$1038,9,)</f>
        <v>401</v>
      </c>
      <c r="K3" s="101">
        <f>VLOOKUP(A3,'BSE ALL CAP'!$B$4:$Y$1038,10,)</f>
        <v>436</v>
      </c>
      <c r="L3" s="101">
        <f>VLOOKUP(A3,'BSE ALL CAP'!$B$4:$Y$1038,11,)</f>
        <v>3550</v>
      </c>
      <c r="M3" s="101">
        <f>VLOOKUP(A3,'BSE ALL CAP'!$B$4:$Y$1038,12,)</f>
        <v>3590</v>
      </c>
      <c r="N3" s="101">
        <f>VLOOKUP(A3,'BSE ALL CAP'!$B$4:$Y$1038,13,)</f>
        <v>-69</v>
      </c>
      <c r="O3" s="101">
        <f>VLOOKUP(A3,'BSE ALL CAP'!$B$4:$Y$1038,14,)</f>
        <v>-21</v>
      </c>
      <c r="P3" s="95">
        <f>VLOOKUP(A3,'BSE ALL CAP'!$B$4:$Y$1038,15,)</f>
        <v>3.597703211914588E-2</v>
      </c>
      <c r="Q3" s="95">
        <f>VLOOKUP(A3,'BSE ALL CAP'!$B$4:$Y$1038,16,)</f>
        <v>3.8319564071014237E-2</v>
      </c>
      <c r="R3" s="95">
        <f>VLOOKUP(A3,'BSE ALL CAP'!$B$4:$Y$1038,17,)</f>
        <v>-2.3425319518683568E-3</v>
      </c>
      <c r="S3" s="95">
        <f>VLOOKUP(A3,'BSE ALL CAP'!$B$4:$Y$1038,18,)</f>
        <v>-1.9436619718309858E-2</v>
      </c>
      <c r="T3" s="95">
        <f>VLOOKUP(A3,'BSE ALL CAP'!$B$4:$Y$1038,19,)</f>
        <v>-5.8495821727019498E-3</v>
      </c>
      <c r="U3" s="95">
        <f>VLOOKUP(A3,'BSE ALL CAP'!$B$4:$Y$1038,20,)</f>
        <v>-1.3587037545607909E-2</v>
      </c>
      <c r="V3" s="95">
        <f>VLOOKUP(A3,'BSE ALL CAP'!$B$4:$Y$1038,21,)</f>
        <v>-2.0390226753383756E-2</v>
      </c>
      <c r="W3" s="95">
        <f>VLOOKUP(A3,'BSE ALL CAP'!$B$4:$Y$1038,22,)</f>
        <v>-8.0275229357798183E-2</v>
      </c>
      <c r="X3" s="95">
        <f>VLOOKUP(A3,'BSE ALL CAP'!$B$4:$Y$1038,23,)</f>
        <v>-1.1142061281337101E-2</v>
      </c>
      <c r="Y3" s="95">
        <f>VLOOKUP(A3,'BSE ALL CAP'!$B$4:$Y$1038,24,)</f>
        <v>2.2857142857142856</v>
      </c>
    </row>
    <row r="4" spans="1:25" ht="15.75" customHeight="1">
      <c r="A4" s="99">
        <v>500645</v>
      </c>
      <c r="B4" s="98" t="s">
        <v>5475</v>
      </c>
      <c r="C4" s="101" t="str">
        <f>VLOOKUP(A4,'BSE ALL CAP'!$B$4:$Y$1038,2,)</f>
        <v>Commodities</v>
      </c>
      <c r="D4" s="101" t="str">
        <f>VLOOKUP(A4,'BSE ALL CAP'!$B$4:$Y$1038,3,)</f>
        <v>Commodity Chemicals</v>
      </c>
      <c r="E4" s="101">
        <f ca="1">IFERROR(__xludf.DUMMYFUNCTION("GOOGLEFINANCE(""BOM:""&amp;A4,""PRICE"")"),981.4)</f>
        <v>981.4</v>
      </c>
      <c r="F4" s="112">
        <f ca="1">IFERROR(__xludf.DUMMYFUNCTION("GOOGLEFINANCE(""BOM:""&amp;A4,""MARKETCAP"")/10000000"),12380.1412)</f>
        <v>12380.1412</v>
      </c>
      <c r="G4" s="95">
        <f t="shared" ca="1" si="0"/>
        <v>8.6470652100683262E-2</v>
      </c>
      <c r="H4" s="101">
        <f>VLOOKUP(A4,'BSE ALL CAP'!$B$4:$Y$1038,7,)</f>
        <v>8494</v>
      </c>
      <c r="I4" s="101">
        <f>VLOOKUP(A4,'BSE ALL CAP'!$B$4:$Y$1038,8,)</f>
        <v>7607</v>
      </c>
      <c r="J4" s="101">
        <f>VLOOKUP(A4,'BSE ALL CAP'!$B$4:$Y$1038,9,)</f>
        <v>599</v>
      </c>
      <c r="K4" s="101">
        <f>VLOOKUP(A4,'BSE ALL CAP'!$B$4:$Y$1038,10,)</f>
        <v>666</v>
      </c>
      <c r="L4" s="101">
        <f>VLOOKUP(A4,'BSE ALL CAP'!$B$4:$Y$1038,11,)</f>
        <v>2830</v>
      </c>
      <c r="M4" s="101">
        <f>VLOOKUP(A4,'BSE ALL CAP'!$B$4:$Y$1038,12,)</f>
        <v>2579</v>
      </c>
      <c r="N4" s="101">
        <f>VLOOKUP(A4,'BSE ALL CAP'!$B$4:$Y$1038,13,)</f>
        <v>141</v>
      </c>
      <c r="O4" s="101">
        <f>VLOOKUP(A4,'BSE ALL CAP'!$B$4:$Y$1038,14,)</f>
        <v>253</v>
      </c>
      <c r="P4" s="95">
        <f>VLOOKUP(A4,'BSE ALL CAP'!$B$4:$Y$1038,15,)</f>
        <v>7.0520367318106902E-2</v>
      </c>
      <c r="Q4" s="95">
        <f>VLOOKUP(A4,'BSE ALL CAP'!$B$4:$Y$1038,16,)</f>
        <v>8.7550939923754442E-2</v>
      </c>
      <c r="R4" s="95">
        <f>VLOOKUP(A4,'BSE ALL CAP'!$B$4:$Y$1038,17,)</f>
        <v>-1.703057260564754E-2</v>
      </c>
      <c r="S4" s="95">
        <f>VLOOKUP(A4,'BSE ALL CAP'!$B$4:$Y$1038,18,)</f>
        <v>4.9823321554770317E-2</v>
      </c>
      <c r="T4" s="95">
        <f>VLOOKUP(A4,'BSE ALL CAP'!$B$4:$Y$1038,19,)</f>
        <v>9.8100038774718887E-2</v>
      </c>
      <c r="U4" s="95">
        <f>VLOOKUP(A4,'BSE ALL CAP'!$B$4:$Y$1038,20,)</f>
        <v>-4.827671721994857E-2</v>
      </c>
      <c r="V4" s="95">
        <f>VLOOKUP(A4,'BSE ALL CAP'!$B$4:$Y$1038,21,)</f>
        <v>0.11660312869725242</v>
      </c>
      <c r="W4" s="95">
        <f>VLOOKUP(A4,'BSE ALL CAP'!$B$4:$Y$1038,22,)</f>
        <v>-0.10060060060060061</v>
      </c>
      <c r="X4" s="95">
        <f>VLOOKUP(A4,'BSE ALL CAP'!$B$4:$Y$1038,23,)</f>
        <v>9.7324544397053181E-2</v>
      </c>
      <c r="Y4" s="95">
        <f>VLOOKUP(A4,'BSE ALL CAP'!$B$4:$Y$1038,24,)</f>
        <v>-0.44268774703557312</v>
      </c>
    </row>
    <row r="5" spans="1:25" ht="15.75" customHeight="1">
      <c r="A5" s="99">
        <v>500670</v>
      </c>
      <c r="B5" s="98" t="s">
        <v>5476</v>
      </c>
      <c r="C5" s="101" t="str">
        <f>VLOOKUP(A5,'BSE ALL CAP'!$B$4:$Y$1038,2,)</f>
        <v>Commodities</v>
      </c>
      <c r="D5" s="101" t="str">
        <f>VLOOKUP(A5,'BSE ALL CAP'!$B$4:$Y$1038,3,)</f>
        <v>Commodity Chemicals</v>
      </c>
      <c r="E5" s="101">
        <f ca="1">IFERROR(__xludf.DUMMYFUNCTION("GOOGLEFINANCE(""BOM:""&amp;A5,""PRICE"")"),402.15)</f>
        <v>402.15</v>
      </c>
      <c r="F5" s="112">
        <f ca="1">IFERROR(__xludf.DUMMYFUNCTION("GOOGLEFINANCE(""BOM:""&amp;A5,""MARKETCAP"")/10000000"),5908.4816156)</f>
        <v>5908.4816155999997</v>
      </c>
      <c r="G5" s="95">
        <f t="shared" ca="1" si="0"/>
        <v>4.1268532399762171E-2</v>
      </c>
      <c r="H5" s="101">
        <f>VLOOKUP(A5,'BSE ALL CAP'!$B$4:$Y$1038,7,)</f>
        <v>1996</v>
      </c>
      <c r="I5" s="101">
        <f>VLOOKUP(A5,'BSE ALL CAP'!$B$4:$Y$1038,8,)</f>
        <v>1899</v>
      </c>
      <c r="J5" s="101">
        <f>VLOOKUP(A5,'BSE ALL CAP'!$B$4:$Y$1038,9,)</f>
        <v>150</v>
      </c>
      <c r="K5" s="101">
        <f>VLOOKUP(A5,'BSE ALL CAP'!$B$4:$Y$1038,10,)</f>
        <v>163</v>
      </c>
      <c r="L5" s="101">
        <f>VLOOKUP(A5,'BSE ALL CAP'!$B$4:$Y$1038,11,)</f>
        <v>1996</v>
      </c>
      <c r="M5" s="101">
        <f>VLOOKUP(A5,'BSE ALL CAP'!$B$4:$Y$1038,12,)</f>
        <v>1899</v>
      </c>
      <c r="N5" s="101">
        <f>VLOOKUP(A5,'BSE ALL CAP'!$B$4:$Y$1038,13,)</f>
        <v>150</v>
      </c>
      <c r="O5" s="101">
        <f>VLOOKUP(A5,'BSE ALL CAP'!$B$4:$Y$1038,14,)</f>
        <v>158</v>
      </c>
      <c r="P5" s="95">
        <f>VLOOKUP(A5,'BSE ALL CAP'!$B$4:$Y$1038,15,)</f>
        <v>7.5150300601202411E-2</v>
      </c>
      <c r="Q5" s="95">
        <f>VLOOKUP(A5,'BSE ALL CAP'!$B$4:$Y$1038,16,)</f>
        <v>8.5834649815692471E-2</v>
      </c>
      <c r="R5" s="95">
        <f>VLOOKUP(A5,'BSE ALL CAP'!$B$4:$Y$1038,17,)</f>
        <v>-1.068434921449006E-2</v>
      </c>
      <c r="S5" s="95">
        <f>VLOOKUP(A5,'BSE ALL CAP'!$B$4:$Y$1038,18,)</f>
        <v>7.5150300601202411E-2</v>
      </c>
      <c r="T5" s="95">
        <f>VLOOKUP(A5,'BSE ALL CAP'!$B$4:$Y$1038,19,)</f>
        <v>8.3201685097419695E-2</v>
      </c>
      <c r="U5" s="95">
        <f>VLOOKUP(A5,'BSE ALL CAP'!$B$4:$Y$1038,20,)</f>
        <v>-8.0513844962172842E-3</v>
      </c>
      <c r="V5" s="95">
        <f>VLOOKUP(A5,'BSE ALL CAP'!$B$4:$Y$1038,21,)</f>
        <v>5.1079515534491859E-2</v>
      </c>
      <c r="W5" s="95">
        <f>VLOOKUP(A5,'BSE ALL CAP'!$B$4:$Y$1038,22,)</f>
        <v>-7.9754601226993849E-2</v>
      </c>
      <c r="X5" s="95">
        <f>VLOOKUP(A5,'BSE ALL CAP'!$B$4:$Y$1038,23,)</f>
        <v>5.1079515534491859E-2</v>
      </c>
      <c r="Y5" s="95">
        <f>VLOOKUP(A5,'BSE ALL CAP'!$B$4:$Y$1038,24,)</f>
        <v>-5.0632911392405111E-2</v>
      </c>
    </row>
    <row r="6" spans="1:25" ht="15.75" customHeight="1">
      <c r="A6" s="99">
        <v>530001</v>
      </c>
      <c r="B6" s="98" t="s">
        <v>5477</v>
      </c>
      <c r="C6" s="101" t="str">
        <f>VLOOKUP(A6,'BSE ALL CAP'!$B$4:$Y$1038,2,)</f>
        <v>Commodities</v>
      </c>
      <c r="D6" s="101" t="str">
        <f>VLOOKUP(A6,'BSE ALL CAP'!$B$4:$Y$1038,3,)</f>
        <v>Commodity Chemicals</v>
      </c>
      <c r="E6" s="101">
        <f ca="1">IFERROR(__xludf.DUMMYFUNCTION("GOOGLEFINANCE(""BOM:""&amp;A6,""PRICE"")"),588.55)</f>
        <v>588.54999999999995</v>
      </c>
      <c r="F6" s="112">
        <f ca="1">IFERROR(__xludf.DUMMYFUNCTION("GOOGLEFINANCE(""BOM:""&amp;A6,""MARKETCAP"")/10000000"),4316.6226557)</f>
        <v>4316.6226557</v>
      </c>
      <c r="G6" s="95">
        <f t="shared" ca="1" si="0"/>
        <v>3.0149993435532235E-2</v>
      </c>
      <c r="H6" s="101">
        <f>VLOOKUP(A6,'BSE ALL CAP'!$B$4:$Y$1038,7,)</f>
        <v>3232</v>
      </c>
      <c r="I6" s="101">
        <f>VLOOKUP(A6,'BSE ALL CAP'!$B$4:$Y$1038,8,)</f>
        <v>2997</v>
      </c>
      <c r="J6" s="101">
        <f>VLOOKUP(A6,'BSE ALL CAP'!$B$4:$Y$1038,9,)</f>
        <v>-17</v>
      </c>
      <c r="K6" s="101">
        <f>VLOOKUP(A6,'BSE ALL CAP'!$B$4:$Y$1038,10,)</f>
        <v>-73</v>
      </c>
      <c r="L6" s="101">
        <f>VLOOKUP(A6,'BSE ALL CAP'!$B$4:$Y$1038,11,)</f>
        <v>1044</v>
      </c>
      <c r="M6" s="101">
        <f>VLOOKUP(A6,'BSE ALL CAP'!$B$4:$Y$1038,12,)</f>
        <v>1029</v>
      </c>
      <c r="N6" s="101">
        <f>VLOOKUP(A6,'BSE ALL CAP'!$B$4:$Y$1038,13,)</f>
        <v>-19</v>
      </c>
      <c r="O6" s="101">
        <f>VLOOKUP(A6,'BSE ALL CAP'!$B$4:$Y$1038,14,)</f>
        <v>-11</v>
      </c>
      <c r="P6" s="95">
        <f>VLOOKUP(A6,'BSE ALL CAP'!$B$4:$Y$1038,15,)</f>
        <v>-5.2599009900990102E-3</v>
      </c>
      <c r="Q6" s="95">
        <f>VLOOKUP(A6,'BSE ALL CAP'!$B$4:$Y$1038,16,)</f>
        <v>-2.435769102435769E-2</v>
      </c>
      <c r="R6" s="95">
        <f>VLOOKUP(A6,'BSE ALL CAP'!$B$4:$Y$1038,17,)</f>
        <v>1.9097790034258679E-2</v>
      </c>
      <c r="S6" s="95">
        <f>VLOOKUP(A6,'BSE ALL CAP'!$B$4:$Y$1038,18,)</f>
        <v>-1.8199233716475097E-2</v>
      </c>
      <c r="T6" s="95">
        <f>VLOOKUP(A6,'BSE ALL CAP'!$B$4:$Y$1038,19,)</f>
        <v>-1.0689990281827016E-2</v>
      </c>
      <c r="U6" s="95">
        <f>VLOOKUP(A6,'BSE ALL CAP'!$B$4:$Y$1038,20,)</f>
        <v>-7.5092434346480802E-3</v>
      </c>
      <c r="V6" s="95">
        <f>VLOOKUP(A6,'BSE ALL CAP'!$B$4:$Y$1038,21,)</f>
        <v>7.8411745078411643E-2</v>
      </c>
      <c r="W6" s="95">
        <f>VLOOKUP(A6,'BSE ALL CAP'!$B$4:$Y$1038,22,)</f>
        <v>-0.76712328767123283</v>
      </c>
      <c r="X6" s="95">
        <f>VLOOKUP(A6,'BSE ALL CAP'!$B$4:$Y$1038,23,)</f>
        <v>1.4577259475218707E-2</v>
      </c>
      <c r="Y6" s="95">
        <f>VLOOKUP(A6,'BSE ALL CAP'!$B$4:$Y$1038,24,)</f>
        <v>0.72727272727272729</v>
      </c>
    </row>
    <row r="7" spans="1:25" ht="15.75" customHeight="1">
      <c r="A7" s="99">
        <v>543336</v>
      </c>
      <c r="B7" s="98" t="s">
        <v>5478</v>
      </c>
      <c r="C7" s="101" t="str">
        <f>VLOOKUP(A7,'BSE ALL CAP'!$B$4:$Y$1038,2,)</f>
        <v>Commodities</v>
      </c>
      <c r="D7" s="101" t="str">
        <f>VLOOKUP(A7,'BSE ALL CAP'!$B$4:$Y$1038,3,)</f>
        <v>Commodity Chemicals</v>
      </c>
      <c r="E7" s="101">
        <f ca="1">IFERROR(__xludf.DUMMYFUNCTION("GOOGLEFINANCE(""BOM:""&amp;A7,""PRICE"")"),240.4)</f>
        <v>240.4</v>
      </c>
      <c r="F7" s="112">
        <f ca="1">IFERROR(__xludf.DUMMYFUNCTION("GOOGLEFINANCE(""BOM:""&amp;A7,""MARKETCAP"")/10000000"),3798.5807375)</f>
        <v>3798.5807374999999</v>
      </c>
      <c r="G7" s="95">
        <f t="shared" ca="1" si="0"/>
        <v>2.6531664552317008E-2</v>
      </c>
      <c r="H7" s="101">
        <f>VLOOKUP(A7,'BSE ALL CAP'!$B$4:$Y$1038,7,)</f>
        <v>2968</v>
      </c>
      <c r="I7" s="101">
        <f>VLOOKUP(A7,'BSE ALL CAP'!$B$4:$Y$1038,8,)</f>
        <v>3195</v>
      </c>
      <c r="J7" s="101">
        <f>VLOOKUP(A7,'BSE ALL CAP'!$B$4:$Y$1038,9,)</f>
        <v>-234</v>
      </c>
      <c r="K7" s="101">
        <f>VLOOKUP(A7,'BSE ALL CAP'!$B$4:$Y$1038,10,)</f>
        <v>-56</v>
      </c>
      <c r="L7" s="101">
        <f>VLOOKUP(A7,'BSE ALL CAP'!$B$4:$Y$1038,11,)</f>
        <v>835</v>
      </c>
      <c r="M7" s="101">
        <f>VLOOKUP(A7,'BSE ALL CAP'!$B$4:$Y$1038,12,)</f>
        <v>1058</v>
      </c>
      <c r="N7" s="101">
        <f>VLOOKUP(A7,'BSE ALL CAP'!$B$4:$Y$1038,13,)</f>
        <v>-119</v>
      </c>
      <c r="O7" s="101">
        <f>VLOOKUP(A7,'BSE ALL CAP'!$B$4:$Y$1038,14,)</f>
        <v>-49</v>
      </c>
      <c r="P7" s="95">
        <f>VLOOKUP(A7,'BSE ALL CAP'!$B$4:$Y$1038,15,)</f>
        <v>-7.8840970350404313E-2</v>
      </c>
      <c r="Q7" s="95">
        <f>VLOOKUP(A7,'BSE ALL CAP'!$B$4:$Y$1038,16,)</f>
        <v>-1.7527386541471048E-2</v>
      </c>
      <c r="R7" s="95">
        <f>VLOOKUP(A7,'BSE ALL CAP'!$B$4:$Y$1038,17,)</f>
        <v>-6.1313583808933265E-2</v>
      </c>
      <c r="S7" s="95">
        <f>VLOOKUP(A7,'BSE ALL CAP'!$B$4:$Y$1038,18,)</f>
        <v>-0.14251497005988023</v>
      </c>
      <c r="T7" s="95">
        <f>VLOOKUP(A7,'BSE ALL CAP'!$B$4:$Y$1038,19,)</f>
        <v>-4.6313799621928164E-2</v>
      </c>
      <c r="U7" s="95">
        <f>VLOOKUP(A7,'BSE ALL CAP'!$B$4:$Y$1038,20,)</f>
        <v>-9.6201170437952066E-2</v>
      </c>
      <c r="V7" s="95">
        <f>VLOOKUP(A7,'BSE ALL CAP'!$B$4:$Y$1038,21,)</f>
        <v>-7.1048513302034433E-2</v>
      </c>
      <c r="W7" s="95">
        <f>VLOOKUP(A7,'BSE ALL CAP'!$B$4:$Y$1038,22,)</f>
        <v>3.1785714285714288</v>
      </c>
      <c r="X7" s="95">
        <f>VLOOKUP(A7,'BSE ALL CAP'!$B$4:$Y$1038,23,)</f>
        <v>-0.21077504725897922</v>
      </c>
      <c r="Y7" s="95">
        <f>VLOOKUP(A7,'BSE ALL CAP'!$B$4:$Y$1038,24,)</f>
        <v>1.4285714285714284</v>
      </c>
    </row>
    <row r="8" spans="1:25" ht="15.75" customHeight="1">
      <c r="A8" s="99">
        <v>500171</v>
      </c>
      <c r="B8" s="98" t="s">
        <v>5479</v>
      </c>
      <c r="C8" s="101" t="str">
        <f>VLOOKUP(A8,'BSE ALL CAP'!$B$4:$Y$1038,2,)</f>
        <v>Commodities</v>
      </c>
      <c r="D8" s="101" t="str">
        <f>VLOOKUP(A8,'BSE ALL CAP'!$B$4:$Y$1038,3,)</f>
        <v>Commodity Chemicals</v>
      </c>
      <c r="E8" s="101">
        <f ca="1">IFERROR(__xludf.DUMMYFUNCTION("GOOGLEFINANCE(""BOM:""&amp;A8,""PRICE"")"),451.05)</f>
        <v>451.05</v>
      </c>
      <c r="F8" s="112">
        <f ca="1">IFERROR(__xludf.DUMMYFUNCTION("GOOGLEFINANCE(""BOM:""&amp;A8,""MARKETCAP"")/10000000"),4148.0591112)</f>
        <v>4148.0591112000002</v>
      </c>
      <c r="G8" s="95">
        <f t="shared" ca="1" si="0"/>
        <v>2.897264017454378E-2</v>
      </c>
      <c r="H8" s="101">
        <f>VLOOKUP(A8,'BSE ALL CAP'!$B$4:$Y$1038,7,)</f>
        <v>2274</v>
      </c>
      <c r="I8" s="101">
        <f>VLOOKUP(A8,'BSE ALL CAP'!$B$4:$Y$1038,8,)</f>
        <v>2402</v>
      </c>
      <c r="J8" s="101">
        <f>VLOOKUP(A8,'BSE ALL CAP'!$B$4:$Y$1038,9,)</f>
        <v>357</v>
      </c>
      <c r="K8" s="101">
        <f>VLOOKUP(A8,'BSE ALL CAP'!$B$4:$Y$1038,10,)</f>
        <v>474</v>
      </c>
      <c r="L8" s="101">
        <f>VLOOKUP(A8,'BSE ALL CAP'!$B$4:$Y$1038,11,)</f>
        <v>757</v>
      </c>
      <c r="M8" s="101">
        <f>VLOOKUP(A8,'BSE ALL CAP'!$B$4:$Y$1038,12,)</f>
        <v>779</v>
      </c>
      <c r="N8" s="101">
        <f>VLOOKUP(A8,'BSE ALL CAP'!$B$4:$Y$1038,13,)</f>
        <v>106</v>
      </c>
      <c r="O8" s="101">
        <f>VLOOKUP(A8,'BSE ALL CAP'!$B$4:$Y$1038,14,)</f>
        <v>168</v>
      </c>
      <c r="P8" s="95">
        <f>VLOOKUP(A8,'BSE ALL CAP'!$B$4:$Y$1038,15,)</f>
        <v>0.15699208443271767</v>
      </c>
      <c r="Q8" s="95">
        <f>VLOOKUP(A8,'BSE ALL CAP'!$B$4:$Y$1038,16,)</f>
        <v>0.19733555370524564</v>
      </c>
      <c r="R8" s="95">
        <f>VLOOKUP(A8,'BSE ALL CAP'!$B$4:$Y$1038,17,)</f>
        <v>-4.0343469272527965E-2</v>
      </c>
      <c r="S8" s="95">
        <f>VLOOKUP(A8,'BSE ALL CAP'!$B$4:$Y$1038,18,)</f>
        <v>0.14002642007926025</v>
      </c>
      <c r="T8" s="95">
        <f>VLOOKUP(A8,'BSE ALL CAP'!$B$4:$Y$1038,19,)</f>
        <v>0.21566110397946084</v>
      </c>
      <c r="U8" s="95">
        <f>VLOOKUP(A8,'BSE ALL CAP'!$B$4:$Y$1038,20,)</f>
        <v>-7.5634683900200589E-2</v>
      </c>
      <c r="V8" s="95">
        <f>VLOOKUP(A8,'BSE ALL CAP'!$B$4:$Y$1038,21,)</f>
        <v>-5.328892589508738E-2</v>
      </c>
      <c r="W8" s="95">
        <f>VLOOKUP(A8,'BSE ALL CAP'!$B$4:$Y$1038,22,)</f>
        <v>-0.24683544303797467</v>
      </c>
      <c r="X8" s="95">
        <f>VLOOKUP(A8,'BSE ALL CAP'!$B$4:$Y$1038,23,)</f>
        <v>-2.8241335044929428E-2</v>
      </c>
      <c r="Y8" s="95">
        <f>VLOOKUP(A8,'BSE ALL CAP'!$B$4:$Y$1038,24,)</f>
        <v>-0.36904761904761907</v>
      </c>
    </row>
    <row r="9" spans="1:25" ht="15.75" customHeight="1">
      <c r="A9" s="99">
        <v>506854</v>
      </c>
      <c r="B9" s="98" t="s">
        <v>5480</v>
      </c>
      <c r="C9" s="101" t="str">
        <f>VLOOKUP(A9,'BSE ALL CAP'!$B$4:$Y$1038,2,)</f>
        <v>Commodities</v>
      </c>
      <c r="D9" s="101" t="str">
        <f>VLOOKUP(A9,'BSE ALL CAP'!$B$4:$Y$1038,3,)</f>
        <v>Commodity Chemicals</v>
      </c>
      <c r="E9" s="101">
        <f ca="1">IFERROR(__xludf.DUMMYFUNCTION("GOOGLEFINANCE(""BOM:""&amp;A9,""PRICE"")"),2010.2)</f>
        <v>2010.2</v>
      </c>
      <c r="F9" s="112">
        <f ca="1">IFERROR(__xludf.DUMMYFUNCTION("GOOGLEFINANCE(""BOM:""&amp;A9,""MARKETCAP"")/10000000"),4010.3468923)</f>
        <v>4010.3468923</v>
      </c>
      <c r="G9" s="95">
        <f t="shared" ca="1" si="0"/>
        <v>2.8010771874486341E-2</v>
      </c>
      <c r="H9" s="101">
        <f>VLOOKUP(A9,'BSE ALL CAP'!$B$4:$Y$1038,7,)</f>
        <v>517</v>
      </c>
      <c r="I9" s="101">
        <f>VLOOKUP(A9,'BSE ALL CAP'!$B$4:$Y$1038,8,)</f>
        <v>385</v>
      </c>
      <c r="J9" s="101">
        <f>VLOOKUP(A9,'BSE ALL CAP'!$B$4:$Y$1038,9,)</f>
        <v>52</v>
      </c>
      <c r="K9" s="101">
        <f>VLOOKUP(A9,'BSE ALL CAP'!$B$4:$Y$1038,10,)</f>
        <v>65</v>
      </c>
      <c r="L9" s="101">
        <f>VLOOKUP(A9,'BSE ALL CAP'!$B$4:$Y$1038,11,)</f>
        <v>173</v>
      </c>
      <c r="M9" s="101">
        <f>VLOOKUP(A9,'BSE ALL CAP'!$B$4:$Y$1038,12,)</f>
        <v>178</v>
      </c>
      <c r="N9" s="101">
        <f>VLOOKUP(A9,'BSE ALL CAP'!$B$4:$Y$1038,13,)</f>
        <v>15</v>
      </c>
      <c r="O9" s="101">
        <f>VLOOKUP(A9,'BSE ALL CAP'!$B$4:$Y$1038,14,)</f>
        <v>34</v>
      </c>
      <c r="P9" s="95">
        <f>VLOOKUP(A9,'BSE ALL CAP'!$B$4:$Y$1038,15,)</f>
        <v>0.10058027079303675</v>
      </c>
      <c r="Q9" s="95">
        <f>VLOOKUP(A9,'BSE ALL CAP'!$B$4:$Y$1038,16,)</f>
        <v>0.16883116883116883</v>
      </c>
      <c r="R9" s="95">
        <f>VLOOKUP(A9,'BSE ALL CAP'!$B$4:$Y$1038,17,)</f>
        <v>-6.8250898038132085E-2</v>
      </c>
      <c r="S9" s="95">
        <f>VLOOKUP(A9,'BSE ALL CAP'!$B$4:$Y$1038,18,)</f>
        <v>8.6705202312138727E-2</v>
      </c>
      <c r="T9" s="95">
        <f>VLOOKUP(A9,'BSE ALL CAP'!$B$4:$Y$1038,19,)</f>
        <v>0.19101123595505617</v>
      </c>
      <c r="U9" s="95">
        <f>VLOOKUP(A9,'BSE ALL CAP'!$B$4:$Y$1038,20,)</f>
        <v>-0.10430603364291745</v>
      </c>
      <c r="V9" s="95">
        <f>VLOOKUP(A9,'BSE ALL CAP'!$B$4:$Y$1038,21,)</f>
        <v>0.34285714285714275</v>
      </c>
      <c r="W9" s="95">
        <f>VLOOKUP(A9,'BSE ALL CAP'!$B$4:$Y$1038,22,)</f>
        <v>-0.19999999999999996</v>
      </c>
      <c r="X9" s="95">
        <f>VLOOKUP(A9,'BSE ALL CAP'!$B$4:$Y$1038,23,)</f>
        <v>-2.8089887640449396E-2</v>
      </c>
      <c r="Y9" s="95">
        <f>VLOOKUP(A9,'BSE ALL CAP'!$B$4:$Y$1038,24,)</f>
        <v>-0.55882352941176472</v>
      </c>
    </row>
    <row r="10" spans="1:25" ht="15.75" customHeight="1">
      <c r="A10" s="99">
        <v>505710</v>
      </c>
      <c r="B10" s="98" t="s">
        <v>5481</v>
      </c>
      <c r="C10" s="101" t="str">
        <f>VLOOKUP(A10,'BSE ALL CAP'!$B$4:$Y$1038,2,)</f>
        <v>Commodities</v>
      </c>
      <c r="D10" s="101" t="str">
        <f>VLOOKUP(A10,'BSE ALL CAP'!$B$4:$Y$1038,3,)</f>
        <v>Commodity Chemicals</v>
      </c>
      <c r="E10" s="101">
        <f ca="1">IFERROR(__xludf.DUMMYFUNCTION("GOOGLEFINANCE(""BOM:""&amp;A10,""PRICE"")"),64.91)</f>
        <v>64.91</v>
      </c>
      <c r="F10" s="112">
        <f ca="1">IFERROR(__xludf.DUMMYFUNCTION("GOOGLEFINANCE(""BOM:""&amp;A10,""MARKETCAP"")/10000000"),2943.0935634)</f>
        <v>2943.0935634000002</v>
      </c>
      <c r="G10" s="95">
        <f t="shared" ca="1" si="0"/>
        <v>2.0556406870425811E-2</v>
      </c>
      <c r="H10" s="101">
        <f>VLOOKUP(A10,'BSE ALL CAP'!$B$4:$Y$1038,7,)</f>
        <v>835</v>
      </c>
      <c r="I10" s="101">
        <f>VLOOKUP(A10,'BSE ALL CAP'!$B$4:$Y$1038,8,)</f>
        <v>793</v>
      </c>
      <c r="J10" s="101">
        <f>VLOOKUP(A10,'BSE ALL CAP'!$B$4:$Y$1038,9,)</f>
        <v>112</v>
      </c>
      <c r="K10" s="101">
        <f>VLOOKUP(A10,'BSE ALL CAP'!$B$4:$Y$1038,10,)</f>
        <v>130</v>
      </c>
      <c r="L10" s="101">
        <f>VLOOKUP(A10,'BSE ALL CAP'!$B$4:$Y$1038,11,)</f>
        <v>290</v>
      </c>
      <c r="M10" s="101">
        <f>VLOOKUP(A10,'BSE ALL CAP'!$B$4:$Y$1038,12,)</f>
        <v>274</v>
      </c>
      <c r="N10" s="101">
        <f>VLOOKUP(A10,'BSE ALL CAP'!$B$4:$Y$1038,13,)</f>
        <v>32</v>
      </c>
      <c r="O10" s="101">
        <f>VLOOKUP(A10,'BSE ALL CAP'!$B$4:$Y$1038,14,)</f>
        <v>43</v>
      </c>
      <c r="P10" s="95">
        <f>VLOOKUP(A10,'BSE ALL CAP'!$B$4:$Y$1038,15,)</f>
        <v>0.1341317365269461</v>
      </c>
      <c r="Q10" s="95">
        <f>VLOOKUP(A10,'BSE ALL CAP'!$B$4:$Y$1038,16,)</f>
        <v>0.16393442622950818</v>
      </c>
      <c r="R10" s="95">
        <f>VLOOKUP(A10,'BSE ALL CAP'!$B$4:$Y$1038,17,)</f>
        <v>-2.9802689702562085E-2</v>
      </c>
      <c r="S10" s="95">
        <f>VLOOKUP(A10,'BSE ALL CAP'!$B$4:$Y$1038,18,)</f>
        <v>0.1103448275862069</v>
      </c>
      <c r="T10" s="95">
        <f>VLOOKUP(A10,'BSE ALL CAP'!$B$4:$Y$1038,19,)</f>
        <v>0.15693430656934307</v>
      </c>
      <c r="U10" s="95">
        <f>VLOOKUP(A10,'BSE ALL CAP'!$B$4:$Y$1038,20,)</f>
        <v>-4.6589478983136173E-2</v>
      </c>
      <c r="V10" s="95">
        <f>VLOOKUP(A10,'BSE ALL CAP'!$B$4:$Y$1038,21,)</f>
        <v>5.296343001261028E-2</v>
      </c>
      <c r="W10" s="95">
        <f>VLOOKUP(A10,'BSE ALL CAP'!$B$4:$Y$1038,22,)</f>
        <v>-0.13846153846153841</v>
      </c>
      <c r="X10" s="95">
        <f>VLOOKUP(A10,'BSE ALL CAP'!$B$4:$Y$1038,23,)</f>
        <v>5.8394160583941535E-2</v>
      </c>
      <c r="Y10" s="95">
        <f>VLOOKUP(A10,'BSE ALL CAP'!$B$4:$Y$1038,24,)</f>
        <v>-0.2558139534883721</v>
      </c>
    </row>
    <row r="11" spans="1:25" ht="15.75" customHeight="1">
      <c r="A11" s="99">
        <v>500412</v>
      </c>
      <c r="B11" s="98" t="s">
        <v>5482</v>
      </c>
      <c r="C11" s="101" t="str">
        <f>VLOOKUP(A11,'BSE ALL CAP'!$B$4:$Y$1038,2,)</f>
        <v>Commodities</v>
      </c>
      <c r="D11" s="101" t="str">
        <f>VLOOKUP(A11,'BSE ALL CAP'!$B$4:$Y$1038,3,)</f>
        <v>Commodity Chemicals</v>
      </c>
      <c r="E11" s="101">
        <f ca="1">IFERROR(__xludf.DUMMYFUNCTION("GOOGLEFINANCE(""BOM:""&amp;A11,""PRICE"")"),173.4)</f>
        <v>173.4</v>
      </c>
      <c r="F11" s="112">
        <f ca="1">IFERROR(__xludf.DUMMYFUNCTION("GOOGLEFINANCE(""BOM:""&amp;A11,""MARKETCAP"")/10000000"),2092.0714748)</f>
        <v>2092.0714748</v>
      </c>
      <c r="G11" s="95">
        <f t="shared" ca="1" si="0"/>
        <v>1.46123361393644E-2</v>
      </c>
      <c r="H11" s="101">
        <f>VLOOKUP(A11,'BSE ALL CAP'!$B$4:$Y$1038,7,)</f>
        <v>1311</v>
      </c>
      <c r="I11" s="101">
        <f>VLOOKUP(A11,'BSE ALL CAP'!$B$4:$Y$1038,8,)</f>
        <v>1526</v>
      </c>
      <c r="J11" s="101">
        <f>VLOOKUP(A11,'BSE ALL CAP'!$B$4:$Y$1038,9,)</f>
        <v>-139</v>
      </c>
      <c r="K11" s="101">
        <f>VLOOKUP(A11,'BSE ALL CAP'!$B$4:$Y$1038,10,)</f>
        <v>-32</v>
      </c>
      <c r="L11" s="101">
        <f>VLOOKUP(A11,'BSE ALL CAP'!$B$4:$Y$1038,11,)</f>
        <v>415</v>
      </c>
      <c r="M11" s="101">
        <f>VLOOKUP(A11,'BSE ALL CAP'!$B$4:$Y$1038,12,)</f>
        <v>446</v>
      </c>
      <c r="N11" s="101">
        <f>VLOOKUP(A11,'BSE ALL CAP'!$B$4:$Y$1038,13,)</f>
        <v>-46</v>
      </c>
      <c r="O11" s="101">
        <f>VLOOKUP(A11,'BSE ALL CAP'!$B$4:$Y$1038,14,)</f>
        <v>-42</v>
      </c>
      <c r="P11" s="95">
        <f>VLOOKUP(A11,'BSE ALL CAP'!$B$4:$Y$1038,15,)</f>
        <v>-0.10602593440122045</v>
      </c>
      <c r="Q11" s="95">
        <f>VLOOKUP(A11,'BSE ALL CAP'!$B$4:$Y$1038,16,)</f>
        <v>-2.0969855832241154E-2</v>
      </c>
      <c r="R11" s="95">
        <f>VLOOKUP(A11,'BSE ALL CAP'!$B$4:$Y$1038,17,)</f>
        <v>-8.5056078568979288E-2</v>
      </c>
      <c r="S11" s="95">
        <f>VLOOKUP(A11,'BSE ALL CAP'!$B$4:$Y$1038,18,)</f>
        <v>-0.1108433734939759</v>
      </c>
      <c r="T11" s="95">
        <f>VLOOKUP(A11,'BSE ALL CAP'!$B$4:$Y$1038,19,)</f>
        <v>-9.417040358744394E-2</v>
      </c>
      <c r="U11" s="95">
        <f>VLOOKUP(A11,'BSE ALL CAP'!$B$4:$Y$1038,20,)</f>
        <v>-1.6672969906531956E-2</v>
      </c>
      <c r="V11" s="95">
        <f>VLOOKUP(A11,'BSE ALL CAP'!$B$4:$Y$1038,21,)</f>
        <v>-0.14089121887287026</v>
      </c>
      <c r="W11" s="95">
        <f>VLOOKUP(A11,'BSE ALL CAP'!$B$4:$Y$1038,22,)</f>
        <v>3.34375</v>
      </c>
      <c r="X11" s="95">
        <f>VLOOKUP(A11,'BSE ALL CAP'!$B$4:$Y$1038,23,)</f>
        <v>-6.9506726457399082E-2</v>
      </c>
      <c r="Y11" s="95">
        <f>VLOOKUP(A11,'BSE ALL CAP'!$B$4:$Y$1038,24,)</f>
        <v>9.5238095238095344E-2</v>
      </c>
    </row>
    <row r="12" spans="1:25" ht="15.75" customHeight="1">
      <c r="A12" s="99">
        <v>514440</v>
      </c>
      <c r="B12" s="98" t="s">
        <v>5483</v>
      </c>
      <c r="C12" s="101" t="e">
        <f>VLOOKUP(A12,'BSE ALL CAP'!$B$4:$Y$1038,2,)</f>
        <v>#N/A</v>
      </c>
      <c r="D12" s="101" t="e">
        <f>VLOOKUP(A12,'BSE ALL CAP'!$B$4:$Y$1038,3,)</f>
        <v>#N/A</v>
      </c>
      <c r="E12" s="101">
        <f ca="1">IFERROR(__xludf.DUMMYFUNCTION("GOOGLEFINANCE(""BOM:""&amp;A12,""PRICE"")"),22.16)</f>
        <v>22.16</v>
      </c>
      <c r="F12" s="112">
        <f ca="1">IFERROR(__xludf.DUMMYFUNCTION("GOOGLEFINANCE(""BOM:""&amp;A12,""MARKETCAP"")/10000000"),1335.2727292)</f>
        <v>1335.2727292</v>
      </c>
      <c r="G12" s="95">
        <f t="shared" ca="1" si="0"/>
        <v>9.3263801891195763E-3</v>
      </c>
      <c r="H12" s="101"/>
      <c r="I12" s="101"/>
      <c r="J12" s="101"/>
      <c r="K12" s="101"/>
      <c r="L12" s="101"/>
      <c r="M12" s="101"/>
      <c r="N12" s="101"/>
      <c r="O12" s="101"/>
      <c r="P12" s="101" t="e">
        <f>VLOOKUP(A12,'BSE ALL CAP'!$B$4:$Y$1038,15,)</f>
        <v>#N/A</v>
      </c>
      <c r="Q12" s="101" t="e">
        <f>VLOOKUP(A12,'BSE ALL CAP'!$B$4:$Y$1038,16,)</f>
        <v>#N/A</v>
      </c>
      <c r="R12" s="101" t="e">
        <f>VLOOKUP(A12,'BSE ALL CAP'!$B$4:$Y$1038,17,)</f>
        <v>#N/A</v>
      </c>
      <c r="S12" s="101" t="e">
        <f>VLOOKUP(A12,'BSE ALL CAP'!$B$4:$Y$1038,18,)</f>
        <v>#N/A</v>
      </c>
      <c r="T12" s="101" t="e">
        <f>VLOOKUP(A12,'BSE ALL CAP'!$B$4:$Y$1038,19,)</f>
        <v>#N/A</v>
      </c>
      <c r="U12" s="101" t="e">
        <f>VLOOKUP(A12,'BSE ALL CAP'!$B$4:$Y$1038,20,)</f>
        <v>#N/A</v>
      </c>
      <c r="V12" s="101" t="e">
        <f>VLOOKUP(A12,'BSE ALL CAP'!$B$4:$Y$1038,21,)</f>
        <v>#N/A</v>
      </c>
      <c r="W12" s="101" t="e">
        <f>VLOOKUP(A12,'BSE ALL CAP'!$B$4:$Y$1038,22,)</f>
        <v>#N/A</v>
      </c>
      <c r="X12" s="101" t="e">
        <f>VLOOKUP(A12,'BSE ALL CAP'!$B$4:$Y$1038,23,)</f>
        <v>#N/A</v>
      </c>
      <c r="Y12" s="101" t="e">
        <f>VLOOKUP(A12,'BSE ALL CAP'!$B$4:$Y$1038,24,)</f>
        <v>#N/A</v>
      </c>
    </row>
    <row r="13" spans="1:25" ht="15.75" customHeight="1">
      <c r="A13" s="99">
        <v>544138</v>
      </c>
      <c r="B13" s="98" t="s">
        <v>5484</v>
      </c>
      <c r="C13" s="101"/>
      <c r="D13" s="101"/>
      <c r="E13" s="101">
        <f ca="1">IFERROR(__xludf.DUMMYFUNCTION("GOOGLEFINANCE(""BOM:""&amp;A13,""PRICE"")"),339.65)</f>
        <v>339.65</v>
      </c>
      <c r="F13" s="112">
        <f ca="1">IFERROR(__xludf.DUMMYFUNCTION("GOOGLEFINANCE(""BOM:""&amp;A13,""MARKETCAP"")/10000000"),1334.285343)</f>
        <v>1334.285343</v>
      </c>
      <c r="G13" s="95">
        <f t="shared" ca="1" si="0"/>
        <v>9.3194836661147154E-3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500199</v>
      </c>
      <c r="B14" s="98" t="s">
        <v>5485</v>
      </c>
      <c r="C14" s="101"/>
      <c r="D14" s="101"/>
      <c r="E14" s="101">
        <f ca="1">IFERROR(__xludf.DUMMYFUNCTION("GOOGLEFINANCE(""BOM:""&amp;A14,""PRICE"")"),363.95)</f>
        <v>363.95</v>
      </c>
      <c r="F14" s="112">
        <f ca="1">IFERROR(__xludf.DUMMYFUNCTION("GOOGLEFINANCE(""BOM:""&amp;A14,""MARKETCAP"")/10000000"),1114.4652408)</f>
        <v>1114.4652407999999</v>
      </c>
      <c r="G14" s="95">
        <f t="shared" ca="1" si="0"/>
        <v>7.7841225361404602E-3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590062</v>
      </c>
      <c r="B15" s="98" t="s">
        <v>5486</v>
      </c>
      <c r="C15" s="101"/>
      <c r="D15" s="101"/>
      <c r="E15" s="101">
        <f ca="1">IFERROR(__xludf.DUMMYFUNCTION("GOOGLEFINANCE(""BOM:""&amp;A15,""PRICE"")"),73.73)</f>
        <v>73.73</v>
      </c>
      <c r="F15" s="112">
        <f ca="1">IFERROR(__xludf.DUMMYFUNCTION("GOOGLEFINANCE(""BOM:""&amp;A15,""MARKETCAP"")/10000000"),1004.7231416)</f>
        <v>1004.7231416</v>
      </c>
      <c r="G15" s="95">
        <f t="shared" ca="1" si="0"/>
        <v>7.0176150523064409E-3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507753</v>
      </c>
      <c r="B16" s="98" t="s">
        <v>5487</v>
      </c>
      <c r="C16" s="101"/>
      <c r="D16" s="101"/>
      <c r="E16" s="101">
        <f ca="1">IFERROR(__xludf.DUMMYFUNCTION("GOOGLEFINANCE(""BOM:""&amp;A16,""PRICE"")"),98.3)</f>
        <v>98.3</v>
      </c>
      <c r="F16" s="112">
        <f ca="1">IFERROR(__xludf.DUMMYFUNCTION("GOOGLEFINANCE(""BOM:""&amp;A16,""MARKETCAP"")/10000000"),1052.6927666)</f>
        <v>1052.6927665999999</v>
      </c>
      <c r="G16" s="95">
        <f t="shared" ca="1" si="0"/>
        <v>7.3526649267598304E-3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524342</v>
      </c>
      <c r="B17" s="98" t="s">
        <v>5488</v>
      </c>
      <c r="C17" s="101"/>
      <c r="D17" s="101"/>
      <c r="E17" s="101">
        <f ca="1">IFERROR(__xludf.DUMMYFUNCTION("GOOGLEFINANCE(""BOM:""&amp;A17,""PRICE"")"),252.5)</f>
        <v>252.5</v>
      </c>
      <c r="F17" s="112">
        <f ca="1">IFERROR(__xludf.DUMMYFUNCTION("GOOGLEFINANCE(""BOM:""&amp;A17,""MARKETCAP"")/10000000"),811.876747)</f>
        <v>811.87674700000002</v>
      </c>
      <c r="G17" s="95">
        <f t="shared" ca="1" si="0"/>
        <v>5.6706551730178528E-3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506248</v>
      </c>
      <c r="B18" s="98" t="s">
        <v>5489</v>
      </c>
      <c r="C18" s="101"/>
      <c r="D18" s="101"/>
      <c r="E18" s="101">
        <f ca="1">IFERROR(__xludf.DUMMYFUNCTION("GOOGLEFINANCE(""BOM:""&amp;A18,""PRICE"")"),144.6)</f>
        <v>144.6</v>
      </c>
      <c r="F18" s="112">
        <f ca="1">IFERROR(__xludf.DUMMYFUNCTION("GOOGLEFINANCE(""BOM:""&amp;A18,""MARKETCAP"")/10000000"),791.5725692)</f>
        <v>791.57256919999998</v>
      </c>
      <c r="G18" s="95">
        <f t="shared" ca="1" si="0"/>
        <v>5.5288380914215443E-3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532842</v>
      </c>
      <c r="B19" s="98" t="s">
        <v>5490</v>
      </c>
      <c r="C19" s="101"/>
      <c r="D19" s="101"/>
      <c r="E19" s="101">
        <f ca="1">IFERROR(__xludf.DUMMYFUNCTION("GOOGLEFINANCE(""BOM:""&amp;A19,""PRICE"")"),426)</f>
        <v>426</v>
      </c>
      <c r="F19" s="112">
        <f ca="1">IFERROR(__xludf.DUMMYFUNCTION("GOOGLEFINANCE(""BOM:""&amp;A19,""MARKETCAP"")/10000000"),736.370778)</f>
        <v>736.37077799999997</v>
      </c>
      <c r="G19" s="95">
        <f t="shared" ca="1" si="0"/>
        <v>5.1432742432329821E-3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506808</v>
      </c>
      <c r="B20" s="98" t="s">
        <v>5491</v>
      </c>
      <c r="C20" s="101"/>
      <c r="D20" s="101"/>
      <c r="E20" s="101">
        <f ca="1">IFERROR(__xludf.DUMMYFUNCTION("GOOGLEFINANCE(""BOM:""&amp;A20,""PRICE"")"),49.45)</f>
        <v>49.45</v>
      </c>
      <c r="F20" s="112">
        <f ca="1">IFERROR(__xludf.DUMMYFUNCTION("GOOGLEFINANCE(""BOM:""&amp;A20,""MARKETCAP"")/10000000"),602.4780402)</f>
        <v>602.47804020000001</v>
      </c>
      <c r="G20" s="95">
        <f t="shared" ca="1" si="0"/>
        <v>4.2080835889364227E-3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506687</v>
      </c>
      <c r="B21" s="98" t="s">
        <v>5492</v>
      </c>
      <c r="C21" s="101"/>
      <c r="D21" s="101"/>
      <c r="E21" s="101">
        <f ca="1">IFERROR(__xludf.DUMMYFUNCTION("GOOGLEFINANCE(""BOM:""&amp;A21,""PRICE"")"),986)</f>
        <v>986</v>
      </c>
      <c r="F21" s="112">
        <f ca="1">IFERROR(__xludf.DUMMYFUNCTION("GOOGLEFINANCE(""BOM:""&amp;A21,""MARKETCAP"")/10000000"),550.7370048)</f>
        <v>550.73700480000002</v>
      </c>
      <c r="G21" s="95">
        <f t="shared" ca="1" si="0"/>
        <v>3.8466918245676496E-3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539195</v>
      </c>
      <c r="B22" s="98" t="s">
        <v>5493</v>
      </c>
      <c r="C22" s="101"/>
      <c r="D22" s="101"/>
      <c r="E22" s="101">
        <f ca="1">IFERROR(__xludf.DUMMYFUNCTION("GOOGLEFINANCE(""BOM:""&amp;A22,""PRICE"")"),171.2)</f>
        <v>171.2</v>
      </c>
      <c r="F22" s="112">
        <f ca="1">IFERROR(__xludf.DUMMYFUNCTION("GOOGLEFINANCE(""BOM:""&amp;A22,""MARKETCAP"")/10000000"),526.7152802)</f>
        <v>526.71528020000005</v>
      </c>
      <c r="G22" s="95">
        <f t="shared" ca="1" si="0"/>
        <v>3.6789090701395319E-3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506852</v>
      </c>
      <c r="B23" s="98" t="s">
        <v>5494</v>
      </c>
      <c r="C23" s="101"/>
      <c r="D23" s="101"/>
      <c r="E23" s="101">
        <f ca="1">IFERROR(__xludf.DUMMYFUNCTION("GOOGLEFINANCE(""BOM:""&amp;A23,""PRICE"")"),22)</f>
        <v>22</v>
      </c>
      <c r="F23" s="112">
        <f ca="1">IFERROR(__xludf.DUMMYFUNCTION("GOOGLEFINANCE(""BOM:""&amp;A23,""MARKETCAP"")/10000000"),537.5172249)</f>
        <v>537.51722489999997</v>
      </c>
      <c r="G23" s="95">
        <f t="shared" ca="1" si="0"/>
        <v>3.7543566104442025E-3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541269</v>
      </c>
      <c r="B24" s="98" t="s">
        <v>5495</v>
      </c>
      <c r="C24" s="101"/>
      <c r="D24" s="101"/>
      <c r="E24" s="101">
        <f ca="1">IFERROR(__xludf.DUMMYFUNCTION("GOOGLEFINANCE(""BOM:""&amp;A24,""PRICE"")"),338.85)</f>
        <v>338.85</v>
      </c>
      <c r="F24" s="112">
        <f ca="1">IFERROR(__xludf.DUMMYFUNCTION("GOOGLEFINANCE(""BOM:""&amp;A24,""MARKETCAP"")/10000000"),490.5025125)</f>
        <v>490.50251250000002</v>
      </c>
      <c r="G24" s="95">
        <f t="shared" ca="1" si="0"/>
        <v>3.4259764430553141E-3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530477</v>
      </c>
      <c r="B25" s="98" t="s">
        <v>5496</v>
      </c>
      <c r="C25" s="101"/>
      <c r="D25" s="101"/>
      <c r="E25" s="101">
        <f ca="1">IFERROR(__xludf.DUMMYFUNCTION("GOOGLEFINANCE(""BOM:""&amp;A25,""PRICE"")"),151.95)</f>
        <v>151.94999999999999</v>
      </c>
      <c r="F25" s="112">
        <f ca="1">IFERROR(__xludf.DUMMYFUNCTION("GOOGLEFINANCE(""BOM:""&amp;A25,""MARKETCAP"")/10000000"),476.4823692)</f>
        <v>476.48236919999999</v>
      </c>
      <c r="G25" s="95">
        <f t="shared" ca="1" si="0"/>
        <v>3.3280509901779244E-3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544278</v>
      </c>
      <c r="B26" s="98" t="s">
        <v>5497</v>
      </c>
      <c r="C26" s="101"/>
      <c r="D26" s="101"/>
      <c r="E26" s="101">
        <f ca="1">IFERROR(__xludf.DUMMYFUNCTION("GOOGLEFINANCE(""BOM:""&amp;A26,""PRICE"")"),87.82)</f>
        <v>87.82</v>
      </c>
      <c r="F26" s="112">
        <f ca="1">IFERROR(__xludf.DUMMYFUNCTION("GOOGLEFINANCE(""BOM:""&amp;A26,""MARKETCAP"")/10000000"),438.9147057)</f>
        <v>438.91470570000001</v>
      </c>
      <c r="G26" s="95">
        <f t="shared" ca="1" si="0"/>
        <v>3.0656549231004313E-3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506642</v>
      </c>
      <c r="B27" s="98" t="s">
        <v>5498</v>
      </c>
      <c r="C27" s="101"/>
      <c r="D27" s="101"/>
      <c r="E27" s="101">
        <f ca="1">IFERROR(__xludf.DUMMYFUNCTION("GOOGLEFINANCE(""BOM:""&amp;A27,""PRICE"")"),1.58)</f>
        <v>1.58</v>
      </c>
      <c r="F27" s="112">
        <f ca="1">IFERROR(__xludf.DUMMYFUNCTION("GOOGLEFINANCE(""BOM:""&amp;A27,""MARKETCAP"")/10000000"),465.4569735)</f>
        <v>465.4569735</v>
      </c>
      <c r="G27" s="95">
        <f t="shared" ca="1" si="0"/>
        <v>3.2510427282812777E-3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500284</v>
      </c>
      <c r="B28" s="98" t="s">
        <v>5499</v>
      </c>
      <c r="C28" s="101"/>
      <c r="D28" s="101"/>
      <c r="E28" s="101">
        <f ca="1">IFERROR(__xludf.DUMMYFUNCTION("GOOGLEFINANCE(""BOM:""&amp;A28,""PRICE"")"),126.05)</f>
        <v>126.05</v>
      </c>
      <c r="F28" s="112">
        <f ca="1">IFERROR(__xludf.DUMMYFUNCTION("GOOGLEFINANCE(""BOM:""&amp;A28,""MARKETCAP"")/10000000"),361.6690244)</f>
        <v>361.66902440000001</v>
      </c>
      <c r="G28" s="95">
        <f t="shared" ca="1" si="0"/>
        <v>2.5261227541157551E-3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514418</v>
      </c>
      <c r="B29" s="98" t="s">
        <v>5500</v>
      </c>
      <c r="C29" s="101"/>
      <c r="D29" s="101"/>
      <c r="E29" s="101">
        <f ca="1">IFERROR(__xludf.DUMMYFUNCTION("GOOGLEFINANCE(""BOM:""&amp;A29,""PRICE"")"),385.05)</f>
        <v>385.05</v>
      </c>
      <c r="F29" s="112">
        <f ca="1">IFERROR(__xludf.DUMMYFUNCTION("GOOGLEFINANCE(""BOM:""&amp;A29,""MARKETCAP"")/10000000"),330.8443067)</f>
        <v>330.8443067</v>
      </c>
      <c r="G29" s="95">
        <f t="shared" ca="1" si="0"/>
        <v>2.3108236394062658E-3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524634</v>
      </c>
      <c r="B30" s="98" t="s">
        <v>5501</v>
      </c>
      <c r="C30" s="101"/>
      <c r="D30" s="101"/>
      <c r="E30" s="101">
        <f ca="1">IFERROR(__xludf.DUMMYFUNCTION("GOOGLEFINANCE(""BOM:""&amp;A30,""PRICE"")"),435.2)</f>
        <v>435.2</v>
      </c>
      <c r="F30" s="112">
        <f ca="1">IFERROR(__xludf.DUMMYFUNCTION("GOOGLEFINANCE(""BOM:""&amp;A30,""MARKETCAP"")/10000000"),340.3473426)</f>
        <v>340.34734259999999</v>
      </c>
      <c r="G30" s="95">
        <f t="shared" ca="1" si="0"/>
        <v>2.3771987879553954E-3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500012</v>
      </c>
      <c r="B31" s="98" t="s">
        <v>5502</v>
      </c>
      <c r="C31" s="101"/>
      <c r="D31" s="101"/>
      <c r="E31" s="101">
        <f ca="1">IFERROR(__xludf.DUMMYFUNCTION("GOOGLEFINANCE(""BOM:""&amp;A31,""PRICE"")"),34.94)</f>
        <v>34.94</v>
      </c>
      <c r="F31" s="112">
        <f ca="1">IFERROR(__xludf.DUMMYFUNCTION("GOOGLEFINANCE(""BOM:""&amp;A31,""MARKETCAP"")/10000000"),296.8906888)</f>
        <v>296.89068880000002</v>
      </c>
      <c r="G31" s="95">
        <f t="shared" ca="1" si="0"/>
        <v>2.0736703280215432E-3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524174</v>
      </c>
      <c r="B32" s="98" t="s">
        <v>5503</v>
      </c>
      <c r="C32" s="101"/>
      <c r="D32" s="101"/>
      <c r="E32" s="101">
        <f ca="1">IFERROR(__xludf.DUMMYFUNCTION("GOOGLEFINANCE(""BOM:""&amp;A32,""PRICE"")"),23.68)</f>
        <v>23.68</v>
      </c>
      <c r="F32" s="112">
        <f ca="1">IFERROR(__xludf.DUMMYFUNCTION("GOOGLEFINANCE(""BOM:""&amp;A32,""MARKETCAP"")/10000000"),228.9220695)</f>
        <v>228.92206949999999</v>
      </c>
      <c r="G32" s="95">
        <f t="shared" ca="1" si="0"/>
        <v>1.5989349644819023E-3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544205</v>
      </c>
      <c r="B33" s="98" t="s">
        <v>5504</v>
      </c>
      <c r="C33" s="101"/>
      <c r="D33" s="101"/>
      <c r="E33" s="101">
        <f ca="1">IFERROR(__xludf.DUMMYFUNCTION("GOOGLEFINANCE(""BOM:""&amp;A33,""PRICE"")"),384)</f>
        <v>384</v>
      </c>
      <c r="F33" s="112">
        <f ca="1">IFERROR(__xludf.DUMMYFUNCTION("GOOGLEFINANCE(""BOM:""&amp;A33,""MARKETCAP"")/10000000"),220.6848)</f>
        <v>220.6848</v>
      </c>
      <c r="G33" s="95">
        <f t="shared" ca="1" si="0"/>
        <v>1.5414007204303023E-3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500449</v>
      </c>
      <c r="B34" s="98" t="s">
        <v>5505</v>
      </c>
      <c r="C34" s="101"/>
      <c r="D34" s="101"/>
      <c r="E34" s="101">
        <f ca="1">IFERROR(__xludf.DUMMYFUNCTION("GOOGLEFINANCE(""BOM:""&amp;A34,""PRICE"")"),26.87)</f>
        <v>26.87</v>
      </c>
      <c r="F34" s="112">
        <f ca="1">IFERROR(__xludf.DUMMYFUNCTION("GOOGLEFINANCE(""BOM:""&amp;A34,""MARKETCAP"")/10000000"),180.4941522)</f>
        <v>180.4941522</v>
      </c>
      <c r="G34" s="95">
        <f t="shared" ca="1" si="0"/>
        <v>1.260684089862721E-3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538896</v>
      </c>
      <c r="B35" s="98" t="s">
        <v>5506</v>
      </c>
      <c r="C35" s="101"/>
      <c r="D35" s="101"/>
      <c r="E35" s="101">
        <f ca="1">IFERROR(__xludf.DUMMYFUNCTION("GOOGLEFINANCE(""BOM:""&amp;A35,""PRICE"")"),336)</f>
        <v>336</v>
      </c>
      <c r="F35" s="112">
        <f ca="1">IFERROR(__xludf.DUMMYFUNCTION("GOOGLEFINANCE(""BOM:""&amp;A35,""MARKETCAP"")/10000000"),145.9547712)</f>
        <v>145.95477120000001</v>
      </c>
      <c r="G35" s="95">
        <f t="shared" ca="1" si="0"/>
        <v>1.0194394424895596E-3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543993</v>
      </c>
      <c r="B36" s="98" t="s">
        <v>5507</v>
      </c>
      <c r="C36" s="101"/>
      <c r="D36" s="101"/>
      <c r="E36" s="101">
        <f ca="1">IFERROR(__xludf.DUMMYFUNCTION("GOOGLEFINANCE(""BOM:""&amp;A36,""PRICE"")"),165)</f>
        <v>165</v>
      </c>
      <c r="F36" s="112">
        <f ca="1">IFERROR(__xludf.DUMMYFUNCTION("GOOGLEFINANCE(""BOM:""&amp;A36,""MARKETCAP"")/10000000"),132)</f>
        <v>132</v>
      </c>
      <c r="G36" s="95">
        <f t="shared" ca="1" si="0"/>
        <v>9.2197058926033826E-4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524564</v>
      </c>
      <c r="B37" s="98" t="s">
        <v>5508</v>
      </c>
      <c r="C37" s="101"/>
      <c r="D37" s="101"/>
      <c r="E37" s="101">
        <f ca="1">IFERROR(__xludf.DUMMYFUNCTION("GOOGLEFINANCE(""BOM:""&amp;A37,""PRICE"")"),14.33)</f>
        <v>14.33</v>
      </c>
      <c r="F37" s="112">
        <f ca="1">IFERROR(__xludf.DUMMYFUNCTION("GOOGLEFINANCE(""BOM:""&amp;A37,""MARKETCAP"")/10000000"),112.903361)</f>
        <v>112.903361</v>
      </c>
      <c r="G37" s="95">
        <f t="shared" ca="1" si="0"/>
        <v>7.8858771417153559E-4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506605</v>
      </c>
      <c r="B38" s="98" t="s">
        <v>5509</v>
      </c>
      <c r="C38" s="101"/>
      <c r="D38" s="101"/>
      <c r="E38" s="101">
        <f ca="1">IFERROR(__xludf.DUMMYFUNCTION("GOOGLEFINANCE(""BOM:""&amp;A38,""PRICE"")"),2058.2)</f>
        <v>2058.1999999999998</v>
      </c>
      <c r="F38" s="112">
        <f ca="1">IFERROR(__xludf.DUMMYFUNCTION("GOOGLEFINANCE(""BOM:""&amp;A38,""MARKETCAP"")/10000000"),83.1605399)</f>
        <v>83.160539900000003</v>
      </c>
      <c r="G38" s="95">
        <f t="shared" ca="1" si="0"/>
        <v>5.808452422334157E-4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524640</v>
      </c>
      <c r="B39" s="98" t="s">
        <v>5510</v>
      </c>
      <c r="C39" s="101"/>
      <c r="D39" s="101"/>
      <c r="E39" s="101">
        <f ca="1">IFERROR(__xludf.DUMMYFUNCTION("GOOGLEFINANCE(""BOM:""&amp;A39,""PRICE"")"),38.85)</f>
        <v>38.85</v>
      </c>
      <c r="F39" s="112">
        <f ca="1">IFERROR(__xludf.DUMMYFUNCTION("GOOGLEFINANCE(""BOM:""&amp;A39,""MARKETCAP"")/10000000"),79.722994)</f>
        <v>79.722994</v>
      </c>
      <c r="G39" s="95">
        <f t="shared" ca="1" si="0"/>
        <v>5.5683527087710915E-4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506579</v>
      </c>
      <c r="B40" s="98" t="s">
        <v>5511</v>
      </c>
      <c r="C40" s="101"/>
      <c r="D40" s="101"/>
      <c r="E40" s="101">
        <f ca="1">IFERROR(__xludf.DUMMYFUNCTION("GOOGLEFINANCE(""BOM:""&amp;A40,""PRICE"")"),89.5)</f>
        <v>89.5</v>
      </c>
      <c r="F40" s="112">
        <f ca="1">IFERROR(__xludf.DUMMYFUNCTION("GOOGLEFINANCE(""BOM:""&amp;A40,""MARKETCAP"")/10000000"),89.4113234)</f>
        <v>89.411323400000001</v>
      </c>
      <c r="G40" s="95">
        <f t="shared" ca="1" si="0"/>
        <v>6.2450462516397474E-4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524336</v>
      </c>
      <c r="B41" s="98" t="s">
        <v>5512</v>
      </c>
      <c r="C41" s="101"/>
      <c r="D41" s="101"/>
      <c r="E41" s="101">
        <f ca="1">IFERROR(__xludf.DUMMYFUNCTION("GOOGLEFINANCE(""BOM:""&amp;A41,""PRICE"")"),98.99)</f>
        <v>98.99</v>
      </c>
      <c r="F41" s="112">
        <f ca="1">IFERROR(__xludf.DUMMYFUNCTION("GOOGLEFINANCE(""BOM:""&amp;A41,""MARKETCAP"")/10000000"),54.8199975)</f>
        <v>54.819997499999999</v>
      </c>
      <c r="G41" s="95">
        <f t="shared" ca="1" si="0"/>
        <v>3.8289716210852478E-4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519097</v>
      </c>
      <c r="B42" s="98" t="s">
        <v>5513</v>
      </c>
      <c r="C42" s="101"/>
      <c r="D42" s="101"/>
      <c r="E42" s="101">
        <f ca="1">IFERROR(__xludf.DUMMYFUNCTION("GOOGLEFINANCE(""BOM:""&amp;A42,""PRICE"")"),56.69)</f>
        <v>56.69</v>
      </c>
      <c r="F42" s="112">
        <f ca="1">IFERROR(__xludf.DUMMYFUNCTION("GOOGLEFINANCE(""BOM:""&amp;A42,""MARKETCAP"")/10000000"),53.1345209)</f>
        <v>53.134520899999998</v>
      </c>
      <c r="G42" s="95">
        <f t="shared" ca="1" si="0"/>
        <v>3.7112473897150575E-4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4.4">
      <c r="A43" s="99">
        <v>526335</v>
      </c>
      <c r="B43" s="98" t="s">
        <v>5514</v>
      </c>
      <c r="C43" s="101"/>
      <c r="D43" s="101"/>
      <c r="E43" s="101">
        <f ca="1">IFERROR(__xludf.DUMMYFUNCTION("GOOGLEFINANCE(""BOM:""&amp;A43,""PRICE"")"),5.97)</f>
        <v>5.97</v>
      </c>
      <c r="F43" s="112">
        <f ca="1">IFERROR(__xludf.DUMMYFUNCTION("GOOGLEFINANCE(""BOM:""&amp;A43,""MARKETCAP"")/10000000"),42.2997768)</f>
        <v>42.299776799999997</v>
      </c>
      <c r="G43" s="95">
        <f t="shared" ca="1" si="0"/>
        <v>2.9544810713543016E-4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4.4">
      <c r="A44" s="99">
        <v>526231</v>
      </c>
      <c r="B44" s="98" t="s">
        <v>5515</v>
      </c>
      <c r="C44" s="101"/>
      <c r="D44" s="101"/>
      <c r="E44" s="101">
        <f ca="1">IFERROR(__xludf.DUMMYFUNCTION("GOOGLEFINANCE(""BOM:""&amp;A44,""PRICE"")"),50.9)</f>
        <v>50.9</v>
      </c>
      <c r="F44" s="112">
        <f ca="1">IFERROR(__xludf.DUMMYFUNCTION("GOOGLEFINANCE(""BOM:""&amp;A44,""MARKETCAP"")/10000000"),42.0515401)</f>
        <v>42.051540099999997</v>
      </c>
      <c r="G44" s="95">
        <f t="shared" ca="1" si="0"/>
        <v>2.9371426670683136E-4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4.4">
      <c r="A45" s="99">
        <v>506640</v>
      </c>
      <c r="B45" s="98" t="s">
        <v>5516</v>
      </c>
      <c r="C45" s="101"/>
      <c r="D45" s="101"/>
      <c r="E45" s="101">
        <f ca="1">IFERROR(__xludf.DUMMYFUNCTION("GOOGLEFINANCE(""BOM:""&amp;A45,""PRICE"")"),113.95)</f>
        <v>113.95</v>
      </c>
      <c r="F45" s="112">
        <f ca="1">IFERROR(__xludf.DUMMYFUNCTION("GOOGLEFINANCE(""BOM:""&amp;A45,""MARKETCAP"")/10000000"),38.73273)</f>
        <v>38.732729999999997</v>
      </c>
      <c r="G45" s="95">
        <f t="shared" ca="1" si="0"/>
        <v>2.7053362046789076E-4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532425</v>
      </c>
      <c r="B46" s="98" t="s">
        <v>5517</v>
      </c>
      <c r="C46" s="101"/>
      <c r="D46" s="101"/>
      <c r="E46" s="101">
        <f ca="1">IFERROR(__xludf.DUMMYFUNCTION("GOOGLEFINANCE(""BOM:""&amp;A46,""PRICE"")"),22.5)</f>
        <v>22.5</v>
      </c>
      <c r="F46" s="112">
        <f ca="1">IFERROR(__xludf.DUMMYFUNCTION("GOOGLEFINANCE(""BOM:""&amp;A46,""MARKETCAP"")/10000000"),33.58449)</f>
        <v>33.584490000000002</v>
      </c>
      <c r="G46" s="95">
        <f t="shared" ca="1" si="0"/>
        <v>2.3457509117657529E-4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4.4">
      <c r="A47" s="99">
        <v>532167</v>
      </c>
      <c r="B47" s="98" t="s">
        <v>5518</v>
      </c>
      <c r="C47" s="101"/>
      <c r="D47" s="101"/>
      <c r="E47" s="101">
        <f ca="1">IFERROR(__xludf.DUMMYFUNCTION("GOOGLEFINANCE(""BOM:""&amp;A47,""PRICE"")"),29.5)</f>
        <v>29.5</v>
      </c>
      <c r="F47" s="112">
        <f ca="1">IFERROR(__xludf.DUMMYFUNCTION("GOOGLEFINANCE(""BOM:""&amp;A47,""MARKETCAP"")/10000000"),29.75016)</f>
        <v>29.750160000000001</v>
      </c>
      <c r="G47" s="95">
        <f t="shared" ca="1" si="0"/>
        <v>2.0779373140749504E-4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4.4">
      <c r="A48" s="99">
        <v>524440</v>
      </c>
      <c r="B48" s="98" t="s">
        <v>5519</v>
      </c>
      <c r="C48" s="101"/>
      <c r="D48" s="101"/>
      <c r="E48" s="101">
        <f ca="1">IFERROR(__xludf.DUMMYFUNCTION("GOOGLEFINANCE(""BOM:""&amp;A48,""PRICE"")"),27.5)</f>
        <v>27.5</v>
      </c>
      <c r="F48" s="112">
        <f ca="1">IFERROR(__xludf.DUMMYFUNCTION("GOOGLEFINANCE(""BOM:""&amp;A48,""MARKETCAP"")/10000000"),28.073925)</f>
        <v>28.073924999999999</v>
      </c>
      <c r="G48" s="95">
        <f t="shared" ca="1" si="0"/>
        <v>1.960858573871253E-4</v>
      </c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ht="14.4">
      <c r="A49" s="99">
        <v>524156</v>
      </c>
      <c r="B49" s="98" t="s">
        <v>5520</v>
      </c>
      <c r="C49" s="101"/>
      <c r="D49" s="101"/>
      <c r="E49" s="101">
        <f ca="1">IFERROR(__xludf.DUMMYFUNCTION("GOOGLEFINANCE(""BOM:""&amp;A49,""PRICE"")"),44.99)</f>
        <v>44.99</v>
      </c>
      <c r="F49" s="112">
        <f ca="1">IFERROR(__xludf.DUMMYFUNCTION("GOOGLEFINANCE(""BOM:""&amp;A49,""MARKETCAP"")/10000000"),33.6429653)</f>
        <v>33.6429653</v>
      </c>
      <c r="G49" s="95">
        <f t="shared" ca="1" si="0"/>
        <v>2.3498351925837964E-4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4.4">
      <c r="A50" s="99">
        <v>524038</v>
      </c>
      <c r="B50" s="98" t="s">
        <v>5521</v>
      </c>
      <c r="C50" s="101"/>
      <c r="D50" s="101"/>
      <c r="E50" s="101">
        <f ca="1">IFERROR(__xludf.DUMMYFUNCTION("GOOGLEFINANCE(""BOM:""&amp;A50,""PRICE"")"),4.98)</f>
        <v>4.9800000000000004</v>
      </c>
      <c r="F50" s="112">
        <f ca="1">IFERROR(__xludf.DUMMYFUNCTION("GOOGLEFINANCE(""BOM:""&amp;A50,""MARKETCAP"")/10000000"),26.0167551)</f>
        <v>26.016755100000001</v>
      </c>
      <c r="G50" s="95">
        <f t="shared" ca="1" si="0"/>
        <v>1.8171729568324934E-4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4.4">
      <c r="A51" s="99">
        <v>524080</v>
      </c>
      <c r="B51" s="98" t="s">
        <v>5522</v>
      </c>
      <c r="C51" s="101"/>
      <c r="D51" s="101"/>
      <c r="E51" s="101">
        <f ca="1">IFERROR(__xludf.DUMMYFUNCTION("GOOGLEFINANCE(""BOM:""&amp;A51,""PRICE"")"),55.8)</f>
        <v>55.8</v>
      </c>
      <c r="F51" s="112">
        <f ca="1">IFERROR(__xludf.DUMMYFUNCTION("GOOGLEFINANCE(""BOM:""&amp;A51,""MARKETCAP"")/10000000"),27.3892622)</f>
        <v>27.389262200000001</v>
      </c>
      <c r="G51" s="95">
        <f t="shared" ca="1" si="0"/>
        <v>1.9130374401469627E-4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4.4">
      <c r="A52" s="99">
        <v>506680</v>
      </c>
      <c r="B52" s="98" t="s">
        <v>5523</v>
      </c>
      <c r="C52" s="101"/>
      <c r="D52" s="101"/>
      <c r="E52" s="101">
        <f ca="1">IFERROR(__xludf.DUMMYFUNCTION("GOOGLEFINANCE(""BOM:""&amp;A52,""PRICE"")"),12.07)</f>
        <v>12.07</v>
      </c>
      <c r="F52" s="112">
        <f ca="1">IFERROR(__xludf.DUMMYFUNCTION("GOOGLEFINANCE(""BOM:""&amp;A52,""MARKETCAP"")/10000000"),22.7374638)</f>
        <v>22.7374638</v>
      </c>
      <c r="G52" s="95">
        <f t="shared" ca="1" si="0"/>
        <v>1.5881267346948191E-4</v>
      </c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ht="14.4">
      <c r="A53" s="99">
        <v>531227</v>
      </c>
      <c r="B53" s="98" t="s">
        <v>5524</v>
      </c>
      <c r="C53" s="101"/>
      <c r="D53" s="101"/>
      <c r="E53" s="101">
        <f ca="1">IFERROR(__xludf.DUMMYFUNCTION("GOOGLEFINANCE(""BOM:""&amp;A53,""PRICE"")"),53.58)</f>
        <v>53.58</v>
      </c>
      <c r="F53" s="112">
        <f ca="1">IFERROR(__xludf.DUMMYFUNCTION("GOOGLEFINANCE(""BOM:""&amp;A53,""MARKETCAP"")/10000000"),22.5036007)</f>
        <v>22.5036007</v>
      </c>
      <c r="G53" s="95">
        <f t="shared" ca="1" si="0"/>
        <v>1.5717922725650273E-4</v>
      </c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ht="14.4">
      <c r="A54" s="99">
        <v>507486</v>
      </c>
      <c r="B54" s="98" t="s">
        <v>5525</v>
      </c>
      <c r="C54" s="101"/>
      <c r="D54" s="101"/>
      <c r="E54" s="101">
        <f ca="1">IFERROR(__xludf.DUMMYFUNCTION("GOOGLEFINANCE(""BOM:""&amp;A54,""PRICE"")"),41.5)</f>
        <v>41.5</v>
      </c>
      <c r="F54" s="112">
        <f ca="1">IFERROR(__xludf.DUMMYFUNCTION("GOOGLEFINANCE(""BOM:""&amp;A54,""MARKETCAP"")/10000000"),19.09)</f>
        <v>19.09</v>
      </c>
      <c r="G54" s="95">
        <f t="shared" ca="1" si="0"/>
        <v>1.333365041589383E-4</v>
      </c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ht="14.4">
      <c r="A55" s="99">
        <v>524210</v>
      </c>
      <c r="B55" s="98" t="s">
        <v>5526</v>
      </c>
      <c r="C55" s="101"/>
      <c r="D55" s="101"/>
      <c r="E55" s="101">
        <f ca="1">IFERROR(__xludf.DUMMYFUNCTION("GOOGLEFINANCE(""BOM:""&amp;A55,""PRICE"")"),38.5)</f>
        <v>38.5</v>
      </c>
      <c r="F55" s="112">
        <f ca="1">IFERROR(__xludf.DUMMYFUNCTION("GOOGLEFINANCE(""BOM:""&amp;A55,""MARKETCAP"")/10000000"),24.1496178)</f>
        <v>24.149617800000001</v>
      </c>
      <c r="G55" s="95">
        <f t="shared" ca="1" si="0"/>
        <v>1.6867604055665117E-4</v>
      </c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ht="14.4">
      <c r="A56" s="99">
        <v>526901</v>
      </c>
      <c r="B56" s="98" t="s">
        <v>5527</v>
      </c>
      <c r="C56" s="101"/>
      <c r="D56" s="101"/>
      <c r="E56" s="101">
        <f ca="1">IFERROR(__xludf.DUMMYFUNCTION("GOOGLEFINANCE(""BOM:""&amp;A56,""PRICE"")"),37.95)</f>
        <v>37.950000000000003</v>
      </c>
      <c r="F56" s="112">
        <f ca="1">IFERROR(__xludf.DUMMYFUNCTION("GOOGLEFINANCE(""BOM:""&amp;A56,""MARKETCAP"")/10000000"),23.0014954)</f>
        <v>23.0014954</v>
      </c>
      <c r="G56" s="95">
        <f t="shared" ca="1" si="0"/>
        <v>1.6065683536217393E-4</v>
      </c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ht="14.4">
      <c r="A57" s="99">
        <v>524434</v>
      </c>
      <c r="B57" s="98" t="s">
        <v>5528</v>
      </c>
      <c r="C57" s="101"/>
      <c r="D57" s="101"/>
      <c r="E57" s="101">
        <f ca="1">IFERROR(__xludf.DUMMYFUNCTION("GOOGLEFINANCE(""BOM:""&amp;A57,""PRICE"")"),8.05)</f>
        <v>8.0500000000000007</v>
      </c>
      <c r="F57" s="112">
        <f ca="1">IFERROR(__xludf.DUMMYFUNCTION("GOOGLEFINANCE(""BOM:""&amp;A57,""MARKETCAP"")/10000000"),19.769118)</f>
        <v>19.769117999999999</v>
      </c>
      <c r="G57" s="95">
        <f t="shared" ca="1" si="0"/>
        <v>1.3807988917891788E-4</v>
      </c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ht="14.4">
      <c r="A58" s="99">
        <v>506520</v>
      </c>
      <c r="B58" s="98" t="s">
        <v>5529</v>
      </c>
      <c r="C58" s="101"/>
      <c r="D58" s="101"/>
      <c r="E58" s="101">
        <f ca="1">IFERROR(__xludf.DUMMYFUNCTION("GOOGLEFINANCE(""BOM:""&amp;A58,""PRICE"")"),5.88)</f>
        <v>5.88</v>
      </c>
      <c r="F58" s="112">
        <f ca="1">IFERROR(__xludf.DUMMYFUNCTION("GOOGLEFINANCE(""BOM:""&amp;A58,""MARKETCAP"")/10000000"),17.243947)</f>
        <v>17.243946999999999</v>
      </c>
      <c r="G58" s="95">
        <f t="shared" ca="1" si="0"/>
        <v>1.2044251497548516E-4</v>
      </c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ht="14.4">
      <c r="A59" s="99">
        <v>526532</v>
      </c>
      <c r="B59" s="98" t="s">
        <v>5530</v>
      </c>
      <c r="C59" s="101"/>
      <c r="D59" s="101"/>
      <c r="E59" s="101">
        <f ca="1">IFERROR(__xludf.DUMMYFUNCTION("GOOGLEFINANCE(""BOM:""&amp;A59,""PRICE"")"),7.72)</f>
        <v>7.72</v>
      </c>
      <c r="F59" s="112">
        <f ca="1">IFERROR(__xludf.DUMMYFUNCTION("GOOGLEFINANCE(""BOM:""&amp;A59,""MARKETCAP"")/10000000"),15.1449334)</f>
        <v>15.144933399999999</v>
      </c>
      <c r="G59" s="95">
        <f t="shared" ca="1" si="0"/>
        <v>1.0578169069020134E-4</v>
      </c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ht="14.4">
      <c r="A60" s="99">
        <v>530401</v>
      </c>
      <c r="B60" s="98" t="s">
        <v>5531</v>
      </c>
      <c r="C60" s="101"/>
      <c r="D60" s="101"/>
      <c r="E60" s="101">
        <f ca="1">IFERROR(__xludf.DUMMYFUNCTION("GOOGLEFINANCE(""BOM:""&amp;A60,""PRICE"")"),42.06)</f>
        <v>42.06</v>
      </c>
      <c r="F60" s="112">
        <f ca="1">IFERROR(__xludf.DUMMYFUNCTION("GOOGLEFINANCE(""BOM:""&amp;A60,""MARKETCAP"")/10000000"),18.1657145)</f>
        <v>18.1657145</v>
      </c>
      <c r="G60" s="95">
        <f t="shared" ca="1" si="0"/>
        <v>1.2688071592348538E-4</v>
      </c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ht="14.4">
      <c r="A61" s="99">
        <v>524576</v>
      </c>
      <c r="B61" s="98" t="s">
        <v>5532</v>
      </c>
      <c r="C61" s="101"/>
      <c r="D61" s="101"/>
      <c r="E61" s="101">
        <f ca="1">IFERROR(__xludf.DUMMYFUNCTION("GOOGLEFINANCE(""BOM:""&amp;A61,""PRICE"")"),19.74)</f>
        <v>19.739999999999998</v>
      </c>
      <c r="F61" s="112">
        <f ca="1">IFERROR(__xludf.DUMMYFUNCTION("GOOGLEFINANCE(""BOM:""&amp;A61,""MARKETCAP"")/10000000"),18.0203852)</f>
        <v>18.0203852</v>
      </c>
      <c r="G61" s="95">
        <f t="shared" ca="1" si="0"/>
        <v>1.2586564516319908E-4</v>
      </c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</row>
    <row r="62" spans="1:25" ht="14.4">
      <c r="A62" s="99">
        <v>531409</v>
      </c>
      <c r="B62" s="98" t="s">
        <v>5533</v>
      </c>
      <c r="C62" s="101"/>
      <c r="D62" s="101"/>
      <c r="E62" s="101">
        <f ca="1">IFERROR(__xludf.DUMMYFUNCTION("GOOGLEFINANCE(""BOM:""&amp;A62,""PRICE"")"),28.99)</f>
        <v>28.99</v>
      </c>
      <c r="F62" s="112">
        <f ca="1">IFERROR(__xludf.DUMMYFUNCTION("GOOGLEFINANCE(""BOM:""&amp;A62,""MARKETCAP"")/10000000"),14.2466483)</f>
        <v>14.2466483</v>
      </c>
      <c r="G62" s="95">
        <f t="shared" ca="1" si="0"/>
        <v>9.9507505516180275E-5</v>
      </c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</row>
    <row r="63" spans="1:25" ht="14.4">
      <c r="A63" s="99">
        <v>524768</v>
      </c>
      <c r="B63" s="98" t="s">
        <v>5534</v>
      </c>
      <c r="C63" s="101"/>
      <c r="D63" s="101"/>
      <c r="E63" s="101">
        <f ca="1">IFERROR(__xludf.DUMMYFUNCTION("GOOGLEFINANCE(""BOM:""&amp;A63,""PRICE"")"),24.5)</f>
        <v>24.5</v>
      </c>
      <c r="F63" s="112">
        <f ca="1">IFERROR(__xludf.DUMMYFUNCTION("GOOGLEFINANCE(""BOM:""&amp;A63,""MARKETCAP"")/10000000"),12.2404474)</f>
        <v>12.240447400000001</v>
      </c>
      <c r="G63" s="95">
        <f t="shared" ca="1" si="0"/>
        <v>8.5494943198395274E-5</v>
      </c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</row>
    <row r="64" spans="1:25" ht="14.4">
      <c r="A64" s="99">
        <v>514248</v>
      </c>
      <c r="B64" s="98" t="s">
        <v>5535</v>
      </c>
      <c r="C64" s="101"/>
      <c r="D64" s="101"/>
      <c r="E64" s="101">
        <f ca="1">IFERROR(__xludf.DUMMYFUNCTION("GOOGLEFINANCE(""BOM:""&amp;A64,""PRICE"")"),28.3)</f>
        <v>28.3</v>
      </c>
      <c r="F64" s="112">
        <f ca="1">IFERROR(__xludf.DUMMYFUNCTION("GOOGLEFINANCE(""BOM:""&amp;A64,""MARKETCAP"")/10000000"),11.886)</f>
        <v>11.885999999999999</v>
      </c>
      <c r="G64" s="95">
        <f t="shared" ca="1" si="0"/>
        <v>8.3019260787487727E-5</v>
      </c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</row>
    <row r="65" spans="1:25" ht="14.4">
      <c r="A65" s="99">
        <v>524514</v>
      </c>
      <c r="B65" s="98" t="s">
        <v>5536</v>
      </c>
      <c r="C65" s="101"/>
      <c r="D65" s="101"/>
      <c r="E65" s="101">
        <f ca="1">IFERROR(__xludf.DUMMYFUNCTION("GOOGLEFINANCE(""BOM:""&amp;A65,""PRICE"")"),20.3)</f>
        <v>20.3</v>
      </c>
      <c r="F65" s="112">
        <f ca="1">IFERROR(__xludf.DUMMYFUNCTION("GOOGLEFINANCE(""BOM:""&amp;A65,""MARKETCAP"")/10000000"),11.9629884)</f>
        <v>11.9629884</v>
      </c>
      <c r="G65" s="95">
        <f t="shared" ca="1" si="0"/>
        <v>8.3556995942898421E-5</v>
      </c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</row>
    <row r="66" spans="1:25" ht="14.4">
      <c r="A66" s="99">
        <v>506947</v>
      </c>
      <c r="B66" s="98" t="s">
        <v>5537</v>
      </c>
      <c r="C66" s="101"/>
      <c r="D66" s="101"/>
      <c r="E66" s="101">
        <f ca="1">IFERROR(__xludf.DUMMYFUNCTION("GOOGLEFINANCE(""BOM:""&amp;A66,""PRICE"")"),124.6)</f>
        <v>124.6</v>
      </c>
      <c r="F66" s="112">
        <f ca="1">IFERROR(__xludf.DUMMYFUNCTION("GOOGLEFINANCE(""BOM:""&amp;A66,""MARKETCAP"")/10000000"),11.214)</f>
        <v>11.214</v>
      </c>
      <c r="G66" s="95">
        <f t="shared" ca="1" si="0"/>
        <v>7.832559233307146E-5</v>
      </c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</row>
    <row r="67" spans="1:25" ht="14.4">
      <c r="A67" s="99">
        <v>524748</v>
      </c>
      <c r="B67" s="98" t="s">
        <v>5538</v>
      </c>
      <c r="C67" s="101"/>
      <c r="D67" s="101"/>
      <c r="E67" s="101">
        <f ca="1">IFERROR(__xludf.DUMMYFUNCTION("GOOGLEFINANCE(""BOM:""&amp;A67,""PRICE"")"),26.7)</f>
        <v>26.7</v>
      </c>
      <c r="F67" s="112">
        <f ca="1">IFERROR(__xludf.DUMMYFUNCTION("GOOGLEFINANCE(""BOM:""&amp;A67,""MARKETCAP"")/10000000"),11.8563115)</f>
        <v>11.8563115</v>
      </c>
      <c r="G67" s="95">
        <f t="shared" ca="1" si="0"/>
        <v>8.2811897728099436E-5</v>
      </c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</row>
    <row r="68" spans="1:25" ht="14.4">
      <c r="A68" s="99">
        <v>530421</v>
      </c>
      <c r="B68" s="98" t="s">
        <v>5539</v>
      </c>
      <c r="C68" s="101"/>
      <c r="D68" s="101"/>
      <c r="E68" s="101">
        <f ca="1">IFERROR(__xludf.DUMMYFUNCTION("GOOGLEFINANCE(""BOM:""&amp;A68,""PRICE"")"),11.9)</f>
        <v>11.9</v>
      </c>
      <c r="F68" s="112">
        <f ca="1">IFERROR(__xludf.DUMMYFUNCTION("GOOGLEFINANCE(""BOM:""&amp;A68,""MARKETCAP"")/10000000"),10.8005253)</f>
        <v>10.8005253</v>
      </c>
      <c r="G68" s="95">
        <f t="shared" ca="1" si="0"/>
        <v>7.5437626326986304E-5</v>
      </c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</row>
    <row r="69" spans="1:25" ht="14.4">
      <c r="A69" s="99">
        <v>509449</v>
      </c>
      <c r="B69" s="98" t="s">
        <v>5540</v>
      </c>
      <c r="C69" s="101"/>
      <c r="D69" s="101"/>
      <c r="E69" s="101">
        <f ca="1">IFERROR(__xludf.DUMMYFUNCTION("GOOGLEFINANCE(""BOM:""&amp;A69,""PRICE"")"),36.75)</f>
        <v>36.75</v>
      </c>
      <c r="F69" s="112">
        <f ca="1">IFERROR(__xludf.DUMMYFUNCTION("GOOGLEFINANCE(""BOM:""&amp;A69,""MARKETCAP"")/10000000"),8.5001574)</f>
        <v>8.5001574000000009</v>
      </c>
      <c r="G69" s="95">
        <f t="shared" ca="1" si="0"/>
        <v>5.9370417627906252E-5</v>
      </c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</row>
    <row r="70" spans="1:25" ht="14.4">
      <c r="A70" s="99">
        <v>507759</v>
      </c>
      <c r="B70" s="98" t="s">
        <v>5541</v>
      </c>
      <c r="C70" s="101"/>
      <c r="D70" s="101"/>
      <c r="E70" s="101">
        <f ca="1">IFERROR(__xludf.DUMMYFUNCTION("GOOGLEFINANCE(""BOM:""&amp;A70,""PRICE"")"),12.49)</f>
        <v>12.49</v>
      </c>
      <c r="F70" s="112">
        <f ca="1">IFERROR(__xludf.DUMMYFUNCTION("GOOGLEFINANCE(""BOM:""&amp;A70,""MARKETCAP"")/10000000"),8.1244038)</f>
        <v>8.1244037999999996</v>
      </c>
      <c r="G70" s="95">
        <f t="shared" ca="1" si="0"/>
        <v>5.6745919385416146E-5</v>
      </c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</row>
    <row r="71" spans="1:25" ht="14.4">
      <c r="A71" s="99">
        <v>531541</v>
      </c>
      <c r="B71" s="98" t="s">
        <v>5542</v>
      </c>
      <c r="C71" s="101"/>
      <c r="D71" s="101"/>
      <c r="E71" s="101">
        <f ca="1">IFERROR(__xludf.DUMMYFUNCTION("GOOGLEFINANCE(""BOM:""&amp;A71,""PRICE"")"),2.44)</f>
        <v>2.44</v>
      </c>
      <c r="F71" s="112">
        <f ca="1">IFERROR(__xludf.DUMMYFUNCTION("GOOGLEFINANCE(""BOM:""&amp;A71,""MARKETCAP"")/10000000"),5.741825)</f>
        <v>5.7418250000000004</v>
      </c>
      <c r="G71" s="95">
        <f t="shared" ca="1" si="0"/>
        <v>4.0104498323331378E-5</v>
      </c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</row>
    <row r="72" spans="1:25" ht="14.4">
      <c r="A72" s="99">
        <v>526905</v>
      </c>
      <c r="B72" s="98" t="s">
        <v>5543</v>
      </c>
      <c r="C72" s="101"/>
      <c r="D72" s="101"/>
      <c r="E72" s="101">
        <f ca="1">IFERROR(__xludf.DUMMYFUNCTION("GOOGLEFINANCE(""BOM:""&amp;A72,""PRICE"")"),9.44)</f>
        <v>9.44</v>
      </c>
      <c r="F72" s="112">
        <f ca="1">IFERROR(__xludf.DUMMYFUNCTION("GOOGLEFINANCE(""BOM:""&amp;A72,""MARKETCAP"")/10000000"),5.7371597)</f>
        <v>5.7371597000000003</v>
      </c>
      <c r="G72" s="95">
        <f t="shared" ca="1" si="0"/>
        <v>4.0071912949164132E-5</v>
      </c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</row>
    <row r="73" spans="1:25" ht="14.4">
      <c r="A73" s="99">
        <v>509910</v>
      </c>
      <c r="B73" s="98" t="s">
        <v>5544</v>
      </c>
      <c r="C73" s="101"/>
      <c r="D73" s="101"/>
      <c r="E73" s="101">
        <f ca="1">IFERROR(__xludf.DUMMYFUNCTION("GOOGLEFINANCE(""BOM:""&amp;A73,""PRICE"")"),25)</f>
        <v>25</v>
      </c>
      <c r="F73" s="112">
        <f ca="1">IFERROR(__xludf.DUMMYFUNCTION("GOOGLEFINANCE(""BOM:""&amp;A73,""MARKETCAP"")/10000000"),0.05625)</f>
        <v>5.6250000000000001E-2</v>
      </c>
      <c r="G73" s="95">
        <f t="shared" ca="1" si="0"/>
        <v>3.9288519428707599E-7</v>
      </c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</row>
    <row r="74" spans="1:25" ht="14.4">
      <c r="A74" s="99">
        <v>531597</v>
      </c>
      <c r="B74" s="98" t="s">
        <v>5545</v>
      </c>
      <c r="C74" s="101"/>
      <c r="D74" s="101"/>
      <c r="E74" s="101">
        <f ca="1">IFERROR(__xludf.DUMMYFUNCTION("GOOGLEFINANCE(""BOM:""&amp;A74,""PRICE"")"),239)</f>
        <v>239</v>
      </c>
      <c r="F74" s="112"/>
      <c r="G74" s="95">
        <f t="shared" ca="1" si="0"/>
        <v>0</v>
      </c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</row>
    <row r="75" spans="1:25" ht="14.4">
      <c r="A75" s="99">
        <v>530757</v>
      </c>
      <c r="B75" s="98" t="s">
        <v>5546</v>
      </c>
      <c r="C75" s="101"/>
      <c r="D75" s="101"/>
      <c r="E75" s="101">
        <f ca="1">IFERROR(__xludf.DUMMYFUNCTION("GOOGLEFINANCE(""BOM:""&amp;A75,""PRICE"")"),59.66)</f>
        <v>59.66</v>
      </c>
      <c r="F75" s="112"/>
      <c r="G75" s="95">
        <f t="shared" ca="1" si="0"/>
        <v>0</v>
      </c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</row>
    <row r="76" spans="1:25" ht="13.2">
      <c r="A76" s="101"/>
      <c r="B76" s="101"/>
      <c r="C76" s="101"/>
      <c r="D76" s="101"/>
      <c r="E76" s="101"/>
      <c r="F76" s="112"/>
      <c r="G76" s="95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</row>
    <row r="77" spans="1:25" ht="13.2">
      <c r="A77" s="101"/>
      <c r="B77" s="101"/>
      <c r="C77" s="101"/>
      <c r="D77" s="101"/>
      <c r="E77" s="101"/>
      <c r="F77" s="112">
        <f ca="1">SUM(F2:F75)</f>
        <v>143171.59520880005</v>
      </c>
      <c r="G77" s="95">
        <f ca="1">F77/$F$77</f>
        <v>1</v>
      </c>
      <c r="H77" s="101">
        <f t="shared" ref="H77:O77" si="1">SUM(H2:H75)</f>
        <v>43944</v>
      </c>
      <c r="I77" s="101">
        <f t="shared" si="1"/>
        <v>42562</v>
      </c>
      <c r="J77" s="101">
        <f t="shared" si="1"/>
        <v>2534</v>
      </c>
      <c r="K77" s="101">
        <f t="shared" si="1"/>
        <v>2498</v>
      </c>
      <c r="L77" s="101">
        <f t="shared" si="1"/>
        <v>15603</v>
      </c>
      <c r="M77" s="101">
        <f t="shared" si="1"/>
        <v>15251</v>
      </c>
      <c r="N77" s="101">
        <f t="shared" si="1"/>
        <v>624</v>
      </c>
      <c r="O77" s="101">
        <f t="shared" si="1"/>
        <v>804</v>
      </c>
      <c r="P77" s="95">
        <f t="shared" ref="P77:Q77" si="2">J77/H77</f>
        <v>5.7664300018204988E-2</v>
      </c>
      <c r="Q77" s="95">
        <f t="shared" si="2"/>
        <v>5.8690850993844274E-2</v>
      </c>
      <c r="R77" s="95">
        <f>P77-Q77</f>
        <v>-1.0265509756392857E-3</v>
      </c>
      <c r="S77" s="95">
        <f t="shared" ref="S77:T77" si="3">N77/L77</f>
        <v>3.999230917131321E-2</v>
      </c>
      <c r="T77" s="95">
        <f t="shared" si="3"/>
        <v>5.2717854566913643E-2</v>
      </c>
      <c r="U77" s="95">
        <f>S77-T77</f>
        <v>-1.2725545395600432E-2</v>
      </c>
      <c r="V77" s="95">
        <f>(H77/I77)-1</f>
        <v>3.2470278652318996E-2</v>
      </c>
      <c r="W77" s="95">
        <f>(J77/K77)-1</f>
        <v>1.4411529223378627E-2</v>
      </c>
      <c r="X77" s="95">
        <f>(L77/M77)-1</f>
        <v>2.3080453740738305E-2</v>
      </c>
      <c r="Y77" s="95">
        <f>(N77/O77)-1</f>
        <v>-0.22388059701492535</v>
      </c>
    </row>
    <row r="78" spans="1:25" ht="13.2">
      <c r="F78" s="94"/>
    </row>
    <row r="79" spans="1:25" ht="13.2">
      <c r="F79" s="94"/>
    </row>
    <row r="80" spans="1:25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75" xr:uid="{00000000-0009-0000-0000-0000AB000000}"/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cols>
    <col min="9" max="9" width="13.88671875" customWidth="1"/>
    <col min="10" max="11" width="14.109375" customWidth="1"/>
    <col min="14" max="15" width="13.88671875" customWidth="1"/>
    <col min="16" max="17" width="15.21875" customWidth="1"/>
    <col min="18" max="18" width="17.21875" customWidth="1"/>
    <col min="19" max="20" width="15" customWidth="1"/>
  </cols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500112</v>
      </c>
      <c r="B2" s="98" t="s">
        <v>108</v>
      </c>
      <c r="C2" s="101" t="str">
        <f>VLOOKUP(A2,'BSE ALL CAP'!$B$4:$Y$1038,2,)</f>
        <v>Financial Services</v>
      </c>
      <c r="D2" s="101" t="str">
        <f>VLOOKUP(A2,'BSE ALL CAP'!$B$4:$Y$1038,3,)</f>
        <v>Public Sector Bank</v>
      </c>
      <c r="E2" s="101">
        <f ca="1">IFERROR(__xludf.DUMMYFUNCTION("GOOGLEFINANCE(""BOM:""&amp;A2,""PRICE"")"),1025.3)</f>
        <v>1025.3</v>
      </c>
      <c r="F2" s="112">
        <f ca="1">IFERROR(__xludf.DUMMYFUNCTION("GOOGLEFINANCE(""BOM:""&amp;A2,""MARKETCAP"")/10000000"),946138.2425)</f>
        <v>946138.24250000005</v>
      </c>
      <c r="G2" s="95">
        <f t="shared" ref="G2:G13" ca="1" si="0">F2/$F$15</f>
        <v>0.51724355313341563</v>
      </c>
      <c r="H2" s="101">
        <f>VLOOKUP(A2,'BSE ALL CAP'!$B$4:$Y$1038,7,)</f>
        <v>528538</v>
      </c>
      <c r="I2" s="101">
        <f>VLOOKUP(A2,'BSE ALL CAP'!$B$4:$Y$1038,8,)</f>
        <v>483781</v>
      </c>
      <c r="J2" s="101">
        <f>VLOOKUP(A2,'BSE ALL CAP'!$B$4:$Y$1038,9,)</f>
        <v>65007</v>
      </c>
      <c r="K2" s="101">
        <f>VLOOKUP(A2,'BSE ALL CAP'!$B$4:$Y$1038,10,)</f>
        <v>59076</v>
      </c>
      <c r="L2" s="101">
        <f>VLOOKUP(A2,'BSE ALL CAP'!$B$4:$Y$1038,11,)</f>
        <v>185648</v>
      </c>
      <c r="M2" s="101">
        <f>VLOOKUP(A2,'BSE ALL CAP'!$B$4:$Y$1038,12,)</f>
        <v>167853</v>
      </c>
      <c r="N2" s="101">
        <f>VLOOKUP(A2,'BSE ALL CAP'!$B$4:$Y$1038,13,)</f>
        <v>21876</v>
      </c>
      <c r="O2" s="101">
        <f>VLOOKUP(A2,'BSE ALL CAP'!$B$4:$Y$1038,14,)</f>
        <v>19175</v>
      </c>
      <c r="P2" s="95">
        <f>VLOOKUP(A2,'BSE ALL CAP'!$B$4:$Y$1038,15,)</f>
        <v>0.12299399475534399</v>
      </c>
      <c r="Q2" s="95">
        <f>VLOOKUP(A2,'BSE ALL CAP'!$B$4:$Y$1038,16,)</f>
        <v>0.12211310489663711</v>
      </c>
      <c r="R2" s="95">
        <f>VLOOKUP(A2,'BSE ALL CAP'!$B$4:$Y$1038,17,)</f>
        <v>8.8088985870687919E-4</v>
      </c>
      <c r="S2" s="95">
        <f>VLOOKUP(A2,'BSE ALL CAP'!$B$4:$Y$1038,18,)</f>
        <v>0.11783590450745497</v>
      </c>
      <c r="T2" s="95">
        <f>VLOOKUP(A2,'BSE ALL CAP'!$B$4:$Y$1038,19,)</f>
        <v>0.11423686201616891</v>
      </c>
      <c r="U2" s="95">
        <f>VLOOKUP(A2,'BSE ALL CAP'!$B$4:$Y$1038,20,)</f>
        <v>3.5990424912860641E-3</v>
      </c>
      <c r="V2" s="95">
        <f>VLOOKUP(A2,'BSE ALL CAP'!$B$4:$Y$1038,21,)</f>
        <v>9.251500162263504E-2</v>
      </c>
      <c r="W2" s="95">
        <f>VLOOKUP(A2,'BSE ALL CAP'!$B$4:$Y$1038,22,)</f>
        <v>0.10039609993906162</v>
      </c>
      <c r="X2" s="95">
        <f>VLOOKUP(A2,'BSE ALL CAP'!$B$4:$Y$1038,23,)</f>
        <v>0.10601538250731291</v>
      </c>
      <c r="Y2" s="95">
        <f>VLOOKUP(A2,'BSE ALL CAP'!$B$4:$Y$1038,24,)</f>
        <v>0.14086049543676671</v>
      </c>
    </row>
    <row r="3" spans="1:25" ht="15.75" customHeight="1">
      <c r="A3" s="99">
        <v>532134</v>
      </c>
      <c r="B3" s="98" t="s">
        <v>5547</v>
      </c>
      <c r="C3" s="101" t="str">
        <f>VLOOKUP(A3,'BSE ALL CAP'!$B$4:$Y$1038,2,)</f>
        <v>Financial Services</v>
      </c>
      <c r="D3" s="101" t="str">
        <f>VLOOKUP(A3,'BSE ALL CAP'!$B$4:$Y$1038,3,)</f>
        <v>Public Sector Bank</v>
      </c>
      <c r="E3" s="101">
        <f ca="1">IFERROR(__xludf.DUMMYFUNCTION("GOOGLEFINANCE(""BOM:""&amp;A3,""PRICE"")"),258.5)</f>
        <v>258.5</v>
      </c>
      <c r="F3" s="112">
        <f ca="1">IFERROR(__xludf.DUMMYFUNCTION("GOOGLEFINANCE(""BOM:""&amp;A3,""MARKETCAP"")/10000000"),133555.5742361)</f>
        <v>133555.57423609999</v>
      </c>
      <c r="G3" s="95">
        <f t="shared" ca="1" si="0"/>
        <v>7.3013389223249806E-2</v>
      </c>
      <c r="H3" s="101">
        <f>VLOOKUP(A3,'BSE ALL CAP'!$B$4:$Y$1038,7,)</f>
        <v>116837</v>
      </c>
      <c r="I3" s="101">
        <f>VLOOKUP(A3,'BSE ALL CAP'!$B$4:$Y$1038,8,)</f>
        <v>112988</v>
      </c>
      <c r="J3" s="101">
        <f>VLOOKUP(A3,'BSE ALL CAP'!$B$4:$Y$1038,9,)</f>
        <v>14045</v>
      </c>
      <c r="K3" s="101">
        <f>VLOOKUP(A3,'BSE ALL CAP'!$B$4:$Y$1038,10,)</f>
        <v>15296</v>
      </c>
      <c r="L3" s="101">
        <f>VLOOKUP(A3,'BSE ALL CAP'!$B$4:$Y$1038,11,)</f>
        <v>39999</v>
      </c>
      <c r="M3" s="101">
        <f>VLOOKUP(A3,'BSE ALL CAP'!$B$4:$Y$1038,12,)</f>
        <v>37732</v>
      </c>
      <c r="N3" s="101">
        <f>VLOOKUP(A3,'BSE ALL CAP'!$B$4:$Y$1038,13,)</f>
        <v>5442</v>
      </c>
      <c r="O3" s="101">
        <f>VLOOKUP(A3,'BSE ALL CAP'!$B$4:$Y$1038,14,)</f>
        <v>5213</v>
      </c>
      <c r="P3" s="95">
        <f>VLOOKUP(A3,'BSE ALL CAP'!$B$4:$Y$1038,15,)</f>
        <v>0.1202102073829352</v>
      </c>
      <c r="Q3" s="95">
        <f>VLOOKUP(A3,'BSE ALL CAP'!$B$4:$Y$1038,16,)</f>
        <v>0.13537720819910079</v>
      </c>
      <c r="R3" s="95">
        <f>VLOOKUP(A3,'BSE ALL CAP'!$B$4:$Y$1038,17,)</f>
        <v>-1.5167000816165593E-2</v>
      </c>
      <c r="S3" s="95">
        <f>VLOOKUP(A3,'BSE ALL CAP'!$B$4:$Y$1038,18,)</f>
        <v>0.13605340133503338</v>
      </c>
      <c r="T3" s="95">
        <f>VLOOKUP(A3,'BSE ALL CAP'!$B$4:$Y$1038,19,)</f>
        <v>0.138158592176402</v>
      </c>
      <c r="U3" s="95">
        <f>VLOOKUP(A3,'BSE ALL CAP'!$B$4:$Y$1038,20,)</f>
        <v>-2.1051908413686204E-3</v>
      </c>
      <c r="V3" s="95">
        <f>VLOOKUP(A3,'BSE ALL CAP'!$B$4:$Y$1038,21,)</f>
        <v>3.4065564484724087E-2</v>
      </c>
      <c r="W3" s="95">
        <f>VLOOKUP(A3,'BSE ALL CAP'!$B$4:$Y$1038,22,)</f>
        <v>-8.1786087866108748E-2</v>
      </c>
      <c r="X3" s="95">
        <f>VLOOKUP(A3,'BSE ALL CAP'!$B$4:$Y$1038,23,)</f>
        <v>6.0081628326089209E-2</v>
      </c>
      <c r="Y3" s="95">
        <f>VLOOKUP(A3,'BSE ALL CAP'!$B$4:$Y$1038,24,)</f>
        <v>4.3928639938614955E-2</v>
      </c>
    </row>
    <row r="4" spans="1:25" ht="15.75" customHeight="1">
      <c r="A4" s="99">
        <v>532461</v>
      </c>
      <c r="B4" s="98" t="s">
        <v>5548</v>
      </c>
      <c r="C4" s="101" t="str">
        <f>VLOOKUP(A4,'BSE ALL CAP'!$B$4:$Y$1038,2,)</f>
        <v>Financial Services</v>
      </c>
      <c r="D4" s="101" t="str">
        <f>VLOOKUP(A4,'BSE ALL CAP'!$B$4:$Y$1038,3,)</f>
        <v>Public Sector Bank</v>
      </c>
      <c r="E4" s="101">
        <f ca="1">IFERROR(__xludf.DUMMYFUNCTION("GOOGLEFINANCE(""BOM:""&amp;A4,""PRICE"")"),106)</f>
        <v>106</v>
      </c>
      <c r="F4" s="112">
        <f ca="1">IFERROR(__xludf.DUMMYFUNCTION("GOOGLEFINANCE(""BOM:""&amp;A4,""MARKETCAP"")/10000000"),121894.1188341)</f>
        <v>121894.11883409999</v>
      </c>
      <c r="G4" s="95">
        <f t="shared" ca="1" si="0"/>
        <v>6.6638197569544574E-2</v>
      </c>
      <c r="H4" s="101">
        <f>VLOOKUP(A4,'BSE ALL CAP'!$B$4:$Y$1038,7,)</f>
        <v>112585</v>
      </c>
      <c r="I4" s="101">
        <f>VLOOKUP(A4,'BSE ALL CAP'!$B$4:$Y$1038,8,)</f>
        <v>103157</v>
      </c>
      <c r="J4" s="101">
        <f>VLOOKUP(A4,'BSE ALL CAP'!$B$4:$Y$1038,9,)</f>
        <v>11870</v>
      </c>
      <c r="K4" s="101">
        <f>VLOOKUP(A4,'BSE ALL CAP'!$B$4:$Y$1038,10,)</f>
        <v>12796</v>
      </c>
      <c r="L4" s="101">
        <f>VLOOKUP(A4,'BSE ALL CAP'!$B$4:$Y$1038,11,)</f>
        <v>37902</v>
      </c>
      <c r="M4" s="101">
        <f>VLOOKUP(A4,'BSE ALL CAP'!$B$4:$Y$1038,12,)</f>
        <v>35286</v>
      </c>
      <c r="N4" s="101">
        <f>VLOOKUP(A4,'BSE ALL CAP'!$B$4:$Y$1038,13,)</f>
        <v>5189</v>
      </c>
      <c r="O4" s="101">
        <f>VLOOKUP(A4,'BSE ALL CAP'!$B$4:$Y$1038,14,)</f>
        <v>4648</v>
      </c>
      <c r="P4" s="95">
        <f>VLOOKUP(A4,'BSE ALL CAP'!$B$4:$Y$1038,15,)</f>
        <v>0.10543145179197939</v>
      </c>
      <c r="Q4" s="95">
        <f>VLOOKUP(A4,'BSE ALL CAP'!$B$4:$Y$1038,16,)</f>
        <v>0.12404393303411305</v>
      </c>
      <c r="R4" s="95">
        <f>VLOOKUP(A4,'BSE ALL CAP'!$B$4:$Y$1038,17,)</f>
        <v>-1.8612481242133661E-2</v>
      </c>
      <c r="S4" s="95">
        <f>VLOOKUP(A4,'BSE ALL CAP'!$B$4:$Y$1038,18,)</f>
        <v>0.13690570418447576</v>
      </c>
      <c r="T4" s="95">
        <f>VLOOKUP(A4,'BSE ALL CAP'!$B$4:$Y$1038,19,)</f>
        <v>0.13172362976818003</v>
      </c>
      <c r="U4" s="95">
        <f>VLOOKUP(A4,'BSE ALL CAP'!$B$4:$Y$1038,20,)</f>
        <v>5.1820744162957288E-3</v>
      </c>
      <c r="V4" s="95">
        <f>VLOOKUP(A4,'BSE ALL CAP'!$B$4:$Y$1038,21,)</f>
        <v>9.1394670259895117E-2</v>
      </c>
      <c r="W4" s="95">
        <f>VLOOKUP(A4,'BSE ALL CAP'!$B$4:$Y$1038,22,)</f>
        <v>-7.2366364488902768E-2</v>
      </c>
      <c r="X4" s="95">
        <f>VLOOKUP(A4,'BSE ALL CAP'!$B$4:$Y$1038,23,)</f>
        <v>7.4137051521850017E-2</v>
      </c>
      <c r="Y4" s="95">
        <f>VLOOKUP(A4,'BSE ALL CAP'!$B$4:$Y$1038,24,)</f>
        <v>0.11639414802065406</v>
      </c>
    </row>
    <row r="5" spans="1:25" ht="15.75" customHeight="1">
      <c r="A5" s="99">
        <v>532483</v>
      </c>
      <c r="B5" s="98" t="s">
        <v>5549</v>
      </c>
      <c r="C5" s="101" t="str">
        <f>VLOOKUP(A5,'BSE ALL CAP'!$B$4:$Y$1038,2,)</f>
        <v>Financial Services</v>
      </c>
      <c r="D5" s="101" t="str">
        <f>VLOOKUP(A5,'BSE ALL CAP'!$B$4:$Y$1038,3,)</f>
        <v>Public Sector Bank</v>
      </c>
      <c r="E5" s="101">
        <f ca="1">IFERROR(__xludf.DUMMYFUNCTION("GOOGLEFINANCE(""BOM:""&amp;A5,""PRICE"")"),130.05)</f>
        <v>130.05000000000001</v>
      </c>
      <c r="F5" s="112">
        <f ca="1">IFERROR(__xludf.DUMMYFUNCTION("GOOGLEFINANCE(""BOM:""&amp;A5,""MARKETCAP"")/10000000"),117882.2254739)</f>
        <v>117882.22547390001</v>
      </c>
      <c r="G5" s="95">
        <f t="shared" ca="1" si="0"/>
        <v>6.4444938822346018E-2</v>
      </c>
      <c r="H5" s="101">
        <f>VLOOKUP(A5,'BSE ALL CAP'!$B$4:$Y$1038,7,)</f>
        <v>116545</v>
      </c>
      <c r="I5" s="101">
        <f>VLOOKUP(A5,'BSE ALL CAP'!$B$4:$Y$1038,8,)</f>
        <v>112402</v>
      </c>
      <c r="J5" s="101">
        <f>VLOOKUP(A5,'BSE ALL CAP'!$B$4:$Y$1038,9,)</f>
        <v>12737</v>
      </c>
      <c r="K5" s="101">
        <f>VLOOKUP(A5,'BSE ALL CAP'!$B$4:$Y$1038,10,)</f>
        <v>12239</v>
      </c>
      <c r="L5" s="101">
        <f>VLOOKUP(A5,'BSE ALL CAP'!$B$4:$Y$1038,11,)</f>
        <v>33089</v>
      </c>
      <c r="M5" s="101">
        <f>VLOOKUP(A5,'BSE ALL CAP'!$B$4:$Y$1038,12,)</f>
        <v>37430</v>
      </c>
      <c r="N5" s="101">
        <f>VLOOKUP(A5,'BSE ALL CAP'!$B$4:$Y$1038,13,)</f>
        <v>4868</v>
      </c>
      <c r="O5" s="101">
        <f>VLOOKUP(A5,'BSE ALL CAP'!$B$4:$Y$1038,14,)</f>
        <v>4161</v>
      </c>
      <c r="P5" s="95">
        <f>VLOOKUP(A5,'BSE ALL CAP'!$B$4:$Y$1038,15,)</f>
        <v>0.10928825775451542</v>
      </c>
      <c r="Q5" s="95">
        <f>VLOOKUP(A5,'BSE ALL CAP'!$B$4:$Y$1038,16,)</f>
        <v>0.10888596288322272</v>
      </c>
      <c r="R5" s="95">
        <f>VLOOKUP(A5,'BSE ALL CAP'!$B$4:$Y$1038,17,)</f>
        <v>4.0229487129270214E-4</v>
      </c>
      <c r="S5" s="95">
        <f>VLOOKUP(A5,'BSE ALL CAP'!$B$4:$Y$1038,18,)</f>
        <v>0.14711837770860406</v>
      </c>
      <c r="T5" s="95">
        <f>VLOOKUP(A5,'BSE ALL CAP'!$B$4:$Y$1038,19,)</f>
        <v>0.11116751269035532</v>
      </c>
      <c r="U5" s="95">
        <f>VLOOKUP(A5,'BSE ALL CAP'!$B$4:$Y$1038,20,)</f>
        <v>3.5950865018248734E-2</v>
      </c>
      <c r="V5" s="95">
        <f>VLOOKUP(A5,'BSE ALL CAP'!$B$4:$Y$1038,21,)</f>
        <v>3.6858774754897627E-2</v>
      </c>
      <c r="W5" s="95">
        <f>VLOOKUP(A5,'BSE ALL CAP'!$B$4:$Y$1038,22,)</f>
        <v>4.068959882343326E-2</v>
      </c>
      <c r="X5" s="95">
        <f>VLOOKUP(A5,'BSE ALL CAP'!$B$4:$Y$1038,23,)</f>
        <v>-0.1159764894469677</v>
      </c>
      <c r="Y5" s="95">
        <f>VLOOKUP(A5,'BSE ALL CAP'!$B$4:$Y$1038,24,)</f>
        <v>0.16991107906753178</v>
      </c>
    </row>
    <row r="6" spans="1:25" ht="15.75" customHeight="1">
      <c r="A6" s="99">
        <v>532477</v>
      </c>
      <c r="B6" s="98" t="s">
        <v>5550</v>
      </c>
      <c r="C6" s="101" t="str">
        <f>VLOOKUP(A6,'BSE ALL CAP'!$B$4:$Y$1038,2,)</f>
        <v>Financial Services</v>
      </c>
      <c r="D6" s="101" t="str">
        <f>VLOOKUP(A6,'BSE ALL CAP'!$B$4:$Y$1038,3,)</f>
        <v>Public Sector Bank</v>
      </c>
      <c r="E6" s="101">
        <f ca="1">IFERROR(__xludf.DUMMYFUNCTION("GOOGLEFINANCE(""BOM:""&amp;A6,""PRICE"")"),173.7)</f>
        <v>173.7</v>
      </c>
      <c r="F6" s="112">
        <f ca="1">IFERROR(__xludf.DUMMYFUNCTION("GOOGLEFINANCE(""BOM:""&amp;A6,""MARKETCAP"")/10000000"),132638.9851896)</f>
        <v>132638.9851896</v>
      </c>
      <c r="G6" s="95">
        <f t="shared" ca="1" si="0"/>
        <v>7.2512299896258764E-2</v>
      </c>
      <c r="H6" s="101">
        <f>VLOOKUP(A6,'BSE ALL CAP'!$B$4:$Y$1038,7,)</f>
        <v>95724</v>
      </c>
      <c r="I6" s="101">
        <f>VLOOKUP(A6,'BSE ALL CAP'!$B$4:$Y$1038,8,)</f>
        <v>94571</v>
      </c>
      <c r="J6" s="101">
        <f>VLOOKUP(A6,'BSE ALL CAP'!$B$4:$Y$1038,9,)</f>
        <v>13446</v>
      </c>
      <c r="K6" s="101">
        <f>VLOOKUP(A6,'BSE ALL CAP'!$B$4:$Y$1038,10,)</f>
        <v>12919</v>
      </c>
      <c r="L6" s="101">
        <f>VLOOKUP(A6,'BSE ALL CAP'!$B$4:$Y$1038,11,)</f>
        <v>32001</v>
      </c>
      <c r="M6" s="101">
        <f>VLOOKUP(A6,'BSE ALL CAP'!$B$4:$Y$1038,12,)</f>
        <v>31334</v>
      </c>
      <c r="N6" s="101">
        <f>VLOOKUP(A6,'BSE ALL CAP'!$B$4:$Y$1038,13,)</f>
        <v>5028</v>
      </c>
      <c r="O6" s="101">
        <f>VLOOKUP(A6,'BSE ALL CAP'!$B$4:$Y$1038,14,)</f>
        <v>4597</v>
      </c>
      <c r="P6" s="95">
        <f>VLOOKUP(A6,'BSE ALL CAP'!$B$4:$Y$1038,15,)</f>
        <v>0.1404663407295976</v>
      </c>
      <c r="Q6" s="95">
        <f>VLOOKUP(A6,'BSE ALL CAP'!$B$4:$Y$1038,16,)</f>
        <v>0.13660635924331985</v>
      </c>
      <c r="R6" s="95">
        <f>VLOOKUP(A6,'BSE ALL CAP'!$B$4:$Y$1038,17,)</f>
        <v>3.8599814862777526E-3</v>
      </c>
      <c r="S6" s="95">
        <f>VLOOKUP(A6,'BSE ALL CAP'!$B$4:$Y$1038,18,)</f>
        <v>0.1571200899971876</v>
      </c>
      <c r="T6" s="95">
        <f>VLOOKUP(A6,'BSE ALL CAP'!$B$4:$Y$1038,19,)</f>
        <v>0.14670964447564946</v>
      </c>
      <c r="U6" s="95">
        <f>VLOOKUP(A6,'BSE ALL CAP'!$B$4:$Y$1038,20,)</f>
        <v>1.0410445521538136E-2</v>
      </c>
      <c r="V6" s="95">
        <f>VLOOKUP(A6,'BSE ALL CAP'!$B$4:$Y$1038,21,)</f>
        <v>1.2191898150595959E-2</v>
      </c>
      <c r="W6" s="95">
        <f>VLOOKUP(A6,'BSE ALL CAP'!$B$4:$Y$1038,22,)</f>
        <v>4.0792631008591984E-2</v>
      </c>
      <c r="X6" s="95">
        <f>VLOOKUP(A6,'BSE ALL CAP'!$B$4:$Y$1038,23,)</f>
        <v>2.1286781132316301E-2</v>
      </c>
      <c r="Y6" s="95">
        <f>VLOOKUP(A6,'BSE ALL CAP'!$B$4:$Y$1038,24,)</f>
        <v>9.3756797911681566E-2</v>
      </c>
    </row>
    <row r="7" spans="1:25" ht="15.75" customHeight="1">
      <c r="A7" s="99">
        <v>532814</v>
      </c>
      <c r="B7" s="98" t="s">
        <v>5551</v>
      </c>
      <c r="C7" s="101" t="str">
        <f>VLOOKUP(A7,'BSE ALL CAP'!$B$4:$Y$1038,2,)</f>
        <v>Financial Services</v>
      </c>
      <c r="D7" s="101" t="str">
        <f>VLOOKUP(A7,'BSE ALL CAP'!$B$4:$Y$1038,3,)</f>
        <v>Public Sector Bank</v>
      </c>
      <c r="E7" s="101">
        <f ca="1">IFERROR(__xludf.DUMMYFUNCTION("GOOGLEFINANCE(""BOM:""&amp;A7,""PRICE"")"),899.15)</f>
        <v>899.15</v>
      </c>
      <c r="F7" s="112">
        <f ca="1">IFERROR(__xludf.DUMMYFUNCTION("GOOGLEFINANCE(""BOM:""&amp;A7,""MARKETCAP"")/10000000"),121213.2936484)</f>
        <v>121213.29364839999</v>
      </c>
      <c r="G7" s="95">
        <f t="shared" ca="1" si="0"/>
        <v>6.626599779757078E-2</v>
      </c>
      <c r="H7" s="101">
        <f>VLOOKUP(A7,'BSE ALL CAP'!$B$4:$Y$1038,7,)</f>
        <v>58071</v>
      </c>
      <c r="I7" s="101">
        <f>VLOOKUP(A7,'BSE ALL CAP'!$B$4:$Y$1038,8,)</f>
        <v>53256</v>
      </c>
      <c r="J7" s="101">
        <f>VLOOKUP(A7,'BSE ALL CAP'!$B$4:$Y$1038,9,)</f>
        <v>8345</v>
      </c>
      <c r="K7" s="101">
        <f>VLOOKUP(A7,'BSE ALL CAP'!$B$4:$Y$1038,10,)</f>
        <v>8033</v>
      </c>
      <c r="L7" s="101">
        <f>VLOOKUP(A7,'BSE ALL CAP'!$B$4:$Y$1038,11,)</f>
        <v>19894</v>
      </c>
      <c r="M7" s="101">
        <f>VLOOKUP(A7,'BSE ALL CAP'!$B$4:$Y$1038,12,)</f>
        <v>18167</v>
      </c>
      <c r="N7" s="101">
        <f>VLOOKUP(A7,'BSE ALL CAP'!$B$4:$Y$1038,13,)</f>
        <v>3086</v>
      </c>
      <c r="O7" s="101">
        <f>VLOOKUP(A7,'BSE ALL CAP'!$B$4:$Y$1038,14,)</f>
        <v>2876</v>
      </c>
      <c r="P7" s="95">
        <f>VLOOKUP(A7,'BSE ALL CAP'!$B$4:$Y$1038,15,)</f>
        <v>0.14370339756504968</v>
      </c>
      <c r="Q7" s="95">
        <f>VLOOKUP(A7,'BSE ALL CAP'!$B$4:$Y$1038,16,)</f>
        <v>0.15083746432326875</v>
      </c>
      <c r="R7" s="95">
        <f>VLOOKUP(A7,'BSE ALL CAP'!$B$4:$Y$1038,17,)</f>
        <v>-7.1340667582190653E-3</v>
      </c>
      <c r="S7" s="95">
        <f>VLOOKUP(A7,'BSE ALL CAP'!$B$4:$Y$1038,18,)</f>
        <v>0.15512214738111993</v>
      </c>
      <c r="T7" s="95">
        <f>VLOOKUP(A7,'BSE ALL CAP'!$B$4:$Y$1038,19,)</f>
        <v>0.15830902185281004</v>
      </c>
      <c r="U7" s="95">
        <f>VLOOKUP(A7,'BSE ALL CAP'!$B$4:$Y$1038,20,)</f>
        <v>-3.1868744716901098E-3</v>
      </c>
      <c r="V7" s="95">
        <f>VLOOKUP(A7,'BSE ALL CAP'!$B$4:$Y$1038,21,)</f>
        <v>9.0412347904461399E-2</v>
      </c>
      <c r="W7" s="95">
        <f>VLOOKUP(A7,'BSE ALL CAP'!$B$4:$Y$1038,22,)</f>
        <v>3.883978588323167E-2</v>
      </c>
      <c r="X7" s="95">
        <f>VLOOKUP(A7,'BSE ALL CAP'!$B$4:$Y$1038,23,)</f>
        <v>9.506247591787309E-2</v>
      </c>
      <c r="Y7" s="95">
        <f>VLOOKUP(A7,'BSE ALL CAP'!$B$4:$Y$1038,24,)</f>
        <v>7.3018080667593965E-2</v>
      </c>
    </row>
    <row r="8" spans="1:25" ht="15.75" customHeight="1">
      <c r="A8" s="99">
        <v>532149</v>
      </c>
      <c r="B8" s="98" t="s">
        <v>5552</v>
      </c>
      <c r="C8" s="101" t="str">
        <f>VLOOKUP(A8,'BSE ALL CAP'!$B$4:$Y$1038,2,)</f>
        <v>Financial Services</v>
      </c>
      <c r="D8" s="101" t="str">
        <f>VLOOKUP(A8,'BSE ALL CAP'!$B$4:$Y$1038,3,)</f>
        <v>Public Sector Bank</v>
      </c>
      <c r="E8" s="101">
        <f ca="1">IFERROR(__xludf.DUMMYFUNCTION("GOOGLEFINANCE(""BOM:""&amp;A8,""PRICE"")"),142.95)</f>
        <v>142.94999999999999</v>
      </c>
      <c r="F8" s="112">
        <f ca="1">IFERROR(__xludf.DUMMYFUNCTION("GOOGLEFINANCE(""BOM:""&amp;A8,""MARKETCAP"")/10000000"),65116.8098482)</f>
        <v>65116.809848199999</v>
      </c>
      <c r="G8" s="95">
        <f t="shared" ca="1" si="0"/>
        <v>3.5598656286843784E-2</v>
      </c>
      <c r="H8" s="101">
        <f>VLOOKUP(A8,'BSE ALL CAP'!$B$4:$Y$1038,7,)</f>
        <v>62796</v>
      </c>
      <c r="I8" s="101">
        <f>VLOOKUP(A8,'BSE ALL CAP'!$B$4:$Y$1038,8,)</f>
        <v>58478</v>
      </c>
      <c r="J8" s="101">
        <f>VLOOKUP(A8,'BSE ALL CAP'!$B$4:$Y$1038,9,)</f>
        <v>7218</v>
      </c>
      <c r="K8" s="101">
        <f>VLOOKUP(A8,'BSE ALL CAP'!$B$4:$Y$1038,10,)</f>
        <v>6946</v>
      </c>
      <c r="L8" s="101">
        <f>VLOOKUP(A8,'BSE ALL CAP'!$B$4:$Y$1038,11,)</f>
        <v>21379</v>
      </c>
      <c r="M8" s="101">
        <f>VLOOKUP(A8,'BSE ALL CAP'!$B$4:$Y$1038,12,)</f>
        <v>20739</v>
      </c>
      <c r="N8" s="101">
        <f>VLOOKUP(A8,'BSE ALL CAP'!$B$4:$Y$1038,13,)</f>
        <v>2812</v>
      </c>
      <c r="O8" s="101">
        <f>VLOOKUP(A8,'BSE ALL CAP'!$B$4:$Y$1038,14,)</f>
        <v>2636</v>
      </c>
      <c r="P8" s="95">
        <f>VLOOKUP(A8,'BSE ALL CAP'!$B$4:$Y$1038,15,)</f>
        <v>0.11494362698261036</v>
      </c>
      <c r="Q8" s="95">
        <f>VLOOKUP(A8,'BSE ALL CAP'!$B$4:$Y$1038,16,)</f>
        <v>0.11877971202845515</v>
      </c>
      <c r="R8" s="95">
        <f>VLOOKUP(A8,'BSE ALL CAP'!$B$4:$Y$1038,17,)</f>
        <v>-3.8360850458447893E-3</v>
      </c>
      <c r="S8" s="95">
        <f>VLOOKUP(A8,'BSE ALL CAP'!$B$4:$Y$1038,18,)</f>
        <v>0.13153094157818421</v>
      </c>
      <c r="T8" s="95">
        <f>VLOOKUP(A8,'BSE ALL CAP'!$B$4:$Y$1038,19,)</f>
        <v>0.1271035247601138</v>
      </c>
      <c r="U8" s="95">
        <f>VLOOKUP(A8,'BSE ALL CAP'!$B$4:$Y$1038,20,)</f>
        <v>4.4274168180704065E-3</v>
      </c>
      <c r="V8" s="95">
        <f>VLOOKUP(A8,'BSE ALL CAP'!$B$4:$Y$1038,21,)</f>
        <v>7.3839734601046647E-2</v>
      </c>
      <c r="W8" s="95">
        <f>VLOOKUP(A8,'BSE ALL CAP'!$B$4:$Y$1038,22,)</f>
        <v>3.9159228332853457E-2</v>
      </c>
      <c r="X8" s="95">
        <f>VLOOKUP(A8,'BSE ALL CAP'!$B$4:$Y$1038,23,)</f>
        <v>3.0859732870437417E-2</v>
      </c>
      <c r="Y8" s="95">
        <f>VLOOKUP(A8,'BSE ALL CAP'!$B$4:$Y$1038,24,)</f>
        <v>6.6767830045523446E-2</v>
      </c>
    </row>
    <row r="9" spans="1:25" ht="15.75" customHeight="1">
      <c r="A9" s="99">
        <v>532388</v>
      </c>
      <c r="B9" s="98" t="s">
        <v>5553</v>
      </c>
      <c r="C9" s="101" t="str">
        <f>VLOOKUP(A9,'BSE ALL CAP'!$B$4:$Y$1038,2,)</f>
        <v>Financial Services</v>
      </c>
      <c r="D9" s="101" t="str">
        <f>VLOOKUP(A9,'BSE ALL CAP'!$B$4:$Y$1038,3,)</f>
        <v>Public Sector Bank</v>
      </c>
      <c r="E9" s="101">
        <f ca="1">IFERROR(__xludf.DUMMYFUNCTION("GOOGLEFINANCE(""BOM:""&amp;A9,""PRICE"")"),32.96)</f>
        <v>32.96</v>
      </c>
      <c r="F9" s="112">
        <f ca="1">IFERROR(__xludf.DUMMYFUNCTION("GOOGLEFINANCE(""BOM:""&amp;A9,""MARKETCAP"")/10000000"),63508.2329385)</f>
        <v>63508.232938499998</v>
      </c>
      <c r="G9" s="95">
        <f t="shared" ca="1" si="0"/>
        <v>3.4719264672714419E-2</v>
      </c>
      <c r="H9" s="101">
        <f>VLOOKUP(A9,'BSE ALL CAP'!$B$4:$Y$1038,7,)</f>
        <v>27752</v>
      </c>
      <c r="I9" s="101">
        <f>VLOOKUP(A9,'BSE ALL CAP'!$B$4:$Y$1038,8,)</f>
        <v>24473</v>
      </c>
      <c r="J9" s="101">
        <f>VLOOKUP(A9,'BSE ALL CAP'!$B$4:$Y$1038,9,)</f>
        <v>3862</v>
      </c>
      <c r="K9" s="101">
        <f>VLOOKUP(A9,'BSE ALL CAP'!$B$4:$Y$1038,10,)</f>
        <v>2303</v>
      </c>
      <c r="L9" s="101">
        <f>VLOOKUP(A9,'BSE ALL CAP'!$B$4:$Y$1038,11,)</f>
        <v>9671</v>
      </c>
      <c r="M9" s="101">
        <f>VLOOKUP(A9,'BSE ALL CAP'!$B$4:$Y$1038,12,)</f>
        <v>8413</v>
      </c>
      <c r="N9" s="101">
        <f>VLOOKUP(A9,'BSE ALL CAP'!$B$4:$Y$1038,13,)</f>
        <v>1427</v>
      </c>
      <c r="O9" s="101">
        <f>VLOOKUP(A9,'BSE ALL CAP'!$B$4:$Y$1038,14,)</f>
        <v>875</v>
      </c>
      <c r="P9" s="95">
        <f>VLOOKUP(A9,'BSE ALL CAP'!$B$4:$Y$1038,15,)</f>
        <v>0.13916114153934853</v>
      </c>
      <c r="Q9" s="95">
        <f>VLOOKUP(A9,'BSE ALL CAP'!$B$4:$Y$1038,16,)</f>
        <v>9.4103706125117481E-2</v>
      </c>
      <c r="R9" s="95">
        <f>VLOOKUP(A9,'BSE ALL CAP'!$B$4:$Y$1038,17,)</f>
        <v>4.5057435414231045E-2</v>
      </c>
      <c r="S9" s="95">
        <f>VLOOKUP(A9,'BSE ALL CAP'!$B$4:$Y$1038,18,)</f>
        <v>0.14755454451452796</v>
      </c>
      <c r="T9" s="95">
        <f>VLOOKUP(A9,'BSE ALL CAP'!$B$4:$Y$1038,19,)</f>
        <v>0.10400570545584215</v>
      </c>
      <c r="U9" s="95">
        <f>VLOOKUP(A9,'BSE ALL CAP'!$B$4:$Y$1038,20,)</f>
        <v>4.3548839058685812E-2</v>
      </c>
      <c r="V9" s="95">
        <f>VLOOKUP(A9,'BSE ALL CAP'!$B$4:$Y$1038,21,)</f>
        <v>0.13398439096146775</v>
      </c>
      <c r="W9" s="95">
        <f>VLOOKUP(A9,'BSE ALL CAP'!$B$4:$Y$1038,22,)</f>
        <v>0.67694311767260085</v>
      </c>
      <c r="X9" s="95">
        <f>VLOOKUP(A9,'BSE ALL CAP'!$B$4:$Y$1038,23,)</f>
        <v>0.14953048852965645</v>
      </c>
      <c r="Y9" s="95">
        <f>VLOOKUP(A9,'BSE ALL CAP'!$B$4:$Y$1038,24,)</f>
        <v>0.63085714285714278</v>
      </c>
    </row>
    <row r="10" spans="1:25" ht="15.75" customHeight="1">
      <c r="A10" s="99">
        <v>532525</v>
      </c>
      <c r="B10" s="98" t="s">
        <v>5554</v>
      </c>
      <c r="C10" s="101" t="str">
        <f>VLOOKUP(A10,'BSE ALL CAP'!$B$4:$Y$1038,2,)</f>
        <v>Financial Services</v>
      </c>
      <c r="D10" s="101" t="str">
        <f>VLOOKUP(A10,'BSE ALL CAP'!$B$4:$Y$1038,3,)</f>
        <v>Public Sector Bank</v>
      </c>
      <c r="E10" s="101">
        <f ca="1">IFERROR(__xludf.DUMMYFUNCTION("GOOGLEFINANCE(""BOM:""&amp;A10,""PRICE"")"),66.06)</f>
        <v>66.06</v>
      </c>
      <c r="F10" s="112">
        <f ca="1">IFERROR(__xludf.DUMMYFUNCTION("GOOGLEFINANCE(""BOM:""&amp;A10,""MARKETCAP"")/10000000"),50818.0970432)</f>
        <v>50818.097043200003</v>
      </c>
      <c r="G10" s="95">
        <f t="shared" ca="1" si="0"/>
        <v>2.7781704509321208E-2</v>
      </c>
      <c r="H10" s="101">
        <f>VLOOKUP(A10,'BSE ALL CAP'!$B$4:$Y$1038,7,)</f>
        <v>24129</v>
      </c>
      <c r="I10" s="101">
        <f>VLOOKUP(A10,'BSE ALL CAP'!$B$4:$Y$1038,8,)</f>
        <v>20690</v>
      </c>
      <c r="J10" s="101">
        <f>VLOOKUP(A10,'BSE ALL CAP'!$B$4:$Y$1038,9,)</f>
        <v>5005</v>
      </c>
      <c r="K10" s="101">
        <f>VLOOKUP(A10,'BSE ALL CAP'!$B$4:$Y$1038,10,)</f>
        <v>4026</v>
      </c>
      <c r="L10" s="101">
        <f>VLOOKUP(A10,'BSE ALL CAP'!$B$4:$Y$1038,11,)</f>
        <v>8277</v>
      </c>
      <c r="M10" s="101">
        <f>VLOOKUP(A10,'BSE ALL CAP'!$B$4:$Y$1038,12,)</f>
        <v>7112</v>
      </c>
      <c r="N10" s="101">
        <f>VLOOKUP(A10,'BSE ALL CAP'!$B$4:$Y$1038,13,)</f>
        <v>1779</v>
      </c>
      <c r="O10" s="101">
        <f>VLOOKUP(A10,'BSE ALL CAP'!$B$4:$Y$1038,14,)</f>
        <v>1406</v>
      </c>
      <c r="P10" s="95">
        <f>VLOOKUP(A10,'BSE ALL CAP'!$B$4:$Y$1038,15,)</f>
        <v>0.20742674789672177</v>
      </c>
      <c r="Q10" s="95">
        <f>VLOOKUP(A10,'BSE ALL CAP'!$B$4:$Y$1038,16,)</f>
        <v>0.19458675688738522</v>
      </c>
      <c r="R10" s="95">
        <f>VLOOKUP(A10,'BSE ALL CAP'!$B$4:$Y$1038,17,)</f>
        <v>1.2839991009336554E-2</v>
      </c>
      <c r="S10" s="95">
        <f>VLOOKUP(A10,'BSE ALL CAP'!$B$4:$Y$1038,18,)</f>
        <v>0.21493294671982602</v>
      </c>
      <c r="T10" s="95">
        <f>VLOOKUP(A10,'BSE ALL CAP'!$B$4:$Y$1038,19,)</f>
        <v>0.19769403824521936</v>
      </c>
      <c r="U10" s="95">
        <f>VLOOKUP(A10,'BSE ALL CAP'!$B$4:$Y$1038,20,)</f>
        <v>1.7238908474606657E-2</v>
      </c>
      <c r="V10" s="95">
        <f>VLOOKUP(A10,'BSE ALL CAP'!$B$4:$Y$1038,21,)</f>
        <v>0.1662155630739488</v>
      </c>
      <c r="W10" s="95">
        <f>VLOOKUP(A10,'BSE ALL CAP'!$B$4:$Y$1038,22,)</f>
        <v>0.24316939890710376</v>
      </c>
      <c r="X10" s="95">
        <f>VLOOKUP(A10,'BSE ALL CAP'!$B$4:$Y$1038,23,)</f>
        <v>0.16380764904386957</v>
      </c>
      <c r="Y10" s="95">
        <f>VLOOKUP(A10,'BSE ALL CAP'!$B$4:$Y$1038,24,)</f>
        <v>0.26529160739687052</v>
      </c>
    </row>
    <row r="11" spans="1:25" ht="15.75" customHeight="1">
      <c r="A11" s="99">
        <v>532505</v>
      </c>
      <c r="B11" s="98" t="s">
        <v>5555</v>
      </c>
      <c r="C11" s="101" t="str">
        <f>VLOOKUP(A11,'BSE ALL CAP'!$B$4:$Y$1038,2,)</f>
        <v>Financial Services</v>
      </c>
      <c r="D11" s="101" t="str">
        <f>VLOOKUP(A11,'BSE ALL CAP'!$B$4:$Y$1038,3,)</f>
        <v>Public Sector Bank</v>
      </c>
      <c r="E11" s="101">
        <f ca="1">IFERROR(__xludf.DUMMYFUNCTION("GOOGLEFINANCE(""BOM:""&amp;A11,""PRICE"")"),24.22)</f>
        <v>24.22</v>
      </c>
      <c r="F11" s="112">
        <f ca="1">IFERROR(__xludf.DUMMYFUNCTION("GOOGLEFINANCE(""BOM:""&amp;A11,""MARKETCAP"")/10000000"),30383.3533059)</f>
        <v>30383.3533059</v>
      </c>
      <c r="G11" s="95">
        <f t="shared" ca="1" si="0"/>
        <v>1.6610250927524078E-2</v>
      </c>
      <c r="H11" s="101">
        <f>VLOOKUP(A11,'BSE ALL CAP'!$B$4:$Y$1038,7,)</f>
        <v>22375</v>
      </c>
      <c r="I11" s="101">
        <f>VLOOKUP(A11,'BSE ALL CAP'!$B$4:$Y$1038,8,)</f>
        <v>21336</v>
      </c>
      <c r="J11" s="101">
        <f>VLOOKUP(A11,'BSE ALL CAP'!$B$4:$Y$1038,9,)</f>
        <v>1966</v>
      </c>
      <c r="K11" s="101">
        <f>VLOOKUP(A11,'BSE ALL CAP'!$B$4:$Y$1038,10,)</f>
        <v>1792</v>
      </c>
      <c r="L11" s="101">
        <f>VLOOKUP(A11,'BSE ALL CAP'!$B$4:$Y$1038,11,)</f>
        <v>7521</v>
      </c>
      <c r="M11" s="101">
        <f>VLOOKUP(A11,'BSE ALL CAP'!$B$4:$Y$1038,12,)</f>
        <v>7405</v>
      </c>
      <c r="N11" s="101">
        <f>VLOOKUP(A11,'BSE ALL CAP'!$B$4:$Y$1038,13,)</f>
        <v>739</v>
      </c>
      <c r="O11" s="101">
        <f>VLOOKUP(A11,'BSE ALL CAP'!$B$4:$Y$1038,14,)</f>
        <v>638</v>
      </c>
      <c r="P11" s="95">
        <f>VLOOKUP(A11,'BSE ALL CAP'!$B$4:$Y$1038,15,)</f>
        <v>8.7865921787709494E-2</v>
      </c>
      <c r="Q11" s="95">
        <f>VLOOKUP(A11,'BSE ALL CAP'!$B$4:$Y$1038,16,)</f>
        <v>8.3989501312335957E-2</v>
      </c>
      <c r="R11" s="95">
        <f>VLOOKUP(A11,'BSE ALL CAP'!$B$4:$Y$1038,17,)</f>
        <v>3.8764204753735376E-3</v>
      </c>
      <c r="S11" s="95">
        <f>VLOOKUP(A11,'BSE ALL CAP'!$B$4:$Y$1038,18,)</f>
        <v>9.8258210344369101E-2</v>
      </c>
      <c r="T11" s="95">
        <f>VLOOKUP(A11,'BSE ALL CAP'!$B$4:$Y$1038,19,)</f>
        <v>8.6158001350438898E-2</v>
      </c>
      <c r="U11" s="95">
        <f>VLOOKUP(A11,'BSE ALL CAP'!$B$4:$Y$1038,20,)</f>
        <v>1.2100208993930203E-2</v>
      </c>
      <c r="V11" s="95">
        <f>VLOOKUP(A11,'BSE ALL CAP'!$B$4:$Y$1038,21,)</f>
        <v>4.8697037870266247E-2</v>
      </c>
      <c r="W11" s="95">
        <f>VLOOKUP(A11,'BSE ALL CAP'!$B$4:$Y$1038,22,)</f>
        <v>9.7098214285714191E-2</v>
      </c>
      <c r="X11" s="95">
        <f>VLOOKUP(A11,'BSE ALL CAP'!$B$4:$Y$1038,23,)</f>
        <v>1.5665091154625221E-2</v>
      </c>
      <c r="Y11" s="95">
        <f>VLOOKUP(A11,'BSE ALL CAP'!$B$4:$Y$1038,24,)</f>
        <v>0.15830721003134807</v>
      </c>
    </row>
    <row r="12" spans="1:25" ht="15.75" customHeight="1">
      <c r="A12" s="99">
        <v>532885</v>
      </c>
      <c r="B12" s="98" t="s">
        <v>5556</v>
      </c>
      <c r="C12" s="101" t="str">
        <f>VLOOKUP(A12,'BSE ALL CAP'!$B$4:$Y$1038,2,)</f>
        <v>Financial Services</v>
      </c>
      <c r="D12" s="101" t="str">
        <f>VLOOKUP(A12,'BSE ALL CAP'!$B$4:$Y$1038,3,)</f>
        <v>Public Sector Bank</v>
      </c>
      <c r="E12" s="101">
        <f ca="1">IFERROR(__xludf.DUMMYFUNCTION("GOOGLEFINANCE(""BOM:""&amp;A12,""PRICE"")"),33.76)</f>
        <v>33.76</v>
      </c>
      <c r="F12" s="112">
        <f ca="1">IFERROR(__xludf.DUMMYFUNCTION("GOOGLEFINANCE(""BOM:""&amp;A12,""MARKETCAP"")/10000000"),30557.5316327)</f>
        <v>30557.5316327</v>
      </c>
      <c r="G12" s="95">
        <f t="shared" ca="1" si="0"/>
        <v>1.6705472336601478E-2</v>
      </c>
      <c r="H12" s="101">
        <f>VLOOKUP(A12,'BSE ALL CAP'!$B$4:$Y$1038,7,)</f>
        <v>31700</v>
      </c>
      <c r="I12" s="101">
        <f>VLOOKUP(A12,'BSE ALL CAP'!$B$4:$Y$1038,8,)</f>
        <v>29191</v>
      </c>
      <c r="J12" s="101">
        <f>VLOOKUP(A12,'BSE ALL CAP'!$B$4:$Y$1038,9,)</f>
        <v>3778</v>
      </c>
      <c r="K12" s="101">
        <f>VLOOKUP(A12,'BSE ALL CAP'!$B$4:$Y$1038,10,)</f>
        <v>2829</v>
      </c>
      <c r="L12" s="101">
        <f>VLOOKUP(A12,'BSE ALL CAP'!$B$4:$Y$1038,11,)</f>
        <v>11006</v>
      </c>
      <c r="M12" s="101">
        <f>VLOOKUP(A12,'BSE ALL CAP'!$B$4:$Y$1038,12,)</f>
        <v>9774</v>
      </c>
      <c r="N12" s="101">
        <f>VLOOKUP(A12,'BSE ALL CAP'!$B$4:$Y$1038,13,)</f>
        <v>1264</v>
      </c>
      <c r="O12" s="101">
        <f>VLOOKUP(A12,'BSE ALL CAP'!$B$4:$Y$1038,14,)</f>
        <v>963</v>
      </c>
      <c r="P12" s="95">
        <f>VLOOKUP(A12,'BSE ALL CAP'!$B$4:$Y$1038,15,)</f>
        <v>0.11917981072555205</v>
      </c>
      <c r="Q12" s="95">
        <f>VLOOKUP(A12,'BSE ALL CAP'!$B$4:$Y$1038,16,)</f>
        <v>9.6913432222260287E-2</v>
      </c>
      <c r="R12" s="95">
        <f>VLOOKUP(A12,'BSE ALL CAP'!$B$4:$Y$1038,17,)</f>
        <v>2.2266378503291759E-2</v>
      </c>
      <c r="S12" s="95">
        <f>VLOOKUP(A12,'BSE ALL CAP'!$B$4:$Y$1038,18,)</f>
        <v>0.11484644739233145</v>
      </c>
      <c r="T12" s="95">
        <f>VLOOKUP(A12,'BSE ALL CAP'!$B$4:$Y$1038,19,)</f>
        <v>9.8526703499079188E-2</v>
      </c>
      <c r="U12" s="95">
        <f>VLOOKUP(A12,'BSE ALL CAP'!$B$4:$Y$1038,20,)</f>
        <v>1.6319743893252261E-2</v>
      </c>
      <c r="V12" s="95">
        <f>VLOOKUP(A12,'BSE ALL CAP'!$B$4:$Y$1038,21,)</f>
        <v>8.595114932684722E-2</v>
      </c>
      <c r="W12" s="95">
        <f>VLOOKUP(A12,'BSE ALL CAP'!$B$4:$Y$1038,22,)</f>
        <v>0.33545422410745851</v>
      </c>
      <c r="X12" s="95">
        <f>VLOOKUP(A12,'BSE ALL CAP'!$B$4:$Y$1038,23,)</f>
        <v>0.12604870063433604</v>
      </c>
      <c r="Y12" s="95">
        <f>VLOOKUP(A12,'BSE ALL CAP'!$B$4:$Y$1038,24,)</f>
        <v>0.31256490134994808</v>
      </c>
    </row>
    <row r="13" spans="1:25" ht="15.75" customHeight="1">
      <c r="A13" s="99">
        <v>533295</v>
      </c>
      <c r="B13" s="98" t="s">
        <v>5557</v>
      </c>
      <c r="C13" s="101" t="str">
        <f>VLOOKUP(A13,'BSE ALL CAP'!$B$4:$Y$1038,2,)</f>
        <v>Financial Services</v>
      </c>
      <c r="D13" s="101" t="str">
        <f>VLOOKUP(A13,'BSE ALL CAP'!$B$4:$Y$1038,3,)</f>
        <v>Public Sector Bank</v>
      </c>
      <c r="E13" s="101">
        <f ca="1">IFERROR(__xludf.DUMMYFUNCTION("GOOGLEFINANCE(""BOM:""&amp;A13,""PRICE"")"),22.9)</f>
        <v>22.9</v>
      </c>
      <c r="F13" s="112">
        <f ca="1">IFERROR(__xludf.DUMMYFUNCTION("GOOGLEFINANCE(""BOM:""&amp;A13,""MARKETCAP"")/10000000"),15486.449922)</f>
        <v>15486.449922</v>
      </c>
      <c r="G13" s="95">
        <f t="shared" ca="1" si="0"/>
        <v>8.4662748246094564E-3</v>
      </c>
      <c r="H13" s="101">
        <f>VLOOKUP(A13,'BSE ALL CAP'!$B$4:$Y$1038,7,)</f>
        <v>10301</v>
      </c>
      <c r="I13" s="101">
        <f>VLOOKUP(A13,'BSE ALL CAP'!$B$4:$Y$1038,8,)</f>
        <v>9213</v>
      </c>
      <c r="J13" s="101">
        <f>VLOOKUP(A13,'BSE ALL CAP'!$B$4:$Y$1038,9,)</f>
        <v>900</v>
      </c>
      <c r="K13" s="101">
        <f>VLOOKUP(A13,'BSE ALL CAP'!$B$4:$Y$1038,10,)</f>
        <v>703</v>
      </c>
      <c r="L13" s="101">
        <f>VLOOKUP(A13,'BSE ALL CAP'!$B$4:$Y$1038,11,)</f>
        <v>3549</v>
      </c>
      <c r="M13" s="101">
        <f>VLOOKUP(A13,'BSE ALL CAP'!$B$4:$Y$1038,12,)</f>
        <v>3269</v>
      </c>
      <c r="N13" s="101">
        <f>VLOOKUP(A13,'BSE ALL CAP'!$B$4:$Y$1038,13,)</f>
        <v>336</v>
      </c>
      <c r="O13" s="101">
        <f>VLOOKUP(A13,'BSE ALL CAP'!$B$4:$Y$1038,14,)</f>
        <v>281</v>
      </c>
      <c r="P13" s="95">
        <f>VLOOKUP(A13,'BSE ALL CAP'!$B$4:$Y$1038,15,)</f>
        <v>8.7370158237064358E-2</v>
      </c>
      <c r="Q13" s="95">
        <f>VLOOKUP(A13,'BSE ALL CAP'!$B$4:$Y$1038,16,)</f>
        <v>7.6305220883534142E-2</v>
      </c>
      <c r="R13" s="95">
        <f>VLOOKUP(A13,'BSE ALL CAP'!$B$4:$Y$1038,17,)</f>
        <v>1.1064937353530216E-2</v>
      </c>
      <c r="S13" s="95">
        <f>VLOOKUP(A13,'BSE ALL CAP'!$B$4:$Y$1038,18,)</f>
        <v>9.4674556213017749E-2</v>
      </c>
      <c r="T13" s="95">
        <f>VLOOKUP(A13,'BSE ALL CAP'!$B$4:$Y$1038,19,)</f>
        <v>8.5959008871214437E-2</v>
      </c>
      <c r="U13" s="95">
        <f>VLOOKUP(A13,'BSE ALL CAP'!$B$4:$Y$1038,20,)</f>
        <v>8.7155473418033119E-3</v>
      </c>
      <c r="V13" s="95">
        <f>VLOOKUP(A13,'BSE ALL CAP'!$B$4:$Y$1038,21,)</f>
        <v>0.11809399761206985</v>
      </c>
      <c r="W13" s="95">
        <f>VLOOKUP(A13,'BSE ALL CAP'!$B$4:$Y$1038,22,)</f>
        <v>0.2802275960170697</v>
      </c>
      <c r="X13" s="95">
        <f>VLOOKUP(A13,'BSE ALL CAP'!$B$4:$Y$1038,23,)</f>
        <v>8.5653104925053514E-2</v>
      </c>
      <c r="Y13" s="95">
        <f>VLOOKUP(A13,'BSE ALL CAP'!$B$4:$Y$1038,24,)</f>
        <v>0.19572953736654797</v>
      </c>
    </row>
    <row r="14" spans="1:25">
      <c r="A14" s="101"/>
      <c r="B14" s="101"/>
      <c r="C14" s="101"/>
      <c r="D14" s="101"/>
      <c r="E14" s="101"/>
      <c r="F14" s="112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>
      <c r="A15" s="101"/>
      <c r="B15" s="101"/>
      <c r="C15" s="101"/>
      <c r="D15" s="101"/>
      <c r="E15" s="101"/>
      <c r="F15" s="112">
        <f ca="1">SUM(F2:F13)</f>
        <v>1829192.9145726</v>
      </c>
      <c r="G15" s="95">
        <f ca="1">F15/$F$15</f>
        <v>1</v>
      </c>
      <c r="H15" s="112">
        <f t="shared" ref="H15:O15" si="1">SUM(H2:H13)</f>
        <v>1207353</v>
      </c>
      <c r="I15" s="112">
        <f t="shared" si="1"/>
        <v>1123536</v>
      </c>
      <c r="J15" s="112">
        <f t="shared" si="1"/>
        <v>148179</v>
      </c>
      <c r="K15" s="112">
        <f t="shared" si="1"/>
        <v>138958</v>
      </c>
      <c r="L15" s="112">
        <f t="shared" si="1"/>
        <v>409936</v>
      </c>
      <c r="M15" s="112">
        <f t="shared" si="1"/>
        <v>384514</v>
      </c>
      <c r="N15" s="112">
        <f t="shared" si="1"/>
        <v>53846</v>
      </c>
      <c r="O15" s="112">
        <f t="shared" si="1"/>
        <v>47469</v>
      </c>
      <c r="P15" s="95">
        <f t="shared" ref="P15:Q15" si="2">J15/H15</f>
        <v>0.12273046905089066</v>
      </c>
      <c r="Q15" s="95">
        <f t="shared" si="2"/>
        <v>0.12367917004884579</v>
      </c>
      <c r="R15" s="95">
        <f>P15-Q15</f>
        <v>-9.4870099795513196E-4</v>
      </c>
      <c r="S15" s="95">
        <f t="shared" ref="S15:T15" si="3">N15/L15</f>
        <v>0.13135221107685102</v>
      </c>
      <c r="T15" s="95">
        <f t="shared" si="3"/>
        <v>0.12345194193189325</v>
      </c>
      <c r="U15" s="95">
        <f>S15-T15</f>
        <v>7.9002691449577694E-3</v>
      </c>
      <c r="V15" s="95">
        <f>(H15/I15)-1</f>
        <v>7.4601080873243131E-2</v>
      </c>
      <c r="W15" s="95">
        <f>(J15/K15)-1</f>
        <v>6.6358180169547643E-2</v>
      </c>
      <c r="X15" s="95">
        <f>(L15/M15)-1</f>
        <v>6.6114627815892169E-2</v>
      </c>
      <c r="Y15" s="95">
        <f>(N15/O15)-1</f>
        <v>0.13434030630516758</v>
      </c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3" xr:uid="{00000000-0009-0000-0000-0000AC000000}"/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outlinePr summaryBelow="0" summaryRight="0"/>
  </sheetPr>
  <dimension ref="A1:Y12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532977</v>
      </c>
      <c r="B2" s="98" t="s">
        <v>83</v>
      </c>
      <c r="C2" s="101" t="str">
        <f>VLOOKUP(A2,'BSE ALL CAP'!$B$4:$Y$1038,2,)</f>
        <v>Consumer Discretionary</v>
      </c>
      <c r="D2" s="101" t="str">
        <f>VLOOKUP(A2,'BSE ALL CAP'!$B$4:$Y$1038,3,)</f>
        <v>2/3 Wheelers</v>
      </c>
      <c r="E2" s="101">
        <f ca="1">IFERROR(__xludf.DUMMYFUNCTION("GOOGLEFINANCE(""BOM:""&amp;A2,""PRICE"")"),8920.15)</f>
        <v>8920.15</v>
      </c>
      <c r="F2" s="112">
        <f ca="1">IFERROR(__xludf.DUMMYFUNCTION("GOOGLEFINANCE(""BOM:""&amp;A2,""MARKETCAP"")/10000000"),249297.312875)</f>
        <v>249297.312875</v>
      </c>
      <c r="G2" s="95">
        <f t="shared" ref="G2:G10" ca="1" si="0">F2/$F$12</f>
        <v>0.3352387941016437</v>
      </c>
      <c r="H2" s="101">
        <f>VLOOKUP(A2,'BSE ALL CAP'!$B$4:$Y$1038,7,)</f>
        <v>45073</v>
      </c>
      <c r="I2" s="101">
        <f>VLOOKUP(A2,'BSE ALL CAP'!$B$4:$Y$1038,8,)</f>
        <v>38348</v>
      </c>
      <c r="J2" s="101">
        <f>VLOOKUP(A2,'BSE ALL CAP'!$B$4:$Y$1038,9,)</f>
        <v>7082</v>
      </c>
      <c r="K2" s="101">
        <f>VLOOKUP(A2,'BSE ALL CAP'!$B$4:$Y$1038,10,)</f>
        <v>5523</v>
      </c>
      <c r="L2" s="101">
        <f>VLOOKUP(A2,'BSE ALL CAP'!$B$4:$Y$1038,11,)</f>
        <v>16204</v>
      </c>
      <c r="M2" s="101">
        <f>VLOOKUP(A2,'BSE ALL CAP'!$B$4:$Y$1038,12,)</f>
        <v>13169</v>
      </c>
      <c r="N2" s="101">
        <f>VLOOKUP(A2,'BSE ALL CAP'!$B$4:$Y$1038,13,)</f>
        <v>2750</v>
      </c>
      <c r="O2" s="101">
        <f>VLOOKUP(A2,'BSE ALL CAP'!$B$4:$Y$1038,14,)</f>
        <v>2196</v>
      </c>
      <c r="P2" s="95">
        <f>VLOOKUP(A2,'BSE ALL CAP'!$B$4:$Y$1038,15,)</f>
        <v>0.15712288953475473</v>
      </c>
      <c r="Q2" s="95">
        <f>VLOOKUP(A2,'BSE ALL CAP'!$B$4:$Y$1038,16,)</f>
        <v>0.14402315635756754</v>
      </c>
      <c r="R2" s="95">
        <f>VLOOKUP(A2,'BSE ALL CAP'!$B$4:$Y$1038,17,)</f>
        <v>1.3099733177187184E-2</v>
      </c>
      <c r="S2" s="95">
        <f>VLOOKUP(A2,'BSE ALL CAP'!$B$4:$Y$1038,18,)</f>
        <v>0.1697111824240928</v>
      </c>
      <c r="T2" s="95">
        <f>VLOOKUP(A2,'BSE ALL CAP'!$B$4:$Y$1038,19,)</f>
        <v>0.16675525856177387</v>
      </c>
      <c r="U2" s="95">
        <f>VLOOKUP(A2,'BSE ALL CAP'!$B$4:$Y$1038,20,)</f>
        <v>2.9559238623189377E-3</v>
      </c>
      <c r="V2" s="95">
        <f>VLOOKUP(A2,'BSE ALL CAP'!$B$4:$Y$1038,21,)</f>
        <v>0.1753676854073225</v>
      </c>
      <c r="W2" s="95">
        <f>VLOOKUP(A2,'BSE ALL CAP'!$B$4:$Y$1038,22,)</f>
        <v>0.28227412638059035</v>
      </c>
      <c r="X2" s="95">
        <f>VLOOKUP(A2,'BSE ALL CAP'!$B$4:$Y$1038,23,)</f>
        <v>0.23046548712886317</v>
      </c>
      <c r="Y2" s="95">
        <f>VLOOKUP(A2,'BSE ALL CAP'!$B$4:$Y$1038,24,)</f>
        <v>0.25227686703096541</v>
      </c>
    </row>
    <row r="3" spans="1:25" ht="15.75" customHeight="1">
      <c r="A3" s="99">
        <v>505200</v>
      </c>
      <c r="B3" s="98" t="s">
        <v>5558</v>
      </c>
      <c r="C3" s="101" t="str">
        <f>VLOOKUP(A3,'BSE ALL CAP'!$B$4:$Y$1038,2,)</f>
        <v>Consumer Discretionary</v>
      </c>
      <c r="D3" s="101" t="str">
        <f>VLOOKUP(A3,'BSE ALL CAP'!$B$4:$Y$1038,3,)</f>
        <v>2/3 Wheelers</v>
      </c>
      <c r="E3" s="101">
        <f ca="1">IFERROR(__xludf.DUMMYFUNCTION("GOOGLEFINANCE(""BOM:""&amp;A3,""PRICE"")"),6608.7)</f>
        <v>6608.7</v>
      </c>
      <c r="F3" s="112">
        <f ca="1">IFERROR(__xludf.DUMMYFUNCTION("GOOGLEFINANCE(""BOM:""&amp;A3,""MARKETCAP"")/10000000"),180967.6487267)</f>
        <v>180967.64872669999</v>
      </c>
      <c r="G3" s="95">
        <f t="shared" ca="1" si="0"/>
        <v>0.243353510837752</v>
      </c>
      <c r="H3" s="101">
        <f>VLOOKUP(A3,'BSE ALL CAP'!$B$4:$Y$1038,7,)</f>
        <v>17327</v>
      </c>
      <c r="I3" s="101">
        <f>VLOOKUP(A3,'BSE ALL CAP'!$B$4:$Y$1038,8,)</f>
        <v>13629</v>
      </c>
      <c r="J3" s="101">
        <f>VLOOKUP(A3,'BSE ALL CAP'!$B$4:$Y$1038,9,)</f>
        <v>3995</v>
      </c>
      <c r="K3" s="101">
        <f>VLOOKUP(A3,'BSE ALL CAP'!$B$4:$Y$1038,10,)</f>
        <v>3372</v>
      </c>
      <c r="L3" s="101">
        <f>VLOOKUP(A3,'BSE ALL CAP'!$B$4:$Y$1038,11,)</f>
        <v>6114</v>
      </c>
      <c r="M3" s="101">
        <f>VLOOKUP(A3,'BSE ALL CAP'!$B$4:$Y$1038,12,)</f>
        <v>4973</v>
      </c>
      <c r="N3" s="101">
        <f>VLOOKUP(A3,'BSE ALL CAP'!$B$4:$Y$1038,13,)</f>
        <v>1421</v>
      </c>
      <c r="O3" s="101">
        <f>VLOOKUP(A3,'BSE ALL CAP'!$B$4:$Y$1038,14,)</f>
        <v>1170</v>
      </c>
      <c r="P3" s="95">
        <f>VLOOKUP(A3,'BSE ALL CAP'!$B$4:$Y$1038,15,)</f>
        <v>0.23056501413978184</v>
      </c>
      <c r="Q3" s="95">
        <f>VLOOKUP(A3,'BSE ALL CAP'!$B$4:$Y$1038,16,)</f>
        <v>0.24741360334580673</v>
      </c>
      <c r="R3" s="95">
        <f>VLOOKUP(A3,'BSE ALL CAP'!$B$4:$Y$1038,17,)</f>
        <v>-1.6848589206024889E-2</v>
      </c>
      <c r="S3" s="95">
        <f>VLOOKUP(A3,'BSE ALL CAP'!$B$4:$Y$1038,18,)</f>
        <v>0.23241740268236832</v>
      </c>
      <c r="T3" s="95">
        <f>VLOOKUP(A3,'BSE ALL CAP'!$B$4:$Y$1038,19,)</f>
        <v>0.23527046048662778</v>
      </c>
      <c r="U3" s="95">
        <f>VLOOKUP(A3,'BSE ALL CAP'!$B$4:$Y$1038,20,)</f>
        <v>-2.8530578042594568E-3</v>
      </c>
      <c r="V3" s="95">
        <f>VLOOKUP(A3,'BSE ALL CAP'!$B$4:$Y$1038,21,)</f>
        <v>0.27133318658742378</v>
      </c>
      <c r="W3" s="95">
        <f>VLOOKUP(A3,'BSE ALL CAP'!$B$4:$Y$1038,22,)</f>
        <v>0.18475682087781742</v>
      </c>
      <c r="X3" s="95">
        <f>VLOOKUP(A3,'BSE ALL CAP'!$B$4:$Y$1038,23,)</f>
        <v>0.22943897044037809</v>
      </c>
      <c r="Y3" s="95">
        <f>VLOOKUP(A3,'BSE ALL CAP'!$B$4:$Y$1038,24,)</f>
        <v>0.21452991452991443</v>
      </c>
    </row>
    <row r="4" spans="1:25" ht="15.75" customHeight="1">
      <c r="A4" s="99">
        <v>532343</v>
      </c>
      <c r="B4" s="98" t="s">
        <v>5559</v>
      </c>
      <c r="C4" s="101" t="str">
        <f>VLOOKUP(A4,'BSE ALL CAP'!$B$4:$Y$1038,2,)</f>
        <v>Consumer Discretionary</v>
      </c>
      <c r="D4" s="101" t="str">
        <f>VLOOKUP(A4,'BSE ALL CAP'!$B$4:$Y$1038,3,)</f>
        <v>2/3 Wheelers</v>
      </c>
      <c r="E4" s="101">
        <f ca="1">IFERROR(__xludf.DUMMYFUNCTION("GOOGLEFINANCE(""BOM:""&amp;A4,""PRICE"")"),3493.8)</f>
        <v>3493.8</v>
      </c>
      <c r="F4" s="112">
        <f ca="1">IFERROR(__xludf.DUMMYFUNCTION("GOOGLEFINANCE(""BOM:""&amp;A4,""MARKETCAP"")/10000000"),168029.5548311)</f>
        <v>168029.55483109999</v>
      </c>
      <c r="G4" s="95">
        <f t="shared" ca="1" si="0"/>
        <v>0.22595520459243129</v>
      </c>
      <c r="H4" s="101">
        <f>VLOOKUP(A4,'BSE ALL CAP'!$B$4:$Y$1038,7,)</f>
        <v>41032</v>
      </c>
      <c r="I4" s="101">
        <f>VLOOKUP(A4,'BSE ALL CAP'!$B$4:$Y$1038,8,)</f>
        <v>32685</v>
      </c>
      <c r="J4" s="101">
        <f>VLOOKUP(A4,'BSE ALL CAP'!$B$4:$Y$1038,9,)</f>
        <v>2367</v>
      </c>
      <c r="K4" s="101">
        <f>VLOOKUP(A4,'BSE ALL CAP'!$B$4:$Y$1038,10,)</f>
        <v>1682</v>
      </c>
      <c r="L4" s="101">
        <f>VLOOKUP(A4,'BSE ALL CAP'!$B$4:$Y$1038,11,)</f>
        <v>14745</v>
      </c>
      <c r="M4" s="101">
        <f>VLOOKUP(A4,'BSE ALL CAP'!$B$4:$Y$1038,12,)</f>
        <v>11100</v>
      </c>
      <c r="N4" s="101">
        <f>VLOOKUP(A4,'BSE ALL CAP'!$B$4:$Y$1038,13,)</f>
        <v>891</v>
      </c>
      <c r="O4" s="101">
        <f>VLOOKUP(A4,'BSE ALL CAP'!$B$4:$Y$1038,14,)</f>
        <v>609</v>
      </c>
      <c r="P4" s="95">
        <f>VLOOKUP(A4,'BSE ALL CAP'!$B$4:$Y$1038,15,)</f>
        <v>5.7686683564047575E-2</v>
      </c>
      <c r="Q4" s="95">
        <f>VLOOKUP(A4,'BSE ALL CAP'!$B$4:$Y$1038,16,)</f>
        <v>5.1460914792718374E-2</v>
      </c>
      <c r="R4" s="95">
        <f>VLOOKUP(A4,'BSE ALL CAP'!$B$4:$Y$1038,17,)</f>
        <v>6.2257687713292015E-3</v>
      </c>
      <c r="S4" s="95">
        <f>VLOOKUP(A4,'BSE ALL CAP'!$B$4:$Y$1038,18,)</f>
        <v>6.0427263479145475E-2</v>
      </c>
      <c r="T4" s="95">
        <f>VLOOKUP(A4,'BSE ALL CAP'!$B$4:$Y$1038,19,)</f>
        <v>5.4864864864864867E-2</v>
      </c>
      <c r="U4" s="95">
        <f>VLOOKUP(A4,'BSE ALL CAP'!$B$4:$Y$1038,20,)</f>
        <v>5.5623986142806087E-3</v>
      </c>
      <c r="V4" s="95">
        <f>VLOOKUP(A4,'BSE ALL CAP'!$B$4:$Y$1038,21,)</f>
        <v>0.2553770842894294</v>
      </c>
      <c r="W4" s="95">
        <f>VLOOKUP(A4,'BSE ALL CAP'!$B$4:$Y$1038,22,)</f>
        <v>0.40725326991676569</v>
      </c>
      <c r="X4" s="95">
        <f>VLOOKUP(A4,'BSE ALL CAP'!$B$4:$Y$1038,23,)</f>
        <v>0.32837837837837847</v>
      </c>
      <c r="Y4" s="95">
        <f>VLOOKUP(A4,'BSE ALL CAP'!$B$4:$Y$1038,24,)</f>
        <v>0.46305418719211833</v>
      </c>
    </row>
    <row r="5" spans="1:25" ht="15.75" customHeight="1">
      <c r="A5" s="99">
        <v>500182</v>
      </c>
      <c r="B5" s="98" t="s">
        <v>5560</v>
      </c>
      <c r="C5" s="101" t="str">
        <f>VLOOKUP(A5,'BSE ALL CAP'!$B$4:$Y$1038,2,)</f>
        <v>Consumer Discretionary</v>
      </c>
      <c r="D5" s="101" t="str">
        <f>VLOOKUP(A5,'BSE ALL CAP'!$B$4:$Y$1038,3,)</f>
        <v>2/3 Wheelers</v>
      </c>
      <c r="E5" s="101">
        <f ca="1">IFERROR(__xludf.DUMMYFUNCTION("GOOGLEFINANCE(""BOM:""&amp;A5,""PRICE"")"),5095.9)</f>
        <v>5095.8999999999996</v>
      </c>
      <c r="F5" s="112">
        <f ca="1">IFERROR(__xludf.DUMMYFUNCTION("GOOGLEFINANCE(""BOM:""&amp;A5,""MARKETCAP"")/10000000"),101968.4984149)</f>
        <v>101968.49841489999</v>
      </c>
      <c r="G5" s="95">
        <f t="shared" ca="1" si="0"/>
        <v>0.13712059729302625</v>
      </c>
      <c r="H5" s="101">
        <f>VLOOKUP(A5,'BSE ALL CAP'!$B$4:$Y$1038,7,)</f>
        <v>34433</v>
      </c>
      <c r="I5" s="101">
        <f>VLOOKUP(A5,'BSE ALL CAP'!$B$4:$Y$1038,8,)</f>
        <v>30954</v>
      </c>
      <c r="J5" s="101">
        <f>VLOOKUP(A5,'BSE ALL CAP'!$B$4:$Y$1038,9,)</f>
        <v>4302</v>
      </c>
      <c r="K5" s="101">
        <f>VLOOKUP(A5,'BSE ALL CAP'!$B$4:$Y$1038,10,)</f>
        <v>3207</v>
      </c>
      <c r="L5" s="101">
        <f>VLOOKUP(A5,'BSE ALL CAP'!$B$4:$Y$1038,11,)</f>
        <v>12487</v>
      </c>
      <c r="M5" s="101">
        <f>VLOOKUP(A5,'BSE ALL CAP'!$B$4:$Y$1038,12,)</f>
        <v>10260</v>
      </c>
      <c r="N5" s="101">
        <f>VLOOKUP(A5,'BSE ALL CAP'!$B$4:$Y$1038,13,)</f>
        <v>1275</v>
      </c>
      <c r="O5" s="101">
        <f>VLOOKUP(A5,'BSE ALL CAP'!$B$4:$Y$1038,14,)</f>
        <v>1108</v>
      </c>
      <c r="P5" s="95">
        <f>VLOOKUP(A5,'BSE ALL CAP'!$B$4:$Y$1038,15,)</f>
        <v>0.12493828594662097</v>
      </c>
      <c r="Q5" s="95">
        <f>VLOOKUP(A5,'BSE ALL CAP'!$B$4:$Y$1038,16,)</f>
        <v>0.10360534987400659</v>
      </c>
      <c r="R5" s="95">
        <f>VLOOKUP(A5,'BSE ALL CAP'!$B$4:$Y$1038,17,)</f>
        <v>2.1332936072614384E-2</v>
      </c>
      <c r="S5" s="95">
        <f>VLOOKUP(A5,'BSE ALL CAP'!$B$4:$Y$1038,18,)</f>
        <v>0.10210619043805558</v>
      </c>
      <c r="T5" s="95">
        <f>VLOOKUP(A5,'BSE ALL CAP'!$B$4:$Y$1038,19,)</f>
        <v>0.10799220272904483</v>
      </c>
      <c r="U5" s="95">
        <f>VLOOKUP(A5,'BSE ALL CAP'!$B$4:$Y$1038,20,)</f>
        <v>-5.8860122909892565E-3</v>
      </c>
      <c r="V5" s="95">
        <f>VLOOKUP(A5,'BSE ALL CAP'!$B$4:$Y$1038,21,)</f>
        <v>0.11239258254183637</v>
      </c>
      <c r="W5" s="95">
        <f>VLOOKUP(A5,'BSE ALL CAP'!$B$4:$Y$1038,22,)</f>
        <v>0.3414405986903648</v>
      </c>
      <c r="X5" s="95">
        <f>VLOOKUP(A5,'BSE ALL CAP'!$B$4:$Y$1038,23,)</f>
        <v>0.21705653021442495</v>
      </c>
      <c r="Y5" s="95">
        <f>VLOOKUP(A5,'BSE ALL CAP'!$B$4:$Y$1038,24,)</f>
        <v>0.15072202166064974</v>
      </c>
    </row>
    <row r="6" spans="1:25" ht="15.75" customHeight="1">
      <c r="A6" s="99">
        <v>544397</v>
      </c>
      <c r="B6" s="98" t="s">
        <v>5561</v>
      </c>
      <c r="C6" s="101" t="str">
        <f>VLOOKUP(A6,'BSE ALL CAP'!$B$4:$Y$1038,2,)</f>
        <v>Consumer Discretionary</v>
      </c>
      <c r="D6" s="101" t="str">
        <f>VLOOKUP(A6,'BSE ALL CAP'!$B$4:$Y$1038,3,)</f>
        <v>2/3 Wheelers</v>
      </c>
      <c r="E6" s="11">
        <f ca="1">IFERROR(__xludf.DUMMYFUNCTION("GOOGLEFINANCE(""BOM:""&amp;A6,""PRICE"")"),790.25)</f>
        <v>790.25</v>
      </c>
      <c r="F6" s="112">
        <f ca="1">IFERROR(__xludf.DUMMYFUNCTION("GOOGLEFINANCE(""BOM:""&amp;A6,""MARKETCAP"")/10000000"),30240.733825)</f>
        <v>30240.733824999999</v>
      </c>
      <c r="G6" s="95">
        <f t="shared" ca="1" si="0"/>
        <v>4.0665769812468895E-2</v>
      </c>
      <c r="H6" s="101">
        <f>VLOOKUP(A6,'BSE ALL CAP'!$B$4:$Y$1038,7,)</f>
        <v>2497</v>
      </c>
      <c r="I6" s="101">
        <f>VLOOKUP(A6,'BSE ALL CAP'!$B$4:$Y$1038,8,)</f>
        <v>1578</v>
      </c>
      <c r="J6" s="101">
        <f>VLOOKUP(A6,'BSE ALL CAP'!$B$4:$Y$1038,9,)</f>
        <v>-416</v>
      </c>
      <c r="K6" s="101">
        <f>VLOOKUP(A6,'BSE ALL CAP'!$B$4:$Y$1038,10,)</f>
        <v>-577</v>
      </c>
      <c r="L6" s="101">
        <f>VLOOKUP(A6,'BSE ALL CAP'!$B$4:$Y$1038,11,)</f>
        <v>953</v>
      </c>
      <c r="M6" s="101">
        <f>VLOOKUP(A6,'BSE ALL CAP'!$B$4:$Y$1038,12,)</f>
        <v>634</v>
      </c>
      <c r="N6" s="101">
        <f>VLOOKUP(A6,'BSE ALL CAP'!$B$4:$Y$1038,13,)</f>
        <v>-84</v>
      </c>
      <c r="O6" s="101">
        <f>VLOOKUP(A6,'BSE ALL CAP'!$B$4:$Y$1038,14,)</f>
        <v>-197</v>
      </c>
      <c r="P6" s="95">
        <f>VLOOKUP(A6,'BSE ALL CAP'!$B$4:$Y$1038,15,)</f>
        <v>-0.16659991990388467</v>
      </c>
      <c r="Q6" s="95">
        <f>VLOOKUP(A6,'BSE ALL CAP'!$B$4:$Y$1038,16,)</f>
        <v>-0.3656527249683143</v>
      </c>
      <c r="R6" s="95">
        <f>VLOOKUP(A6,'BSE ALL CAP'!$B$4:$Y$1038,17,)</f>
        <v>0.19905280506442963</v>
      </c>
      <c r="S6" s="95">
        <f>VLOOKUP(A6,'BSE ALL CAP'!$B$4:$Y$1038,18,)</f>
        <v>-8.8142707240293813E-2</v>
      </c>
      <c r="T6" s="95">
        <f>VLOOKUP(A6,'BSE ALL CAP'!$B$4:$Y$1038,19,)</f>
        <v>-0.3107255520504732</v>
      </c>
      <c r="U6" s="95">
        <f>VLOOKUP(A6,'BSE ALL CAP'!$B$4:$Y$1038,20,)</f>
        <v>0.22258284481017937</v>
      </c>
      <c r="V6" s="95">
        <f>VLOOKUP(A6,'BSE ALL CAP'!$B$4:$Y$1038,21,)</f>
        <v>0.58238276299112801</v>
      </c>
      <c r="W6" s="95">
        <f>VLOOKUP(A6,'BSE ALL CAP'!$B$4:$Y$1038,22,)</f>
        <v>-0.27902946273830154</v>
      </c>
      <c r="X6" s="95">
        <f>VLOOKUP(A6,'BSE ALL CAP'!$B$4:$Y$1038,23,)</f>
        <v>0.50315457413249209</v>
      </c>
      <c r="Y6" s="95">
        <f>VLOOKUP(A6,'BSE ALL CAP'!$B$4:$Y$1038,24,)</f>
        <v>-0.57360406091370564</v>
      </c>
    </row>
    <row r="7" spans="1:25" ht="15.75" customHeight="1">
      <c r="A7" s="99">
        <v>544225</v>
      </c>
      <c r="B7" s="98" t="s">
        <v>5562</v>
      </c>
      <c r="C7" s="101"/>
      <c r="D7" s="101" t="str">
        <f>VLOOKUP(A7,'BSE ALL CAP'!$B$4:$Y$1038,3,)</f>
        <v>2/3 Wheelers</v>
      </c>
      <c r="E7" s="101">
        <f ca="1">IFERROR(__xludf.DUMMYFUNCTION("GOOGLEFINANCE(""BOM:""&amp;A7,""PRICE"")"),28.97)</f>
        <v>28.97</v>
      </c>
      <c r="F7" s="112">
        <f ca="1">IFERROR(__xludf.DUMMYFUNCTION("GOOGLEFINANCE(""BOM:""&amp;A7,""MARKETCAP"")/10000000"),12153.1958452)</f>
        <v>12153.1958452</v>
      </c>
      <c r="G7" s="95">
        <f t="shared" ca="1" si="0"/>
        <v>1.6342826453443596E-2</v>
      </c>
      <c r="H7" s="101"/>
      <c r="I7" s="101"/>
      <c r="J7" s="101"/>
      <c r="K7" s="101"/>
      <c r="L7" s="101"/>
      <c r="M7" s="101"/>
      <c r="N7" s="101"/>
      <c r="O7" s="101"/>
      <c r="P7" s="95">
        <f>VLOOKUP(A7,'BSE ALL CAP'!$B$4:$Y$1038,15,)</f>
        <v>-0.67052313883299797</v>
      </c>
      <c r="Q7" s="95">
        <f>VLOOKUP(A7,'BSE ALL CAP'!$B$4:$Y$1038,16,)</f>
        <v>-0.36023571611580835</v>
      </c>
      <c r="R7" s="95">
        <f>VLOOKUP(A7,'BSE ALL CAP'!$B$4:$Y$1038,17,)</f>
        <v>-0.31028742271718962</v>
      </c>
      <c r="S7" s="95">
        <f>VLOOKUP(A7,'BSE ALL CAP'!$B$4:$Y$1038,18,)</f>
        <v>-1.0361702127659576</v>
      </c>
      <c r="T7" s="95">
        <f>VLOOKUP(A7,'BSE ALL CAP'!$B$4:$Y$1038,19,)</f>
        <v>-0.53971291866028703</v>
      </c>
      <c r="U7" s="95">
        <f>VLOOKUP(A7,'BSE ALL CAP'!$B$4:$Y$1038,20,)</f>
        <v>-0.49645729410567052</v>
      </c>
      <c r="V7" s="95">
        <f>VLOOKUP(A7,'BSE ALL CAP'!$B$4:$Y$1038,21,)</f>
        <v>-0.49064821931847302</v>
      </c>
      <c r="W7" s="95">
        <f>VLOOKUP(A7,'BSE ALL CAP'!$B$4:$Y$1038,22,)</f>
        <v>-5.1920341394025571E-2</v>
      </c>
      <c r="X7" s="95">
        <f>VLOOKUP(A7,'BSE ALL CAP'!$B$4:$Y$1038,23,)</f>
        <v>-0.55023923444976075</v>
      </c>
      <c r="Y7" s="95">
        <f>VLOOKUP(A7,'BSE ALL CAP'!$B$4:$Y$1038,24,)</f>
        <v>-0.13652482269503541</v>
      </c>
    </row>
    <row r="8" spans="1:25" ht="15.75" customHeight="1">
      <c r="A8" s="99">
        <v>544563</v>
      </c>
      <c r="B8" s="98" t="s">
        <v>5563</v>
      </c>
      <c r="C8" s="101"/>
      <c r="D8" s="101"/>
      <c r="E8" s="101">
        <f ca="1">IFERROR(__xludf.DUMMYFUNCTION("GOOGLEFINANCE(""BOM:""&amp;A8,""PRICE"")"),355)</f>
        <v>355</v>
      </c>
      <c r="F8" s="112">
        <f ca="1">IFERROR(__xludf.DUMMYFUNCTION("GOOGLEFINANCE(""BOM:""&amp;A8,""MARKETCAP"")/10000000"),750.825)</f>
        <v>750.82500000000005</v>
      </c>
      <c r="G8" s="95">
        <f t="shared" ca="1" si="0"/>
        <v>1.0096605722644681E-3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538970</v>
      </c>
      <c r="B9" s="98" t="s">
        <v>5564</v>
      </c>
      <c r="C9" s="101"/>
      <c r="D9" s="101"/>
      <c r="E9" s="101">
        <f ca="1">IFERROR(__xludf.DUMMYFUNCTION("GOOGLEFINANCE(""BOM:""&amp;A9,""PRICE"")"),6.28)</f>
        <v>6.28</v>
      </c>
      <c r="F9" s="112">
        <f ca="1">IFERROR(__xludf.DUMMYFUNCTION("GOOGLEFINANCE(""BOM:""&amp;A9,""MARKETCAP"")/10000000"),179.2872)</f>
        <v>179.28720000000001</v>
      </c>
      <c r="G9" s="95">
        <f t="shared" ca="1" si="0"/>
        <v>2.4109375280750395E-4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544428</v>
      </c>
      <c r="B10" s="98" t="s">
        <v>5565</v>
      </c>
      <c r="C10" s="101"/>
      <c r="D10" s="101"/>
      <c r="E10" s="101">
        <f ca="1">IFERROR(__xludf.DUMMYFUNCTION("GOOGLEFINANCE(""BOM:""&amp;A10,""PRICE"")"),43.65)</f>
        <v>43.65</v>
      </c>
      <c r="F10" s="112">
        <f ca="1">IFERROR(__xludf.DUMMYFUNCTION("GOOGLEFINANCE(""BOM:""&amp;A10,""MARKETCAP"")/10000000"),53.94564)</f>
        <v>53.945639999999997</v>
      </c>
      <c r="G10" s="95">
        <f t="shared" ca="1" si="0"/>
        <v>7.2542584162185568E-5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>
      <c r="A11" s="101"/>
      <c r="B11" s="101"/>
      <c r="C11" s="101"/>
      <c r="D11" s="101"/>
      <c r="E11" s="101"/>
      <c r="F11" s="101"/>
      <c r="G11" s="95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>
      <c r="A12" s="101"/>
      <c r="B12" s="101"/>
      <c r="C12" s="101"/>
      <c r="D12" s="101"/>
      <c r="E12" s="101"/>
      <c r="F12" s="112">
        <f ca="1">SUM(F1:F10)</f>
        <v>743641.00235790003</v>
      </c>
      <c r="G12" s="95">
        <f ca="1">F12/$F$12</f>
        <v>1</v>
      </c>
      <c r="H12" s="101">
        <f t="shared" ref="H12:O12" si="1">SUM(H2:H10)</f>
        <v>140362</v>
      </c>
      <c r="I12" s="101">
        <f t="shared" si="1"/>
        <v>117194</v>
      </c>
      <c r="J12" s="101">
        <f t="shared" si="1"/>
        <v>17330</v>
      </c>
      <c r="K12" s="101">
        <f t="shared" si="1"/>
        <v>13207</v>
      </c>
      <c r="L12" s="101">
        <f t="shared" si="1"/>
        <v>50503</v>
      </c>
      <c r="M12" s="101">
        <f t="shared" si="1"/>
        <v>40136</v>
      </c>
      <c r="N12" s="101">
        <f t="shared" si="1"/>
        <v>6253</v>
      </c>
      <c r="O12" s="101">
        <f t="shared" si="1"/>
        <v>4886</v>
      </c>
      <c r="P12" s="13">
        <f t="shared" ref="P12:Q12" si="2">J12/H12</f>
        <v>0.12346646528262635</v>
      </c>
      <c r="Q12" s="13">
        <f t="shared" si="2"/>
        <v>0.11269348260149838</v>
      </c>
      <c r="R12" s="13">
        <f>P12-Q12</f>
        <v>1.0772982681127974E-2</v>
      </c>
      <c r="S12" s="13">
        <f t="shared" ref="S12:T12" si="3">N12/L12</f>
        <v>0.12381442686573074</v>
      </c>
      <c r="T12" s="13">
        <f t="shared" si="3"/>
        <v>0.12173609726928443</v>
      </c>
      <c r="U12" s="13">
        <f>S12-T12</f>
        <v>2.0783295964463128E-3</v>
      </c>
      <c r="V12" s="13">
        <f>(H12/I12)-1</f>
        <v>0.19768930150007669</v>
      </c>
      <c r="W12" s="13">
        <f>(J12/K12)-1</f>
        <v>0.31218293329295066</v>
      </c>
      <c r="X12" s="13">
        <f>(L12/M12)-1</f>
        <v>0.25829679091090285</v>
      </c>
      <c r="Y12" s="13">
        <f>(N12/O12)-1</f>
        <v>0.2797789602947196</v>
      </c>
    </row>
  </sheetData>
  <autoFilter ref="A1:Y10" xr:uid="{00000000-0009-0000-0000-0000AD000000}"/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outlinePr summaryBelow="0" summaryRight="0"/>
  </sheetPr>
  <dimension ref="A1:Y1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522113</v>
      </c>
      <c r="B2" s="98" t="s">
        <v>1404</v>
      </c>
      <c r="C2" s="101" t="str">
        <f>VLOOKUP(A2,'BSE ALL CAP'!$B$4:$Y$1038,2,)</f>
        <v>Industrials</v>
      </c>
      <c r="D2" s="101" t="str">
        <f>VLOOKUP(A2,'BSE ALL CAP'!$B$4:$Y$1038,3,)</f>
        <v>Abrasives &amp; Bearings</v>
      </c>
      <c r="E2" s="101">
        <f ca="1">IFERROR(__xludf.DUMMYFUNCTION("GOOGLEFINANCE(""BOM:""&amp;A2,""PRICE"")"),3335.45)</f>
        <v>3335.45</v>
      </c>
      <c r="F2" s="112">
        <f ca="1">IFERROR(__xludf.DUMMYFUNCTION("GOOGLEFINANCE(""BOM:""&amp;A2,""MARKETCAP"")/10000000"),25044.9878612)</f>
        <v>25044.987861199999</v>
      </c>
      <c r="G2" s="95">
        <f t="shared" ref="G2:G8" ca="1" si="0">F2/$F$10</f>
        <v>0.36111029507650477</v>
      </c>
      <c r="H2" s="101">
        <f>VLOOKUP(A2,'BSE ALL CAP'!$B$4:$Y$1038,7,)</f>
        <v>2388</v>
      </c>
      <c r="I2" s="101">
        <f>VLOOKUP(A2,'BSE ALL CAP'!$B$4:$Y$1038,8,)</f>
        <v>2243</v>
      </c>
      <c r="J2" s="101">
        <f>VLOOKUP(A2,'BSE ALL CAP'!$B$4:$Y$1038,9,)</f>
        <v>256</v>
      </c>
      <c r="K2" s="101">
        <f>VLOOKUP(A2,'BSE ALL CAP'!$B$4:$Y$1038,10,)</f>
        <v>271</v>
      </c>
      <c r="L2" s="101">
        <f>VLOOKUP(A2,'BSE ALL CAP'!$B$4:$Y$1038,11,)</f>
        <v>779</v>
      </c>
      <c r="M2" s="101">
        <f>VLOOKUP(A2,'BSE ALL CAP'!$B$4:$Y$1038,12,)</f>
        <v>683</v>
      </c>
      <c r="N2" s="101">
        <f>VLOOKUP(A2,'BSE ALL CAP'!$B$4:$Y$1038,13,)</f>
        <v>74</v>
      </c>
      <c r="O2" s="101">
        <f>VLOOKUP(A2,'BSE ALL CAP'!$B$4:$Y$1038,14,)</f>
        <v>78</v>
      </c>
      <c r="P2" s="95">
        <f>VLOOKUP(A2,'BSE ALL CAP'!$B$4:$Y$1038,15,)</f>
        <v>0.10720268006700168</v>
      </c>
      <c r="Q2" s="95">
        <f>VLOOKUP(A2,'BSE ALL CAP'!$B$4:$Y$1038,16,)</f>
        <v>0.12082032991529201</v>
      </c>
      <c r="R2" s="95">
        <f>VLOOKUP(A2,'BSE ALL CAP'!$B$4:$Y$1038,17,)</f>
        <v>-1.3617649848290336E-2</v>
      </c>
      <c r="S2" s="95">
        <f>VLOOKUP(A2,'BSE ALL CAP'!$B$4:$Y$1038,18,)</f>
        <v>9.4993581514762518E-2</v>
      </c>
      <c r="T2" s="95">
        <f>VLOOKUP(A2,'BSE ALL CAP'!$B$4:$Y$1038,19,)</f>
        <v>0.11420204978038068</v>
      </c>
      <c r="U2" s="95">
        <f>VLOOKUP(A2,'BSE ALL CAP'!$B$4:$Y$1038,20,)</f>
        <v>-1.9208468265618159E-2</v>
      </c>
      <c r="V2" s="95">
        <f>VLOOKUP(A2,'BSE ALL CAP'!$B$4:$Y$1038,21,)</f>
        <v>6.4645563976816867E-2</v>
      </c>
      <c r="W2" s="95">
        <f>VLOOKUP(A2,'BSE ALL CAP'!$B$4:$Y$1038,22,)</f>
        <v>-5.5350553505535083E-2</v>
      </c>
      <c r="X2" s="95">
        <f>VLOOKUP(A2,'BSE ALL CAP'!$B$4:$Y$1038,23,)</f>
        <v>0.14055636896046853</v>
      </c>
      <c r="Y2" s="95">
        <f>VLOOKUP(A2,'BSE ALL CAP'!$B$4:$Y$1038,24,)</f>
        <v>-5.1282051282051322E-2</v>
      </c>
    </row>
    <row r="3" spans="1:25" ht="15.75" customHeight="1">
      <c r="A3" s="99">
        <v>506076</v>
      </c>
      <c r="B3" s="98" t="s">
        <v>5566</v>
      </c>
      <c r="C3" s="101" t="str">
        <f>VLOOKUP(A3,'BSE ALL CAP'!$B$4:$Y$1038,2,)</f>
        <v>Industrials</v>
      </c>
      <c r="D3" s="101" t="str">
        <f>VLOOKUP(A3,'BSE ALL CAP'!$B$4:$Y$1038,3,)</f>
        <v>Abrasives &amp; Bearings</v>
      </c>
      <c r="E3" s="101">
        <f ca="1">IFERROR(__xludf.DUMMYFUNCTION("GOOGLEFINANCE(""BOM:""&amp;A3,""PRICE"")"),1441.7)</f>
        <v>1441.7</v>
      </c>
      <c r="F3" s="112">
        <f ca="1">IFERROR(__xludf.DUMMYFUNCTION("GOOGLEFINANCE(""BOM:""&amp;A3,""MARKETCAP"")/10000000"),15942.5730703)</f>
        <v>15942.573070300001</v>
      </c>
      <c r="G3" s="95">
        <f t="shared" ca="1" si="0"/>
        <v>0.22986744084686217</v>
      </c>
      <c r="H3" s="101">
        <f>VLOOKUP(A3,'BSE ALL CAP'!$B$4:$Y$1038,7,)</f>
        <v>2221</v>
      </c>
      <c r="I3" s="101">
        <f>VLOOKUP(A3,'BSE ALL CAP'!$B$4:$Y$1038,8,)</f>
        <v>2093</v>
      </c>
      <c r="J3" s="101">
        <f>VLOOKUP(A3,'BSE ALL CAP'!$B$4:$Y$1038,9,)</f>
        <v>297</v>
      </c>
      <c r="K3" s="101">
        <f>VLOOKUP(A3,'BSE ALL CAP'!$B$4:$Y$1038,10,)</f>
        <v>278</v>
      </c>
      <c r="L3" s="101">
        <f>VLOOKUP(A3,'BSE ALL CAP'!$B$4:$Y$1038,11,)</f>
        <v>749</v>
      </c>
      <c r="M3" s="101">
        <f>VLOOKUP(A3,'BSE ALL CAP'!$B$4:$Y$1038,12,)</f>
        <v>699</v>
      </c>
      <c r="N3" s="101">
        <f>VLOOKUP(A3,'BSE ALL CAP'!$B$4:$Y$1038,13,)</f>
        <v>95</v>
      </c>
      <c r="O3" s="101">
        <f>VLOOKUP(A3,'BSE ALL CAP'!$B$4:$Y$1038,14,)</f>
        <v>87</v>
      </c>
      <c r="P3" s="95">
        <f>VLOOKUP(A3,'BSE ALL CAP'!$B$4:$Y$1038,15,)</f>
        <v>0.13372354795137326</v>
      </c>
      <c r="Q3" s="95">
        <f>VLOOKUP(A3,'BSE ALL CAP'!$B$4:$Y$1038,16,)</f>
        <v>0.13282369804108934</v>
      </c>
      <c r="R3" s="95">
        <f>VLOOKUP(A3,'BSE ALL CAP'!$B$4:$Y$1038,17,)</f>
        <v>8.9984991028391192E-4</v>
      </c>
      <c r="S3" s="95">
        <f>VLOOKUP(A3,'BSE ALL CAP'!$B$4:$Y$1038,18,)</f>
        <v>0.12683578104138851</v>
      </c>
      <c r="T3" s="95">
        <f>VLOOKUP(A3,'BSE ALL CAP'!$B$4:$Y$1038,19,)</f>
        <v>0.12446351931330472</v>
      </c>
      <c r="U3" s="95">
        <f>VLOOKUP(A3,'BSE ALL CAP'!$B$4:$Y$1038,20,)</f>
        <v>2.3722617280837882E-3</v>
      </c>
      <c r="V3" s="95">
        <f>VLOOKUP(A3,'BSE ALL CAP'!$B$4:$Y$1038,21,)</f>
        <v>6.1156235069278475E-2</v>
      </c>
      <c r="W3" s="95">
        <f>VLOOKUP(A3,'BSE ALL CAP'!$B$4:$Y$1038,22,)</f>
        <v>6.8345323741007213E-2</v>
      </c>
      <c r="X3" s="95">
        <f>VLOOKUP(A3,'BSE ALL CAP'!$B$4:$Y$1038,23,)</f>
        <v>7.1530758226037161E-2</v>
      </c>
      <c r="Y3" s="95">
        <f>VLOOKUP(A3,'BSE ALL CAP'!$B$4:$Y$1038,24,)</f>
        <v>9.1954022988505857E-2</v>
      </c>
    </row>
    <row r="4" spans="1:25" ht="15.75" customHeight="1">
      <c r="A4" s="99">
        <v>513375</v>
      </c>
      <c r="B4" s="98" t="s">
        <v>5567</v>
      </c>
      <c r="C4" s="101" t="str">
        <f>VLOOKUP(A4,'BSE ALL CAP'!$B$4:$Y$1038,2,)</f>
        <v>Industrials</v>
      </c>
      <c r="D4" s="101" t="str">
        <f>VLOOKUP(A4,'BSE ALL CAP'!$B$4:$Y$1038,3,)</f>
        <v>Abrasives &amp; Bearings</v>
      </c>
      <c r="E4" s="101">
        <f ca="1">IFERROR(__xludf.DUMMYFUNCTION("GOOGLEFINANCE(""BOM:""&amp;A4,""PRICE"")"),831.75)</f>
        <v>831.75</v>
      </c>
      <c r="F4" s="112">
        <f ca="1">IFERROR(__xludf.DUMMYFUNCTION("GOOGLEFINANCE(""BOM:""&amp;A4,""MARKETCAP"")/10000000"),15840.4036049)</f>
        <v>15840.403604900001</v>
      </c>
      <c r="G4" s="95">
        <f t="shared" ca="1" si="0"/>
        <v>0.22839431392810011</v>
      </c>
      <c r="H4" s="101">
        <f>VLOOKUP(A4,'BSE ALL CAP'!$B$4:$Y$1038,7,)</f>
        <v>3807</v>
      </c>
      <c r="I4" s="101">
        <f>VLOOKUP(A4,'BSE ALL CAP'!$B$4:$Y$1038,8,)</f>
        <v>3677</v>
      </c>
      <c r="J4" s="101">
        <f>VLOOKUP(A4,'BSE ALL CAP'!$B$4:$Y$1038,9,)</f>
        <v>207</v>
      </c>
      <c r="K4" s="101">
        <f>VLOOKUP(A4,'BSE ALL CAP'!$B$4:$Y$1038,10,)</f>
        <v>268</v>
      </c>
      <c r="L4" s="101">
        <f>VLOOKUP(A4,'BSE ALL CAP'!$B$4:$Y$1038,11,)</f>
        <v>1290</v>
      </c>
      <c r="M4" s="101">
        <f>VLOOKUP(A4,'BSE ALL CAP'!$B$4:$Y$1038,12,)</f>
        <v>1255</v>
      </c>
      <c r="N4" s="101">
        <f>VLOOKUP(A4,'BSE ALL CAP'!$B$4:$Y$1038,13,)</f>
        <v>73</v>
      </c>
      <c r="O4" s="101">
        <f>VLOOKUP(A4,'BSE ALL CAP'!$B$4:$Y$1038,14,)</f>
        <v>37</v>
      </c>
      <c r="P4" s="95">
        <f>VLOOKUP(A4,'BSE ALL CAP'!$B$4:$Y$1038,15,)</f>
        <v>5.4373522458628844E-2</v>
      </c>
      <c r="Q4" s="95">
        <f>VLOOKUP(A4,'BSE ALL CAP'!$B$4:$Y$1038,16,)</f>
        <v>7.2885504487353828E-2</v>
      </c>
      <c r="R4" s="95">
        <f>VLOOKUP(A4,'BSE ALL CAP'!$B$4:$Y$1038,17,)</f>
        <v>-1.8511982028724984E-2</v>
      </c>
      <c r="S4" s="95">
        <f>VLOOKUP(A4,'BSE ALL CAP'!$B$4:$Y$1038,18,)</f>
        <v>5.6589147286821705E-2</v>
      </c>
      <c r="T4" s="95">
        <f>VLOOKUP(A4,'BSE ALL CAP'!$B$4:$Y$1038,19,)</f>
        <v>2.9482071713147411E-2</v>
      </c>
      <c r="U4" s="95">
        <f>VLOOKUP(A4,'BSE ALL CAP'!$B$4:$Y$1038,20,)</f>
        <v>2.7107075573674293E-2</v>
      </c>
      <c r="V4" s="95">
        <f>VLOOKUP(A4,'BSE ALL CAP'!$B$4:$Y$1038,21,)</f>
        <v>3.5354908893119319E-2</v>
      </c>
      <c r="W4" s="95">
        <f>VLOOKUP(A4,'BSE ALL CAP'!$B$4:$Y$1038,22,)</f>
        <v>-0.22761194029850751</v>
      </c>
      <c r="X4" s="95">
        <f>VLOOKUP(A4,'BSE ALL CAP'!$B$4:$Y$1038,23,)</f>
        <v>2.7888446215139417E-2</v>
      </c>
      <c r="Y4" s="95">
        <f>VLOOKUP(A4,'BSE ALL CAP'!$B$4:$Y$1038,24,)</f>
        <v>0.97297297297297303</v>
      </c>
    </row>
    <row r="5" spans="1:25" ht="15.75" customHeight="1">
      <c r="A5" s="99">
        <v>544572</v>
      </c>
      <c r="B5" s="98" t="s">
        <v>5568</v>
      </c>
      <c r="C5" s="101"/>
      <c r="D5" s="101"/>
      <c r="E5" s="101">
        <f ca="1">IFERROR(__xludf.DUMMYFUNCTION("GOOGLEFINANCE(""BOM:""&amp;A5,""PRICE"")"),2229.3)</f>
        <v>2229.3000000000002</v>
      </c>
      <c r="F5" s="112">
        <f ca="1">IFERROR(__xludf.DUMMYFUNCTION("GOOGLEFINANCE(""BOM:""&amp;A5,""MARKETCAP"")/10000000"),11024.66731)</f>
        <v>11024.667310000001</v>
      </c>
      <c r="G5" s="95">
        <f t="shared" ca="1" si="0"/>
        <v>0.15895878598535867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505412</v>
      </c>
      <c r="B6" s="98" t="s">
        <v>5569</v>
      </c>
      <c r="C6" s="101"/>
      <c r="D6" s="101"/>
      <c r="E6" s="101">
        <f ca="1">IFERROR(__xludf.DUMMYFUNCTION("GOOGLEFINANCE(""BOM:""&amp;A6,""PRICE"")"),6429.85)</f>
        <v>6429.85</v>
      </c>
      <c r="F6" s="112">
        <f ca="1">IFERROR(__xludf.DUMMYFUNCTION("GOOGLEFINANCE(""BOM:""&amp;A6,""MARKETCAP"")/10000000"),1288.8)</f>
        <v>1288.8</v>
      </c>
      <c r="G6" s="95">
        <f t="shared" ca="1" si="0"/>
        <v>1.8582518421404431E-2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526073</v>
      </c>
      <c r="B7" s="98" t="s">
        <v>5570</v>
      </c>
      <c r="C7" s="101"/>
      <c r="D7" s="101"/>
      <c r="E7" s="101">
        <f ca="1">IFERROR(__xludf.DUMMYFUNCTION("GOOGLEFINANCE(""BOM:""&amp;A7,""PRICE"")"),458.7)</f>
        <v>458.7</v>
      </c>
      <c r="F7" s="112">
        <f ca="1">IFERROR(__xludf.DUMMYFUNCTION("GOOGLEFINANCE(""BOM:""&amp;A7,""MARKETCAP"")/10000000"),145.8666038)</f>
        <v>145.86660380000001</v>
      </c>
      <c r="G7" s="95">
        <f t="shared" ca="1" si="0"/>
        <v>2.1031726041132849E-3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535458</v>
      </c>
      <c r="B8" s="98" t="s">
        <v>5571</v>
      </c>
      <c r="C8" s="101"/>
      <c r="D8" s="101"/>
      <c r="E8" s="101">
        <f ca="1">IFERROR(__xludf.DUMMYFUNCTION("GOOGLEFINANCE(""BOM:""&amp;A8,""PRICE"")"),27.85)</f>
        <v>27.85</v>
      </c>
      <c r="F8" s="112">
        <f ca="1">IFERROR(__xludf.DUMMYFUNCTION("GOOGLEFINANCE(""BOM:""&amp;A8,""MARKETCAP"")/10000000"),68.2092788)</f>
        <v>68.209278800000007</v>
      </c>
      <c r="G8" s="95">
        <f t="shared" ca="1" si="0"/>
        <v>9.8347313765651066E-4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A9" s="101"/>
      <c r="B9" s="101"/>
      <c r="C9" s="101"/>
      <c r="D9" s="101"/>
      <c r="E9" s="101"/>
      <c r="F9" s="112"/>
      <c r="G9" s="95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>
      <c r="A10" s="101"/>
      <c r="B10" s="101"/>
      <c r="C10" s="101"/>
      <c r="D10" s="101"/>
      <c r="E10" s="101"/>
      <c r="F10" s="112">
        <f ca="1">SUM(F2:F9)</f>
        <v>69355.507729000004</v>
      </c>
      <c r="G10" s="95">
        <f ca="1">F10/$F$10</f>
        <v>1</v>
      </c>
      <c r="H10" s="101">
        <f t="shared" ref="H10:M10" si="1">SUM(H2:H8)</f>
        <v>8416</v>
      </c>
      <c r="I10" s="101">
        <f t="shared" si="1"/>
        <v>8013</v>
      </c>
      <c r="J10" s="101">
        <f t="shared" si="1"/>
        <v>760</v>
      </c>
      <c r="K10" s="101">
        <f t="shared" si="1"/>
        <v>817</v>
      </c>
      <c r="L10" s="101">
        <f t="shared" si="1"/>
        <v>2818</v>
      </c>
      <c r="M10" s="101">
        <f t="shared" si="1"/>
        <v>2637</v>
      </c>
      <c r="N10" s="101">
        <f t="shared" ref="N10:O10" si="2">SUM(N2:N9)</f>
        <v>242</v>
      </c>
      <c r="O10" s="101">
        <f t="shared" si="2"/>
        <v>202</v>
      </c>
      <c r="P10" s="13">
        <f t="shared" ref="P10:Q10" si="3">J10/H10</f>
        <v>9.0304182509505698E-2</v>
      </c>
      <c r="Q10" s="13">
        <f t="shared" si="3"/>
        <v>0.1019593161113191</v>
      </c>
      <c r="R10" s="13">
        <f>P10-Q10</f>
        <v>-1.1655133601813403E-2</v>
      </c>
      <c r="S10" s="13">
        <f t="shared" ref="S10:T10" si="4">N10/L10</f>
        <v>8.5876508161816897E-2</v>
      </c>
      <c r="T10" s="13">
        <f t="shared" si="4"/>
        <v>7.6602199469093663E-2</v>
      </c>
      <c r="U10" s="13">
        <f>S10-T10</f>
        <v>9.2743086927232349E-3</v>
      </c>
      <c r="V10" s="13">
        <f>(H10/I10)-1</f>
        <v>5.0293273430675134E-2</v>
      </c>
      <c r="W10" s="13">
        <f>(J10/K10)-1</f>
        <v>-6.9767441860465129E-2</v>
      </c>
      <c r="X10" s="13">
        <f>(L10/M10)-1</f>
        <v>6.8638604474781983E-2</v>
      </c>
      <c r="Y10" s="13">
        <f>(N10/O10)-1</f>
        <v>0.19801980198019797</v>
      </c>
    </row>
  </sheetData>
  <autoFilter ref="A1:Y8" xr:uid="{00000000-0009-0000-0000-0000AE000000}"/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544117</v>
      </c>
      <c r="B2" s="98" t="s">
        <v>5572</v>
      </c>
      <c r="C2" s="174" t="e">
        <f>VLOOKUP(A2,'BSE ALL CAP'!$B$4:$Y$1034,2,)</f>
        <v>#N/A</v>
      </c>
      <c r="D2" s="174" t="e">
        <f>VLOOKUP(A2,'BSE ALL CAP'!$B$4:$Y$1034,3,)</f>
        <v>#N/A</v>
      </c>
      <c r="E2" s="101">
        <f ca="1">IFERROR(__xludf.DUMMYFUNCTION("GOOGLEFINANCE(""BOM:""&amp;A2,""PRICE"")"),230.4)</f>
        <v>230.4</v>
      </c>
      <c r="F2" s="112">
        <f ca="1">IFERROR(__xludf.DUMMYFUNCTION("GOOGLEFINANCE(""BOM:""&amp;A2,""MARKETCAP"")/10000000"),1235.282491)</f>
        <v>1235.2824909999999</v>
      </c>
      <c r="G2" s="95">
        <f t="shared" ref="G2:G14" ca="1" si="0">F2/$F$16</f>
        <v>0.42253804003280943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.75" customHeight="1">
      <c r="A3" s="99">
        <v>543831</v>
      </c>
      <c r="B3" s="98" t="s">
        <v>5573</v>
      </c>
      <c r="C3" s="174" t="e">
        <f>VLOOKUP(A3,'BSE ALL CAP'!$B$4:$Y$1034,2,)</f>
        <v>#N/A</v>
      </c>
      <c r="D3" s="174" t="e">
        <f>VLOOKUP(A3,'BSE ALL CAP'!$B$4:$Y$1034,3,)</f>
        <v>#N/A</v>
      </c>
      <c r="E3" s="101">
        <f ca="1">IFERROR(__xludf.DUMMYFUNCTION("GOOGLEFINANCE(""BOM:""&amp;A3,""PRICE"")"),400.9)</f>
        <v>400.9</v>
      </c>
      <c r="F3" s="112">
        <f ca="1">IFERROR(__xludf.DUMMYFUNCTION("GOOGLEFINANCE(""BOM:""&amp;A3,""MARKETCAP"")/10000000"),874.8907)</f>
        <v>874.89070000000004</v>
      </c>
      <c r="G3" s="95">
        <f t="shared" ca="1" si="0"/>
        <v>0.2992632084679428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544136</v>
      </c>
      <c r="B4" s="98" t="s">
        <v>5574</v>
      </c>
      <c r="C4" s="174" t="e">
        <f>VLOOKUP(A4,'BSE ALL CAP'!$B$4:$Y$1034,2,)</f>
        <v>#N/A</v>
      </c>
      <c r="D4" s="174" t="e">
        <f>VLOOKUP(A4,'BSE ALL CAP'!$B$4:$Y$1034,3,)</f>
        <v>#N/A</v>
      </c>
      <c r="E4" s="101">
        <f ca="1">IFERROR(__xludf.DUMMYFUNCTION("GOOGLEFINANCE(""BOM:""&amp;A4,""PRICE"")"),82.16)</f>
        <v>82.16</v>
      </c>
      <c r="F4" s="112">
        <f ca="1">IFERROR(__xludf.DUMMYFUNCTION("GOOGLEFINANCE(""BOM:""&amp;A4,""MARKETCAP"")/10000000"),416.5886555)</f>
        <v>416.58865550000002</v>
      </c>
      <c r="G4" s="95">
        <f t="shared" ca="1" si="0"/>
        <v>0.14249740871205571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542685</v>
      </c>
      <c r="B5" s="98" t="s">
        <v>5575</v>
      </c>
      <c r="C5" s="174" t="e">
        <f>VLOOKUP(A5,'BSE ALL CAP'!$B$4:$Y$1034,2,)</f>
        <v>#N/A</v>
      </c>
      <c r="D5" s="174" t="e">
        <f>VLOOKUP(A5,'BSE ALL CAP'!$B$4:$Y$1034,3,)</f>
        <v>#N/A</v>
      </c>
      <c r="E5" s="101">
        <f ca="1">IFERROR(__xludf.DUMMYFUNCTION("GOOGLEFINANCE(""BOM:""&amp;A5,""PRICE"")"),26.42)</f>
        <v>26.42</v>
      </c>
      <c r="F5" s="112">
        <f ca="1">IFERROR(__xludf.DUMMYFUNCTION("GOOGLEFINANCE(""BOM:""&amp;A5,""MARKETCAP"")/10000000"),149.8719362)</f>
        <v>149.87193619999999</v>
      </c>
      <c r="G5" s="95">
        <f t="shared" ca="1" si="0"/>
        <v>5.1264868270419178E-2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544546</v>
      </c>
      <c r="B6" s="98" t="s">
        <v>5576</v>
      </c>
      <c r="C6" s="174" t="e">
        <f>VLOOKUP(A6,'BSE ALL CAP'!$B$4:$Y$1034,2,)</f>
        <v>#N/A</v>
      </c>
      <c r="D6" s="174" t="e">
        <f>VLOOKUP(A6,'BSE ALL CAP'!$B$4:$Y$1034,3,)</f>
        <v>#N/A</v>
      </c>
      <c r="E6" s="101">
        <f ca="1">IFERROR(__xludf.DUMMYFUNCTION("GOOGLEFINANCE(""BOM:""&amp;A6,""PRICE"")"),50)</f>
        <v>50</v>
      </c>
      <c r="F6" s="112">
        <f ca="1">IFERROR(__xludf.DUMMYFUNCTION("GOOGLEFINANCE(""BOM:""&amp;A6,""MARKETCAP"")/10000000"),70.719)</f>
        <v>70.718999999999994</v>
      </c>
      <c r="G6" s="95">
        <f t="shared" ca="1" si="0"/>
        <v>2.4189987205995498E-2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544303</v>
      </c>
      <c r="B7" s="98" t="s">
        <v>5577</v>
      </c>
      <c r="C7" s="174" t="e">
        <f>VLOOKUP(A7,'BSE ALL CAP'!$B$4:$Y$1034,2,)</f>
        <v>#N/A</v>
      </c>
      <c r="D7" s="174" t="e">
        <f>VLOOKUP(A7,'BSE ALL CAP'!$B$4:$Y$1034,3,)</f>
        <v>#N/A</v>
      </c>
      <c r="E7" s="101">
        <f ca="1">IFERROR(__xludf.DUMMYFUNCTION("GOOGLEFINANCE(""BOM:""&amp;A7,""PRICE"")"),285)</f>
        <v>285</v>
      </c>
      <c r="F7" s="112">
        <f ca="1">IFERROR(__xludf.DUMMYFUNCTION("GOOGLEFINANCE(""BOM:""&amp;A7,""MARKETCAP"")/10000000"),53.865)</f>
        <v>53.865000000000002</v>
      </c>
      <c r="G7" s="95">
        <f t="shared" ca="1" si="0"/>
        <v>1.8424944652087102E-2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539310</v>
      </c>
      <c r="B8" s="98" t="s">
        <v>5578</v>
      </c>
      <c r="C8" s="174" t="e">
        <f>VLOOKUP(A8,'BSE ALL CAP'!$B$4:$Y$1034,2,)</f>
        <v>#N/A</v>
      </c>
      <c r="D8" s="174" t="e">
        <f>VLOOKUP(A8,'BSE ALL CAP'!$B$4:$Y$1034,3,)</f>
        <v>#N/A</v>
      </c>
      <c r="E8" s="101">
        <f ca="1">IFERROR(__xludf.DUMMYFUNCTION("GOOGLEFINANCE(""BOM:""&amp;A8,""PRICE"")"),0.2)</f>
        <v>0.2</v>
      </c>
      <c r="F8" s="112">
        <f ca="1">IFERROR(__xludf.DUMMYFUNCTION("GOOGLEFINANCE(""BOM:""&amp;A8,""MARKETCAP"")/10000000"),28.4428804)</f>
        <v>28.4428804</v>
      </c>
      <c r="G8" s="95">
        <f t="shared" ca="1" si="0"/>
        <v>9.7291097580234475E-3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531259</v>
      </c>
      <c r="B9" s="98" t="s">
        <v>5579</v>
      </c>
      <c r="C9" s="174" t="e">
        <f>VLOOKUP(A9,'BSE ALL CAP'!$B$4:$Y$1034,2,)</f>
        <v>#N/A</v>
      </c>
      <c r="D9" s="174" t="e">
        <f>VLOOKUP(A9,'BSE ALL CAP'!$B$4:$Y$1034,3,)</f>
        <v>#N/A</v>
      </c>
      <c r="E9" s="101">
        <f ca="1">IFERROR(__xludf.DUMMYFUNCTION("GOOGLEFINANCE(""BOM:""&amp;A9,""PRICE"")"),24.86)</f>
        <v>24.86</v>
      </c>
      <c r="F9" s="112">
        <f ca="1">IFERROR(__xludf.DUMMYFUNCTION("GOOGLEFINANCE(""BOM:""&amp;A9,""MARKETCAP"")/10000000"),19.4080284)</f>
        <v>19.408028399999999</v>
      </c>
      <c r="G9" s="95">
        <f t="shared" ca="1" si="0"/>
        <v>6.6386679490603277E-3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543341</v>
      </c>
      <c r="B10" s="98" t="s">
        <v>5580</v>
      </c>
      <c r="C10" s="174" t="e">
        <f>VLOOKUP(A10,'BSE ALL CAP'!$B$4:$Y$1034,2,)</f>
        <v>#N/A</v>
      </c>
      <c r="D10" s="174" t="e">
        <f>VLOOKUP(A10,'BSE ALL CAP'!$B$4:$Y$1034,3,)</f>
        <v>#N/A</v>
      </c>
      <c r="E10" s="101">
        <f ca="1">IFERROR(__xludf.DUMMYFUNCTION("GOOGLEFINANCE(""BOM:""&amp;A10,""PRICE"")"),10.88)</f>
        <v>10.88</v>
      </c>
      <c r="F10" s="112">
        <f ca="1">IFERROR(__xludf.DUMMYFUNCTION("GOOGLEFINANCE(""BOM:""&amp;A10,""MARKETCAP"")/10000000"),31.1547824)</f>
        <v>31.154782399999998</v>
      </c>
      <c r="G10" s="95">
        <f t="shared" ca="1" si="0"/>
        <v>1.0656737053148005E-2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543905</v>
      </c>
      <c r="B11" s="98" t="s">
        <v>5581</v>
      </c>
      <c r="C11" s="174" t="e">
        <f>VLOOKUP(A11,'BSE ALL CAP'!$B$4:$Y$1034,2,)</f>
        <v>#N/A</v>
      </c>
      <c r="D11" s="174" t="e">
        <f>VLOOKUP(A11,'BSE ALL CAP'!$B$4:$Y$1034,3,)</f>
        <v>#N/A</v>
      </c>
      <c r="E11" s="101">
        <f ca="1">IFERROR(__xludf.DUMMYFUNCTION("GOOGLEFINANCE(""BOM:""&amp;A11,""PRICE"")"),10.3)</f>
        <v>10.3</v>
      </c>
      <c r="F11" s="112">
        <f ca="1">IFERROR(__xludf.DUMMYFUNCTION("GOOGLEFINANCE(""BOM:""&amp;A11,""MARKETCAP"")/10000000"),10.53031)</f>
        <v>10.53031</v>
      </c>
      <c r="G11" s="95">
        <f t="shared" ca="1" si="0"/>
        <v>3.6019749172805961E-3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543651</v>
      </c>
      <c r="B12" s="98" t="s">
        <v>5582</v>
      </c>
      <c r="C12" s="174" t="e">
        <f>VLOOKUP(A12,'BSE ALL CAP'!$B$4:$Y$1034,2,)</f>
        <v>#N/A</v>
      </c>
      <c r="D12" s="174" t="e">
        <f>VLOOKUP(A12,'BSE ALL CAP'!$B$4:$Y$1034,3,)</f>
        <v>#N/A</v>
      </c>
      <c r="E12" s="101">
        <f ca="1">IFERROR(__xludf.DUMMYFUNCTION("GOOGLEFINANCE(""BOM:""&amp;A12,""PRICE"")"),20.3)</f>
        <v>20.3</v>
      </c>
      <c r="F12" s="112">
        <f ca="1">IFERROR(__xludf.DUMMYFUNCTION("GOOGLEFINANCE(""BOM:""&amp;A12,""MARKETCAP"")/10000000"),10.50505)</f>
        <v>10.505050000000001</v>
      </c>
      <c r="G12" s="95">
        <f t="shared" ca="1" si="0"/>
        <v>3.5933345366640232E-3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526441</v>
      </c>
      <c r="B13" s="98" t="s">
        <v>5583</v>
      </c>
      <c r="C13" s="174" t="e">
        <f>VLOOKUP(A13,'BSE ALL CAP'!$B$4:$Y$1034,2,)</f>
        <v>#N/A</v>
      </c>
      <c r="D13" s="174" t="e">
        <f>VLOOKUP(A13,'BSE ALL CAP'!$B$4:$Y$1034,3,)</f>
        <v>#N/A</v>
      </c>
      <c r="E13" s="101">
        <f ca="1">IFERROR(__xludf.DUMMYFUNCTION("GOOGLEFINANCE(""BOM:""&amp;A13,""PRICE"")"),1.17)</f>
        <v>1.17</v>
      </c>
      <c r="F13" s="112">
        <f ca="1">IFERROR(__xludf.DUMMYFUNCTION("GOOGLEFINANCE(""BOM:""&amp;A13,""MARKETCAP"")/10000000"),8.2864895)</f>
        <v>8.2864895000000001</v>
      </c>
      <c r="G13" s="95">
        <f t="shared" ca="1" si="0"/>
        <v>2.8344585611733203E-3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541799</v>
      </c>
      <c r="B14" s="98" t="s">
        <v>5584</v>
      </c>
      <c r="C14" s="174" t="e">
        <f>VLOOKUP(A14,'BSE ALL CAP'!$B$4:$Y$1034,2,)</f>
        <v>#N/A</v>
      </c>
      <c r="D14" s="174" t="e">
        <f>VLOOKUP(A14,'BSE ALL CAP'!$B$4:$Y$1034,3,)</f>
        <v>#N/A</v>
      </c>
      <c r="E14" s="101">
        <f ca="1">IFERROR(__xludf.DUMMYFUNCTION("GOOGLEFINANCE(""BOM:""&amp;A14,""PRICE"")"),12.67)</f>
        <v>12.67</v>
      </c>
      <c r="F14" s="112">
        <f ca="1">IFERROR(__xludf.DUMMYFUNCTION("GOOGLEFINANCE(""BOM:""&amp;A14,""MARKETCAP"")/10000000"),13.937)</f>
        <v>13.936999999999999</v>
      </c>
      <c r="G14" s="95">
        <f t="shared" ca="1" si="0"/>
        <v>4.7672598833405347E-3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>
      <c r="A15" s="101"/>
      <c r="B15" s="101"/>
      <c r="C15" s="101"/>
      <c r="D15" s="101"/>
      <c r="E15" s="101"/>
      <c r="F15" s="112"/>
      <c r="G15" s="95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>
      <c r="A16" s="101"/>
      <c r="B16" s="101"/>
      <c r="C16" s="101"/>
      <c r="D16" s="101"/>
      <c r="E16" s="101"/>
      <c r="F16" s="112">
        <f ca="1">SUM(F1:F14)</f>
        <v>2923.4823234</v>
      </c>
      <c r="G16" s="95">
        <f ca="1">F16/$F$16</f>
        <v>1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4" xr:uid="{00000000-0009-0000-0000-0000AF000000}"/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outlinePr summaryBelow="0" summaryRight="0"/>
  </sheetPr>
  <dimension ref="A1:Y27"/>
  <sheetViews>
    <sheetView workbookViewId="0"/>
  </sheetViews>
  <sheetFormatPr defaultColWidth="12.6640625" defaultRowHeight="15.75" customHeight="1"/>
  <cols>
    <col min="16" max="16" width="15.44140625" customWidth="1"/>
  </cols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500049</v>
      </c>
      <c r="B2" s="98" t="s">
        <v>1389</v>
      </c>
      <c r="C2" s="101" t="str">
        <f>VLOOKUP(A2,'BSE ALL CAP'!$B$4:$Y$1038,2,)</f>
        <v>Industrials</v>
      </c>
      <c r="D2" s="101" t="str">
        <f>VLOOKUP(A2,'BSE ALL CAP'!$B$4:$Y$1038,3,)</f>
        <v>Aerospace &amp; Defense</v>
      </c>
      <c r="E2" s="101">
        <f ca="1">IFERROR(__xludf.DUMMYFUNCTION("GOOGLEFINANCE(""BOM:""&amp;A2,""PRICE"")"),427.5)</f>
        <v>427.5</v>
      </c>
      <c r="F2" s="112">
        <f ca="1">IFERROR(__xludf.DUMMYFUNCTION("GOOGLEFINANCE(""BOM:""&amp;A2,""MARKETCAP"")/10000000"),312383.4100265)</f>
        <v>312383.4100265</v>
      </c>
      <c r="G2" s="95">
        <f t="shared" ref="G2:G25" ca="1" si="0">F2/$F$27</f>
        <v>0.42330062806832902</v>
      </c>
      <c r="H2" s="101">
        <f>VLOOKUP(A2,'BSE ALL CAP'!$B$4:$Y$1038,7,)</f>
        <v>17385</v>
      </c>
      <c r="I2" s="101">
        <f>VLOOKUP(A2,'BSE ALL CAP'!$B$4:$Y$1038,8,)</f>
        <v>14619</v>
      </c>
      <c r="J2" s="101">
        <f>VLOOKUP(A2,'BSE ALL CAP'!$B$4:$Y$1038,9,)</f>
        <v>3835</v>
      </c>
      <c r="K2" s="101">
        <f>VLOOKUP(A2,'BSE ALL CAP'!$B$4:$Y$1038,10,)</f>
        <v>3195</v>
      </c>
      <c r="L2" s="101">
        <f>VLOOKUP(A2,'BSE ALL CAP'!$B$4:$Y$1038,11,)</f>
        <v>7153</v>
      </c>
      <c r="M2" s="101">
        <f>VLOOKUP(A2,'BSE ALL CAP'!$B$4:$Y$1038,12,)</f>
        <v>5770</v>
      </c>
      <c r="N2" s="101">
        <f>VLOOKUP(A2,'BSE ALL CAP'!$B$4:$Y$1038,13,)</f>
        <v>1579</v>
      </c>
      <c r="O2" s="101">
        <f>VLOOKUP(A2,'BSE ALL CAP'!$B$4:$Y$1038,14,)</f>
        <v>1311</v>
      </c>
      <c r="P2" s="95">
        <f>VLOOKUP(A2,'BSE ALL CAP'!$B$4:$Y$1038,15,)</f>
        <v>0.22059246476847857</v>
      </c>
      <c r="Q2" s="95">
        <f>VLOOKUP(A2,'BSE ALL CAP'!$B$4:$Y$1038,16,)</f>
        <v>0.21855120049250976</v>
      </c>
      <c r="R2" s="95">
        <f>VLOOKUP(A2,'BSE ALL CAP'!$B$4:$Y$1038,17,)</f>
        <v>2.0412642759688182E-3</v>
      </c>
      <c r="S2" s="95">
        <f>VLOOKUP(A2,'BSE ALL CAP'!$B$4:$Y$1038,18,)</f>
        <v>0.22074653991332308</v>
      </c>
      <c r="T2" s="95">
        <f>VLOOKUP(A2,'BSE ALL CAP'!$B$4:$Y$1038,19,)</f>
        <v>0.22720970537261698</v>
      </c>
      <c r="U2" s="95">
        <f>VLOOKUP(A2,'BSE ALL CAP'!$B$4:$Y$1038,20,)</f>
        <v>-6.4631654592939014E-3</v>
      </c>
      <c r="V2" s="95">
        <f>VLOOKUP(A2,'BSE ALL CAP'!$B$4:$Y$1038,21,)</f>
        <v>0.18920582803201302</v>
      </c>
      <c r="W2" s="95">
        <f>VLOOKUP(A2,'BSE ALL CAP'!$B$4:$Y$1038,22,)</f>
        <v>0.20031298904538342</v>
      </c>
      <c r="X2" s="95">
        <f>VLOOKUP(A2,'BSE ALL CAP'!$B$4:$Y$1038,23,)</f>
        <v>0.239688041594454</v>
      </c>
      <c r="Y2" s="95">
        <f>VLOOKUP(A2,'BSE ALL CAP'!$B$4:$Y$1038,24,)</f>
        <v>0.20442410373760489</v>
      </c>
    </row>
    <row r="3" spans="1:25" ht="15.75" customHeight="1">
      <c r="A3" s="99">
        <v>541154</v>
      </c>
      <c r="B3" s="98" t="s">
        <v>1390</v>
      </c>
      <c r="C3" s="101" t="str">
        <f>VLOOKUP(A3,'BSE ALL CAP'!$B$4:$Y$1038,2,)</f>
        <v>Industrials</v>
      </c>
      <c r="D3" s="101" t="str">
        <f>VLOOKUP(A3,'BSE ALL CAP'!$B$4:$Y$1038,3,)</f>
        <v>Aerospace &amp; Defense</v>
      </c>
      <c r="E3" s="101">
        <f ca="1">IFERROR(__xludf.DUMMYFUNCTION("GOOGLEFINANCE(""BOM:""&amp;A3,""PRICE"")"),3748.8)</f>
        <v>3748.8</v>
      </c>
      <c r="F3" s="112">
        <f ca="1">IFERROR(__xludf.DUMMYFUNCTION("GOOGLEFINANCE(""BOM:""&amp;A3,""MARKETCAP"")/10000000"),250677.760705)</f>
        <v>250677.76070499999</v>
      </c>
      <c r="G3" s="95">
        <f t="shared" ca="1" si="0"/>
        <v>0.33968530383923756</v>
      </c>
      <c r="H3" s="101">
        <f>VLOOKUP(A3,'BSE ALL CAP'!$B$4:$Y$1038,7,)</f>
        <v>19146</v>
      </c>
      <c r="I3" s="101">
        <f>VLOOKUP(A3,'BSE ALL CAP'!$B$4:$Y$1038,8,)</f>
        <v>17281</v>
      </c>
      <c r="J3" s="101">
        <f>VLOOKUP(A3,'BSE ALL CAP'!$B$4:$Y$1038,9,)</f>
        <v>4919</v>
      </c>
      <c r="K3" s="101">
        <f>VLOOKUP(A3,'BSE ALL CAP'!$B$4:$Y$1038,10,)</f>
        <v>4387</v>
      </c>
      <c r="L3" s="101">
        <f>VLOOKUP(A3,'BSE ALL CAP'!$B$4:$Y$1038,11,)</f>
        <v>7698</v>
      </c>
      <c r="M3" s="101">
        <f>VLOOKUP(A3,'BSE ALL CAP'!$B$4:$Y$1038,12,)</f>
        <v>6957</v>
      </c>
      <c r="N3" s="101">
        <f>VLOOKUP(A3,'BSE ALL CAP'!$B$4:$Y$1038,13,)</f>
        <v>1866</v>
      </c>
      <c r="O3" s="101">
        <f>VLOOKUP(A3,'BSE ALL CAP'!$B$4:$Y$1038,14,)</f>
        <v>1439</v>
      </c>
      <c r="P3" s="95">
        <f>VLOOKUP(A3,'BSE ALL CAP'!$B$4:$Y$1038,15,)</f>
        <v>0.25692050558863472</v>
      </c>
      <c r="Q3" s="95">
        <f>VLOOKUP(A3,'BSE ALL CAP'!$B$4:$Y$1038,16,)</f>
        <v>0.25386262369075863</v>
      </c>
      <c r="R3" s="95">
        <f>VLOOKUP(A3,'BSE ALL CAP'!$B$4:$Y$1038,17,)</f>
        <v>3.0578818978760913E-3</v>
      </c>
      <c r="S3" s="95">
        <f>VLOOKUP(A3,'BSE ALL CAP'!$B$4:$Y$1038,18,)</f>
        <v>0.24240062353858144</v>
      </c>
      <c r="T3" s="95">
        <f>VLOOKUP(A3,'BSE ALL CAP'!$B$4:$Y$1038,19,)</f>
        <v>0.20684202961046427</v>
      </c>
      <c r="U3" s="95">
        <f>VLOOKUP(A3,'BSE ALL CAP'!$B$4:$Y$1038,20,)</f>
        <v>3.5558593928117166E-2</v>
      </c>
      <c r="V3" s="95">
        <f>VLOOKUP(A3,'BSE ALL CAP'!$B$4:$Y$1038,21,)</f>
        <v>0.1079219952549042</v>
      </c>
      <c r="W3" s="95">
        <f>VLOOKUP(A3,'BSE ALL CAP'!$B$4:$Y$1038,22,)</f>
        <v>0.12126738089810796</v>
      </c>
      <c r="X3" s="95">
        <f>VLOOKUP(A3,'BSE ALL CAP'!$B$4:$Y$1038,23,)</f>
        <v>0.10651142733937036</v>
      </c>
      <c r="Y3" s="95">
        <f>VLOOKUP(A3,'BSE ALL CAP'!$B$4:$Y$1038,24,)</f>
        <v>0.29673384294649052</v>
      </c>
    </row>
    <row r="4" spans="1:25" ht="15.75" customHeight="1">
      <c r="A4" s="99">
        <v>541143</v>
      </c>
      <c r="B4" s="98" t="s">
        <v>5585</v>
      </c>
      <c r="C4" s="101" t="str">
        <f>VLOOKUP(A4,'BSE ALL CAP'!$B$4:$Y$1038,2,)</f>
        <v>Industrials</v>
      </c>
      <c r="D4" s="101" t="str">
        <f>VLOOKUP(A4,'BSE ALL CAP'!$B$4:$Y$1038,3,)</f>
        <v>Aerospace &amp; Defense</v>
      </c>
      <c r="E4" s="101">
        <f ca="1">IFERROR(__xludf.DUMMYFUNCTION("GOOGLEFINANCE(""BOM:""&amp;A4,""PRICE"")"),1224.35)</f>
        <v>1224.3499999999999</v>
      </c>
      <c r="F4" s="112">
        <f ca="1">IFERROR(__xludf.DUMMYFUNCTION("GOOGLEFINANCE(""BOM:""&amp;A4,""MARKETCAP"")/10000000"),44892.8953381)</f>
        <v>44892.895338100003</v>
      </c>
      <c r="G4" s="95">
        <f t="shared" ca="1" si="0"/>
        <v>6.0832906558038462E-2</v>
      </c>
      <c r="H4" s="101">
        <f>VLOOKUP(A4,'BSE ALL CAP'!$B$4:$Y$1038,7,)</f>
        <v>1961</v>
      </c>
      <c r="I4" s="101">
        <f>VLOOKUP(A4,'BSE ALL CAP'!$B$4:$Y$1038,8,)</f>
        <v>1568</v>
      </c>
      <c r="J4" s="101">
        <f>VLOOKUP(A4,'BSE ALL CAP'!$B$4:$Y$1038,9,)</f>
        <v>307</v>
      </c>
      <c r="K4" s="101">
        <f>VLOOKUP(A4,'BSE ALL CAP'!$B$4:$Y$1038,10,)</f>
        <v>276</v>
      </c>
      <c r="L4" s="101">
        <f>VLOOKUP(A4,'BSE ALL CAP'!$B$4:$Y$1038,11,)</f>
        <v>566</v>
      </c>
      <c r="M4" s="101">
        <f>VLOOKUP(A4,'BSE ALL CAP'!$B$4:$Y$1038,12,)</f>
        <v>832</v>
      </c>
      <c r="N4" s="101">
        <f>VLOOKUP(A4,'BSE ALL CAP'!$B$4:$Y$1038,13,)</f>
        <v>72</v>
      </c>
      <c r="O4" s="101">
        <f>VLOOKUP(A4,'BSE ALL CAP'!$B$4:$Y$1038,14,)</f>
        <v>147</v>
      </c>
      <c r="P4" s="95">
        <f>VLOOKUP(A4,'BSE ALL CAP'!$B$4:$Y$1038,15,)</f>
        <v>0.15655277919428862</v>
      </c>
      <c r="Q4" s="95">
        <f>VLOOKUP(A4,'BSE ALL CAP'!$B$4:$Y$1038,16,)</f>
        <v>0.17602040816326531</v>
      </c>
      <c r="R4" s="95">
        <f>VLOOKUP(A4,'BSE ALL CAP'!$B$4:$Y$1038,17,)</f>
        <v>-1.9467628968976691E-2</v>
      </c>
      <c r="S4" s="95">
        <f>VLOOKUP(A4,'BSE ALL CAP'!$B$4:$Y$1038,18,)</f>
        <v>0.12720848056537101</v>
      </c>
      <c r="T4" s="95">
        <f>VLOOKUP(A4,'BSE ALL CAP'!$B$4:$Y$1038,19,)</f>
        <v>0.17668269230769232</v>
      </c>
      <c r="U4" s="95">
        <f>VLOOKUP(A4,'BSE ALL CAP'!$B$4:$Y$1038,20,)</f>
        <v>-4.9474211742321306E-2</v>
      </c>
      <c r="V4" s="95">
        <f>VLOOKUP(A4,'BSE ALL CAP'!$B$4:$Y$1038,21,)</f>
        <v>0.25063775510204089</v>
      </c>
      <c r="W4" s="95">
        <f>VLOOKUP(A4,'BSE ALL CAP'!$B$4:$Y$1038,22,)</f>
        <v>0.1123188405797102</v>
      </c>
      <c r="X4" s="95">
        <f>VLOOKUP(A4,'BSE ALL CAP'!$B$4:$Y$1038,23,)</f>
        <v>-0.31971153846153844</v>
      </c>
      <c r="Y4" s="95">
        <f>VLOOKUP(A4,'BSE ALL CAP'!$B$4:$Y$1038,24,)</f>
        <v>-0.51020408163265307</v>
      </c>
    </row>
    <row r="5" spans="1:25" ht="15.75" customHeight="1">
      <c r="A5" s="99">
        <v>542011</v>
      </c>
      <c r="B5" s="98" t="s">
        <v>5586</v>
      </c>
      <c r="C5" s="101" t="str">
        <f>VLOOKUP(A5,'BSE ALL CAP'!$B$4:$Y$1038,2,)</f>
        <v>Industrials</v>
      </c>
      <c r="D5" s="101" t="str">
        <f>VLOOKUP(A5,'BSE ALL CAP'!$B$4:$Y$1038,3,)</f>
        <v>Aerospace &amp; Defense</v>
      </c>
      <c r="E5" s="101">
        <f ca="1">IFERROR(__xludf.DUMMYFUNCTION("GOOGLEFINANCE(""BOM:""&amp;A5,""PRICE"")"),2265.9)</f>
        <v>2265.9</v>
      </c>
      <c r="F5" s="112">
        <f ca="1">IFERROR(__xludf.DUMMYFUNCTION("GOOGLEFINANCE(""BOM:""&amp;A5,""MARKETCAP"")/10000000"),25940.277755)</f>
        <v>25940.277754999999</v>
      </c>
      <c r="G5" s="95">
        <f t="shared" ca="1" si="0"/>
        <v>3.5150829120621056E-2</v>
      </c>
      <c r="H5" s="101">
        <f>VLOOKUP(A5,'BSE ALL CAP'!$B$4:$Y$1038,7,)</f>
        <v>4882</v>
      </c>
      <c r="I5" s="101">
        <f>VLOOKUP(A5,'BSE ALL CAP'!$B$4:$Y$1038,8,)</f>
        <v>3433</v>
      </c>
      <c r="J5" s="101">
        <f>VLOOKUP(A5,'BSE ALL CAP'!$B$4:$Y$1038,9,)</f>
        <v>444</v>
      </c>
      <c r="K5" s="101">
        <f>VLOOKUP(A5,'BSE ALL CAP'!$B$4:$Y$1038,10,)</f>
        <v>283</v>
      </c>
      <c r="L5" s="101">
        <f>VLOOKUP(A5,'BSE ALL CAP'!$B$4:$Y$1038,11,)</f>
        <v>1895</v>
      </c>
      <c r="M5" s="101">
        <f>VLOOKUP(A5,'BSE ALL CAP'!$B$4:$Y$1038,12,)</f>
        <v>1271</v>
      </c>
      <c r="N5" s="101">
        <f>VLOOKUP(A5,'BSE ALL CAP'!$B$4:$Y$1038,13,)</f>
        <v>170</v>
      </c>
      <c r="O5" s="101">
        <f>VLOOKUP(A5,'BSE ALL CAP'!$B$4:$Y$1038,14,)</f>
        <v>98</v>
      </c>
      <c r="P5" s="95">
        <f>VLOOKUP(A5,'BSE ALL CAP'!$B$4:$Y$1038,15,)</f>
        <v>9.0946333469889395E-2</v>
      </c>
      <c r="Q5" s="95">
        <f>VLOOKUP(A5,'BSE ALL CAP'!$B$4:$Y$1038,16,)</f>
        <v>8.243518788231867E-2</v>
      </c>
      <c r="R5" s="95">
        <f>VLOOKUP(A5,'BSE ALL CAP'!$B$4:$Y$1038,17,)</f>
        <v>8.5111455875707259E-3</v>
      </c>
      <c r="S5" s="95">
        <f>VLOOKUP(A5,'BSE ALL CAP'!$B$4:$Y$1038,18,)</f>
        <v>8.9709762532981532E-2</v>
      </c>
      <c r="T5" s="95">
        <f>VLOOKUP(A5,'BSE ALL CAP'!$B$4:$Y$1038,19,)</f>
        <v>7.7104642014162075E-2</v>
      </c>
      <c r="U5" s="95">
        <f>VLOOKUP(A5,'BSE ALL CAP'!$B$4:$Y$1038,20,)</f>
        <v>1.2605120518819457E-2</v>
      </c>
      <c r="V5" s="95">
        <f>VLOOKUP(A5,'BSE ALL CAP'!$B$4:$Y$1038,21,)</f>
        <v>0.42207981357413349</v>
      </c>
      <c r="W5" s="95">
        <f>VLOOKUP(A5,'BSE ALL CAP'!$B$4:$Y$1038,22,)</f>
        <v>0.56890459363957602</v>
      </c>
      <c r="X5" s="95">
        <f>VLOOKUP(A5,'BSE ALL CAP'!$B$4:$Y$1038,23,)</f>
        <v>0.4909520062942565</v>
      </c>
      <c r="Y5" s="95">
        <f>VLOOKUP(A5,'BSE ALL CAP'!$B$4:$Y$1038,24,)</f>
        <v>0.73469387755102034</v>
      </c>
    </row>
    <row r="6" spans="1:25" ht="15.75" customHeight="1">
      <c r="A6" s="99">
        <v>543428</v>
      </c>
      <c r="B6" s="98" t="s">
        <v>5587</v>
      </c>
      <c r="C6" s="101" t="str">
        <f>VLOOKUP(A6,'BSE ALL CAP'!$B$4:$Y$1038,2,)</f>
        <v>Industrials</v>
      </c>
      <c r="D6" s="101" t="str">
        <f>VLOOKUP(A6,'BSE ALL CAP'!$B$4:$Y$1038,3,)</f>
        <v>Aerospace &amp; Defense</v>
      </c>
      <c r="E6" s="101">
        <f ca="1">IFERROR(__xludf.DUMMYFUNCTION("GOOGLEFINANCE(""BOM:""&amp;A6,""PRICE"")"),3138.7)</f>
        <v>3138.7</v>
      </c>
      <c r="F6" s="112">
        <f ca="1">IFERROR(__xludf.DUMMYFUNCTION("GOOGLEFINANCE(""BOM:""&amp;A6,""MARKETCAP"")/10000000"),17562.168252)</f>
        <v>17562.168251999999</v>
      </c>
      <c r="G6" s="95">
        <f t="shared" ca="1" si="0"/>
        <v>2.3797924642293335E-2</v>
      </c>
      <c r="H6" s="101">
        <f>VLOOKUP(A6,'BSE ALL CAP'!$B$4:$Y$1038,7,)</f>
        <v>580</v>
      </c>
      <c r="I6" s="101">
        <f>VLOOKUP(A6,'BSE ALL CAP'!$B$4:$Y$1038,8,)</f>
        <v>312</v>
      </c>
      <c r="J6" s="101">
        <f>VLOOKUP(A6,'BSE ALL CAP'!$B$4:$Y$1038,9,)</f>
        <v>133</v>
      </c>
      <c r="K6" s="101">
        <f>VLOOKUP(A6,'BSE ALL CAP'!$B$4:$Y$1038,10,)</f>
        <v>108</v>
      </c>
      <c r="L6" s="101">
        <f>VLOOKUP(A6,'BSE ALL CAP'!$B$4:$Y$1038,11,)</f>
        <v>173</v>
      </c>
      <c r="M6" s="101">
        <f>VLOOKUP(A6,'BSE ALL CAP'!$B$4:$Y$1038,12,)</f>
        <v>117</v>
      </c>
      <c r="N6" s="101">
        <f>VLOOKUP(A6,'BSE ALL CAP'!$B$4:$Y$1038,13,)</f>
        <v>58</v>
      </c>
      <c r="O6" s="101">
        <f>VLOOKUP(A6,'BSE ALL CAP'!$B$4:$Y$1038,14,)</f>
        <v>45</v>
      </c>
      <c r="P6" s="95">
        <f>VLOOKUP(A6,'BSE ALL CAP'!$B$4:$Y$1038,15,)</f>
        <v>0.22931034482758619</v>
      </c>
      <c r="Q6" s="95">
        <f>VLOOKUP(A6,'BSE ALL CAP'!$B$4:$Y$1038,16,)</f>
        <v>0.34615384615384615</v>
      </c>
      <c r="R6" s="95">
        <f>VLOOKUP(A6,'BSE ALL CAP'!$B$4:$Y$1038,17,)</f>
        <v>-0.11684350132625995</v>
      </c>
      <c r="S6" s="95">
        <f>VLOOKUP(A6,'BSE ALL CAP'!$B$4:$Y$1038,18,)</f>
        <v>0.33526011560693642</v>
      </c>
      <c r="T6" s="95">
        <f>VLOOKUP(A6,'BSE ALL CAP'!$B$4:$Y$1038,19,)</f>
        <v>0.38461538461538464</v>
      </c>
      <c r="U6" s="95">
        <f>VLOOKUP(A6,'BSE ALL CAP'!$B$4:$Y$1038,20,)</f>
        <v>-4.9355269008448222E-2</v>
      </c>
      <c r="V6" s="95">
        <f>VLOOKUP(A6,'BSE ALL CAP'!$B$4:$Y$1038,21,)</f>
        <v>0.85897435897435903</v>
      </c>
      <c r="W6" s="95">
        <f>VLOOKUP(A6,'BSE ALL CAP'!$B$4:$Y$1038,22,)</f>
        <v>0.2314814814814814</v>
      </c>
      <c r="X6" s="95">
        <f>VLOOKUP(A6,'BSE ALL CAP'!$B$4:$Y$1038,23,)</f>
        <v>0.47863247863247871</v>
      </c>
      <c r="Y6" s="95">
        <f>VLOOKUP(A6,'BSE ALL CAP'!$B$4:$Y$1038,24,)</f>
        <v>0.28888888888888897</v>
      </c>
    </row>
    <row r="7" spans="1:25" ht="15.75" customHeight="1">
      <c r="A7" s="99">
        <v>533339</v>
      </c>
      <c r="B7" s="98" t="s">
        <v>5588</v>
      </c>
      <c r="C7" s="101" t="str">
        <f>VLOOKUP(A7,'BSE ALL CAP'!$B$4:$Y$1038,2,)</f>
        <v>Industrials</v>
      </c>
      <c r="D7" s="101" t="str">
        <f>VLOOKUP(A7,'BSE ALL CAP'!$B$4:$Y$1038,3,)</f>
        <v>Aerospace &amp; Defense</v>
      </c>
      <c r="E7" s="101">
        <f ca="1">IFERROR(__xludf.DUMMYFUNCTION("GOOGLEFINANCE(""BOM:""&amp;A7,""PRICE"")"),1378.15)</f>
        <v>1378.15</v>
      </c>
      <c r="F7" s="112">
        <f ca="1">IFERROR(__xludf.DUMMYFUNCTION("GOOGLEFINANCE(""BOM:""&amp;A7,""MARKETCAP"")/10000000"),12406.8467075)</f>
        <v>12406.846707500001</v>
      </c>
      <c r="G7" s="95">
        <f t="shared" ca="1" si="0"/>
        <v>1.6812115608785719E-2</v>
      </c>
      <c r="H7" s="101">
        <f>VLOOKUP(A7,'BSE ALL CAP'!$B$4:$Y$1038,7,)</f>
        <v>509</v>
      </c>
      <c r="I7" s="101">
        <f>VLOOKUP(A7,'BSE ALL CAP'!$B$4:$Y$1038,8,)</f>
        <v>648</v>
      </c>
      <c r="J7" s="101">
        <f>VLOOKUP(A7,'BSE ALL CAP'!$B$4:$Y$1038,9,)</f>
        <v>170</v>
      </c>
      <c r="K7" s="101">
        <f>VLOOKUP(A7,'BSE ALL CAP'!$B$4:$Y$1038,10,)</f>
        <v>185</v>
      </c>
      <c r="L7" s="101">
        <f>VLOOKUP(A7,'BSE ALL CAP'!$B$4:$Y$1038,11,)</f>
        <v>177</v>
      </c>
      <c r="M7" s="101">
        <f>VLOOKUP(A7,'BSE ALL CAP'!$B$4:$Y$1038,12,)</f>
        <v>152</v>
      </c>
      <c r="N7" s="101">
        <f>VLOOKUP(A7,'BSE ALL CAP'!$B$4:$Y$1038,13,)</f>
        <v>55</v>
      </c>
      <c r="O7" s="101">
        <f>VLOOKUP(A7,'BSE ALL CAP'!$B$4:$Y$1038,14,)</f>
        <v>42</v>
      </c>
      <c r="P7" s="95">
        <f>VLOOKUP(A7,'BSE ALL CAP'!$B$4:$Y$1038,15,)</f>
        <v>0.33398821218074654</v>
      </c>
      <c r="Q7" s="95">
        <f>VLOOKUP(A7,'BSE ALL CAP'!$B$4:$Y$1038,16,)</f>
        <v>0.28549382716049382</v>
      </c>
      <c r="R7" s="95">
        <f>VLOOKUP(A7,'BSE ALL CAP'!$B$4:$Y$1038,17,)</f>
        <v>4.8494385020252717E-2</v>
      </c>
      <c r="S7" s="95">
        <f>VLOOKUP(A7,'BSE ALL CAP'!$B$4:$Y$1038,18,)</f>
        <v>0.31073446327683618</v>
      </c>
      <c r="T7" s="95">
        <f>VLOOKUP(A7,'BSE ALL CAP'!$B$4:$Y$1038,19,)</f>
        <v>0.27631578947368424</v>
      </c>
      <c r="U7" s="95">
        <f>VLOOKUP(A7,'BSE ALL CAP'!$B$4:$Y$1038,20,)</f>
        <v>3.4418673803151945E-2</v>
      </c>
      <c r="V7" s="95">
        <f>VLOOKUP(A7,'BSE ALL CAP'!$B$4:$Y$1038,21,)</f>
        <v>-0.21450617283950613</v>
      </c>
      <c r="W7" s="95">
        <f>VLOOKUP(A7,'BSE ALL CAP'!$B$4:$Y$1038,22,)</f>
        <v>-8.108108108108103E-2</v>
      </c>
      <c r="X7" s="95">
        <f>VLOOKUP(A7,'BSE ALL CAP'!$B$4:$Y$1038,23,)</f>
        <v>0.16447368421052633</v>
      </c>
      <c r="Y7" s="95">
        <f>VLOOKUP(A7,'BSE ALL CAP'!$B$4:$Y$1038,24,)</f>
        <v>0.30952380952380953</v>
      </c>
    </row>
    <row r="8" spans="1:25" ht="15.75" customHeight="1">
      <c r="A8" s="99">
        <v>532493</v>
      </c>
      <c r="B8" s="98" t="s">
        <v>5589</v>
      </c>
      <c r="C8" s="101" t="str">
        <f>VLOOKUP(A8,'BSE ALL CAP'!$B$4:$Y$1038,2,)</f>
        <v>Industrials</v>
      </c>
      <c r="D8" s="101" t="str">
        <f>VLOOKUP(A8,'BSE ALL CAP'!$B$4:$Y$1038,3,)</f>
        <v>Aerospace &amp; Defense</v>
      </c>
      <c r="E8" s="101">
        <f ca="1">IFERROR(__xludf.DUMMYFUNCTION("GOOGLEFINANCE(""BOM:""&amp;A8,""PRICE"")"),947.05)</f>
        <v>947.05</v>
      </c>
      <c r="F8" s="112">
        <f ca="1">IFERROR(__xludf.DUMMYFUNCTION("GOOGLEFINANCE(""BOM:""&amp;A8,""MARKETCAP"")/10000000"),8977.9989682)</f>
        <v>8977.9989681999996</v>
      </c>
      <c r="G8" s="95">
        <f t="shared" ca="1" si="0"/>
        <v>1.2165795237696765E-2</v>
      </c>
      <c r="H8" s="101">
        <f>VLOOKUP(A8,'BSE ALL CAP'!$B$4:$Y$1038,7,)</f>
        <v>674</v>
      </c>
      <c r="I8" s="101">
        <f>VLOOKUP(A8,'BSE ALL CAP'!$B$4:$Y$1038,8,)</f>
        <v>643</v>
      </c>
      <c r="J8" s="101">
        <f>VLOOKUP(A8,'BSE ALL CAP'!$B$4:$Y$1038,9,)</f>
        <v>86</v>
      </c>
      <c r="K8" s="101">
        <f>VLOOKUP(A8,'BSE ALL CAP'!$B$4:$Y$1038,10,)</f>
        <v>80</v>
      </c>
      <c r="L8" s="101">
        <f>VLOOKUP(A8,'BSE ALL CAP'!$B$4:$Y$1038,11,)</f>
        <v>260</v>
      </c>
      <c r="M8" s="101">
        <f>VLOOKUP(A8,'BSE ALL CAP'!$B$4:$Y$1038,12,)</f>
        <v>258</v>
      </c>
      <c r="N8" s="101">
        <f>VLOOKUP(A8,'BSE ALL CAP'!$B$4:$Y$1038,13,)</f>
        <v>46</v>
      </c>
      <c r="O8" s="101">
        <f>VLOOKUP(A8,'BSE ALL CAP'!$B$4:$Y$1038,14,)</f>
        <v>47</v>
      </c>
      <c r="P8" s="95">
        <f>VLOOKUP(A8,'BSE ALL CAP'!$B$4:$Y$1038,15,)</f>
        <v>0.12759643916913946</v>
      </c>
      <c r="Q8" s="95">
        <f>VLOOKUP(A8,'BSE ALL CAP'!$B$4:$Y$1038,16,)</f>
        <v>0.12441679626749612</v>
      </c>
      <c r="R8" s="95">
        <f>VLOOKUP(A8,'BSE ALL CAP'!$B$4:$Y$1038,17,)</f>
        <v>3.1796429016433397E-3</v>
      </c>
      <c r="S8" s="95">
        <f>VLOOKUP(A8,'BSE ALL CAP'!$B$4:$Y$1038,18,)</f>
        <v>0.17692307692307693</v>
      </c>
      <c r="T8" s="95">
        <f>VLOOKUP(A8,'BSE ALL CAP'!$B$4:$Y$1038,19,)</f>
        <v>0.18217054263565891</v>
      </c>
      <c r="U8" s="95">
        <f>VLOOKUP(A8,'BSE ALL CAP'!$B$4:$Y$1038,20,)</f>
        <v>-5.2474657125819724E-3</v>
      </c>
      <c r="V8" s="95">
        <f>VLOOKUP(A8,'BSE ALL CAP'!$B$4:$Y$1038,21,)</f>
        <v>4.8211508553654747E-2</v>
      </c>
      <c r="W8" s="95">
        <f>VLOOKUP(A8,'BSE ALL CAP'!$B$4:$Y$1038,22,)</f>
        <v>7.4999999999999956E-2</v>
      </c>
      <c r="X8" s="95">
        <f>VLOOKUP(A8,'BSE ALL CAP'!$B$4:$Y$1038,23,)</f>
        <v>7.7519379844961378E-3</v>
      </c>
      <c r="Y8" s="95">
        <f>VLOOKUP(A8,'BSE ALL CAP'!$B$4:$Y$1038,24,)</f>
        <v>-2.1276595744680882E-2</v>
      </c>
    </row>
    <row r="9" spans="1:25" ht="15.75" customHeight="1">
      <c r="A9" s="99">
        <v>544634</v>
      </c>
      <c r="B9" s="98" t="s">
        <v>5590</v>
      </c>
      <c r="C9" s="101"/>
      <c r="D9" s="101"/>
      <c r="E9" s="101">
        <f ca="1">IFERROR(__xludf.DUMMYFUNCTION("GOOGLEFINANCE(""BOM:""&amp;A9,""PRICE"")"),124.75)</f>
        <v>124.75</v>
      </c>
      <c r="F9" s="112">
        <f ca="1">IFERROR(__xludf.DUMMYFUNCTION("GOOGLEFINANCE(""BOM:""&amp;A9,""MARKETCAP"")/10000000"),8146.3838599)</f>
        <v>8146.3838599000001</v>
      </c>
      <c r="G9" s="95">
        <f t="shared" ca="1" si="0"/>
        <v>1.103890057442179E-2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540879</v>
      </c>
      <c r="B10" s="98" t="s">
        <v>5591</v>
      </c>
      <c r="C10" s="101" t="str">
        <f>VLOOKUP(A10,'BSE ALL CAP'!$B$4:$Y$1038,2,)</f>
        <v>Industrials</v>
      </c>
      <c r="D10" s="101" t="str">
        <f>VLOOKUP(A10,'BSE ALL CAP'!$B$4:$Y$1038,3,)</f>
        <v>Aerospace &amp; Defense</v>
      </c>
      <c r="E10" s="101">
        <f ca="1">IFERROR(__xludf.DUMMYFUNCTION("GOOGLEFINANCE(""BOM:""&amp;A10,""PRICE"")"),200)</f>
        <v>200</v>
      </c>
      <c r="F10" s="112">
        <f ca="1">IFERROR(__xludf.DUMMYFUNCTION("GOOGLEFINANCE(""BOM:""&amp;A10,""MARKETCAP"")/10000000"),7147.2769297)</f>
        <v>7147.2769297000004</v>
      </c>
      <c r="G10" s="95">
        <f t="shared" ca="1" si="0"/>
        <v>9.6850431751917768E-3</v>
      </c>
      <c r="H10" s="101">
        <f>VLOOKUP(A10,'BSE ALL CAP'!$B$4:$Y$1038,7,)</f>
        <v>611</v>
      </c>
      <c r="I10" s="101">
        <f>VLOOKUP(A10,'BSE ALL CAP'!$B$4:$Y$1038,8,)</f>
        <v>400</v>
      </c>
      <c r="J10" s="101">
        <f>VLOOKUP(A10,'BSE ALL CAP'!$B$4:$Y$1038,9,)</f>
        <v>70</v>
      </c>
      <c r="K10" s="101">
        <f>VLOOKUP(A10,'BSE ALL CAP'!$B$4:$Y$1038,10,)</f>
        <v>42</v>
      </c>
      <c r="L10" s="101">
        <f>VLOOKUP(A10,'BSE ALL CAP'!$B$4:$Y$1038,11,)</f>
        <v>252</v>
      </c>
      <c r="M10" s="101">
        <f>VLOOKUP(A10,'BSE ALL CAP'!$B$4:$Y$1038,12,)</f>
        <v>148</v>
      </c>
      <c r="N10" s="101">
        <f>VLOOKUP(A10,'BSE ALL CAP'!$B$4:$Y$1038,13,)</f>
        <v>22</v>
      </c>
      <c r="O10" s="101">
        <f>VLOOKUP(A10,'BSE ALL CAP'!$B$4:$Y$1038,14,)</f>
        <v>18</v>
      </c>
      <c r="P10" s="95">
        <f>VLOOKUP(A10,'BSE ALL CAP'!$B$4:$Y$1038,15,)</f>
        <v>0.11456628477905073</v>
      </c>
      <c r="Q10" s="95">
        <f>VLOOKUP(A10,'BSE ALL CAP'!$B$4:$Y$1038,16,)</f>
        <v>0.105</v>
      </c>
      <c r="R10" s="95">
        <f>VLOOKUP(A10,'BSE ALL CAP'!$B$4:$Y$1038,17,)</f>
        <v>9.5662847790507349E-3</v>
      </c>
      <c r="S10" s="95">
        <f>VLOOKUP(A10,'BSE ALL CAP'!$B$4:$Y$1038,18,)</f>
        <v>8.7301587301587297E-2</v>
      </c>
      <c r="T10" s="95">
        <f>VLOOKUP(A10,'BSE ALL CAP'!$B$4:$Y$1038,19,)</f>
        <v>0.12162162162162163</v>
      </c>
      <c r="U10" s="95">
        <f>VLOOKUP(A10,'BSE ALL CAP'!$B$4:$Y$1038,20,)</f>
        <v>-3.4320034320034332E-2</v>
      </c>
      <c r="V10" s="95">
        <f>VLOOKUP(A10,'BSE ALL CAP'!$B$4:$Y$1038,21,)</f>
        <v>0.52750000000000008</v>
      </c>
      <c r="W10" s="95">
        <f>VLOOKUP(A10,'BSE ALL CAP'!$B$4:$Y$1038,22,)</f>
        <v>0.66666666666666674</v>
      </c>
      <c r="X10" s="95">
        <f>VLOOKUP(A10,'BSE ALL CAP'!$B$4:$Y$1038,23,)</f>
        <v>0.70270270270270263</v>
      </c>
      <c r="Y10" s="95">
        <f>VLOOKUP(A10,'BSE ALL CAP'!$B$4:$Y$1038,24,)</f>
        <v>0.22222222222222232</v>
      </c>
    </row>
    <row r="11" spans="1:25" ht="15.75" customHeight="1">
      <c r="A11" s="99">
        <v>543270</v>
      </c>
      <c r="B11" s="98" t="s">
        <v>5592</v>
      </c>
      <c r="C11" s="101" t="str">
        <f>VLOOKUP(A11,'BSE ALL CAP'!$B$4:$Y$1038,2,)</f>
        <v>Industrials</v>
      </c>
      <c r="D11" s="101" t="str">
        <f>VLOOKUP(A11,'BSE ALL CAP'!$B$4:$Y$1038,3,)</f>
        <v>Aerospace &amp; Defense</v>
      </c>
      <c r="E11" s="101">
        <f ca="1">IFERROR(__xludf.DUMMYFUNCTION("GOOGLEFINANCE(""BOM:""&amp;A11,""PRICE"")"),3623.9)</f>
        <v>3623.9</v>
      </c>
      <c r="F11" s="112">
        <f ca="1">IFERROR(__xludf.DUMMYFUNCTION("GOOGLEFINANCE(""BOM:""&amp;A11,""MARKETCAP"")/10000000"),11136.1980428)</f>
        <v>11136.198042800001</v>
      </c>
      <c r="G11" s="95">
        <f t="shared" ca="1" si="0"/>
        <v>1.5090300811463207E-2</v>
      </c>
      <c r="H11" s="101">
        <f>VLOOKUP(A11,'BSE ALL CAP'!$B$4:$Y$1038,7,)</f>
        <v>570</v>
      </c>
      <c r="I11" s="101">
        <f>VLOOKUP(A11,'BSE ALL CAP'!$B$4:$Y$1038,8,)</f>
        <v>492</v>
      </c>
      <c r="J11" s="101">
        <f>VLOOKUP(A11,'BSE ALL CAP'!$B$4:$Y$1038,9,)</f>
        <v>49</v>
      </c>
      <c r="K11" s="101">
        <f>VLOOKUP(A11,'BSE ALL CAP'!$B$4:$Y$1038,10,)</f>
        <v>39</v>
      </c>
      <c r="L11" s="101">
        <f>VLOOKUP(A11,'BSE ALL CAP'!$B$4:$Y$1038,11,)</f>
        <v>277</v>
      </c>
      <c r="M11" s="101">
        <f>VLOOKUP(A11,'BSE ALL CAP'!$B$4:$Y$1038,12,)</f>
        <v>174</v>
      </c>
      <c r="N11" s="101">
        <f>VLOOKUP(A11,'BSE ALL CAP'!$B$4:$Y$1038,13,)</f>
        <v>34</v>
      </c>
      <c r="O11" s="101">
        <f>VLOOKUP(A11,'BSE ALL CAP'!$B$4:$Y$1038,14,)</f>
        <v>15</v>
      </c>
      <c r="P11" s="95">
        <f>VLOOKUP(A11,'BSE ALL CAP'!$B$4:$Y$1038,15,)</f>
        <v>8.5964912280701758E-2</v>
      </c>
      <c r="Q11" s="95">
        <f>VLOOKUP(A11,'BSE ALL CAP'!$B$4:$Y$1038,16,)</f>
        <v>7.926829268292683E-2</v>
      </c>
      <c r="R11" s="95">
        <f>VLOOKUP(A11,'BSE ALL CAP'!$B$4:$Y$1038,17,)</f>
        <v>6.6966195977749277E-3</v>
      </c>
      <c r="S11" s="95">
        <f>VLOOKUP(A11,'BSE ALL CAP'!$B$4:$Y$1038,18,)</f>
        <v>0.12274368231046931</v>
      </c>
      <c r="T11" s="95">
        <f>VLOOKUP(A11,'BSE ALL CAP'!$B$4:$Y$1038,19,)</f>
        <v>8.6206896551724144E-2</v>
      </c>
      <c r="U11" s="95">
        <f>VLOOKUP(A11,'BSE ALL CAP'!$B$4:$Y$1038,20,)</f>
        <v>3.6536785758745166E-2</v>
      </c>
      <c r="V11" s="95">
        <f>VLOOKUP(A11,'BSE ALL CAP'!$B$4:$Y$1038,21,)</f>
        <v>0.15853658536585358</v>
      </c>
      <c r="W11" s="95">
        <f>VLOOKUP(A11,'BSE ALL CAP'!$B$4:$Y$1038,22,)</f>
        <v>0.25641025641025639</v>
      </c>
      <c r="X11" s="95">
        <f>VLOOKUP(A11,'BSE ALL CAP'!$B$4:$Y$1038,23,)</f>
        <v>0.59195402298850586</v>
      </c>
      <c r="Y11" s="95">
        <f>VLOOKUP(A11,'BSE ALL CAP'!$B$4:$Y$1038,24,)</f>
        <v>1.2666666666666666</v>
      </c>
    </row>
    <row r="12" spans="1:25" ht="15.75" customHeight="1">
      <c r="A12" s="99">
        <v>541195</v>
      </c>
      <c r="B12" s="98" t="s">
        <v>5593</v>
      </c>
      <c r="C12" s="101" t="str">
        <f>VLOOKUP(A12,'BSE ALL CAP'!$B$4:$Y$1038,2,)</f>
        <v>Industrials</v>
      </c>
      <c r="D12" s="101" t="str">
        <f>VLOOKUP(A12,'BSE ALL CAP'!$B$4:$Y$1038,3,)</f>
        <v>Aerospace &amp; Defense</v>
      </c>
      <c r="E12" s="101">
        <f ca="1">IFERROR(__xludf.DUMMYFUNCTION("GOOGLEFINANCE(""BOM:""&amp;A12,""PRICE"")"),305.25)</f>
        <v>305.25</v>
      </c>
      <c r="F12" s="112">
        <f ca="1">IFERROR(__xludf.DUMMYFUNCTION("GOOGLEFINANCE(""BOM:""&amp;A12,""MARKETCAP"")/10000000"),5723.237)</f>
        <v>5723.2370000000001</v>
      </c>
      <c r="G12" s="95">
        <f t="shared" ca="1" si="0"/>
        <v>7.7553728492764122E-3</v>
      </c>
      <c r="H12" s="101">
        <f>VLOOKUP(A12,'BSE ALL CAP'!$B$4:$Y$1038,7,)</f>
        <v>655</v>
      </c>
      <c r="I12" s="101">
        <f>VLOOKUP(A12,'BSE ALL CAP'!$B$4:$Y$1038,8,)</f>
        <v>663</v>
      </c>
      <c r="J12" s="101">
        <f>VLOOKUP(A12,'BSE ALL CAP'!$B$4:$Y$1038,9,)</f>
        <v>53</v>
      </c>
      <c r="K12" s="101">
        <f>VLOOKUP(A12,'BSE ALL CAP'!$B$4:$Y$1038,10,)</f>
        <v>53</v>
      </c>
      <c r="L12" s="101">
        <f>VLOOKUP(A12,'BSE ALL CAP'!$B$4:$Y$1038,11,)</f>
        <v>275</v>
      </c>
      <c r="M12" s="101">
        <f>VLOOKUP(A12,'BSE ALL CAP'!$B$4:$Y$1038,12,)</f>
        <v>237</v>
      </c>
      <c r="N12" s="101">
        <f>VLOOKUP(A12,'BSE ALL CAP'!$B$4:$Y$1038,13,)</f>
        <v>27</v>
      </c>
      <c r="O12" s="101">
        <f>VLOOKUP(A12,'BSE ALL CAP'!$B$4:$Y$1038,14,)</f>
        <v>25</v>
      </c>
      <c r="P12" s="95">
        <f>VLOOKUP(A12,'BSE ALL CAP'!$B$4:$Y$1038,15,)</f>
        <v>8.0916030534351147E-2</v>
      </c>
      <c r="Q12" s="95">
        <f>VLOOKUP(A12,'BSE ALL CAP'!$B$4:$Y$1038,16,)</f>
        <v>7.9939668174962286E-2</v>
      </c>
      <c r="R12" s="95">
        <f>VLOOKUP(A12,'BSE ALL CAP'!$B$4:$Y$1038,17,)</f>
        <v>9.763623593888604E-4</v>
      </c>
      <c r="S12" s="95">
        <f>VLOOKUP(A12,'BSE ALL CAP'!$B$4:$Y$1038,18,)</f>
        <v>9.8181818181818176E-2</v>
      </c>
      <c r="T12" s="95">
        <f>VLOOKUP(A12,'BSE ALL CAP'!$B$4:$Y$1038,19,)</f>
        <v>0.10548523206751055</v>
      </c>
      <c r="U12" s="95">
        <f>VLOOKUP(A12,'BSE ALL CAP'!$B$4:$Y$1038,20,)</f>
        <v>-7.3034138856923753E-3</v>
      </c>
      <c r="V12" s="95">
        <f>VLOOKUP(A12,'BSE ALL CAP'!$B$4:$Y$1038,21,)</f>
        <v>-1.2066365007541435E-2</v>
      </c>
      <c r="W12" s="95">
        <f>VLOOKUP(A12,'BSE ALL CAP'!$B$4:$Y$1038,22,)</f>
        <v>0</v>
      </c>
      <c r="X12" s="95">
        <f>VLOOKUP(A12,'BSE ALL CAP'!$B$4:$Y$1038,23,)</f>
        <v>0.16033755274261607</v>
      </c>
      <c r="Y12" s="95">
        <f>VLOOKUP(A12,'BSE ALL CAP'!$B$4:$Y$1038,24,)</f>
        <v>8.0000000000000071E-2</v>
      </c>
    </row>
    <row r="13" spans="1:25" ht="15.75" customHeight="1">
      <c r="A13" s="99">
        <v>543367</v>
      </c>
      <c r="B13" s="98" t="s">
        <v>5594</v>
      </c>
      <c r="C13" s="101" t="str">
        <f>VLOOKUP(A13,'BSE ALL CAP'!$B$4:$Y$1038,2,)</f>
        <v>Industrials</v>
      </c>
      <c r="D13" s="101" t="str">
        <f>VLOOKUP(A13,'BSE ALL CAP'!$B$4:$Y$1038,3,)</f>
        <v>Aerospace &amp; Defense</v>
      </c>
      <c r="E13" s="101">
        <f ca="1">IFERROR(__xludf.DUMMYFUNCTION("GOOGLEFINANCE(""BOM:""&amp;A13,""PRICE"")"),642.9)</f>
        <v>642.9</v>
      </c>
      <c r="F13" s="112">
        <f ca="1">IFERROR(__xludf.DUMMYFUNCTION("GOOGLEFINANCE(""BOM:""&amp;A13,""MARKETCAP"")/10000000"),5178.541629)</f>
        <v>5178.5416290000003</v>
      </c>
      <c r="G13" s="95">
        <f t="shared" ca="1" si="0"/>
        <v>7.0172738169665605E-3</v>
      </c>
      <c r="H13" s="101">
        <f>VLOOKUP(A13,'BSE ALL CAP'!$B$4:$Y$1038,7,)</f>
        <v>305</v>
      </c>
      <c r="I13" s="101">
        <f>VLOOKUP(A13,'BSE ALL CAP'!$B$4:$Y$1038,8,)</f>
        <v>256</v>
      </c>
      <c r="J13" s="101">
        <f>VLOOKUP(A13,'BSE ALL CAP'!$B$4:$Y$1038,9,)</f>
        <v>50</v>
      </c>
      <c r="K13" s="101">
        <f>VLOOKUP(A13,'BSE ALL CAP'!$B$4:$Y$1038,10,)</f>
        <v>40</v>
      </c>
      <c r="L13" s="101">
        <f>VLOOKUP(A13,'BSE ALL CAP'!$B$4:$Y$1038,11,)</f>
        <v>106</v>
      </c>
      <c r="M13" s="101">
        <f>VLOOKUP(A13,'BSE ALL CAP'!$B$4:$Y$1038,12,)</f>
        <v>85</v>
      </c>
      <c r="N13" s="101">
        <f>VLOOKUP(A13,'BSE ALL CAP'!$B$4:$Y$1038,13,)</f>
        <v>16</v>
      </c>
      <c r="O13" s="101">
        <f>VLOOKUP(A13,'BSE ALL CAP'!$B$4:$Y$1038,14,)</f>
        <v>13</v>
      </c>
      <c r="P13" s="95">
        <f>VLOOKUP(A13,'BSE ALL CAP'!$B$4:$Y$1038,15,)</f>
        <v>0.16393442622950818</v>
      </c>
      <c r="Q13" s="95">
        <f>VLOOKUP(A13,'BSE ALL CAP'!$B$4:$Y$1038,16,)</f>
        <v>0.15625</v>
      </c>
      <c r="R13" s="95">
        <f>VLOOKUP(A13,'BSE ALL CAP'!$B$4:$Y$1038,17,)</f>
        <v>7.6844262295081844E-3</v>
      </c>
      <c r="S13" s="95">
        <f>VLOOKUP(A13,'BSE ALL CAP'!$B$4:$Y$1038,18,)</f>
        <v>0.15094339622641509</v>
      </c>
      <c r="T13" s="95">
        <f>VLOOKUP(A13,'BSE ALL CAP'!$B$4:$Y$1038,19,)</f>
        <v>0.15294117647058825</v>
      </c>
      <c r="U13" s="95">
        <f>VLOOKUP(A13,'BSE ALL CAP'!$B$4:$Y$1038,20,)</f>
        <v>-1.9977802441731585E-3</v>
      </c>
      <c r="V13" s="95">
        <f>VLOOKUP(A13,'BSE ALL CAP'!$B$4:$Y$1038,21,)</f>
        <v>0.19140625</v>
      </c>
      <c r="W13" s="95">
        <f>VLOOKUP(A13,'BSE ALL CAP'!$B$4:$Y$1038,22,)</f>
        <v>0.25</v>
      </c>
      <c r="X13" s="95">
        <f>VLOOKUP(A13,'BSE ALL CAP'!$B$4:$Y$1038,23,)</f>
        <v>0.24705882352941178</v>
      </c>
      <c r="Y13" s="95">
        <f>VLOOKUP(A13,'BSE ALL CAP'!$B$4:$Y$1038,24,)</f>
        <v>0.23076923076923084</v>
      </c>
    </row>
    <row r="14" spans="1:25" ht="15.75" customHeight="1">
      <c r="A14" s="99">
        <v>532395</v>
      </c>
      <c r="B14" s="98" t="s">
        <v>5595</v>
      </c>
      <c r="C14" s="101" t="str">
        <f>VLOOKUP(A14,'BSE ALL CAP'!$B$4:$Y$1038,2,)</f>
        <v>Industrials</v>
      </c>
      <c r="D14" s="101" t="str">
        <f>VLOOKUP(A14,'BSE ALL CAP'!$B$4:$Y$1038,3,)</f>
        <v>Aerospace &amp; Defense</v>
      </c>
      <c r="E14" s="101">
        <f ca="1">IFERROR(__xludf.DUMMYFUNCTION("GOOGLEFINANCE(""BOM:""&amp;A14,""PRICE"")"),1679.3)</f>
        <v>1679.3</v>
      </c>
      <c r="F14" s="112">
        <f ca="1">IFERROR(__xludf.DUMMYFUNCTION("GOOGLEFINANCE(""BOM:""&amp;A14,""MARKETCAP"")/10000000"),7134.416364)</f>
        <v>7134.4163639999997</v>
      </c>
      <c r="G14" s="95">
        <f t="shared" ca="1" si="0"/>
        <v>9.6676162396907451E-3</v>
      </c>
      <c r="H14" s="101">
        <f>VLOOKUP(A14,'BSE ALL CAP'!$B$4:$Y$1038,7,)</f>
        <v>885</v>
      </c>
      <c r="I14" s="101">
        <f>VLOOKUP(A14,'BSE ALL CAP'!$B$4:$Y$1038,8,)</f>
        <v>762</v>
      </c>
      <c r="J14" s="101">
        <f>VLOOKUP(A14,'BSE ALL CAP'!$B$4:$Y$1038,9,)</f>
        <v>71</v>
      </c>
      <c r="K14" s="101">
        <f>VLOOKUP(A14,'BSE ALL CAP'!$B$4:$Y$1038,10,)</f>
        <v>43</v>
      </c>
      <c r="L14" s="101">
        <f>VLOOKUP(A14,'BSE ALL CAP'!$B$4:$Y$1038,11,)</f>
        <v>343</v>
      </c>
      <c r="M14" s="101">
        <f>VLOOKUP(A14,'BSE ALL CAP'!$B$4:$Y$1038,12,)</f>
        <v>274</v>
      </c>
      <c r="N14" s="101">
        <f>VLOOKUP(A14,'BSE ALL CAP'!$B$4:$Y$1038,13,)</f>
        <v>27</v>
      </c>
      <c r="O14" s="101">
        <f>VLOOKUP(A14,'BSE ALL CAP'!$B$4:$Y$1038,14,)</f>
        <v>14</v>
      </c>
      <c r="P14" s="95">
        <f>VLOOKUP(A14,'BSE ALL CAP'!$B$4:$Y$1038,15,)</f>
        <v>8.0225988700564965E-2</v>
      </c>
      <c r="Q14" s="95">
        <f>VLOOKUP(A14,'BSE ALL CAP'!$B$4:$Y$1038,16,)</f>
        <v>5.6430446194225721E-2</v>
      </c>
      <c r="R14" s="95">
        <f>VLOOKUP(A14,'BSE ALL CAP'!$B$4:$Y$1038,17,)</f>
        <v>2.3795542506339244E-2</v>
      </c>
      <c r="S14" s="95">
        <f>VLOOKUP(A14,'BSE ALL CAP'!$B$4:$Y$1038,18,)</f>
        <v>7.8717201166180764E-2</v>
      </c>
      <c r="T14" s="95">
        <f>VLOOKUP(A14,'BSE ALL CAP'!$B$4:$Y$1038,19,)</f>
        <v>5.1094890510948905E-2</v>
      </c>
      <c r="U14" s="95">
        <f>VLOOKUP(A14,'BSE ALL CAP'!$B$4:$Y$1038,20,)</f>
        <v>2.7622310655231859E-2</v>
      </c>
      <c r="V14" s="95">
        <f>VLOOKUP(A14,'BSE ALL CAP'!$B$4:$Y$1038,21,)</f>
        <v>0.1614173228346456</v>
      </c>
      <c r="W14" s="95">
        <f>VLOOKUP(A14,'BSE ALL CAP'!$B$4:$Y$1038,22,)</f>
        <v>0.65116279069767447</v>
      </c>
      <c r="X14" s="95">
        <f>VLOOKUP(A14,'BSE ALL CAP'!$B$4:$Y$1038,23,)</f>
        <v>0.25182481751824826</v>
      </c>
      <c r="Y14" s="95">
        <f>VLOOKUP(A14,'BSE ALL CAP'!$B$4:$Y$1038,24,)</f>
        <v>0.9285714285714286</v>
      </c>
    </row>
    <row r="15" spans="1:25" ht="15.75" customHeight="1">
      <c r="A15" s="99">
        <v>544322</v>
      </c>
      <c r="B15" s="98" t="s">
        <v>5596</v>
      </c>
      <c r="C15" s="101" t="str">
        <f>VLOOKUP(A15,'BSE ALL CAP'!$B$4:$Y$1038,2,)</f>
        <v>Industrials</v>
      </c>
      <c r="D15" s="101" t="str">
        <f>VLOOKUP(A15,'BSE ALL CAP'!$B$4:$Y$1038,3,)</f>
        <v>Aerospace &amp; Defense</v>
      </c>
      <c r="E15" s="101">
        <f ca="1">IFERROR(__xludf.DUMMYFUNCTION("GOOGLEFINANCE(""BOM:""&amp;A15,""PRICE"")"),729.95)</f>
        <v>729.95</v>
      </c>
      <c r="F15" s="112">
        <f ca="1">IFERROR(__xludf.DUMMYFUNCTION("GOOGLEFINANCE(""BOM:""&amp;A15,""MARKETCAP"")/10000000"),3717.637197)</f>
        <v>3717.637197</v>
      </c>
      <c r="G15" s="95">
        <f t="shared" ca="1" si="0"/>
        <v>5.0376495995314999E-3</v>
      </c>
      <c r="H15" s="101">
        <f>VLOOKUP(A15,'BSE ALL CAP'!$B$4:$Y$1038,7,)</f>
        <v>158</v>
      </c>
      <c r="I15" s="101">
        <f>VLOOKUP(A15,'BSE ALL CAP'!$B$4:$Y$1038,8,)</f>
        <v>174</v>
      </c>
      <c r="J15" s="101">
        <f>VLOOKUP(A15,'BSE ALL CAP'!$B$4:$Y$1038,9,)</f>
        <v>37</v>
      </c>
      <c r="K15" s="101">
        <f>VLOOKUP(A15,'BSE ALL CAP'!$B$4:$Y$1038,10,)</f>
        <v>54</v>
      </c>
      <c r="L15" s="101">
        <f>VLOOKUP(A15,'BSE ALL CAP'!$B$4:$Y$1038,11,)</f>
        <v>33</v>
      </c>
      <c r="M15" s="101">
        <f>VLOOKUP(A15,'BSE ALL CAP'!$B$4:$Y$1038,12,)</f>
        <v>53</v>
      </c>
      <c r="N15" s="101">
        <f>VLOOKUP(A15,'BSE ALL CAP'!$B$4:$Y$1038,13,)</f>
        <v>2</v>
      </c>
      <c r="O15" s="101">
        <f>VLOOKUP(A15,'BSE ALL CAP'!$B$4:$Y$1038,14,)</f>
        <v>15</v>
      </c>
      <c r="P15" s="95">
        <f>VLOOKUP(A15,'BSE ALL CAP'!$B$4:$Y$1038,15,)</f>
        <v>0.23417721518987342</v>
      </c>
      <c r="Q15" s="95">
        <f>VLOOKUP(A15,'BSE ALL CAP'!$B$4:$Y$1038,16,)</f>
        <v>0.31034482758620691</v>
      </c>
      <c r="R15" s="95">
        <f>VLOOKUP(A15,'BSE ALL CAP'!$B$4:$Y$1038,17,)</f>
        <v>-7.6167612396333489E-2</v>
      </c>
      <c r="S15" s="95">
        <f>VLOOKUP(A15,'BSE ALL CAP'!$B$4:$Y$1038,18,)</f>
        <v>6.0606060606060608E-2</v>
      </c>
      <c r="T15" s="95">
        <f>VLOOKUP(A15,'BSE ALL CAP'!$B$4:$Y$1038,19,)</f>
        <v>0.28301886792452829</v>
      </c>
      <c r="U15" s="95">
        <f>VLOOKUP(A15,'BSE ALL CAP'!$B$4:$Y$1038,20,)</f>
        <v>-0.22241280731846769</v>
      </c>
      <c r="V15" s="95">
        <f>VLOOKUP(A15,'BSE ALL CAP'!$B$4:$Y$1038,21,)</f>
        <v>-9.1954022988505746E-2</v>
      </c>
      <c r="W15" s="95">
        <f>VLOOKUP(A15,'BSE ALL CAP'!$B$4:$Y$1038,22,)</f>
        <v>-0.31481481481481477</v>
      </c>
      <c r="X15" s="95">
        <f>VLOOKUP(A15,'BSE ALL CAP'!$B$4:$Y$1038,23,)</f>
        <v>-0.37735849056603776</v>
      </c>
      <c r="Y15" s="95">
        <f>VLOOKUP(A15,'BSE ALL CAP'!$B$4:$Y$1038,24,)</f>
        <v>-0.8666666666666667</v>
      </c>
    </row>
    <row r="16" spans="1:25" ht="15.75" customHeight="1">
      <c r="A16" s="99">
        <v>532406</v>
      </c>
      <c r="B16" s="98" t="s">
        <v>5597</v>
      </c>
      <c r="C16" s="101" t="str">
        <f>VLOOKUP(A16,'BSE ALL CAP'!$B$4:$Y$1038,2,)</f>
        <v>Industrials</v>
      </c>
      <c r="D16" s="101" t="str">
        <f>VLOOKUP(A16,'BSE ALL CAP'!$B$4:$Y$1038,3,)</f>
        <v>Aerospace &amp; Defense</v>
      </c>
      <c r="E16" s="101">
        <f ca="1">IFERROR(__xludf.DUMMYFUNCTION("GOOGLEFINANCE(""BOM:""&amp;A16,""PRICE"")"),135.3)</f>
        <v>135.30000000000001</v>
      </c>
      <c r="F16" s="112">
        <f ca="1">IFERROR(__xludf.DUMMYFUNCTION("GOOGLEFINANCE(""BOM:""&amp;A16,""MARKETCAP"")/10000000"),3594.0041348)</f>
        <v>3594.0041348</v>
      </c>
      <c r="G16" s="95">
        <f t="shared" ca="1" si="0"/>
        <v>4.8701184464692068E-3</v>
      </c>
      <c r="H16" s="101">
        <f>VLOOKUP(A16,'BSE ALL CAP'!$B$4:$Y$1038,7,)</f>
        <v>159</v>
      </c>
      <c r="I16" s="101">
        <f>VLOOKUP(A16,'BSE ALL CAP'!$B$4:$Y$1038,8,)</f>
        <v>199</v>
      </c>
      <c r="J16" s="101">
        <f>VLOOKUP(A16,'BSE ALL CAP'!$B$4:$Y$1038,9,)</f>
        <v>10</v>
      </c>
      <c r="K16" s="101">
        <f>VLOOKUP(A16,'BSE ALL CAP'!$B$4:$Y$1038,10,)</f>
        <v>50</v>
      </c>
      <c r="L16" s="101">
        <f>VLOOKUP(A16,'BSE ALL CAP'!$B$4:$Y$1038,11,)</f>
        <v>51</v>
      </c>
      <c r="M16" s="101">
        <f>VLOOKUP(A16,'BSE ALL CAP'!$B$4:$Y$1038,12,)</f>
        <v>70</v>
      </c>
      <c r="N16" s="101">
        <f>VLOOKUP(A16,'BSE ALL CAP'!$B$4:$Y$1038,13,)</f>
        <v>2</v>
      </c>
      <c r="O16" s="101">
        <f>VLOOKUP(A16,'BSE ALL CAP'!$B$4:$Y$1038,14,)</f>
        <v>20</v>
      </c>
      <c r="P16" s="95">
        <f>VLOOKUP(A16,'BSE ALL CAP'!$B$4:$Y$1038,15,)</f>
        <v>6.2893081761006289E-2</v>
      </c>
      <c r="Q16" s="95">
        <f>VLOOKUP(A16,'BSE ALL CAP'!$B$4:$Y$1038,16,)</f>
        <v>0.25125628140703515</v>
      </c>
      <c r="R16" s="95">
        <f>VLOOKUP(A16,'BSE ALL CAP'!$B$4:$Y$1038,17,)</f>
        <v>-0.18836319964602888</v>
      </c>
      <c r="S16" s="95">
        <f>VLOOKUP(A16,'BSE ALL CAP'!$B$4:$Y$1038,18,)</f>
        <v>3.9215686274509803E-2</v>
      </c>
      <c r="T16" s="95">
        <f>VLOOKUP(A16,'BSE ALL CAP'!$B$4:$Y$1038,19,)</f>
        <v>0.2857142857142857</v>
      </c>
      <c r="U16" s="95">
        <f>VLOOKUP(A16,'BSE ALL CAP'!$B$4:$Y$1038,20,)</f>
        <v>-0.2464985994397759</v>
      </c>
      <c r="V16" s="95">
        <f>VLOOKUP(A16,'BSE ALL CAP'!$B$4:$Y$1038,21,)</f>
        <v>-0.20100502512562812</v>
      </c>
      <c r="W16" s="95">
        <f>VLOOKUP(A16,'BSE ALL CAP'!$B$4:$Y$1038,22,)</f>
        <v>-0.8</v>
      </c>
      <c r="X16" s="95">
        <f>VLOOKUP(A16,'BSE ALL CAP'!$B$4:$Y$1038,23,)</f>
        <v>-0.27142857142857146</v>
      </c>
      <c r="Y16" s="95">
        <f>VLOOKUP(A16,'BSE ALL CAP'!$B$4:$Y$1038,24,)</f>
        <v>-0.9</v>
      </c>
    </row>
    <row r="17" spans="1:25" ht="15.75" customHeight="1">
      <c r="A17" s="99">
        <v>544294</v>
      </c>
      <c r="B17" s="98" t="s">
        <v>5598</v>
      </c>
      <c r="C17" s="101" t="str">
        <f>VLOOKUP(A17,'BSE ALL CAP'!$B$4:$Y$1038,2,)</f>
        <v>Industrials</v>
      </c>
      <c r="D17" s="101" t="str">
        <f>VLOOKUP(A17,'BSE ALL CAP'!$B$4:$Y$1038,3,)</f>
        <v>Aerospace &amp; Defense</v>
      </c>
      <c r="E17" s="101">
        <f ca="1">IFERROR(__xludf.DUMMYFUNCTION("GOOGLEFINANCE(""BOM:""&amp;A17,""PRICE"")"),752.15)</f>
        <v>752.15</v>
      </c>
      <c r="F17" s="112">
        <f ca="1">IFERROR(__xludf.DUMMYFUNCTION("GOOGLEFINANCE(""BOM:""&amp;A17,""MARKETCAP"")/10000000"),2832.7012841)</f>
        <v>2832.7012841000001</v>
      </c>
      <c r="G17" s="95">
        <f t="shared" ca="1" si="0"/>
        <v>3.8385016431819212E-3</v>
      </c>
      <c r="H17" s="101">
        <f>VLOOKUP(A17,'BSE ALL CAP'!$B$4:$Y$1038,7,)</f>
        <v>343</v>
      </c>
      <c r="I17" s="101">
        <f>VLOOKUP(A17,'BSE ALL CAP'!$B$4:$Y$1038,8,)</f>
        <v>171</v>
      </c>
      <c r="J17" s="101">
        <f>VLOOKUP(A17,'BSE ALL CAP'!$B$4:$Y$1038,9,)</f>
        <v>14</v>
      </c>
      <c r="K17" s="101">
        <f>VLOOKUP(A17,'BSE ALL CAP'!$B$4:$Y$1038,10,)</f>
        <v>1</v>
      </c>
      <c r="L17" s="101">
        <f>VLOOKUP(A17,'BSE ALL CAP'!$B$4:$Y$1038,11,)</f>
        <v>129</v>
      </c>
      <c r="M17" s="101">
        <f>VLOOKUP(A17,'BSE ALL CAP'!$B$4:$Y$1038,12,)</f>
        <v>75</v>
      </c>
      <c r="N17" s="101">
        <f>VLOOKUP(A17,'BSE ALL CAP'!$B$4:$Y$1038,13,)</f>
        <v>5</v>
      </c>
      <c r="O17" s="101">
        <f>VLOOKUP(A17,'BSE ALL CAP'!$B$4:$Y$1038,14,)</f>
        <v>5</v>
      </c>
      <c r="P17" s="95">
        <f>VLOOKUP(A17,'BSE ALL CAP'!$B$4:$Y$1038,15,)</f>
        <v>4.0816326530612242E-2</v>
      </c>
      <c r="Q17" s="95">
        <f>VLOOKUP(A17,'BSE ALL CAP'!$B$4:$Y$1038,16,)</f>
        <v>5.8479532163742687E-3</v>
      </c>
      <c r="R17" s="95">
        <f>VLOOKUP(A17,'BSE ALL CAP'!$B$4:$Y$1038,17,)</f>
        <v>3.4968373314237973E-2</v>
      </c>
      <c r="S17" s="95">
        <f>VLOOKUP(A17,'BSE ALL CAP'!$B$4:$Y$1038,18,)</f>
        <v>3.875968992248062E-2</v>
      </c>
      <c r="T17" s="95">
        <f>VLOOKUP(A17,'BSE ALL CAP'!$B$4:$Y$1038,19,)</f>
        <v>6.6666666666666666E-2</v>
      </c>
      <c r="U17" s="95">
        <f>VLOOKUP(A17,'BSE ALL CAP'!$B$4:$Y$1038,20,)</f>
        <v>-2.7906976744186046E-2</v>
      </c>
      <c r="V17" s="95">
        <f>VLOOKUP(A17,'BSE ALL CAP'!$B$4:$Y$1038,21,)</f>
        <v>1.0058479532163744</v>
      </c>
      <c r="W17" s="95">
        <f>VLOOKUP(A17,'BSE ALL CAP'!$B$4:$Y$1038,22,)</f>
        <v>13</v>
      </c>
      <c r="X17" s="95">
        <f>VLOOKUP(A17,'BSE ALL CAP'!$B$4:$Y$1038,23,)</f>
        <v>0.72</v>
      </c>
      <c r="Y17" s="95">
        <f>VLOOKUP(A17,'BSE ALL CAP'!$B$4:$Y$1038,24,)</f>
        <v>0</v>
      </c>
    </row>
    <row r="18" spans="1:25" ht="15.75" customHeight="1">
      <c r="A18" s="99">
        <v>500306</v>
      </c>
      <c r="B18" s="98" t="s">
        <v>5599</v>
      </c>
      <c r="C18" s="101" t="str">
        <f>VLOOKUP(A18,'BSE ALL CAP'!$B$4:$Y$1038,2,)</f>
        <v>Industrials</v>
      </c>
      <c r="D18" s="101" t="str">
        <f>VLOOKUP(A18,'BSE ALL CAP'!$B$4:$Y$1038,3,)</f>
        <v>Aerospace &amp; Defense</v>
      </c>
      <c r="E18" s="101">
        <f ca="1">IFERROR(__xludf.DUMMYFUNCTION("GOOGLEFINANCE(""BOM:""&amp;A18,""PRICE"")"),142.5)</f>
        <v>142.5</v>
      </c>
      <c r="F18" s="112">
        <f ca="1">IFERROR(__xludf.DUMMYFUNCTION("GOOGLEFINANCE(""BOM:""&amp;A18,""MARKETCAP"")/10000000"),1858.41376)</f>
        <v>1858.4137599999999</v>
      </c>
      <c r="G18" s="95">
        <f t="shared" ca="1" si="0"/>
        <v>2.5182762162436556E-3</v>
      </c>
      <c r="H18" s="101">
        <f>VLOOKUP(A18,'BSE ALL CAP'!$B$4:$Y$1038,7,)</f>
        <v>178</v>
      </c>
      <c r="I18" s="101">
        <f>VLOOKUP(A18,'BSE ALL CAP'!$B$4:$Y$1038,8,)</f>
        <v>69</v>
      </c>
      <c r="J18" s="101">
        <f>VLOOKUP(A18,'BSE ALL CAP'!$B$4:$Y$1038,9,)</f>
        <v>35</v>
      </c>
      <c r="K18" s="101">
        <f>VLOOKUP(A18,'BSE ALL CAP'!$B$4:$Y$1038,10,)</f>
        <v>11</v>
      </c>
      <c r="L18" s="101">
        <f>VLOOKUP(A18,'BSE ALL CAP'!$B$4:$Y$1038,11,)</f>
        <v>59</v>
      </c>
      <c r="M18" s="101">
        <f>VLOOKUP(A18,'BSE ALL CAP'!$B$4:$Y$1038,12,)</f>
        <v>21</v>
      </c>
      <c r="N18" s="101">
        <f>VLOOKUP(A18,'BSE ALL CAP'!$B$4:$Y$1038,13,)</f>
        <v>6</v>
      </c>
      <c r="O18" s="101">
        <f>VLOOKUP(A18,'BSE ALL CAP'!$B$4:$Y$1038,14,)</f>
        <v>5</v>
      </c>
      <c r="P18" s="95">
        <f>VLOOKUP(A18,'BSE ALL CAP'!$B$4:$Y$1038,15,)</f>
        <v>0.19662921348314608</v>
      </c>
      <c r="Q18" s="95">
        <f>VLOOKUP(A18,'BSE ALL CAP'!$B$4:$Y$1038,16,)</f>
        <v>0.15942028985507245</v>
      </c>
      <c r="R18" s="95">
        <f>VLOOKUP(A18,'BSE ALL CAP'!$B$4:$Y$1038,17,)</f>
        <v>3.7208923628073626E-2</v>
      </c>
      <c r="S18" s="95">
        <f>VLOOKUP(A18,'BSE ALL CAP'!$B$4:$Y$1038,18,)</f>
        <v>0.10169491525423729</v>
      </c>
      <c r="T18" s="95">
        <f>VLOOKUP(A18,'BSE ALL CAP'!$B$4:$Y$1038,19,)</f>
        <v>0.23809523809523808</v>
      </c>
      <c r="U18" s="95">
        <f>VLOOKUP(A18,'BSE ALL CAP'!$B$4:$Y$1038,20,)</f>
        <v>-0.13640032284100079</v>
      </c>
      <c r="V18" s="95">
        <f>VLOOKUP(A18,'BSE ALL CAP'!$B$4:$Y$1038,21,)</f>
        <v>1.5797101449275361</v>
      </c>
      <c r="W18" s="95">
        <f>VLOOKUP(A18,'BSE ALL CAP'!$B$4:$Y$1038,22,)</f>
        <v>2.1818181818181817</v>
      </c>
      <c r="X18" s="95">
        <f>VLOOKUP(A18,'BSE ALL CAP'!$B$4:$Y$1038,23,)</f>
        <v>1.8095238095238093</v>
      </c>
      <c r="Y18" s="95">
        <f>VLOOKUP(A18,'BSE ALL CAP'!$B$4:$Y$1038,24,)</f>
        <v>0.19999999999999996</v>
      </c>
    </row>
    <row r="19" spans="1:25" ht="15.75" customHeight="1">
      <c r="A19" s="99">
        <v>543650</v>
      </c>
      <c r="B19" s="98" t="s">
        <v>5600</v>
      </c>
      <c r="C19" s="101"/>
      <c r="D19" s="101"/>
      <c r="E19" s="101">
        <f ca="1">IFERROR(__xludf.DUMMYFUNCTION("GOOGLEFINANCE(""BOM:""&amp;A19,""PRICE"")"),166.4)</f>
        <v>166.4</v>
      </c>
      <c r="F19" s="112">
        <f ca="1">IFERROR(__xludf.DUMMYFUNCTION("GOOGLEFINANCE(""BOM:""&amp;A19,""MARKETCAP"")/10000000"),1855.6974919)</f>
        <v>1855.6974918999999</v>
      </c>
      <c r="G19" s="95">
        <f t="shared" ca="1" si="0"/>
        <v>2.5145954894322206E-3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543932</v>
      </c>
      <c r="B20" s="98" t="s">
        <v>5601</v>
      </c>
      <c r="C20" s="101"/>
      <c r="D20" s="101"/>
      <c r="E20" s="101">
        <f ca="1">IFERROR(__xludf.DUMMYFUNCTION("GOOGLEFINANCE(""BOM:""&amp;A20,""PRICE"")"),400.65)</f>
        <v>400.65</v>
      </c>
      <c r="F20" s="112">
        <f ca="1">IFERROR(__xludf.DUMMYFUNCTION("GOOGLEFINANCE(""BOM:""&amp;A20,""MARKETCAP"")/10000000"),1730.6040143)</f>
        <v>1730.6040143</v>
      </c>
      <c r="G20" s="95">
        <f t="shared" ca="1" si="0"/>
        <v>2.3450853748238957E-3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523606</v>
      </c>
      <c r="B21" s="98" t="s">
        <v>5602</v>
      </c>
      <c r="C21" s="101"/>
      <c r="D21" s="101"/>
      <c r="E21" s="101">
        <f ca="1">IFERROR(__xludf.DUMMYFUNCTION("GOOGLEFINANCE(""BOM:""&amp;A21,""PRICE"")"),850)</f>
        <v>850</v>
      </c>
      <c r="F21" s="112">
        <f ca="1">IFERROR(__xludf.DUMMYFUNCTION("GOOGLEFINANCE(""BOM:""&amp;A21,""MARKETCAP"")/10000000"),1802.07395)</f>
        <v>1802.07395</v>
      </c>
      <c r="G21" s="95">
        <f t="shared" ca="1" si="0"/>
        <v>2.4419319668604147E-3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535136</v>
      </c>
      <c r="B22" s="98" t="s">
        <v>5603</v>
      </c>
      <c r="C22" s="101"/>
      <c r="D22" s="101"/>
      <c r="E22" s="101">
        <f ca="1">IFERROR(__xludf.DUMMYFUNCTION("GOOGLEFINANCE(""BOM:""&amp;A22,""PRICE"")"),928.8)</f>
        <v>928.8</v>
      </c>
      <c r="F22" s="112">
        <f ca="1">IFERROR(__xludf.DUMMYFUNCTION("GOOGLEFINANCE(""BOM:""&amp;A22,""MARKETCAP"")/10000000"),1384.382427)</f>
        <v>1384.382427</v>
      </c>
      <c r="G22" s="95">
        <f t="shared" ca="1" si="0"/>
        <v>1.8759317301329972E-3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543920</v>
      </c>
      <c r="B23" s="98" t="s">
        <v>5604</v>
      </c>
      <c r="C23" s="101"/>
      <c r="D23" s="101"/>
      <c r="E23" s="101">
        <f ca="1">IFERROR(__xludf.DUMMYFUNCTION("GOOGLEFINANCE(""BOM:""&amp;A23,""PRICE"")"),592.15)</f>
        <v>592.15</v>
      </c>
      <c r="F23" s="112">
        <f ca="1">IFERROR(__xludf.DUMMYFUNCTION("GOOGLEFINANCE(""BOM:""&amp;A23,""MARKETCAP"")/10000000"),1241.9807905)</f>
        <v>1241.9807905</v>
      </c>
      <c r="G23" s="95">
        <f t="shared" ca="1" si="0"/>
        <v>1.6829678907175356E-3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522229</v>
      </c>
      <c r="B24" s="98" t="s">
        <v>5605</v>
      </c>
      <c r="C24" s="101"/>
      <c r="D24" s="101"/>
      <c r="E24" s="101">
        <f ca="1">IFERROR(__xludf.DUMMYFUNCTION("GOOGLEFINANCE(""BOM:""&amp;A24,""PRICE"")"),253.2)</f>
        <v>253.2</v>
      </c>
      <c r="F24" s="112">
        <f ca="1">IFERROR(__xludf.DUMMYFUNCTION("GOOGLEFINANCE(""BOM:""&amp;A24,""MARKETCAP"")/10000000"),645.6734118)</f>
        <v>645.67341180000005</v>
      </c>
      <c r="G24" s="95">
        <f t="shared" ca="1" si="0"/>
        <v>8.7493110059453922E-4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544684</v>
      </c>
      <c r="B25" s="98" t="s">
        <v>5606</v>
      </c>
      <c r="C25" s="101"/>
      <c r="D25" s="101"/>
      <c r="E25" s="101"/>
      <c r="F25" s="112"/>
      <c r="G25" s="95">
        <f t="shared" ca="1" si="0"/>
        <v>0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3.2">
      <c r="A26" s="101"/>
      <c r="B26" s="101"/>
      <c r="C26" s="101"/>
      <c r="D26" s="101"/>
      <c r="E26" s="101"/>
      <c r="F26" s="112"/>
      <c r="G26" s="95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3.2">
      <c r="A27" s="101"/>
      <c r="B27" s="101"/>
      <c r="C27" s="101"/>
      <c r="D27" s="101"/>
      <c r="E27" s="101"/>
      <c r="F27" s="112">
        <f ca="1">SUM(F2:F25)</f>
        <v>737970.58003909979</v>
      </c>
      <c r="G27" s="95">
        <f ca="1">F27/$F$27</f>
        <v>1</v>
      </c>
      <c r="H27" s="112">
        <f t="shared" ref="H27:O27" si="1">SUM(H2:H25)</f>
        <v>49001</v>
      </c>
      <c r="I27" s="112">
        <f t="shared" si="1"/>
        <v>41690</v>
      </c>
      <c r="J27" s="112">
        <f t="shared" si="1"/>
        <v>10283</v>
      </c>
      <c r="K27" s="112">
        <f t="shared" si="1"/>
        <v>8847</v>
      </c>
      <c r="L27" s="112">
        <f t="shared" si="1"/>
        <v>19447</v>
      </c>
      <c r="M27" s="112">
        <f t="shared" si="1"/>
        <v>16494</v>
      </c>
      <c r="N27" s="112">
        <f t="shared" si="1"/>
        <v>3987</v>
      </c>
      <c r="O27" s="112">
        <f t="shared" si="1"/>
        <v>3259</v>
      </c>
      <c r="P27" s="13">
        <f t="shared" ref="P27:Q27" si="2">J27/H27</f>
        <v>0.20985286014571131</v>
      </c>
      <c r="Q27" s="13">
        <f t="shared" si="2"/>
        <v>0.21220916286879349</v>
      </c>
      <c r="R27" s="13">
        <f>P27-Q27</f>
        <v>-2.356302723082182E-3</v>
      </c>
      <c r="S27" s="13">
        <f t="shared" ref="S27:T27" si="3">N27/L27</f>
        <v>0.20501876896179358</v>
      </c>
      <c r="T27" s="13">
        <f t="shared" si="3"/>
        <v>0.19758700133381835</v>
      </c>
      <c r="U27" s="13">
        <f>S27-T27</f>
        <v>7.4317676279752332E-3</v>
      </c>
      <c r="V27" s="13">
        <f>(H27/I27)-1</f>
        <v>0.1753657951547134</v>
      </c>
      <c r="W27" s="13">
        <f>(J27/K27)-1</f>
        <v>0.16231490900870349</v>
      </c>
      <c r="X27" s="13">
        <f>(L27/M27)-1</f>
        <v>0.17903480053352738</v>
      </c>
      <c r="Y27" s="13">
        <f>(N27/O27)-1</f>
        <v>0.22338140533906103</v>
      </c>
    </row>
  </sheetData>
  <autoFilter ref="A1:Y25" xr:uid="{00000000-0009-0000-0000-0000B0000000}"/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outlinePr summaryBelow="0" summaryRight="0"/>
  </sheetPr>
  <dimension ref="A1:Y7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539448</v>
      </c>
      <c r="B2" s="98" t="s">
        <v>136</v>
      </c>
      <c r="C2" s="174" t="str">
        <f>VLOOKUP(A2,'BSE ALL CAP'!$B$4:$Y$1034,2,)</f>
        <v>Services</v>
      </c>
      <c r="D2" s="174" t="str">
        <f>VLOOKUP(A2,'BSE ALL CAP'!$B$4:$Y$1034,3,)</f>
        <v>Airline</v>
      </c>
      <c r="E2" s="101">
        <f ca="1">IFERROR(__xludf.DUMMYFUNCTION("GOOGLEFINANCE(""BOM:""&amp;A2,""PRICE"")"),4314.35)</f>
        <v>4314.3500000000004</v>
      </c>
      <c r="F2" s="112">
        <f ca="1">IFERROR(__xludf.DUMMYFUNCTION("GOOGLEFINANCE(""BOM:""&amp;A2,""MARKETCAP"")/10000000"),166730.4242735)</f>
        <v>166730.42427349999</v>
      </c>
      <c r="G2" s="95">
        <f t="shared" ref="G2:G5" ca="1" si="0">F2/$F$7</f>
        <v>0.98396168587089927</v>
      </c>
      <c r="H2" s="101">
        <f>VLOOKUP(A2,'BSE ALL CAP'!$B$4:$Y$1038,7,)</f>
        <v>62523</v>
      </c>
      <c r="I2" s="101">
        <f>VLOOKUP(A2,'BSE ALL CAP'!$B$4:$Y$1038,8,)</f>
        <v>58651</v>
      </c>
      <c r="J2" s="101">
        <f>VLOOKUP(A2,'BSE ALL CAP'!$B$4:$Y$1038,9,)</f>
        <v>143</v>
      </c>
      <c r="K2" s="101">
        <f>VLOOKUP(A2,'BSE ALL CAP'!$B$4:$Y$1038,10,)</f>
        <v>4190</v>
      </c>
      <c r="L2" s="101">
        <f>VLOOKUP(A2,'BSE ALL CAP'!$B$4:$Y$1038,11,)</f>
        <v>23471</v>
      </c>
      <c r="M2" s="101">
        <f>VLOOKUP(A2,'BSE ALL CAP'!$B$4:$Y$1038,12,)</f>
        <v>22110</v>
      </c>
      <c r="N2" s="101">
        <f>VLOOKUP(A2,'BSE ALL CAP'!$B$4:$Y$1038,13,)</f>
        <v>549</v>
      </c>
      <c r="O2" s="101">
        <f>VLOOKUP(A2,'BSE ALL CAP'!$B$4:$Y$1038,14,)</f>
        <v>2448</v>
      </c>
      <c r="P2" s="95">
        <f>VLOOKUP(A2,'BSE ALL CAP'!$B$4:$Y$1038,15,)</f>
        <v>2.2871583257361291E-3</v>
      </c>
      <c r="Q2" s="95">
        <f>VLOOKUP(A2,'BSE ALL CAP'!$B$4:$Y$1038,16,)</f>
        <v>7.1439532147789461E-2</v>
      </c>
      <c r="R2" s="95">
        <f>VLOOKUP(A2,'BSE ALL CAP'!$B$4:$Y$1038,17,)</f>
        <v>-6.9152373822053331E-2</v>
      </c>
      <c r="S2" s="95">
        <f>VLOOKUP(A2,'BSE ALL CAP'!$B$4:$Y$1038,18,)</f>
        <v>2.3390567082783007E-2</v>
      </c>
      <c r="T2" s="95">
        <f>VLOOKUP(A2,'BSE ALL CAP'!$B$4:$Y$1038,19,)</f>
        <v>0.11071913161465401</v>
      </c>
      <c r="U2" s="95">
        <f>VLOOKUP(A2,'BSE ALL CAP'!$B$4:$Y$1038,20,)</f>
        <v>-8.7328564531871003E-2</v>
      </c>
      <c r="V2" s="95">
        <f>VLOOKUP(A2,'BSE ALL CAP'!$B$4:$Y$1038,21,)</f>
        <v>6.6017629707933345E-2</v>
      </c>
      <c r="W2" s="95">
        <f>VLOOKUP(A2,'BSE ALL CAP'!$B$4:$Y$1038,22,)</f>
        <v>-0.96587112171837708</v>
      </c>
      <c r="X2" s="95">
        <f>VLOOKUP(A2,'BSE ALL CAP'!$B$4:$Y$1038,23,)</f>
        <v>6.1555857078245069E-2</v>
      </c>
      <c r="Y2" s="95">
        <f>VLOOKUP(A2,'BSE ALL CAP'!$B$4:$Y$1038,24,)</f>
        <v>-0.77573529411764708</v>
      </c>
    </row>
    <row r="3" spans="1:25" ht="15.75" customHeight="1">
      <c r="A3" s="99">
        <v>500285</v>
      </c>
      <c r="B3" s="98" t="s">
        <v>5607</v>
      </c>
      <c r="C3" s="174" t="str">
        <f>VLOOKUP(A3,'BSE ALL CAP'!$B$4:$Y$1034,2,)</f>
        <v>Services</v>
      </c>
      <c r="D3" s="174" t="str">
        <f>VLOOKUP(A3,'BSE ALL CAP'!$B$4:$Y$1034,3,)</f>
        <v>Airline</v>
      </c>
      <c r="E3" s="101">
        <f ca="1">IFERROR(__xludf.DUMMYFUNCTION("GOOGLEFINANCE(""BOM:""&amp;A3,""PRICE"")"),10.59)</f>
        <v>10.59</v>
      </c>
      <c r="F3" s="112">
        <f ca="1">IFERROR(__xludf.DUMMYFUNCTION("GOOGLEFINANCE(""BOM:""&amp;A3,""MARKETCAP"")/10000000"),1614.6127303)</f>
        <v>1614.6127303000001</v>
      </c>
      <c r="G3" s="95">
        <f t="shared" ca="1" si="0"/>
        <v>9.5286572385164456E-3</v>
      </c>
      <c r="H3" s="101">
        <f>VLOOKUP(A3,'BSE ALL CAP'!$B$4:$Y$1038,7,)</f>
        <v>3320</v>
      </c>
      <c r="I3" s="101">
        <f>VLOOKUP(A3,'BSE ALL CAP'!$B$4:$Y$1038,8,)</f>
        <v>3860</v>
      </c>
      <c r="J3" s="101">
        <f>VLOOKUP(A3,'BSE ALL CAP'!$B$4:$Y$1038,9,)</f>
        <v>-111</v>
      </c>
      <c r="K3" s="101">
        <f>VLOOKUP(A3,'BSE ALL CAP'!$B$4:$Y$1038,10,)</f>
        <v>-27</v>
      </c>
      <c r="L3" s="101">
        <f>VLOOKUP(A3,'BSE ALL CAP'!$B$4:$Y$1038,11,)</f>
        <v>1345</v>
      </c>
      <c r="M3" s="101">
        <f>VLOOKUP(A3,'BSE ALL CAP'!$B$4:$Y$1038,12,)</f>
        <v>1178</v>
      </c>
      <c r="N3" s="101">
        <f>VLOOKUP(A3,'BSE ALL CAP'!$B$4:$Y$1038,13,)</f>
        <v>-261</v>
      </c>
      <c r="O3" s="101">
        <f>VLOOKUP(A3,'BSE ALL CAP'!$B$4:$Y$1038,14,)</f>
        <v>20</v>
      </c>
      <c r="P3" s="95">
        <f>VLOOKUP(A3,'BSE ALL CAP'!$B$4:$Y$1038,15,)</f>
        <v>-3.3433734939759034E-2</v>
      </c>
      <c r="Q3" s="95">
        <f>VLOOKUP(A3,'BSE ALL CAP'!$B$4:$Y$1038,16,)</f>
        <v>-6.9948186528497412E-3</v>
      </c>
      <c r="R3" s="95">
        <f>VLOOKUP(A3,'BSE ALL CAP'!$B$4:$Y$1038,17,)</f>
        <v>-2.6438916286909295E-2</v>
      </c>
      <c r="S3" s="95">
        <f>VLOOKUP(A3,'BSE ALL CAP'!$B$4:$Y$1038,18,)</f>
        <v>-0.19405204460966544</v>
      </c>
      <c r="T3" s="95">
        <f>VLOOKUP(A3,'BSE ALL CAP'!$B$4:$Y$1038,19,)</f>
        <v>1.6977928692699491E-2</v>
      </c>
      <c r="U3" s="95">
        <f>VLOOKUP(A3,'BSE ALL CAP'!$B$4:$Y$1038,20,)</f>
        <v>-0.21102997330236492</v>
      </c>
      <c r="V3" s="95">
        <f>VLOOKUP(A3,'BSE ALL CAP'!$B$4:$Y$1038,21,)</f>
        <v>-0.13989637305699487</v>
      </c>
      <c r="W3" s="95">
        <f>VLOOKUP(A3,'BSE ALL CAP'!$B$4:$Y$1038,22,)</f>
        <v>3.1111111111111107</v>
      </c>
      <c r="X3" s="95">
        <f>VLOOKUP(A3,'BSE ALL CAP'!$B$4:$Y$1038,23,)</f>
        <v>0.14176570458404081</v>
      </c>
      <c r="Y3" s="95">
        <f>VLOOKUP(A3,'BSE ALL CAP'!$B$4:$Y$1038,24,)</f>
        <v>-14.05</v>
      </c>
    </row>
    <row r="4" spans="1:25" ht="15.75" customHeight="1">
      <c r="A4" s="99">
        <v>539956</v>
      </c>
      <c r="B4" s="98" t="s">
        <v>5608</v>
      </c>
      <c r="C4" s="174"/>
      <c r="D4" s="174"/>
      <c r="E4" s="101">
        <f ca="1">IFERROR(__xludf.DUMMYFUNCTION("GOOGLEFINANCE(""BOM:""&amp;A4,""PRICE"")"),2899.8)</f>
        <v>2899.8</v>
      </c>
      <c r="F4" s="112">
        <f ca="1">IFERROR(__xludf.DUMMYFUNCTION("GOOGLEFINANCE(""BOM:""&amp;A4,""MARKETCAP"")/10000000"),855.2489)</f>
        <v>855.24890000000005</v>
      </c>
      <c r="G4" s="95">
        <f t="shared" ca="1" si="0"/>
        <v>5.0472620887883433E-3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532773</v>
      </c>
      <c r="B5" s="98" t="s">
        <v>5609</v>
      </c>
      <c r="C5" s="174"/>
      <c r="D5" s="174"/>
      <c r="E5" s="101">
        <f ca="1">IFERROR(__xludf.DUMMYFUNCTION("GOOGLEFINANCE(""BOM:""&amp;A5,""PRICE"")"),176.35)</f>
        <v>176.35</v>
      </c>
      <c r="F5" s="112">
        <f ca="1">IFERROR(__xludf.DUMMYFUNCTION("GOOGLEFINANCE(""BOM:""&amp;A5,""MARKETCAP"")/10000000"),247.8)</f>
        <v>247.8</v>
      </c>
      <c r="G5" s="95">
        <f t="shared" ca="1" si="0"/>
        <v>1.4623948017960051E-3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>
      <c r="A6" s="101"/>
      <c r="B6" s="101"/>
      <c r="C6" s="101"/>
      <c r="D6" s="101"/>
      <c r="E6" s="101"/>
      <c r="F6" s="112"/>
      <c r="G6" s="95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101"/>
      <c r="B7" s="101"/>
      <c r="C7" s="101"/>
      <c r="D7" s="101"/>
      <c r="E7" s="101"/>
      <c r="F7" s="112">
        <f ca="1">SUM(F2:F5)</f>
        <v>169448.08590379998</v>
      </c>
      <c r="G7" s="95">
        <f ca="1">F7/$F$7</f>
        <v>1</v>
      </c>
      <c r="H7" s="101">
        <f t="shared" ref="H7:O7" si="1">SUM(H2:H5)</f>
        <v>65843</v>
      </c>
      <c r="I7" s="101">
        <f t="shared" si="1"/>
        <v>62511</v>
      </c>
      <c r="J7" s="101">
        <f t="shared" si="1"/>
        <v>32</v>
      </c>
      <c r="K7" s="101">
        <f t="shared" si="1"/>
        <v>4163</v>
      </c>
      <c r="L7" s="101">
        <f t="shared" si="1"/>
        <v>24816</v>
      </c>
      <c r="M7" s="101">
        <f t="shared" si="1"/>
        <v>23288</v>
      </c>
      <c r="N7" s="101">
        <f t="shared" si="1"/>
        <v>288</v>
      </c>
      <c r="O7" s="101">
        <f t="shared" si="1"/>
        <v>2468</v>
      </c>
      <c r="P7" s="13">
        <f t="shared" ref="P7:Q7" si="2">J7/H7</f>
        <v>4.8600458666828671E-4</v>
      </c>
      <c r="Q7" s="13">
        <f t="shared" si="2"/>
        <v>6.659627905488634E-2</v>
      </c>
      <c r="R7" s="13">
        <f>P7-Q7</f>
        <v>-6.6110274468218058E-2</v>
      </c>
      <c r="S7" s="13">
        <f t="shared" ref="S7:T7" si="3">N7/L7</f>
        <v>1.160541586073501E-2</v>
      </c>
      <c r="T7" s="13">
        <f t="shared" si="3"/>
        <v>0.1059773273789076</v>
      </c>
      <c r="U7" s="13">
        <f>S7-T7</f>
        <v>-9.4371911518172591E-2</v>
      </c>
      <c r="V7" s="13">
        <f>(H7/I7)-1</f>
        <v>5.3302618739101915E-2</v>
      </c>
      <c r="W7" s="13">
        <f>(J7/K7)-1</f>
        <v>-0.99231323564736973</v>
      </c>
      <c r="X7" s="13">
        <f>(L7/M7)-1</f>
        <v>6.5613191343180999E-2</v>
      </c>
      <c r="Y7" s="13">
        <f>(N7/O7)-1</f>
        <v>-0.88330632090761751</v>
      </c>
    </row>
  </sheetData>
  <autoFilter ref="A1:Y5" xr:uid="{00000000-0009-0000-0000-0000B1000000}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512599</v>
      </c>
      <c r="B2" s="98" t="s">
        <v>1590</v>
      </c>
      <c r="C2" s="334" t="str">
        <f>VLOOKUP(A2,'BSE ALL CAP'!$B$4:$Y$1038,2,)</f>
        <v>Commodities</v>
      </c>
      <c r="D2" s="334" t="str">
        <f>VLOOKUP(A2,'BSE ALL CAP'!$B$4:$Y$1038,3,)</f>
        <v>Trading - Minerals</v>
      </c>
      <c r="E2" s="11">
        <f ca="1">IFERROR(__xludf.DUMMYFUNCTION("GOOGLEFINANCE(""BOM:""&amp;A2,""PRICE"")"),1894.05)</f>
        <v>1894.05</v>
      </c>
      <c r="F2" s="20">
        <f ca="1">IFERROR(__xludf.DUMMYFUNCTION("GOOGLEFINANCE(""BOM:""&amp;A2,""MARKETCAP"")/10000000"),243419.193)</f>
        <v>243419.193</v>
      </c>
      <c r="G2" s="95">
        <f t="shared" ref="G2:G4" ca="1" si="0">F2/$F$6</f>
        <v>0.99792223437178229</v>
      </c>
      <c r="H2" s="101">
        <f>VLOOKUP(A2,'BSE ALL CAP'!$B$4:$Y$1038,7,)</f>
        <v>68029</v>
      </c>
      <c r="I2" s="101">
        <f>VLOOKUP(A2,'BSE ALL CAP'!$B$4:$Y$1038,8,)</f>
        <v>70929</v>
      </c>
      <c r="J2" s="101">
        <f>VLOOKUP(A2,'BSE ALL CAP'!$B$4:$Y$1038,9,)</f>
        <v>10117</v>
      </c>
      <c r="K2" s="101">
        <f>VLOOKUP(A2,'BSE ALL CAP'!$B$4:$Y$1038,10,)</f>
        <v>3990</v>
      </c>
      <c r="L2" s="101">
        <f>VLOOKUP(A2,'BSE ALL CAP'!$B$4:$Y$1038,11,)</f>
        <v>24820</v>
      </c>
      <c r="M2" s="101">
        <f>VLOOKUP(A2,'BSE ALL CAP'!$B$4:$Y$1038,12,)</f>
        <v>22848</v>
      </c>
      <c r="N2" s="101">
        <f>VLOOKUP(A2,'BSE ALL CAP'!$B$4:$Y$1038,13,)</f>
        <v>5727</v>
      </c>
      <c r="O2" s="101">
        <f>VLOOKUP(A2,'BSE ALL CAP'!$B$4:$Y$1038,14,)</f>
        <v>229</v>
      </c>
      <c r="P2" s="95">
        <f>VLOOKUP(A2,'BSE ALL CAP'!$B$4:$Y$1038,15,)</f>
        <v>0.14871598876949535</v>
      </c>
      <c r="Q2" s="95">
        <f>VLOOKUP(A2,'BSE ALL CAP'!$B$4:$Y$1038,16,)</f>
        <v>5.6253436535126676E-2</v>
      </c>
      <c r="R2" s="95">
        <f>VLOOKUP(A2,'BSE ALL CAP'!$B$4:$Y$1038,17,)</f>
        <v>9.2462552234368667E-2</v>
      </c>
      <c r="S2" s="95">
        <f>VLOOKUP(A2,'BSE ALL CAP'!$B$4:$Y$1038,18,)</f>
        <v>0.23074133763094279</v>
      </c>
      <c r="T2" s="95">
        <f>VLOOKUP(A2,'BSE ALL CAP'!$B$4:$Y$1038,19,)</f>
        <v>1.0022759103641457E-2</v>
      </c>
      <c r="U2" s="95">
        <f>VLOOKUP(A2,'BSE ALL CAP'!$B$4:$Y$1038,20,)</f>
        <v>0.22071857852730134</v>
      </c>
      <c r="V2" s="95">
        <f>VLOOKUP(A2,'BSE ALL CAP'!$B$4:$Y$1038,21,)</f>
        <v>-4.0885956378914123E-2</v>
      </c>
      <c r="W2" s="95">
        <f>VLOOKUP(A2,'BSE ALL CAP'!$B$4:$Y$1038,22,)</f>
        <v>1.5355889724310776</v>
      </c>
      <c r="X2" s="95">
        <f>VLOOKUP(A2,'BSE ALL CAP'!$B$4:$Y$1038,23,)</f>
        <v>8.6309523809523725E-2</v>
      </c>
      <c r="Y2" s="95">
        <f>VLOOKUP(A2,'BSE ALL CAP'!$B$4:$Y$1038,24,)</f>
        <v>24.008733624454148</v>
      </c>
    </row>
    <row r="3" spans="1:25" ht="15.75" customHeight="1">
      <c r="A3" s="99">
        <v>540492</v>
      </c>
      <c r="B3" s="98" t="s">
        <v>1591</v>
      </c>
      <c r="C3" s="334"/>
      <c r="D3" s="334"/>
      <c r="E3" s="11">
        <f ca="1">IFERROR(__xludf.DUMMYFUNCTION("GOOGLEFINANCE(""BOM:""&amp;A3,""PRICE"")"),12.08)</f>
        <v>12.08</v>
      </c>
      <c r="F3" s="20">
        <f ca="1">IFERROR(__xludf.DUMMYFUNCTION("GOOGLEFINANCE(""BOM:""&amp;A3,""MARKETCAP"")/10000000"),496.0415)</f>
        <v>496.04149999999998</v>
      </c>
      <c r="G3" s="95">
        <f t="shared" ca="1" si="0"/>
        <v>2.0335735893312668E-3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526662</v>
      </c>
      <c r="B4" s="98" t="s">
        <v>1592</v>
      </c>
      <c r="C4" s="334"/>
      <c r="D4" s="334"/>
      <c r="E4" s="11">
        <f ca="1">IFERROR(__xludf.DUMMYFUNCTION("GOOGLEFINANCE(""BOM:""&amp;A4,""PRICE"")"),36.9)</f>
        <v>36.9</v>
      </c>
      <c r="F4" s="20">
        <f ca="1">IFERROR(__xludf.DUMMYFUNCTION("GOOGLEFINANCE(""BOM:""&amp;A4,""MARKETCAP"")/10000000"),10.7795879)</f>
        <v>10.779587899999999</v>
      </c>
      <c r="G4" s="95">
        <f t="shared" ca="1" si="0"/>
        <v>4.4192038886494163E-5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101"/>
      <c r="B5" s="101"/>
      <c r="C5" s="101"/>
      <c r="D5" s="101"/>
      <c r="E5" s="101"/>
      <c r="F5" s="101"/>
      <c r="G5" s="95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>
      <c r="A6" s="101"/>
      <c r="B6" s="101"/>
      <c r="C6" s="101"/>
      <c r="D6" s="101"/>
      <c r="E6" s="101"/>
      <c r="F6" s="112">
        <f ca="1">SUM(F2:F4)</f>
        <v>243926.0140879</v>
      </c>
      <c r="G6" s="95">
        <f ca="1">F6/$F$6</f>
        <v>1</v>
      </c>
      <c r="H6" s="101">
        <f t="shared" ref="H6:O6" si="1">SUM(H2:H5)</f>
        <v>68029</v>
      </c>
      <c r="I6" s="101">
        <f t="shared" si="1"/>
        <v>70929</v>
      </c>
      <c r="J6" s="101">
        <f t="shared" si="1"/>
        <v>10117</v>
      </c>
      <c r="K6" s="101">
        <f t="shared" si="1"/>
        <v>3990</v>
      </c>
      <c r="L6" s="101">
        <f t="shared" si="1"/>
        <v>24820</v>
      </c>
      <c r="M6" s="101">
        <f t="shared" si="1"/>
        <v>22848</v>
      </c>
      <c r="N6" s="101">
        <f t="shared" si="1"/>
        <v>5727</v>
      </c>
      <c r="O6" s="101">
        <f t="shared" si="1"/>
        <v>229</v>
      </c>
      <c r="P6" s="95">
        <f t="shared" ref="P6:Q6" si="2">J6/H6</f>
        <v>0.14871598876949535</v>
      </c>
      <c r="Q6" s="95">
        <f t="shared" si="2"/>
        <v>5.6253436535126676E-2</v>
      </c>
      <c r="R6" s="95">
        <f>P6-Q6</f>
        <v>9.2462552234368667E-2</v>
      </c>
      <c r="S6" s="95">
        <f t="shared" ref="S6:T6" si="3">N6/L6</f>
        <v>0.23074133763094279</v>
      </c>
      <c r="T6" s="95">
        <f t="shared" si="3"/>
        <v>1.0022759103641457E-2</v>
      </c>
      <c r="U6" s="95">
        <f>S6-T6</f>
        <v>0.22071857852730134</v>
      </c>
      <c r="V6" s="95">
        <f>(H6/I6)-1</f>
        <v>-4.0885956378914123E-2</v>
      </c>
      <c r="W6" s="95">
        <f>(J6/K6)-1</f>
        <v>1.5355889724310776</v>
      </c>
      <c r="X6" s="95">
        <f>(L6/M6)-1</f>
        <v>8.6309523809523725E-2</v>
      </c>
      <c r="Y6" s="95">
        <f>(N6/O6)-1</f>
        <v>24.008733624454148</v>
      </c>
    </row>
    <row r="7" spans="1:25">
      <c r="G7" s="50"/>
    </row>
    <row r="8" spans="1:25">
      <c r="G8" s="50"/>
    </row>
    <row r="9" spans="1:25">
      <c r="G9" s="50"/>
    </row>
    <row r="10" spans="1:25">
      <c r="G10" s="50"/>
    </row>
    <row r="11" spans="1:25">
      <c r="G11" s="50"/>
    </row>
    <row r="12" spans="1:25">
      <c r="G12" s="50"/>
    </row>
    <row r="13" spans="1:25">
      <c r="G13" s="50"/>
    </row>
    <row r="14" spans="1:25">
      <c r="G14" s="50"/>
    </row>
    <row r="15" spans="1:25">
      <c r="G15" s="50"/>
    </row>
    <row r="16" spans="1:25">
      <c r="G16" s="50"/>
    </row>
    <row r="17" spans="7:7">
      <c r="G17" s="50"/>
    </row>
    <row r="18" spans="7:7">
      <c r="G18" s="50"/>
    </row>
    <row r="19" spans="7:7">
      <c r="G19" s="50"/>
    </row>
    <row r="20" spans="7:7">
      <c r="G20" s="50"/>
    </row>
    <row r="21" spans="7:7">
      <c r="G21" s="50"/>
    </row>
    <row r="22" spans="7:7">
      <c r="G22" s="50"/>
    </row>
    <row r="23" spans="7:7">
      <c r="G23" s="50"/>
    </row>
    <row r="24" spans="7:7">
      <c r="G24" s="50"/>
    </row>
    <row r="25" spans="7:7" ht="13.2">
      <c r="G25" s="50"/>
    </row>
    <row r="26" spans="7:7" ht="13.2">
      <c r="G26" s="50"/>
    </row>
    <row r="27" spans="7:7" ht="13.2">
      <c r="G27" s="50"/>
    </row>
    <row r="28" spans="7:7" ht="13.2">
      <c r="G28" s="50"/>
    </row>
    <row r="29" spans="7:7" ht="13.2">
      <c r="G29" s="50"/>
    </row>
    <row r="30" spans="7:7" ht="13.2">
      <c r="G30" s="50"/>
    </row>
    <row r="31" spans="7:7" ht="13.2">
      <c r="G31" s="50"/>
    </row>
    <row r="32" spans="7:7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4" xr:uid="{00000000-0009-0000-0000-000019000000}"/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outlinePr summaryBelow="0" summaryRight="0"/>
  </sheetPr>
  <dimension ref="A1:Y5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532754</v>
      </c>
      <c r="B2" s="98" t="s">
        <v>5610</v>
      </c>
      <c r="C2" s="174" t="str">
        <f>VLOOKUP(A2,'BSE ALL CAP'!$B$4:$Y$1034,2,)</f>
        <v>Services</v>
      </c>
      <c r="D2" s="174" t="str">
        <f>VLOOKUP(A2,'BSE ALL CAP'!$B$4:$Y$1034,3,)</f>
        <v>Airport &amp; Airport services</v>
      </c>
      <c r="E2" s="101">
        <f ca="1">IFERROR(__xludf.DUMMYFUNCTION("GOOGLEFINANCE(""BOM:""&amp;A2,""PRICE"")"),90.93)</f>
        <v>90.93</v>
      </c>
      <c r="F2" s="112">
        <f ca="1">IFERROR(__xludf.DUMMYFUNCTION("GOOGLEFINANCE(""BOM:""&amp;A2,""MARKETCAP"")/10000000"),96023.2757578)</f>
        <v>96023.275757800002</v>
      </c>
      <c r="G2" s="95">
        <f t="shared" ref="G2:G3" ca="1" si="0">F2/$F$5</f>
        <v>0.99626438538235462</v>
      </c>
      <c r="H2" s="101">
        <f>VLOOKUP(A2,'BSE ALL CAP'!$B$4:$Y$1038,7,)</f>
        <v>10869</v>
      </c>
      <c r="I2" s="101">
        <f>VLOOKUP(A2,'BSE ALL CAP'!$B$4:$Y$1038,8,)</f>
        <v>7551</v>
      </c>
      <c r="J2" s="101">
        <f>VLOOKUP(A2,'BSE ALL CAP'!$B$4:$Y$1038,9,)</f>
        <v>72</v>
      </c>
      <c r="K2" s="101">
        <f>VLOOKUP(A2,'BSE ALL CAP'!$B$4:$Y$1038,10,)</f>
        <v>-564</v>
      </c>
      <c r="L2" s="101">
        <f>VLOOKUP(A2,'BSE ALL CAP'!$B$4:$Y$1038,11,)</f>
        <v>3994</v>
      </c>
      <c r="M2" s="101">
        <f>VLOOKUP(A2,'BSE ALL CAP'!$B$4:$Y$1038,12,)</f>
        <v>2653</v>
      </c>
      <c r="N2" s="101">
        <f>VLOOKUP(A2,'BSE ALL CAP'!$B$4:$Y$1038,13,)</f>
        <v>174</v>
      </c>
      <c r="O2" s="101">
        <f>VLOOKUP(A2,'BSE ALL CAP'!$B$4:$Y$1038,14,)</f>
        <v>202</v>
      </c>
      <c r="P2" s="95">
        <f>VLOOKUP(A2,'BSE ALL CAP'!$B$4:$Y$1038,15,)</f>
        <v>6.6243444659122271E-3</v>
      </c>
      <c r="Q2" s="95">
        <f>VLOOKUP(A2,'BSE ALL CAP'!$B$4:$Y$1038,16,)</f>
        <v>-7.4692093762415576E-2</v>
      </c>
      <c r="R2" s="95">
        <f>VLOOKUP(A2,'BSE ALL CAP'!$B$4:$Y$1038,17,)</f>
        <v>8.1316438228327806E-2</v>
      </c>
      <c r="S2" s="95">
        <f>VLOOKUP(A2,'BSE ALL CAP'!$B$4:$Y$1038,18,)</f>
        <v>4.3565348022033053E-2</v>
      </c>
      <c r="T2" s="95">
        <f>VLOOKUP(A2,'BSE ALL CAP'!$B$4:$Y$1038,19,)</f>
        <v>7.6140218620429703E-2</v>
      </c>
      <c r="U2" s="95">
        <f>VLOOKUP(A2,'BSE ALL CAP'!$B$4:$Y$1038,20,)</f>
        <v>-3.2574870598396651E-2</v>
      </c>
      <c r="V2" s="95">
        <f>VLOOKUP(A2,'BSE ALL CAP'!$B$4:$Y$1038,21,)</f>
        <v>0.43941199841080647</v>
      </c>
      <c r="W2" s="95">
        <f>VLOOKUP(A2,'BSE ALL CAP'!$B$4:$Y$1038,22,)</f>
        <v>-1.1276595744680851</v>
      </c>
      <c r="X2" s="95">
        <f>VLOOKUP(A2,'BSE ALL CAP'!$B$4:$Y$1038,23,)</f>
        <v>0.50546551074255563</v>
      </c>
      <c r="Y2" s="95">
        <f>VLOOKUP(A2,'BSE ALL CAP'!$B$4:$Y$1038,24,)</f>
        <v>-0.13861386138613863</v>
      </c>
    </row>
    <row r="3" spans="1:25" ht="15.75" customHeight="1">
      <c r="A3" s="99">
        <v>543591</v>
      </c>
      <c r="B3" s="98" t="s">
        <v>5611</v>
      </c>
      <c r="C3" s="174"/>
      <c r="D3" s="174"/>
      <c r="E3" s="101">
        <f ca="1">IFERROR(__xludf.DUMMYFUNCTION("GOOGLEFINANCE(""BOM:""&amp;A3,""PRICE"")"),67.65)</f>
        <v>67.650000000000006</v>
      </c>
      <c r="F3" s="112">
        <f ca="1">IFERROR(__xludf.DUMMYFUNCTION("GOOGLEFINANCE(""BOM:""&amp;A3,""MARKETCAP"")/10000000"),360.0509642)</f>
        <v>360.05096420000001</v>
      </c>
      <c r="G3" s="95">
        <f t="shared" ca="1" si="0"/>
        <v>3.7356146176454447E-3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>
      <c r="A4" s="101"/>
      <c r="B4" s="101"/>
      <c r="C4" s="101"/>
      <c r="D4" s="101"/>
      <c r="E4" s="101"/>
      <c r="F4" s="101"/>
      <c r="G4" s="95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101"/>
      <c r="B5" s="101"/>
      <c r="C5" s="101"/>
      <c r="D5" s="101"/>
      <c r="E5" s="101"/>
      <c r="F5" s="112">
        <f ca="1">SUM(F2:F3)</f>
        <v>96383.326721999998</v>
      </c>
      <c r="G5" s="95">
        <f ca="1">F5/$F$5</f>
        <v>1</v>
      </c>
      <c r="H5" s="101">
        <f t="shared" ref="H5:O5" si="1">SUM(H2:H3)</f>
        <v>10869</v>
      </c>
      <c r="I5" s="101">
        <f t="shared" si="1"/>
        <v>7551</v>
      </c>
      <c r="J5" s="101">
        <f t="shared" si="1"/>
        <v>72</v>
      </c>
      <c r="K5" s="101">
        <f t="shared" si="1"/>
        <v>-564</v>
      </c>
      <c r="L5" s="101">
        <f t="shared" si="1"/>
        <v>3994</v>
      </c>
      <c r="M5" s="101">
        <f t="shared" si="1"/>
        <v>2653</v>
      </c>
      <c r="N5" s="101">
        <f t="shared" si="1"/>
        <v>174</v>
      </c>
      <c r="O5" s="101">
        <f t="shared" si="1"/>
        <v>202</v>
      </c>
      <c r="P5" s="13">
        <f t="shared" ref="P5:Q5" si="2">J5/H5</f>
        <v>6.6243444659122271E-3</v>
      </c>
      <c r="Q5" s="13">
        <f t="shared" si="2"/>
        <v>-7.4692093762415576E-2</v>
      </c>
      <c r="R5" s="13">
        <f>P5-Q5</f>
        <v>8.1316438228327806E-2</v>
      </c>
      <c r="S5" s="13">
        <f t="shared" ref="S5:T5" si="3">N5/L5</f>
        <v>4.3565348022033053E-2</v>
      </c>
      <c r="T5" s="13">
        <f t="shared" si="3"/>
        <v>7.6140218620429703E-2</v>
      </c>
      <c r="U5" s="13">
        <f>S5-T5</f>
        <v>-3.2574870598396651E-2</v>
      </c>
      <c r="V5" s="13">
        <f>(H5/I5)-1</f>
        <v>0.43941199841080647</v>
      </c>
      <c r="W5" s="13">
        <f>(J5/K5)-1</f>
        <v>-1.1276595744680851</v>
      </c>
      <c r="X5" s="13">
        <f>(L5/M5)-1</f>
        <v>0.50546551074255563</v>
      </c>
      <c r="Y5" s="13">
        <f>(N5/O5)-1</f>
        <v>-0.13861386138613863</v>
      </c>
    </row>
  </sheetData>
  <autoFilter ref="A1:Y3" xr:uid="{00000000-0009-0000-0000-0000B2000000}"/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outlinePr summaryBelow="0" summaryRight="0"/>
  </sheetPr>
  <dimension ref="A1:Y16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74" t="e">
        <f>VLOOKUP(A1,'BSE ALL CAP'!$B$4:$Y$1034,2,)</f>
        <v>#N/A</v>
      </c>
      <c r="D1" s="174" t="e">
        <f>VLOOKUP(A1,'BSE ALL CAP'!$B$4:$Y$1034,3,)</f>
        <v>#N/A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500440</v>
      </c>
      <c r="B2" s="98" t="s">
        <v>5612</v>
      </c>
      <c r="C2" s="174" t="str">
        <f>VLOOKUP(A2,'BSE ALL CAP'!$B$4:$Y$1034,2,)</f>
        <v>Commodities</v>
      </c>
      <c r="D2" s="174" t="str">
        <f>VLOOKUP(A2,'BSE ALL CAP'!$B$4:$Y$1034,3,)</f>
        <v>Aluminium</v>
      </c>
      <c r="E2" s="101">
        <f ca="1">IFERROR(__xludf.DUMMYFUNCTION("GOOGLEFINANCE(""BOM:""&amp;A2,""PRICE"")"),930.25)</f>
        <v>930.25</v>
      </c>
      <c r="F2" s="112">
        <f ca="1">IFERROR(__xludf.DUMMYFUNCTION("GOOGLEFINANCE(""BOM:""&amp;A2,""MARKETCAP"")/10000000"),207914.0217086)</f>
        <v>207914.02170859999</v>
      </c>
      <c r="G2" s="95">
        <f t="shared" ref="G2:G14" ca="1" si="0">F2/$F$16</f>
        <v>0.7275878196506177</v>
      </c>
      <c r="H2" s="101">
        <f>VLOOKUP(A2,'BSE ALL CAP'!$B$4:$Y$1038,7,)</f>
        <v>196811</v>
      </c>
      <c r="I2" s="101">
        <f>VLOOKUP(A2,'BSE ALL CAP'!$B$4:$Y$1038,8,)</f>
        <v>173606</v>
      </c>
      <c r="J2" s="101">
        <f>VLOOKUP(A2,'BSE ALL CAP'!$B$4:$Y$1038,9,)</f>
        <v>10794</v>
      </c>
      <c r="K2" s="101">
        <f>VLOOKUP(A2,'BSE ALL CAP'!$B$4:$Y$1038,10,)</f>
        <v>10718</v>
      </c>
      <c r="L2" s="101">
        <f>VLOOKUP(A2,'BSE ALL CAP'!$B$4:$Y$1038,11,)</f>
        <v>66521</v>
      </c>
      <c r="M2" s="101">
        <f>VLOOKUP(A2,'BSE ALL CAP'!$B$4:$Y$1038,12,)</f>
        <v>58390</v>
      </c>
      <c r="N2" s="101">
        <f>VLOOKUP(A2,'BSE ALL CAP'!$B$4:$Y$1038,13,)</f>
        <v>2049</v>
      </c>
      <c r="O2" s="101">
        <f>VLOOKUP(A2,'BSE ALL CAP'!$B$4:$Y$1038,14,)</f>
        <v>3735</v>
      </c>
      <c r="P2" s="95">
        <f>VLOOKUP(A2,'BSE ALL CAP'!$B$4:$Y$1038,15,)</f>
        <v>5.4844495480435546E-2</v>
      </c>
      <c r="Q2" s="95">
        <f>VLOOKUP(A2,'BSE ALL CAP'!$B$4:$Y$1038,16,)</f>
        <v>6.1737497551927929E-2</v>
      </c>
      <c r="R2" s="95">
        <f>VLOOKUP(A2,'BSE ALL CAP'!$B$4:$Y$1038,17,)</f>
        <v>-6.8930020714923837E-3</v>
      </c>
      <c r="S2" s="95">
        <f>VLOOKUP(A2,'BSE ALL CAP'!$B$4:$Y$1038,18,)</f>
        <v>3.0802303032125194E-2</v>
      </c>
      <c r="T2" s="95">
        <f>VLOOKUP(A2,'BSE ALL CAP'!$B$4:$Y$1038,19,)</f>
        <v>6.396643260832334E-2</v>
      </c>
      <c r="U2" s="95">
        <f>VLOOKUP(A2,'BSE ALL CAP'!$B$4:$Y$1038,20,)</f>
        <v>-3.3164129576198145E-2</v>
      </c>
      <c r="V2" s="95">
        <f>VLOOKUP(A2,'BSE ALL CAP'!$B$4:$Y$1038,21,)</f>
        <v>0.13366473508980103</v>
      </c>
      <c r="W2" s="95">
        <f>VLOOKUP(A2,'BSE ALL CAP'!$B$4:$Y$1038,22,)</f>
        <v>7.0908751632767775E-3</v>
      </c>
      <c r="X2" s="95">
        <f>VLOOKUP(A2,'BSE ALL CAP'!$B$4:$Y$1038,23,)</f>
        <v>0.13925329679739673</v>
      </c>
      <c r="Y2" s="95">
        <f>VLOOKUP(A2,'BSE ALL CAP'!$B$4:$Y$1038,24,)</f>
        <v>-0.45140562248995986</v>
      </c>
    </row>
    <row r="3" spans="1:25" ht="15.75" customHeight="1">
      <c r="A3" s="99">
        <v>532234</v>
      </c>
      <c r="B3" s="98" t="s">
        <v>5613</v>
      </c>
      <c r="C3" s="174" t="str">
        <f>VLOOKUP(A3,'BSE ALL CAP'!$B$4:$Y$1034,2,)</f>
        <v>Commodities</v>
      </c>
      <c r="D3" s="174" t="str">
        <f>VLOOKUP(A3,'BSE ALL CAP'!$B$4:$Y$1034,3,)</f>
        <v>Aluminium</v>
      </c>
      <c r="E3" s="101">
        <f ca="1">IFERROR(__xludf.DUMMYFUNCTION("GOOGLEFINANCE(""BOM:""&amp;A3,""PRICE"")"),409.35)</f>
        <v>409.35</v>
      </c>
      <c r="F3" s="112">
        <f ca="1">IFERROR(__xludf.DUMMYFUNCTION("GOOGLEFINANCE(""BOM:""&amp;A3,""MARKETCAP"")/10000000"),75154.9427619)</f>
        <v>75154.942761900005</v>
      </c>
      <c r="G3" s="95">
        <f t="shared" ca="1" si="0"/>
        <v>0.26300208370138983</v>
      </c>
      <c r="H3" s="101">
        <f>VLOOKUP(A3,'BSE ALL CAP'!$B$4:$Y$1038,7,)</f>
        <v>12830</v>
      </c>
      <c r="I3" s="101">
        <f>VLOOKUP(A3,'BSE ALL CAP'!$B$4:$Y$1038,8,)</f>
        <v>11520</v>
      </c>
      <c r="J3" s="101">
        <f>VLOOKUP(A3,'BSE ALL CAP'!$B$4:$Y$1038,9,)</f>
        <v>4075</v>
      </c>
      <c r="K3" s="101">
        <f>VLOOKUP(A3,'BSE ALL CAP'!$B$4:$Y$1038,10,)</f>
        <v>3201</v>
      </c>
      <c r="L3" s="101">
        <f>VLOOKUP(A3,'BSE ALL CAP'!$B$4:$Y$1038,11,)</f>
        <v>4731</v>
      </c>
      <c r="M3" s="101">
        <f>VLOOKUP(A3,'BSE ALL CAP'!$B$4:$Y$1038,12,)</f>
        <v>4662</v>
      </c>
      <c r="N3" s="101">
        <f>VLOOKUP(A3,'BSE ALL CAP'!$B$4:$Y$1038,13,)</f>
        <v>1595</v>
      </c>
      <c r="O3" s="101">
        <f>VLOOKUP(A3,'BSE ALL CAP'!$B$4:$Y$1038,14,)</f>
        <v>1566</v>
      </c>
      <c r="P3" s="95">
        <f>VLOOKUP(A3,'BSE ALL CAP'!$B$4:$Y$1038,15,)</f>
        <v>0.31761496492595481</v>
      </c>
      <c r="Q3" s="95">
        <f>VLOOKUP(A3,'BSE ALL CAP'!$B$4:$Y$1038,16,)</f>
        <v>0.27786458333333336</v>
      </c>
      <c r="R3" s="95">
        <f>VLOOKUP(A3,'BSE ALL CAP'!$B$4:$Y$1038,17,)</f>
        <v>3.9750381592621453E-2</v>
      </c>
      <c r="S3" s="95">
        <f>VLOOKUP(A3,'BSE ALL CAP'!$B$4:$Y$1038,18,)</f>
        <v>0.33713802578735996</v>
      </c>
      <c r="T3" s="95">
        <f>VLOOKUP(A3,'BSE ALL CAP'!$B$4:$Y$1038,19,)</f>
        <v>0.3359073359073359</v>
      </c>
      <c r="U3" s="95">
        <f>VLOOKUP(A3,'BSE ALL CAP'!$B$4:$Y$1038,20,)</f>
        <v>1.2306898800240607E-3</v>
      </c>
      <c r="V3" s="95">
        <f>VLOOKUP(A3,'BSE ALL CAP'!$B$4:$Y$1038,21,)</f>
        <v>0.11371527777777768</v>
      </c>
      <c r="W3" s="95">
        <f>VLOOKUP(A3,'BSE ALL CAP'!$B$4:$Y$1038,22,)</f>
        <v>0.27303967510153071</v>
      </c>
      <c r="X3" s="95">
        <f>VLOOKUP(A3,'BSE ALL CAP'!$B$4:$Y$1038,23,)</f>
        <v>1.4800514800514808E-2</v>
      </c>
      <c r="Y3" s="95">
        <f>VLOOKUP(A3,'BSE ALL CAP'!$B$4:$Y$1038,24,)</f>
        <v>1.8518518518518601E-2</v>
      </c>
    </row>
    <row r="4" spans="1:25" ht="15.75" customHeight="1">
      <c r="A4" s="99">
        <v>539151</v>
      </c>
      <c r="B4" s="98" t="s">
        <v>5614</v>
      </c>
      <c r="C4" s="174"/>
      <c r="D4" s="174"/>
      <c r="E4" s="101">
        <f ca="1">IFERROR(__xludf.DUMMYFUNCTION("GOOGLEFINANCE(""BOM:""&amp;A4,""PRICE"")"),76.01)</f>
        <v>76.010000000000005</v>
      </c>
      <c r="F4" s="112">
        <f ca="1">IFERROR(__xludf.DUMMYFUNCTION("GOOGLEFINANCE(""BOM:""&amp;A4,""MARKETCAP"")/10000000"),1282.291)</f>
        <v>1282.2909999999999</v>
      </c>
      <c r="G4" s="95">
        <f t="shared" ca="1" si="0"/>
        <v>4.4873323366098842E-3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532906</v>
      </c>
      <c r="B5" s="98" t="s">
        <v>5615</v>
      </c>
      <c r="C5" s="174"/>
      <c r="D5" s="174"/>
      <c r="E5" s="101">
        <f ca="1">IFERROR(__xludf.DUMMYFUNCTION("GOOGLEFINANCE(""BOM:""&amp;A5,""PRICE"")"),129.55)</f>
        <v>129.55000000000001</v>
      </c>
      <c r="F5" s="112">
        <f ca="1">IFERROR(__xludf.DUMMYFUNCTION("GOOGLEFINANCE(""BOM:""&amp;A5,""MARKETCAP"")/10000000"),775.7842053)</f>
        <v>775.78420530000005</v>
      </c>
      <c r="G5" s="95">
        <f t="shared" ca="1" si="0"/>
        <v>2.7148295906887681E-3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526747</v>
      </c>
      <c r="B6" s="98" t="s">
        <v>5616</v>
      </c>
      <c r="C6" s="174"/>
      <c r="D6" s="174"/>
      <c r="E6" s="101">
        <f ca="1">IFERROR(__xludf.DUMMYFUNCTION("GOOGLEFINANCE(""BOM:""&amp;A6,""PRICE"")"),204.3)</f>
        <v>204.3</v>
      </c>
      <c r="F6" s="112">
        <f ca="1">IFERROR(__xludf.DUMMYFUNCTION("GOOGLEFINANCE(""BOM:""&amp;A6,""MARKETCAP"")/10000000"),240.9716492)</f>
        <v>240.9716492</v>
      </c>
      <c r="G6" s="95">
        <f t="shared" ca="1" si="0"/>
        <v>8.4327182648975417E-4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539045</v>
      </c>
      <c r="B7" s="98" t="s">
        <v>5617</v>
      </c>
      <c r="C7" s="174"/>
      <c r="D7" s="174"/>
      <c r="E7" s="101">
        <f ca="1">IFERROR(__xludf.DUMMYFUNCTION("GOOGLEFINANCE(""BOM:""&amp;A7,""PRICE"")"),24.6)</f>
        <v>24.6</v>
      </c>
      <c r="F7" s="112">
        <f ca="1">IFERROR(__xludf.DUMMYFUNCTION("GOOGLEFINANCE(""BOM:""&amp;A7,""MARKETCAP"")/10000000"),161.2792764)</f>
        <v>161.27927639999999</v>
      </c>
      <c r="G7" s="95">
        <f t="shared" ca="1" si="0"/>
        <v>5.6439116566735887E-4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531979</v>
      </c>
      <c r="B8" s="98" t="s">
        <v>5618</v>
      </c>
      <c r="C8" s="174"/>
      <c r="D8" s="174"/>
      <c r="E8" s="101">
        <f ca="1">IFERROR(__xludf.DUMMYFUNCTION("GOOGLEFINANCE(""BOM:""&amp;A8,""PRICE"")"),101.58)</f>
        <v>101.58</v>
      </c>
      <c r="F8" s="112">
        <f ca="1">IFERROR(__xludf.DUMMYFUNCTION("GOOGLEFINANCE(""BOM:""&amp;A8,""MARKETCAP"")/10000000"),63.9974225)</f>
        <v>63.997422499999999</v>
      </c>
      <c r="G8" s="95">
        <f t="shared" ca="1" si="0"/>
        <v>2.2395673325628502E-4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531869</v>
      </c>
      <c r="B9" s="98" t="s">
        <v>5619</v>
      </c>
      <c r="C9" s="174"/>
      <c r="D9" s="174"/>
      <c r="E9" s="101">
        <f ca="1">IFERROR(__xludf.DUMMYFUNCTION("GOOGLEFINANCE(""BOM:""&amp;A9,""PRICE"")"),3.95)</f>
        <v>3.95</v>
      </c>
      <c r="F9" s="112">
        <f ca="1">IFERROR(__xludf.DUMMYFUNCTION("GOOGLEFINANCE(""BOM:""&amp;A9,""MARKETCAP"")/10000000"),49.3750005)</f>
        <v>49.375000499999999</v>
      </c>
      <c r="G9" s="95">
        <f t="shared" ca="1" si="0"/>
        <v>1.7278608082235561E-4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506003</v>
      </c>
      <c r="B10" s="98" t="s">
        <v>5620</v>
      </c>
      <c r="C10" s="174"/>
      <c r="D10" s="174"/>
      <c r="E10" s="101">
        <f ca="1">IFERROR(__xludf.DUMMYFUNCTION("GOOGLEFINANCE(""BOM:""&amp;A10,""PRICE"")"),46.65)</f>
        <v>46.65</v>
      </c>
      <c r="F10" s="112">
        <f ca="1">IFERROR(__xludf.DUMMYFUNCTION("GOOGLEFINANCE(""BOM:""&amp;A10,""MARKETCAP"")/10000000"),39.0358675)</f>
        <v>39.035867500000002</v>
      </c>
      <c r="G10" s="95">
        <f t="shared" ca="1" si="0"/>
        <v>1.3660464786882919E-4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539121</v>
      </c>
      <c r="B11" s="98" t="s">
        <v>5621</v>
      </c>
      <c r="C11" s="174"/>
      <c r="D11" s="174"/>
      <c r="E11" s="101">
        <f ca="1">IFERROR(__xludf.DUMMYFUNCTION("GOOGLEFINANCE(""BOM:""&amp;A11,""PRICE"")"),102.5)</f>
        <v>102.5</v>
      </c>
      <c r="F11" s="112">
        <f ca="1">IFERROR(__xludf.DUMMYFUNCTION("GOOGLEFINANCE(""BOM:""&amp;A11,""MARKETCAP"")/10000000"),41)</f>
        <v>41</v>
      </c>
      <c r="G11" s="95">
        <f t="shared" ca="1" si="0"/>
        <v>1.4347806059701368E-4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535279</v>
      </c>
      <c r="B12" s="98" t="s">
        <v>5622</v>
      </c>
      <c r="C12" s="174"/>
      <c r="D12" s="174"/>
      <c r="E12" s="101">
        <f ca="1">IFERROR(__xludf.DUMMYFUNCTION("GOOGLEFINANCE(""BOM:""&amp;A12,""PRICE"")"),9.11)</f>
        <v>9.11</v>
      </c>
      <c r="F12" s="112">
        <f ca="1">IFERROR(__xludf.DUMMYFUNCTION("GOOGLEFINANCE(""BOM:""&amp;A12,""MARKETCAP"")/10000000"),17.73894)</f>
        <v>17.738939999999999</v>
      </c>
      <c r="G12" s="95">
        <f t="shared" ca="1" si="0"/>
        <v>6.2076797762116817E-5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513430</v>
      </c>
      <c r="B13" s="98" t="s">
        <v>5623</v>
      </c>
      <c r="C13" s="174"/>
      <c r="D13" s="174"/>
      <c r="E13" s="101">
        <f ca="1">IFERROR(__xludf.DUMMYFUNCTION("GOOGLEFINANCE(""BOM:""&amp;A13,""PRICE"")"),32)</f>
        <v>32</v>
      </c>
      <c r="F13" s="112">
        <f ca="1">IFERROR(__xludf.DUMMYFUNCTION("GOOGLEFINANCE(""BOM:""&amp;A13,""MARKETCAP"")/10000000"),14.08)</f>
        <v>14.08</v>
      </c>
      <c r="G13" s="95">
        <f t="shared" ca="1" si="0"/>
        <v>4.927246568795006E-5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513309</v>
      </c>
      <c r="B14" s="98" t="s">
        <v>5624</v>
      </c>
      <c r="C14" s="174"/>
      <c r="D14" s="174"/>
      <c r="E14" s="101">
        <f ca="1">IFERROR(__xludf.DUMMYFUNCTION("GOOGLEFINANCE(""BOM:""&amp;A14,""PRICE"")"),6.56)</f>
        <v>6.56</v>
      </c>
      <c r="F14" s="112">
        <f ca="1">IFERROR(__xludf.DUMMYFUNCTION("GOOGLEFINANCE(""BOM:""&amp;A14,""MARKETCAP"")/10000000"),3.4567978)</f>
        <v>3.4567977999999999</v>
      </c>
      <c r="G14" s="95">
        <f t="shared" ca="1" si="0"/>
        <v>1.2096942541951793E-5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>
      <c r="A15" s="101"/>
      <c r="B15" s="101"/>
      <c r="C15" s="101"/>
      <c r="D15" s="101"/>
      <c r="E15" s="101"/>
      <c r="F15" s="101"/>
      <c r="G15" s="95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>
      <c r="A16" s="101"/>
      <c r="B16" s="101"/>
      <c r="C16" s="101"/>
      <c r="D16" s="101"/>
      <c r="E16" s="101"/>
      <c r="F16" s="112">
        <f ca="1">SUM(F2:F14)</f>
        <v>285757.97462970007</v>
      </c>
      <c r="G16" s="95">
        <f ca="1">F16/$F$16</f>
        <v>1</v>
      </c>
      <c r="H16" s="101">
        <f t="shared" ref="H16:O16" si="1">SUM(H2:H14)</f>
        <v>209641</v>
      </c>
      <c r="I16" s="101">
        <f t="shared" si="1"/>
        <v>185126</v>
      </c>
      <c r="J16" s="101">
        <f t="shared" si="1"/>
        <v>14869</v>
      </c>
      <c r="K16" s="101">
        <f t="shared" si="1"/>
        <v>13919</v>
      </c>
      <c r="L16" s="101">
        <f t="shared" si="1"/>
        <v>71252</v>
      </c>
      <c r="M16" s="101">
        <f t="shared" si="1"/>
        <v>63052</v>
      </c>
      <c r="N16" s="101">
        <f t="shared" si="1"/>
        <v>3644</v>
      </c>
      <c r="O16" s="101">
        <f t="shared" si="1"/>
        <v>5301</v>
      </c>
      <c r="P16" s="13">
        <f t="shared" ref="P16:Q16" si="2">J16/H16</f>
        <v>7.0926011610324316E-2</v>
      </c>
      <c r="Q16" s="13">
        <f t="shared" si="2"/>
        <v>7.5186629646835132E-2</v>
      </c>
      <c r="R16" s="13">
        <f>P16-Q16</f>
        <v>-4.2606180365108159E-3</v>
      </c>
      <c r="S16" s="13">
        <f t="shared" ref="S16:T16" si="3">N16/L16</f>
        <v>5.1142424072306743E-2</v>
      </c>
      <c r="T16" s="13">
        <f t="shared" si="3"/>
        <v>8.4073463173253829E-2</v>
      </c>
      <c r="U16" s="13">
        <f>S16-T16</f>
        <v>-3.2931039100947086E-2</v>
      </c>
      <c r="V16" s="13">
        <f>(H16/I16)-1</f>
        <v>0.13242332249386912</v>
      </c>
      <c r="W16" s="13">
        <f>(J16/K16)-1</f>
        <v>6.8252029599827679E-2</v>
      </c>
      <c r="X16" s="13">
        <f>(L16/M16)-1</f>
        <v>0.13005138615745726</v>
      </c>
      <c r="Y16" s="13">
        <f>(N16/O16)-1</f>
        <v>-0.31258253159781169</v>
      </c>
    </row>
  </sheetData>
  <autoFilter ref="A1:Y14" xr:uid="{00000000-0009-0000-0000-0000B3000000}"/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outlinePr summaryBelow="0" summaryRight="0"/>
  </sheetPr>
  <dimension ref="A1:Y19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523539</v>
      </c>
      <c r="B2" s="98" t="s">
        <v>5625</v>
      </c>
      <c r="C2" s="174" t="str">
        <f>VLOOKUP(A2,'BSE ALL CAP'!$B$4:$Y$1034,2,)</f>
        <v>Industrials</v>
      </c>
      <c r="D2" s="174" t="str">
        <f>VLOOKUP(A2,'BSE ALL CAP'!$B$4:$Y$1034,3,)</f>
        <v>Aluminium, Copper &amp; Zinc Products</v>
      </c>
      <c r="E2" s="101">
        <f ca="1">IFERROR(__xludf.DUMMYFUNCTION("GOOGLEFINANCE(""BOM:""&amp;A2,""PRICE"")"),299.9)</f>
        <v>299.89999999999998</v>
      </c>
      <c r="F2" s="112">
        <f ca="1">IFERROR(__xludf.DUMMYFUNCTION("GOOGLEFINANCE(""BOM:""&amp;A2,""MARKETCAP"")/10000000"),5475.096605)</f>
        <v>5475.0966049999997</v>
      </c>
      <c r="G2" s="95">
        <f t="shared" ref="G2:G17" ca="1" si="0">F2/$F$19</f>
        <v>0.406942074826464</v>
      </c>
      <c r="H2" s="101">
        <f>VLOOKUP(A2,'BSE ALL CAP'!$B$4:$Y$1038,7,)</f>
        <v>3666</v>
      </c>
      <c r="I2" s="101">
        <f>VLOOKUP(A2,'BSE ALL CAP'!$B$4:$Y$1038,8,)</f>
        <v>2969</v>
      </c>
      <c r="J2" s="101">
        <f>VLOOKUP(A2,'BSE ALL CAP'!$B$4:$Y$1038,9,)</f>
        <v>100</v>
      </c>
      <c r="K2" s="101">
        <f>VLOOKUP(A2,'BSE ALL CAP'!$B$4:$Y$1038,10,)</f>
        <v>60</v>
      </c>
      <c r="L2" s="101">
        <f>VLOOKUP(A2,'BSE ALL CAP'!$B$4:$Y$1038,11,)</f>
        <v>1336</v>
      </c>
      <c r="M2" s="101">
        <f>VLOOKUP(A2,'BSE ALL CAP'!$B$4:$Y$1038,12,)</f>
        <v>979</v>
      </c>
      <c r="N2" s="101">
        <f>VLOOKUP(A2,'BSE ALL CAP'!$B$4:$Y$1038,13,)</f>
        <v>37</v>
      </c>
      <c r="O2" s="101">
        <f>VLOOKUP(A2,'BSE ALL CAP'!$B$4:$Y$1038,14,)</f>
        <v>18</v>
      </c>
      <c r="P2" s="95">
        <f>VLOOKUP(A2,'BSE ALL CAP'!$B$4:$Y$1038,15,)</f>
        <v>2.7277686852154936E-2</v>
      </c>
      <c r="Q2" s="95">
        <f>VLOOKUP(A2,'BSE ALL CAP'!$B$4:$Y$1038,16,)</f>
        <v>2.0208824520040417E-2</v>
      </c>
      <c r="R2" s="95">
        <f>VLOOKUP(A2,'BSE ALL CAP'!$B$4:$Y$1038,17,)</f>
        <v>7.0688623321145186E-3</v>
      </c>
      <c r="S2" s="95">
        <f>VLOOKUP(A2,'BSE ALL CAP'!$B$4:$Y$1038,18,)</f>
        <v>2.7694610778443114E-2</v>
      </c>
      <c r="T2" s="95">
        <f>VLOOKUP(A2,'BSE ALL CAP'!$B$4:$Y$1038,19,)</f>
        <v>1.8386108273748723E-2</v>
      </c>
      <c r="U2" s="95">
        <f>VLOOKUP(A2,'BSE ALL CAP'!$B$4:$Y$1038,20,)</f>
        <v>9.3085025046943902E-3</v>
      </c>
      <c r="V2" s="95">
        <f>VLOOKUP(A2,'BSE ALL CAP'!$B$4:$Y$1038,21,)</f>
        <v>0.23475917817446956</v>
      </c>
      <c r="W2" s="95">
        <f>VLOOKUP(A2,'BSE ALL CAP'!$B$4:$Y$1038,22,)</f>
        <v>0.66666666666666674</v>
      </c>
      <c r="X2" s="95">
        <f>VLOOKUP(A2,'BSE ALL CAP'!$B$4:$Y$1038,23,)</f>
        <v>0.36465781409601639</v>
      </c>
      <c r="Y2" s="95">
        <f>VLOOKUP(A2,'BSE ALL CAP'!$B$4:$Y$1038,24,)</f>
        <v>1.0555555555555554</v>
      </c>
    </row>
    <row r="3" spans="1:25" ht="15.75" customHeight="1">
      <c r="A3" s="99">
        <v>513307</v>
      </c>
      <c r="B3" s="98" t="s">
        <v>5626</v>
      </c>
      <c r="C3" s="174" t="str">
        <f>VLOOKUP(A3,'BSE ALL CAP'!$B$4:$Y$1034,2,)</f>
        <v>Industrials</v>
      </c>
      <c r="D3" s="174" t="str">
        <f>VLOOKUP(A3,'BSE ALL CAP'!$B$4:$Y$1034,3,)</f>
        <v>Aluminium, Copper &amp; Zinc Products</v>
      </c>
      <c r="E3" s="101">
        <f ca="1">IFERROR(__xludf.DUMMYFUNCTION("GOOGLEFINANCE(""BOM:""&amp;A3,""PRICE"")"),1560)</f>
        <v>1560</v>
      </c>
      <c r="F3" s="112">
        <f ca="1">IFERROR(__xludf.DUMMYFUNCTION("GOOGLEFINANCE(""BOM:""&amp;A3,""MARKETCAP"")/10000000"),2258.69904)</f>
        <v>2258.69904</v>
      </c>
      <c r="G3" s="95">
        <f t="shared" ca="1" si="0"/>
        <v>0.16788008323117842</v>
      </c>
      <c r="H3" s="101">
        <f>VLOOKUP(A3,'BSE ALL CAP'!$B$4:$Y$1038,7,)</f>
        <v>5</v>
      </c>
      <c r="I3" s="101">
        <f>VLOOKUP(A3,'BSE ALL CAP'!$B$4:$Y$1038,8,)</f>
        <v>17</v>
      </c>
      <c r="J3" s="101">
        <f>VLOOKUP(A3,'BSE ALL CAP'!$B$4:$Y$1038,9,)</f>
        <v>1</v>
      </c>
      <c r="K3" s="101">
        <f>VLOOKUP(A3,'BSE ALL CAP'!$B$4:$Y$1038,10,)</f>
        <v>0.36</v>
      </c>
      <c r="L3" s="101">
        <f>VLOOKUP(A3,'BSE ALL CAP'!$B$4:$Y$1038,11,)</f>
        <v>0</v>
      </c>
      <c r="M3" s="101">
        <f>VLOOKUP(A3,'BSE ALL CAP'!$B$4:$Y$1038,12,)</f>
        <v>5</v>
      </c>
      <c r="N3" s="101">
        <f>VLOOKUP(A3,'BSE ALL CAP'!$B$4:$Y$1038,13,)</f>
        <v>1</v>
      </c>
      <c r="O3" s="101">
        <f>VLOOKUP(A3,'BSE ALL CAP'!$B$4:$Y$1038,14,)</f>
        <v>0.3</v>
      </c>
      <c r="P3" s="95">
        <f>VLOOKUP(A3,'BSE ALL CAP'!$B$4:$Y$1038,15,)</f>
        <v>0.2</v>
      </c>
      <c r="Q3" s="95">
        <f>VLOOKUP(A3,'BSE ALL CAP'!$B$4:$Y$1038,16,)</f>
        <v>2.1176470588235293E-2</v>
      </c>
      <c r="R3" s="95">
        <f>VLOOKUP(A3,'BSE ALL CAP'!$B$4:$Y$1038,17,)</f>
        <v>0.17882352941176471</v>
      </c>
      <c r="S3" s="95" t="e">
        <f>VLOOKUP(A3,'BSE ALL CAP'!$B$4:$Y$1038,18,)</f>
        <v>#DIV/0!</v>
      </c>
      <c r="T3" s="95">
        <f>VLOOKUP(A3,'BSE ALL CAP'!$B$4:$Y$1038,19,)</f>
        <v>0.06</v>
      </c>
      <c r="U3" s="95" t="e">
        <f>VLOOKUP(A3,'BSE ALL CAP'!$B$4:$Y$1038,20,)</f>
        <v>#DIV/0!</v>
      </c>
      <c r="V3" s="95">
        <f>VLOOKUP(A3,'BSE ALL CAP'!$B$4:$Y$1038,21,)</f>
        <v>-0.70588235294117641</v>
      </c>
      <c r="W3" s="95">
        <f>VLOOKUP(A3,'BSE ALL CAP'!$B$4:$Y$1038,22,)</f>
        <v>1.7777777777777777</v>
      </c>
      <c r="X3" s="95">
        <f>VLOOKUP(A3,'BSE ALL CAP'!$B$4:$Y$1038,23,)</f>
        <v>-1</v>
      </c>
      <c r="Y3" s="95">
        <f>VLOOKUP(A3,'BSE ALL CAP'!$B$4:$Y$1038,24,)</f>
        <v>2.3333333333333335</v>
      </c>
    </row>
    <row r="4" spans="1:25" ht="15.75" customHeight="1">
      <c r="A4" s="99">
        <v>544664</v>
      </c>
      <c r="B4" s="98" t="s">
        <v>5627</v>
      </c>
      <c r="C4" s="174" t="str">
        <f>VLOOKUP(A4,'BSE ALL CAP'!$B$4:$Y$1034,2,)</f>
        <v>Industrials</v>
      </c>
      <c r="D4" s="174" t="str">
        <f>VLOOKUP(A4,'BSE ALL CAP'!$B$4:$Y$1034,3,)</f>
        <v>Aluminium, Copper &amp; Zinc Products</v>
      </c>
      <c r="E4" s="101">
        <f ca="1">IFERROR(__xludf.DUMMYFUNCTION("GOOGLEFINANCE(""BOM:""&amp;A4,""PRICE"")"),484.1)</f>
        <v>484.1</v>
      </c>
      <c r="F4" s="112">
        <f ca="1">IFERROR(__xludf.DUMMYFUNCTION("GOOGLEFINANCE(""BOM:""&amp;A4,""MARKETCAP"")/10000000"),3288.5229408)</f>
        <v>3288.5229408</v>
      </c>
      <c r="G4" s="95">
        <f t="shared" ca="1" si="0"/>
        <v>0.24442278286404356</v>
      </c>
      <c r="H4" s="101">
        <f>VLOOKUP(A4,'BSE ALL CAP'!$B$4:$Y$1038,7,)</f>
        <v>2089</v>
      </c>
      <c r="I4" s="101">
        <f>VLOOKUP(A4,'BSE ALL CAP'!$B$4:$Y$1038,8,)</f>
        <v>1420</v>
      </c>
      <c r="J4" s="101">
        <f>VLOOKUP(A4,'BSE ALL CAP'!$B$4:$Y$1038,9,)</f>
        <v>76</v>
      </c>
      <c r="K4" s="101">
        <f>VLOOKUP(A4,'BSE ALL CAP'!$B$4:$Y$1038,10,)</f>
        <v>50</v>
      </c>
      <c r="L4" s="101">
        <f>VLOOKUP(A4,'BSE ALL CAP'!$B$4:$Y$1038,11,)</f>
        <v>818</v>
      </c>
      <c r="M4" s="101">
        <f>VLOOKUP(A4,'BSE ALL CAP'!$B$4:$Y$1038,12,)</f>
        <v>516</v>
      </c>
      <c r="N4" s="101">
        <f>VLOOKUP(A4,'BSE ALL CAP'!$B$4:$Y$1038,13,)</f>
        <v>23</v>
      </c>
      <c r="O4" s="101">
        <f>VLOOKUP(A4,'BSE ALL CAP'!$B$4:$Y$1038,14,)</f>
        <v>26</v>
      </c>
      <c r="P4" s="95">
        <f>VLOOKUP(A4,'BSE ALL CAP'!$B$4:$Y$1038,15,)</f>
        <v>3.6381043561512685E-2</v>
      </c>
      <c r="Q4" s="95">
        <f>VLOOKUP(A4,'BSE ALL CAP'!$B$4:$Y$1038,16,)</f>
        <v>3.5211267605633804E-2</v>
      </c>
      <c r="R4" s="95">
        <f>VLOOKUP(A4,'BSE ALL CAP'!$B$4:$Y$1038,17,)</f>
        <v>1.1697759558788809E-3</v>
      </c>
      <c r="S4" s="95">
        <f>VLOOKUP(A4,'BSE ALL CAP'!$B$4:$Y$1038,18,)</f>
        <v>2.8117359413202935E-2</v>
      </c>
      <c r="T4" s="95">
        <f>VLOOKUP(A4,'BSE ALL CAP'!$B$4:$Y$1038,19,)</f>
        <v>5.0387596899224806E-2</v>
      </c>
      <c r="U4" s="95">
        <f>VLOOKUP(A4,'BSE ALL CAP'!$B$4:$Y$1038,20,)</f>
        <v>-2.227023748602187E-2</v>
      </c>
      <c r="V4" s="95">
        <f>VLOOKUP(A4,'BSE ALL CAP'!$B$4:$Y$1038,21,)</f>
        <v>0.47112676056338021</v>
      </c>
      <c r="W4" s="95">
        <f>VLOOKUP(A4,'BSE ALL CAP'!$B$4:$Y$1038,22,)</f>
        <v>0.52</v>
      </c>
      <c r="X4" s="95">
        <f>VLOOKUP(A4,'BSE ALL CAP'!$B$4:$Y$1038,23,)</f>
        <v>0.58527131782945729</v>
      </c>
      <c r="Y4" s="95">
        <f>VLOOKUP(A4,'BSE ALL CAP'!$B$4:$Y$1038,24,)</f>
        <v>-0.11538461538461542</v>
      </c>
    </row>
    <row r="5" spans="1:25" ht="15.75" customHeight="1">
      <c r="A5" s="99">
        <v>544633</v>
      </c>
      <c r="B5" s="98" t="s">
        <v>5628</v>
      </c>
      <c r="C5" s="174" t="str">
        <f>VLOOKUP(A5,'BSE ALL CAP'!$B$4:$Y$1034,2,)</f>
        <v>Industrials</v>
      </c>
      <c r="D5" s="174" t="str">
        <f>VLOOKUP(A5,'BSE ALL CAP'!$B$4:$Y$1034,3,)</f>
        <v>Aluminium, Copper &amp; Zinc Products</v>
      </c>
      <c r="E5" s="101">
        <f ca="1">IFERROR(__xludf.DUMMYFUNCTION("GOOGLEFINANCE(""BOM:""&amp;A5,""PRICE"")"),52.3)</f>
        <v>52.3</v>
      </c>
      <c r="F5" s="112">
        <f ca="1">IFERROR(__xludf.DUMMYFUNCTION("GOOGLEFINANCE(""BOM:""&amp;A5,""MARKETCAP"")/10000000"),1112.1680561)</f>
        <v>1112.1680561000001</v>
      </c>
      <c r="G5" s="95">
        <f t="shared" ca="1" si="0"/>
        <v>8.2663011989913424E-2</v>
      </c>
      <c r="H5" s="101">
        <f>VLOOKUP(A5,'BSE ALL CAP'!$B$4:$Y$1038,7,)</f>
        <v>1241</v>
      </c>
      <c r="I5" s="101">
        <f>VLOOKUP(A5,'BSE ALL CAP'!$B$4:$Y$1038,8,)</f>
        <v>1101</v>
      </c>
      <c r="J5" s="101">
        <f>VLOOKUP(A5,'BSE ALL CAP'!$B$4:$Y$1038,9,)</f>
        <v>38</v>
      </c>
      <c r="K5" s="101">
        <f>VLOOKUP(A5,'BSE ALL CAP'!$B$4:$Y$1038,10,)</f>
        <v>28</v>
      </c>
      <c r="L5" s="101">
        <f>VLOOKUP(A5,'BSE ALL CAP'!$B$4:$Y$1038,11,)</f>
        <v>448</v>
      </c>
      <c r="M5" s="101">
        <f>VLOOKUP(A5,'BSE ALL CAP'!$B$4:$Y$1038,12,)</f>
        <v>347</v>
      </c>
      <c r="N5" s="101">
        <f>VLOOKUP(A5,'BSE ALL CAP'!$B$4:$Y$1038,13,)</f>
        <v>15</v>
      </c>
      <c r="O5" s="101">
        <f>VLOOKUP(A5,'BSE ALL CAP'!$B$4:$Y$1038,14,)</f>
        <v>11</v>
      </c>
      <c r="P5" s="95">
        <f>VLOOKUP(A5,'BSE ALL CAP'!$B$4:$Y$1038,15,)</f>
        <v>3.0620467365028204E-2</v>
      </c>
      <c r="Q5" s="95">
        <f>VLOOKUP(A5,'BSE ALL CAP'!$B$4:$Y$1038,16,)</f>
        <v>2.5431425976385105E-2</v>
      </c>
      <c r="R5" s="95">
        <f>VLOOKUP(A5,'BSE ALL CAP'!$B$4:$Y$1038,17,)</f>
        <v>5.1890413886430987E-3</v>
      </c>
      <c r="S5" s="95">
        <f>VLOOKUP(A5,'BSE ALL CAP'!$B$4:$Y$1038,18,)</f>
        <v>3.3482142857142856E-2</v>
      </c>
      <c r="T5" s="95">
        <f>VLOOKUP(A5,'BSE ALL CAP'!$B$4:$Y$1038,19,)</f>
        <v>3.1700288184438041E-2</v>
      </c>
      <c r="U5" s="95">
        <f>VLOOKUP(A5,'BSE ALL CAP'!$B$4:$Y$1038,20,)</f>
        <v>1.7818546727048148E-3</v>
      </c>
      <c r="V5" s="95">
        <f>VLOOKUP(A5,'BSE ALL CAP'!$B$4:$Y$1038,21,)</f>
        <v>0.12715712988192562</v>
      </c>
      <c r="W5" s="95">
        <f>VLOOKUP(A5,'BSE ALL CAP'!$B$4:$Y$1038,22,)</f>
        <v>0.35714285714285721</v>
      </c>
      <c r="X5" s="95">
        <f>VLOOKUP(A5,'BSE ALL CAP'!$B$4:$Y$1038,23,)</f>
        <v>0.29106628242074928</v>
      </c>
      <c r="Y5" s="95">
        <f>VLOOKUP(A5,'BSE ALL CAP'!$B$4:$Y$1038,24,)</f>
        <v>0.36363636363636354</v>
      </c>
    </row>
    <row r="6" spans="1:25" ht="15.75" customHeight="1">
      <c r="A6" s="99">
        <v>544461</v>
      </c>
      <c r="B6" s="98" t="s">
        <v>5629</v>
      </c>
      <c r="C6" s="174" t="e">
        <f>VLOOKUP(A6,'BSE ALL CAP'!$B$4:$Y$1034,2,)</f>
        <v>#N/A</v>
      </c>
      <c r="D6" s="174" t="e">
        <f>VLOOKUP(A6,'BSE ALL CAP'!$B$4:$Y$1034,3,)</f>
        <v>#N/A</v>
      </c>
      <c r="E6" s="101">
        <f ca="1">IFERROR(__xludf.DUMMYFUNCTION("GOOGLEFINANCE(""BOM:""&amp;A6,""PRICE"")"),150)</f>
        <v>150</v>
      </c>
      <c r="F6" s="112">
        <f ca="1">IFERROR(__xludf.DUMMYFUNCTION("GOOGLEFINANCE(""BOM:""&amp;A6,""MARKETCAP"")/10000000"),367.4755134)</f>
        <v>367.47551340000001</v>
      </c>
      <c r="G6" s="95">
        <f t="shared" ca="1" si="0"/>
        <v>2.7312987999947098E-2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544330</v>
      </c>
      <c r="B7" s="98" t="s">
        <v>5630</v>
      </c>
      <c r="C7" s="174" t="e">
        <f>VLOOKUP(A7,'BSE ALL CAP'!$B$4:$Y$1034,2,)</f>
        <v>#N/A</v>
      </c>
      <c r="D7" s="174" t="e">
        <f>VLOOKUP(A7,'BSE ALL CAP'!$B$4:$Y$1034,3,)</f>
        <v>#N/A</v>
      </c>
      <c r="E7" s="101">
        <f ca="1">IFERROR(__xludf.DUMMYFUNCTION("GOOGLEFINANCE(""BOM:""&amp;A7,""PRICE"")"),133)</f>
        <v>133</v>
      </c>
      <c r="F7" s="112">
        <f ca="1">IFERROR(__xludf.DUMMYFUNCTION("GOOGLEFINANCE(""BOM:""&amp;A7,""MARKETCAP"")/10000000"),203.5698)</f>
        <v>203.56979999999999</v>
      </c>
      <c r="G7" s="95">
        <f t="shared" ca="1" si="0"/>
        <v>1.51305306117075E-2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513502</v>
      </c>
      <c r="B8" s="98" t="s">
        <v>5631</v>
      </c>
      <c r="C8" s="174" t="e">
        <f>VLOOKUP(A8,'BSE ALL CAP'!$B$4:$Y$1034,2,)</f>
        <v>#N/A</v>
      </c>
      <c r="D8" s="174" t="e">
        <f>VLOOKUP(A8,'BSE ALL CAP'!$B$4:$Y$1034,3,)</f>
        <v>#N/A</v>
      </c>
      <c r="E8" s="101">
        <f ca="1">IFERROR(__xludf.DUMMYFUNCTION("GOOGLEFINANCE(""BOM:""&amp;A8,""PRICE"")"),8.29)</f>
        <v>8.2899999999999991</v>
      </c>
      <c r="F8" s="112">
        <f ca="1">IFERROR(__xludf.DUMMYFUNCTION("GOOGLEFINANCE(""BOM:""&amp;A8,""MARKETCAP"")/10000000"),161.142843)</f>
        <v>161.142843</v>
      </c>
      <c r="G8" s="95">
        <f t="shared" ca="1" si="0"/>
        <v>1.1977104260401474E-2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500083</v>
      </c>
      <c r="B9" s="98" t="s">
        <v>5632</v>
      </c>
      <c r="C9" s="174" t="e">
        <f>VLOOKUP(A9,'BSE ALL CAP'!$B$4:$Y$1034,2,)</f>
        <v>#N/A</v>
      </c>
      <c r="D9" s="174" t="e">
        <f>VLOOKUP(A9,'BSE ALL CAP'!$B$4:$Y$1034,3,)</f>
        <v>#N/A</v>
      </c>
      <c r="E9" s="101">
        <f ca="1">IFERROR(__xludf.DUMMYFUNCTION("GOOGLEFINANCE(""BOM:""&amp;A9,""PRICE"")"),18.53)</f>
        <v>18.53</v>
      </c>
      <c r="F9" s="112">
        <f ca="1">IFERROR(__xludf.DUMMYFUNCTION("GOOGLEFINANCE(""BOM:""&amp;A9,""MARKETCAP"")/10000000"),147.2799987)</f>
        <v>147.27999869999999</v>
      </c>
      <c r="G9" s="95">
        <f t="shared" ca="1" si="0"/>
        <v>1.0946734382126381E-2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526027</v>
      </c>
      <c r="B10" s="98" t="s">
        <v>5633</v>
      </c>
      <c r="C10" s="174" t="e">
        <f>VLOOKUP(A10,'BSE ALL CAP'!$B$4:$Y$1034,2,)</f>
        <v>#N/A</v>
      </c>
      <c r="D10" s="174" t="e">
        <f>VLOOKUP(A10,'BSE ALL CAP'!$B$4:$Y$1034,3,)</f>
        <v>#N/A</v>
      </c>
      <c r="E10" s="101">
        <f ca="1">IFERROR(__xludf.DUMMYFUNCTION("GOOGLEFINANCE(""BOM:""&amp;A10,""PRICE"")"),84.91)</f>
        <v>84.91</v>
      </c>
      <c r="F10" s="112">
        <f ca="1">IFERROR(__xludf.DUMMYFUNCTION("GOOGLEFINANCE(""BOM:""&amp;A10,""MARKETCAP"")/10000000"),121.8401104)</f>
        <v>121.8401104</v>
      </c>
      <c r="G10" s="95">
        <f t="shared" ca="1" si="0"/>
        <v>9.0558890372787193E-3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544506</v>
      </c>
      <c r="B11" s="98" t="s">
        <v>5634</v>
      </c>
      <c r="C11" s="174" t="e">
        <f>VLOOKUP(A11,'BSE ALL CAP'!$B$4:$Y$1034,2,)</f>
        <v>#N/A</v>
      </c>
      <c r="D11" s="174" t="e">
        <f>VLOOKUP(A11,'BSE ALL CAP'!$B$4:$Y$1034,3,)</f>
        <v>#N/A</v>
      </c>
      <c r="E11" s="101">
        <f ca="1">IFERROR(__xludf.DUMMYFUNCTION("GOOGLEFINANCE(""BOM:""&amp;A11,""PRICE"")"),99)</f>
        <v>99</v>
      </c>
      <c r="F11" s="112">
        <f ca="1">IFERROR(__xludf.DUMMYFUNCTION("GOOGLEFINANCE(""BOM:""&amp;A11,""MARKETCAP"")/10000000"),99.297)</f>
        <v>99.296999999999997</v>
      </c>
      <c r="G11" s="95">
        <f t="shared" ca="1" si="0"/>
        <v>7.3803496302040864E-3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513709</v>
      </c>
      <c r="B12" s="98" t="s">
        <v>5635</v>
      </c>
      <c r="C12" s="174" t="e">
        <f>VLOOKUP(A12,'BSE ALL CAP'!$B$4:$Y$1034,2,)</f>
        <v>#N/A</v>
      </c>
      <c r="D12" s="174" t="e">
        <f>VLOOKUP(A12,'BSE ALL CAP'!$B$4:$Y$1034,3,)</f>
        <v>#N/A</v>
      </c>
      <c r="E12" s="101">
        <f ca="1">IFERROR(__xludf.DUMMYFUNCTION("GOOGLEFINANCE(""BOM:""&amp;A12,""PRICE"")"),160)</f>
        <v>160</v>
      </c>
      <c r="F12" s="112">
        <f ca="1">IFERROR(__xludf.DUMMYFUNCTION("GOOGLEFINANCE(""BOM:""&amp;A12,""MARKETCAP"")/10000000"),98.3968)</f>
        <v>98.396799999999999</v>
      </c>
      <c r="G12" s="95">
        <f t="shared" ca="1" si="0"/>
        <v>7.3134413576771244E-3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544520</v>
      </c>
      <c r="B13" s="98" t="s">
        <v>5636</v>
      </c>
      <c r="C13" s="174" t="e">
        <f>VLOOKUP(A13,'BSE ALL CAP'!$B$4:$Y$1034,2,)</f>
        <v>#N/A</v>
      </c>
      <c r="D13" s="174" t="e">
        <f>VLOOKUP(A13,'BSE ALL CAP'!$B$4:$Y$1034,3,)</f>
        <v>#N/A</v>
      </c>
      <c r="E13" s="101">
        <f ca="1">IFERROR(__xludf.DUMMYFUNCTION("GOOGLEFINANCE(""BOM:""&amp;A13,""PRICE"")"),37.42)</f>
        <v>37.42</v>
      </c>
      <c r="F13" s="112">
        <f ca="1">IFERROR(__xludf.DUMMYFUNCTION("GOOGLEFINANCE(""BOM:""&amp;A13,""MARKETCAP"")/10000000"),31.7362671)</f>
        <v>31.736267099999999</v>
      </c>
      <c r="G13" s="95">
        <f t="shared" ca="1" si="0"/>
        <v>2.3588300467843248E-3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530133</v>
      </c>
      <c r="B14" s="98" t="s">
        <v>5637</v>
      </c>
      <c r="C14" s="174" t="e">
        <f>VLOOKUP(A14,'BSE ALL CAP'!$B$4:$Y$1034,2,)</f>
        <v>#N/A</v>
      </c>
      <c r="D14" s="174" t="e">
        <f>VLOOKUP(A14,'BSE ALL CAP'!$B$4:$Y$1034,3,)</f>
        <v>#N/A</v>
      </c>
      <c r="E14" s="101">
        <f ca="1">IFERROR(__xludf.DUMMYFUNCTION("GOOGLEFINANCE(""BOM:""&amp;A14,""PRICE"")"),67.95)</f>
        <v>67.95</v>
      </c>
      <c r="F14" s="112">
        <f ca="1">IFERROR(__xludf.DUMMYFUNCTION("GOOGLEFINANCE(""BOM:""&amp;A14,""MARKETCAP"")/10000000"),27.92745)</f>
        <v>27.92745</v>
      </c>
      <c r="G14" s="95">
        <f t="shared" ca="1" si="0"/>
        <v>2.0757358760087729E-3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508922</v>
      </c>
      <c r="B15" s="98" t="s">
        <v>5638</v>
      </c>
      <c r="C15" s="174" t="e">
        <f>VLOOKUP(A15,'BSE ALL CAP'!$B$4:$Y$1034,2,)</f>
        <v>#N/A</v>
      </c>
      <c r="D15" s="174" t="e">
        <f>VLOOKUP(A15,'BSE ALL CAP'!$B$4:$Y$1034,3,)</f>
        <v>#N/A</v>
      </c>
      <c r="E15" s="101">
        <f ca="1">IFERROR(__xludf.DUMMYFUNCTION("GOOGLEFINANCE(""BOM:""&amp;A15,""PRICE"")"),5.15)</f>
        <v>5.15</v>
      </c>
      <c r="F15" s="112">
        <f ca="1">IFERROR(__xludf.DUMMYFUNCTION("GOOGLEFINANCE(""BOM:""&amp;A15,""MARKETCAP"")/10000000"),32.3832005)</f>
        <v>32.383200500000001</v>
      </c>
      <c r="G15" s="95">
        <f t="shared" ca="1" si="0"/>
        <v>2.4069140239382841E-3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544509</v>
      </c>
      <c r="B16" s="98" t="s">
        <v>5639</v>
      </c>
      <c r="C16" s="174" t="e">
        <f>VLOOKUP(A16,'BSE ALL CAP'!$B$4:$Y$1034,2,)</f>
        <v>#N/A</v>
      </c>
      <c r="D16" s="174" t="e">
        <f>VLOOKUP(A16,'BSE ALL CAP'!$B$4:$Y$1034,3,)</f>
        <v>#N/A</v>
      </c>
      <c r="E16" s="101">
        <f ca="1">IFERROR(__xludf.DUMMYFUNCTION("GOOGLEFINANCE(""BOM:""&amp;A16,""PRICE"")"),25.52)</f>
        <v>25.52</v>
      </c>
      <c r="F16" s="112">
        <f ca="1">IFERROR(__xludf.DUMMYFUNCTION("GOOGLEFINANCE(""BOM:""&amp;A16,""MARKETCAP"")/10000000"),14.9853442)</f>
        <v>14.9853442</v>
      </c>
      <c r="G16" s="95">
        <f t="shared" ca="1" si="0"/>
        <v>1.1138008149788106E-3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544559</v>
      </c>
      <c r="B17" s="98" t="s">
        <v>5640</v>
      </c>
      <c r="C17" s="174" t="e">
        <f>VLOOKUP(A17,'BSE ALL CAP'!$B$4:$Y$1034,2,)</f>
        <v>#N/A</v>
      </c>
      <c r="D17" s="174" t="e">
        <f>VLOOKUP(A17,'BSE ALL CAP'!$B$4:$Y$1034,3,)</f>
        <v>#N/A</v>
      </c>
      <c r="E17" s="101">
        <f ca="1">IFERROR(__xludf.DUMMYFUNCTION("GOOGLEFINANCE(""BOM:""&amp;A17,""PRICE"")"),17.5)</f>
        <v>17.5</v>
      </c>
      <c r="F17" s="112">
        <f ca="1">IFERROR(__xludf.DUMMYFUNCTION("GOOGLEFINANCE(""BOM:""&amp;A17,""MARKETCAP"")/10000000"),13.71968)</f>
        <v>13.71968</v>
      </c>
      <c r="G17" s="95">
        <f t="shared" ca="1" si="0"/>
        <v>1.0197290473480407E-3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>
      <c r="A18" s="101"/>
      <c r="B18" s="101"/>
      <c r="C18" s="101"/>
      <c r="D18" s="101"/>
      <c r="E18" s="101"/>
      <c r="F18" s="101"/>
      <c r="G18" s="95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>
      <c r="A19" s="101"/>
      <c r="B19" s="101"/>
      <c r="C19" s="101"/>
      <c r="D19" s="101"/>
      <c r="E19" s="101"/>
      <c r="F19" s="112">
        <f ca="1">SUM(F2:F17)</f>
        <v>13454.240649199999</v>
      </c>
      <c r="G19" s="95">
        <f ca="1">F19/$F$19</f>
        <v>1</v>
      </c>
      <c r="H19" s="101">
        <f t="shared" ref="H19:O19" si="1">SUM(H2:H17)</f>
        <v>7001</v>
      </c>
      <c r="I19" s="101">
        <f t="shared" si="1"/>
        <v>5507</v>
      </c>
      <c r="J19" s="101">
        <f t="shared" si="1"/>
        <v>215</v>
      </c>
      <c r="K19" s="101">
        <f t="shared" si="1"/>
        <v>138.36000000000001</v>
      </c>
      <c r="L19" s="101">
        <f t="shared" si="1"/>
        <v>2602</v>
      </c>
      <c r="M19" s="101">
        <f t="shared" si="1"/>
        <v>1847</v>
      </c>
      <c r="N19" s="101">
        <f t="shared" si="1"/>
        <v>76</v>
      </c>
      <c r="O19" s="101">
        <f t="shared" si="1"/>
        <v>55.3</v>
      </c>
      <c r="P19" s="13">
        <f t="shared" ref="P19:Q19" si="2">J19/H19</f>
        <v>3.0709898585916297E-2</v>
      </c>
      <c r="Q19" s="13">
        <f t="shared" si="2"/>
        <v>2.5124387143635376E-2</v>
      </c>
      <c r="R19" s="13">
        <f>P19-Q19</f>
        <v>5.5855114422809216E-3</v>
      </c>
      <c r="S19" s="13">
        <f t="shared" ref="S19:T19" si="3">N19/L19</f>
        <v>2.9208301306687164E-2</v>
      </c>
      <c r="T19" s="13">
        <f t="shared" si="3"/>
        <v>2.994044396318354E-2</v>
      </c>
      <c r="U19" s="13">
        <f>S19-T19</f>
        <v>-7.3214265649637622E-4</v>
      </c>
      <c r="V19" s="13">
        <f>(H19/I19)-1</f>
        <v>0.27129108407481395</v>
      </c>
      <c r="W19" s="13">
        <f>(J19/K19)-1</f>
        <v>0.55391731714368309</v>
      </c>
      <c r="X19" s="13">
        <f>(L19/M19)-1</f>
        <v>0.40877097996751499</v>
      </c>
      <c r="Y19" s="13">
        <f>(N19/O19)-1</f>
        <v>0.3743218806509947</v>
      </c>
    </row>
  </sheetData>
  <autoFilter ref="A1:Y17" xr:uid="{00000000-0009-0000-0000-0000B4000000}"/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outlinePr summaryBelow="0" summaryRight="0"/>
  </sheetPr>
  <dimension ref="A1:Y9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538268</v>
      </c>
      <c r="B2" s="98" t="s">
        <v>1512</v>
      </c>
      <c r="C2" s="174" t="str">
        <f>VLOOKUP(A2,'BSE ALL CAP'!$B$4:$Y$1034,2,)</f>
        <v>Consumer Discretionary</v>
      </c>
      <c r="D2" s="174" t="str">
        <f>VLOOKUP(A2,'BSE ALL CAP'!$B$4:$Y$1034,3,)</f>
        <v>Amusement Parks/ Other Recreation</v>
      </c>
      <c r="E2" s="101">
        <f ca="1">IFERROR(__xludf.DUMMYFUNCTION("GOOGLEFINANCE(""BOM:""&amp;A2,""PRICE"")"),521.25)</f>
        <v>521.25</v>
      </c>
      <c r="F2" s="112">
        <f ca="1">IFERROR(__xludf.DUMMYFUNCTION("GOOGLEFINANCE(""BOM:""&amp;A2,""MARKETCAP"")/10000000"),3295.0051805)</f>
        <v>3295.0051804999998</v>
      </c>
      <c r="G2" s="95">
        <f t="shared" ref="G2:G7" ca="1" si="0">F2/$F$9</f>
        <v>0.43963607505310887</v>
      </c>
      <c r="H2" s="101">
        <f>VLOOKUP(A2,'BSE ALL CAP'!$B$4:$Y$1038,7,)</f>
        <v>3829</v>
      </c>
      <c r="I2" s="101">
        <f>VLOOKUP(A2,'BSE ALL CAP'!$B$4:$Y$1038,8,)</f>
        <v>3617</v>
      </c>
      <c r="J2" s="101">
        <f>VLOOKUP(A2,'BSE ALL CAP'!$B$4:$Y$1038,9,)</f>
        <v>65</v>
      </c>
      <c r="K2" s="101">
        <f>VLOOKUP(A2,'BSE ALL CAP'!$B$4:$Y$1038,10,)</f>
        <v>98</v>
      </c>
      <c r="L2" s="101">
        <f>VLOOKUP(A2,'BSE ALL CAP'!$B$4:$Y$1038,11,)</f>
        <v>1345</v>
      </c>
      <c r="M2" s="101">
        <f>VLOOKUP(A2,'BSE ALL CAP'!$B$4:$Y$1038,12,)</f>
        <v>1215</v>
      </c>
      <c r="N2" s="101">
        <f>VLOOKUP(A2,'BSE ALL CAP'!$B$4:$Y$1038,13,)</f>
        <v>14</v>
      </c>
      <c r="O2" s="101">
        <f>VLOOKUP(A2,'BSE ALL CAP'!$B$4:$Y$1038,14,)</f>
        <v>20</v>
      </c>
      <c r="P2" s="95">
        <f>VLOOKUP(A2,'BSE ALL CAP'!$B$4:$Y$1038,15,)</f>
        <v>1.6975711674066335E-2</v>
      </c>
      <c r="Q2" s="95">
        <f>VLOOKUP(A2,'BSE ALL CAP'!$B$4:$Y$1038,16,)</f>
        <v>2.7094277025158972E-2</v>
      </c>
      <c r="R2" s="95">
        <f>VLOOKUP(A2,'BSE ALL CAP'!$B$4:$Y$1038,17,)</f>
        <v>-1.0118565351092637E-2</v>
      </c>
      <c r="S2" s="95">
        <f>VLOOKUP(A2,'BSE ALL CAP'!$B$4:$Y$1038,18,)</f>
        <v>1.0408921933085501E-2</v>
      </c>
      <c r="T2" s="95">
        <f>VLOOKUP(A2,'BSE ALL CAP'!$B$4:$Y$1038,19,)</f>
        <v>1.646090534979424E-2</v>
      </c>
      <c r="U2" s="95">
        <f>VLOOKUP(A2,'BSE ALL CAP'!$B$4:$Y$1038,20,)</f>
        <v>-6.0519834167087391E-3</v>
      </c>
      <c r="V2" s="95">
        <f>VLOOKUP(A2,'BSE ALL CAP'!$B$4:$Y$1038,21,)</f>
        <v>5.8612109482996999E-2</v>
      </c>
      <c r="W2" s="95">
        <f>VLOOKUP(A2,'BSE ALL CAP'!$B$4:$Y$1038,22,)</f>
        <v>-0.33673469387755106</v>
      </c>
      <c r="X2" s="95">
        <f>VLOOKUP(A2,'BSE ALL CAP'!$B$4:$Y$1038,23,)</f>
        <v>0.10699588477366251</v>
      </c>
      <c r="Y2" s="95">
        <f>VLOOKUP(A2,'BSE ALL CAP'!$B$4:$Y$1038,24,)</f>
        <v>-0.30000000000000004</v>
      </c>
    </row>
    <row r="3" spans="1:25" ht="15.75" customHeight="1">
      <c r="A3" s="99">
        <v>539056</v>
      </c>
      <c r="B3" s="98" t="s">
        <v>5641</v>
      </c>
      <c r="C3" s="174" t="str">
        <f>VLOOKUP(A3,'BSE ALL CAP'!$B$4:$Y$1034,2,)</f>
        <v>Consumer Discretionary</v>
      </c>
      <c r="D3" s="174" t="str">
        <f>VLOOKUP(A3,'BSE ALL CAP'!$B$4:$Y$1034,3,)</f>
        <v>Amusement Parks/ Other Recreation</v>
      </c>
      <c r="E3" s="101">
        <f ca="1">IFERROR(__xludf.DUMMYFUNCTION("GOOGLEFINANCE(""BOM:""&amp;A3,""PRICE"")"),42.35)</f>
        <v>42.35</v>
      </c>
      <c r="F3" s="112">
        <f ca="1">IFERROR(__xludf.DUMMYFUNCTION("GOOGLEFINANCE(""BOM:""&amp;A3,""MARKETCAP"")/10000000"),2357.945)</f>
        <v>2357.9450000000002</v>
      </c>
      <c r="G3" s="95">
        <f t="shared" ca="1" si="0"/>
        <v>0.31460881795451334</v>
      </c>
      <c r="H3" s="101">
        <f>VLOOKUP(A3,'BSE ALL CAP'!$B$4:$Y$1038,7,)</f>
        <v>281</v>
      </c>
      <c r="I3" s="101">
        <f>VLOOKUP(A3,'BSE ALL CAP'!$B$4:$Y$1038,8,)</f>
        <v>315</v>
      </c>
      <c r="J3" s="101">
        <f>VLOOKUP(A3,'BSE ALL CAP'!$B$4:$Y$1038,9,)</f>
        <v>0.95</v>
      </c>
      <c r="K3" s="101">
        <f>VLOOKUP(A3,'BSE ALL CAP'!$B$4:$Y$1038,10,)</f>
        <v>62</v>
      </c>
      <c r="L3" s="101">
        <f>VLOOKUP(A3,'BSE ALL CAP'!$B$4:$Y$1038,11,)</f>
        <v>92</v>
      </c>
      <c r="M3" s="101">
        <f>VLOOKUP(A3,'BSE ALL CAP'!$B$4:$Y$1038,12,)</f>
        <v>91</v>
      </c>
      <c r="N3" s="101">
        <f>VLOOKUP(A3,'BSE ALL CAP'!$B$4:$Y$1038,13,)</f>
        <v>-5</v>
      </c>
      <c r="O3" s="101">
        <f>VLOOKUP(A3,'BSE ALL CAP'!$B$4:$Y$1038,14,)</f>
        <v>3</v>
      </c>
      <c r="P3" s="95">
        <f>VLOOKUP(A3,'BSE ALL CAP'!$B$4:$Y$1038,15,)</f>
        <v>3.3807829181494659E-3</v>
      </c>
      <c r="Q3" s="95">
        <f>VLOOKUP(A3,'BSE ALL CAP'!$B$4:$Y$1038,16,)</f>
        <v>0.19682539682539682</v>
      </c>
      <c r="R3" s="95">
        <f>VLOOKUP(A3,'BSE ALL CAP'!$B$4:$Y$1038,17,)</f>
        <v>-0.19344461390724735</v>
      </c>
      <c r="S3" s="95">
        <f>VLOOKUP(A3,'BSE ALL CAP'!$B$4:$Y$1038,18,)</f>
        <v>-5.434782608695652E-2</v>
      </c>
      <c r="T3" s="95">
        <f>VLOOKUP(A3,'BSE ALL CAP'!$B$4:$Y$1038,19,)</f>
        <v>3.2967032967032968E-2</v>
      </c>
      <c r="U3" s="95">
        <f>VLOOKUP(A3,'BSE ALL CAP'!$B$4:$Y$1038,20,)</f>
        <v>-8.7314859053989488E-2</v>
      </c>
      <c r="V3" s="95">
        <f>VLOOKUP(A3,'BSE ALL CAP'!$B$4:$Y$1038,21,)</f>
        <v>-0.10793650793650789</v>
      </c>
      <c r="W3" s="95">
        <f>VLOOKUP(A3,'BSE ALL CAP'!$B$4:$Y$1038,22,)</f>
        <v>-0.98467741935483866</v>
      </c>
      <c r="X3" s="95">
        <f>VLOOKUP(A3,'BSE ALL CAP'!$B$4:$Y$1038,23,)</f>
        <v>1.098901098901095E-2</v>
      </c>
      <c r="Y3" s="95">
        <f>VLOOKUP(A3,'BSE ALL CAP'!$B$4:$Y$1038,24,)</f>
        <v>-2.666666666666667</v>
      </c>
    </row>
    <row r="4" spans="1:25" ht="15.75" customHeight="1">
      <c r="A4" s="99">
        <v>532848</v>
      </c>
      <c r="B4" s="98" t="s">
        <v>5642</v>
      </c>
      <c r="C4" s="174" t="e">
        <f>VLOOKUP(A4,'BSE ALL CAP'!$B$4:$Y$1034,2,)</f>
        <v>#N/A</v>
      </c>
      <c r="D4" s="174" t="e">
        <f>VLOOKUP(A4,'BSE ALL CAP'!$B$4:$Y$1034,3,)</f>
        <v>#N/A</v>
      </c>
      <c r="E4" s="101">
        <f ca="1">IFERROR(__xludf.DUMMYFUNCTION("GOOGLEFINANCE(""BOM:""&amp;A4,""PRICE"")"),55.4)</f>
        <v>55.4</v>
      </c>
      <c r="F4" s="112">
        <f ca="1">IFERROR(__xludf.DUMMYFUNCTION("GOOGLEFINANCE(""BOM:""&amp;A4,""MARKETCAP"")/10000000"),1491.204057)</f>
        <v>1491.2040569999999</v>
      </c>
      <c r="G4" s="95">
        <f t="shared" ca="1" si="0"/>
        <v>0.19896390530811564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526721</v>
      </c>
      <c r="B5" s="98" t="s">
        <v>5643</v>
      </c>
      <c r="C5" s="174"/>
      <c r="D5" s="174"/>
      <c r="E5" s="101">
        <f ca="1">IFERROR(__xludf.DUMMYFUNCTION("GOOGLEFINANCE(""BOM:""&amp;A5,""PRICE"")"),67.55)</f>
        <v>67.55</v>
      </c>
      <c r="F5" s="112">
        <f ca="1">IFERROR(__xludf.DUMMYFUNCTION("GOOGLEFINANCE(""BOM:""&amp;A5,""MARKETCAP"")/10000000"),316.1340142)</f>
        <v>316.13401420000002</v>
      </c>
      <c r="G5" s="95">
        <f t="shared" ca="1" si="0"/>
        <v>4.2180181693244473E-2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526628</v>
      </c>
      <c r="B6" s="98" t="s">
        <v>5644</v>
      </c>
      <c r="C6" s="174"/>
      <c r="D6" s="174"/>
      <c r="E6" s="101">
        <f ca="1">IFERROR(__xludf.DUMMYFUNCTION("GOOGLEFINANCE(""BOM:""&amp;A6,""PRICE"")"),47.51)</f>
        <v>47.51</v>
      </c>
      <c r="F6" s="112">
        <f ca="1">IFERROR(__xludf.DUMMYFUNCTION("GOOGLEFINANCE(""BOM:""&amp;A6,""MARKETCAP"")/10000000"),30.35889)</f>
        <v>30.358889999999999</v>
      </c>
      <c r="G6" s="95">
        <f t="shared" ca="1" si="0"/>
        <v>4.0506349797434183E-3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538731</v>
      </c>
      <c r="B7" s="98" t="s">
        <v>5645</v>
      </c>
      <c r="C7" s="174"/>
      <c r="D7" s="174"/>
      <c r="E7" s="101">
        <f ca="1">IFERROR(__xludf.DUMMYFUNCTION("GOOGLEFINANCE(""BOM:""&amp;A7,""PRICE"")"),4)</f>
        <v>4</v>
      </c>
      <c r="F7" s="112">
        <f ca="1">IFERROR(__xludf.DUMMYFUNCTION("GOOGLEFINANCE(""BOM:""&amp;A7,""MARKETCAP"")/10000000"),4.2)</f>
        <v>4.2</v>
      </c>
      <c r="G7" s="95">
        <f t="shared" ca="1" si="0"/>
        <v>5.6038501127420536E-4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01"/>
      <c r="G8" s="95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A9" s="101"/>
      <c r="B9" s="101"/>
      <c r="C9" s="101"/>
      <c r="D9" s="101"/>
      <c r="E9" s="101"/>
      <c r="F9" s="112">
        <f ca="1">SUM(F2:F7)</f>
        <v>7494.8471417000001</v>
      </c>
      <c r="G9" s="95">
        <f ca="1">F9/$F$9</f>
        <v>1</v>
      </c>
      <c r="H9" s="101">
        <f t="shared" ref="H9:O9" si="1">SUM(H2:H7)</f>
        <v>4110</v>
      </c>
      <c r="I9" s="101">
        <f t="shared" si="1"/>
        <v>3932</v>
      </c>
      <c r="J9" s="101">
        <f t="shared" si="1"/>
        <v>65.95</v>
      </c>
      <c r="K9" s="101">
        <f t="shared" si="1"/>
        <v>160</v>
      </c>
      <c r="L9" s="101">
        <f t="shared" si="1"/>
        <v>1437</v>
      </c>
      <c r="M9" s="101">
        <f t="shared" si="1"/>
        <v>1306</v>
      </c>
      <c r="N9" s="101">
        <f t="shared" si="1"/>
        <v>9</v>
      </c>
      <c r="O9" s="101">
        <f t="shared" si="1"/>
        <v>23</v>
      </c>
      <c r="P9" s="13">
        <f t="shared" ref="P9:Q9" si="2">J9/H9</f>
        <v>1.6046228710462289E-2</v>
      </c>
      <c r="Q9" s="13">
        <f t="shared" si="2"/>
        <v>4.0691759918616482E-2</v>
      </c>
      <c r="R9" s="13">
        <f>P9-Q9</f>
        <v>-2.4645531208154194E-2</v>
      </c>
      <c r="S9" s="13">
        <f t="shared" ref="S9:T9" si="3">N9/L9</f>
        <v>6.2630480167014616E-3</v>
      </c>
      <c r="T9" s="13">
        <f t="shared" si="3"/>
        <v>1.761102603369066E-2</v>
      </c>
      <c r="U9" s="13">
        <f>S9-T9</f>
        <v>-1.1347978016989198E-2</v>
      </c>
      <c r="V9" s="13">
        <f>(H9/I9)-1</f>
        <v>4.5269582909460926E-2</v>
      </c>
      <c r="W9" s="13">
        <f>(J9/K9)-1</f>
        <v>-0.58781249999999996</v>
      </c>
      <c r="X9" s="13">
        <f>(L9/M9)-1</f>
        <v>0.10030627871362929</v>
      </c>
      <c r="Y9" s="13">
        <f>(N9/O9)-1</f>
        <v>-0.60869565217391308</v>
      </c>
    </row>
  </sheetData>
  <autoFilter ref="A1:Y7" xr:uid="{00000000-0009-0000-0000-0000B5000000}"/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outlinePr summaryBelow="0" summaryRight="0"/>
  </sheetPr>
  <dimension ref="A1:Y1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512573</v>
      </c>
      <c r="B2" s="98" t="s">
        <v>5646</v>
      </c>
      <c r="C2" s="174" t="str">
        <f>VLOOKUP(A2,'BSE ALL CAP'!$B$4:$Y$1034,2,)</f>
        <v>Fast Moving Consumer Goods</v>
      </c>
      <c r="D2" s="174" t="str">
        <f>VLOOKUP(A2,'BSE ALL CAP'!$B$4:$Y$1034,3,)</f>
        <v>Animal Feed</v>
      </c>
      <c r="E2" s="101">
        <f ca="1">IFERROR(__xludf.DUMMYFUNCTION("GOOGLEFINANCE(""BOM:""&amp;A2,""PRICE"")"),1240.9)</f>
        <v>1240.9000000000001</v>
      </c>
      <c r="F2" s="112">
        <f ca="1">IFERROR(__xludf.DUMMYFUNCTION("GOOGLEFINANCE(""BOM:""&amp;A2,""MARKETCAP"")/10000000"),16880.82984)</f>
        <v>16880.829839999999</v>
      </c>
      <c r="G2" s="95">
        <f t="shared" ref="G2:G8" ca="1" si="0">F2/$F$10</f>
        <v>0.57127578979648497</v>
      </c>
      <c r="H2" s="101">
        <f>VLOOKUP(A2,'BSE ALL CAP'!$B$4:$Y$1038,7,)</f>
        <v>4598</v>
      </c>
      <c r="I2" s="101">
        <f>VLOOKUP(A2,'BSE ALL CAP'!$B$4:$Y$1038,8,)</f>
        <v>4225</v>
      </c>
      <c r="J2" s="101">
        <f>VLOOKUP(A2,'BSE ALL CAP'!$B$4:$Y$1038,9,)</f>
        <v>517</v>
      </c>
      <c r="K2" s="101">
        <f>VLOOKUP(A2,'BSE ALL CAP'!$B$4:$Y$1038,10,)</f>
        <v>399</v>
      </c>
      <c r="L2" s="101">
        <f>VLOOKUP(A2,'BSE ALL CAP'!$B$4:$Y$1038,11,)</f>
        <v>1383</v>
      </c>
      <c r="M2" s="101">
        <f>VLOOKUP(A2,'BSE ALL CAP'!$B$4:$Y$1038,12,)</f>
        <v>1365</v>
      </c>
      <c r="N2" s="101">
        <f>VLOOKUP(A2,'BSE ALL CAP'!$B$4:$Y$1038,13,)</f>
        <v>163</v>
      </c>
      <c r="O2" s="101">
        <f>VLOOKUP(A2,'BSE ALL CAP'!$B$4:$Y$1038,14,)</f>
        <v>141</v>
      </c>
      <c r="P2" s="95">
        <f>VLOOKUP(A2,'BSE ALL CAP'!$B$4:$Y$1038,15,)</f>
        <v>0.11244019138755981</v>
      </c>
      <c r="Q2" s="95">
        <f>VLOOKUP(A2,'BSE ALL CAP'!$B$4:$Y$1038,16,)</f>
        <v>9.4437869822485213E-2</v>
      </c>
      <c r="R2" s="95">
        <f>VLOOKUP(A2,'BSE ALL CAP'!$B$4:$Y$1038,17,)</f>
        <v>1.80023215650746E-2</v>
      </c>
      <c r="S2" s="95">
        <f>VLOOKUP(A2,'BSE ALL CAP'!$B$4:$Y$1038,18,)</f>
        <v>0.11785972523499638</v>
      </c>
      <c r="T2" s="95">
        <f>VLOOKUP(A2,'BSE ALL CAP'!$B$4:$Y$1038,19,)</f>
        <v>0.10329670329670329</v>
      </c>
      <c r="U2" s="95">
        <f>VLOOKUP(A2,'BSE ALL CAP'!$B$4:$Y$1038,20,)</f>
        <v>1.4563021938293091E-2</v>
      </c>
      <c r="V2" s="95">
        <f>VLOOKUP(A2,'BSE ALL CAP'!$B$4:$Y$1038,21,)</f>
        <v>8.8284023668639078E-2</v>
      </c>
      <c r="W2" s="95">
        <f>VLOOKUP(A2,'BSE ALL CAP'!$B$4:$Y$1038,22,)</f>
        <v>0.29573934837092741</v>
      </c>
      <c r="X2" s="95">
        <f>VLOOKUP(A2,'BSE ALL CAP'!$B$4:$Y$1038,23,)</f>
        <v>1.318681318681314E-2</v>
      </c>
      <c r="Y2" s="95">
        <f>VLOOKUP(A2,'BSE ALL CAP'!$B$4:$Y$1038,24,)</f>
        <v>0.15602836879432624</v>
      </c>
    </row>
    <row r="3" spans="1:25" ht="15.75" customHeight="1">
      <c r="A3" s="99">
        <v>540743</v>
      </c>
      <c r="B3" s="98" t="s">
        <v>5647</v>
      </c>
      <c r="C3" s="174" t="str">
        <f>VLOOKUP(A3,'BSE ALL CAP'!$B$4:$Y$1034,2,)</f>
        <v>Fast Moving Consumer Goods</v>
      </c>
      <c r="D3" s="174" t="str">
        <f>VLOOKUP(A3,'BSE ALL CAP'!$B$4:$Y$1034,3,)</f>
        <v>Animal Feed</v>
      </c>
      <c r="E3" s="101">
        <f ca="1">IFERROR(__xludf.DUMMYFUNCTION("GOOGLEFINANCE(""BOM:""&amp;A3,""PRICE"")"),574.2)</f>
        <v>574.20000000000005</v>
      </c>
      <c r="F3" s="112">
        <f ca="1">IFERROR(__xludf.DUMMYFUNCTION("GOOGLEFINANCE(""BOM:""&amp;A3,""MARKETCAP"")/10000000"),11035.8320472)</f>
        <v>11035.8320472</v>
      </c>
      <c r="G3" s="95">
        <f t="shared" ca="1" si="0"/>
        <v>0.37347119357169828</v>
      </c>
      <c r="H3" s="101">
        <f>VLOOKUP(A3,'BSE ALL CAP'!$B$4:$Y$1038,7,)</f>
        <v>7900</v>
      </c>
      <c r="I3" s="101">
        <f>VLOOKUP(A3,'BSE ALL CAP'!$B$4:$Y$1038,8,)</f>
        <v>7249</v>
      </c>
      <c r="J3" s="101">
        <f>VLOOKUP(A3,'BSE ALL CAP'!$B$4:$Y$1038,9,)</f>
        <v>343</v>
      </c>
      <c r="K3" s="101">
        <f>VLOOKUP(A3,'BSE ALL CAP'!$B$4:$Y$1038,10,)</f>
        <v>337</v>
      </c>
      <c r="L3" s="101">
        <f>VLOOKUP(A3,'BSE ALL CAP'!$B$4:$Y$1038,11,)</f>
        <v>2718</v>
      </c>
      <c r="M3" s="101">
        <f>VLOOKUP(A3,'BSE ALL CAP'!$B$4:$Y$1038,12,)</f>
        <v>2450</v>
      </c>
      <c r="N3" s="101">
        <f>VLOOKUP(A3,'BSE ALL CAP'!$B$4:$Y$1038,13,)</f>
        <v>110</v>
      </c>
      <c r="O3" s="101">
        <f>VLOOKUP(A3,'BSE ALL CAP'!$B$4:$Y$1038,14,)</f>
        <v>110</v>
      </c>
      <c r="P3" s="95">
        <f>VLOOKUP(A3,'BSE ALL CAP'!$B$4:$Y$1038,15,)</f>
        <v>4.3417721518987339E-2</v>
      </c>
      <c r="Q3" s="95">
        <f>VLOOKUP(A3,'BSE ALL CAP'!$B$4:$Y$1038,16,)</f>
        <v>4.6489170920126915E-2</v>
      </c>
      <c r="R3" s="95">
        <f>VLOOKUP(A3,'BSE ALL CAP'!$B$4:$Y$1038,17,)</f>
        <v>-3.0714494011395768E-3</v>
      </c>
      <c r="S3" s="95">
        <f>VLOOKUP(A3,'BSE ALL CAP'!$B$4:$Y$1038,18,)</f>
        <v>4.0470934510669611E-2</v>
      </c>
      <c r="T3" s="95">
        <f>VLOOKUP(A3,'BSE ALL CAP'!$B$4:$Y$1038,19,)</f>
        <v>4.4897959183673466E-2</v>
      </c>
      <c r="U3" s="95">
        <f>VLOOKUP(A3,'BSE ALL CAP'!$B$4:$Y$1038,20,)</f>
        <v>-4.4270246730038557E-3</v>
      </c>
      <c r="V3" s="95">
        <f>VLOOKUP(A3,'BSE ALL CAP'!$B$4:$Y$1038,21,)</f>
        <v>8.9805490412470768E-2</v>
      </c>
      <c r="W3" s="95">
        <f>VLOOKUP(A3,'BSE ALL CAP'!$B$4:$Y$1038,22,)</f>
        <v>1.7804154302670572E-2</v>
      </c>
      <c r="X3" s="95">
        <f>VLOOKUP(A3,'BSE ALL CAP'!$B$4:$Y$1038,23,)</f>
        <v>0.1093877551020408</v>
      </c>
      <c r="Y3" s="95">
        <f>VLOOKUP(A3,'BSE ALL CAP'!$B$4:$Y$1038,24,)</f>
        <v>0</v>
      </c>
    </row>
    <row r="4" spans="1:25" ht="15.75" customHeight="1">
      <c r="A4" s="99">
        <v>519421</v>
      </c>
      <c r="B4" s="98" t="s">
        <v>5648</v>
      </c>
      <c r="C4" s="174" t="e">
        <f>VLOOKUP(A4,'BSE ALL CAP'!$B$4:$Y$1034,2,)</f>
        <v>#N/A</v>
      </c>
      <c r="D4" s="174" t="e">
        <f>VLOOKUP(A4,'BSE ALL CAP'!$B$4:$Y$1034,3,)</f>
        <v>#N/A</v>
      </c>
      <c r="E4" s="101">
        <f ca="1">IFERROR(__xludf.DUMMYFUNCTION("GOOGLEFINANCE(""BOM:""&amp;A4,""PRICE"")"),186.4)</f>
        <v>186.4</v>
      </c>
      <c r="F4" s="112">
        <f ca="1">IFERROR(__xludf.DUMMYFUNCTION("GOOGLEFINANCE(""BOM:""&amp;A4,""MARKETCAP"")/10000000"),596.4799804)</f>
        <v>596.47998040000004</v>
      </c>
      <c r="G4" s="95">
        <f t="shared" ca="1" si="0"/>
        <v>2.0185889860305704E-2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544135</v>
      </c>
      <c r="B5" s="98" t="s">
        <v>5649</v>
      </c>
      <c r="C5" s="174" t="e">
        <f>VLOOKUP(A5,'BSE ALL CAP'!$B$4:$Y$1034,2,)</f>
        <v>#N/A</v>
      </c>
      <c r="D5" s="174" t="e">
        <f>VLOOKUP(A5,'BSE ALL CAP'!$B$4:$Y$1034,3,)</f>
        <v>#N/A</v>
      </c>
      <c r="E5" s="101">
        <f ca="1">IFERROR(__xludf.DUMMYFUNCTION("GOOGLEFINANCE(""BOM:""&amp;A5,""PRICE"")"),21.21)</f>
        <v>21.21</v>
      </c>
      <c r="F5" s="112">
        <f ca="1">IFERROR(__xludf.DUMMYFUNCTION("GOOGLEFINANCE(""BOM:""&amp;A5,""MARKETCAP"")/10000000"),638.7000274)</f>
        <v>638.70002739999995</v>
      </c>
      <c r="G5" s="95">
        <f t="shared" ca="1" si="0"/>
        <v>2.1614687551164347E-2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544165</v>
      </c>
      <c r="B6" s="98" t="s">
        <v>5650</v>
      </c>
      <c r="C6" s="174" t="e">
        <f>VLOOKUP(A6,'BSE ALL CAP'!$B$4:$Y$1034,2,)</f>
        <v>#N/A</v>
      </c>
      <c r="D6" s="174" t="e">
        <f>VLOOKUP(A6,'BSE ALL CAP'!$B$4:$Y$1034,3,)</f>
        <v>#N/A</v>
      </c>
      <c r="E6" s="101">
        <f ca="1">IFERROR(__xludf.DUMMYFUNCTION("GOOGLEFINANCE(""BOM:""&amp;A6,""PRICE"")"),115.55)</f>
        <v>115.55</v>
      </c>
      <c r="F6" s="112">
        <f ca="1">IFERROR(__xludf.DUMMYFUNCTION("GOOGLEFINANCE(""BOM:""&amp;A6,""MARKETCAP"")/10000000"),196.2846746)</f>
        <v>196.28467459999999</v>
      </c>
      <c r="G6" s="95">
        <f t="shared" ca="1" si="0"/>
        <v>6.6426048701324425E-3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543643</v>
      </c>
      <c r="B7" s="98" t="s">
        <v>5651</v>
      </c>
      <c r="C7" s="174" t="e">
        <f>VLOOKUP(A7,'BSE ALL CAP'!$B$4:$Y$1034,2,)</f>
        <v>#N/A</v>
      </c>
      <c r="D7" s="174" t="e">
        <f>VLOOKUP(A7,'BSE ALL CAP'!$B$4:$Y$1034,3,)</f>
        <v>#N/A</v>
      </c>
      <c r="E7" s="101">
        <f ca="1">IFERROR(__xludf.DUMMYFUNCTION("GOOGLEFINANCE(""BOM:""&amp;A7,""PRICE"")"),32.65)</f>
        <v>32.65</v>
      </c>
      <c r="F7" s="112">
        <f ca="1">IFERROR(__xludf.DUMMYFUNCTION("GOOGLEFINANCE(""BOM:""&amp;A7,""MARKETCAP"")/10000000"),123.3311975)</f>
        <v>123.3311975</v>
      </c>
      <c r="G7" s="95">
        <f t="shared" ca="1" si="0"/>
        <v>4.1737360026821279E-3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544106</v>
      </c>
      <c r="B8" s="98" t="s">
        <v>5652</v>
      </c>
      <c r="C8" s="174" t="e">
        <f>VLOOKUP(A8,'BSE ALL CAP'!$B$4:$Y$1034,2,)</f>
        <v>#N/A</v>
      </c>
      <c r="D8" s="174" t="e">
        <f>VLOOKUP(A8,'BSE ALL CAP'!$B$4:$Y$1034,3,)</f>
        <v>#N/A</v>
      </c>
      <c r="E8" s="101">
        <f ca="1">IFERROR(__xludf.DUMMYFUNCTION("GOOGLEFINANCE(""BOM:""&amp;A8,""PRICE"")"),144.25)</f>
        <v>144.25</v>
      </c>
      <c r="F8" s="112">
        <f ca="1">IFERROR(__xludf.DUMMYFUNCTION("GOOGLEFINANCE(""BOM:""&amp;A8,""MARKETCAP"")/10000000"),77.895)</f>
        <v>77.894999999999996</v>
      </c>
      <c r="G8" s="95">
        <f t="shared" ca="1" si="0"/>
        <v>2.6360983475322564E-3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A9" s="101"/>
      <c r="B9" s="101"/>
      <c r="C9" s="101"/>
      <c r="D9" s="101"/>
      <c r="E9" s="101"/>
      <c r="F9" s="112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>
      <c r="A10" s="101"/>
      <c r="B10" s="101"/>
      <c r="C10" s="101"/>
      <c r="D10" s="101"/>
      <c r="E10" s="101"/>
      <c r="F10" s="112">
        <f ca="1">SUM(F2:F8)</f>
        <v>29549.352767099994</v>
      </c>
      <c r="G10" s="95">
        <f ca="1">F10/$F$10</f>
        <v>1</v>
      </c>
      <c r="H10" s="101">
        <f t="shared" ref="H10:O10" si="1">SUM(H2:H8)</f>
        <v>12498</v>
      </c>
      <c r="I10" s="101">
        <f t="shared" si="1"/>
        <v>11474</v>
      </c>
      <c r="J10" s="101">
        <f t="shared" si="1"/>
        <v>860</v>
      </c>
      <c r="K10" s="101">
        <f t="shared" si="1"/>
        <v>736</v>
      </c>
      <c r="L10" s="101">
        <f t="shared" si="1"/>
        <v>4101</v>
      </c>
      <c r="M10" s="101">
        <f t="shared" si="1"/>
        <v>3815</v>
      </c>
      <c r="N10" s="101">
        <f t="shared" si="1"/>
        <v>273</v>
      </c>
      <c r="O10" s="101">
        <f t="shared" si="1"/>
        <v>251</v>
      </c>
      <c r="P10" s="13">
        <f t="shared" ref="P10:Q10" si="2">J10/H10</f>
        <v>6.8811009761561848E-2</v>
      </c>
      <c r="Q10" s="13">
        <f t="shared" si="2"/>
        <v>6.4145023531462439E-2</v>
      </c>
      <c r="R10" s="13">
        <f>P10-Q10</f>
        <v>4.6659862300994087E-3</v>
      </c>
      <c r="S10" s="13">
        <f t="shared" ref="S10:T10" si="3">N10/L10</f>
        <v>6.6569129480614483E-2</v>
      </c>
      <c r="T10" s="13">
        <f t="shared" si="3"/>
        <v>6.579292267365662E-2</v>
      </c>
      <c r="U10" s="13">
        <f>S10-T10</f>
        <v>7.7620680695786315E-4</v>
      </c>
      <c r="V10" s="13">
        <f>(H10/I10)-1</f>
        <v>8.9245250130730369E-2</v>
      </c>
      <c r="W10" s="13">
        <f>(J10/K10)-1</f>
        <v>0.16847826086956519</v>
      </c>
      <c r="X10" s="13">
        <f>(L10/M10)-1</f>
        <v>7.4967234600262111E-2</v>
      </c>
      <c r="Y10" s="13">
        <f>(N10/O10)-1</f>
        <v>8.7649402390438169E-2</v>
      </c>
    </row>
  </sheetData>
  <autoFilter ref="A1:Y8" xr:uid="{00000000-0009-0000-0000-0000B6000000}"/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outlinePr summaryBelow="0" summaryRight="0"/>
  </sheetPr>
  <dimension ref="A1:Y11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544658</v>
      </c>
      <c r="B2" s="98" t="s">
        <v>5653</v>
      </c>
      <c r="C2" s="174" t="str">
        <f>VLOOKUP(A2,'BSE ALL CAP'!$B$4:$Y$1034,2,)</f>
        <v>Financial Services</v>
      </c>
      <c r="D2" s="174" t="str">
        <f>VLOOKUP(A2,'BSE ALL CAP'!$B$4:$Y$1034,3,)</f>
        <v>Asset Management Company</v>
      </c>
      <c r="E2" s="101">
        <f ca="1">IFERROR(__xludf.DUMMYFUNCTION("GOOGLEFINANCE(""BOM:""&amp;A2,""PRICE"")"),2928)</f>
        <v>2928</v>
      </c>
      <c r="F2" s="112">
        <f ca="1">IFERROR(__xludf.DUMMYFUNCTION("GOOGLEFINANCE(""BOM:""&amp;A2,""MARKETCAP"")/10000000"),144744.3624)</f>
        <v>144744.36240000001</v>
      </c>
      <c r="G2" s="95">
        <f t="shared" ref="G2:G9" ca="1" si="0">F2/$F$11</f>
        <v>0.41831209263386399</v>
      </c>
      <c r="H2" s="101">
        <f>VLOOKUP(A2,'BSE ALL CAP'!$B$4:$Y$1038,7,)</f>
        <v>4248</v>
      </c>
      <c r="I2" s="101">
        <f>VLOOKUP(A2,'BSE ALL CAP'!$B$4:$Y$1038,8,)</f>
        <v>3414</v>
      </c>
      <c r="J2" s="101">
        <f>VLOOKUP(A2,'BSE ALL CAP'!$B$4:$Y$1038,9,)</f>
        <v>2535</v>
      </c>
      <c r="K2" s="101">
        <f>VLOOKUP(A2,'BSE ALL CAP'!$B$4:$Y$1038,10,)</f>
        <v>1959</v>
      </c>
      <c r="L2" s="101">
        <f>VLOOKUP(A2,'BSE ALL CAP'!$B$4:$Y$1038,11,)</f>
        <v>1515</v>
      </c>
      <c r="M2" s="101">
        <f>VLOOKUP(A2,'BSE ALL CAP'!$B$4:$Y$1038,12,)</f>
        <v>1227</v>
      </c>
      <c r="N2" s="101">
        <f>VLOOKUP(A2,'BSE ALL CAP'!$B$4:$Y$1038,13,)</f>
        <v>917</v>
      </c>
      <c r="O2" s="101">
        <f>VLOOKUP(A2,'BSE ALL CAP'!$B$4:$Y$1038,14,)</f>
        <v>632</v>
      </c>
      <c r="P2" s="95">
        <f>VLOOKUP(A2,'BSE ALL CAP'!$B$4:$Y$1038,15,)</f>
        <v>0.59675141242937857</v>
      </c>
      <c r="Q2" s="95">
        <f>VLOOKUP(A2,'BSE ALL CAP'!$B$4:$Y$1038,16,)</f>
        <v>0.57381370826010547</v>
      </c>
      <c r="R2" s="95">
        <f>VLOOKUP(A2,'BSE ALL CAP'!$B$4:$Y$1038,17,)</f>
        <v>2.2937704169273099E-2</v>
      </c>
      <c r="S2" s="95">
        <f>VLOOKUP(A2,'BSE ALL CAP'!$B$4:$Y$1038,18,)</f>
        <v>0.6052805280528053</v>
      </c>
      <c r="T2" s="95">
        <f>VLOOKUP(A2,'BSE ALL CAP'!$B$4:$Y$1038,19,)</f>
        <v>0.51507742461287698</v>
      </c>
      <c r="U2" s="95">
        <f>VLOOKUP(A2,'BSE ALL CAP'!$B$4:$Y$1038,20,)</f>
        <v>9.0203103439928323E-2</v>
      </c>
      <c r="V2" s="95">
        <f>VLOOKUP(A2,'BSE ALL CAP'!$B$4:$Y$1038,21,)</f>
        <v>0.24428822495606317</v>
      </c>
      <c r="W2" s="95">
        <f>VLOOKUP(A2,'BSE ALL CAP'!$B$4:$Y$1038,22,)</f>
        <v>0.29402756508422656</v>
      </c>
      <c r="X2" s="95">
        <f>VLOOKUP(A2,'BSE ALL CAP'!$B$4:$Y$1038,23,)</f>
        <v>0.23471882640586794</v>
      </c>
      <c r="Y2" s="95">
        <f>VLOOKUP(A2,'BSE ALL CAP'!$B$4:$Y$1038,24,)</f>
        <v>0.45094936708860756</v>
      </c>
    </row>
    <row r="3" spans="1:25" ht="15.75" customHeight="1">
      <c r="A3" s="99">
        <v>541729</v>
      </c>
      <c r="B3" s="98" t="s">
        <v>75</v>
      </c>
      <c r="C3" s="174" t="str">
        <f>VLOOKUP(A3,'BSE ALL CAP'!$B$4:$Y$1034,2,)</f>
        <v>Financial Services</v>
      </c>
      <c r="D3" s="174" t="str">
        <f>VLOOKUP(A3,'BSE ALL CAP'!$B$4:$Y$1034,3,)</f>
        <v>Asset Management Company</v>
      </c>
      <c r="E3" s="101">
        <f ca="1">IFERROR(__xludf.DUMMYFUNCTION("GOOGLEFINANCE(""BOM:""&amp;A3,""PRICE"")"),2394.9)</f>
        <v>2394.9</v>
      </c>
      <c r="F3" s="112">
        <f ca="1">IFERROR(__xludf.DUMMYFUNCTION("GOOGLEFINANCE(""BOM:""&amp;A3,""MARKETCAP"")/10000000"),102653.2777942)</f>
        <v>102653.2777942</v>
      </c>
      <c r="G3" s="95">
        <f t="shared" ca="1" si="0"/>
        <v>0.29666860068200596</v>
      </c>
      <c r="H3" s="101">
        <f>VLOOKUP(A3,'BSE ALL CAP'!$B$4:$Y$1038,7,)</f>
        <v>3559</v>
      </c>
      <c r="I3" s="101">
        <f>VLOOKUP(A3,'BSE ALL CAP'!$B$4:$Y$1038,8,)</f>
        <v>3034</v>
      </c>
      <c r="J3" s="101">
        <f>VLOOKUP(A3,'BSE ALL CAP'!$B$4:$Y$1038,9,)</f>
        <v>2235</v>
      </c>
      <c r="K3" s="101">
        <f>VLOOKUP(A3,'BSE ALL CAP'!$B$4:$Y$1038,10,)</f>
        <v>1821</v>
      </c>
      <c r="L3" s="101">
        <f>VLOOKUP(A3,'BSE ALL CAP'!$B$4:$Y$1038,11,)</f>
        <v>1234</v>
      </c>
      <c r="M3" s="101">
        <f>VLOOKUP(A3,'BSE ALL CAP'!$B$4:$Y$1038,12,)</f>
        <v>1027</v>
      </c>
      <c r="N3" s="101">
        <f>VLOOKUP(A3,'BSE ALL CAP'!$B$4:$Y$1038,13,)</f>
        <v>769</v>
      </c>
      <c r="O3" s="101">
        <f>VLOOKUP(A3,'BSE ALL CAP'!$B$4:$Y$1038,14,)</f>
        <v>641</v>
      </c>
      <c r="P3" s="95">
        <f>VLOOKUP(A3,'BSE ALL CAP'!$B$4:$Y$1038,15,)</f>
        <v>0.62798538915425683</v>
      </c>
      <c r="Q3" s="95">
        <f>VLOOKUP(A3,'BSE ALL CAP'!$B$4:$Y$1038,16,)</f>
        <v>0.60019775873434411</v>
      </c>
      <c r="R3" s="95">
        <f>VLOOKUP(A3,'BSE ALL CAP'!$B$4:$Y$1038,17,)</f>
        <v>2.7787630419912723E-2</v>
      </c>
      <c r="S3" s="95">
        <f>VLOOKUP(A3,'BSE ALL CAP'!$B$4:$Y$1038,18,)</f>
        <v>0.62317666126418148</v>
      </c>
      <c r="T3" s="95">
        <f>VLOOKUP(A3,'BSE ALL CAP'!$B$4:$Y$1038,19,)</f>
        <v>0.62414800389483938</v>
      </c>
      <c r="U3" s="95">
        <f>VLOOKUP(A3,'BSE ALL CAP'!$B$4:$Y$1038,20,)</f>
        <v>-9.7134263065790094E-4</v>
      </c>
      <c r="V3" s="95">
        <f>VLOOKUP(A3,'BSE ALL CAP'!$B$4:$Y$1038,21,)</f>
        <v>0.17303889255108773</v>
      </c>
      <c r="W3" s="95">
        <f>VLOOKUP(A3,'BSE ALL CAP'!$B$4:$Y$1038,22,)</f>
        <v>0.22734761120263602</v>
      </c>
      <c r="X3" s="95">
        <f>VLOOKUP(A3,'BSE ALL CAP'!$B$4:$Y$1038,23,)</f>
        <v>0.20155793573515091</v>
      </c>
      <c r="Y3" s="95">
        <f>VLOOKUP(A3,'BSE ALL CAP'!$B$4:$Y$1038,24,)</f>
        <v>0.19968798751950079</v>
      </c>
    </row>
    <row r="4" spans="1:25" ht="15.75" customHeight="1">
      <c r="A4" s="99">
        <v>540767</v>
      </c>
      <c r="B4" s="98" t="s">
        <v>5654</v>
      </c>
      <c r="C4" s="174" t="str">
        <f>VLOOKUP(A4,'BSE ALL CAP'!$B$4:$Y$1034,2,)</f>
        <v>Financial Services</v>
      </c>
      <c r="D4" s="174" t="str">
        <f>VLOOKUP(A4,'BSE ALL CAP'!$B$4:$Y$1034,3,)</f>
        <v>Asset Management Company</v>
      </c>
      <c r="E4" s="101">
        <f ca="1">IFERROR(__xludf.DUMMYFUNCTION("GOOGLEFINANCE(""BOM:""&amp;A4,""PRICE"")"),838.95)</f>
        <v>838.95</v>
      </c>
      <c r="F4" s="112">
        <f ca="1">IFERROR(__xludf.DUMMYFUNCTION("GOOGLEFINANCE(""BOM:""&amp;A4,""MARKETCAP"")/10000000"),53598.5457994)</f>
        <v>53598.545799400003</v>
      </c>
      <c r="G4" s="95">
        <f t="shared" ca="1" si="0"/>
        <v>0.15490012518428153</v>
      </c>
      <c r="H4" s="101">
        <f>VLOOKUP(A4,'BSE ALL CAP'!$B$4:$Y$1038,7,)</f>
        <v>2228</v>
      </c>
      <c r="I4" s="101">
        <f>VLOOKUP(A4,'BSE ALL CAP'!$B$4:$Y$1038,8,)</f>
        <v>1931</v>
      </c>
      <c r="J4" s="101">
        <f>VLOOKUP(A4,'BSE ALL CAP'!$B$4:$Y$1038,9,)</f>
        <v>1144</v>
      </c>
      <c r="K4" s="101">
        <f>VLOOKUP(A4,'BSE ALL CAP'!$B$4:$Y$1038,10,)</f>
        <v>987</v>
      </c>
      <c r="L4" s="101">
        <f>VLOOKUP(A4,'BSE ALL CAP'!$B$4:$Y$1038,11,)</f>
        <v>781</v>
      </c>
      <c r="M4" s="101">
        <f>VLOOKUP(A4,'BSE ALL CAP'!$B$4:$Y$1038,12,)</f>
        <v>603</v>
      </c>
      <c r="N4" s="101">
        <f>VLOOKUP(A4,'BSE ALL CAP'!$B$4:$Y$1038,13,)</f>
        <v>404</v>
      </c>
      <c r="O4" s="101">
        <f>VLOOKUP(A4,'BSE ALL CAP'!$B$4:$Y$1038,14,)</f>
        <v>295</v>
      </c>
      <c r="P4" s="95">
        <f>VLOOKUP(A4,'BSE ALL CAP'!$B$4:$Y$1038,15,)</f>
        <v>0.51346499102333931</v>
      </c>
      <c r="Q4" s="95">
        <f>VLOOKUP(A4,'BSE ALL CAP'!$B$4:$Y$1038,16,)</f>
        <v>0.51113412739513209</v>
      </c>
      <c r="R4" s="95">
        <f>VLOOKUP(A4,'BSE ALL CAP'!$B$4:$Y$1038,17,)</f>
        <v>2.3308636282072248E-3</v>
      </c>
      <c r="S4" s="95">
        <f>VLOOKUP(A4,'BSE ALL CAP'!$B$4:$Y$1038,18,)</f>
        <v>0.51728553137003841</v>
      </c>
      <c r="T4" s="95">
        <f>VLOOKUP(A4,'BSE ALL CAP'!$B$4:$Y$1038,19,)</f>
        <v>0.48922056384742951</v>
      </c>
      <c r="U4" s="95">
        <f>VLOOKUP(A4,'BSE ALL CAP'!$B$4:$Y$1038,20,)</f>
        <v>2.8064967522608897E-2</v>
      </c>
      <c r="V4" s="95">
        <f>VLOOKUP(A4,'BSE ALL CAP'!$B$4:$Y$1038,21,)</f>
        <v>0.1538063179699638</v>
      </c>
      <c r="W4" s="95">
        <f>VLOOKUP(A4,'BSE ALL CAP'!$B$4:$Y$1038,22,)</f>
        <v>0.15906788247213788</v>
      </c>
      <c r="X4" s="95">
        <f>VLOOKUP(A4,'BSE ALL CAP'!$B$4:$Y$1038,23,)</f>
        <v>0.29519071310116085</v>
      </c>
      <c r="Y4" s="95">
        <f>VLOOKUP(A4,'BSE ALL CAP'!$B$4:$Y$1038,24,)</f>
        <v>0.36949152542372876</v>
      </c>
    </row>
    <row r="5" spans="1:25" ht="15.75" customHeight="1">
      <c r="A5" s="99">
        <v>543374</v>
      </c>
      <c r="B5" s="98" t="s">
        <v>5655</v>
      </c>
      <c r="C5" s="174" t="str">
        <f>VLOOKUP(A5,'BSE ALL CAP'!$B$4:$Y$1034,2,)</f>
        <v>Financial Services</v>
      </c>
      <c r="D5" s="174" t="str">
        <f>VLOOKUP(A5,'BSE ALL CAP'!$B$4:$Y$1034,3,)</f>
        <v>Asset Management Company</v>
      </c>
      <c r="E5" s="101">
        <f ca="1">IFERROR(__xludf.DUMMYFUNCTION("GOOGLEFINANCE(""BOM:""&amp;A5,""PRICE"")"),952.45)</f>
        <v>952.45</v>
      </c>
      <c r="F5" s="112">
        <f ca="1">IFERROR(__xludf.DUMMYFUNCTION("GOOGLEFINANCE(""BOM:""&amp;A5,""MARKETCAP"")/10000000"),27522.0526997)</f>
        <v>27522.052699700002</v>
      </c>
      <c r="G5" s="95">
        <f t="shared" ca="1" si="0"/>
        <v>7.9538900634868473E-2</v>
      </c>
      <c r="H5" s="101">
        <f>VLOOKUP(A5,'BSE ALL CAP'!$B$4:$Y$1038,7,)</f>
        <v>1634</v>
      </c>
      <c r="I5" s="101">
        <f>VLOOKUP(A5,'BSE ALL CAP'!$B$4:$Y$1038,8,)</f>
        <v>1485</v>
      </c>
      <c r="J5" s="101">
        <f>VLOOKUP(A5,'BSE ALL CAP'!$B$4:$Y$1038,9,)</f>
        <v>787</v>
      </c>
      <c r="K5" s="101">
        <f>VLOOKUP(A5,'BSE ALL CAP'!$B$4:$Y$1038,10,)</f>
        <v>702</v>
      </c>
      <c r="L5" s="101">
        <f>VLOOKUP(A5,'BSE ALL CAP'!$B$4:$Y$1038,11,)</f>
        <v>562</v>
      </c>
      <c r="M5" s="101">
        <f>VLOOKUP(A5,'BSE ALL CAP'!$B$4:$Y$1038,12,)</f>
        <v>483</v>
      </c>
      <c r="N5" s="101">
        <f>VLOOKUP(A5,'BSE ALL CAP'!$B$4:$Y$1038,13,)</f>
        <v>269</v>
      </c>
      <c r="O5" s="101">
        <f>VLOOKUP(A5,'BSE ALL CAP'!$B$4:$Y$1038,14,)</f>
        <v>224</v>
      </c>
      <c r="P5" s="95">
        <f>VLOOKUP(A5,'BSE ALL CAP'!$B$4:$Y$1038,15,)</f>
        <v>0.48164014687882495</v>
      </c>
      <c r="Q5" s="95">
        <f>VLOOKUP(A5,'BSE ALL CAP'!$B$4:$Y$1038,16,)</f>
        <v>0.47272727272727272</v>
      </c>
      <c r="R5" s="95">
        <f>VLOOKUP(A5,'BSE ALL CAP'!$B$4:$Y$1038,17,)</f>
        <v>8.9128741515522303E-3</v>
      </c>
      <c r="S5" s="95">
        <f>VLOOKUP(A5,'BSE ALL CAP'!$B$4:$Y$1038,18,)</f>
        <v>0.47864768683274023</v>
      </c>
      <c r="T5" s="95">
        <f>VLOOKUP(A5,'BSE ALL CAP'!$B$4:$Y$1038,19,)</f>
        <v>0.46376811594202899</v>
      </c>
      <c r="U5" s="95">
        <f>VLOOKUP(A5,'BSE ALL CAP'!$B$4:$Y$1038,20,)</f>
        <v>1.4879570890711236E-2</v>
      </c>
      <c r="V5" s="95">
        <f>VLOOKUP(A5,'BSE ALL CAP'!$B$4:$Y$1038,21,)</f>
        <v>0.10033670033670039</v>
      </c>
      <c r="W5" s="95">
        <f>VLOOKUP(A5,'BSE ALL CAP'!$B$4:$Y$1038,22,)</f>
        <v>0.12108262108262102</v>
      </c>
      <c r="X5" s="95">
        <f>VLOOKUP(A5,'BSE ALL CAP'!$B$4:$Y$1038,23,)</f>
        <v>0.16356107660455477</v>
      </c>
      <c r="Y5" s="95">
        <f>VLOOKUP(A5,'BSE ALL CAP'!$B$4:$Y$1038,24,)</f>
        <v>0.20089285714285721</v>
      </c>
    </row>
    <row r="6" spans="1:25" ht="15.75" customHeight="1">
      <c r="A6" s="99">
        <v>543238</v>
      </c>
      <c r="B6" s="98" t="s">
        <v>5656</v>
      </c>
      <c r="C6" s="174" t="str">
        <f>VLOOKUP(A6,'BSE ALL CAP'!$B$4:$Y$1034,2,)</f>
        <v>Financial Services</v>
      </c>
      <c r="D6" s="174" t="str">
        <f>VLOOKUP(A6,'BSE ALL CAP'!$B$4:$Y$1034,3,)</f>
        <v>Asset Management Company</v>
      </c>
      <c r="E6" s="101">
        <f ca="1">IFERROR(__xludf.DUMMYFUNCTION("GOOGLEFINANCE(""BOM:""&amp;A6,""PRICE"")"),938.95)</f>
        <v>938.95</v>
      </c>
      <c r="F6" s="112">
        <f ca="1">IFERROR(__xludf.DUMMYFUNCTION("GOOGLEFINANCE(""BOM:""&amp;A6,""MARKETCAP"")/10000000"),12055.176)</f>
        <v>12055.175999999999</v>
      </c>
      <c r="G6" s="95">
        <f t="shared" ca="1" si="0"/>
        <v>3.4839532372899752E-2</v>
      </c>
      <c r="H6" s="101">
        <f>VLOOKUP(A6,'BSE ALL CAP'!$B$4:$Y$1038,7,)</f>
        <v>1486</v>
      </c>
      <c r="I6" s="101">
        <f>VLOOKUP(A6,'BSE ALL CAP'!$B$4:$Y$1038,8,)</f>
        <v>1494</v>
      </c>
      <c r="J6" s="101">
        <f>VLOOKUP(A6,'BSE ALL CAP'!$B$4:$Y$1038,9,)</f>
        <v>523</v>
      </c>
      <c r="K6" s="101">
        <f>VLOOKUP(A6,'BSE ALL CAP'!$B$4:$Y$1038,10,)</f>
        <v>710</v>
      </c>
      <c r="L6" s="101">
        <f>VLOOKUP(A6,'BSE ALL CAP'!$B$4:$Y$1038,11,)</f>
        <v>517</v>
      </c>
      <c r="M6" s="101">
        <f>VLOOKUP(A6,'BSE ALL CAP'!$B$4:$Y$1038,12,)</f>
        <v>420</v>
      </c>
      <c r="N6" s="101">
        <f>VLOOKUP(A6,'BSE ALL CAP'!$B$4:$Y$1038,13,)</f>
        <v>137</v>
      </c>
      <c r="O6" s="101">
        <f>VLOOKUP(A6,'BSE ALL CAP'!$B$4:$Y$1038,14,)</f>
        <v>173</v>
      </c>
      <c r="P6" s="95">
        <f>VLOOKUP(A6,'BSE ALL CAP'!$B$4:$Y$1038,15,)</f>
        <v>0.35195154777927323</v>
      </c>
      <c r="Q6" s="95">
        <f>VLOOKUP(A6,'BSE ALL CAP'!$B$4:$Y$1038,16,)</f>
        <v>0.47523427041499333</v>
      </c>
      <c r="R6" s="95">
        <f>VLOOKUP(A6,'BSE ALL CAP'!$B$4:$Y$1038,17,)</f>
        <v>-0.1232827226357201</v>
      </c>
      <c r="S6" s="95">
        <f>VLOOKUP(A6,'BSE ALL CAP'!$B$4:$Y$1038,18,)</f>
        <v>0.26499032882011603</v>
      </c>
      <c r="T6" s="95">
        <f>VLOOKUP(A6,'BSE ALL CAP'!$B$4:$Y$1038,19,)</f>
        <v>0.41190476190476188</v>
      </c>
      <c r="U6" s="95">
        <f>VLOOKUP(A6,'BSE ALL CAP'!$B$4:$Y$1038,20,)</f>
        <v>-0.14691443308464586</v>
      </c>
      <c r="V6" s="95">
        <f>VLOOKUP(A6,'BSE ALL CAP'!$B$4:$Y$1038,21,)</f>
        <v>-5.3547523427041055E-3</v>
      </c>
      <c r="W6" s="95">
        <f>VLOOKUP(A6,'BSE ALL CAP'!$B$4:$Y$1038,22,)</f>
        <v>-0.26338028169014083</v>
      </c>
      <c r="X6" s="95">
        <f>VLOOKUP(A6,'BSE ALL CAP'!$B$4:$Y$1038,23,)</f>
        <v>0.23095238095238102</v>
      </c>
      <c r="Y6" s="95">
        <f>VLOOKUP(A6,'BSE ALL CAP'!$B$4:$Y$1038,24,)</f>
        <v>-0.20809248554913296</v>
      </c>
    </row>
    <row r="7" spans="1:25" ht="15.75" customHeight="1">
      <c r="A7" s="99">
        <v>544580</v>
      </c>
      <c r="B7" s="98" t="s">
        <v>5657</v>
      </c>
      <c r="C7" s="174"/>
      <c r="D7" s="174"/>
      <c r="E7" s="101">
        <f ca="1">IFERROR(__xludf.DUMMYFUNCTION("GOOGLEFINANCE(""BOM:""&amp;A7,""PRICE"")"),235)</f>
        <v>235</v>
      </c>
      <c r="F7" s="112">
        <f ca="1">IFERROR(__xludf.DUMMYFUNCTION("GOOGLEFINANCE(""BOM:""&amp;A7,""MARKETCAP"")/10000000"),4691.4936428)</f>
        <v>4691.4936428000001</v>
      </c>
      <c r="G7" s="95">
        <f t="shared" ca="1" si="0"/>
        <v>1.3558445322207157E-2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531359</v>
      </c>
      <c r="B8" s="98" t="s">
        <v>5658</v>
      </c>
      <c r="C8" s="174"/>
      <c r="D8" s="174"/>
      <c r="E8" s="101">
        <f ca="1">IFERROR(__xludf.DUMMYFUNCTION("GOOGLEFINANCE(""BOM:""&amp;A8,""PRICE"")"),312.65)</f>
        <v>312.64999999999998</v>
      </c>
      <c r="F8" s="112">
        <f ca="1">IFERROR(__xludf.DUMMYFUNCTION("GOOGLEFINANCE(""BOM:""&amp;A8,""MARKETCAP"")/10000000"),530.9012624)</f>
        <v>530.90126239999995</v>
      </c>
      <c r="G8" s="95">
        <f t="shared" ca="1" si="0"/>
        <v>1.5343078954797628E-3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511208</v>
      </c>
      <c r="B9" s="98" t="s">
        <v>5659</v>
      </c>
      <c r="C9" s="174"/>
      <c r="D9" s="174"/>
      <c r="E9" s="101">
        <f ca="1">IFERROR(__xludf.DUMMYFUNCTION("GOOGLEFINANCE(""BOM:""&amp;A9,""PRICE"")"),7.11)</f>
        <v>7.11</v>
      </c>
      <c r="F9" s="112">
        <f ca="1">IFERROR(__xludf.DUMMYFUNCTION("GOOGLEFINANCE(""BOM:""&amp;A9,""MARKETCAP"")/10000000"),224.2193436)</f>
        <v>224.2193436</v>
      </c>
      <c r="G9" s="95">
        <f t="shared" ca="1" si="0"/>
        <v>6.479952743935495E-4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>
      <c r="A10" s="101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>
      <c r="A11" s="101"/>
      <c r="B11" s="101"/>
      <c r="C11" s="101"/>
      <c r="D11" s="101"/>
      <c r="E11" s="101"/>
      <c r="F11" s="112">
        <f ca="1">SUM(F2:F9)</f>
        <v>346020.02894209995</v>
      </c>
      <c r="G11" s="95">
        <f ca="1">F11/$F$11</f>
        <v>1</v>
      </c>
      <c r="H11" s="101">
        <f t="shared" ref="H11:O11" si="1">SUM(H3:H9)</f>
        <v>8907</v>
      </c>
      <c r="I11" s="101">
        <f t="shared" si="1"/>
        <v>7944</v>
      </c>
      <c r="J11" s="101">
        <f t="shared" si="1"/>
        <v>4689</v>
      </c>
      <c r="K11" s="101">
        <f t="shared" si="1"/>
        <v>4220</v>
      </c>
      <c r="L11" s="101">
        <f t="shared" si="1"/>
        <v>3094</v>
      </c>
      <c r="M11" s="101">
        <f t="shared" si="1"/>
        <v>2533</v>
      </c>
      <c r="N11" s="101">
        <f t="shared" si="1"/>
        <v>1579</v>
      </c>
      <c r="O11" s="101">
        <f t="shared" si="1"/>
        <v>1333</v>
      </c>
      <c r="P11" s="13">
        <f t="shared" ref="P11:Q11" si="2">J11/H11</f>
        <v>0.52643987874705289</v>
      </c>
      <c r="Q11" s="13">
        <f t="shared" si="2"/>
        <v>0.53121852970795569</v>
      </c>
      <c r="R11" s="13">
        <f>P11-Q11</f>
        <v>-4.7786509609027972E-3</v>
      </c>
      <c r="S11" s="13">
        <f t="shared" ref="S11:T11" si="3">N11/L11</f>
        <v>0.51034259857789266</v>
      </c>
      <c r="T11" s="13">
        <f t="shared" si="3"/>
        <v>0.52625345440189497</v>
      </c>
      <c r="U11" s="13">
        <f>S11-T11</f>
        <v>-1.5910855824002312E-2</v>
      </c>
      <c r="V11" s="13">
        <f>(H11/I11)-1</f>
        <v>0.12122356495468267</v>
      </c>
      <c r="W11" s="13">
        <f>(J11/K11)-1</f>
        <v>0.1111374407582939</v>
      </c>
      <c r="X11" s="13">
        <f>(L11/M11)-1</f>
        <v>0.22147651006711411</v>
      </c>
      <c r="Y11" s="13">
        <f>(N11/O11)-1</f>
        <v>0.18454613653413343</v>
      </c>
    </row>
  </sheetData>
  <autoFilter ref="A1:Y9" xr:uid="{00000000-0009-0000-0000-0000B7000000}"/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517334</v>
      </c>
      <c r="B2" s="98" t="s">
        <v>5660</v>
      </c>
      <c r="C2" s="174" t="str">
        <f>VLOOKUP(A2,'BSE ALL CAP'!$B$4:$Y$1034,2,)</f>
        <v>Consumer Discretionary</v>
      </c>
      <c r="D2" s="174" t="str">
        <f>VLOOKUP(A2,'BSE ALL CAP'!$B$4:$Y$1034,3,)</f>
        <v>Auto Components &amp; Equipments</v>
      </c>
      <c r="E2" s="101">
        <f ca="1">IFERROR(__xludf.DUMMYFUNCTION("GOOGLEFINANCE(""BOM:""&amp;A2,""PRICE"")"),108.4)</f>
        <v>108.4</v>
      </c>
      <c r="F2" s="112">
        <f ca="1">IFERROR(__xludf.DUMMYFUNCTION("GOOGLEFINANCE(""BOM:""&amp;A2,""MARKETCAP"")/10000000"),114226.4478252)</f>
        <v>114226.4478252</v>
      </c>
      <c r="G2" s="95">
        <f t="shared" ref="G2:G134" ca="1" si="0">F2/$F$136</f>
        <v>0.11991240901029973</v>
      </c>
      <c r="H2" s="101">
        <f>VLOOKUP(A2,'BSE ALL CAP'!$B$4:$Y$1038,7,)</f>
        <v>91794</v>
      </c>
      <c r="I2" s="101">
        <f>VLOOKUP(A2,'BSE ALL CAP'!$B$4:$Y$1038,8,)</f>
        <v>84346</v>
      </c>
      <c r="J2" s="101">
        <f>VLOOKUP(A2,'BSE ALL CAP'!$B$4:$Y$1038,9,)</f>
        <v>2524</v>
      </c>
      <c r="K2" s="101">
        <f>VLOOKUP(A2,'BSE ALL CAP'!$B$4:$Y$1038,10,)</f>
        <v>3030</v>
      </c>
      <c r="L2" s="101">
        <f>VLOOKUP(A2,'BSE ALL CAP'!$B$4:$Y$1038,11,)</f>
        <v>31409</v>
      </c>
      <c r="M2" s="101">
        <f>VLOOKUP(A2,'BSE ALL CAP'!$B$4:$Y$1038,12,)</f>
        <v>27666</v>
      </c>
      <c r="N2" s="101">
        <f>VLOOKUP(A2,'BSE ALL CAP'!$B$4:$Y$1038,13,)</f>
        <v>1072</v>
      </c>
      <c r="O2" s="101">
        <f>VLOOKUP(A2,'BSE ALL CAP'!$B$4:$Y$1038,14,)</f>
        <v>984</v>
      </c>
      <c r="P2" s="95">
        <f>VLOOKUP(A2,'BSE ALL CAP'!$B$4:$Y$1038,15,)</f>
        <v>2.7496350523999388E-2</v>
      </c>
      <c r="Q2" s="95">
        <f>VLOOKUP(A2,'BSE ALL CAP'!$B$4:$Y$1038,16,)</f>
        <v>3.5923458136722548E-2</v>
      </c>
      <c r="R2" s="95">
        <f>VLOOKUP(A2,'BSE ALL CAP'!$B$4:$Y$1038,17,)</f>
        <v>-8.4271076127231601E-3</v>
      </c>
      <c r="S2" s="95">
        <f>VLOOKUP(A2,'BSE ALL CAP'!$B$4:$Y$1038,18,)</f>
        <v>3.4130344805628959E-2</v>
      </c>
      <c r="T2" s="95">
        <f>VLOOKUP(A2,'BSE ALL CAP'!$B$4:$Y$1038,19,)</f>
        <v>3.5567122099327692E-2</v>
      </c>
      <c r="U2" s="95">
        <f>VLOOKUP(A2,'BSE ALL CAP'!$B$4:$Y$1038,20,)</f>
        <v>-1.4367772936987322E-3</v>
      </c>
      <c r="V2" s="95">
        <f>VLOOKUP(A2,'BSE ALL CAP'!$B$4:$Y$1038,21,)</f>
        <v>8.8302942641026227E-2</v>
      </c>
      <c r="W2" s="95">
        <f>VLOOKUP(A2,'BSE ALL CAP'!$B$4:$Y$1038,22,)</f>
        <v>-0.166996699669967</v>
      </c>
      <c r="X2" s="95">
        <f>VLOOKUP(A2,'BSE ALL CAP'!$B$4:$Y$1038,23,)</f>
        <v>0.13529241668473935</v>
      </c>
      <c r="Y2" s="95">
        <f>VLOOKUP(A2,'BSE ALL CAP'!$B$4:$Y$1038,24,)</f>
        <v>8.9430894308943021E-2</v>
      </c>
    </row>
    <row r="3" spans="1:25" ht="15.75" customHeight="1">
      <c r="A3" s="99">
        <v>500530</v>
      </c>
      <c r="B3" s="98" t="s">
        <v>5661</v>
      </c>
      <c r="C3" s="174" t="str">
        <f>VLOOKUP(A3,'BSE ALL CAP'!$B$4:$Y$1034,2,)</f>
        <v>Consumer Discretionary</v>
      </c>
      <c r="D3" s="174" t="str">
        <f>VLOOKUP(A3,'BSE ALL CAP'!$B$4:$Y$1034,3,)</f>
        <v>Auto Components &amp; Equipments</v>
      </c>
      <c r="E3" s="101">
        <f ca="1">IFERROR(__xludf.DUMMYFUNCTION("GOOGLEFINANCE(""BOM:""&amp;A3,""PRICE"")"),33225.25)</f>
        <v>33225.25</v>
      </c>
      <c r="F3" s="112">
        <f ca="1">IFERROR(__xludf.DUMMYFUNCTION("GOOGLEFINANCE(""BOM:""&amp;A3,""MARKETCAP"")/10000000"),97977.83886)</f>
        <v>97977.838860000003</v>
      </c>
      <c r="G3" s="95">
        <f t="shared" ca="1" si="0"/>
        <v>0.10285497720549457</v>
      </c>
      <c r="H3" s="101">
        <f>VLOOKUP(A3,'BSE ALL CAP'!$B$4:$Y$1038,7,)</f>
        <v>1446</v>
      </c>
      <c r="I3" s="101">
        <f>VLOOKUP(A3,'BSE ALL CAP'!$B$4:$Y$1038,8,)</f>
        <v>1317</v>
      </c>
      <c r="J3" s="101">
        <f>VLOOKUP(A3,'BSE ALL CAP'!$B$4:$Y$1038,9,)</f>
        <v>220</v>
      </c>
      <c r="K3" s="101">
        <f>VLOOKUP(A3,'BSE ALL CAP'!$B$4:$Y$1038,10,)</f>
        <v>145</v>
      </c>
      <c r="L3" s="101">
        <f>VLOOKUP(A3,'BSE ALL CAP'!$B$4:$Y$1038,11,)</f>
        <v>488</v>
      </c>
      <c r="M3" s="101">
        <f>VLOOKUP(A3,'BSE ALL CAP'!$B$4:$Y$1038,12,)</f>
        <v>446</v>
      </c>
      <c r="N3" s="101">
        <f>VLOOKUP(A3,'BSE ALL CAP'!$B$4:$Y$1038,13,)</f>
        <v>53</v>
      </c>
      <c r="O3" s="101">
        <f>VLOOKUP(A3,'BSE ALL CAP'!$B$4:$Y$1038,14,)</f>
        <v>45</v>
      </c>
      <c r="P3" s="95">
        <f>VLOOKUP(A3,'BSE ALL CAP'!$B$4:$Y$1038,15,)</f>
        <v>0.15214384508990317</v>
      </c>
      <c r="Q3" s="95">
        <f>VLOOKUP(A3,'BSE ALL CAP'!$B$4:$Y$1038,16,)</f>
        <v>0.11009870918754745</v>
      </c>
      <c r="R3" s="95">
        <f>VLOOKUP(A3,'BSE ALL CAP'!$B$4:$Y$1038,17,)</f>
        <v>4.2045135902355715E-2</v>
      </c>
      <c r="S3" s="95">
        <f>VLOOKUP(A3,'BSE ALL CAP'!$B$4:$Y$1038,18,)</f>
        <v>0.10860655737704918</v>
      </c>
      <c r="T3" s="95">
        <f>VLOOKUP(A3,'BSE ALL CAP'!$B$4:$Y$1038,19,)</f>
        <v>0.10089686098654709</v>
      </c>
      <c r="U3" s="95">
        <f>VLOOKUP(A3,'BSE ALL CAP'!$B$4:$Y$1038,20,)</f>
        <v>7.709696390502091E-3</v>
      </c>
      <c r="V3" s="95">
        <f>VLOOKUP(A3,'BSE ALL CAP'!$B$4:$Y$1038,21,)</f>
        <v>9.7949886104783612E-2</v>
      </c>
      <c r="W3" s="95">
        <f>VLOOKUP(A3,'BSE ALL CAP'!$B$4:$Y$1038,22,)</f>
        <v>0.51724137931034475</v>
      </c>
      <c r="X3" s="95">
        <f>VLOOKUP(A3,'BSE ALL CAP'!$B$4:$Y$1038,23,)</f>
        <v>9.4170403587443996E-2</v>
      </c>
      <c r="Y3" s="95">
        <f>VLOOKUP(A3,'BSE ALL CAP'!$B$4:$Y$1038,24,)</f>
        <v>0.17777777777777781</v>
      </c>
    </row>
    <row r="4" spans="1:25" ht="15.75" customHeight="1">
      <c r="A4" s="99">
        <v>500493</v>
      </c>
      <c r="B4" s="98" t="s">
        <v>5662</v>
      </c>
      <c r="C4" s="174" t="str">
        <f>VLOOKUP(A4,'BSE ALL CAP'!$B$4:$Y$1034,2,)</f>
        <v>Consumer Discretionary</v>
      </c>
      <c r="D4" s="174" t="str">
        <f>VLOOKUP(A4,'BSE ALL CAP'!$B$4:$Y$1034,3,)</f>
        <v>Auto Components &amp; Equipments</v>
      </c>
      <c r="E4" s="101">
        <f ca="1">IFERROR(__xludf.DUMMYFUNCTION("GOOGLEFINANCE(""BOM:""&amp;A4,""PRICE"")"),1663.1)</f>
        <v>1663.1</v>
      </c>
      <c r="F4" s="112">
        <f ca="1">IFERROR(__xludf.DUMMYFUNCTION("GOOGLEFINANCE(""BOM:""&amp;A4,""MARKETCAP"")/10000000"),79525.2588912)</f>
        <v>79525.258891200006</v>
      </c>
      <c r="G4" s="95">
        <f t="shared" ca="1" si="0"/>
        <v>8.3483865185097331E-2</v>
      </c>
      <c r="H4" s="101">
        <f>VLOOKUP(A4,'BSE ALL CAP'!$B$4:$Y$1038,7,)</f>
        <v>12283</v>
      </c>
      <c r="I4" s="101">
        <f>VLOOKUP(A4,'BSE ALL CAP'!$B$4:$Y$1038,8,)</f>
        <v>11270</v>
      </c>
      <c r="J4" s="101">
        <f>VLOOKUP(A4,'BSE ALL CAP'!$B$4:$Y$1038,9,)</f>
        <v>855</v>
      </c>
      <c r="K4" s="101">
        <f>VLOOKUP(A4,'BSE ALL CAP'!$B$4:$Y$1038,10,)</f>
        <v>630</v>
      </c>
      <c r="L4" s="101">
        <f>VLOOKUP(A4,'BSE ALL CAP'!$B$4:$Y$1038,11,)</f>
        <v>4342</v>
      </c>
      <c r="M4" s="101">
        <f>VLOOKUP(A4,'BSE ALL CAP'!$B$4:$Y$1038,12,)</f>
        <v>3475</v>
      </c>
      <c r="N4" s="101">
        <f>VLOOKUP(A4,'BSE ALL CAP'!$B$4:$Y$1038,13,)</f>
        <v>272</v>
      </c>
      <c r="O4" s="101">
        <f>VLOOKUP(A4,'BSE ALL CAP'!$B$4:$Y$1038,14,)</f>
        <v>212</v>
      </c>
      <c r="P4" s="95">
        <f>VLOOKUP(A4,'BSE ALL CAP'!$B$4:$Y$1038,15,)</f>
        <v>6.960840185622405E-2</v>
      </c>
      <c r="Q4" s="95">
        <f>VLOOKUP(A4,'BSE ALL CAP'!$B$4:$Y$1038,16,)</f>
        <v>5.5900621118012424E-2</v>
      </c>
      <c r="R4" s="95">
        <f>VLOOKUP(A4,'BSE ALL CAP'!$B$4:$Y$1038,17,)</f>
        <v>1.3707780738211627E-2</v>
      </c>
      <c r="S4" s="95">
        <f>VLOOKUP(A4,'BSE ALL CAP'!$B$4:$Y$1038,18,)</f>
        <v>6.2643942883463838E-2</v>
      </c>
      <c r="T4" s="95">
        <f>VLOOKUP(A4,'BSE ALL CAP'!$B$4:$Y$1038,19,)</f>
        <v>6.1007194244604317E-2</v>
      </c>
      <c r="U4" s="95">
        <f>VLOOKUP(A4,'BSE ALL CAP'!$B$4:$Y$1038,20,)</f>
        <v>1.6367486388595212E-3</v>
      </c>
      <c r="V4" s="95">
        <f>VLOOKUP(A4,'BSE ALL CAP'!$B$4:$Y$1038,21,)</f>
        <v>8.988464951197872E-2</v>
      </c>
      <c r="W4" s="95">
        <f>VLOOKUP(A4,'BSE ALL CAP'!$B$4:$Y$1038,22,)</f>
        <v>0.35714285714285721</v>
      </c>
      <c r="X4" s="95">
        <f>VLOOKUP(A4,'BSE ALL CAP'!$B$4:$Y$1038,23,)</f>
        <v>0.24949640287769781</v>
      </c>
      <c r="Y4" s="95">
        <f>VLOOKUP(A4,'BSE ALL CAP'!$B$4:$Y$1038,24,)</f>
        <v>0.28301886792452824</v>
      </c>
    </row>
    <row r="5" spans="1:25" ht="15.75" customHeight="1">
      <c r="A5" s="99">
        <v>505790</v>
      </c>
      <c r="B5" s="98" t="s">
        <v>5663</v>
      </c>
      <c r="C5" s="174" t="str">
        <f>VLOOKUP(A5,'BSE ALL CAP'!$B$4:$Y$1034,2,)</f>
        <v>Consumer Discretionary</v>
      </c>
      <c r="D5" s="174" t="str">
        <f>VLOOKUP(A5,'BSE ALL CAP'!$B$4:$Y$1034,3,)</f>
        <v>Auto Components &amp; Equipments</v>
      </c>
      <c r="E5" s="101">
        <f ca="1">IFERROR(__xludf.DUMMYFUNCTION("GOOGLEFINANCE(""BOM:""&amp;A5,""PRICE"")"),3789.8)</f>
        <v>3789.8</v>
      </c>
      <c r="F5" s="112">
        <f ca="1">IFERROR(__xludf.DUMMYFUNCTION("GOOGLEFINANCE(""BOM:""&amp;A5,""MARKETCAP"")/10000000"),59184.35814)</f>
        <v>59184.358139999997</v>
      </c>
      <c r="G5" s="95">
        <f t="shared" ca="1" si="0"/>
        <v>6.2130435598909128E-2</v>
      </c>
      <c r="H5" s="101">
        <f>VLOOKUP(A5,'BSE ALL CAP'!$B$4:$Y$1038,7,)</f>
        <v>9685</v>
      </c>
      <c r="I5" s="101">
        <f>VLOOKUP(A5,'BSE ALL CAP'!$B$4:$Y$1038,8,)</f>
        <v>8232</v>
      </c>
      <c r="J5" s="101">
        <f>VLOOKUP(A5,'BSE ALL CAP'!$B$4:$Y$1038,9,)</f>
        <v>1150</v>
      </c>
      <c r="K5" s="101">
        <f>VLOOKUP(A5,'BSE ALL CAP'!$B$4:$Y$1038,10,)</f>
        <v>939</v>
      </c>
      <c r="L5" s="101">
        <f>VLOOKUP(A5,'BSE ALL CAP'!$B$4:$Y$1038,11,)</f>
        <v>2724</v>
      </c>
      <c r="M5" s="101">
        <f>VLOOKUP(A5,'BSE ALL CAP'!$B$4:$Y$1038,12,)</f>
        <v>2136</v>
      </c>
      <c r="N5" s="101">
        <f>VLOOKUP(A5,'BSE ALL CAP'!$B$4:$Y$1038,13,)</f>
        <v>322</v>
      </c>
      <c r="O5" s="101">
        <f>VLOOKUP(A5,'BSE ALL CAP'!$B$4:$Y$1038,14,)</f>
        <v>237</v>
      </c>
      <c r="P5" s="95">
        <f>VLOOKUP(A5,'BSE ALL CAP'!$B$4:$Y$1038,15,)</f>
        <v>0.11874032008260196</v>
      </c>
      <c r="Q5" s="95">
        <f>VLOOKUP(A5,'BSE ALL CAP'!$B$4:$Y$1038,16,)</f>
        <v>0.11406705539358601</v>
      </c>
      <c r="R5" s="95">
        <f>VLOOKUP(A5,'BSE ALL CAP'!$B$4:$Y$1038,17,)</f>
        <v>4.6732646890159518E-3</v>
      </c>
      <c r="S5" s="95">
        <f>VLOOKUP(A5,'BSE ALL CAP'!$B$4:$Y$1038,18,)</f>
        <v>0.11820851688693099</v>
      </c>
      <c r="T5" s="95">
        <f>VLOOKUP(A5,'BSE ALL CAP'!$B$4:$Y$1038,19,)</f>
        <v>0.11095505617977527</v>
      </c>
      <c r="U5" s="95">
        <f>VLOOKUP(A5,'BSE ALL CAP'!$B$4:$Y$1038,20,)</f>
        <v>7.2534607071557122E-3</v>
      </c>
      <c r="V5" s="95">
        <f>VLOOKUP(A5,'BSE ALL CAP'!$B$4:$Y$1038,21,)</f>
        <v>0.17650631681243922</v>
      </c>
      <c r="W5" s="95">
        <f>VLOOKUP(A5,'BSE ALL CAP'!$B$4:$Y$1038,22,)</f>
        <v>0.22470713525026631</v>
      </c>
      <c r="X5" s="95">
        <f>VLOOKUP(A5,'BSE ALL CAP'!$B$4:$Y$1038,23,)</f>
        <v>0.27528089887640439</v>
      </c>
      <c r="Y5" s="95">
        <f>VLOOKUP(A5,'BSE ALL CAP'!$B$4:$Y$1038,24,)</f>
        <v>0.35864978902953593</v>
      </c>
    </row>
    <row r="6" spans="1:25" ht="15.75" customHeight="1">
      <c r="A6" s="99">
        <v>532539</v>
      </c>
      <c r="B6" s="98" t="s">
        <v>5664</v>
      </c>
      <c r="C6" s="174" t="str">
        <f>VLOOKUP(A6,'BSE ALL CAP'!$B$4:$Y$1034,2,)</f>
        <v>Consumer Discretionary</v>
      </c>
      <c r="D6" s="174" t="str">
        <f>VLOOKUP(A6,'BSE ALL CAP'!$B$4:$Y$1034,3,)</f>
        <v>Auto Components &amp; Equipments</v>
      </c>
      <c r="E6" s="101">
        <f ca="1">IFERROR(__xludf.DUMMYFUNCTION("GOOGLEFINANCE(""BOM:""&amp;A6,""PRICE"")"),1043.2)</f>
        <v>1043.2</v>
      </c>
      <c r="F6" s="112">
        <f ca="1">IFERROR(__xludf.DUMMYFUNCTION("GOOGLEFINANCE(""BOM:""&amp;A6,""MARKETCAP"")/10000000"),59208.83)</f>
        <v>59208.83</v>
      </c>
      <c r="G6" s="95">
        <f t="shared" ca="1" si="0"/>
        <v>6.2156125618527472E-2</v>
      </c>
      <c r="H6" s="101">
        <f>VLOOKUP(A6,'BSE ALL CAP'!$B$4:$Y$1038,7,)</f>
        <v>14321</v>
      </c>
      <c r="I6" s="101">
        <f>VLOOKUP(A6,'BSE ALL CAP'!$B$4:$Y$1038,8,)</f>
        <v>12246</v>
      </c>
      <c r="J6" s="101">
        <f>VLOOKUP(A6,'BSE ALL CAP'!$B$4:$Y$1038,9,)</f>
        <v>932</v>
      </c>
      <c r="K6" s="101">
        <f>VLOOKUP(A6,'BSE ALL CAP'!$B$4:$Y$1038,10,)</f>
        <v>731</v>
      </c>
      <c r="L6" s="101">
        <f>VLOOKUP(A6,'BSE ALL CAP'!$B$4:$Y$1038,11,)</f>
        <v>5018</v>
      </c>
      <c r="M6" s="101">
        <f>VLOOKUP(A6,'BSE ALL CAP'!$B$4:$Y$1038,12,)</f>
        <v>4184</v>
      </c>
      <c r="N6" s="101">
        <f>VLOOKUP(A6,'BSE ALL CAP'!$B$4:$Y$1038,13,)</f>
        <v>300</v>
      </c>
      <c r="O6" s="101">
        <f>VLOOKUP(A6,'BSE ALL CAP'!$B$4:$Y$1038,14,)</f>
        <v>254</v>
      </c>
      <c r="P6" s="95">
        <f>VLOOKUP(A6,'BSE ALL CAP'!$B$4:$Y$1038,15,)</f>
        <v>6.5079254242022211E-2</v>
      </c>
      <c r="Q6" s="95">
        <f>VLOOKUP(A6,'BSE ALL CAP'!$B$4:$Y$1038,16,)</f>
        <v>5.9692960966846315E-2</v>
      </c>
      <c r="R6" s="95">
        <f>VLOOKUP(A6,'BSE ALL CAP'!$B$4:$Y$1038,17,)</f>
        <v>5.3862932751758963E-3</v>
      </c>
      <c r="S6" s="95">
        <f>VLOOKUP(A6,'BSE ALL CAP'!$B$4:$Y$1038,18,)</f>
        <v>5.9784774810681549E-2</v>
      </c>
      <c r="T6" s="95">
        <f>VLOOKUP(A6,'BSE ALL CAP'!$B$4:$Y$1038,19,)</f>
        <v>6.0707456978967497E-2</v>
      </c>
      <c r="U6" s="95">
        <f>VLOOKUP(A6,'BSE ALL CAP'!$B$4:$Y$1038,20,)</f>
        <v>-9.2268216828594873E-4</v>
      </c>
      <c r="V6" s="95">
        <f>VLOOKUP(A6,'BSE ALL CAP'!$B$4:$Y$1038,21,)</f>
        <v>0.16944308345582226</v>
      </c>
      <c r="W6" s="95">
        <f>VLOOKUP(A6,'BSE ALL CAP'!$B$4:$Y$1038,22,)</f>
        <v>0.27496580027359774</v>
      </c>
      <c r="X6" s="95">
        <f>VLOOKUP(A6,'BSE ALL CAP'!$B$4:$Y$1038,23,)</f>
        <v>0.19933078393881454</v>
      </c>
      <c r="Y6" s="95">
        <f>VLOOKUP(A6,'BSE ALL CAP'!$B$4:$Y$1038,24,)</f>
        <v>0.18110236220472431</v>
      </c>
    </row>
    <row r="7" spans="1:25" ht="15.75" customHeight="1">
      <c r="A7" s="99">
        <v>540762</v>
      </c>
      <c r="B7" s="98" t="s">
        <v>5665</v>
      </c>
      <c r="C7" s="174" t="str">
        <f>VLOOKUP(A7,'BSE ALL CAP'!$B$4:$Y$1034,2,)</f>
        <v>Consumer Discretionary</v>
      </c>
      <c r="D7" s="174" t="str">
        <f>VLOOKUP(A7,'BSE ALL CAP'!$B$4:$Y$1034,3,)</f>
        <v>Auto Components &amp; Equipments</v>
      </c>
      <c r="E7" s="101">
        <f ca="1">IFERROR(__xludf.DUMMYFUNCTION("GOOGLEFINANCE(""BOM:""&amp;A7,""PRICE"")"),2576.6)</f>
        <v>2576.6</v>
      </c>
      <c r="F7" s="112">
        <f ca="1">IFERROR(__xludf.DUMMYFUNCTION("GOOGLEFINANCE(""BOM:""&amp;A7,""MARKETCAP"")/10000000"),49849.3790253)</f>
        <v>49849.379025299997</v>
      </c>
      <c r="G7" s="95">
        <f t="shared" ca="1" si="0"/>
        <v>5.2330780133674912E-2</v>
      </c>
      <c r="H7" s="101">
        <f>VLOOKUP(A7,'BSE ALL CAP'!$B$4:$Y$1038,7,)</f>
        <v>16633</v>
      </c>
      <c r="I7" s="101">
        <f>VLOOKUP(A7,'BSE ALL CAP'!$B$4:$Y$1038,8,)</f>
        <v>14315</v>
      </c>
      <c r="J7" s="101">
        <f>VLOOKUP(A7,'BSE ALL CAP'!$B$4:$Y$1038,9,)</f>
        <v>884</v>
      </c>
      <c r="K7" s="101">
        <f>VLOOKUP(A7,'BSE ALL CAP'!$B$4:$Y$1038,10,)</f>
        <v>896</v>
      </c>
      <c r="L7" s="101">
        <f>VLOOKUP(A7,'BSE ALL CAP'!$B$4:$Y$1038,11,)</f>
        <v>5801</v>
      </c>
      <c r="M7" s="101">
        <f>VLOOKUP(A7,'BSE ALL CAP'!$B$4:$Y$1038,12,)</f>
        <v>4812</v>
      </c>
      <c r="N7" s="101">
        <f>VLOOKUP(A7,'BSE ALL CAP'!$B$4:$Y$1038,13,)</f>
        <v>279</v>
      </c>
      <c r="O7" s="101">
        <f>VLOOKUP(A7,'BSE ALL CAP'!$B$4:$Y$1038,14,)</f>
        <v>280</v>
      </c>
      <c r="P7" s="95">
        <f>VLOOKUP(A7,'BSE ALL CAP'!$B$4:$Y$1038,15,)</f>
        <v>5.3147357662478203E-2</v>
      </c>
      <c r="Q7" s="95">
        <f>VLOOKUP(A7,'BSE ALL CAP'!$B$4:$Y$1038,16,)</f>
        <v>6.2591687041564786E-2</v>
      </c>
      <c r="R7" s="95">
        <f>VLOOKUP(A7,'BSE ALL CAP'!$B$4:$Y$1038,17,)</f>
        <v>-9.4443293790865829E-3</v>
      </c>
      <c r="S7" s="95">
        <f>VLOOKUP(A7,'BSE ALL CAP'!$B$4:$Y$1038,18,)</f>
        <v>4.8095156007584898E-2</v>
      </c>
      <c r="T7" s="95">
        <f>VLOOKUP(A7,'BSE ALL CAP'!$B$4:$Y$1038,19,)</f>
        <v>5.8187863674147966E-2</v>
      </c>
      <c r="U7" s="95">
        <f>VLOOKUP(A7,'BSE ALL CAP'!$B$4:$Y$1038,20,)</f>
        <v>-1.0092707666563068E-2</v>
      </c>
      <c r="V7" s="95">
        <f>VLOOKUP(A7,'BSE ALL CAP'!$B$4:$Y$1038,21,)</f>
        <v>0.16192804750261969</v>
      </c>
      <c r="W7" s="95">
        <f>VLOOKUP(A7,'BSE ALL CAP'!$B$4:$Y$1038,22,)</f>
        <v>-1.3392857142857095E-2</v>
      </c>
      <c r="X7" s="95">
        <f>VLOOKUP(A7,'BSE ALL CAP'!$B$4:$Y$1038,23,)</f>
        <v>0.20552784704904403</v>
      </c>
      <c r="Y7" s="95">
        <f>VLOOKUP(A7,'BSE ALL CAP'!$B$4:$Y$1038,24,)</f>
        <v>-3.5714285714285587E-3</v>
      </c>
    </row>
    <row r="8" spans="1:25" ht="15.75" customHeight="1">
      <c r="A8" s="99">
        <v>540153</v>
      </c>
      <c r="B8" s="98" t="s">
        <v>5666</v>
      </c>
      <c r="C8" s="174" t="str">
        <f>VLOOKUP(A8,'BSE ALL CAP'!$B$4:$Y$1034,2,)</f>
        <v>Consumer Discretionary</v>
      </c>
      <c r="D8" s="174" t="str">
        <f>VLOOKUP(A8,'BSE ALL CAP'!$B$4:$Y$1034,3,)</f>
        <v>Auto Components &amp; Equipments</v>
      </c>
      <c r="E8" s="101">
        <f ca="1">IFERROR(__xludf.DUMMYFUNCTION("GOOGLEFINANCE(""BOM:""&amp;A8,""PRICE"")"),2190.1)</f>
        <v>2190.1</v>
      </c>
      <c r="F8" s="112">
        <f ca="1">IFERROR(__xludf.DUMMYFUNCTION("GOOGLEFINANCE(""BOM:""&amp;A8,""MARKETCAP"")/10000000"),30908.4227572)</f>
        <v>30908.422757200002</v>
      </c>
      <c r="G8" s="95">
        <f t="shared" ca="1" si="0"/>
        <v>3.244698143109865E-2</v>
      </c>
      <c r="H8" s="101">
        <f>VLOOKUP(A8,'BSE ALL CAP'!$B$4:$Y$1038,7,)</f>
        <v>10510</v>
      </c>
      <c r="I8" s="101">
        <f>VLOOKUP(A8,'BSE ALL CAP'!$B$4:$Y$1038,8,)</f>
        <v>8597</v>
      </c>
      <c r="J8" s="101">
        <f>VLOOKUP(A8,'BSE ALL CAP'!$B$4:$Y$1038,9,)</f>
        <v>675</v>
      </c>
      <c r="K8" s="101">
        <f>VLOOKUP(A8,'BSE ALL CAP'!$B$4:$Y$1038,10,)</f>
        <v>591</v>
      </c>
      <c r="L8" s="101">
        <f>VLOOKUP(A8,'BSE ALL CAP'!$B$4:$Y$1038,11,)</f>
        <v>3608</v>
      </c>
      <c r="M8" s="101">
        <f>VLOOKUP(A8,'BSE ALL CAP'!$B$4:$Y$1038,12,)</f>
        <v>2859</v>
      </c>
      <c r="N8" s="101">
        <f>VLOOKUP(A8,'BSE ALL CAP'!$B$4:$Y$1038,13,)</f>
        <v>222</v>
      </c>
      <c r="O8" s="101">
        <f>VLOOKUP(A8,'BSE ALL CAP'!$B$4:$Y$1038,14,)</f>
        <v>184</v>
      </c>
      <c r="P8" s="95">
        <f>VLOOKUP(A8,'BSE ALL CAP'!$B$4:$Y$1038,15,)</f>
        <v>6.4224548049476693E-2</v>
      </c>
      <c r="Q8" s="95">
        <f>VLOOKUP(A8,'BSE ALL CAP'!$B$4:$Y$1038,16,)</f>
        <v>6.874491101547052E-2</v>
      </c>
      <c r="R8" s="95">
        <f>VLOOKUP(A8,'BSE ALL CAP'!$B$4:$Y$1038,17,)</f>
        <v>-4.5203629659938266E-3</v>
      </c>
      <c r="S8" s="95">
        <f>VLOOKUP(A8,'BSE ALL CAP'!$B$4:$Y$1038,18,)</f>
        <v>6.1529933481152994E-2</v>
      </c>
      <c r="T8" s="95">
        <f>VLOOKUP(A8,'BSE ALL CAP'!$B$4:$Y$1038,19,)</f>
        <v>6.4358167191325644E-2</v>
      </c>
      <c r="U8" s="95">
        <f>VLOOKUP(A8,'BSE ALL CAP'!$B$4:$Y$1038,20,)</f>
        <v>-2.8282337101726493E-3</v>
      </c>
      <c r="V8" s="95">
        <f>VLOOKUP(A8,'BSE ALL CAP'!$B$4:$Y$1038,21,)</f>
        <v>0.22251948354077</v>
      </c>
      <c r="W8" s="95">
        <f>VLOOKUP(A8,'BSE ALL CAP'!$B$4:$Y$1038,22,)</f>
        <v>0.14213197969543145</v>
      </c>
      <c r="X8" s="95">
        <f>VLOOKUP(A8,'BSE ALL CAP'!$B$4:$Y$1038,23,)</f>
        <v>0.26197971318642876</v>
      </c>
      <c r="Y8" s="95">
        <f>VLOOKUP(A8,'BSE ALL CAP'!$B$4:$Y$1038,24,)</f>
        <v>0.20652173913043481</v>
      </c>
    </row>
    <row r="9" spans="1:25" ht="15.75" customHeight="1">
      <c r="A9" s="99">
        <v>543300</v>
      </c>
      <c r="B9" s="98" t="s">
        <v>5667</v>
      </c>
      <c r="C9" s="174" t="str">
        <f>VLOOKUP(A9,'BSE ALL CAP'!$B$4:$Y$1034,2,)</f>
        <v>Consumer Discretionary</v>
      </c>
      <c r="D9" s="174" t="str">
        <f>VLOOKUP(A9,'BSE ALL CAP'!$B$4:$Y$1034,3,)</f>
        <v>Auto Components &amp; Equipments</v>
      </c>
      <c r="E9" s="101">
        <f ca="1">IFERROR(__xludf.DUMMYFUNCTION("GOOGLEFINANCE(""BOM:""&amp;A9,""PRICE"")"),509.9)</f>
        <v>509.9</v>
      </c>
      <c r="F9" s="112">
        <f ca="1">IFERROR(__xludf.DUMMYFUNCTION("GOOGLEFINANCE(""BOM:""&amp;A9,""MARKETCAP"")/10000000"),31692.4268789)</f>
        <v>31692.426878900002</v>
      </c>
      <c r="G9" s="95">
        <f t="shared" ca="1" si="0"/>
        <v>3.327001168982574E-2</v>
      </c>
      <c r="H9" s="101">
        <f>VLOOKUP(A9,'BSE ALL CAP'!$B$4:$Y$1038,7,)</f>
        <v>3191</v>
      </c>
      <c r="I9" s="101">
        <f>VLOOKUP(A9,'BSE ALL CAP'!$B$4:$Y$1038,8,)</f>
        <v>2381</v>
      </c>
      <c r="J9" s="101">
        <f>VLOOKUP(A9,'BSE ALL CAP'!$B$4:$Y$1038,9,)</f>
        <v>442</v>
      </c>
      <c r="K9" s="101">
        <f>VLOOKUP(A9,'BSE ALL CAP'!$B$4:$Y$1038,10,)</f>
        <v>436</v>
      </c>
      <c r="L9" s="101">
        <f>VLOOKUP(A9,'BSE ALL CAP'!$B$4:$Y$1038,11,)</f>
        <v>1199</v>
      </c>
      <c r="M9" s="101">
        <f>VLOOKUP(A9,'BSE ALL CAP'!$B$4:$Y$1038,12,)</f>
        <v>867</v>
      </c>
      <c r="N9" s="101">
        <f>VLOOKUP(A9,'BSE ALL CAP'!$B$4:$Y$1038,13,)</f>
        <v>150</v>
      </c>
      <c r="O9" s="101">
        <f>VLOOKUP(A9,'BSE ALL CAP'!$B$4:$Y$1038,14,)</f>
        <v>150</v>
      </c>
      <c r="P9" s="95">
        <f>VLOOKUP(A9,'BSE ALL CAP'!$B$4:$Y$1038,15,)</f>
        <v>0.13851457223440927</v>
      </c>
      <c r="Q9" s="95">
        <f>VLOOKUP(A9,'BSE ALL CAP'!$B$4:$Y$1038,16,)</f>
        <v>0.18311633767324653</v>
      </c>
      <c r="R9" s="95">
        <f>VLOOKUP(A9,'BSE ALL CAP'!$B$4:$Y$1038,17,)</f>
        <v>-4.460176543883726E-2</v>
      </c>
      <c r="S9" s="95">
        <f>VLOOKUP(A9,'BSE ALL CAP'!$B$4:$Y$1038,18,)</f>
        <v>0.12510425354462051</v>
      </c>
      <c r="T9" s="95">
        <f>VLOOKUP(A9,'BSE ALL CAP'!$B$4:$Y$1038,19,)</f>
        <v>0.17301038062283736</v>
      </c>
      <c r="U9" s="95">
        <f>VLOOKUP(A9,'BSE ALL CAP'!$B$4:$Y$1038,20,)</f>
        <v>-4.7906127078216842E-2</v>
      </c>
      <c r="V9" s="95">
        <f>VLOOKUP(A9,'BSE ALL CAP'!$B$4:$Y$1038,21,)</f>
        <v>0.34019319613607735</v>
      </c>
      <c r="W9" s="95">
        <f>VLOOKUP(A9,'BSE ALL CAP'!$B$4:$Y$1038,22,)</f>
        <v>1.3761467889908285E-2</v>
      </c>
      <c r="X9" s="95">
        <f>VLOOKUP(A9,'BSE ALL CAP'!$B$4:$Y$1038,23,)</f>
        <v>0.38292964244521333</v>
      </c>
      <c r="Y9" s="95">
        <f>VLOOKUP(A9,'BSE ALL CAP'!$B$4:$Y$1038,24,)</f>
        <v>0</v>
      </c>
    </row>
    <row r="10" spans="1:25" ht="15.75" customHeight="1">
      <c r="A10" s="99">
        <v>533023</v>
      </c>
      <c r="B10" s="98" t="s">
        <v>5668</v>
      </c>
      <c r="C10" s="174" t="str">
        <f>VLOOKUP(A10,'BSE ALL CAP'!$B$4:$Y$1034,2,)</f>
        <v>Consumer Discretionary</v>
      </c>
      <c r="D10" s="174" t="str">
        <f>VLOOKUP(A10,'BSE ALL CAP'!$B$4:$Y$1034,3,)</f>
        <v>Auto Components &amp; Equipments</v>
      </c>
      <c r="E10" s="101">
        <f ca="1">IFERROR(__xludf.DUMMYFUNCTION("GOOGLEFINANCE(""BOM:""&amp;A10,""PRICE"")"),13778.85)</f>
        <v>13778.85</v>
      </c>
      <c r="F10" s="112">
        <f ca="1">IFERROR(__xludf.DUMMYFUNCTION("GOOGLEFINANCE(""BOM:""&amp;A10,""MARKETCAP"")/10000000"),26135.428482)</f>
        <v>26135.428481999999</v>
      </c>
      <c r="G10" s="95">
        <f t="shared" ca="1" si="0"/>
        <v>2.7436397169497063E-2</v>
      </c>
      <c r="H10" s="101">
        <f>VLOOKUP(A10,'BSE ALL CAP'!$B$4:$Y$1038,7,)</f>
        <v>2963</v>
      </c>
      <c r="I10" s="101">
        <f>VLOOKUP(A10,'BSE ALL CAP'!$B$4:$Y$1038,8,)</f>
        <v>2819</v>
      </c>
      <c r="J10" s="101">
        <f>VLOOKUP(A10,'BSE ALL CAP'!$B$4:$Y$1038,9,)</f>
        <v>370</v>
      </c>
      <c r="K10" s="101">
        <f>VLOOKUP(A10,'BSE ALL CAP'!$B$4:$Y$1038,10,)</f>
        <v>334</v>
      </c>
      <c r="L10" s="101">
        <f>VLOOKUP(A10,'BSE ALL CAP'!$B$4:$Y$1038,11,)</f>
        <v>1074</v>
      </c>
      <c r="M10" s="101">
        <f>VLOOKUP(A10,'BSE ALL CAP'!$B$4:$Y$1038,12,)</f>
        <v>962</v>
      </c>
      <c r="N10" s="101">
        <f>VLOOKUP(A10,'BSE ALL CAP'!$B$4:$Y$1038,13,)</f>
        <v>140</v>
      </c>
      <c r="O10" s="101">
        <f>VLOOKUP(A10,'BSE ALL CAP'!$B$4:$Y$1038,14,)</f>
        <v>125</v>
      </c>
      <c r="P10" s="95">
        <f>VLOOKUP(A10,'BSE ALL CAP'!$B$4:$Y$1038,15,)</f>
        <v>0.12487343908201147</v>
      </c>
      <c r="Q10" s="95">
        <f>VLOOKUP(A10,'BSE ALL CAP'!$B$4:$Y$1038,16,)</f>
        <v>0.11848173111032281</v>
      </c>
      <c r="R10" s="95">
        <f>VLOOKUP(A10,'BSE ALL CAP'!$B$4:$Y$1038,17,)</f>
        <v>6.3917079716886566E-3</v>
      </c>
      <c r="S10" s="95">
        <f>VLOOKUP(A10,'BSE ALL CAP'!$B$4:$Y$1038,18,)</f>
        <v>0.13035381750465549</v>
      </c>
      <c r="T10" s="95">
        <f>VLOOKUP(A10,'BSE ALL CAP'!$B$4:$Y$1038,19,)</f>
        <v>0.12993762993762994</v>
      </c>
      <c r="U10" s="95">
        <f>VLOOKUP(A10,'BSE ALL CAP'!$B$4:$Y$1038,20,)</f>
        <v>4.1618756702554993E-4</v>
      </c>
      <c r="V10" s="95">
        <f>VLOOKUP(A10,'BSE ALL CAP'!$B$4:$Y$1038,21,)</f>
        <v>5.1081943951756026E-2</v>
      </c>
      <c r="W10" s="95">
        <f>VLOOKUP(A10,'BSE ALL CAP'!$B$4:$Y$1038,22,)</f>
        <v>0.10778443113772451</v>
      </c>
      <c r="X10" s="95">
        <f>VLOOKUP(A10,'BSE ALL CAP'!$B$4:$Y$1038,23,)</f>
        <v>0.11642411642411643</v>
      </c>
      <c r="Y10" s="95">
        <f>VLOOKUP(A10,'BSE ALL CAP'!$B$4:$Y$1038,24,)</f>
        <v>0.12000000000000011</v>
      </c>
    </row>
    <row r="11" spans="1:25" ht="15.75" customHeight="1">
      <c r="A11" s="99">
        <v>500086</v>
      </c>
      <c r="B11" s="98" t="s">
        <v>5669</v>
      </c>
      <c r="C11" s="174" t="str">
        <f>VLOOKUP(A11,'BSE ALL CAP'!$B$4:$Y$1034,2,)</f>
        <v>Consumer Discretionary</v>
      </c>
      <c r="D11" s="174" t="str">
        <f>VLOOKUP(A11,'BSE ALL CAP'!$B$4:$Y$1034,3,)</f>
        <v>Auto Components &amp; Equipments</v>
      </c>
      <c r="E11" s="101">
        <f ca="1">IFERROR(__xludf.DUMMYFUNCTION("GOOGLEFINANCE(""BOM:""&amp;A11,""PRICE"")"),298.6)</f>
        <v>298.60000000000002</v>
      </c>
      <c r="F11" s="112">
        <f ca="1">IFERROR(__xludf.DUMMYFUNCTION("GOOGLEFINANCE(""BOM:""&amp;A11,""MARKETCAP"")/10000000"),25388.0504649)</f>
        <v>25388.050464899999</v>
      </c>
      <c r="G11" s="95">
        <f t="shared" ca="1" si="0"/>
        <v>2.6651816188663736E-2</v>
      </c>
      <c r="H11" s="101">
        <f>VLOOKUP(A11,'BSE ALL CAP'!$B$4:$Y$1038,7,)</f>
        <v>13260</v>
      </c>
      <c r="I11" s="101">
        <f>VLOOKUP(A11,'BSE ALL CAP'!$B$4:$Y$1038,8,)</f>
        <v>12902</v>
      </c>
      <c r="J11" s="101">
        <f>VLOOKUP(A11,'BSE ALL CAP'!$B$4:$Y$1038,9,)</f>
        <v>643</v>
      </c>
      <c r="K11" s="101">
        <f>VLOOKUP(A11,'BSE ALL CAP'!$B$4:$Y$1038,10,)</f>
        <v>613</v>
      </c>
      <c r="L11" s="101">
        <f>VLOOKUP(A11,'BSE ALL CAP'!$B$4:$Y$1038,11,)</f>
        <v>4201</v>
      </c>
      <c r="M11" s="101">
        <f>VLOOKUP(A11,'BSE ALL CAP'!$B$4:$Y$1038,12,)</f>
        <v>4017</v>
      </c>
      <c r="N11" s="101">
        <f>VLOOKUP(A11,'BSE ALL CAP'!$B$4:$Y$1038,13,)</f>
        <v>195</v>
      </c>
      <c r="O11" s="101">
        <f>VLOOKUP(A11,'BSE ALL CAP'!$B$4:$Y$1038,14,)</f>
        <v>158</v>
      </c>
      <c r="P11" s="95">
        <f>VLOOKUP(A11,'BSE ALL CAP'!$B$4:$Y$1038,15,)</f>
        <v>4.8491704374057316E-2</v>
      </c>
      <c r="Q11" s="95">
        <f>VLOOKUP(A11,'BSE ALL CAP'!$B$4:$Y$1038,16,)</f>
        <v>4.7512013641295925E-2</v>
      </c>
      <c r="R11" s="95">
        <f>VLOOKUP(A11,'BSE ALL CAP'!$B$4:$Y$1038,17,)</f>
        <v>9.7969073276139157E-4</v>
      </c>
      <c r="S11" s="95">
        <f>VLOOKUP(A11,'BSE ALL CAP'!$B$4:$Y$1038,18,)</f>
        <v>4.6417519638181387E-2</v>
      </c>
      <c r="T11" s="95">
        <f>VLOOKUP(A11,'BSE ALL CAP'!$B$4:$Y$1038,19,)</f>
        <v>3.9332835449340305E-2</v>
      </c>
      <c r="U11" s="95">
        <f>VLOOKUP(A11,'BSE ALL CAP'!$B$4:$Y$1038,20,)</f>
        <v>7.0846841888410825E-3</v>
      </c>
      <c r="V11" s="95">
        <f>VLOOKUP(A11,'BSE ALL CAP'!$B$4:$Y$1038,21,)</f>
        <v>2.7747636025422517E-2</v>
      </c>
      <c r="W11" s="95">
        <f>VLOOKUP(A11,'BSE ALL CAP'!$B$4:$Y$1038,22,)</f>
        <v>4.8939641109298604E-2</v>
      </c>
      <c r="X11" s="95">
        <f>VLOOKUP(A11,'BSE ALL CAP'!$B$4:$Y$1038,23,)</f>
        <v>4.5805327358725334E-2</v>
      </c>
      <c r="Y11" s="95">
        <f>VLOOKUP(A11,'BSE ALL CAP'!$B$4:$Y$1038,24,)</f>
        <v>0.23417721518987333</v>
      </c>
    </row>
    <row r="12" spans="1:25" ht="15.75" customHeight="1">
      <c r="A12" s="99">
        <v>543498</v>
      </c>
      <c r="B12" s="98" t="s">
        <v>5670</v>
      </c>
      <c r="C12" s="174" t="str">
        <f>VLOOKUP(A12,'BSE ALL CAP'!$B$4:$Y$1034,2,)</f>
        <v>Consumer Discretionary</v>
      </c>
      <c r="D12" s="174" t="str">
        <f>VLOOKUP(A12,'BSE ALL CAP'!$B$4:$Y$1034,3,)</f>
        <v>Auto Components &amp; Equipments</v>
      </c>
      <c r="E12" s="101">
        <f ca="1">IFERROR(__xludf.DUMMYFUNCTION("GOOGLEFINANCE(""BOM:""&amp;A12,""PRICE"")"),36.78)</f>
        <v>36.78</v>
      </c>
      <c r="F12" s="112">
        <f ca="1">IFERROR(__xludf.DUMMYFUNCTION("GOOGLEFINANCE(""BOM:""&amp;A12,""MARKETCAP"")/10000000"),24377.9847228)</f>
        <v>24377.9847228</v>
      </c>
      <c r="G12" s="95">
        <f t="shared" ca="1" si="0"/>
        <v>2.5591471420004421E-2</v>
      </c>
      <c r="H12" s="101">
        <f>VLOOKUP(A12,'BSE ALL CAP'!$B$4:$Y$1038,7,)</f>
        <v>8143</v>
      </c>
      <c r="I12" s="101">
        <f>VLOOKUP(A12,'BSE ALL CAP'!$B$4:$Y$1038,8,)</f>
        <v>6811</v>
      </c>
      <c r="J12" s="101">
        <f>VLOOKUP(A12,'BSE ALL CAP'!$B$4:$Y$1038,9,)</f>
        <v>458</v>
      </c>
      <c r="K12" s="101">
        <f>VLOOKUP(A12,'BSE ALL CAP'!$B$4:$Y$1038,10,)</f>
        <v>441</v>
      </c>
      <c r="L12" s="101">
        <f>VLOOKUP(A12,'BSE ALL CAP'!$B$4:$Y$1038,11,)</f>
        <v>2887</v>
      </c>
      <c r="M12" s="101">
        <f>VLOOKUP(A12,'BSE ALL CAP'!$B$4:$Y$1038,12,)</f>
        <v>2300</v>
      </c>
      <c r="N12" s="101">
        <f>VLOOKUP(A12,'BSE ALL CAP'!$B$4:$Y$1038,13,)</f>
        <v>149</v>
      </c>
      <c r="O12" s="101">
        <f>VLOOKUP(A12,'BSE ALL CAP'!$B$4:$Y$1038,14,)</f>
        <v>140</v>
      </c>
      <c r="P12" s="95">
        <f>VLOOKUP(A12,'BSE ALL CAP'!$B$4:$Y$1038,15,)</f>
        <v>5.6244627287240577E-2</v>
      </c>
      <c r="Q12" s="95">
        <f>VLOOKUP(A12,'BSE ALL CAP'!$B$4:$Y$1038,16,)</f>
        <v>6.4748201438848921E-2</v>
      </c>
      <c r="R12" s="95">
        <f>VLOOKUP(A12,'BSE ALL CAP'!$B$4:$Y$1038,17,)</f>
        <v>-8.5035741516083438E-3</v>
      </c>
      <c r="S12" s="95">
        <f>VLOOKUP(A12,'BSE ALL CAP'!$B$4:$Y$1038,18,)</f>
        <v>5.1610668514028402E-2</v>
      </c>
      <c r="T12" s="95">
        <f>VLOOKUP(A12,'BSE ALL CAP'!$B$4:$Y$1038,19,)</f>
        <v>6.0869565217391307E-2</v>
      </c>
      <c r="U12" s="95">
        <f>VLOOKUP(A12,'BSE ALL CAP'!$B$4:$Y$1038,20,)</f>
        <v>-9.2588967033629052E-3</v>
      </c>
      <c r="V12" s="95">
        <f>VLOOKUP(A12,'BSE ALL CAP'!$B$4:$Y$1038,21,)</f>
        <v>0.1955659961826457</v>
      </c>
      <c r="W12" s="95">
        <f>VLOOKUP(A12,'BSE ALL CAP'!$B$4:$Y$1038,22,)</f>
        <v>3.8548752834467015E-2</v>
      </c>
      <c r="X12" s="95">
        <f>VLOOKUP(A12,'BSE ALL CAP'!$B$4:$Y$1038,23,)</f>
        <v>0.25521739130434784</v>
      </c>
      <c r="Y12" s="95">
        <f>VLOOKUP(A12,'BSE ALL CAP'!$B$4:$Y$1038,24,)</f>
        <v>6.4285714285714279E-2</v>
      </c>
    </row>
    <row r="13" spans="1:25" ht="15.75" customHeight="1">
      <c r="A13" s="99">
        <v>544612</v>
      </c>
      <c r="B13" s="98" t="s">
        <v>5671</v>
      </c>
      <c r="C13" s="174" t="e">
        <f>VLOOKUP(A13,'BSE ALL CAP'!$B$4:$Y$1034,2,)</f>
        <v>#N/A</v>
      </c>
      <c r="D13" s="174" t="e">
        <f>VLOOKUP(A13,'BSE ALL CAP'!$B$4:$Y$1034,3,)</f>
        <v>#N/A</v>
      </c>
      <c r="E13" s="101">
        <f ca="1">IFERROR(__xludf.DUMMYFUNCTION("GOOGLEFINANCE(""BOM:""&amp;A13,""PRICE"")"),527.5)</f>
        <v>527.5</v>
      </c>
      <c r="F13" s="112">
        <f ca="1">IFERROR(__xludf.DUMMYFUNCTION("GOOGLEFINANCE(""BOM:""&amp;A13,""MARKETCAP"")/10000000"),21288.1040216)</f>
        <v>21288.1040216</v>
      </c>
      <c r="G13" s="95">
        <f t="shared" ca="1" si="0"/>
        <v>2.2347782716646308E-2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515030</v>
      </c>
      <c r="B14" s="98" t="s">
        <v>5672</v>
      </c>
      <c r="C14" s="174" t="str">
        <f>VLOOKUP(A14,'BSE ALL CAP'!$B$4:$Y$1034,2,)</f>
        <v>Consumer Discretionary</v>
      </c>
      <c r="D14" s="174" t="str">
        <f>VLOOKUP(A14,'BSE ALL CAP'!$B$4:$Y$1034,3,)</f>
        <v>Auto Components &amp; Equipments</v>
      </c>
      <c r="E14" s="101">
        <f ca="1">IFERROR(__xludf.DUMMYFUNCTION("GOOGLEFINANCE(""BOM:""&amp;A14,""PRICE"")"),809.4)</f>
        <v>809.4</v>
      </c>
      <c r="F14" s="112">
        <f ca="1">IFERROR(__xludf.DUMMYFUNCTION("GOOGLEFINANCE(""BOM:""&amp;A14,""MARKETCAP"")/10000000"),20661.84956)</f>
        <v>20661.849559999999</v>
      </c>
      <c r="G14" s="95">
        <f t="shared" ca="1" si="0"/>
        <v>2.1690354576546715E-2</v>
      </c>
      <c r="H14" s="101">
        <f>VLOOKUP(A14,'BSE ALL CAP'!$B$4:$Y$1038,7,)</f>
        <v>3635</v>
      </c>
      <c r="I14" s="101">
        <f>VLOOKUP(A14,'BSE ALL CAP'!$B$4:$Y$1038,8,)</f>
        <v>3414</v>
      </c>
      <c r="J14" s="101">
        <f>VLOOKUP(A14,'BSE ALL CAP'!$B$4:$Y$1038,9,)</f>
        <v>212</v>
      </c>
      <c r="K14" s="101">
        <f>VLOOKUP(A14,'BSE ALL CAP'!$B$4:$Y$1038,10,)</f>
        <v>275</v>
      </c>
      <c r="L14" s="101">
        <f>VLOOKUP(A14,'BSE ALL CAP'!$B$4:$Y$1038,11,)</f>
        <v>1255</v>
      </c>
      <c r="M14" s="101">
        <f>VLOOKUP(A14,'BSE ALL CAP'!$B$4:$Y$1038,12,)</f>
        <v>1124</v>
      </c>
      <c r="N14" s="101">
        <f>VLOOKUP(A14,'BSE ALL CAP'!$B$4:$Y$1038,13,)</f>
        <v>99</v>
      </c>
      <c r="O14" s="101">
        <f>VLOOKUP(A14,'BSE ALL CAP'!$B$4:$Y$1038,14,)</f>
        <v>104</v>
      </c>
      <c r="P14" s="95">
        <f>VLOOKUP(A14,'BSE ALL CAP'!$B$4:$Y$1038,15,)</f>
        <v>5.8321870701513068E-2</v>
      </c>
      <c r="Q14" s="95">
        <f>VLOOKUP(A14,'BSE ALL CAP'!$B$4:$Y$1038,16,)</f>
        <v>8.0550673696543645E-2</v>
      </c>
      <c r="R14" s="95">
        <f>VLOOKUP(A14,'BSE ALL CAP'!$B$4:$Y$1038,17,)</f>
        <v>-2.2228802995030578E-2</v>
      </c>
      <c r="S14" s="95">
        <f>VLOOKUP(A14,'BSE ALL CAP'!$B$4:$Y$1038,18,)</f>
        <v>7.8884462151394427E-2</v>
      </c>
      <c r="T14" s="95">
        <f>VLOOKUP(A14,'BSE ALL CAP'!$B$4:$Y$1038,19,)</f>
        <v>9.2526690391459068E-2</v>
      </c>
      <c r="U14" s="95">
        <f>VLOOKUP(A14,'BSE ALL CAP'!$B$4:$Y$1038,20,)</f>
        <v>-1.3642228240064641E-2</v>
      </c>
      <c r="V14" s="95">
        <f>VLOOKUP(A14,'BSE ALL CAP'!$B$4:$Y$1038,21,)</f>
        <v>6.4733450497949541E-2</v>
      </c>
      <c r="W14" s="95">
        <f>VLOOKUP(A14,'BSE ALL CAP'!$B$4:$Y$1038,22,)</f>
        <v>-0.22909090909090912</v>
      </c>
      <c r="X14" s="95">
        <f>VLOOKUP(A14,'BSE ALL CAP'!$B$4:$Y$1038,23,)</f>
        <v>0.11654804270462638</v>
      </c>
      <c r="Y14" s="95">
        <f>VLOOKUP(A14,'BSE ALL CAP'!$B$4:$Y$1038,24,)</f>
        <v>-4.8076923076923128E-2</v>
      </c>
    </row>
    <row r="15" spans="1:25" ht="15.75" customHeight="1">
      <c r="A15" s="99">
        <v>532756</v>
      </c>
      <c r="B15" s="98" t="s">
        <v>5673</v>
      </c>
      <c r="C15" s="174" t="str">
        <f>VLOOKUP(A15,'BSE ALL CAP'!$B$4:$Y$1034,2,)</f>
        <v>Consumer Discretionary</v>
      </c>
      <c r="D15" s="174" t="str">
        <f>VLOOKUP(A15,'BSE ALL CAP'!$B$4:$Y$1034,3,)</f>
        <v>Auto Components &amp; Equipments</v>
      </c>
      <c r="E15" s="101">
        <f ca="1">IFERROR(__xludf.DUMMYFUNCTION("GOOGLEFINANCE(""BOM:""&amp;A15,""PRICE"")"),466.7)</f>
        <v>466.7</v>
      </c>
      <c r="F15" s="112">
        <f ca="1">IFERROR(__xludf.DUMMYFUNCTION("GOOGLEFINANCE(""BOM:""&amp;A15,""MARKETCAP"")/10000000"),17666.8988625)</f>
        <v>17666.898862499998</v>
      </c>
      <c r="G15" s="95">
        <f t="shared" ca="1" si="0"/>
        <v>1.8546321300173807E-2</v>
      </c>
      <c r="H15" s="101">
        <f>VLOOKUP(A15,'BSE ALL CAP'!$B$4:$Y$1038,7,)</f>
        <v>9406</v>
      </c>
      <c r="I15" s="101">
        <f>VLOOKUP(A15,'BSE ALL CAP'!$B$4:$Y$1038,8,)</f>
        <v>8964</v>
      </c>
      <c r="J15" s="101">
        <f>VLOOKUP(A15,'BSE ALL CAP'!$B$4:$Y$1038,9,)</f>
        <v>828</v>
      </c>
      <c r="K15" s="101">
        <f>VLOOKUP(A15,'BSE ALL CAP'!$B$4:$Y$1038,10,)</f>
        <v>827</v>
      </c>
      <c r="L15" s="101">
        <f>VLOOKUP(A15,'BSE ALL CAP'!$B$4:$Y$1038,11,)</f>
        <v>2392</v>
      </c>
      <c r="M15" s="101">
        <f>VLOOKUP(A15,'BSE ALL CAP'!$B$4:$Y$1038,12,)</f>
        <v>2109</v>
      </c>
      <c r="N15" s="101">
        <f>VLOOKUP(A15,'BSE ALL CAP'!$B$4:$Y$1038,13,)</f>
        <v>204</v>
      </c>
      <c r="O15" s="101">
        <f>VLOOKUP(A15,'BSE ALL CAP'!$B$4:$Y$1038,14,)</f>
        <v>184</v>
      </c>
      <c r="P15" s="95">
        <f>VLOOKUP(A15,'BSE ALL CAP'!$B$4:$Y$1038,15,)</f>
        <v>8.8028917712098656E-2</v>
      </c>
      <c r="Q15" s="95">
        <f>VLOOKUP(A15,'BSE ALL CAP'!$B$4:$Y$1038,16,)</f>
        <v>9.2257920571173588E-2</v>
      </c>
      <c r="R15" s="95">
        <f>VLOOKUP(A15,'BSE ALL CAP'!$B$4:$Y$1038,17,)</f>
        <v>-4.2290028590749318E-3</v>
      </c>
      <c r="S15" s="95">
        <f>VLOOKUP(A15,'BSE ALL CAP'!$B$4:$Y$1038,18,)</f>
        <v>8.5284280936454848E-2</v>
      </c>
      <c r="T15" s="95">
        <f>VLOOKUP(A15,'BSE ALL CAP'!$B$4:$Y$1038,19,)</f>
        <v>8.7245139876718822E-2</v>
      </c>
      <c r="U15" s="95">
        <f>VLOOKUP(A15,'BSE ALL CAP'!$B$4:$Y$1038,20,)</f>
        <v>-1.9608589402639737E-3</v>
      </c>
      <c r="V15" s="95">
        <f>VLOOKUP(A15,'BSE ALL CAP'!$B$4:$Y$1038,21,)</f>
        <v>4.9308344489067402E-2</v>
      </c>
      <c r="W15" s="95">
        <f>VLOOKUP(A15,'BSE ALL CAP'!$B$4:$Y$1038,22,)</f>
        <v>1.2091898428052694E-3</v>
      </c>
      <c r="X15" s="95">
        <f>VLOOKUP(A15,'BSE ALL CAP'!$B$4:$Y$1038,23,)</f>
        <v>0.1341868183973447</v>
      </c>
      <c r="Y15" s="95">
        <f>VLOOKUP(A15,'BSE ALL CAP'!$B$4:$Y$1038,24,)</f>
        <v>0.10869565217391308</v>
      </c>
    </row>
    <row r="16" spans="1:25" ht="15.75" customHeight="1">
      <c r="A16" s="99">
        <v>544405</v>
      </c>
      <c r="B16" s="98" t="s">
        <v>5674</v>
      </c>
      <c r="C16" s="174" t="str">
        <f>VLOOKUP(A16,'BSE ALL CAP'!$B$4:$Y$1034,2,)</f>
        <v>Consumer Discretionary</v>
      </c>
      <c r="D16" s="174" t="str">
        <f>VLOOKUP(A16,'BSE ALL CAP'!$B$4:$Y$1034,3,)</f>
        <v>Auto Components &amp; Equipments</v>
      </c>
      <c r="E16" s="101">
        <f ca="1">IFERROR(__xludf.DUMMYFUNCTION("GOOGLEFINANCE(""BOM:""&amp;A16,""PRICE"")"),192.05)</f>
        <v>192.05</v>
      </c>
      <c r="F16" s="112">
        <f ca="1">IFERROR(__xludf.DUMMYFUNCTION("GOOGLEFINANCE(""BOM:""&amp;A16,""MARKETCAP"")/10000000"),17086.5738705)</f>
        <v>17086.5738705</v>
      </c>
      <c r="G16" s="95">
        <f t="shared" ca="1" si="0"/>
        <v>1.7937108905631934E-2</v>
      </c>
      <c r="H16" s="101">
        <f>VLOOKUP(A16,'BSE ALL CAP'!$B$4:$Y$1038,7,)</f>
        <v>6956</v>
      </c>
      <c r="I16" s="101">
        <f>VLOOKUP(A16,'BSE ALL CAP'!$B$4:$Y$1038,8,)</f>
        <v>6016</v>
      </c>
      <c r="J16" s="101">
        <f>VLOOKUP(A16,'BSE ALL CAP'!$B$4:$Y$1038,9,)</f>
        <v>366</v>
      </c>
      <c r="K16" s="101">
        <f>VLOOKUP(A16,'BSE ALL CAP'!$B$4:$Y$1038,10,)</f>
        <v>245</v>
      </c>
      <c r="L16" s="101">
        <f>VLOOKUP(A16,'BSE ALL CAP'!$B$4:$Y$1038,11,)</f>
        <v>2340</v>
      </c>
      <c r="M16" s="101">
        <f>VLOOKUP(A16,'BSE ALL CAP'!$B$4:$Y$1038,12,)</f>
        <v>2166</v>
      </c>
      <c r="N16" s="101">
        <f>VLOOKUP(A16,'BSE ALL CAP'!$B$4:$Y$1038,13,)</f>
        <v>121</v>
      </c>
      <c r="O16" s="101">
        <f>VLOOKUP(A16,'BSE ALL CAP'!$B$4:$Y$1038,14,)</f>
        <v>100</v>
      </c>
      <c r="P16" s="95">
        <f>VLOOKUP(A16,'BSE ALL CAP'!$B$4:$Y$1038,15,)</f>
        <v>5.2616446233467513E-2</v>
      </c>
      <c r="Q16" s="95">
        <f>VLOOKUP(A16,'BSE ALL CAP'!$B$4:$Y$1038,16,)</f>
        <v>4.0724734042553189E-2</v>
      </c>
      <c r="R16" s="95">
        <f>VLOOKUP(A16,'BSE ALL CAP'!$B$4:$Y$1038,17,)</f>
        <v>1.1891712190914325E-2</v>
      </c>
      <c r="S16" s="95">
        <f>VLOOKUP(A16,'BSE ALL CAP'!$B$4:$Y$1038,18,)</f>
        <v>5.1709401709401706E-2</v>
      </c>
      <c r="T16" s="95">
        <f>VLOOKUP(A16,'BSE ALL CAP'!$B$4:$Y$1038,19,)</f>
        <v>4.6168051708217916E-2</v>
      </c>
      <c r="U16" s="95">
        <f>VLOOKUP(A16,'BSE ALL CAP'!$B$4:$Y$1038,20,)</f>
        <v>5.5413500011837896E-3</v>
      </c>
      <c r="V16" s="95">
        <f>VLOOKUP(A16,'BSE ALL CAP'!$B$4:$Y$1038,21,)</f>
        <v>0.15625</v>
      </c>
      <c r="W16" s="95">
        <f>VLOOKUP(A16,'BSE ALL CAP'!$B$4:$Y$1038,22,)</f>
        <v>0.49387755102040809</v>
      </c>
      <c r="X16" s="95">
        <f>VLOOKUP(A16,'BSE ALL CAP'!$B$4:$Y$1038,23,)</f>
        <v>8.0332409972299068E-2</v>
      </c>
      <c r="Y16" s="95">
        <f>VLOOKUP(A16,'BSE ALL CAP'!$B$4:$Y$1038,24,)</f>
        <v>0.20999999999999996</v>
      </c>
    </row>
    <row r="17" spans="1:25" ht="15.75" customHeight="1">
      <c r="A17" s="99">
        <v>543276</v>
      </c>
      <c r="B17" s="98" t="s">
        <v>5675</v>
      </c>
      <c r="C17" s="174" t="str">
        <f>VLOOKUP(A17,'BSE ALL CAP'!$B$4:$Y$1034,2,)</f>
        <v>Consumer Discretionary</v>
      </c>
      <c r="D17" s="174" t="str">
        <f>VLOOKUP(A17,'BSE ALL CAP'!$B$4:$Y$1034,3,)</f>
        <v>Auto Components &amp; Equipments</v>
      </c>
      <c r="E17" s="101">
        <f ca="1">IFERROR(__xludf.DUMMYFUNCTION("GOOGLEFINANCE(""BOM:""&amp;A17,""PRICE"")"),6758)</f>
        <v>6758</v>
      </c>
      <c r="F17" s="112">
        <f ca="1">IFERROR(__xludf.DUMMYFUNCTION("GOOGLEFINANCE(""BOM:""&amp;A17,""MARKETCAP"")/10000000"),16120.4014275)</f>
        <v>16120.401427500001</v>
      </c>
      <c r="G17" s="95">
        <f t="shared" ca="1" si="0"/>
        <v>1.6922842355587497E-2</v>
      </c>
      <c r="H17" s="101">
        <f>VLOOKUP(A17,'BSE ALL CAP'!$B$4:$Y$1038,7,)</f>
        <v>5842</v>
      </c>
      <c r="I17" s="101">
        <f>VLOOKUP(A17,'BSE ALL CAP'!$B$4:$Y$1038,8,)</f>
        <v>3941</v>
      </c>
      <c r="J17" s="101">
        <f>VLOOKUP(A17,'BSE ALL CAP'!$B$4:$Y$1038,9,)</f>
        <v>267</v>
      </c>
      <c r="K17" s="101">
        <f>VLOOKUP(A17,'BSE ALL CAP'!$B$4:$Y$1038,10,)</f>
        <v>134</v>
      </c>
      <c r="L17" s="101">
        <f>VLOOKUP(A17,'BSE ALL CAP'!$B$4:$Y$1038,11,)</f>
        <v>2057</v>
      </c>
      <c r="M17" s="101">
        <f>VLOOKUP(A17,'BSE ALL CAP'!$B$4:$Y$1038,12,)</f>
        <v>1576</v>
      </c>
      <c r="N17" s="101">
        <f>VLOOKUP(A17,'BSE ALL CAP'!$B$4:$Y$1038,13,)</f>
        <v>107</v>
      </c>
      <c r="O17" s="101">
        <f>VLOOKUP(A17,'BSE ALL CAP'!$B$4:$Y$1038,14,)</f>
        <v>12</v>
      </c>
      <c r="P17" s="95">
        <f>VLOOKUP(A17,'BSE ALL CAP'!$B$4:$Y$1038,15,)</f>
        <v>4.5703526189661073E-2</v>
      </c>
      <c r="Q17" s="95">
        <f>VLOOKUP(A17,'BSE ALL CAP'!$B$4:$Y$1038,16,)</f>
        <v>3.400152245622938E-2</v>
      </c>
      <c r="R17" s="95">
        <f>VLOOKUP(A17,'BSE ALL CAP'!$B$4:$Y$1038,17,)</f>
        <v>1.1702003733431693E-2</v>
      </c>
      <c r="S17" s="95">
        <f>VLOOKUP(A17,'BSE ALL CAP'!$B$4:$Y$1038,18,)</f>
        <v>5.201750121536218E-2</v>
      </c>
      <c r="T17" s="95">
        <f>VLOOKUP(A17,'BSE ALL CAP'!$B$4:$Y$1038,19,)</f>
        <v>7.6142131979695434E-3</v>
      </c>
      <c r="U17" s="95">
        <f>VLOOKUP(A17,'BSE ALL CAP'!$B$4:$Y$1038,20,)</f>
        <v>4.4403288017392635E-2</v>
      </c>
      <c r="V17" s="95">
        <f>VLOOKUP(A17,'BSE ALL CAP'!$B$4:$Y$1038,21,)</f>
        <v>0.48236488200964223</v>
      </c>
      <c r="W17" s="95">
        <f>VLOOKUP(A17,'BSE ALL CAP'!$B$4:$Y$1038,22,)</f>
        <v>0.99253731343283591</v>
      </c>
      <c r="X17" s="95">
        <f>VLOOKUP(A17,'BSE ALL CAP'!$B$4:$Y$1038,23,)</f>
        <v>0.30520304568527923</v>
      </c>
      <c r="Y17" s="95">
        <f>VLOOKUP(A17,'BSE ALL CAP'!$B$4:$Y$1038,24,)</f>
        <v>7.9166666666666661</v>
      </c>
    </row>
    <row r="18" spans="1:25" ht="15.75" customHeight="1">
      <c r="A18" s="99">
        <v>500403</v>
      </c>
      <c r="B18" s="98" t="s">
        <v>5676</v>
      </c>
      <c r="C18" s="174" t="str">
        <f>VLOOKUP(A18,'BSE ALL CAP'!$B$4:$Y$1034,2,)</f>
        <v>Consumer Discretionary</v>
      </c>
      <c r="D18" s="174" t="str">
        <f>VLOOKUP(A18,'BSE ALL CAP'!$B$4:$Y$1034,3,)</f>
        <v>Auto Components &amp; Equipments</v>
      </c>
      <c r="E18" s="101">
        <f ca="1">IFERROR(__xludf.DUMMYFUNCTION("GOOGLEFINANCE(""BOM:""&amp;A18,""PRICE"")"),761.75)</f>
        <v>761.75</v>
      </c>
      <c r="F18" s="112">
        <f ca="1">IFERROR(__xludf.DUMMYFUNCTION("GOOGLEFINANCE(""BOM:""&amp;A18,""MARKETCAP"")/10000000"),16018.0876754)</f>
        <v>16018.0876754</v>
      </c>
      <c r="G18" s="95">
        <f t="shared" ca="1" si="0"/>
        <v>1.6815435632164141E-2</v>
      </c>
      <c r="H18" s="101">
        <f>VLOOKUP(A18,'BSE ALL CAP'!$B$4:$Y$1038,7,)</f>
        <v>4596</v>
      </c>
      <c r="I18" s="101">
        <f>VLOOKUP(A18,'BSE ALL CAP'!$B$4:$Y$1038,8,)</f>
        <v>4425</v>
      </c>
      <c r="J18" s="101">
        <f>VLOOKUP(A18,'BSE ALL CAP'!$B$4:$Y$1038,9,)</f>
        <v>431</v>
      </c>
      <c r="K18" s="101">
        <f>VLOOKUP(A18,'BSE ALL CAP'!$B$4:$Y$1038,10,)</f>
        <v>417</v>
      </c>
      <c r="L18" s="101">
        <f>VLOOKUP(A18,'BSE ALL CAP'!$B$4:$Y$1038,11,)</f>
        <v>1541</v>
      </c>
      <c r="M18" s="101">
        <f>VLOOKUP(A18,'BSE ALL CAP'!$B$4:$Y$1038,12,)</f>
        <v>1441</v>
      </c>
      <c r="N18" s="101">
        <f>VLOOKUP(A18,'BSE ALL CAP'!$B$4:$Y$1038,13,)</f>
        <v>131</v>
      </c>
      <c r="O18" s="101">
        <f>VLOOKUP(A18,'BSE ALL CAP'!$B$4:$Y$1038,14,)</f>
        <v>131</v>
      </c>
      <c r="P18" s="95">
        <f>VLOOKUP(A18,'BSE ALL CAP'!$B$4:$Y$1038,15,)</f>
        <v>9.3777197563098352E-2</v>
      </c>
      <c r="Q18" s="95">
        <f>VLOOKUP(A18,'BSE ALL CAP'!$B$4:$Y$1038,16,)</f>
        <v>9.423728813559322E-2</v>
      </c>
      <c r="R18" s="95">
        <f>VLOOKUP(A18,'BSE ALL CAP'!$B$4:$Y$1038,17,)</f>
        <v>-4.6009057249486729E-4</v>
      </c>
      <c r="S18" s="95">
        <f>VLOOKUP(A18,'BSE ALL CAP'!$B$4:$Y$1038,18,)</f>
        <v>8.5009733939000645E-2</v>
      </c>
      <c r="T18" s="95">
        <f>VLOOKUP(A18,'BSE ALL CAP'!$B$4:$Y$1038,19,)</f>
        <v>9.0909090909090912E-2</v>
      </c>
      <c r="U18" s="95">
        <f>VLOOKUP(A18,'BSE ALL CAP'!$B$4:$Y$1038,20,)</f>
        <v>-5.8993569700902665E-3</v>
      </c>
      <c r="V18" s="95">
        <f>VLOOKUP(A18,'BSE ALL CAP'!$B$4:$Y$1038,21,)</f>
        <v>3.8644067796610226E-2</v>
      </c>
      <c r="W18" s="95">
        <f>VLOOKUP(A18,'BSE ALL CAP'!$B$4:$Y$1038,22,)</f>
        <v>3.3573141486810565E-2</v>
      </c>
      <c r="X18" s="95">
        <f>VLOOKUP(A18,'BSE ALL CAP'!$B$4:$Y$1038,23,)</f>
        <v>6.9396252602359487E-2</v>
      </c>
      <c r="Y18" s="95">
        <f>VLOOKUP(A18,'BSE ALL CAP'!$B$4:$Y$1038,24,)</f>
        <v>0</v>
      </c>
    </row>
    <row r="19" spans="1:25" ht="15.75" customHeight="1">
      <c r="A19" s="99">
        <v>532605</v>
      </c>
      <c r="B19" s="98" t="s">
        <v>5677</v>
      </c>
      <c r="C19" s="174" t="str">
        <f>VLOOKUP(A19,'BSE ALL CAP'!$B$4:$Y$1034,2,)</f>
        <v>Consumer Discretionary</v>
      </c>
      <c r="D19" s="174" t="str">
        <f>VLOOKUP(A19,'BSE ALL CAP'!$B$4:$Y$1034,3,)</f>
        <v>Auto Components &amp; Equipments</v>
      </c>
      <c r="E19" s="101">
        <f ca="1">IFERROR(__xludf.DUMMYFUNCTION("GOOGLEFINANCE(""BOM:""&amp;A19,""PRICE"")"),561.15)</f>
        <v>561.15</v>
      </c>
      <c r="F19" s="112">
        <f ca="1">IFERROR(__xludf.DUMMYFUNCTION("GOOGLEFINANCE(""BOM:""&amp;A19,""MARKETCAP"")/10000000"),13270.8726103)</f>
        <v>13270.872610300001</v>
      </c>
      <c r="G19" s="95">
        <f t="shared" ca="1" si="0"/>
        <v>1.3931469766135936E-2</v>
      </c>
      <c r="H19" s="101">
        <f>VLOOKUP(A19,'BSE ALL CAP'!$B$4:$Y$1038,7,)</f>
        <v>4236</v>
      </c>
      <c r="I19" s="101">
        <f>VLOOKUP(A19,'BSE ALL CAP'!$B$4:$Y$1038,8,)</f>
        <v>3827</v>
      </c>
      <c r="J19" s="101">
        <f>VLOOKUP(A19,'BSE ALL CAP'!$B$4:$Y$1038,9,)</f>
        <v>154</v>
      </c>
      <c r="K19" s="101">
        <f>VLOOKUP(A19,'BSE ALL CAP'!$B$4:$Y$1038,10,)</f>
        <v>143</v>
      </c>
      <c r="L19" s="101">
        <f>VLOOKUP(A19,'BSE ALL CAP'!$B$4:$Y$1038,11,)</f>
        <v>1614</v>
      </c>
      <c r="M19" s="101">
        <f>VLOOKUP(A19,'BSE ALL CAP'!$B$4:$Y$1038,12,)</f>
        <v>1396</v>
      </c>
      <c r="N19" s="101">
        <f>VLOOKUP(A19,'BSE ALL CAP'!$B$4:$Y$1038,13,)</f>
        <v>60</v>
      </c>
      <c r="O19" s="101">
        <f>VLOOKUP(A19,'BSE ALL CAP'!$B$4:$Y$1038,14,)</f>
        <v>56</v>
      </c>
      <c r="P19" s="95">
        <f>VLOOKUP(A19,'BSE ALL CAP'!$B$4:$Y$1038,15,)</f>
        <v>3.6355051935788481E-2</v>
      </c>
      <c r="Q19" s="95">
        <f>VLOOKUP(A19,'BSE ALL CAP'!$B$4:$Y$1038,16,)</f>
        <v>3.7366083093807158E-2</v>
      </c>
      <c r="R19" s="95">
        <f>VLOOKUP(A19,'BSE ALL CAP'!$B$4:$Y$1038,17,)</f>
        <v>-1.011031158018677E-3</v>
      </c>
      <c r="S19" s="95">
        <f>VLOOKUP(A19,'BSE ALL CAP'!$B$4:$Y$1038,18,)</f>
        <v>3.717472118959108E-2</v>
      </c>
      <c r="T19" s="95">
        <f>VLOOKUP(A19,'BSE ALL CAP'!$B$4:$Y$1038,19,)</f>
        <v>4.0114613180515762E-2</v>
      </c>
      <c r="U19" s="95">
        <f>VLOOKUP(A19,'BSE ALL CAP'!$B$4:$Y$1038,20,)</f>
        <v>-2.9398919909246826E-3</v>
      </c>
      <c r="V19" s="95">
        <f>VLOOKUP(A19,'BSE ALL CAP'!$B$4:$Y$1038,21,)</f>
        <v>0.10687222367389593</v>
      </c>
      <c r="W19" s="95">
        <f>VLOOKUP(A19,'BSE ALL CAP'!$B$4:$Y$1038,22,)</f>
        <v>7.6923076923076872E-2</v>
      </c>
      <c r="X19" s="95">
        <f>VLOOKUP(A19,'BSE ALL CAP'!$B$4:$Y$1038,23,)</f>
        <v>0.15616045845272208</v>
      </c>
      <c r="Y19" s="95">
        <f>VLOOKUP(A19,'BSE ALL CAP'!$B$4:$Y$1038,24,)</f>
        <v>7.1428571428571397E-2</v>
      </c>
    </row>
    <row r="20" spans="1:25" ht="15.75" customHeight="1">
      <c r="A20" s="99">
        <v>544344</v>
      </c>
      <c r="B20" s="98" t="s">
        <v>5678</v>
      </c>
      <c r="C20" s="174" t="str">
        <f>VLOOKUP(A20,'BSE ALL CAP'!$B$4:$Y$1034,2,)</f>
        <v>Consumer Discretionary</v>
      </c>
      <c r="D20" s="174" t="str">
        <f>VLOOKUP(A20,'BSE ALL CAP'!$B$4:$Y$1034,3,)</f>
        <v>Auto Components &amp; Equipments</v>
      </c>
      <c r="E20" s="101">
        <f ca="1">IFERROR(__xludf.DUMMYFUNCTION("GOOGLEFINANCE(""BOM:""&amp;A20,""PRICE"")"),2964.15)</f>
        <v>2964.15</v>
      </c>
      <c r="F20" s="112">
        <f ca="1">IFERROR(__xludf.DUMMYFUNCTION("GOOGLEFINANCE(""BOM:""&amp;A20,""MARKETCAP"")/10000000"),13060.3307016)</f>
        <v>13060.3307016</v>
      </c>
      <c r="G20" s="95">
        <f t="shared" ca="1" si="0"/>
        <v>1.3710447507713979E-2</v>
      </c>
      <c r="H20" s="101">
        <f>VLOOKUP(A20,'BSE ALL CAP'!$B$4:$Y$1038,7,)</f>
        <v>3002</v>
      </c>
      <c r="I20" s="101">
        <f>VLOOKUP(A20,'BSE ALL CAP'!$B$4:$Y$1038,8,)</f>
        <v>2561</v>
      </c>
      <c r="J20" s="101">
        <f>VLOOKUP(A20,'BSE ALL CAP'!$B$4:$Y$1038,9,)</f>
        <v>402</v>
      </c>
      <c r="K20" s="101">
        <f>VLOOKUP(A20,'BSE ALL CAP'!$B$4:$Y$1038,10,)</f>
        <v>364</v>
      </c>
      <c r="L20" s="101">
        <f>VLOOKUP(A20,'BSE ALL CAP'!$B$4:$Y$1038,11,)</f>
        <v>1023</v>
      </c>
      <c r="M20" s="101">
        <f>VLOOKUP(A20,'BSE ALL CAP'!$B$4:$Y$1038,12,)</f>
        <v>847</v>
      </c>
      <c r="N20" s="101">
        <f>VLOOKUP(A20,'BSE ALL CAP'!$B$4:$Y$1038,13,)</f>
        <v>125</v>
      </c>
      <c r="O20" s="101">
        <f>VLOOKUP(A20,'BSE ALL CAP'!$B$4:$Y$1038,14,)</f>
        <v>120</v>
      </c>
      <c r="P20" s="95">
        <f>VLOOKUP(A20,'BSE ALL CAP'!$B$4:$Y$1038,15,)</f>
        <v>0.13391072618254496</v>
      </c>
      <c r="Q20" s="95">
        <f>VLOOKUP(A20,'BSE ALL CAP'!$B$4:$Y$1038,16,)</f>
        <v>0.14213197969543148</v>
      </c>
      <c r="R20" s="95">
        <f>VLOOKUP(A20,'BSE ALL CAP'!$B$4:$Y$1038,17,)</f>
        <v>-8.2212535128865227E-3</v>
      </c>
      <c r="S20" s="95">
        <f>VLOOKUP(A20,'BSE ALL CAP'!$B$4:$Y$1038,18,)</f>
        <v>0.12218963831867058</v>
      </c>
      <c r="T20" s="95">
        <f>VLOOKUP(A20,'BSE ALL CAP'!$B$4:$Y$1038,19,)</f>
        <v>0.14167650531286896</v>
      </c>
      <c r="U20" s="95">
        <f>VLOOKUP(A20,'BSE ALL CAP'!$B$4:$Y$1038,20,)</f>
        <v>-1.9486866994198382E-2</v>
      </c>
      <c r="V20" s="95">
        <f>VLOOKUP(A20,'BSE ALL CAP'!$B$4:$Y$1038,21,)</f>
        <v>0.17219836001561895</v>
      </c>
      <c r="W20" s="95">
        <f>VLOOKUP(A20,'BSE ALL CAP'!$B$4:$Y$1038,22,)</f>
        <v>0.10439560439560447</v>
      </c>
      <c r="X20" s="95">
        <f>VLOOKUP(A20,'BSE ALL CAP'!$B$4:$Y$1038,23,)</f>
        <v>0.20779220779220786</v>
      </c>
      <c r="Y20" s="95">
        <f>VLOOKUP(A20,'BSE ALL CAP'!$B$4:$Y$1038,24,)</f>
        <v>4.1666666666666741E-2</v>
      </c>
    </row>
    <row r="21" spans="1:25" ht="15.75" customHeight="1">
      <c r="A21" s="99">
        <v>543358</v>
      </c>
      <c r="B21" s="98" t="s">
        <v>5679</v>
      </c>
      <c r="C21" s="174" t="str">
        <f>VLOOKUP(A21,'BSE ALL CAP'!$B$4:$Y$1034,2,)</f>
        <v>Consumer Discretionary</v>
      </c>
      <c r="D21" s="174" t="str">
        <f>VLOOKUP(A21,'BSE ALL CAP'!$B$4:$Y$1034,3,)</f>
        <v>Auto Components &amp; Equipments</v>
      </c>
      <c r="E21" s="101">
        <f ca="1">IFERROR(__xludf.DUMMYFUNCTION("GOOGLEFINANCE(""BOM:""&amp;A21,""PRICE"")"),2134.75)</f>
        <v>2134.75</v>
      </c>
      <c r="F21" s="112">
        <f ca="1">IFERROR(__xludf.DUMMYFUNCTION("GOOGLEFINANCE(""BOM:""&amp;A21,""MARKETCAP"")/10000000"),13319.7372926)</f>
        <v>13319.737292600001</v>
      </c>
      <c r="G21" s="95">
        <f t="shared" ca="1" si="0"/>
        <v>1.3982766833336019E-2</v>
      </c>
      <c r="H21" s="101">
        <f>VLOOKUP(A21,'BSE ALL CAP'!$B$4:$Y$1038,7,)</f>
        <v>2499</v>
      </c>
      <c r="I21" s="101">
        <f>VLOOKUP(A21,'BSE ALL CAP'!$B$4:$Y$1038,8,)</f>
        <v>2235</v>
      </c>
      <c r="J21" s="101">
        <f>VLOOKUP(A21,'BSE ALL CAP'!$B$4:$Y$1038,9,)</f>
        <v>203</v>
      </c>
      <c r="K21" s="101">
        <f>VLOOKUP(A21,'BSE ALL CAP'!$B$4:$Y$1038,10,)</f>
        <v>157</v>
      </c>
      <c r="L21" s="101">
        <f>VLOOKUP(A21,'BSE ALL CAP'!$B$4:$Y$1038,11,)</f>
        <v>907</v>
      </c>
      <c r="M21" s="101">
        <f>VLOOKUP(A21,'BSE ALL CAP'!$B$4:$Y$1038,12,)</f>
        <v>727</v>
      </c>
      <c r="N21" s="101">
        <f>VLOOKUP(A21,'BSE ALL CAP'!$B$4:$Y$1038,13,)</f>
        <v>69</v>
      </c>
      <c r="O21" s="101">
        <f>VLOOKUP(A21,'BSE ALL CAP'!$B$4:$Y$1038,14,)</f>
        <v>55</v>
      </c>
      <c r="P21" s="95">
        <f>VLOOKUP(A21,'BSE ALL CAP'!$B$4:$Y$1038,15,)</f>
        <v>8.1232492997198882E-2</v>
      </c>
      <c r="Q21" s="95">
        <f>VLOOKUP(A21,'BSE ALL CAP'!$B$4:$Y$1038,16,)</f>
        <v>7.0246085011185677E-2</v>
      </c>
      <c r="R21" s="95">
        <f>VLOOKUP(A21,'BSE ALL CAP'!$B$4:$Y$1038,17,)</f>
        <v>1.0986407986013205E-2</v>
      </c>
      <c r="S21" s="95">
        <f>VLOOKUP(A21,'BSE ALL CAP'!$B$4:$Y$1038,18,)</f>
        <v>7.6074972436604188E-2</v>
      </c>
      <c r="T21" s="95">
        <f>VLOOKUP(A21,'BSE ALL CAP'!$B$4:$Y$1038,19,)</f>
        <v>7.5653370013755161E-2</v>
      </c>
      <c r="U21" s="95">
        <f>VLOOKUP(A21,'BSE ALL CAP'!$B$4:$Y$1038,20,)</f>
        <v>4.2160242284902671E-4</v>
      </c>
      <c r="V21" s="95">
        <f>VLOOKUP(A21,'BSE ALL CAP'!$B$4:$Y$1038,21,)</f>
        <v>0.11812080536912761</v>
      </c>
      <c r="W21" s="95">
        <f>VLOOKUP(A21,'BSE ALL CAP'!$B$4:$Y$1038,22,)</f>
        <v>0.29299363057324834</v>
      </c>
      <c r="X21" s="95">
        <f>VLOOKUP(A21,'BSE ALL CAP'!$B$4:$Y$1038,23,)</f>
        <v>0.24759284731774422</v>
      </c>
      <c r="Y21" s="95">
        <f>VLOOKUP(A21,'BSE ALL CAP'!$B$4:$Y$1038,24,)</f>
        <v>0.25454545454545463</v>
      </c>
    </row>
    <row r="22" spans="1:25" ht="15.75" customHeight="1">
      <c r="A22" s="99">
        <v>505714</v>
      </c>
      <c r="B22" s="98" t="s">
        <v>5680</v>
      </c>
      <c r="C22" s="174" t="str">
        <f>VLOOKUP(A22,'BSE ALL CAP'!$B$4:$Y$1034,2,)</f>
        <v>Consumer Discretionary</v>
      </c>
      <c r="D22" s="174" t="str">
        <f>VLOOKUP(A22,'BSE ALL CAP'!$B$4:$Y$1034,3,)</f>
        <v>Auto Components &amp; Equipments</v>
      </c>
      <c r="E22" s="101">
        <f ca="1">IFERROR(__xludf.DUMMYFUNCTION("GOOGLEFINANCE(""BOM:""&amp;A22,""PRICE"")"),885.7)</f>
        <v>885.7</v>
      </c>
      <c r="F22" s="112">
        <f ca="1">IFERROR(__xludf.DUMMYFUNCTION("GOOGLEFINANCE(""BOM:""&amp;A22,""MARKETCAP"")/10000000"),12741.20506)</f>
        <v>12741.20506</v>
      </c>
      <c r="G22" s="95">
        <f t="shared" ca="1" si="0"/>
        <v>1.3375436438125493E-2</v>
      </c>
      <c r="H22" s="101">
        <f>VLOOKUP(A22,'BSE ALL CAP'!$B$4:$Y$1038,7,)</f>
        <v>3457</v>
      </c>
      <c r="I22" s="101">
        <f>VLOOKUP(A22,'BSE ALL CAP'!$B$4:$Y$1038,8,)</f>
        <v>2990</v>
      </c>
      <c r="J22" s="101">
        <f>VLOOKUP(A22,'BSE ALL CAP'!$B$4:$Y$1038,9,)</f>
        <v>185</v>
      </c>
      <c r="K22" s="101">
        <f>VLOOKUP(A22,'BSE ALL CAP'!$B$4:$Y$1038,10,)</f>
        <v>180</v>
      </c>
      <c r="L22" s="101">
        <f>VLOOKUP(A22,'BSE ALL CAP'!$B$4:$Y$1038,11,)</f>
        <v>1178</v>
      </c>
      <c r="M22" s="101">
        <f>VLOOKUP(A22,'BSE ALL CAP'!$B$4:$Y$1038,12,)</f>
        <v>1016</v>
      </c>
      <c r="N22" s="101">
        <f>VLOOKUP(A22,'BSE ALL CAP'!$B$4:$Y$1038,13,)</f>
        <v>54</v>
      </c>
      <c r="O22" s="101">
        <f>VLOOKUP(A22,'BSE ALL CAP'!$B$4:$Y$1038,14,)</f>
        <v>60</v>
      </c>
      <c r="P22" s="95">
        <f>VLOOKUP(A22,'BSE ALL CAP'!$B$4:$Y$1038,15,)</f>
        <v>5.3514608041654615E-2</v>
      </c>
      <c r="Q22" s="95">
        <f>VLOOKUP(A22,'BSE ALL CAP'!$B$4:$Y$1038,16,)</f>
        <v>6.0200668896321072E-2</v>
      </c>
      <c r="R22" s="95">
        <f>VLOOKUP(A22,'BSE ALL CAP'!$B$4:$Y$1038,17,)</f>
        <v>-6.6860608546664563E-3</v>
      </c>
      <c r="S22" s="95">
        <f>VLOOKUP(A22,'BSE ALL CAP'!$B$4:$Y$1038,18,)</f>
        <v>4.5840407470288627E-2</v>
      </c>
      <c r="T22" s="95">
        <f>VLOOKUP(A22,'BSE ALL CAP'!$B$4:$Y$1038,19,)</f>
        <v>5.905511811023622E-2</v>
      </c>
      <c r="U22" s="95">
        <f>VLOOKUP(A22,'BSE ALL CAP'!$B$4:$Y$1038,20,)</f>
        <v>-1.3214710639947592E-2</v>
      </c>
      <c r="V22" s="95">
        <f>VLOOKUP(A22,'BSE ALL CAP'!$B$4:$Y$1038,21,)</f>
        <v>0.15618729096989958</v>
      </c>
      <c r="W22" s="95">
        <f>VLOOKUP(A22,'BSE ALL CAP'!$B$4:$Y$1038,22,)</f>
        <v>2.7777777777777679E-2</v>
      </c>
      <c r="X22" s="95">
        <f>VLOOKUP(A22,'BSE ALL CAP'!$B$4:$Y$1038,23,)</f>
        <v>0.15944881889763773</v>
      </c>
      <c r="Y22" s="95">
        <f>VLOOKUP(A22,'BSE ALL CAP'!$B$4:$Y$1038,24,)</f>
        <v>-9.9999999999999978E-2</v>
      </c>
    </row>
    <row r="23" spans="1:25" ht="15.75" customHeight="1">
      <c r="A23" s="99">
        <v>500008</v>
      </c>
      <c r="B23" s="98" t="s">
        <v>1406</v>
      </c>
      <c r="C23" s="174" t="str">
        <f>VLOOKUP(A23,'BSE ALL CAP'!$B$4:$Y$1034,2,)</f>
        <v>Consumer Discretionary</v>
      </c>
      <c r="D23" s="174" t="str">
        <f>VLOOKUP(A23,'BSE ALL CAP'!$B$4:$Y$1034,3,)</f>
        <v>Auto Components &amp; Equipments</v>
      </c>
      <c r="E23" s="101">
        <f ca="1">IFERROR(__xludf.DUMMYFUNCTION("GOOGLEFINANCE(""BOM:""&amp;A23,""PRICE"")"),718.35)</f>
        <v>718.35</v>
      </c>
      <c r="F23" s="112">
        <f ca="1">IFERROR(__xludf.DUMMYFUNCTION("GOOGLEFINANCE(""BOM:""&amp;A23,""MARKETCAP"")/10000000"),13324.25)</f>
        <v>13324.25</v>
      </c>
      <c r="G23" s="95">
        <f t="shared" ca="1" si="0"/>
        <v>1.3987504174169033E-2</v>
      </c>
      <c r="H23" s="101">
        <f>VLOOKUP(A23,'BSE ALL CAP'!$B$4:$Y$1038,7,)</f>
        <v>10278</v>
      </c>
      <c r="I23" s="101">
        <f>VLOOKUP(A23,'BSE ALL CAP'!$B$4:$Y$1038,8,)</f>
        <v>9786</v>
      </c>
      <c r="J23" s="101">
        <f>VLOOKUP(A23,'BSE ALL CAP'!$B$4:$Y$1038,9,)</f>
        <v>581</v>
      </c>
      <c r="K23" s="101">
        <f>VLOOKUP(A23,'BSE ALL CAP'!$B$4:$Y$1038,10,)</f>
        <v>783</v>
      </c>
      <c r="L23" s="101">
        <f>VLOOKUP(A23,'BSE ALL CAP'!$B$4:$Y$1038,11,)</f>
        <v>3410</v>
      </c>
      <c r="M23" s="101">
        <f>VLOOKUP(A23,'BSE ALL CAP'!$B$4:$Y$1038,12,)</f>
        <v>3272</v>
      </c>
      <c r="N23" s="101">
        <f>VLOOKUP(A23,'BSE ALL CAP'!$B$4:$Y$1038,13,)</f>
        <v>140</v>
      </c>
      <c r="O23" s="101">
        <f>VLOOKUP(A23,'BSE ALL CAP'!$B$4:$Y$1038,14,)</f>
        <v>298</v>
      </c>
      <c r="P23" s="95">
        <f>VLOOKUP(A23,'BSE ALL CAP'!$B$4:$Y$1038,15,)</f>
        <v>5.6528507491729905E-2</v>
      </c>
      <c r="Q23" s="95">
        <f>VLOOKUP(A23,'BSE ALL CAP'!$B$4:$Y$1038,16,)</f>
        <v>8.0012262415695895E-2</v>
      </c>
      <c r="R23" s="95">
        <f>VLOOKUP(A23,'BSE ALL CAP'!$B$4:$Y$1038,17,)</f>
        <v>-2.348375492396599E-2</v>
      </c>
      <c r="S23" s="95">
        <f>VLOOKUP(A23,'BSE ALL CAP'!$B$4:$Y$1038,18,)</f>
        <v>4.1055718475073312E-2</v>
      </c>
      <c r="T23" s="95">
        <f>VLOOKUP(A23,'BSE ALL CAP'!$B$4:$Y$1038,19,)</f>
        <v>9.1075794621026898E-2</v>
      </c>
      <c r="U23" s="95">
        <f>VLOOKUP(A23,'BSE ALL CAP'!$B$4:$Y$1038,20,)</f>
        <v>-5.0020076145953586E-2</v>
      </c>
      <c r="V23" s="95">
        <f>VLOOKUP(A23,'BSE ALL CAP'!$B$4:$Y$1038,21,)</f>
        <v>5.0275904353157541E-2</v>
      </c>
      <c r="W23" s="95">
        <f>VLOOKUP(A23,'BSE ALL CAP'!$B$4:$Y$1038,22,)</f>
        <v>-0.25798212005108556</v>
      </c>
      <c r="X23" s="95">
        <f>VLOOKUP(A23,'BSE ALL CAP'!$B$4:$Y$1038,23,)</f>
        <v>4.2176039119804498E-2</v>
      </c>
      <c r="Y23" s="95">
        <f>VLOOKUP(A23,'BSE ALL CAP'!$B$4:$Y$1038,24,)</f>
        <v>-0.53020134228187921</v>
      </c>
    </row>
    <row r="24" spans="1:25" ht="15.75" customHeight="1">
      <c r="A24" s="99">
        <v>538962</v>
      </c>
      <c r="B24" s="98" t="s">
        <v>5681</v>
      </c>
      <c r="C24" s="174" t="str">
        <f>VLOOKUP(A24,'BSE ALL CAP'!$B$4:$Y$1034,2,)</f>
        <v>Consumer Discretionary</v>
      </c>
      <c r="D24" s="174" t="str">
        <f>VLOOKUP(A24,'BSE ALL CAP'!$B$4:$Y$1034,3,)</f>
        <v>Auto Components &amp; Equipments</v>
      </c>
      <c r="E24" s="101">
        <f ca="1">IFERROR(__xludf.DUMMYFUNCTION("GOOGLEFINANCE(""BOM:""&amp;A24,""PRICE"")"),506.35)</f>
        <v>506.35</v>
      </c>
      <c r="F24" s="112">
        <f ca="1">IFERROR(__xludf.DUMMYFUNCTION("GOOGLEFINANCE(""BOM:""&amp;A24,""MARKETCAP"")/10000000"),11913.9690453)</f>
        <v>11913.9690453</v>
      </c>
      <c r="G24" s="95">
        <f t="shared" ca="1" si="0"/>
        <v>1.2507022290339374E-2</v>
      </c>
      <c r="H24" s="101">
        <f>VLOOKUP(A24,'BSE ALL CAP'!$B$4:$Y$1038,7,)</f>
        <v>4481</v>
      </c>
      <c r="I24" s="101">
        <f>VLOOKUP(A24,'BSE ALL CAP'!$B$4:$Y$1038,8,)</f>
        <v>3734</v>
      </c>
      <c r="J24" s="101">
        <f>VLOOKUP(A24,'BSE ALL CAP'!$B$4:$Y$1038,9,)</f>
        <v>234</v>
      </c>
      <c r="K24" s="101">
        <f>VLOOKUP(A24,'BSE ALL CAP'!$B$4:$Y$1038,10,)</f>
        <v>203</v>
      </c>
      <c r="L24" s="101">
        <f>VLOOKUP(A24,'BSE ALL CAP'!$B$4:$Y$1038,11,)</f>
        <v>1560</v>
      </c>
      <c r="M24" s="101">
        <f>VLOOKUP(A24,'BSE ALL CAP'!$B$4:$Y$1038,12,)</f>
        <v>1252</v>
      </c>
      <c r="N24" s="101">
        <f>VLOOKUP(A24,'BSE ALL CAP'!$B$4:$Y$1038,13,)</f>
        <v>84</v>
      </c>
      <c r="O24" s="101">
        <f>VLOOKUP(A24,'BSE ALL CAP'!$B$4:$Y$1038,14,)</f>
        <v>64</v>
      </c>
      <c r="P24" s="95">
        <f>VLOOKUP(A24,'BSE ALL CAP'!$B$4:$Y$1038,15,)</f>
        <v>5.2220486498549434E-2</v>
      </c>
      <c r="Q24" s="95">
        <f>VLOOKUP(A24,'BSE ALL CAP'!$B$4:$Y$1038,16,)</f>
        <v>5.4365291912158546E-2</v>
      </c>
      <c r="R24" s="95">
        <f>VLOOKUP(A24,'BSE ALL CAP'!$B$4:$Y$1038,17,)</f>
        <v>-2.1448054136091119E-3</v>
      </c>
      <c r="S24" s="95">
        <f>VLOOKUP(A24,'BSE ALL CAP'!$B$4:$Y$1038,18,)</f>
        <v>5.3846153846153849E-2</v>
      </c>
      <c r="T24" s="95">
        <f>VLOOKUP(A24,'BSE ALL CAP'!$B$4:$Y$1038,19,)</f>
        <v>5.1118210862619806E-2</v>
      </c>
      <c r="U24" s="95">
        <f>VLOOKUP(A24,'BSE ALL CAP'!$B$4:$Y$1038,20,)</f>
        <v>2.727942983534043E-3</v>
      </c>
      <c r="V24" s="95">
        <f>VLOOKUP(A24,'BSE ALL CAP'!$B$4:$Y$1038,21,)</f>
        <v>0.20005356186395296</v>
      </c>
      <c r="W24" s="95">
        <f>VLOOKUP(A24,'BSE ALL CAP'!$B$4:$Y$1038,22,)</f>
        <v>0.15270935960591125</v>
      </c>
      <c r="X24" s="95">
        <f>VLOOKUP(A24,'BSE ALL CAP'!$B$4:$Y$1038,23,)</f>
        <v>0.2460063897763578</v>
      </c>
      <c r="Y24" s="95">
        <f>VLOOKUP(A24,'BSE ALL CAP'!$B$4:$Y$1038,24,)</f>
        <v>0.3125</v>
      </c>
    </row>
    <row r="25" spans="1:25" ht="14.4">
      <c r="A25" s="99">
        <v>532796</v>
      </c>
      <c r="B25" s="98" t="s">
        <v>5682</v>
      </c>
      <c r="C25" s="174" t="str">
        <f>VLOOKUP(A25,'BSE ALL CAP'!$B$4:$Y$1034,2,)</f>
        <v>Consumer Discretionary</v>
      </c>
      <c r="D25" s="174" t="str">
        <f>VLOOKUP(A25,'BSE ALL CAP'!$B$4:$Y$1034,3,)</f>
        <v>Auto Components &amp; Equipments</v>
      </c>
      <c r="E25" s="101">
        <f ca="1">IFERROR(__xludf.DUMMYFUNCTION("GOOGLEFINANCE(""BOM:""&amp;A25,""PRICE"")"),1671.4)</f>
        <v>1671.4</v>
      </c>
      <c r="F25" s="112">
        <f ca="1">IFERROR(__xludf.DUMMYFUNCTION("GOOGLEFINANCE(""BOM:""&amp;A25,""MARKETCAP"")/10000000"),11386.5848205)</f>
        <v>11386.5848205</v>
      </c>
      <c r="G25" s="95">
        <f t="shared" ca="1" si="0"/>
        <v>1.1953385947147007E-2</v>
      </c>
      <c r="H25" s="101">
        <f>VLOOKUP(A25,'BSE ALL CAP'!$B$4:$Y$1038,7,)</f>
        <v>3453</v>
      </c>
      <c r="I25" s="101">
        <f>VLOOKUP(A25,'BSE ALL CAP'!$B$4:$Y$1038,8,)</f>
        <v>2503</v>
      </c>
      <c r="J25" s="101">
        <f>VLOOKUP(A25,'BSE ALL CAP'!$B$4:$Y$1038,9,)</f>
        <v>239</v>
      </c>
      <c r="K25" s="101">
        <f>VLOOKUP(A25,'BSE ALL CAP'!$B$4:$Y$1038,10,)</f>
        <v>149</v>
      </c>
      <c r="L25" s="101">
        <f>VLOOKUP(A25,'BSE ALL CAP'!$B$4:$Y$1038,11,)</f>
        <v>1270</v>
      </c>
      <c r="M25" s="101">
        <f>VLOOKUP(A25,'BSE ALL CAP'!$B$4:$Y$1038,12,)</f>
        <v>905</v>
      </c>
      <c r="N25" s="101">
        <f>VLOOKUP(A25,'BSE ALL CAP'!$B$4:$Y$1038,13,)</f>
        <v>108</v>
      </c>
      <c r="O25" s="101">
        <f>VLOOKUP(A25,'BSE ALL CAP'!$B$4:$Y$1038,14,)</f>
        <v>56</v>
      </c>
      <c r="P25" s="95">
        <f>VLOOKUP(A25,'BSE ALL CAP'!$B$4:$Y$1038,15,)</f>
        <v>6.9215175209962357E-2</v>
      </c>
      <c r="Q25" s="95">
        <f>VLOOKUP(A25,'BSE ALL CAP'!$B$4:$Y$1038,16,)</f>
        <v>5.9528565721134637E-2</v>
      </c>
      <c r="R25" s="95">
        <f>VLOOKUP(A25,'BSE ALL CAP'!$B$4:$Y$1038,17,)</f>
        <v>9.6866094888277202E-3</v>
      </c>
      <c r="S25" s="95">
        <f>VLOOKUP(A25,'BSE ALL CAP'!$B$4:$Y$1038,18,)</f>
        <v>8.5039370078740156E-2</v>
      </c>
      <c r="T25" s="95">
        <f>VLOOKUP(A25,'BSE ALL CAP'!$B$4:$Y$1038,19,)</f>
        <v>6.1878453038674036E-2</v>
      </c>
      <c r="U25" s="95">
        <f>VLOOKUP(A25,'BSE ALL CAP'!$B$4:$Y$1038,20,)</f>
        <v>2.316091704006612E-2</v>
      </c>
      <c r="V25" s="95">
        <f>VLOOKUP(A25,'BSE ALL CAP'!$B$4:$Y$1038,21,)</f>
        <v>0.37954454654414693</v>
      </c>
      <c r="W25" s="95">
        <f>VLOOKUP(A25,'BSE ALL CAP'!$B$4:$Y$1038,22,)</f>
        <v>0.60402684563758391</v>
      </c>
      <c r="X25" s="95">
        <f>VLOOKUP(A25,'BSE ALL CAP'!$B$4:$Y$1038,23,)</f>
        <v>0.40331491712707179</v>
      </c>
      <c r="Y25" s="95">
        <f>VLOOKUP(A25,'BSE ALL CAP'!$B$4:$Y$1038,24,)</f>
        <v>0.9285714285714286</v>
      </c>
    </row>
    <row r="26" spans="1:25" ht="14.4">
      <c r="A26" s="99">
        <v>532527</v>
      </c>
      <c r="B26" s="98" t="s">
        <v>5683</v>
      </c>
      <c r="C26" s="174" t="str">
        <f>VLOOKUP(A26,'BSE ALL CAP'!$B$4:$Y$1034,2,)</f>
        <v>Consumer Discretionary</v>
      </c>
      <c r="D26" s="174" t="str">
        <f>VLOOKUP(A26,'BSE ALL CAP'!$B$4:$Y$1034,3,)</f>
        <v>Auto Components &amp; Equipments</v>
      </c>
      <c r="E26" s="101">
        <f ca="1">IFERROR(__xludf.DUMMYFUNCTION("GOOGLEFINANCE(""BOM:""&amp;A26,""PRICE"")"),502.75)</f>
        <v>502.75</v>
      </c>
      <c r="F26" s="112">
        <f ca="1">IFERROR(__xludf.DUMMYFUNCTION("GOOGLEFINANCE(""BOM:""&amp;A26,""MARKETCAP"")/10000000"),9102.3889742)</f>
        <v>9102.3889741999992</v>
      </c>
      <c r="G26" s="95">
        <f t="shared" ca="1" si="0"/>
        <v>9.5554874586961866E-3</v>
      </c>
      <c r="H26" s="101">
        <f>VLOOKUP(A26,'BSE ALL CAP'!$B$4:$Y$1038,7,)</f>
        <v>3021</v>
      </c>
      <c r="I26" s="101">
        <f>VLOOKUP(A26,'BSE ALL CAP'!$B$4:$Y$1038,8,)</f>
        <v>3086</v>
      </c>
      <c r="J26" s="101">
        <f>VLOOKUP(A26,'BSE ALL CAP'!$B$4:$Y$1038,9,)</f>
        <v>15</v>
      </c>
      <c r="K26" s="101">
        <f>VLOOKUP(A26,'BSE ALL CAP'!$B$4:$Y$1038,10,)</f>
        <v>215</v>
      </c>
      <c r="L26" s="101">
        <f>VLOOKUP(A26,'BSE ALL CAP'!$B$4:$Y$1038,11,)</f>
        <v>1098</v>
      </c>
      <c r="M26" s="101">
        <f>VLOOKUP(A26,'BSE ALL CAP'!$B$4:$Y$1038,12,)</f>
        <v>1073</v>
      </c>
      <c r="N26" s="101">
        <f>VLOOKUP(A26,'BSE ALL CAP'!$B$4:$Y$1038,13,)</f>
        <v>13</v>
      </c>
      <c r="O26" s="101">
        <f>VLOOKUP(A26,'BSE ALL CAP'!$B$4:$Y$1038,14,)</f>
        <v>20</v>
      </c>
      <c r="P26" s="95">
        <f>VLOOKUP(A26,'BSE ALL CAP'!$B$4:$Y$1038,15,)</f>
        <v>4.9652432969215492E-3</v>
      </c>
      <c r="Q26" s="95">
        <f>VLOOKUP(A26,'BSE ALL CAP'!$B$4:$Y$1038,16,)</f>
        <v>6.9669475048606613E-2</v>
      </c>
      <c r="R26" s="95">
        <f>VLOOKUP(A26,'BSE ALL CAP'!$B$4:$Y$1038,17,)</f>
        <v>-6.4704231751685062E-2</v>
      </c>
      <c r="S26" s="95">
        <f>VLOOKUP(A26,'BSE ALL CAP'!$B$4:$Y$1038,18,)</f>
        <v>1.1839708561020037E-2</v>
      </c>
      <c r="T26" s="95">
        <f>VLOOKUP(A26,'BSE ALL CAP'!$B$4:$Y$1038,19,)</f>
        <v>1.8639328984156569E-2</v>
      </c>
      <c r="U26" s="95">
        <f>VLOOKUP(A26,'BSE ALL CAP'!$B$4:$Y$1038,20,)</f>
        <v>-6.799620423136532E-3</v>
      </c>
      <c r="V26" s="95">
        <f>VLOOKUP(A26,'BSE ALL CAP'!$B$4:$Y$1038,21,)</f>
        <v>-2.106286454957873E-2</v>
      </c>
      <c r="W26" s="95">
        <f>VLOOKUP(A26,'BSE ALL CAP'!$B$4:$Y$1038,22,)</f>
        <v>-0.93023255813953487</v>
      </c>
      <c r="X26" s="95">
        <f>VLOOKUP(A26,'BSE ALL CAP'!$B$4:$Y$1038,23,)</f>
        <v>2.329916123019582E-2</v>
      </c>
      <c r="Y26" s="95">
        <f>VLOOKUP(A26,'BSE ALL CAP'!$B$4:$Y$1038,24,)</f>
        <v>-0.35</v>
      </c>
    </row>
    <row r="27" spans="1:25" ht="14.4">
      <c r="A27" s="99">
        <v>544022</v>
      </c>
      <c r="B27" s="98" t="s">
        <v>5684</v>
      </c>
      <c r="C27" s="174" t="str">
        <f>VLOOKUP(A27,'BSE ALL CAP'!$B$4:$Y$1034,2,)</f>
        <v>Consumer Discretionary</v>
      </c>
      <c r="D27" s="174" t="str">
        <f>VLOOKUP(A27,'BSE ALL CAP'!$B$4:$Y$1034,3,)</f>
        <v>Auto Components &amp; Equipments</v>
      </c>
      <c r="E27" s="101">
        <f ca="1">IFERROR(__xludf.DUMMYFUNCTION("GOOGLEFINANCE(""BOM:""&amp;A27,""PRICE"")"),434.8)</f>
        <v>434.8</v>
      </c>
      <c r="F27" s="112">
        <f ca="1">IFERROR(__xludf.DUMMYFUNCTION("GOOGLEFINANCE(""BOM:""&amp;A27,""MARKETCAP"")/10000000"),8562.8846078)</f>
        <v>8562.8846078000006</v>
      </c>
      <c r="G27" s="95">
        <f t="shared" ca="1" si="0"/>
        <v>8.9891276578066507E-3</v>
      </c>
      <c r="H27" s="101">
        <f>VLOOKUP(A27,'BSE ALL CAP'!$B$4:$Y$1038,7,)</f>
        <v>3042</v>
      </c>
      <c r="I27" s="101">
        <f>VLOOKUP(A27,'BSE ALL CAP'!$B$4:$Y$1038,8,)</f>
        <v>2760</v>
      </c>
      <c r="J27" s="101">
        <f>VLOOKUP(A27,'BSE ALL CAP'!$B$4:$Y$1038,9,)</f>
        <v>225</v>
      </c>
      <c r="K27" s="101">
        <f>VLOOKUP(A27,'BSE ALL CAP'!$B$4:$Y$1038,10,)</f>
        <v>190</v>
      </c>
      <c r="L27" s="101">
        <f>VLOOKUP(A27,'BSE ALL CAP'!$B$4:$Y$1038,11,)</f>
        <v>1088</v>
      </c>
      <c r="M27" s="101">
        <f>VLOOKUP(A27,'BSE ALL CAP'!$B$4:$Y$1038,12,)</f>
        <v>919</v>
      </c>
      <c r="N27" s="101">
        <f>VLOOKUP(A27,'BSE ALL CAP'!$B$4:$Y$1038,13,)</f>
        <v>80</v>
      </c>
      <c r="O27" s="101">
        <f>VLOOKUP(A27,'BSE ALL CAP'!$B$4:$Y$1038,14,)</f>
        <v>66</v>
      </c>
      <c r="P27" s="95">
        <f>VLOOKUP(A27,'BSE ALL CAP'!$B$4:$Y$1038,15,)</f>
        <v>7.3964497041420121E-2</v>
      </c>
      <c r="Q27" s="95">
        <f>VLOOKUP(A27,'BSE ALL CAP'!$B$4:$Y$1038,16,)</f>
        <v>6.8840579710144928E-2</v>
      </c>
      <c r="R27" s="95">
        <f>VLOOKUP(A27,'BSE ALL CAP'!$B$4:$Y$1038,17,)</f>
        <v>5.1239173312751934E-3</v>
      </c>
      <c r="S27" s="95">
        <f>VLOOKUP(A27,'BSE ALL CAP'!$B$4:$Y$1038,18,)</f>
        <v>7.3529411764705885E-2</v>
      </c>
      <c r="T27" s="95">
        <f>VLOOKUP(A27,'BSE ALL CAP'!$B$4:$Y$1038,19,)</f>
        <v>7.181719260065289E-2</v>
      </c>
      <c r="U27" s="95">
        <f>VLOOKUP(A27,'BSE ALL CAP'!$B$4:$Y$1038,20,)</f>
        <v>1.7122191640529943E-3</v>
      </c>
      <c r="V27" s="95">
        <f>VLOOKUP(A27,'BSE ALL CAP'!$B$4:$Y$1038,21,)</f>
        <v>0.10217391304347823</v>
      </c>
      <c r="W27" s="95">
        <f>VLOOKUP(A27,'BSE ALL CAP'!$B$4:$Y$1038,22,)</f>
        <v>0.18421052631578938</v>
      </c>
      <c r="X27" s="95">
        <f>VLOOKUP(A27,'BSE ALL CAP'!$B$4:$Y$1038,23,)</f>
        <v>0.18389553862894448</v>
      </c>
      <c r="Y27" s="95">
        <f>VLOOKUP(A27,'BSE ALL CAP'!$B$4:$Y$1038,24,)</f>
        <v>0.21212121212121215</v>
      </c>
    </row>
    <row r="28" spans="1:25" ht="14.4">
      <c r="A28" s="99">
        <v>500039</v>
      </c>
      <c r="B28" s="98" t="s">
        <v>5685</v>
      </c>
      <c r="C28" s="174" t="str">
        <f>VLOOKUP(A28,'BSE ALL CAP'!$B$4:$Y$1034,2,)</f>
        <v>Consumer Discretionary</v>
      </c>
      <c r="D28" s="174" t="str">
        <f>VLOOKUP(A28,'BSE ALL CAP'!$B$4:$Y$1034,3,)</f>
        <v>Auto Components &amp; Equipments</v>
      </c>
      <c r="E28" s="101">
        <f ca="1">IFERROR(__xludf.DUMMYFUNCTION("GOOGLEFINANCE(""BOM:""&amp;A28,""PRICE"")"),531.65)</f>
        <v>531.65</v>
      </c>
      <c r="F28" s="112">
        <f ca="1">IFERROR(__xludf.DUMMYFUNCTION("GOOGLEFINANCE(""BOM:""&amp;A28,""MARKETCAP"")/10000000"),7615.3062012)</f>
        <v>7615.3062012</v>
      </c>
      <c r="G28" s="95">
        <f t="shared" ca="1" si="0"/>
        <v>7.9943807176284087E-3</v>
      </c>
      <c r="H28" s="101">
        <f>VLOOKUP(A28,'BSE ALL CAP'!$B$4:$Y$1038,7,)</f>
        <v>2776</v>
      </c>
      <c r="I28" s="101">
        <f>VLOOKUP(A28,'BSE ALL CAP'!$B$4:$Y$1038,8,)</f>
        <v>2318</v>
      </c>
      <c r="J28" s="101">
        <f>VLOOKUP(A28,'BSE ALL CAP'!$B$4:$Y$1038,9,)</f>
        <v>334</v>
      </c>
      <c r="K28" s="101">
        <f>VLOOKUP(A28,'BSE ALL CAP'!$B$4:$Y$1038,10,)</f>
        <v>238</v>
      </c>
      <c r="L28" s="101">
        <f>VLOOKUP(A28,'BSE ALL CAP'!$B$4:$Y$1038,11,)</f>
        <v>781</v>
      </c>
      <c r="M28" s="101">
        <f>VLOOKUP(A28,'BSE ALL CAP'!$B$4:$Y$1038,12,)</f>
        <v>632</v>
      </c>
      <c r="N28" s="101">
        <f>VLOOKUP(A28,'BSE ALL CAP'!$B$4:$Y$1038,13,)</f>
        <v>85</v>
      </c>
      <c r="O28" s="101">
        <f>VLOOKUP(A28,'BSE ALL CAP'!$B$4:$Y$1038,14,)</f>
        <v>30</v>
      </c>
      <c r="P28" s="95">
        <f>VLOOKUP(A28,'BSE ALL CAP'!$B$4:$Y$1038,15,)</f>
        <v>0.12031700288184438</v>
      </c>
      <c r="Q28" s="95">
        <f>VLOOKUP(A28,'BSE ALL CAP'!$B$4:$Y$1038,16,)</f>
        <v>0.10267471958584987</v>
      </c>
      <c r="R28" s="95">
        <f>VLOOKUP(A28,'BSE ALL CAP'!$B$4:$Y$1038,17,)</f>
        <v>1.7642283295994515E-2</v>
      </c>
      <c r="S28" s="95">
        <f>VLOOKUP(A28,'BSE ALL CAP'!$B$4:$Y$1038,18,)</f>
        <v>0.1088348271446863</v>
      </c>
      <c r="T28" s="95">
        <f>VLOOKUP(A28,'BSE ALL CAP'!$B$4:$Y$1038,19,)</f>
        <v>4.746835443037975E-2</v>
      </c>
      <c r="U28" s="95">
        <f>VLOOKUP(A28,'BSE ALL CAP'!$B$4:$Y$1038,20,)</f>
        <v>6.136647271430655E-2</v>
      </c>
      <c r="V28" s="95">
        <f>VLOOKUP(A28,'BSE ALL CAP'!$B$4:$Y$1038,21,)</f>
        <v>0.19758412424503891</v>
      </c>
      <c r="W28" s="95">
        <f>VLOOKUP(A28,'BSE ALL CAP'!$B$4:$Y$1038,22,)</f>
        <v>0.40336134453781503</v>
      </c>
      <c r="X28" s="95">
        <f>VLOOKUP(A28,'BSE ALL CAP'!$B$4:$Y$1038,23,)</f>
        <v>0.235759493670886</v>
      </c>
      <c r="Y28" s="95">
        <f>VLOOKUP(A28,'BSE ALL CAP'!$B$4:$Y$1038,24,)</f>
        <v>1.8333333333333335</v>
      </c>
    </row>
    <row r="29" spans="1:25" ht="14.4">
      <c r="A29" s="99">
        <v>541578</v>
      </c>
      <c r="B29" s="98" t="s">
        <v>5686</v>
      </c>
      <c r="C29" s="174" t="str">
        <f>VLOOKUP(A29,'BSE ALL CAP'!$B$4:$Y$1034,2,)</f>
        <v>Consumer Discretionary</v>
      </c>
      <c r="D29" s="174" t="str">
        <f>VLOOKUP(A29,'BSE ALL CAP'!$B$4:$Y$1034,3,)</f>
        <v>Auto Components &amp; Equipments</v>
      </c>
      <c r="E29" s="101">
        <f ca="1">IFERROR(__xludf.DUMMYFUNCTION("GOOGLEFINANCE(""BOM:""&amp;A29,""PRICE"")"),478.8)</f>
        <v>478.8</v>
      </c>
      <c r="F29" s="112">
        <f ca="1">IFERROR(__xludf.DUMMYFUNCTION("GOOGLEFINANCE(""BOM:""&amp;A29,""MARKETCAP"")/10000000"),7319.9965172)</f>
        <v>7319.9965172000002</v>
      </c>
      <c r="G29" s="95">
        <f t="shared" ca="1" si="0"/>
        <v>7.684371115765449E-3</v>
      </c>
      <c r="H29" s="101">
        <f>VLOOKUP(A29,'BSE ALL CAP'!$B$4:$Y$1038,7,)</f>
        <v>6522</v>
      </c>
      <c r="I29" s="101">
        <f>VLOOKUP(A29,'BSE ALL CAP'!$B$4:$Y$1038,8,)</f>
        <v>6054</v>
      </c>
      <c r="J29" s="101">
        <f>VLOOKUP(A29,'BSE ALL CAP'!$B$4:$Y$1038,9,)</f>
        <v>159</v>
      </c>
      <c r="K29" s="101">
        <f>VLOOKUP(A29,'BSE ALL CAP'!$B$4:$Y$1038,10,)</f>
        <v>46</v>
      </c>
      <c r="L29" s="101">
        <f>VLOOKUP(A29,'BSE ALL CAP'!$B$4:$Y$1038,11,)</f>
        <v>2287</v>
      </c>
      <c r="M29" s="101">
        <f>VLOOKUP(A29,'BSE ALL CAP'!$B$4:$Y$1038,12,)</f>
        <v>2075</v>
      </c>
      <c r="N29" s="101">
        <f>VLOOKUP(A29,'BSE ALL CAP'!$B$4:$Y$1038,13,)</f>
        <v>-11</v>
      </c>
      <c r="O29" s="101">
        <f>VLOOKUP(A29,'BSE ALL CAP'!$B$4:$Y$1038,14,)</f>
        <v>-45</v>
      </c>
      <c r="P29" s="95">
        <f>VLOOKUP(A29,'BSE ALL CAP'!$B$4:$Y$1038,15,)</f>
        <v>2.437902483900644E-2</v>
      </c>
      <c r="Q29" s="95">
        <f>VLOOKUP(A29,'BSE ALL CAP'!$B$4:$Y$1038,16,)</f>
        <v>7.5982821275189958E-3</v>
      </c>
      <c r="R29" s="95">
        <f>VLOOKUP(A29,'BSE ALL CAP'!$B$4:$Y$1038,17,)</f>
        <v>1.6780742711487443E-2</v>
      </c>
      <c r="S29" s="95">
        <f>VLOOKUP(A29,'BSE ALL CAP'!$B$4:$Y$1038,18,)</f>
        <v>-4.809794490599038E-3</v>
      </c>
      <c r="T29" s="95">
        <f>VLOOKUP(A29,'BSE ALL CAP'!$B$4:$Y$1038,19,)</f>
        <v>-2.1686746987951807E-2</v>
      </c>
      <c r="U29" s="95">
        <f>VLOOKUP(A29,'BSE ALL CAP'!$B$4:$Y$1038,20,)</f>
        <v>1.6876952497352771E-2</v>
      </c>
      <c r="V29" s="95">
        <f>VLOOKUP(A29,'BSE ALL CAP'!$B$4:$Y$1038,21,)</f>
        <v>7.7304261645193328E-2</v>
      </c>
      <c r="W29" s="95">
        <f>VLOOKUP(A29,'BSE ALL CAP'!$B$4:$Y$1038,22,)</f>
        <v>2.4565217391304346</v>
      </c>
      <c r="X29" s="95">
        <f>VLOOKUP(A29,'BSE ALL CAP'!$B$4:$Y$1038,23,)</f>
        <v>0.10216867469879509</v>
      </c>
      <c r="Y29" s="95">
        <f>VLOOKUP(A29,'BSE ALL CAP'!$B$4:$Y$1038,24,)</f>
        <v>-0.75555555555555554</v>
      </c>
    </row>
    <row r="30" spans="1:25" ht="14.4">
      <c r="A30" s="99">
        <v>500472</v>
      </c>
      <c r="B30" s="98" t="s">
        <v>5687</v>
      </c>
      <c r="C30" s="174" t="str">
        <f>VLOOKUP(A30,'BSE ALL CAP'!$B$4:$Y$1034,2,)</f>
        <v>Consumer Discretionary</v>
      </c>
      <c r="D30" s="174" t="str">
        <f>VLOOKUP(A30,'BSE ALL CAP'!$B$4:$Y$1034,3,)</f>
        <v>Auto Components &amp; Equipments</v>
      </c>
      <c r="E30" s="101">
        <f ca="1">IFERROR(__xludf.DUMMYFUNCTION("GOOGLEFINANCE(""BOM:""&amp;A30,""PRICE"")"),1517.95)</f>
        <v>1517.95</v>
      </c>
      <c r="F30" s="112">
        <f ca="1">IFERROR(__xludf.DUMMYFUNCTION("GOOGLEFINANCE(""BOM:""&amp;A30,""MARKETCAP"")/10000000"),7495.2889949)</f>
        <v>7495.2889949</v>
      </c>
      <c r="G30" s="95">
        <f t="shared" ca="1" si="0"/>
        <v>7.8683892979167277E-3</v>
      </c>
      <c r="H30" s="101">
        <f>VLOOKUP(A30,'BSE ALL CAP'!$B$4:$Y$1038,7,)</f>
        <v>3168</v>
      </c>
      <c r="I30" s="101">
        <f>VLOOKUP(A30,'BSE ALL CAP'!$B$4:$Y$1038,8,)</f>
        <v>3706</v>
      </c>
      <c r="J30" s="101">
        <f>VLOOKUP(A30,'BSE ALL CAP'!$B$4:$Y$1038,9,)</f>
        <v>285</v>
      </c>
      <c r="K30" s="101">
        <f>VLOOKUP(A30,'BSE ALL CAP'!$B$4:$Y$1038,10,)</f>
        <v>362</v>
      </c>
      <c r="L30" s="101">
        <f>VLOOKUP(A30,'BSE ALL CAP'!$B$4:$Y$1038,11,)</f>
        <v>576</v>
      </c>
      <c r="M30" s="101">
        <f>VLOOKUP(A30,'BSE ALL CAP'!$B$4:$Y$1038,12,)</f>
        <v>1256</v>
      </c>
      <c r="N30" s="101">
        <f>VLOOKUP(A30,'BSE ALL CAP'!$B$4:$Y$1038,13,)</f>
        <v>62</v>
      </c>
      <c r="O30" s="101">
        <f>VLOOKUP(A30,'BSE ALL CAP'!$B$4:$Y$1038,14,)</f>
        <v>109</v>
      </c>
      <c r="P30" s="95">
        <f>VLOOKUP(A30,'BSE ALL CAP'!$B$4:$Y$1038,15,)</f>
        <v>8.9962121212121215E-2</v>
      </c>
      <c r="Q30" s="95">
        <f>VLOOKUP(A30,'BSE ALL CAP'!$B$4:$Y$1038,16,)</f>
        <v>9.7679438747976258E-2</v>
      </c>
      <c r="R30" s="95">
        <f>VLOOKUP(A30,'BSE ALL CAP'!$B$4:$Y$1038,17,)</f>
        <v>-7.7173175358550422E-3</v>
      </c>
      <c r="S30" s="95">
        <f>VLOOKUP(A30,'BSE ALL CAP'!$B$4:$Y$1038,18,)</f>
        <v>0.1076388888888889</v>
      </c>
      <c r="T30" s="95">
        <f>VLOOKUP(A30,'BSE ALL CAP'!$B$4:$Y$1038,19,)</f>
        <v>8.6783439490445854E-2</v>
      </c>
      <c r="U30" s="95">
        <f>VLOOKUP(A30,'BSE ALL CAP'!$B$4:$Y$1038,20,)</f>
        <v>2.0855449398443041E-2</v>
      </c>
      <c r="V30" s="95">
        <f>VLOOKUP(A30,'BSE ALL CAP'!$B$4:$Y$1038,21,)</f>
        <v>-0.1451699946033459</v>
      </c>
      <c r="W30" s="95">
        <f>VLOOKUP(A30,'BSE ALL CAP'!$B$4:$Y$1038,22,)</f>
        <v>-0.21270718232044195</v>
      </c>
      <c r="X30" s="95">
        <f>VLOOKUP(A30,'BSE ALL CAP'!$B$4:$Y$1038,23,)</f>
        <v>-0.54140127388535031</v>
      </c>
      <c r="Y30" s="95">
        <f>VLOOKUP(A30,'BSE ALL CAP'!$B$4:$Y$1038,24,)</f>
        <v>-0.43119266055045868</v>
      </c>
    </row>
    <row r="31" spans="1:25" ht="14.4">
      <c r="A31" s="99">
        <v>540293</v>
      </c>
      <c r="B31" s="98" t="s">
        <v>5688</v>
      </c>
      <c r="C31" s="174" t="str">
        <f>VLOOKUP(A31,'BSE ALL CAP'!$B$4:$Y$1034,2,)</f>
        <v>Consumer Discretionary</v>
      </c>
      <c r="D31" s="174" t="str">
        <f>VLOOKUP(A31,'BSE ALL CAP'!$B$4:$Y$1034,3,)</f>
        <v>Auto Components &amp; Equipments</v>
      </c>
      <c r="E31" s="101">
        <f ca="1">IFERROR(__xludf.DUMMYFUNCTION("GOOGLEFINANCE(""BOM:""&amp;A31,""PRICE"")"),533.75)</f>
        <v>533.75</v>
      </c>
      <c r="F31" s="112">
        <f ca="1">IFERROR(__xludf.DUMMYFUNCTION("GOOGLEFINANCE(""BOM:""&amp;A31,""MARKETCAP"")/10000000"),6487.137515)</f>
        <v>6487.1375150000003</v>
      </c>
      <c r="G31" s="95">
        <f t="shared" ca="1" si="0"/>
        <v>6.8100540795520224E-3</v>
      </c>
      <c r="H31" s="101">
        <f>VLOOKUP(A31,'BSE ALL CAP'!$B$4:$Y$1038,7,)</f>
        <v>2886</v>
      </c>
      <c r="I31" s="101">
        <f>VLOOKUP(A31,'BSE ALL CAP'!$B$4:$Y$1038,8,)</f>
        <v>1869</v>
      </c>
      <c r="J31" s="101">
        <f>VLOOKUP(A31,'BSE ALL CAP'!$B$4:$Y$1038,9,)</f>
        <v>178</v>
      </c>
      <c r="K31" s="101">
        <f>VLOOKUP(A31,'BSE ALL CAP'!$B$4:$Y$1038,10,)</f>
        <v>132</v>
      </c>
      <c r="L31" s="101">
        <f>VLOOKUP(A31,'BSE ALL CAP'!$B$4:$Y$1038,11,)</f>
        <v>1020</v>
      </c>
      <c r="M31" s="101">
        <f>VLOOKUP(A31,'BSE ALL CAP'!$B$4:$Y$1038,12,)</f>
        <v>616</v>
      </c>
      <c r="N31" s="101">
        <f>VLOOKUP(A31,'BSE ALL CAP'!$B$4:$Y$1038,13,)</f>
        <v>64</v>
      </c>
      <c r="O31" s="101">
        <f>VLOOKUP(A31,'BSE ALL CAP'!$B$4:$Y$1038,14,)</f>
        <v>41</v>
      </c>
      <c r="P31" s="95">
        <f>VLOOKUP(A31,'BSE ALL CAP'!$B$4:$Y$1038,15,)</f>
        <v>6.1677061677061676E-2</v>
      </c>
      <c r="Q31" s="95">
        <f>VLOOKUP(A31,'BSE ALL CAP'!$B$4:$Y$1038,16,)</f>
        <v>7.0626003210272875E-2</v>
      </c>
      <c r="R31" s="95">
        <f>VLOOKUP(A31,'BSE ALL CAP'!$B$4:$Y$1038,17,)</f>
        <v>-8.9489415332111993E-3</v>
      </c>
      <c r="S31" s="95">
        <f>VLOOKUP(A31,'BSE ALL CAP'!$B$4:$Y$1038,18,)</f>
        <v>6.2745098039215685E-2</v>
      </c>
      <c r="T31" s="95">
        <f>VLOOKUP(A31,'BSE ALL CAP'!$B$4:$Y$1038,19,)</f>
        <v>6.6558441558441553E-2</v>
      </c>
      <c r="U31" s="95">
        <f>VLOOKUP(A31,'BSE ALL CAP'!$B$4:$Y$1038,20,)</f>
        <v>-3.8133435192258675E-3</v>
      </c>
      <c r="V31" s="95">
        <f>VLOOKUP(A31,'BSE ALL CAP'!$B$4:$Y$1038,21,)</f>
        <v>0.54414125200642061</v>
      </c>
      <c r="W31" s="95">
        <f>VLOOKUP(A31,'BSE ALL CAP'!$B$4:$Y$1038,22,)</f>
        <v>0.3484848484848484</v>
      </c>
      <c r="X31" s="95">
        <f>VLOOKUP(A31,'BSE ALL CAP'!$B$4:$Y$1038,23,)</f>
        <v>0.6558441558441559</v>
      </c>
      <c r="Y31" s="95">
        <f>VLOOKUP(A31,'BSE ALL CAP'!$B$4:$Y$1038,24,)</f>
        <v>0.56097560975609762</v>
      </c>
    </row>
    <row r="32" spans="1:25" ht="14.4">
      <c r="A32" s="99">
        <v>532509</v>
      </c>
      <c r="B32" s="98" t="s">
        <v>5689</v>
      </c>
      <c r="C32" s="174" t="str">
        <f>VLOOKUP(A32,'BSE ALL CAP'!$B$4:$Y$1034,2,)</f>
        <v>Consumer Discretionary</v>
      </c>
      <c r="D32" s="174" t="str">
        <f>VLOOKUP(A32,'BSE ALL CAP'!$B$4:$Y$1034,3,)</f>
        <v>Auto Components &amp; Equipments</v>
      </c>
      <c r="E32" s="101">
        <f ca="1">IFERROR(__xludf.DUMMYFUNCTION("GOOGLEFINANCE(""BOM:""&amp;A32,""PRICE"")"),413.15)</f>
        <v>413.15</v>
      </c>
      <c r="F32" s="112">
        <f ca="1">IFERROR(__xludf.DUMMYFUNCTION("GOOGLEFINANCE(""BOM:""&amp;A32,""MARKETCAP"")/10000000"),5667.2239127)</f>
        <v>5667.2239127000003</v>
      </c>
      <c r="G32" s="95">
        <f t="shared" ca="1" si="0"/>
        <v>5.9493268390222202E-3</v>
      </c>
      <c r="H32" s="101">
        <f>VLOOKUP(A32,'BSE ALL CAP'!$B$4:$Y$1038,7,)</f>
        <v>2782</v>
      </c>
      <c r="I32" s="101">
        <f>VLOOKUP(A32,'BSE ALL CAP'!$B$4:$Y$1038,8,)</f>
        <v>2400</v>
      </c>
      <c r="J32" s="101">
        <f>VLOOKUP(A32,'BSE ALL CAP'!$B$4:$Y$1038,9,)</f>
        <v>111</v>
      </c>
      <c r="K32" s="101">
        <f>VLOOKUP(A32,'BSE ALL CAP'!$B$4:$Y$1038,10,)</f>
        <v>72</v>
      </c>
      <c r="L32" s="101">
        <f>VLOOKUP(A32,'BSE ALL CAP'!$B$4:$Y$1038,11,)</f>
        <v>978</v>
      </c>
      <c r="M32" s="101">
        <f>VLOOKUP(A32,'BSE ALL CAP'!$B$4:$Y$1038,12,)</f>
        <v>831</v>
      </c>
      <c r="N32" s="101">
        <f>VLOOKUP(A32,'BSE ALL CAP'!$B$4:$Y$1038,13,)</f>
        <v>12</v>
      </c>
      <c r="O32" s="101">
        <f>VLOOKUP(A32,'BSE ALL CAP'!$B$4:$Y$1038,14,)</f>
        <v>33</v>
      </c>
      <c r="P32" s="95">
        <f>VLOOKUP(A32,'BSE ALL CAP'!$B$4:$Y$1038,15,)</f>
        <v>3.9899352983465135E-2</v>
      </c>
      <c r="Q32" s="95">
        <f>VLOOKUP(A32,'BSE ALL CAP'!$B$4:$Y$1038,16,)</f>
        <v>0.03</v>
      </c>
      <c r="R32" s="95">
        <f>VLOOKUP(A32,'BSE ALL CAP'!$B$4:$Y$1038,17,)</f>
        <v>9.8993529834651359E-3</v>
      </c>
      <c r="S32" s="95">
        <f>VLOOKUP(A32,'BSE ALL CAP'!$B$4:$Y$1038,18,)</f>
        <v>1.2269938650306749E-2</v>
      </c>
      <c r="T32" s="95">
        <f>VLOOKUP(A32,'BSE ALL CAP'!$B$4:$Y$1038,19,)</f>
        <v>3.9711191335740074E-2</v>
      </c>
      <c r="U32" s="95">
        <f>VLOOKUP(A32,'BSE ALL CAP'!$B$4:$Y$1038,20,)</f>
        <v>-2.7441252685433327E-2</v>
      </c>
      <c r="V32" s="95">
        <f>VLOOKUP(A32,'BSE ALL CAP'!$B$4:$Y$1038,21,)</f>
        <v>0.15916666666666668</v>
      </c>
      <c r="W32" s="95">
        <f>VLOOKUP(A32,'BSE ALL CAP'!$B$4:$Y$1038,22,)</f>
        <v>0.54166666666666674</v>
      </c>
      <c r="X32" s="95">
        <f>VLOOKUP(A32,'BSE ALL CAP'!$B$4:$Y$1038,23,)</f>
        <v>0.17689530685920585</v>
      </c>
      <c r="Y32" s="95">
        <f>VLOOKUP(A32,'BSE ALL CAP'!$B$4:$Y$1038,24,)</f>
        <v>-0.63636363636363635</v>
      </c>
    </row>
    <row r="33" spans="1:25" ht="14.4">
      <c r="A33" s="99">
        <v>500250</v>
      </c>
      <c r="B33" s="98" t="s">
        <v>5690</v>
      </c>
      <c r="C33" s="174" t="str">
        <f>VLOOKUP(A33,'BSE ALL CAP'!$B$4:$Y$1034,2,)</f>
        <v>Consumer Discretionary</v>
      </c>
      <c r="D33" s="174" t="str">
        <f>VLOOKUP(A33,'BSE ALL CAP'!$B$4:$Y$1034,3,)</f>
        <v>Auto Components &amp; Equipments</v>
      </c>
      <c r="E33" s="101">
        <f ca="1">IFERROR(__xludf.DUMMYFUNCTION("GOOGLEFINANCE(""BOM:""&amp;A33,""PRICE"")"),1705.85)</f>
        <v>1705.85</v>
      </c>
      <c r="F33" s="112">
        <f ca="1">IFERROR(__xludf.DUMMYFUNCTION("GOOGLEFINANCE(""BOM:""&amp;A33,""MARKETCAP"")/10000000"),5422.0285462)</f>
        <v>5422.0285462000002</v>
      </c>
      <c r="G33" s="95">
        <f t="shared" ca="1" si="0"/>
        <v>5.691926143868222E-3</v>
      </c>
      <c r="H33" s="101">
        <f>VLOOKUP(A33,'BSE ALL CAP'!$B$4:$Y$1038,7,)</f>
        <v>2260</v>
      </c>
      <c r="I33" s="101">
        <f>VLOOKUP(A33,'BSE ALL CAP'!$B$4:$Y$1038,8,)</f>
        <v>1909</v>
      </c>
      <c r="J33" s="101">
        <f>VLOOKUP(A33,'BSE ALL CAP'!$B$4:$Y$1038,9,)</f>
        <v>249</v>
      </c>
      <c r="K33" s="101">
        <f>VLOOKUP(A33,'BSE ALL CAP'!$B$4:$Y$1038,10,)</f>
        <v>218</v>
      </c>
      <c r="L33" s="101">
        <f>VLOOKUP(A33,'BSE ALL CAP'!$B$4:$Y$1038,11,)</f>
        <v>816</v>
      </c>
      <c r="M33" s="101">
        <f>VLOOKUP(A33,'BSE ALL CAP'!$B$4:$Y$1038,12,)</f>
        <v>676</v>
      </c>
      <c r="N33" s="101">
        <f>VLOOKUP(A33,'BSE ALL CAP'!$B$4:$Y$1038,13,)</f>
        <v>88</v>
      </c>
      <c r="O33" s="101">
        <f>VLOOKUP(A33,'BSE ALL CAP'!$B$4:$Y$1038,14,)</f>
        <v>75</v>
      </c>
      <c r="P33" s="95">
        <f>VLOOKUP(A33,'BSE ALL CAP'!$B$4:$Y$1038,15,)</f>
        <v>0.11017699115044248</v>
      </c>
      <c r="Q33" s="95">
        <f>VLOOKUP(A33,'BSE ALL CAP'!$B$4:$Y$1038,16,)</f>
        <v>0.1141959140911472</v>
      </c>
      <c r="R33" s="95">
        <f>VLOOKUP(A33,'BSE ALL CAP'!$B$4:$Y$1038,17,)</f>
        <v>-4.0189229407047167E-3</v>
      </c>
      <c r="S33" s="95">
        <f>VLOOKUP(A33,'BSE ALL CAP'!$B$4:$Y$1038,18,)</f>
        <v>0.10784313725490197</v>
      </c>
      <c r="T33" s="95">
        <f>VLOOKUP(A33,'BSE ALL CAP'!$B$4:$Y$1038,19,)</f>
        <v>0.11094674556213018</v>
      </c>
      <c r="U33" s="95">
        <f>VLOOKUP(A33,'BSE ALL CAP'!$B$4:$Y$1038,20,)</f>
        <v>-3.1036083072282089E-3</v>
      </c>
      <c r="V33" s="95">
        <f>VLOOKUP(A33,'BSE ALL CAP'!$B$4:$Y$1038,21,)</f>
        <v>0.18386589837611322</v>
      </c>
      <c r="W33" s="95">
        <f>VLOOKUP(A33,'BSE ALL CAP'!$B$4:$Y$1038,22,)</f>
        <v>0.14220183486238525</v>
      </c>
      <c r="X33" s="95">
        <f>VLOOKUP(A33,'BSE ALL CAP'!$B$4:$Y$1038,23,)</f>
        <v>0.20710059171597628</v>
      </c>
      <c r="Y33" s="95">
        <f>VLOOKUP(A33,'BSE ALL CAP'!$B$4:$Y$1038,24,)</f>
        <v>0.17333333333333334</v>
      </c>
    </row>
    <row r="34" spans="1:25" ht="14.4">
      <c r="A34" s="99">
        <v>532768</v>
      </c>
      <c r="B34" s="98" t="s">
        <v>5691</v>
      </c>
      <c r="C34" s="174" t="str">
        <f>VLOOKUP(A34,'BSE ALL CAP'!$B$4:$Y$1034,2,)</f>
        <v>Consumer Discretionary</v>
      </c>
      <c r="D34" s="174" t="str">
        <f>VLOOKUP(A34,'BSE ALL CAP'!$B$4:$Y$1034,3,)</f>
        <v>Auto Components &amp; Equipments</v>
      </c>
      <c r="E34" s="101">
        <f ca="1">IFERROR(__xludf.DUMMYFUNCTION("GOOGLEFINANCE(""BOM:""&amp;A34,""PRICE"")"),2022.9)</f>
        <v>2022.9</v>
      </c>
      <c r="F34" s="112">
        <f ca="1">IFERROR(__xludf.DUMMYFUNCTION("GOOGLEFINANCE(""BOM:""&amp;A34,""MARKETCAP"")/10000000"),5314.6596762)</f>
        <v>5314.6596761999999</v>
      </c>
      <c r="G34" s="95">
        <f t="shared" ca="1" si="0"/>
        <v>5.5792126690159174E-3</v>
      </c>
      <c r="H34" s="101">
        <f>VLOOKUP(A34,'BSE ALL CAP'!$B$4:$Y$1038,7,)</f>
        <v>2064</v>
      </c>
      <c r="I34" s="101">
        <f>VLOOKUP(A34,'BSE ALL CAP'!$B$4:$Y$1038,8,)</f>
        <v>1783</v>
      </c>
      <c r="J34" s="101">
        <f>VLOOKUP(A34,'BSE ALL CAP'!$B$4:$Y$1038,9,)</f>
        <v>184</v>
      </c>
      <c r="K34" s="101">
        <f>VLOOKUP(A34,'BSE ALL CAP'!$B$4:$Y$1038,10,)</f>
        <v>146</v>
      </c>
      <c r="L34" s="101">
        <f>VLOOKUP(A34,'BSE ALL CAP'!$B$4:$Y$1038,11,)</f>
        <v>685</v>
      </c>
      <c r="M34" s="101">
        <f>VLOOKUP(A34,'BSE ALL CAP'!$B$4:$Y$1038,12,)</f>
        <v>590</v>
      </c>
      <c r="N34" s="101">
        <f>VLOOKUP(A34,'BSE ALL CAP'!$B$4:$Y$1038,13,)</f>
        <v>63</v>
      </c>
      <c r="O34" s="101">
        <f>VLOOKUP(A34,'BSE ALL CAP'!$B$4:$Y$1038,14,)</f>
        <v>47</v>
      </c>
      <c r="P34" s="95">
        <f>VLOOKUP(A34,'BSE ALL CAP'!$B$4:$Y$1038,15,)</f>
        <v>8.9147286821705432E-2</v>
      </c>
      <c r="Q34" s="95">
        <f>VLOOKUP(A34,'BSE ALL CAP'!$B$4:$Y$1038,16,)</f>
        <v>8.1884464385866523E-2</v>
      </c>
      <c r="R34" s="95">
        <f>VLOOKUP(A34,'BSE ALL CAP'!$B$4:$Y$1038,17,)</f>
        <v>7.2628224358389087E-3</v>
      </c>
      <c r="S34" s="95">
        <f>VLOOKUP(A34,'BSE ALL CAP'!$B$4:$Y$1038,18,)</f>
        <v>9.1970802919708022E-2</v>
      </c>
      <c r="T34" s="95">
        <f>VLOOKUP(A34,'BSE ALL CAP'!$B$4:$Y$1038,19,)</f>
        <v>7.9661016949152536E-2</v>
      </c>
      <c r="U34" s="95">
        <f>VLOOKUP(A34,'BSE ALL CAP'!$B$4:$Y$1038,20,)</f>
        <v>1.2309785970555487E-2</v>
      </c>
      <c r="V34" s="95">
        <f>VLOOKUP(A34,'BSE ALL CAP'!$B$4:$Y$1038,21,)</f>
        <v>0.15759955131800329</v>
      </c>
      <c r="W34" s="95">
        <f>VLOOKUP(A34,'BSE ALL CAP'!$B$4:$Y$1038,22,)</f>
        <v>0.26027397260273966</v>
      </c>
      <c r="X34" s="95">
        <f>VLOOKUP(A34,'BSE ALL CAP'!$B$4:$Y$1038,23,)</f>
        <v>0.16101694915254239</v>
      </c>
      <c r="Y34" s="95">
        <f>VLOOKUP(A34,'BSE ALL CAP'!$B$4:$Y$1038,24,)</f>
        <v>0.34042553191489366</v>
      </c>
    </row>
    <row r="35" spans="1:25" ht="14.4">
      <c r="A35" s="99">
        <v>543387</v>
      </c>
      <c r="B35" s="98" t="s">
        <v>5692</v>
      </c>
      <c r="C35" s="174" t="str">
        <f>VLOOKUP(A35,'BSE ALL CAP'!$B$4:$Y$1034,2,)</f>
        <v>Consumer Discretionary</v>
      </c>
      <c r="D35" s="174" t="str">
        <f>VLOOKUP(A35,'BSE ALL CAP'!$B$4:$Y$1034,3,)</f>
        <v>Other Textile Products</v>
      </c>
      <c r="E35" s="101">
        <f ca="1">IFERROR(__xludf.DUMMYFUNCTION("GOOGLEFINANCE(""BOM:""&amp;A35,""PRICE"")"),1598.2)</f>
        <v>1598.2</v>
      </c>
      <c r="F35" s="112">
        <f ca="1">IFERROR(__xludf.DUMMYFUNCTION("GOOGLEFINANCE(""BOM:""&amp;A35,""MARKETCAP"")/10000000"),5108.9241096)</f>
        <v>5108.9241095999996</v>
      </c>
      <c r="G35" s="95">
        <f t="shared" ca="1" si="0"/>
        <v>5.363236002667528E-3</v>
      </c>
      <c r="H35" s="101">
        <f>VLOOKUP(A35,'BSE ALL CAP'!$B$4:$Y$1038,7,)</f>
        <v>20</v>
      </c>
      <c r="I35" s="101">
        <f>VLOOKUP(A35,'BSE ALL CAP'!$B$4:$Y$1038,8,)</f>
        <v>23</v>
      </c>
      <c r="J35" s="101">
        <f>VLOOKUP(A35,'BSE ALL CAP'!$B$4:$Y$1038,9,)</f>
        <v>1</v>
      </c>
      <c r="K35" s="101">
        <f>VLOOKUP(A35,'BSE ALL CAP'!$B$4:$Y$1038,10,)</f>
        <v>2</v>
      </c>
      <c r="L35" s="101">
        <f>VLOOKUP(A35,'BSE ALL CAP'!$B$4:$Y$1038,11,)</f>
        <v>6</v>
      </c>
      <c r="M35" s="101">
        <f>VLOOKUP(A35,'BSE ALL CAP'!$B$4:$Y$1038,12,)</f>
        <v>8</v>
      </c>
      <c r="N35" s="101">
        <f>VLOOKUP(A35,'BSE ALL CAP'!$B$4:$Y$1038,13,)</f>
        <v>1</v>
      </c>
      <c r="O35" s="101">
        <f>VLOOKUP(A35,'BSE ALL CAP'!$B$4:$Y$1038,14,)</f>
        <v>1</v>
      </c>
      <c r="P35" s="95">
        <f>VLOOKUP(A35,'BSE ALL CAP'!$B$4:$Y$1038,15,)</f>
        <v>0.05</v>
      </c>
      <c r="Q35" s="95">
        <f>VLOOKUP(A35,'BSE ALL CAP'!$B$4:$Y$1038,16,)</f>
        <v>8.6956521739130432E-2</v>
      </c>
      <c r="R35" s="95">
        <f>VLOOKUP(A35,'BSE ALL CAP'!$B$4:$Y$1038,17,)</f>
        <v>-3.695652173913043E-2</v>
      </c>
      <c r="S35" s="95">
        <f>VLOOKUP(A35,'BSE ALL CAP'!$B$4:$Y$1038,18,)</f>
        <v>0.16666666666666666</v>
      </c>
      <c r="T35" s="95">
        <f>VLOOKUP(A35,'BSE ALL CAP'!$B$4:$Y$1038,19,)</f>
        <v>0.125</v>
      </c>
      <c r="U35" s="95">
        <f>VLOOKUP(A35,'BSE ALL CAP'!$B$4:$Y$1038,20,)</f>
        <v>4.1666666666666657E-2</v>
      </c>
      <c r="V35" s="95">
        <f>VLOOKUP(A35,'BSE ALL CAP'!$B$4:$Y$1038,21,)</f>
        <v>-0.13043478260869568</v>
      </c>
      <c r="W35" s="95">
        <f>VLOOKUP(A35,'BSE ALL CAP'!$B$4:$Y$1038,22,)</f>
        <v>-0.5</v>
      </c>
      <c r="X35" s="95">
        <f>VLOOKUP(A35,'BSE ALL CAP'!$B$4:$Y$1038,23,)</f>
        <v>-0.25</v>
      </c>
      <c r="Y35" s="95">
        <f>VLOOKUP(A35,'BSE ALL CAP'!$B$4:$Y$1038,24,)</f>
        <v>0</v>
      </c>
    </row>
    <row r="36" spans="1:25" ht="14.4">
      <c r="A36" s="99">
        <v>520051</v>
      </c>
      <c r="B36" s="98" t="s">
        <v>5693</v>
      </c>
      <c r="C36" s="174" t="str">
        <f>VLOOKUP(A36,'BSE ALL CAP'!$B$4:$Y$1034,2,)</f>
        <v>Consumer Discretionary</v>
      </c>
      <c r="D36" s="174" t="str">
        <f>VLOOKUP(A36,'BSE ALL CAP'!$B$4:$Y$1034,3,)</f>
        <v>Auto Components &amp; Equipments</v>
      </c>
      <c r="E36" s="101">
        <f ca="1">IFERROR(__xludf.DUMMYFUNCTION("GOOGLEFINANCE(""BOM:""&amp;A36,""PRICE"")"),116.7)</f>
        <v>116.7</v>
      </c>
      <c r="F36" s="112">
        <f ca="1">IFERROR(__xludf.DUMMYFUNCTION("GOOGLEFINANCE(""BOM:""&amp;A36,""MARKETCAP"")/10000000"),4666.309244)</f>
        <v>4666.309244</v>
      </c>
      <c r="G36" s="95">
        <f t="shared" ca="1" si="0"/>
        <v>4.8985886656594969E-3</v>
      </c>
      <c r="H36" s="101">
        <f>VLOOKUP(A36,'BSE ALL CAP'!$B$4:$Y$1038,7,)</f>
        <v>1771</v>
      </c>
      <c r="I36" s="101">
        <f>VLOOKUP(A36,'BSE ALL CAP'!$B$4:$Y$1038,8,)</f>
        <v>1632</v>
      </c>
      <c r="J36" s="101">
        <f>VLOOKUP(A36,'BSE ALL CAP'!$B$4:$Y$1038,9,)</f>
        <v>143</v>
      </c>
      <c r="K36" s="101">
        <f>VLOOKUP(A36,'BSE ALL CAP'!$B$4:$Y$1038,10,)</f>
        <v>130</v>
      </c>
      <c r="L36" s="101">
        <f>VLOOKUP(A36,'BSE ALL CAP'!$B$4:$Y$1038,11,)</f>
        <v>667</v>
      </c>
      <c r="M36" s="101">
        <f>VLOOKUP(A36,'BSE ALL CAP'!$B$4:$Y$1038,12,)</f>
        <v>562</v>
      </c>
      <c r="N36" s="101">
        <f>VLOOKUP(A36,'BSE ALL CAP'!$B$4:$Y$1038,13,)</f>
        <v>58</v>
      </c>
      <c r="O36" s="101">
        <f>VLOOKUP(A36,'BSE ALL CAP'!$B$4:$Y$1038,14,)</f>
        <v>43</v>
      </c>
      <c r="P36" s="95">
        <f>VLOOKUP(A36,'BSE ALL CAP'!$B$4:$Y$1038,15,)</f>
        <v>8.0745341614906832E-2</v>
      </c>
      <c r="Q36" s="95">
        <f>VLOOKUP(A36,'BSE ALL CAP'!$B$4:$Y$1038,16,)</f>
        <v>7.9656862745098034E-2</v>
      </c>
      <c r="R36" s="95">
        <f>VLOOKUP(A36,'BSE ALL CAP'!$B$4:$Y$1038,17,)</f>
        <v>1.0884788698087983E-3</v>
      </c>
      <c r="S36" s="95">
        <f>VLOOKUP(A36,'BSE ALL CAP'!$B$4:$Y$1038,18,)</f>
        <v>8.6956521739130432E-2</v>
      </c>
      <c r="T36" s="95">
        <f>VLOOKUP(A36,'BSE ALL CAP'!$B$4:$Y$1038,19,)</f>
        <v>7.6512455516014238E-2</v>
      </c>
      <c r="U36" s="95">
        <f>VLOOKUP(A36,'BSE ALL CAP'!$B$4:$Y$1038,20,)</f>
        <v>1.0444066223116194E-2</v>
      </c>
      <c r="V36" s="95">
        <f>VLOOKUP(A36,'BSE ALL CAP'!$B$4:$Y$1038,21,)</f>
        <v>8.5171568627451011E-2</v>
      </c>
      <c r="W36" s="95">
        <f>VLOOKUP(A36,'BSE ALL CAP'!$B$4:$Y$1038,22,)</f>
        <v>0.10000000000000009</v>
      </c>
      <c r="X36" s="95">
        <f>VLOOKUP(A36,'BSE ALL CAP'!$B$4:$Y$1038,23,)</f>
        <v>0.18683274021352303</v>
      </c>
      <c r="Y36" s="95">
        <f>VLOOKUP(A36,'BSE ALL CAP'!$B$4:$Y$1038,24,)</f>
        <v>0.34883720930232553</v>
      </c>
    </row>
    <row r="37" spans="1:25" ht="14.4">
      <c r="A37" s="99">
        <v>517206</v>
      </c>
      <c r="B37" s="98" t="s">
        <v>5694</v>
      </c>
      <c r="C37" s="174" t="str">
        <f>VLOOKUP(A37,'BSE ALL CAP'!$B$4:$Y$1034,2,)</f>
        <v>Consumer Discretionary</v>
      </c>
      <c r="D37" s="174" t="str">
        <f>VLOOKUP(A37,'BSE ALL CAP'!$B$4:$Y$1034,3,)</f>
        <v>Auto Components &amp; Equipments</v>
      </c>
      <c r="E37" s="101">
        <f ca="1">IFERROR(__xludf.DUMMYFUNCTION("GOOGLEFINANCE(""BOM:""&amp;A37,""PRICE"")"),4832.2)</f>
        <v>4832.2</v>
      </c>
      <c r="F37" s="112">
        <f ca="1">IFERROR(__xludf.DUMMYFUNCTION("GOOGLEFINANCE(""BOM:""&amp;A37,""MARKETCAP"")/10000000"),4509.3459168)</f>
        <v>4509.3459167999999</v>
      </c>
      <c r="G37" s="95">
        <f t="shared" ca="1" si="0"/>
        <v>4.7338120219908878E-3</v>
      </c>
      <c r="H37" s="101">
        <f>VLOOKUP(A37,'BSE ALL CAP'!$B$4:$Y$1038,7,)</f>
        <v>2983</v>
      </c>
      <c r="I37" s="101">
        <f>VLOOKUP(A37,'BSE ALL CAP'!$B$4:$Y$1038,8,)</f>
        <v>2477</v>
      </c>
      <c r="J37" s="101">
        <f>VLOOKUP(A37,'BSE ALL CAP'!$B$4:$Y$1038,9,)</f>
        <v>118</v>
      </c>
      <c r="K37" s="101">
        <f>VLOOKUP(A37,'BSE ALL CAP'!$B$4:$Y$1038,10,)</f>
        <v>95</v>
      </c>
      <c r="L37" s="101">
        <f>VLOOKUP(A37,'BSE ALL CAP'!$B$4:$Y$1038,11,)</f>
        <v>1052</v>
      </c>
      <c r="M37" s="101">
        <f>VLOOKUP(A37,'BSE ALL CAP'!$B$4:$Y$1038,12,)</f>
        <v>887</v>
      </c>
      <c r="N37" s="101">
        <f>VLOOKUP(A37,'BSE ALL CAP'!$B$4:$Y$1038,13,)</f>
        <v>46</v>
      </c>
      <c r="O37" s="101">
        <f>VLOOKUP(A37,'BSE ALL CAP'!$B$4:$Y$1038,14,)</f>
        <v>33</v>
      </c>
      <c r="P37" s="95">
        <f>VLOOKUP(A37,'BSE ALL CAP'!$B$4:$Y$1038,15,)</f>
        <v>3.9557492457257794E-2</v>
      </c>
      <c r="Q37" s="95">
        <f>VLOOKUP(A37,'BSE ALL CAP'!$B$4:$Y$1038,16,)</f>
        <v>3.835284618490109E-2</v>
      </c>
      <c r="R37" s="95">
        <f>VLOOKUP(A37,'BSE ALL CAP'!$B$4:$Y$1038,17,)</f>
        <v>1.2046462723567034E-3</v>
      </c>
      <c r="S37" s="95">
        <f>VLOOKUP(A37,'BSE ALL CAP'!$B$4:$Y$1038,18,)</f>
        <v>4.3726235741444866E-2</v>
      </c>
      <c r="T37" s="95">
        <f>VLOOKUP(A37,'BSE ALL CAP'!$B$4:$Y$1038,19,)</f>
        <v>3.7204058624577228E-2</v>
      </c>
      <c r="U37" s="95">
        <f>VLOOKUP(A37,'BSE ALL CAP'!$B$4:$Y$1038,20,)</f>
        <v>6.5221771168676376E-3</v>
      </c>
      <c r="V37" s="95">
        <f>VLOOKUP(A37,'BSE ALL CAP'!$B$4:$Y$1038,21,)</f>
        <v>0.20427937020589426</v>
      </c>
      <c r="W37" s="95">
        <f>VLOOKUP(A37,'BSE ALL CAP'!$B$4:$Y$1038,22,)</f>
        <v>0.24210526315789482</v>
      </c>
      <c r="X37" s="95">
        <f>VLOOKUP(A37,'BSE ALL CAP'!$B$4:$Y$1038,23,)</f>
        <v>0.18602029312288604</v>
      </c>
      <c r="Y37" s="95">
        <f>VLOOKUP(A37,'BSE ALL CAP'!$B$4:$Y$1038,24,)</f>
        <v>0.39393939393939403</v>
      </c>
    </row>
    <row r="38" spans="1:25" ht="14.4">
      <c r="A38" s="99">
        <v>535602</v>
      </c>
      <c r="B38" s="98" t="s">
        <v>5695</v>
      </c>
      <c r="C38" s="174" t="str">
        <f>VLOOKUP(A38,'BSE ALL CAP'!$B$4:$Y$1034,2,)</f>
        <v>Consumer Discretionary</v>
      </c>
      <c r="D38" s="174" t="str">
        <f>VLOOKUP(A38,'BSE ALL CAP'!$B$4:$Y$1034,3,)</f>
        <v>Auto Components &amp; Equipments</v>
      </c>
      <c r="E38" s="101">
        <f ca="1">IFERROR(__xludf.DUMMYFUNCTION("GOOGLEFINANCE(""BOM:""&amp;A38,""PRICE"")"),749.9)</f>
        <v>749.9</v>
      </c>
      <c r="F38" s="112">
        <f ca="1">IFERROR(__xludf.DUMMYFUNCTION("GOOGLEFINANCE(""BOM:""&amp;A38,""MARKETCAP"")/10000000"),4294.3829284)</f>
        <v>4294.3829284000003</v>
      </c>
      <c r="G38" s="95">
        <f t="shared" ca="1" si="0"/>
        <v>4.5081486114772118E-3</v>
      </c>
      <c r="H38" s="101">
        <f>VLOOKUP(A38,'BSE ALL CAP'!$B$4:$Y$1038,7,)</f>
        <v>2425</v>
      </c>
      <c r="I38" s="101">
        <f>VLOOKUP(A38,'BSE ALL CAP'!$B$4:$Y$1038,8,)</f>
        <v>2086</v>
      </c>
      <c r="J38" s="101">
        <f>VLOOKUP(A38,'BSE ALL CAP'!$B$4:$Y$1038,9,)</f>
        <v>255</v>
      </c>
      <c r="K38" s="101">
        <f>VLOOKUP(A38,'BSE ALL CAP'!$B$4:$Y$1038,10,)</f>
        <v>230</v>
      </c>
      <c r="L38" s="101">
        <f>VLOOKUP(A38,'BSE ALL CAP'!$B$4:$Y$1038,11,)</f>
        <v>881</v>
      </c>
      <c r="M38" s="101">
        <f>VLOOKUP(A38,'BSE ALL CAP'!$B$4:$Y$1038,12,)</f>
        <v>689</v>
      </c>
      <c r="N38" s="101">
        <f>VLOOKUP(A38,'BSE ALL CAP'!$B$4:$Y$1038,13,)</f>
        <v>81</v>
      </c>
      <c r="O38" s="101">
        <f>VLOOKUP(A38,'BSE ALL CAP'!$B$4:$Y$1038,14,)</f>
        <v>75</v>
      </c>
      <c r="P38" s="95">
        <f>VLOOKUP(A38,'BSE ALL CAP'!$B$4:$Y$1038,15,)</f>
        <v>0.10515463917525773</v>
      </c>
      <c r="Q38" s="95">
        <f>VLOOKUP(A38,'BSE ALL CAP'!$B$4:$Y$1038,16,)</f>
        <v>0.11025886864813039</v>
      </c>
      <c r="R38" s="95">
        <f>VLOOKUP(A38,'BSE ALL CAP'!$B$4:$Y$1038,17,)</f>
        <v>-5.1042294728726595E-3</v>
      </c>
      <c r="S38" s="95">
        <f>VLOOKUP(A38,'BSE ALL CAP'!$B$4:$Y$1038,18,)</f>
        <v>9.1940976163450622E-2</v>
      </c>
      <c r="T38" s="95">
        <f>VLOOKUP(A38,'BSE ALL CAP'!$B$4:$Y$1038,19,)</f>
        <v>0.10885341074020319</v>
      </c>
      <c r="U38" s="95">
        <f>VLOOKUP(A38,'BSE ALL CAP'!$B$4:$Y$1038,20,)</f>
        <v>-1.6912434576752566E-2</v>
      </c>
      <c r="V38" s="95">
        <f>VLOOKUP(A38,'BSE ALL CAP'!$B$4:$Y$1038,21,)</f>
        <v>0.16251198465963568</v>
      </c>
      <c r="W38" s="95">
        <f>VLOOKUP(A38,'BSE ALL CAP'!$B$4:$Y$1038,22,)</f>
        <v>0.10869565217391308</v>
      </c>
      <c r="X38" s="95">
        <f>VLOOKUP(A38,'BSE ALL CAP'!$B$4:$Y$1038,23,)</f>
        <v>0.27866473149492021</v>
      </c>
      <c r="Y38" s="95">
        <f>VLOOKUP(A38,'BSE ALL CAP'!$B$4:$Y$1038,24,)</f>
        <v>8.0000000000000071E-2</v>
      </c>
    </row>
    <row r="39" spans="1:25" ht="14.4">
      <c r="A39" s="99">
        <v>520057</v>
      </c>
      <c r="B39" s="98" t="s">
        <v>5696</v>
      </c>
      <c r="C39" s="174" t="str">
        <f>VLOOKUP(A39,'BSE ALL CAP'!$B$4:$Y$1034,2,)</f>
        <v>Consumer Discretionary</v>
      </c>
      <c r="D39" s="174" t="str">
        <f>VLOOKUP(A39,'BSE ALL CAP'!$B$4:$Y$1034,3,)</f>
        <v>Auto Components &amp; Equipments</v>
      </c>
      <c r="E39" s="101">
        <f ca="1">IFERROR(__xludf.DUMMYFUNCTION("GOOGLEFINANCE(""BOM:""&amp;A39,""PRICE"")"),125.55)</f>
        <v>125.55</v>
      </c>
      <c r="F39" s="112">
        <f ca="1">IFERROR(__xludf.DUMMYFUNCTION("GOOGLEFINANCE(""BOM:""&amp;A39,""MARKETCAP"")/10000000"),3498.5285177)</f>
        <v>3498.5285177000001</v>
      </c>
      <c r="G39" s="95">
        <f t="shared" ca="1" si="0"/>
        <v>3.6726781803687377E-3</v>
      </c>
      <c r="H39" s="101">
        <f>VLOOKUP(A39,'BSE ALL CAP'!$B$4:$Y$1038,7,)</f>
        <v>1885</v>
      </c>
      <c r="I39" s="101">
        <f>VLOOKUP(A39,'BSE ALL CAP'!$B$4:$Y$1038,8,)</f>
        <v>1750</v>
      </c>
      <c r="J39" s="101">
        <f>VLOOKUP(A39,'BSE ALL CAP'!$B$4:$Y$1038,9,)</f>
        <v>49</v>
      </c>
      <c r="K39" s="101">
        <f>VLOOKUP(A39,'BSE ALL CAP'!$B$4:$Y$1038,10,)</f>
        <v>50</v>
      </c>
      <c r="L39" s="101">
        <f>VLOOKUP(A39,'BSE ALL CAP'!$B$4:$Y$1038,11,)</f>
        <v>680</v>
      </c>
      <c r="M39" s="101">
        <f>VLOOKUP(A39,'BSE ALL CAP'!$B$4:$Y$1038,12,)</f>
        <v>591</v>
      </c>
      <c r="N39" s="101">
        <f>VLOOKUP(A39,'BSE ALL CAP'!$B$4:$Y$1038,13,)</f>
        <v>20</v>
      </c>
      <c r="O39" s="101">
        <f>VLOOKUP(A39,'BSE ALL CAP'!$B$4:$Y$1038,14,)</f>
        <v>16</v>
      </c>
      <c r="P39" s="95">
        <f>VLOOKUP(A39,'BSE ALL CAP'!$B$4:$Y$1038,15,)</f>
        <v>2.59946949602122E-2</v>
      </c>
      <c r="Q39" s="95">
        <f>VLOOKUP(A39,'BSE ALL CAP'!$B$4:$Y$1038,16,)</f>
        <v>2.8571428571428571E-2</v>
      </c>
      <c r="R39" s="95">
        <f>VLOOKUP(A39,'BSE ALL CAP'!$B$4:$Y$1038,17,)</f>
        <v>-2.5767336112163704E-3</v>
      </c>
      <c r="S39" s="95">
        <f>VLOOKUP(A39,'BSE ALL CAP'!$B$4:$Y$1038,18,)</f>
        <v>2.9411764705882353E-2</v>
      </c>
      <c r="T39" s="95">
        <f>VLOOKUP(A39,'BSE ALL CAP'!$B$4:$Y$1038,19,)</f>
        <v>2.7072758037225041E-2</v>
      </c>
      <c r="U39" s="95">
        <f>VLOOKUP(A39,'BSE ALL CAP'!$B$4:$Y$1038,20,)</f>
        <v>2.3390066686573112E-3</v>
      </c>
      <c r="V39" s="95">
        <f>VLOOKUP(A39,'BSE ALL CAP'!$B$4:$Y$1038,21,)</f>
        <v>7.714285714285718E-2</v>
      </c>
      <c r="W39" s="95">
        <f>VLOOKUP(A39,'BSE ALL CAP'!$B$4:$Y$1038,22,)</f>
        <v>-2.0000000000000018E-2</v>
      </c>
      <c r="X39" s="95">
        <f>VLOOKUP(A39,'BSE ALL CAP'!$B$4:$Y$1038,23,)</f>
        <v>0.15059221658206434</v>
      </c>
      <c r="Y39" s="95">
        <f>VLOOKUP(A39,'BSE ALL CAP'!$B$4:$Y$1038,24,)</f>
        <v>0.25</v>
      </c>
    </row>
    <row r="40" spans="1:25" ht="14.4">
      <c r="A40" s="99">
        <v>543325</v>
      </c>
      <c r="B40" s="98" t="s">
        <v>5697</v>
      </c>
      <c r="C40" s="174" t="str">
        <f>VLOOKUP(A40,'BSE ALL CAP'!$B$4:$Y$1034,2,)</f>
        <v>Consumer Discretionary</v>
      </c>
      <c r="D40" s="174" t="str">
        <f>VLOOKUP(A40,'BSE ALL CAP'!$B$4:$Y$1034,3,)</f>
        <v>Auto Components &amp; Equipments</v>
      </c>
      <c r="E40" s="101">
        <f ca="1">IFERROR(__xludf.DUMMYFUNCTION("GOOGLEFINANCE(""BOM:""&amp;A40,""PRICE"")"),120)</f>
        <v>120</v>
      </c>
      <c r="F40" s="112">
        <f ca="1">IFERROR(__xludf.DUMMYFUNCTION("GOOGLEFINANCE(""BOM:""&amp;A40,""MARKETCAP"")/10000000"),3266.0908766)</f>
        <v>3266.0908765999998</v>
      </c>
      <c r="G40" s="95">
        <f t="shared" ca="1" si="0"/>
        <v>3.4286702643419251E-3</v>
      </c>
      <c r="H40" s="101">
        <f>VLOOKUP(A40,'BSE ALL CAP'!$B$4:$Y$1038,7,)</f>
        <v>837</v>
      </c>
      <c r="I40" s="101">
        <f>VLOOKUP(A40,'BSE ALL CAP'!$B$4:$Y$1038,8,)</f>
        <v>870</v>
      </c>
      <c r="J40" s="101">
        <f>VLOOKUP(A40,'BSE ALL CAP'!$B$4:$Y$1038,9,)</f>
        <v>141</v>
      </c>
      <c r="K40" s="101">
        <f>VLOOKUP(A40,'BSE ALL CAP'!$B$4:$Y$1038,10,)</f>
        <v>119</v>
      </c>
      <c r="L40" s="101">
        <f>VLOOKUP(A40,'BSE ALL CAP'!$B$4:$Y$1038,11,)</f>
        <v>274</v>
      </c>
      <c r="M40" s="101">
        <f>VLOOKUP(A40,'BSE ALL CAP'!$B$4:$Y$1038,12,)</f>
        <v>259</v>
      </c>
      <c r="N40" s="101">
        <f>VLOOKUP(A40,'BSE ALL CAP'!$B$4:$Y$1038,13,)</f>
        <v>47</v>
      </c>
      <c r="O40" s="101">
        <f>VLOOKUP(A40,'BSE ALL CAP'!$B$4:$Y$1038,14,)</f>
        <v>20</v>
      </c>
      <c r="P40" s="95">
        <f>VLOOKUP(A40,'BSE ALL CAP'!$B$4:$Y$1038,15,)</f>
        <v>0.16845878136200718</v>
      </c>
      <c r="Q40" s="95">
        <f>VLOOKUP(A40,'BSE ALL CAP'!$B$4:$Y$1038,16,)</f>
        <v>0.1367816091954023</v>
      </c>
      <c r="R40" s="95">
        <f>VLOOKUP(A40,'BSE ALL CAP'!$B$4:$Y$1038,17,)</f>
        <v>3.1677172166604872E-2</v>
      </c>
      <c r="S40" s="95">
        <f>VLOOKUP(A40,'BSE ALL CAP'!$B$4:$Y$1038,18,)</f>
        <v>0.17153284671532848</v>
      </c>
      <c r="T40" s="95">
        <f>VLOOKUP(A40,'BSE ALL CAP'!$B$4:$Y$1038,19,)</f>
        <v>7.7220077220077218E-2</v>
      </c>
      <c r="U40" s="95">
        <f>VLOOKUP(A40,'BSE ALL CAP'!$B$4:$Y$1038,20,)</f>
        <v>9.4312769495251261E-2</v>
      </c>
      <c r="V40" s="95">
        <f>VLOOKUP(A40,'BSE ALL CAP'!$B$4:$Y$1038,21,)</f>
        <v>-3.7931034482758585E-2</v>
      </c>
      <c r="W40" s="95">
        <f>VLOOKUP(A40,'BSE ALL CAP'!$B$4:$Y$1038,22,)</f>
        <v>0.18487394957983194</v>
      </c>
      <c r="X40" s="95">
        <f>VLOOKUP(A40,'BSE ALL CAP'!$B$4:$Y$1038,23,)</f>
        <v>5.7915057915058021E-2</v>
      </c>
      <c r="Y40" s="95">
        <f>VLOOKUP(A40,'BSE ALL CAP'!$B$4:$Y$1038,24,)</f>
        <v>1.35</v>
      </c>
    </row>
    <row r="41" spans="1:25" ht="14.4">
      <c r="A41" s="99">
        <v>513262</v>
      </c>
      <c r="B41" s="98" t="s">
        <v>5698</v>
      </c>
      <c r="C41" s="174" t="str">
        <f>VLOOKUP(A41,'BSE ALL CAP'!$B$4:$Y$1034,2,)</f>
        <v>Consumer Discretionary</v>
      </c>
      <c r="D41" s="174" t="str">
        <f>VLOOKUP(A41,'BSE ALL CAP'!$B$4:$Y$1034,3,)</f>
        <v>Auto Components &amp; Equipments</v>
      </c>
      <c r="E41" s="101">
        <f ca="1">IFERROR(__xludf.DUMMYFUNCTION("GOOGLEFINANCE(""BOM:""&amp;A41,""PRICE"")"),190.5)</f>
        <v>190.5</v>
      </c>
      <c r="F41" s="112">
        <f ca="1">IFERROR(__xludf.DUMMYFUNCTION("GOOGLEFINANCE(""BOM:""&amp;A41,""MARKETCAP"")/10000000"),2981.5798972)</f>
        <v>2981.5798971999998</v>
      </c>
      <c r="G41" s="95">
        <f t="shared" ca="1" si="0"/>
        <v>3.1299969047191003E-3</v>
      </c>
      <c r="H41" s="101">
        <f>VLOOKUP(A41,'BSE ALL CAP'!$B$4:$Y$1038,7,)</f>
        <v>3708</v>
      </c>
      <c r="I41" s="101">
        <f>VLOOKUP(A41,'BSE ALL CAP'!$B$4:$Y$1038,8,)</f>
        <v>3195</v>
      </c>
      <c r="J41" s="101">
        <f>VLOOKUP(A41,'BSE ALL CAP'!$B$4:$Y$1038,9,)</f>
        <v>129</v>
      </c>
      <c r="K41" s="101">
        <f>VLOOKUP(A41,'BSE ALL CAP'!$B$4:$Y$1038,10,)</f>
        <v>134</v>
      </c>
      <c r="L41" s="101">
        <f>VLOOKUP(A41,'BSE ALL CAP'!$B$4:$Y$1038,11,)</f>
        <v>1320</v>
      </c>
      <c r="M41" s="101">
        <f>VLOOKUP(A41,'BSE ALL CAP'!$B$4:$Y$1038,12,)</f>
        <v>1074</v>
      </c>
      <c r="N41" s="101">
        <f>VLOOKUP(A41,'BSE ALL CAP'!$B$4:$Y$1038,13,)</f>
        <v>46</v>
      </c>
      <c r="O41" s="101">
        <f>VLOOKUP(A41,'BSE ALL CAP'!$B$4:$Y$1038,14,)</f>
        <v>47</v>
      </c>
      <c r="P41" s="95">
        <f>VLOOKUP(A41,'BSE ALL CAP'!$B$4:$Y$1038,15,)</f>
        <v>3.4789644012944987E-2</v>
      </c>
      <c r="Q41" s="95">
        <f>VLOOKUP(A41,'BSE ALL CAP'!$B$4:$Y$1038,16,)</f>
        <v>4.1940532081377151E-2</v>
      </c>
      <c r="R41" s="95">
        <f>VLOOKUP(A41,'BSE ALL CAP'!$B$4:$Y$1038,17,)</f>
        <v>-7.1508880684321638E-3</v>
      </c>
      <c r="S41" s="95">
        <f>VLOOKUP(A41,'BSE ALL CAP'!$B$4:$Y$1038,18,)</f>
        <v>3.4848484848484851E-2</v>
      </c>
      <c r="T41" s="95">
        <f>VLOOKUP(A41,'BSE ALL CAP'!$B$4:$Y$1038,19,)</f>
        <v>4.3761638733705775E-2</v>
      </c>
      <c r="U41" s="95">
        <f>VLOOKUP(A41,'BSE ALL CAP'!$B$4:$Y$1038,20,)</f>
        <v>-8.9131538852209244E-3</v>
      </c>
      <c r="V41" s="95">
        <f>VLOOKUP(A41,'BSE ALL CAP'!$B$4:$Y$1038,21,)</f>
        <v>0.16056338028169015</v>
      </c>
      <c r="W41" s="95">
        <f>VLOOKUP(A41,'BSE ALL CAP'!$B$4:$Y$1038,22,)</f>
        <v>-3.7313432835820892E-2</v>
      </c>
      <c r="X41" s="95">
        <f>VLOOKUP(A41,'BSE ALL CAP'!$B$4:$Y$1038,23,)</f>
        <v>0.22905027932960897</v>
      </c>
      <c r="Y41" s="95">
        <f>VLOOKUP(A41,'BSE ALL CAP'!$B$4:$Y$1038,24,)</f>
        <v>-2.1276595744680882E-2</v>
      </c>
    </row>
    <row r="42" spans="1:25" ht="14.4">
      <c r="A42" s="99">
        <v>541163</v>
      </c>
      <c r="B42" s="98" t="s">
        <v>5699</v>
      </c>
      <c r="C42" s="174" t="str">
        <f>VLOOKUP(A42,'BSE ALL CAP'!$B$4:$Y$1034,2,)</f>
        <v>Consumer Discretionary</v>
      </c>
      <c r="D42" s="174" t="str">
        <f>VLOOKUP(A42,'BSE ALL CAP'!$B$4:$Y$1034,3,)</f>
        <v>Auto Components &amp; Equipments</v>
      </c>
      <c r="E42" s="101">
        <f ca="1">IFERROR(__xludf.DUMMYFUNCTION("GOOGLEFINANCE(""BOM:""&amp;A42,""PRICE"")"),466.7)</f>
        <v>466.7</v>
      </c>
      <c r="F42" s="112">
        <f ca="1">IFERROR(__xludf.DUMMYFUNCTION("GOOGLEFINANCE(""BOM:""&amp;A42,""MARKETCAP"")/10000000"),2814.8180487)</f>
        <v>2814.8180487</v>
      </c>
      <c r="G42" s="95">
        <f t="shared" ca="1" si="0"/>
        <v>2.9549339892089672E-3</v>
      </c>
      <c r="H42" s="101">
        <f>VLOOKUP(A42,'BSE ALL CAP'!$B$4:$Y$1038,7,)</f>
        <v>3545</v>
      </c>
      <c r="I42" s="101">
        <f>VLOOKUP(A42,'BSE ALL CAP'!$B$4:$Y$1038,8,)</f>
        <v>2870</v>
      </c>
      <c r="J42" s="101">
        <f>VLOOKUP(A42,'BSE ALL CAP'!$B$4:$Y$1038,9,)</f>
        <v>134</v>
      </c>
      <c r="K42" s="101">
        <f>VLOOKUP(A42,'BSE ALL CAP'!$B$4:$Y$1038,10,)</f>
        <v>99</v>
      </c>
      <c r="L42" s="101">
        <f>VLOOKUP(A42,'BSE ALL CAP'!$B$4:$Y$1038,11,)</f>
        <v>1184</v>
      </c>
      <c r="M42" s="101">
        <f>VLOOKUP(A42,'BSE ALL CAP'!$B$4:$Y$1038,12,)</f>
        <v>973</v>
      </c>
      <c r="N42" s="101">
        <f>VLOOKUP(A42,'BSE ALL CAP'!$B$4:$Y$1038,13,)</f>
        <v>33</v>
      </c>
      <c r="O42" s="101">
        <f>VLOOKUP(A42,'BSE ALL CAP'!$B$4:$Y$1038,14,)</f>
        <v>29</v>
      </c>
      <c r="P42" s="95">
        <f>VLOOKUP(A42,'BSE ALL CAP'!$B$4:$Y$1038,15,)</f>
        <v>3.7799717912552891E-2</v>
      </c>
      <c r="Q42" s="95">
        <f>VLOOKUP(A42,'BSE ALL CAP'!$B$4:$Y$1038,16,)</f>
        <v>3.449477351916376E-2</v>
      </c>
      <c r="R42" s="95">
        <f>VLOOKUP(A42,'BSE ALL CAP'!$B$4:$Y$1038,17,)</f>
        <v>3.3049443933891309E-3</v>
      </c>
      <c r="S42" s="95">
        <f>VLOOKUP(A42,'BSE ALL CAP'!$B$4:$Y$1038,18,)</f>
        <v>2.7871621621621621E-2</v>
      </c>
      <c r="T42" s="95">
        <f>VLOOKUP(A42,'BSE ALL CAP'!$B$4:$Y$1038,19,)</f>
        <v>2.9804727646454265E-2</v>
      </c>
      <c r="U42" s="95">
        <f>VLOOKUP(A42,'BSE ALL CAP'!$B$4:$Y$1038,20,)</f>
        <v>-1.9331060248326433E-3</v>
      </c>
      <c r="V42" s="95">
        <f>VLOOKUP(A42,'BSE ALL CAP'!$B$4:$Y$1038,21,)</f>
        <v>0.23519163763066198</v>
      </c>
      <c r="W42" s="95">
        <f>VLOOKUP(A42,'BSE ALL CAP'!$B$4:$Y$1038,22,)</f>
        <v>0.35353535353535359</v>
      </c>
      <c r="X42" s="95">
        <f>VLOOKUP(A42,'BSE ALL CAP'!$B$4:$Y$1038,23,)</f>
        <v>0.21685508735868453</v>
      </c>
      <c r="Y42" s="95">
        <f>VLOOKUP(A42,'BSE ALL CAP'!$B$4:$Y$1038,24,)</f>
        <v>0.13793103448275867</v>
      </c>
    </row>
    <row r="43" spans="1:25" ht="14.4">
      <c r="A43" s="99">
        <v>544066</v>
      </c>
      <c r="B43" s="98" t="s">
        <v>5700</v>
      </c>
      <c r="C43" s="174" t="str">
        <f>VLOOKUP(A43,'BSE ALL CAP'!$B$4:$Y$1034,2,)</f>
        <v>Consumer Discretionary</v>
      </c>
      <c r="D43" s="174" t="str">
        <f>VLOOKUP(A43,'BSE ALL CAP'!$B$4:$Y$1034,3,)</f>
        <v>Auto Components &amp; Equipments</v>
      </c>
      <c r="E43" s="101">
        <f ca="1">IFERROR(__xludf.DUMMYFUNCTION("GOOGLEFINANCE(""BOM:""&amp;A43,""PRICE"")"),1251.3)</f>
        <v>1251.3</v>
      </c>
      <c r="F43" s="112">
        <f ca="1">IFERROR(__xludf.DUMMYFUNCTION("GOOGLEFINANCE(""BOM:""&amp;A43,""MARKETCAP"")/10000000"),2777.81616)</f>
        <v>2777.8161599999999</v>
      </c>
      <c r="G43" s="95">
        <f t="shared" ca="1" si="0"/>
        <v>2.9160902214439232E-3</v>
      </c>
      <c r="H43" s="101">
        <f>VLOOKUP(A43,'BSE ALL CAP'!$B$4:$Y$1038,7,)</f>
        <v>1507</v>
      </c>
      <c r="I43" s="101">
        <f>VLOOKUP(A43,'BSE ALL CAP'!$B$4:$Y$1038,8,)</f>
        <v>1672</v>
      </c>
      <c r="J43" s="101">
        <f>VLOOKUP(A43,'BSE ALL CAP'!$B$4:$Y$1038,9,)</f>
        <v>-174</v>
      </c>
      <c r="K43" s="101">
        <f>VLOOKUP(A43,'BSE ALL CAP'!$B$4:$Y$1038,10,)</f>
        <v>-154</v>
      </c>
      <c r="L43" s="101">
        <f>VLOOKUP(A43,'BSE ALL CAP'!$B$4:$Y$1038,11,)</f>
        <v>501</v>
      </c>
      <c r="M43" s="101">
        <f>VLOOKUP(A43,'BSE ALL CAP'!$B$4:$Y$1038,12,)</f>
        <v>529</v>
      </c>
      <c r="N43" s="101">
        <f>VLOOKUP(A43,'BSE ALL CAP'!$B$4:$Y$1038,13,)</f>
        <v>-52</v>
      </c>
      <c r="O43" s="101">
        <f>VLOOKUP(A43,'BSE ALL CAP'!$B$4:$Y$1038,14,)</f>
        <v>-44</v>
      </c>
      <c r="P43" s="95">
        <f>VLOOKUP(A43,'BSE ALL CAP'!$B$4:$Y$1038,15,)</f>
        <v>-0.11546118115461181</v>
      </c>
      <c r="Q43" s="95">
        <f>VLOOKUP(A43,'BSE ALL CAP'!$B$4:$Y$1038,16,)</f>
        <v>-9.2105263157894732E-2</v>
      </c>
      <c r="R43" s="95">
        <f>VLOOKUP(A43,'BSE ALL CAP'!$B$4:$Y$1038,17,)</f>
        <v>-2.3355917996717074E-2</v>
      </c>
      <c r="S43" s="95">
        <f>VLOOKUP(A43,'BSE ALL CAP'!$B$4:$Y$1038,18,)</f>
        <v>-0.10379241516966067</v>
      </c>
      <c r="T43" s="95">
        <f>VLOOKUP(A43,'BSE ALL CAP'!$B$4:$Y$1038,19,)</f>
        <v>-8.3175803402646506E-2</v>
      </c>
      <c r="U43" s="95">
        <f>VLOOKUP(A43,'BSE ALL CAP'!$B$4:$Y$1038,20,)</f>
        <v>-2.0616611767014167E-2</v>
      </c>
      <c r="V43" s="95">
        <f>VLOOKUP(A43,'BSE ALL CAP'!$B$4:$Y$1038,21,)</f>
        <v>-9.8684210526315819E-2</v>
      </c>
      <c r="W43" s="95">
        <f>VLOOKUP(A43,'BSE ALL CAP'!$B$4:$Y$1038,22,)</f>
        <v>0.12987012987012991</v>
      </c>
      <c r="X43" s="95">
        <f>VLOOKUP(A43,'BSE ALL CAP'!$B$4:$Y$1038,23,)</f>
        <v>-5.2930056710774998E-2</v>
      </c>
      <c r="Y43" s="95">
        <f>VLOOKUP(A43,'BSE ALL CAP'!$B$4:$Y$1038,24,)</f>
        <v>0.18181818181818188</v>
      </c>
    </row>
    <row r="44" spans="1:25" ht="14.4">
      <c r="A44" s="99">
        <v>544320</v>
      </c>
      <c r="B44" s="98" t="s">
        <v>5701</v>
      </c>
      <c r="C44" s="174" t="str">
        <f>VLOOKUP(A44,'BSE ALL CAP'!$B$4:$Y$1034,2,)</f>
        <v>Consumer Discretionary</v>
      </c>
      <c r="D44" s="174" t="str">
        <f>VLOOKUP(A44,'BSE ALL CAP'!$B$4:$Y$1034,3,)</f>
        <v>Auto Components &amp; Equipments</v>
      </c>
      <c r="E44" s="101">
        <f ca="1">IFERROR(__xludf.DUMMYFUNCTION("GOOGLEFINANCE(""BOM:""&amp;A44,""PRICE"")"),460.75)</f>
        <v>460.75</v>
      </c>
      <c r="F44" s="112">
        <f ca="1">IFERROR(__xludf.DUMMYFUNCTION("GOOGLEFINANCE(""BOM:""&amp;A44,""MARKETCAP"")/10000000"),2606.0741005)</f>
        <v>2606.0741005</v>
      </c>
      <c r="G44" s="95">
        <f t="shared" ca="1" si="0"/>
        <v>2.7357991901185851E-3</v>
      </c>
      <c r="H44" s="101">
        <f>VLOOKUP(A44,'BSE ALL CAP'!$B$4:$Y$1038,7,)</f>
        <v>1648</v>
      </c>
      <c r="I44" s="101">
        <f>VLOOKUP(A44,'BSE ALL CAP'!$B$4:$Y$1038,8,)</f>
        <v>1363</v>
      </c>
      <c r="J44" s="101">
        <f>VLOOKUP(A44,'BSE ALL CAP'!$B$4:$Y$1038,9,)</f>
        <v>88</v>
      </c>
      <c r="K44" s="101">
        <f>VLOOKUP(A44,'BSE ALL CAP'!$B$4:$Y$1038,10,)</f>
        <v>64</v>
      </c>
      <c r="L44" s="101">
        <f>VLOOKUP(A44,'BSE ALL CAP'!$B$4:$Y$1038,11,)</f>
        <v>569</v>
      </c>
      <c r="M44" s="101">
        <f>VLOOKUP(A44,'BSE ALL CAP'!$B$4:$Y$1038,12,)</f>
        <v>448</v>
      </c>
      <c r="N44" s="101">
        <f>VLOOKUP(A44,'BSE ALL CAP'!$B$4:$Y$1038,13,)</f>
        <v>28</v>
      </c>
      <c r="O44" s="101">
        <f>VLOOKUP(A44,'BSE ALL CAP'!$B$4:$Y$1038,14,)</f>
        <v>14</v>
      </c>
      <c r="P44" s="95">
        <f>VLOOKUP(A44,'BSE ALL CAP'!$B$4:$Y$1038,15,)</f>
        <v>5.3398058252427182E-2</v>
      </c>
      <c r="Q44" s="95">
        <f>VLOOKUP(A44,'BSE ALL CAP'!$B$4:$Y$1038,16,)</f>
        <v>4.6955245781364639E-2</v>
      </c>
      <c r="R44" s="95">
        <f>VLOOKUP(A44,'BSE ALL CAP'!$B$4:$Y$1038,17,)</f>
        <v>6.4428124710625423E-3</v>
      </c>
      <c r="S44" s="95">
        <f>VLOOKUP(A44,'BSE ALL CAP'!$B$4:$Y$1038,18,)</f>
        <v>4.9209138840070298E-2</v>
      </c>
      <c r="T44" s="95">
        <f>VLOOKUP(A44,'BSE ALL CAP'!$B$4:$Y$1038,19,)</f>
        <v>3.125E-2</v>
      </c>
      <c r="U44" s="95">
        <f>VLOOKUP(A44,'BSE ALL CAP'!$B$4:$Y$1038,20,)</f>
        <v>1.7959138840070298E-2</v>
      </c>
      <c r="V44" s="95">
        <f>VLOOKUP(A44,'BSE ALL CAP'!$B$4:$Y$1038,21,)</f>
        <v>0.20909757887013947</v>
      </c>
      <c r="W44" s="95">
        <f>VLOOKUP(A44,'BSE ALL CAP'!$B$4:$Y$1038,22,)</f>
        <v>0.375</v>
      </c>
      <c r="X44" s="95">
        <f>VLOOKUP(A44,'BSE ALL CAP'!$B$4:$Y$1038,23,)</f>
        <v>0.27008928571428581</v>
      </c>
      <c r="Y44" s="95">
        <f>VLOOKUP(A44,'BSE ALL CAP'!$B$4:$Y$1038,24,)</f>
        <v>1</v>
      </c>
    </row>
    <row r="45" spans="1:25" ht="14.4">
      <c r="A45" s="99">
        <v>590073</v>
      </c>
      <c r="B45" s="98" t="s">
        <v>5702</v>
      </c>
      <c r="C45" s="174" t="e">
        <f>VLOOKUP(A45,'BSE ALL CAP'!$B$4:$Y$1034,2,)</f>
        <v>#N/A</v>
      </c>
      <c r="D45" s="174" t="e">
        <f>VLOOKUP(A45,'BSE ALL CAP'!$B$4:$Y$1034,3,)</f>
        <v>#N/A</v>
      </c>
      <c r="E45" s="101">
        <f ca="1">IFERROR(__xludf.DUMMYFUNCTION("GOOGLEFINANCE(""BOM:""&amp;A45,""PRICE"")"),942.1)</f>
        <v>942.1</v>
      </c>
      <c r="F45" s="112">
        <f ca="1">IFERROR(__xludf.DUMMYFUNCTION("GOOGLEFINANCE(""BOM:""&amp;A45,""MARKETCAP"")/10000000"),2301.5886)</f>
        <v>2301.5886</v>
      </c>
      <c r="G45" s="95">
        <f t="shared" ca="1" si="0"/>
        <v>2.4161570181976369E-3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505010</v>
      </c>
      <c r="B46" s="98" t="s">
        <v>5703</v>
      </c>
      <c r="C46" s="174" t="str">
        <f>VLOOKUP(A46,'BSE ALL CAP'!$B$4:$Y$1034,2,)</f>
        <v>Consumer Discretionary</v>
      </c>
      <c r="D46" s="174" t="str">
        <f>VLOOKUP(A46,'BSE ALL CAP'!$B$4:$Y$1034,3,)</f>
        <v>Auto Components &amp; Equipments</v>
      </c>
      <c r="E46" s="101">
        <f ca="1">IFERROR(__xludf.DUMMYFUNCTION("GOOGLEFINANCE(""BOM:""&amp;A46,""PRICE"")"),1682)</f>
        <v>1682</v>
      </c>
      <c r="F46" s="112">
        <f ca="1">IFERROR(__xludf.DUMMYFUNCTION("GOOGLEFINANCE(""BOM:""&amp;A46,""MARKETCAP"")/10000000"),2523.8500728)</f>
        <v>2523.8500727999999</v>
      </c>
      <c r="G46" s="95">
        <f t="shared" ca="1" si="0"/>
        <v>2.649482216880261E-3</v>
      </c>
      <c r="H46" s="101">
        <f>VLOOKUP(A46,'BSE ALL CAP'!$B$4:$Y$1038,7,)</f>
        <v>1513</v>
      </c>
      <c r="I46" s="101">
        <f>VLOOKUP(A46,'BSE ALL CAP'!$B$4:$Y$1038,8,)</f>
        <v>1517</v>
      </c>
      <c r="J46" s="101">
        <f>VLOOKUP(A46,'BSE ALL CAP'!$B$4:$Y$1038,9,)</f>
        <v>110</v>
      </c>
      <c r="K46" s="101">
        <f>VLOOKUP(A46,'BSE ALL CAP'!$B$4:$Y$1038,10,)</f>
        <v>109</v>
      </c>
      <c r="L46" s="101">
        <f>VLOOKUP(A46,'BSE ALL CAP'!$B$4:$Y$1038,11,)</f>
        <v>562</v>
      </c>
      <c r="M46" s="101">
        <f>VLOOKUP(A46,'BSE ALL CAP'!$B$4:$Y$1038,12,)</f>
        <v>530</v>
      </c>
      <c r="N46" s="101">
        <f>VLOOKUP(A46,'BSE ALL CAP'!$B$4:$Y$1038,13,)</f>
        <v>38</v>
      </c>
      <c r="O46" s="101">
        <f>VLOOKUP(A46,'BSE ALL CAP'!$B$4:$Y$1038,14,)</f>
        <v>39</v>
      </c>
      <c r="P46" s="95">
        <f>VLOOKUP(A46,'BSE ALL CAP'!$B$4:$Y$1038,15,)</f>
        <v>7.270323859881031E-2</v>
      </c>
      <c r="Q46" s="95">
        <f>VLOOKUP(A46,'BSE ALL CAP'!$B$4:$Y$1038,16,)</f>
        <v>7.1852340145023078E-2</v>
      </c>
      <c r="R46" s="95">
        <f>VLOOKUP(A46,'BSE ALL CAP'!$B$4:$Y$1038,17,)</f>
        <v>8.5089845378723272E-4</v>
      </c>
      <c r="S46" s="95">
        <f>VLOOKUP(A46,'BSE ALL CAP'!$B$4:$Y$1038,18,)</f>
        <v>6.7615658362989328E-2</v>
      </c>
      <c r="T46" s="95">
        <f>VLOOKUP(A46,'BSE ALL CAP'!$B$4:$Y$1038,19,)</f>
        <v>7.3584905660377356E-2</v>
      </c>
      <c r="U46" s="95">
        <f>VLOOKUP(A46,'BSE ALL CAP'!$B$4:$Y$1038,20,)</f>
        <v>-5.9692472973880278E-3</v>
      </c>
      <c r="V46" s="95">
        <f>VLOOKUP(A46,'BSE ALL CAP'!$B$4:$Y$1038,21,)</f>
        <v>-2.636783124588038E-3</v>
      </c>
      <c r="W46" s="95">
        <f>VLOOKUP(A46,'BSE ALL CAP'!$B$4:$Y$1038,22,)</f>
        <v>9.1743119266054496E-3</v>
      </c>
      <c r="X46" s="95">
        <f>VLOOKUP(A46,'BSE ALL CAP'!$B$4:$Y$1038,23,)</f>
        <v>6.0377358490566024E-2</v>
      </c>
      <c r="Y46" s="95">
        <f>VLOOKUP(A46,'BSE ALL CAP'!$B$4:$Y$1038,24,)</f>
        <v>-2.5641025641025661E-2</v>
      </c>
    </row>
    <row r="47" spans="1:25" ht="14.4">
      <c r="A47" s="99">
        <v>505744</v>
      </c>
      <c r="B47" s="98" t="s">
        <v>5704</v>
      </c>
      <c r="C47" s="174" t="str">
        <f>VLOOKUP(A47,'BSE ALL CAP'!$B$4:$Y$1034,2,)</f>
        <v>Consumer Discretionary</v>
      </c>
      <c r="D47" s="174" t="str">
        <f>VLOOKUP(A47,'BSE ALL CAP'!$B$4:$Y$1034,3,)</f>
        <v>Auto Components &amp; Equipments</v>
      </c>
      <c r="E47" s="101">
        <f ca="1">IFERROR(__xludf.DUMMYFUNCTION("GOOGLEFINANCE(""BOM:""&amp;A47,""PRICE"")"),421.35)</f>
        <v>421.35</v>
      </c>
      <c r="F47" s="112">
        <f ca="1">IFERROR(__xludf.DUMMYFUNCTION("GOOGLEFINANCE(""BOM:""&amp;A47,""MARKETCAP"")/10000000"),2346.5627536)</f>
        <v>2346.5627536000002</v>
      </c>
      <c r="G47" s="95">
        <f t="shared" ca="1" si="0"/>
        <v>2.4633698940600473E-3</v>
      </c>
      <c r="H47" s="101">
        <f>VLOOKUP(A47,'BSE ALL CAP'!$B$4:$Y$1038,7,)</f>
        <v>1469</v>
      </c>
      <c r="I47" s="101">
        <f>VLOOKUP(A47,'BSE ALL CAP'!$B$4:$Y$1038,8,)</f>
        <v>1341</v>
      </c>
      <c r="J47" s="101">
        <f>VLOOKUP(A47,'BSE ALL CAP'!$B$4:$Y$1038,9,)</f>
        <v>127</v>
      </c>
      <c r="K47" s="101">
        <f>VLOOKUP(A47,'BSE ALL CAP'!$B$4:$Y$1038,10,)</f>
        <v>108</v>
      </c>
      <c r="L47" s="101">
        <f>VLOOKUP(A47,'BSE ALL CAP'!$B$4:$Y$1038,11,)</f>
        <v>495</v>
      </c>
      <c r="M47" s="101">
        <f>VLOOKUP(A47,'BSE ALL CAP'!$B$4:$Y$1038,12,)</f>
        <v>433</v>
      </c>
      <c r="N47" s="101">
        <f>VLOOKUP(A47,'BSE ALL CAP'!$B$4:$Y$1038,13,)</f>
        <v>30</v>
      </c>
      <c r="O47" s="101">
        <f>VLOOKUP(A47,'BSE ALL CAP'!$B$4:$Y$1038,14,)</f>
        <v>30</v>
      </c>
      <c r="P47" s="95">
        <f>VLOOKUP(A47,'BSE ALL CAP'!$B$4:$Y$1038,15,)</f>
        <v>8.6453369639210353E-2</v>
      </c>
      <c r="Q47" s="95">
        <f>VLOOKUP(A47,'BSE ALL CAP'!$B$4:$Y$1038,16,)</f>
        <v>8.0536912751677847E-2</v>
      </c>
      <c r="R47" s="95">
        <f>VLOOKUP(A47,'BSE ALL CAP'!$B$4:$Y$1038,17,)</f>
        <v>5.9164568875325063E-3</v>
      </c>
      <c r="S47" s="95">
        <f>VLOOKUP(A47,'BSE ALL CAP'!$B$4:$Y$1038,18,)</f>
        <v>6.0606060606060608E-2</v>
      </c>
      <c r="T47" s="95">
        <f>VLOOKUP(A47,'BSE ALL CAP'!$B$4:$Y$1038,19,)</f>
        <v>6.9284064665127015E-2</v>
      </c>
      <c r="U47" s="95">
        <f>VLOOKUP(A47,'BSE ALL CAP'!$B$4:$Y$1038,20,)</f>
        <v>-8.6780040590664076E-3</v>
      </c>
      <c r="V47" s="95">
        <f>VLOOKUP(A47,'BSE ALL CAP'!$B$4:$Y$1038,21,)</f>
        <v>9.5451155853840453E-2</v>
      </c>
      <c r="W47" s="95">
        <f>VLOOKUP(A47,'BSE ALL CAP'!$B$4:$Y$1038,22,)</f>
        <v>0.17592592592592582</v>
      </c>
      <c r="X47" s="95">
        <f>VLOOKUP(A47,'BSE ALL CAP'!$B$4:$Y$1038,23,)</f>
        <v>0.14318706697459582</v>
      </c>
      <c r="Y47" s="95">
        <f>VLOOKUP(A47,'BSE ALL CAP'!$B$4:$Y$1038,24,)</f>
        <v>0</v>
      </c>
    </row>
    <row r="48" spans="1:25" ht="14.4">
      <c r="A48" s="99">
        <v>530367</v>
      </c>
      <c r="B48" s="98" t="s">
        <v>5705</v>
      </c>
      <c r="C48" s="174" t="str">
        <f>VLOOKUP(A48,'BSE ALL CAP'!$B$4:$Y$1034,2,)</f>
        <v>Consumer Discretionary</v>
      </c>
      <c r="D48" s="174" t="str">
        <f>VLOOKUP(A48,'BSE ALL CAP'!$B$4:$Y$1034,3,)</f>
        <v>Auto Components &amp; Equipments</v>
      </c>
      <c r="E48" s="101">
        <f ca="1">IFERROR(__xludf.DUMMYFUNCTION("GOOGLEFINANCE(""BOM:""&amp;A48,""PRICE"")"),241.55)</f>
        <v>241.55</v>
      </c>
      <c r="F48" s="112">
        <f ca="1">IFERROR(__xludf.DUMMYFUNCTION("GOOGLEFINANCE(""BOM:""&amp;A48,""MARKETCAP"")/10000000"),2345.236164)</f>
        <v>2345.2361639999999</v>
      </c>
      <c r="G48" s="95">
        <f t="shared" ca="1" si="0"/>
        <v>2.4619772695170213E-3</v>
      </c>
      <c r="H48" s="101">
        <f>VLOOKUP(A48,'BSE ALL CAP'!$B$4:$Y$1038,7,)</f>
        <v>963</v>
      </c>
      <c r="I48" s="101">
        <f>VLOOKUP(A48,'BSE ALL CAP'!$B$4:$Y$1038,8,)</f>
        <v>869</v>
      </c>
      <c r="J48" s="101">
        <f>VLOOKUP(A48,'BSE ALL CAP'!$B$4:$Y$1038,9,)</f>
        <v>103</v>
      </c>
      <c r="K48" s="101">
        <f>VLOOKUP(A48,'BSE ALL CAP'!$B$4:$Y$1038,10,)</f>
        <v>83</v>
      </c>
      <c r="L48" s="101">
        <f>VLOOKUP(A48,'BSE ALL CAP'!$B$4:$Y$1038,11,)</f>
        <v>327</v>
      </c>
      <c r="M48" s="101">
        <f>VLOOKUP(A48,'BSE ALL CAP'!$B$4:$Y$1038,12,)</f>
        <v>276</v>
      </c>
      <c r="N48" s="101">
        <f>VLOOKUP(A48,'BSE ALL CAP'!$B$4:$Y$1038,13,)</f>
        <v>29</v>
      </c>
      <c r="O48" s="101">
        <f>VLOOKUP(A48,'BSE ALL CAP'!$B$4:$Y$1038,14,)</f>
        <v>22</v>
      </c>
      <c r="P48" s="95">
        <f>VLOOKUP(A48,'BSE ALL CAP'!$B$4:$Y$1038,15,)</f>
        <v>0.10695742471443406</v>
      </c>
      <c r="Q48" s="95">
        <f>VLOOKUP(A48,'BSE ALL CAP'!$B$4:$Y$1038,16,)</f>
        <v>9.5512082853855013E-2</v>
      </c>
      <c r="R48" s="95">
        <f>VLOOKUP(A48,'BSE ALL CAP'!$B$4:$Y$1038,17,)</f>
        <v>1.144534186057905E-2</v>
      </c>
      <c r="S48" s="95">
        <f>VLOOKUP(A48,'BSE ALL CAP'!$B$4:$Y$1038,18,)</f>
        <v>8.8685015290519878E-2</v>
      </c>
      <c r="T48" s="95">
        <f>VLOOKUP(A48,'BSE ALL CAP'!$B$4:$Y$1038,19,)</f>
        <v>7.9710144927536225E-2</v>
      </c>
      <c r="U48" s="95">
        <f>VLOOKUP(A48,'BSE ALL CAP'!$B$4:$Y$1038,20,)</f>
        <v>8.9748703629836529E-3</v>
      </c>
      <c r="V48" s="95">
        <f>VLOOKUP(A48,'BSE ALL CAP'!$B$4:$Y$1038,21,)</f>
        <v>0.10817031070195626</v>
      </c>
      <c r="W48" s="95">
        <f>VLOOKUP(A48,'BSE ALL CAP'!$B$4:$Y$1038,22,)</f>
        <v>0.24096385542168686</v>
      </c>
      <c r="X48" s="95">
        <f>VLOOKUP(A48,'BSE ALL CAP'!$B$4:$Y$1038,23,)</f>
        <v>0.18478260869565211</v>
      </c>
      <c r="Y48" s="95">
        <f>VLOOKUP(A48,'BSE ALL CAP'!$B$4:$Y$1038,24,)</f>
        <v>0.31818181818181812</v>
      </c>
    </row>
    <row r="49" spans="1:25" ht="14.4">
      <c r="A49" s="99">
        <v>543689</v>
      </c>
      <c r="B49" s="98" t="s">
        <v>5706</v>
      </c>
      <c r="C49" s="174" t="str">
        <f>VLOOKUP(A49,'BSE ALL CAP'!$B$4:$Y$1034,2,)</f>
        <v>Consumer Discretionary</v>
      </c>
      <c r="D49" s="174" t="str">
        <f>VLOOKUP(A49,'BSE ALL CAP'!$B$4:$Y$1034,3,)</f>
        <v>Auto Components &amp; Equipments</v>
      </c>
      <c r="E49" s="101">
        <f ca="1">IFERROR(__xludf.DUMMYFUNCTION("GOOGLEFINANCE(""BOM:""&amp;A49,""PRICE"")"),469.35)</f>
        <v>469.35</v>
      </c>
      <c r="F49" s="112">
        <f ca="1">IFERROR(__xludf.DUMMYFUNCTION("GOOGLEFINANCE(""BOM:""&amp;A49,""MARKETCAP"")/10000000"),2118.677574)</f>
        <v>2118.6775739999998</v>
      </c>
      <c r="G49" s="95">
        <f t="shared" ca="1" si="0"/>
        <v>2.2241410518448182E-3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4.4">
      <c r="A50" s="99">
        <v>543812</v>
      </c>
      <c r="B50" s="98" t="s">
        <v>5707</v>
      </c>
      <c r="C50" s="174" t="e">
        <f>VLOOKUP(A50,'BSE ALL CAP'!$B$4:$Y$1034,2,)</f>
        <v>#N/A</v>
      </c>
      <c r="D50" s="174" t="e">
        <f>VLOOKUP(A50,'BSE ALL CAP'!$B$4:$Y$1034,3,)</f>
        <v>#N/A</v>
      </c>
      <c r="E50" s="101">
        <f ca="1">IFERROR(__xludf.DUMMYFUNCTION("GOOGLEFINANCE(""BOM:""&amp;A50,""PRICE"")"),642.2)</f>
        <v>642.20000000000005</v>
      </c>
      <c r="F50" s="112">
        <f ca="1">IFERROR(__xludf.DUMMYFUNCTION("GOOGLEFINANCE(""BOM:""&amp;A50,""MARKETCAP"")/10000000"),1959.7534762)</f>
        <v>1959.7534762</v>
      </c>
      <c r="G50" s="95">
        <f t="shared" ca="1" si="0"/>
        <v>2.0573060343876595E-3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4.4">
      <c r="A51" s="99">
        <v>522241</v>
      </c>
      <c r="B51" s="98" t="s">
        <v>5708</v>
      </c>
      <c r="C51" s="174" t="e">
        <f>VLOOKUP(A51,'BSE ALL CAP'!$B$4:$Y$1034,2,)</f>
        <v>#N/A</v>
      </c>
      <c r="D51" s="174" t="e">
        <f>VLOOKUP(A51,'BSE ALL CAP'!$B$4:$Y$1034,3,)</f>
        <v>#N/A</v>
      </c>
      <c r="E51" s="101">
        <f ca="1">IFERROR(__xludf.DUMMYFUNCTION("GOOGLEFINANCE(""BOM:""&amp;A51,""PRICE"")"),413.1)</f>
        <v>413.1</v>
      </c>
      <c r="F51" s="112">
        <f ca="1">IFERROR(__xludf.DUMMYFUNCTION("GOOGLEFINANCE(""BOM:""&amp;A51,""MARKETCAP"")/10000000"),1998.3749806)</f>
        <v>1998.3749806000001</v>
      </c>
      <c r="G51" s="95">
        <f t="shared" ca="1" si="0"/>
        <v>2.0978500390414065E-3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4.4">
      <c r="A52" s="99">
        <v>532661</v>
      </c>
      <c r="B52" s="98" t="s">
        <v>5709</v>
      </c>
      <c r="C52" s="174" t="str">
        <f>VLOOKUP(A52,'BSE ALL CAP'!$B$4:$Y$1034,2,)</f>
        <v>Consumer Discretionary</v>
      </c>
      <c r="D52" s="174" t="str">
        <f>VLOOKUP(A52,'BSE ALL CAP'!$B$4:$Y$1034,3,)</f>
        <v>Auto Components &amp; Equipments</v>
      </c>
      <c r="E52" s="101">
        <f ca="1">IFERROR(__xludf.DUMMYFUNCTION("GOOGLEFINANCE(""BOM:""&amp;A52,""PRICE"")"),679.8)</f>
        <v>679.8</v>
      </c>
      <c r="F52" s="112">
        <f ca="1">IFERROR(__xludf.DUMMYFUNCTION("GOOGLEFINANCE(""BOM:""&amp;A52,""MARKETCAP"")/10000000"),1877.528359)</f>
        <v>1877.5283589999999</v>
      </c>
      <c r="G52" s="95">
        <f t="shared" ca="1" si="0"/>
        <v>1.9709879174162324E-3</v>
      </c>
      <c r="H52" s="101">
        <f>VLOOKUP(A52,'BSE ALL CAP'!$B$4:$Y$1038,7,)</f>
        <v>2815</v>
      </c>
      <c r="I52" s="101">
        <f>VLOOKUP(A52,'BSE ALL CAP'!$B$4:$Y$1038,8,)</f>
        <v>2504</v>
      </c>
      <c r="J52" s="101">
        <f>VLOOKUP(A52,'BSE ALL CAP'!$B$4:$Y$1038,9,)</f>
        <v>71</v>
      </c>
      <c r="K52" s="101">
        <f>VLOOKUP(A52,'BSE ALL CAP'!$B$4:$Y$1038,10,)</f>
        <v>31</v>
      </c>
      <c r="L52" s="101">
        <f>VLOOKUP(A52,'BSE ALL CAP'!$B$4:$Y$1038,11,)</f>
        <v>1015</v>
      </c>
      <c r="M52" s="101">
        <f>VLOOKUP(A52,'BSE ALL CAP'!$B$4:$Y$1038,12,)</f>
        <v>837</v>
      </c>
      <c r="N52" s="101">
        <f>VLOOKUP(A52,'BSE ALL CAP'!$B$4:$Y$1038,13,)</f>
        <v>31</v>
      </c>
      <c r="O52" s="101">
        <f>VLOOKUP(A52,'BSE ALL CAP'!$B$4:$Y$1038,14,)</f>
        <v>0.39</v>
      </c>
      <c r="P52" s="95">
        <f>VLOOKUP(A52,'BSE ALL CAP'!$B$4:$Y$1038,15,)</f>
        <v>2.522202486678508E-2</v>
      </c>
      <c r="Q52" s="95">
        <f>VLOOKUP(A52,'BSE ALL CAP'!$B$4:$Y$1038,16,)</f>
        <v>1.2380191693290734E-2</v>
      </c>
      <c r="R52" s="95">
        <f>VLOOKUP(A52,'BSE ALL CAP'!$B$4:$Y$1038,17,)</f>
        <v>1.2841833173494346E-2</v>
      </c>
      <c r="S52" s="95">
        <f>VLOOKUP(A52,'BSE ALL CAP'!$B$4:$Y$1038,18,)</f>
        <v>3.0541871921182268E-2</v>
      </c>
      <c r="T52" s="95">
        <f>VLOOKUP(A52,'BSE ALL CAP'!$B$4:$Y$1038,19,)</f>
        <v>4.6594982078853047E-4</v>
      </c>
      <c r="U52" s="95">
        <f>VLOOKUP(A52,'BSE ALL CAP'!$B$4:$Y$1038,20,)</f>
        <v>3.0075922100393736E-2</v>
      </c>
      <c r="V52" s="95">
        <f>VLOOKUP(A52,'BSE ALL CAP'!$B$4:$Y$1038,21,)</f>
        <v>0.12420127795527147</v>
      </c>
      <c r="W52" s="95">
        <f>VLOOKUP(A52,'BSE ALL CAP'!$B$4:$Y$1038,22,)</f>
        <v>1.2903225806451615</v>
      </c>
      <c r="X52" s="95">
        <f>VLOOKUP(A52,'BSE ALL CAP'!$B$4:$Y$1038,23,)</f>
        <v>0.21266427718040615</v>
      </c>
      <c r="Y52" s="95">
        <f>VLOOKUP(A52,'BSE ALL CAP'!$B$4:$Y$1038,24,)</f>
        <v>78.487179487179489</v>
      </c>
    </row>
    <row r="53" spans="1:25" ht="14.4">
      <c r="A53" s="99">
        <v>517522</v>
      </c>
      <c r="B53" s="98" t="s">
        <v>5710</v>
      </c>
      <c r="C53" s="174" t="str">
        <f>VLOOKUP(A53,'BSE ALL CAP'!$B$4:$Y$1034,2,)</f>
        <v>Consumer Discretionary</v>
      </c>
      <c r="D53" s="174" t="str">
        <f>VLOOKUP(A53,'BSE ALL CAP'!$B$4:$Y$1034,3,)</f>
        <v>Auto Components &amp; Equipments</v>
      </c>
      <c r="E53" s="101">
        <f ca="1">IFERROR(__xludf.DUMMYFUNCTION("GOOGLEFINANCE(""BOM:""&amp;A53,""PRICE"")"),368.45)</f>
        <v>368.45</v>
      </c>
      <c r="F53" s="112">
        <f ca="1">IFERROR(__xludf.DUMMYFUNCTION("GOOGLEFINANCE(""BOM:""&amp;A53,""MARKETCAP"")/10000000"),1877.0035622)</f>
        <v>1877.0035622</v>
      </c>
      <c r="G53" s="95">
        <f t="shared" ca="1" si="0"/>
        <v>1.9704369972946053E-3</v>
      </c>
      <c r="H53" s="101">
        <f>VLOOKUP(A53,'BSE ALL CAP'!$B$4:$Y$1038,7,)</f>
        <v>845</v>
      </c>
      <c r="I53" s="101">
        <f>VLOOKUP(A53,'BSE ALL CAP'!$B$4:$Y$1038,8,)</f>
        <v>684</v>
      </c>
      <c r="J53" s="101">
        <f>VLOOKUP(A53,'BSE ALL CAP'!$B$4:$Y$1038,9,)</f>
        <v>54</v>
      </c>
      <c r="K53" s="101">
        <f>VLOOKUP(A53,'BSE ALL CAP'!$B$4:$Y$1038,10,)</f>
        <v>43</v>
      </c>
      <c r="L53" s="101">
        <f>VLOOKUP(A53,'BSE ALL CAP'!$B$4:$Y$1038,11,)</f>
        <v>302</v>
      </c>
      <c r="M53" s="101">
        <f>VLOOKUP(A53,'BSE ALL CAP'!$B$4:$Y$1038,12,)</f>
        <v>218</v>
      </c>
      <c r="N53" s="101">
        <f>VLOOKUP(A53,'BSE ALL CAP'!$B$4:$Y$1038,13,)</f>
        <v>20</v>
      </c>
      <c r="O53" s="101">
        <f>VLOOKUP(A53,'BSE ALL CAP'!$B$4:$Y$1038,14,)</f>
        <v>9</v>
      </c>
      <c r="P53" s="95">
        <f>VLOOKUP(A53,'BSE ALL CAP'!$B$4:$Y$1038,15,)</f>
        <v>6.3905325443786978E-2</v>
      </c>
      <c r="Q53" s="95">
        <f>VLOOKUP(A53,'BSE ALL CAP'!$B$4:$Y$1038,16,)</f>
        <v>6.2865497076023388E-2</v>
      </c>
      <c r="R53" s="95">
        <f>VLOOKUP(A53,'BSE ALL CAP'!$B$4:$Y$1038,17,)</f>
        <v>1.03982836776359E-3</v>
      </c>
      <c r="S53" s="95">
        <f>VLOOKUP(A53,'BSE ALL CAP'!$B$4:$Y$1038,18,)</f>
        <v>6.6225165562913912E-2</v>
      </c>
      <c r="T53" s="95">
        <f>VLOOKUP(A53,'BSE ALL CAP'!$B$4:$Y$1038,19,)</f>
        <v>4.1284403669724773E-2</v>
      </c>
      <c r="U53" s="95">
        <f>VLOOKUP(A53,'BSE ALL CAP'!$B$4:$Y$1038,20,)</f>
        <v>2.4940761893189139E-2</v>
      </c>
      <c r="V53" s="95">
        <f>VLOOKUP(A53,'BSE ALL CAP'!$B$4:$Y$1038,21,)</f>
        <v>0.23538011695906436</v>
      </c>
      <c r="W53" s="95">
        <f>VLOOKUP(A53,'BSE ALL CAP'!$B$4:$Y$1038,22,)</f>
        <v>0.2558139534883721</v>
      </c>
      <c r="X53" s="95">
        <f>VLOOKUP(A53,'BSE ALL CAP'!$B$4:$Y$1038,23,)</f>
        <v>0.3853211009174311</v>
      </c>
      <c r="Y53" s="95">
        <f>VLOOKUP(A53,'BSE ALL CAP'!$B$4:$Y$1038,24,)</f>
        <v>1.2222222222222223</v>
      </c>
    </row>
    <row r="54" spans="1:25" ht="14.4">
      <c r="A54" s="99">
        <v>544599</v>
      </c>
      <c r="B54" s="98" t="s">
        <v>5711</v>
      </c>
      <c r="C54" s="174" t="e">
        <f>VLOOKUP(A54,'BSE ALL CAP'!$B$4:$Y$1034,2,)</f>
        <v>#N/A</v>
      </c>
      <c r="D54" s="174" t="e">
        <f>VLOOKUP(A54,'BSE ALL CAP'!$B$4:$Y$1034,3,)</f>
        <v>#N/A</v>
      </c>
      <c r="E54" s="101">
        <f ca="1">IFERROR(__xludf.DUMMYFUNCTION("GOOGLEFINANCE(""BOM:""&amp;A54,""PRICE"")"),445)</f>
        <v>445</v>
      </c>
      <c r="F54" s="112">
        <f ca="1">IFERROR(__xludf.DUMMYFUNCTION("GOOGLEFINANCE(""BOM:""&amp;A54,""MARKETCAP"")/10000000"),1759.09698)</f>
        <v>1759.09698</v>
      </c>
      <c r="G54" s="95">
        <f t="shared" ca="1" si="0"/>
        <v>1.8466612642751481E-3</v>
      </c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ht="14.4">
      <c r="A55" s="99">
        <v>532240</v>
      </c>
      <c r="B55" s="98" t="s">
        <v>5712</v>
      </c>
      <c r="C55" s="174" t="e">
        <f>VLOOKUP(A55,'BSE ALL CAP'!$B$4:$Y$1034,2,)</f>
        <v>#N/A</v>
      </c>
      <c r="D55" s="174" t="e">
        <f>VLOOKUP(A55,'BSE ALL CAP'!$B$4:$Y$1034,3,)</f>
        <v>#N/A</v>
      </c>
      <c r="E55" s="101">
        <f ca="1">IFERROR(__xludf.DUMMYFUNCTION("GOOGLEFINANCE(""BOM:""&amp;A55,""PRICE"")"),721.75)</f>
        <v>721.75</v>
      </c>
      <c r="F55" s="112">
        <f ca="1">IFERROR(__xludf.DUMMYFUNCTION("GOOGLEFINANCE(""BOM:""&amp;A55,""MARKETCAP"")/10000000"),1630.8913025)</f>
        <v>1630.8913024999999</v>
      </c>
      <c r="G55" s="95">
        <f t="shared" ca="1" si="0"/>
        <v>1.7120737678544549E-3</v>
      </c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ht="14.4">
      <c r="A56" s="99">
        <v>540124</v>
      </c>
      <c r="B56" s="98" t="s">
        <v>5713</v>
      </c>
      <c r="C56" s="174" t="e">
        <f>VLOOKUP(A56,'BSE ALL CAP'!$B$4:$Y$1034,2,)</f>
        <v>#N/A</v>
      </c>
      <c r="D56" s="174" t="e">
        <f>VLOOKUP(A56,'BSE ALL CAP'!$B$4:$Y$1034,3,)</f>
        <v>#N/A</v>
      </c>
      <c r="E56" s="101">
        <f ca="1">IFERROR(__xludf.DUMMYFUNCTION("GOOGLEFINANCE(""BOM:""&amp;A56,""PRICE"")"),374.65)</f>
        <v>374.65</v>
      </c>
      <c r="F56" s="112">
        <f ca="1">IFERROR(__xludf.DUMMYFUNCTION("GOOGLEFINANCE(""BOM:""&amp;A56,""MARKETCAP"")/10000000"),1621.7113477)</f>
        <v>1621.7113477</v>
      </c>
      <c r="G56" s="95">
        <f t="shared" ca="1" si="0"/>
        <v>1.7024368535002749E-3</v>
      </c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ht="14.4">
      <c r="A57" s="99">
        <v>543214</v>
      </c>
      <c r="B57" s="98" t="s">
        <v>5714</v>
      </c>
      <c r="C57" s="174" t="e">
        <f>VLOOKUP(A57,'BSE ALL CAP'!$B$4:$Y$1034,2,)</f>
        <v>#N/A</v>
      </c>
      <c r="D57" s="174" t="e">
        <f>VLOOKUP(A57,'BSE ALL CAP'!$B$4:$Y$1034,3,)</f>
        <v>#N/A</v>
      </c>
      <c r="E57" s="101">
        <f ca="1">IFERROR(__xludf.DUMMYFUNCTION("GOOGLEFINANCE(""BOM:""&amp;A57,""PRICE"")"),664.65)</f>
        <v>664.65</v>
      </c>
      <c r="F57" s="112">
        <f ca="1">IFERROR(__xludf.DUMMYFUNCTION("GOOGLEFINANCE(""BOM:""&amp;A57,""MARKETCAP"")/10000000"),1581.72245)</f>
        <v>1581.72245</v>
      </c>
      <c r="G57" s="95">
        <f t="shared" ca="1" si="0"/>
        <v>1.6604573894779722E-3</v>
      </c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ht="14.4">
      <c r="A58" s="99">
        <v>522195</v>
      </c>
      <c r="B58" s="98" t="s">
        <v>5715</v>
      </c>
      <c r="C58" s="174" t="e">
        <f>VLOOKUP(A58,'BSE ALL CAP'!$B$4:$Y$1034,2,)</f>
        <v>#N/A</v>
      </c>
      <c r="D58" s="174" t="e">
        <f>VLOOKUP(A58,'BSE ALL CAP'!$B$4:$Y$1034,3,)</f>
        <v>#N/A</v>
      </c>
      <c r="E58" s="101">
        <f ca="1">IFERROR(__xludf.DUMMYFUNCTION("GOOGLEFINANCE(""BOM:""&amp;A58,""PRICE"")"),1300)</f>
        <v>1300</v>
      </c>
      <c r="F58" s="112">
        <f ca="1">IFERROR(__xludf.DUMMYFUNCTION("GOOGLEFINANCE(""BOM:""&amp;A58,""MARKETCAP"")/10000000"),1536.0189)</f>
        <v>1536.0189</v>
      </c>
      <c r="G58" s="95">
        <f t="shared" ca="1" si="0"/>
        <v>1.6124788093403025E-3</v>
      </c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ht="14.4">
      <c r="A59" s="99">
        <v>520073</v>
      </c>
      <c r="B59" s="98" t="s">
        <v>5716</v>
      </c>
      <c r="C59" s="174" t="e">
        <f>VLOOKUP(A59,'BSE ALL CAP'!$B$4:$Y$1034,2,)</f>
        <v>#N/A</v>
      </c>
      <c r="D59" s="174" t="e">
        <f>VLOOKUP(A59,'BSE ALL CAP'!$B$4:$Y$1034,3,)</f>
        <v>#N/A</v>
      </c>
      <c r="E59" s="101">
        <f ca="1">IFERROR(__xludf.DUMMYFUNCTION("GOOGLEFINANCE(""BOM:""&amp;A59,""PRICE"")"),1261)</f>
        <v>1261</v>
      </c>
      <c r="F59" s="112">
        <f ca="1">IFERROR(__xludf.DUMMYFUNCTION("GOOGLEFINANCE(""BOM:""&amp;A59,""MARKETCAP"")/10000000"),1479.9921885)</f>
        <v>1479.9921885000001</v>
      </c>
      <c r="G59" s="95">
        <f t="shared" ca="1" si="0"/>
        <v>1.5536632016347122E-3</v>
      </c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ht="14.4">
      <c r="A60" s="99">
        <v>505160</v>
      </c>
      <c r="B60" s="98" t="s">
        <v>5717</v>
      </c>
      <c r="C60" s="174" t="e">
        <f>VLOOKUP(A60,'BSE ALL CAP'!$B$4:$Y$1034,2,)</f>
        <v>#N/A</v>
      </c>
      <c r="D60" s="174" t="e">
        <f>VLOOKUP(A60,'BSE ALL CAP'!$B$4:$Y$1034,3,)</f>
        <v>#N/A</v>
      </c>
      <c r="E60" s="101">
        <f ca="1">IFERROR(__xludf.DUMMYFUNCTION("GOOGLEFINANCE(""BOM:""&amp;A60,""PRICE"")"),246.5)</f>
        <v>246.5</v>
      </c>
      <c r="F60" s="112">
        <f ca="1">IFERROR(__xludf.DUMMYFUNCTION("GOOGLEFINANCE(""BOM:""&amp;A60,""MARKETCAP"")/10000000"),1525.3028712)</f>
        <v>1525.3028712</v>
      </c>
      <c r="G60" s="95">
        <f t="shared" ca="1" si="0"/>
        <v>1.6012293583340159E-3</v>
      </c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ht="14.4">
      <c r="A61" s="99">
        <v>520008</v>
      </c>
      <c r="B61" s="98" t="s">
        <v>5718</v>
      </c>
      <c r="C61" s="174" t="e">
        <f>VLOOKUP(A61,'BSE ALL CAP'!$B$4:$Y$1034,2,)</f>
        <v>#N/A</v>
      </c>
      <c r="D61" s="174" t="e">
        <f>VLOOKUP(A61,'BSE ALL CAP'!$B$4:$Y$1034,3,)</f>
        <v>#N/A</v>
      </c>
      <c r="E61" s="101">
        <f ca="1">IFERROR(__xludf.DUMMYFUNCTION("GOOGLEFINANCE(""BOM:""&amp;A61,""PRICE"")"),109.85)</f>
        <v>109.85</v>
      </c>
      <c r="F61" s="112">
        <f ca="1">IFERROR(__xludf.DUMMYFUNCTION("GOOGLEFINANCE(""BOM:""&amp;A61,""MARKETCAP"")/10000000"),1487.7280618)</f>
        <v>1487.7280618</v>
      </c>
      <c r="G61" s="95">
        <f t="shared" ca="1" si="0"/>
        <v>1.5617841510370868E-3</v>
      </c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</row>
    <row r="62" spans="1:25" ht="14.4">
      <c r="A62" s="99">
        <v>544253</v>
      </c>
      <c r="B62" s="98" t="s">
        <v>5719</v>
      </c>
      <c r="C62" s="174" t="e">
        <f>VLOOKUP(A62,'BSE ALL CAP'!$B$4:$Y$1034,2,)</f>
        <v>#N/A</v>
      </c>
      <c r="D62" s="174" t="e">
        <f>VLOOKUP(A62,'BSE ALL CAP'!$B$4:$Y$1034,3,)</f>
        <v>#N/A</v>
      </c>
      <c r="E62" s="101">
        <f ca="1">IFERROR(__xludf.DUMMYFUNCTION("GOOGLEFINANCE(""BOM:""&amp;A62,""PRICE"")"),163)</f>
        <v>163</v>
      </c>
      <c r="F62" s="112">
        <f ca="1">IFERROR(__xludf.DUMMYFUNCTION("GOOGLEFINANCE(""BOM:""&amp;A62,""MARKETCAP"")/10000000"),1049.885282)</f>
        <v>1049.885282</v>
      </c>
      <c r="G62" s="95">
        <f t="shared" ca="1" si="0"/>
        <v>1.1021464445934016E-3</v>
      </c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</row>
    <row r="63" spans="1:25" ht="14.4">
      <c r="A63" s="99">
        <v>539636</v>
      </c>
      <c r="B63" s="98" t="s">
        <v>5720</v>
      </c>
      <c r="C63" s="174" t="e">
        <f>VLOOKUP(A63,'BSE ALL CAP'!$B$4:$Y$1034,2,)</f>
        <v>#N/A</v>
      </c>
      <c r="D63" s="174" t="e">
        <f>VLOOKUP(A63,'BSE ALL CAP'!$B$4:$Y$1034,3,)</f>
        <v>#N/A</v>
      </c>
      <c r="E63" s="101">
        <f ca="1">IFERROR(__xludf.DUMMYFUNCTION("GOOGLEFINANCE(""BOM:""&amp;A63,""PRICE"")"),120.45)</f>
        <v>120.45</v>
      </c>
      <c r="F63" s="112">
        <f ca="1">IFERROR(__xludf.DUMMYFUNCTION("GOOGLEFINANCE(""BOM:""&amp;A63,""MARKETCAP"")/10000000"),1143.8181041)</f>
        <v>1143.8181041</v>
      </c>
      <c r="G63" s="95">
        <f t="shared" ca="1" si="0"/>
        <v>1.2007550522985428E-3</v>
      </c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</row>
    <row r="64" spans="1:25" ht="14.4">
      <c r="A64" s="99">
        <v>531147</v>
      </c>
      <c r="B64" s="98" t="s">
        <v>5721</v>
      </c>
      <c r="C64" s="174" t="e">
        <f>VLOOKUP(A64,'BSE ALL CAP'!$B$4:$Y$1034,2,)</f>
        <v>#N/A</v>
      </c>
      <c r="D64" s="174" t="e">
        <f>VLOOKUP(A64,'BSE ALL CAP'!$B$4:$Y$1034,3,)</f>
        <v>#N/A</v>
      </c>
      <c r="E64" s="101">
        <f ca="1">IFERROR(__xludf.DUMMYFUNCTION("GOOGLEFINANCE(""BOM:""&amp;A64,""PRICE"")"),621)</f>
        <v>621</v>
      </c>
      <c r="F64" s="112">
        <f ca="1">IFERROR(__xludf.DUMMYFUNCTION("GOOGLEFINANCE(""BOM:""&amp;A64,""MARKETCAP"")/10000000"),1017.1309959)</f>
        <v>1017.1309959</v>
      </c>
      <c r="G64" s="95">
        <f t="shared" ca="1" si="0"/>
        <v>1.0677617164814497E-3</v>
      </c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</row>
    <row r="65" spans="1:25" ht="14.4">
      <c r="A65" s="99">
        <v>522073</v>
      </c>
      <c r="B65" s="98" t="s">
        <v>5722</v>
      </c>
      <c r="C65" s="174" t="e">
        <f>VLOOKUP(A65,'BSE ALL CAP'!$B$4:$Y$1034,2,)</f>
        <v>#N/A</v>
      </c>
      <c r="D65" s="174" t="e">
        <f>VLOOKUP(A65,'BSE ALL CAP'!$B$4:$Y$1034,3,)</f>
        <v>#N/A</v>
      </c>
      <c r="E65" s="101">
        <f ca="1">IFERROR(__xludf.DUMMYFUNCTION("GOOGLEFINANCE(""BOM:""&amp;A65,""PRICE"")"),560)</f>
        <v>560</v>
      </c>
      <c r="F65" s="112">
        <f ca="1">IFERROR(__xludf.DUMMYFUNCTION("GOOGLEFINANCE(""BOM:""&amp;A65,""MARKETCAP"")/10000000"),1068.609072)</f>
        <v>1068.609072</v>
      </c>
      <c r="G65" s="95">
        <f t="shared" ca="1" si="0"/>
        <v>1.121802266930964E-3</v>
      </c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</row>
    <row r="66" spans="1:25" ht="14.4">
      <c r="A66" s="99">
        <v>523229</v>
      </c>
      <c r="B66" s="98" t="s">
        <v>5723</v>
      </c>
      <c r="C66" s="174" t="e">
        <f>VLOOKUP(A66,'BSE ALL CAP'!$B$4:$Y$1034,2,)</f>
        <v>#N/A</v>
      </c>
      <c r="D66" s="174" t="e">
        <f>VLOOKUP(A66,'BSE ALL CAP'!$B$4:$Y$1034,3,)</f>
        <v>#N/A</v>
      </c>
      <c r="E66" s="101">
        <f ca="1">IFERROR(__xludf.DUMMYFUNCTION("GOOGLEFINANCE(""BOM:""&amp;A66,""PRICE"")"),159.1)</f>
        <v>159.1</v>
      </c>
      <c r="F66" s="112">
        <f ca="1">IFERROR(__xludf.DUMMYFUNCTION("GOOGLEFINANCE(""BOM:""&amp;A66,""MARKETCAP"")/10000000"),995.5682338)</f>
        <v>995.56823380000003</v>
      </c>
      <c r="G66" s="95">
        <f t="shared" ca="1" si="0"/>
        <v>1.0451256037636333E-3</v>
      </c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</row>
    <row r="67" spans="1:25" ht="14.4">
      <c r="A67" s="99">
        <v>538992</v>
      </c>
      <c r="B67" s="98" t="s">
        <v>5724</v>
      </c>
      <c r="C67" s="174" t="e">
        <f>VLOOKUP(A67,'BSE ALL CAP'!$B$4:$Y$1034,2,)</f>
        <v>#N/A</v>
      </c>
      <c r="D67" s="174" t="e">
        <f>VLOOKUP(A67,'BSE ALL CAP'!$B$4:$Y$1034,3,)</f>
        <v>#N/A</v>
      </c>
      <c r="E67" s="101">
        <f ca="1">IFERROR(__xludf.DUMMYFUNCTION("GOOGLEFINANCE(""BOM:""&amp;A67,""PRICE"")"),2047.8)</f>
        <v>2047.8</v>
      </c>
      <c r="F67" s="112">
        <f ca="1">IFERROR(__xludf.DUMMYFUNCTION("GOOGLEFINANCE(""BOM:""&amp;A67,""MARKETCAP"")/10000000"),975.7234804)</f>
        <v>975.72348039999997</v>
      </c>
      <c r="G67" s="95">
        <f t="shared" ca="1" si="0"/>
        <v>1.0242930187387459E-3</v>
      </c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</row>
    <row r="68" spans="1:25" ht="14.4">
      <c r="A68" s="99">
        <v>517380</v>
      </c>
      <c r="B68" s="98" t="s">
        <v>5725</v>
      </c>
      <c r="C68" s="174" t="e">
        <f>VLOOKUP(A68,'BSE ALL CAP'!$B$4:$Y$1034,2,)</f>
        <v>#N/A</v>
      </c>
      <c r="D68" s="174" t="e">
        <f>VLOOKUP(A68,'BSE ALL CAP'!$B$4:$Y$1034,3,)</f>
        <v>#N/A</v>
      </c>
      <c r="E68" s="101">
        <f ca="1">IFERROR(__xludf.DUMMYFUNCTION("GOOGLEFINANCE(""BOM:""&amp;A68,""PRICE"")"),301.85)</f>
        <v>301.85000000000002</v>
      </c>
      <c r="F68" s="112">
        <f ca="1">IFERROR(__xludf.DUMMYFUNCTION("GOOGLEFINANCE(""BOM:""&amp;A68,""MARKETCAP"")/10000000"),953.5363752)</f>
        <v>953.53637519999995</v>
      </c>
      <c r="G68" s="95">
        <f t="shared" ca="1" si="0"/>
        <v>1.0010014843861387E-3</v>
      </c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</row>
    <row r="69" spans="1:25" ht="14.4">
      <c r="A69" s="99">
        <v>505036</v>
      </c>
      <c r="B69" s="98" t="s">
        <v>5726</v>
      </c>
      <c r="C69" s="174" t="e">
        <f>VLOOKUP(A69,'BSE ALL CAP'!$B$4:$Y$1034,2,)</f>
        <v>#N/A</v>
      </c>
      <c r="D69" s="174" t="e">
        <f>VLOOKUP(A69,'BSE ALL CAP'!$B$4:$Y$1034,3,)</f>
        <v>#N/A</v>
      </c>
      <c r="E69" s="101">
        <f ca="1">IFERROR(__xludf.DUMMYFUNCTION("GOOGLEFINANCE(""BOM:""&amp;A69,""PRICE"")"),1692.95)</f>
        <v>1692.95</v>
      </c>
      <c r="F69" s="112">
        <f ca="1">IFERROR(__xludf.DUMMYFUNCTION("GOOGLEFINANCE(""BOM:""&amp;A69,""MARKETCAP"")/10000000"),1030.7730624)</f>
        <v>1030.7730624000001</v>
      </c>
      <c r="G69" s="95">
        <f t="shared" ca="1" si="0"/>
        <v>1.0820828574171903E-3</v>
      </c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</row>
    <row r="70" spans="1:25" ht="14.4">
      <c r="A70" s="99">
        <v>520066</v>
      </c>
      <c r="B70" s="98" t="s">
        <v>5727</v>
      </c>
      <c r="C70" s="174" t="e">
        <f>VLOOKUP(A70,'BSE ALL CAP'!$B$4:$Y$1034,2,)</f>
        <v>#N/A</v>
      </c>
      <c r="D70" s="174" t="e">
        <f>VLOOKUP(A70,'BSE ALL CAP'!$B$4:$Y$1034,3,)</f>
        <v>#N/A</v>
      </c>
      <c r="E70" s="101">
        <f ca="1">IFERROR(__xludf.DUMMYFUNCTION("GOOGLEFINANCE(""BOM:""&amp;A70,""PRICE"")"),84.55)</f>
        <v>84.55</v>
      </c>
      <c r="F70" s="112">
        <f ca="1">IFERROR(__xludf.DUMMYFUNCTION("GOOGLEFINANCE(""BOM:""&amp;A70,""MARKETCAP"")/10000000"),916.2279933)</f>
        <v>916.22799329999998</v>
      </c>
      <c r="G70" s="95">
        <f t="shared" ca="1" si="0"/>
        <v>9.6183596681045957E-4</v>
      </c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</row>
    <row r="71" spans="1:25" ht="14.4">
      <c r="A71" s="99">
        <v>515043</v>
      </c>
      <c r="B71" s="98" t="s">
        <v>5728</v>
      </c>
      <c r="C71" s="174" t="e">
        <f>VLOOKUP(A71,'BSE ALL CAP'!$B$4:$Y$1034,2,)</f>
        <v>#N/A</v>
      </c>
      <c r="D71" s="174" t="e">
        <f>VLOOKUP(A71,'BSE ALL CAP'!$B$4:$Y$1034,3,)</f>
        <v>#N/A</v>
      </c>
      <c r="E71" s="101">
        <f ca="1">IFERROR(__xludf.DUMMYFUNCTION("GOOGLEFINANCE(""BOM:""&amp;A71,""PRICE"")"),92.5)</f>
        <v>92.5</v>
      </c>
      <c r="F71" s="112">
        <f ca="1">IFERROR(__xludf.DUMMYFUNCTION("GOOGLEFINANCE(""BOM:""&amp;A71,""MARKETCAP"")/10000000"),822.32)</f>
        <v>822.32</v>
      </c>
      <c r="G71" s="95">
        <f t="shared" ca="1" si="0"/>
        <v>8.6325342383268707E-4</v>
      </c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</row>
    <row r="72" spans="1:25" ht="14.4">
      <c r="A72" s="99">
        <v>533477</v>
      </c>
      <c r="B72" s="98" t="s">
        <v>5729</v>
      </c>
      <c r="C72" s="174" t="e">
        <f>VLOOKUP(A72,'BSE ALL CAP'!$B$4:$Y$1034,2,)</f>
        <v>#N/A</v>
      </c>
      <c r="D72" s="174" t="e">
        <f>VLOOKUP(A72,'BSE ALL CAP'!$B$4:$Y$1034,3,)</f>
        <v>#N/A</v>
      </c>
      <c r="E72" s="101">
        <f ca="1">IFERROR(__xludf.DUMMYFUNCTION("GOOGLEFINANCE(""BOM:""&amp;A72,""PRICE"")"),408)</f>
        <v>408</v>
      </c>
      <c r="F72" s="112">
        <f ca="1">IFERROR(__xludf.DUMMYFUNCTION("GOOGLEFINANCE(""BOM:""&amp;A72,""MARKETCAP"")/10000000"),733.375512)</f>
        <v>733.37551199999996</v>
      </c>
      <c r="G72" s="95">
        <f t="shared" ca="1" si="0"/>
        <v>7.6988145939421368E-4</v>
      </c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</row>
    <row r="73" spans="1:25" ht="14.4">
      <c r="A73" s="99">
        <v>520059</v>
      </c>
      <c r="B73" s="98" t="s">
        <v>5730</v>
      </c>
      <c r="C73" s="174" t="e">
        <f>VLOOKUP(A73,'BSE ALL CAP'!$B$4:$Y$1034,2,)</f>
        <v>#N/A</v>
      </c>
      <c r="D73" s="174" t="e">
        <f>VLOOKUP(A73,'BSE ALL CAP'!$B$4:$Y$1034,3,)</f>
        <v>#N/A</v>
      </c>
      <c r="E73" s="101">
        <f ca="1">IFERROR(__xludf.DUMMYFUNCTION("GOOGLEFINANCE(""BOM:""&amp;A73,""PRICE"")"),73.33)</f>
        <v>73.33</v>
      </c>
      <c r="F73" s="112">
        <f ca="1">IFERROR(__xludf.DUMMYFUNCTION("GOOGLEFINANCE(""BOM:""&amp;A73,""MARKETCAP"")/10000000"),735)</f>
        <v>735</v>
      </c>
      <c r="G73" s="95">
        <f t="shared" ca="1" si="0"/>
        <v>7.7158681111614083E-4</v>
      </c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</row>
    <row r="74" spans="1:25" ht="14.4">
      <c r="A74" s="99">
        <v>508807</v>
      </c>
      <c r="B74" s="98" t="s">
        <v>5731</v>
      </c>
      <c r="C74" s="174" t="e">
        <f>VLOOKUP(A74,'BSE ALL CAP'!$B$4:$Y$1034,2,)</f>
        <v>#N/A</v>
      </c>
      <c r="D74" s="174" t="e">
        <f>VLOOKUP(A74,'BSE ALL CAP'!$B$4:$Y$1034,3,)</f>
        <v>#N/A</v>
      </c>
      <c r="E74" s="101">
        <f ca="1">IFERROR(__xludf.DUMMYFUNCTION("GOOGLEFINANCE(""BOM:""&amp;A74,""PRICE"")"),623.45)</f>
        <v>623.45000000000005</v>
      </c>
      <c r="F74" s="112">
        <f ca="1">IFERROR(__xludf.DUMMYFUNCTION("GOOGLEFINANCE(""BOM:""&amp;A74,""MARKETCAP"")/10000000"),727.1989521)</f>
        <v>727.19895210000004</v>
      </c>
      <c r="G74" s="95">
        <f t="shared" ca="1" si="0"/>
        <v>7.6339744285420174E-4</v>
      </c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</row>
    <row r="75" spans="1:25" ht="14.4">
      <c r="A75" s="99">
        <v>520119</v>
      </c>
      <c r="B75" s="98" t="s">
        <v>5732</v>
      </c>
      <c r="C75" s="174" t="e">
        <f>VLOOKUP(A75,'BSE ALL CAP'!$B$4:$Y$1034,2,)</f>
        <v>#N/A</v>
      </c>
      <c r="D75" s="174" t="e">
        <f>VLOOKUP(A75,'BSE ALL CAP'!$B$4:$Y$1034,3,)</f>
        <v>#N/A</v>
      </c>
      <c r="E75" s="101">
        <f ca="1">IFERROR(__xludf.DUMMYFUNCTION("GOOGLEFINANCE(""BOM:""&amp;A75,""PRICE"")"),417.9)</f>
        <v>417.9</v>
      </c>
      <c r="F75" s="112">
        <f ca="1">IFERROR(__xludf.DUMMYFUNCTION("GOOGLEFINANCE(""BOM:""&amp;A75,""MARKETCAP"")/10000000"),661.2277558)</f>
        <v>661.22775579999995</v>
      </c>
      <c r="G75" s="95">
        <f t="shared" ca="1" si="0"/>
        <v>6.9414233403973372E-4</v>
      </c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</row>
    <row r="76" spans="1:25" ht="14.4">
      <c r="A76" s="99">
        <v>513532</v>
      </c>
      <c r="B76" s="98" t="s">
        <v>5733</v>
      </c>
      <c r="C76" s="174" t="e">
        <f>VLOOKUP(A76,'BSE ALL CAP'!$B$4:$Y$1034,2,)</f>
        <v>#N/A</v>
      </c>
      <c r="D76" s="174" t="e">
        <f>VLOOKUP(A76,'BSE ALL CAP'!$B$4:$Y$1034,3,)</f>
        <v>#N/A</v>
      </c>
      <c r="E76" s="101">
        <f ca="1">IFERROR(__xludf.DUMMYFUNCTION("GOOGLEFINANCE(""BOM:""&amp;A76,""PRICE"")"),359.75)</f>
        <v>359.75</v>
      </c>
      <c r="F76" s="112">
        <f ca="1">IFERROR(__xludf.DUMMYFUNCTION("GOOGLEFINANCE(""BOM:""&amp;A76,""MARKETCAP"")/10000000"),621.28825)</f>
        <v>621.28824999999995</v>
      </c>
      <c r="G76" s="95">
        <f t="shared" ca="1" si="0"/>
        <v>6.5221472054616009E-4</v>
      </c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</row>
    <row r="77" spans="1:25" ht="14.4">
      <c r="A77" s="99">
        <v>530759</v>
      </c>
      <c r="B77" s="98" t="s">
        <v>5734</v>
      </c>
      <c r="C77" s="174" t="e">
        <f>VLOOKUP(A77,'BSE ALL CAP'!$B$4:$Y$1034,2,)</f>
        <v>#N/A</v>
      </c>
      <c r="D77" s="174" t="e">
        <f>VLOOKUP(A77,'BSE ALL CAP'!$B$4:$Y$1034,3,)</f>
        <v>#N/A</v>
      </c>
      <c r="E77" s="101">
        <f ca="1">IFERROR(__xludf.DUMMYFUNCTION("GOOGLEFINANCE(""BOM:""&amp;A77,""PRICE"")"),211.4)</f>
        <v>211.4</v>
      </c>
      <c r="F77" s="112">
        <f ca="1">IFERROR(__xludf.DUMMYFUNCTION("GOOGLEFINANCE(""BOM:""&amp;A77,""MARKETCAP"")/10000000"),769.8838555)</f>
        <v>769.88385549999998</v>
      </c>
      <c r="G77" s="95">
        <f t="shared" ca="1" si="0"/>
        <v>8.0820711427897248E-4</v>
      </c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ht="14.4">
      <c r="A78" s="99">
        <v>523828</v>
      </c>
      <c r="B78" s="98" t="s">
        <v>5735</v>
      </c>
      <c r="C78" s="174" t="e">
        <f>VLOOKUP(A78,'BSE ALL CAP'!$B$4:$Y$1034,2,)</f>
        <v>#N/A</v>
      </c>
      <c r="D78" s="174" t="e">
        <f>VLOOKUP(A78,'BSE ALL CAP'!$B$4:$Y$1034,3,)</f>
        <v>#N/A</v>
      </c>
      <c r="E78" s="101">
        <f ca="1">IFERROR(__xludf.DUMMYFUNCTION("GOOGLEFINANCE(""BOM:""&amp;A78,""PRICE"")"),109.5)</f>
        <v>109.5</v>
      </c>
      <c r="F78" s="112">
        <f ca="1">IFERROR(__xludf.DUMMYFUNCTION("GOOGLEFINANCE(""BOM:""&amp;A78,""MARKETCAP"")/10000000"),613.9181075)</f>
        <v>613.91810750000002</v>
      </c>
      <c r="G78" s="95">
        <f t="shared" ca="1" si="0"/>
        <v>6.4447770728215121E-4</v>
      </c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ht="14.4">
      <c r="A79" s="99">
        <v>505163</v>
      </c>
      <c r="B79" s="98" t="s">
        <v>5736</v>
      </c>
      <c r="C79" s="174" t="e">
        <f>VLOOKUP(A79,'BSE ALL CAP'!$B$4:$Y$1034,2,)</f>
        <v>#N/A</v>
      </c>
      <c r="D79" s="174" t="e">
        <f>VLOOKUP(A79,'BSE ALL CAP'!$B$4:$Y$1034,3,)</f>
        <v>#N/A</v>
      </c>
      <c r="E79" s="101">
        <f ca="1">IFERROR(__xludf.DUMMYFUNCTION("GOOGLEFINANCE(""BOM:""&amp;A79,""PRICE"")"),705)</f>
        <v>705</v>
      </c>
      <c r="F79" s="112">
        <f ca="1">IFERROR(__xludf.DUMMYFUNCTION("GOOGLEFINANCE(""BOM:""&amp;A79,""MARKETCAP"")/10000000"),642.38964)</f>
        <v>642.38963999999999</v>
      </c>
      <c r="G79" s="95">
        <f t="shared" ca="1" si="0"/>
        <v>6.7436649499543627E-4</v>
      </c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</row>
    <row r="80" spans="1:25" ht="14.4">
      <c r="A80" s="99">
        <v>509635</v>
      </c>
      <c r="B80" s="98" t="s">
        <v>5737</v>
      </c>
      <c r="C80" s="174" t="e">
        <f>VLOOKUP(A80,'BSE ALL CAP'!$B$4:$Y$1034,2,)</f>
        <v>#N/A</v>
      </c>
      <c r="D80" s="174" t="e">
        <f>VLOOKUP(A80,'BSE ALL CAP'!$B$4:$Y$1034,3,)</f>
        <v>#N/A</v>
      </c>
      <c r="E80" s="101">
        <f ca="1">IFERROR(__xludf.DUMMYFUNCTION("GOOGLEFINANCE(""BOM:""&amp;A80,""PRICE"")"),369.2)</f>
        <v>369.2</v>
      </c>
      <c r="F80" s="112">
        <f ca="1">IFERROR(__xludf.DUMMYFUNCTION("GOOGLEFINANCE(""BOM:""&amp;A80,""MARKETCAP"")/10000000"),550.6618011)</f>
        <v>550.66180110000005</v>
      </c>
      <c r="G80" s="95">
        <f t="shared" ca="1" si="0"/>
        <v>5.7807263008737367E-4</v>
      </c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5" ht="14.4">
      <c r="A81" s="99">
        <v>500240</v>
      </c>
      <c r="B81" s="98" t="s">
        <v>5738</v>
      </c>
      <c r="C81" s="174" t="e">
        <f>VLOOKUP(A81,'BSE ALL CAP'!$B$4:$Y$1034,2,)</f>
        <v>#N/A</v>
      </c>
      <c r="D81" s="174" t="e">
        <f>VLOOKUP(A81,'BSE ALL CAP'!$B$4:$Y$1034,3,)</f>
        <v>#N/A</v>
      </c>
      <c r="E81" s="101">
        <f ca="1">IFERROR(__xludf.DUMMYFUNCTION("GOOGLEFINANCE(""BOM:""&amp;A81,""PRICE"")"),212)</f>
        <v>212</v>
      </c>
      <c r="F81" s="112">
        <f ca="1">IFERROR(__xludf.DUMMYFUNCTION("GOOGLEFINANCE(""BOM:""&amp;A81,""MARKETCAP"")/10000000"),504.794896)</f>
        <v>504.79489599999999</v>
      </c>
      <c r="G81" s="95">
        <f t="shared" ca="1" si="0"/>
        <v>5.2992256336373321E-4</v>
      </c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5" ht="14.4">
      <c r="A82" s="99">
        <v>520043</v>
      </c>
      <c r="B82" s="98" t="s">
        <v>5739</v>
      </c>
      <c r="C82" s="174" t="e">
        <f>VLOOKUP(A82,'BSE ALL CAP'!$B$4:$Y$1034,2,)</f>
        <v>#N/A</v>
      </c>
      <c r="D82" s="174" t="e">
        <f>VLOOKUP(A82,'BSE ALL CAP'!$B$4:$Y$1034,3,)</f>
        <v>#N/A</v>
      </c>
      <c r="E82" s="101">
        <f ca="1">IFERROR(__xludf.DUMMYFUNCTION("GOOGLEFINANCE(""BOM:""&amp;A82,""PRICE"")"),118.1)</f>
        <v>118.1</v>
      </c>
      <c r="F82" s="112">
        <f ca="1">IFERROR(__xludf.DUMMYFUNCTION("GOOGLEFINANCE(""BOM:""&amp;A82,""MARKETCAP"")/10000000"),473.9007464)</f>
        <v>473.9007464</v>
      </c>
      <c r="G82" s="95">
        <f t="shared" ca="1" si="0"/>
        <v>4.9749056557868703E-4</v>
      </c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</row>
    <row r="83" spans="1:25" ht="14.4">
      <c r="A83" s="99">
        <v>505978</v>
      </c>
      <c r="B83" s="98" t="s">
        <v>5740</v>
      </c>
      <c r="C83" s="174" t="e">
        <f>VLOOKUP(A83,'BSE ALL CAP'!$B$4:$Y$1034,2,)</f>
        <v>#N/A</v>
      </c>
      <c r="D83" s="174" t="e">
        <f>VLOOKUP(A83,'BSE ALL CAP'!$B$4:$Y$1034,3,)</f>
        <v>#N/A</v>
      </c>
      <c r="E83" s="101">
        <f ca="1">IFERROR(__xludf.DUMMYFUNCTION("GOOGLEFINANCE(""BOM:""&amp;A83,""PRICE"")"),822)</f>
        <v>822</v>
      </c>
      <c r="F83" s="112">
        <f ca="1">IFERROR(__xludf.DUMMYFUNCTION("GOOGLEFINANCE(""BOM:""&amp;A83,""MARKETCAP"")/10000000"),421.0372776)</f>
        <v>421.03727759999998</v>
      </c>
      <c r="G83" s="95">
        <f t="shared" ca="1" si="0"/>
        <v>4.4199566038694601E-4</v>
      </c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5" ht="14.4">
      <c r="A84" s="99">
        <v>505232</v>
      </c>
      <c r="B84" s="98" t="s">
        <v>5741</v>
      </c>
      <c r="C84" s="174" t="e">
        <f>VLOOKUP(A84,'BSE ALL CAP'!$B$4:$Y$1034,2,)</f>
        <v>#N/A</v>
      </c>
      <c r="D84" s="174" t="e">
        <f>VLOOKUP(A84,'BSE ALL CAP'!$B$4:$Y$1034,3,)</f>
        <v>#N/A</v>
      </c>
      <c r="E84" s="101">
        <f ca="1">IFERROR(__xludf.DUMMYFUNCTION("GOOGLEFINANCE(""BOM:""&amp;A84,""PRICE"")"),863.1)</f>
        <v>863.1</v>
      </c>
      <c r="F84" s="112">
        <f ca="1">IFERROR(__xludf.DUMMYFUNCTION("GOOGLEFINANCE(""BOM:""&amp;A84,""MARKETCAP"")/10000000"),388.394989)</f>
        <v>388.39498900000001</v>
      </c>
      <c r="G84" s="95">
        <f t="shared" ca="1" si="0"/>
        <v>4.0772850478367156E-4</v>
      </c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</row>
    <row r="85" spans="1:25" ht="14.4">
      <c r="A85" s="99">
        <v>538987</v>
      </c>
      <c r="B85" s="98" t="s">
        <v>5742</v>
      </c>
      <c r="C85" s="174" t="e">
        <f>VLOOKUP(A85,'BSE ALL CAP'!$B$4:$Y$1034,2,)</f>
        <v>#N/A</v>
      </c>
      <c r="D85" s="174" t="e">
        <f>VLOOKUP(A85,'BSE ALL CAP'!$B$4:$Y$1034,3,)</f>
        <v>#N/A</v>
      </c>
      <c r="E85" s="101">
        <f ca="1">IFERROR(__xludf.DUMMYFUNCTION("GOOGLEFINANCE(""BOM:""&amp;A85,""PRICE"")"),643.5)</f>
        <v>643.5</v>
      </c>
      <c r="F85" s="112">
        <f ca="1">IFERROR(__xludf.DUMMYFUNCTION("GOOGLEFINANCE(""BOM:""&amp;A85,""MARKETCAP"")/10000000"),326.6730324)</f>
        <v>326.67303240000001</v>
      </c>
      <c r="G85" s="95">
        <f t="shared" ca="1" si="0"/>
        <v>3.4293415421381737E-4</v>
      </c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</row>
    <row r="86" spans="1:25" ht="14.4">
      <c r="A86" s="99">
        <v>544347</v>
      </c>
      <c r="B86" s="98" t="s">
        <v>5743</v>
      </c>
      <c r="C86" s="174" t="e">
        <f>VLOOKUP(A86,'BSE ALL CAP'!$B$4:$Y$1034,2,)</f>
        <v>#N/A</v>
      </c>
      <c r="D86" s="174" t="e">
        <f>VLOOKUP(A86,'BSE ALL CAP'!$B$4:$Y$1034,3,)</f>
        <v>#N/A</v>
      </c>
      <c r="E86" s="101">
        <f ca="1">IFERROR(__xludf.DUMMYFUNCTION("GOOGLEFINANCE(""BOM:""&amp;A86,""PRICE"")"),330)</f>
        <v>330</v>
      </c>
      <c r="F86" s="112">
        <f ca="1">IFERROR(__xludf.DUMMYFUNCTION("GOOGLEFINANCE(""BOM:""&amp;A86,""MARKETCAP"")/10000000"),348.25725)</f>
        <v>348.25725</v>
      </c>
      <c r="G86" s="95">
        <f t="shared" ca="1" si="0"/>
        <v>3.6559279044296139E-4</v>
      </c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</row>
    <row r="87" spans="1:25" ht="14.4">
      <c r="A87" s="99">
        <v>530919</v>
      </c>
      <c r="B87" s="98" t="s">
        <v>5744</v>
      </c>
      <c r="C87" s="174" t="e">
        <f>VLOOKUP(A87,'BSE ALL CAP'!$B$4:$Y$1034,2,)</f>
        <v>#N/A</v>
      </c>
      <c r="D87" s="174" t="e">
        <f>VLOOKUP(A87,'BSE ALL CAP'!$B$4:$Y$1034,3,)</f>
        <v>#N/A</v>
      </c>
      <c r="E87" s="101">
        <f ca="1">IFERROR(__xludf.DUMMYFUNCTION("GOOGLEFINANCE(""BOM:""&amp;A87,""PRICE"")"),91.17)</f>
        <v>91.17</v>
      </c>
      <c r="F87" s="112">
        <f ca="1">IFERROR(__xludf.DUMMYFUNCTION("GOOGLEFINANCE(""BOM:""&amp;A87,""MARKETCAP"")/10000000"),319.7685644)</f>
        <v>319.7685644</v>
      </c>
      <c r="G87" s="95">
        <f t="shared" ca="1" si="0"/>
        <v>3.3568599578310518E-4</v>
      </c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</row>
    <row r="88" spans="1:25" ht="14.4">
      <c r="A88" s="99">
        <v>513252</v>
      </c>
      <c r="B88" s="98" t="s">
        <v>5745</v>
      </c>
      <c r="C88" s="174" t="e">
        <f>VLOOKUP(A88,'BSE ALL CAP'!$B$4:$Y$1034,2,)</f>
        <v>#N/A</v>
      </c>
      <c r="D88" s="174" t="e">
        <f>VLOOKUP(A88,'BSE ALL CAP'!$B$4:$Y$1034,3,)</f>
        <v>#N/A</v>
      </c>
      <c r="E88" s="101">
        <f ca="1">IFERROR(__xludf.DUMMYFUNCTION("GOOGLEFINANCE(""BOM:""&amp;A88,""PRICE"")"),765)</f>
        <v>765</v>
      </c>
      <c r="F88" s="112">
        <f ca="1">IFERROR(__xludf.DUMMYFUNCTION("GOOGLEFINANCE(""BOM:""&amp;A88,""MARKETCAP"")/10000000"),295.63425)</f>
        <v>295.63425000000001</v>
      </c>
      <c r="G88" s="95">
        <f t="shared" ca="1" si="0"/>
        <v>3.1035032410096865E-4</v>
      </c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</row>
    <row r="89" spans="1:25" ht="14.4">
      <c r="A89" s="99">
        <v>505075</v>
      </c>
      <c r="B89" s="98" t="s">
        <v>5746</v>
      </c>
      <c r="C89" s="174" t="e">
        <f>VLOOKUP(A89,'BSE ALL CAP'!$B$4:$Y$1034,2,)</f>
        <v>#N/A</v>
      </c>
      <c r="D89" s="174" t="e">
        <f>VLOOKUP(A89,'BSE ALL CAP'!$B$4:$Y$1034,3,)</f>
        <v>#N/A</v>
      </c>
      <c r="E89" s="101">
        <f ca="1">IFERROR(__xludf.DUMMYFUNCTION("GOOGLEFINANCE(""BOM:""&amp;A89,""PRICE"")"),22.37)</f>
        <v>22.37</v>
      </c>
      <c r="F89" s="112">
        <f ca="1">IFERROR(__xludf.DUMMYFUNCTION("GOOGLEFINANCE(""BOM:""&amp;A89,""MARKETCAP"")/10000000"),302.8489326)</f>
        <v>302.84893260000001</v>
      </c>
      <c r="G89" s="95">
        <f t="shared" ca="1" si="0"/>
        <v>3.1792413898606948E-4</v>
      </c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</row>
    <row r="90" spans="1:25" ht="14.4">
      <c r="A90" s="99">
        <v>532934</v>
      </c>
      <c r="B90" s="98" t="s">
        <v>5747</v>
      </c>
      <c r="C90" s="174" t="e">
        <f>VLOOKUP(A90,'BSE ALL CAP'!$B$4:$Y$1034,2,)</f>
        <v>#N/A</v>
      </c>
      <c r="D90" s="174" t="e">
        <f>VLOOKUP(A90,'BSE ALL CAP'!$B$4:$Y$1034,3,)</f>
        <v>#N/A</v>
      </c>
      <c r="E90" s="101">
        <f ca="1">IFERROR(__xludf.DUMMYFUNCTION("GOOGLEFINANCE(""BOM:""&amp;A90,""PRICE"")"),194.4)</f>
        <v>194.4</v>
      </c>
      <c r="F90" s="112">
        <f ca="1">IFERROR(__xludf.DUMMYFUNCTION("GOOGLEFINANCE(""BOM:""&amp;A90,""MARKETCAP"")/10000000"),272.7594271)</f>
        <v>272.75942709999998</v>
      </c>
      <c r="G90" s="95">
        <f t="shared" ca="1" si="0"/>
        <v>2.8633683885435983E-4</v>
      </c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</row>
    <row r="91" spans="1:25" ht="14.4">
      <c r="A91" s="99">
        <v>531727</v>
      </c>
      <c r="B91" s="98" t="s">
        <v>5748</v>
      </c>
      <c r="C91" s="174" t="e">
        <f>VLOOKUP(A91,'BSE ALL CAP'!$B$4:$Y$1034,2,)</f>
        <v>#N/A</v>
      </c>
      <c r="D91" s="174" t="e">
        <f>VLOOKUP(A91,'BSE ALL CAP'!$B$4:$Y$1034,3,)</f>
        <v>#N/A</v>
      </c>
      <c r="E91" s="101">
        <f ca="1">IFERROR(__xludf.DUMMYFUNCTION("GOOGLEFINANCE(""BOM:""&amp;A91,""PRICE"")"),52.95)</f>
        <v>52.95</v>
      </c>
      <c r="F91" s="112">
        <f ca="1">IFERROR(__xludf.DUMMYFUNCTION("GOOGLEFINANCE(""BOM:""&amp;A91,""MARKETCAP"")/10000000"),270.0450038)</f>
        <v>270.04500380000002</v>
      </c>
      <c r="G91" s="95">
        <f t="shared" ca="1" si="0"/>
        <v>2.8348729706107232E-4</v>
      </c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</row>
    <row r="92" spans="1:25" ht="14.4">
      <c r="A92" s="99">
        <v>544166</v>
      </c>
      <c r="B92" s="98" t="s">
        <v>5749</v>
      </c>
      <c r="C92" s="174" t="e">
        <f>VLOOKUP(A92,'BSE ALL CAP'!$B$4:$Y$1034,2,)</f>
        <v>#N/A</v>
      </c>
      <c r="D92" s="174" t="e">
        <f>VLOOKUP(A92,'BSE ALL CAP'!$B$4:$Y$1034,3,)</f>
        <v>#N/A</v>
      </c>
      <c r="E92" s="101">
        <f ca="1">IFERROR(__xludf.DUMMYFUNCTION("GOOGLEFINANCE(""BOM:""&amp;A92,""PRICE"")"),111.8)</f>
        <v>111.8</v>
      </c>
      <c r="F92" s="112">
        <f ca="1">IFERROR(__xludf.DUMMYFUNCTION("GOOGLEFINANCE(""BOM:""&amp;A92,""MARKETCAP"")/10000000"),229.1855342)</f>
        <v>229.18553420000001</v>
      </c>
      <c r="G92" s="95">
        <f t="shared" ca="1" si="0"/>
        <v>2.4059392583309827E-4</v>
      </c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</row>
    <row r="93" spans="1:25" ht="14.4">
      <c r="A93" s="99">
        <v>532797</v>
      </c>
      <c r="B93" s="98" t="s">
        <v>5750</v>
      </c>
      <c r="C93" s="174" t="e">
        <f>VLOOKUP(A93,'BSE ALL CAP'!$B$4:$Y$1034,2,)</f>
        <v>#N/A</v>
      </c>
      <c r="D93" s="174" t="e">
        <f>VLOOKUP(A93,'BSE ALL CAP'!$B$4:$Y$1034,3,)</f>
        <v>#N/A</v>
      </c>
      <c r="E93" s="101">
        <f ca="1">IFERROR(__xludf.DUMMYFUNCTION("GOOGLEFINANCE(""BOM:""&amp;A93,""PRICE"")"),59.5)</f>
        <v>59.5</v>
      </c>
      <c r="F93" s="112">
        <f ca="1">IFERROR(__xludf.DUMMYFUNCTION("GOOGLEFINANCE(""BOM:""&amp;A93,""MARKETCAP"")/10000000"),269.251185)</f>
        <v>269.25118500000002</v>
      </c>
      <c r="G93" s="95">
        <f t="shared" ca="1" si="0"/>
        <v>2.8265396356924095E-4</v>
      </c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</row>
    <row r="94" spans="1:25" ht="14.4">
      <c r="A94" s="99">
        <v>543915</v>
      </c>
      <c r="B94" s="98" t="s">
        <v>5751</v>
      </c>
      <c r="C94" s="174" t="e">
        <f>VLOOKUP(A94,'BSE ALL CAP'!$B$4:$Y$1034,2,)</f>
        <v>#N/A</v>
      </c>
      <c r="D94" s="174" t="e">
        <f>VLOOKUP(A94,'BSE ALL CAP'!$B$4:$Y$1034,3,)</f>
        <v>#N/A</v>
      </c>
      <c r="E94" s="101">
        <f ca="1">IFERROR(__xludf.DUMMYFUNCTION("GOOGLEFINANCE(""BOM:""&amp;A94,""PRICE"")"),16.36)</f>
        <v>16.36</v>
      </c>
      <c r="F94" s="112">
        <f ca="1">IFERROR(__xludf.DUMMYFUNCTION("GOOGLEFINANCE(""BOM:""&amp;A94,""MARKETCAP"")/10000000"),227.9920221)</f>
        <v>227.99202210000001</v>
      </c>
      <c r="G94" s="95">
        <f t="shared" ca="1" si="0"/>
        <v>2.393410031184486E-4</v>
      </c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</row>
    <row r="95" spans="1:25" ht="14.4">
      <c r="A95" s="99">
        <v>520021</v>
      </c>
      <c r="B95" s="98" t="s">
        <v>5752</v>
      </c>
      <c r="C95" s="174" t="e">
        <f>VLOOKUP(A95,'BSE ALL CAP'!$B$4:$Y$1034,2,)</f>
        <v>#N/A</v>
      </c>
      <c r="D95" s="174" t="e">
        <f>VLOOKUP(A95,'BSE ALL CAP'!$B$4:$Y$1034,3,)</f>
        <v>#N/A</v>
      </c>
      <c r="E95" s="101">
        <f ca="1">IFERROR(__xludf.DUMMYFUNCTION("GOOGLEFINANCE(""BOM:""&amp;A95,""PRICE"")"),101.75)</f>
        <v>101.75</v>
      </c>
      <c r="F95" s="112">
        <f ca="1">IFERROR(__xludf.DUMMYFUNCTION("GOOGLEFINANCE(""BOM:""&amp;A95,""MARKETCAP"")/10000000"),218.6730544)</f>
        <v>218.67305440000001</v>
      </c>
      <c r="G95" s="95">
        <f t="shared" ca="1" si="0"/>
        <v>2.2955815608370395E-4</v>
      </c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</row>
    <row r="96" spans="1:25" ht="14.4">
      <c r="A96" s="99">
        <v>505681</v>
      </c>
      <c r="B96" s="98" t="s">
        <v>5753</v>
      </c>
      <c r="C96" s="174" t="e">
        <f>VLOOKUP(A96,'BSE ALL CAP'!$B$4:$Y$1034,2,)</f>
        <v>#N/A</v>
      </c>
      <c r="D96" s="174" t="e">
        <f>VLOOKUP(A96,'BSE ALL CAP'!$B$4:$Y$1034,3,)</f>
        <v>#N/A</v>
      </c>
      <c r="E96" s="101">
        <f ca="1">IFERROR(__xludf.DUMMYFUNCTION("GOOGLEFINANCE(""BOM:""&amp;A96,""PRICE"")"),521.65)</f>
        <v>521.65</v>
      </c>
      <c r="F96" s="112">
        <f ca="1">IFERROR(__xludf.DUMMYFUNCTION("GOOGLEFINANCE(""BOM:""&amp;A96,""MARKETCAP"")/10000000"),199.5311)</f>
        <v>199.53110000000001</v>
      </c>
      <c r="G96" s="95">
        <f t="shared" ca="1" si="0"/>
        <v>2.0946335396938205E-4</v>
      </c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</row>
    <row r="97" spans="1:25" ht="14.4">
      <c r="A97" s="99">
        <v>505712</v>
      </c>
      <c r="B97" s="98" t="s">
        <v>5754</v>
      </c>
      <c r="C97" s="174" t="e">
        <f>VLOOKUP(A97,'BSE ALL CAP'!$B$4:$Y$1034,2,)</f>
        <v>#N/A</v>
      </c>
      <c r="D97" s="174" t="e">
        <f>VLOOKUP(A97,'BSE ALL CAP'!$B$4:$Y$1034,3,)</f>
        <v>#N/A</v>
      </c>
      <c r="E97" s="101">
        <f ca="1">IFERROR(__xludf.DUMMYFUNCTION("GOOGLEFINANCE(""BOM:""&amp;A97,""PRICE"")"),190)</f>
        <v>190</v>
      </c>
      <c r="F97" s="112">
        <f ca="1">IFERROR(__xludf.DUMMYFUNCTION("GOOGLEFINANCE(""BOM:""&amp;A97,""MARKETCAP"")/10000000"),196.28919)</f>
        <v>196.28918999999999</v>
      </c>
      <c r="G97" s="95">
        <f t="shared" ca="1" si="0"/>
        <v>2.0606006825669426E-4</v>
      </c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</row>
    <row r="98" spans="1:25" ht="14.4">
      <c r="A98" s="99">
        <v>532776</v>
      </c>
      <c r="B98" s="98" t="s">
        <v>5755</v>
      </c>
      <c r="C98" s="174" t="e">
        <f>VLOOKUP(A98,'BSE ALL CAP'!$B$4:$Y$1034,2,)</f>
        <v>#N/A</v>
      </c>
      <c r="D98" s="174" t="e">
        <f>VLOOKUP(A98,'BSE ALL CAP'!$B$4:$Y$1034,3,)</f>
        <v>#N/A</v>
      </c>
      <c r="E98" s="101">
        <f ca="1">IFERROR(__xludf.DUMMYFUNCTION("GOOGLEFINANCE(""BOM:""&amp;A98,""PRICE"")"),17.07)</f>
        <v>17.07</v>
      </c>
      <c r="F98" s="112">
        <f ca="1">IFERROR(__xludf.DUMMYFUNCTION("GOOGLEFINANCE(""BOM:""&amp;A98,""MARKETCAP"")/10000000"),225.5142629)</f>
        <v>225.51426290000001</v>
      </c>
      <c r="G98" s="95">
        <f t="shared" ca="1" si="0"/>
        <v>2.3673990608465037E-4</v>
      </c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</row>
    <row r="99" spans="1:25" ht="14.4">
      <c r="A99" s="99">
        <v>590072</v>
      </c>
      <c r="B99" s="98" t="s">
        <v>5756</v>
      </c>
      <c r="C99" s="174" t="e">
        <f>VLOOKUP(A99,'BSE ALL CAP'!$B$4:$Y$1034,2,)</f>
        <v>#N/A</v>
      </c>
      <c r="D99" s="174" t="e">
        <f>VLOOKUP(A99,'BSE ALL CAP'!$B$4:$Y$1034,3,)</f>
        <v>#N/A</v>
      </c>
      <c r="E99" s="101">
        <f ca="1">IFERROR(__xludf.DUMMYFUNCTION("GOOGLEFINANCE(""BOM:""&amp;A99,""PRICE"")"),520.5)</f>
        <v>520.5</v>
      </c>
      <c r="F99" s="112">
        <f ca="1">IFERROR(__xludf.DUMMYFUNCTION("GOOGLEFINANCE(""BOM:""&amp;A99,""MARKETCAP"")/10000000"),206.958645)</f>
        <v>206.95864499999999</v>
      </c>
      <c r="G99" s="95">
        <f t="shared" ca="1" si="0"/>
        <v>2.1726062711356113E-4</v>
      </c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</row>
    <row r="100" spans="1:25" ht="14.4">
      <c r="A100" s="99">
        <v>539359</v>
      </c>
      <c r="B100" s="98" t="s">
        <v>5757</v>
      </c>
      <c r="C100" s="174" t="e">
        <f>VLOOKUP(A100,'BSE ALL CAP'!$B$4:$Y$1034,2,)</f>
        <v>#N/A</v>
      </c>
      <c r="D100" s="174" t="e">
        <f>VLOOKUP(A100,'BSE ALL CAP'!$B$4:$Y$1034,3,)</f>
        <v>#N/A</v>
      </c>
      <c r="E100" s="101">
        <f ca="1">IFERROR(__xludf.DUMMYFUNCTION("GOOGLEFINANCE(""BOM:""&amp;A100,""PRICE"")"),12.16)</f>
        <v>12.16</v>
      </c>
      <c r="F100" s="112">
        <f ca="1">IFERROR(__xludf.DUMMYFUNCTION("GOOGLEFINANCE(""BOM:""&amp;A100,""MARKETCAP"")/10000000"),203.6449021)</f>
        <v>203.6449021</v>
      </c>
      <c r="G100" s="95">
        <f t="shared" ca="1" si="0"/>
        <v>2.1378193280462271E-4</v>
      </c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</row>
    <row r="101" spans="1:25" ht="14.4">
      <c r="A101" s="99">
        <v>500464</v>
      </c>
      <c r="B101" s="98" t="s">
        <v>5758</v>
      </c>
      <c r="C101" s="174" t="e">
        <f>VLOOKUP(A101,'BSE ALL CAP'!$B$4:$Y$1034,2,)</f>
        <v>#N/A</v>
      </c>
      <c r="D101" s="174" t="e">
        <f>VLOOKUP(A101,'BSE ALL CAP'!$B$4:$Y$1034,3,)</f>
        <v>#N/A</v>
      </c>
      <c r="E101" s="101">
        <f ca="1">IFERROR(__xludf.DUMMYFUNCTION("GOOGLEFINANCE(""BOM:""&amp;A101,""PRICE"")"),89.98)</f>
        <v>89.98</v>
      </c>
      <c r="F101" s="112">
        <f ca="1">IFERROR(__xludf.DUMMYFUNCTION("GOOGLEFINANCE(""BOM:""&amp;A101,""MARKETCAP"")/10000000"),199.02267)</f>
        <v>199.02267000000001</v>
      </c>
      <c r="G101" s="95">
        <f t="shared" ca="1" si="0"/>
        <v>2.089296153539048E-4</v>
      </c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</row>
    <row r="102" spans="1:25" ht="14.4">
      <c r="A102" s="99">
        <v>531399</v>
      </c>
      <c r="B102" s="98" t="s">
        <v>5759</v>
      </c>
      <c r="C102" s="174" t="e">
        <f>VLOOKUP(A102,'BSE ALL CAP'!$B$4:$Y$1034,2,)</f>
        <v>#N/A</v>
      </c>
      <c r="D102" s="174" t="e">
        <f>VLOOKUP(A102,'BSE ALL CAP'!$B$4:$Y$1034,3,)</f>
        <v>#N/A</v>
      </c>
      <c r="E102" s="101">
        <f ca="1">IFERROR(__xludf.DUMMYFUNCTION("GOOGLEFINANCE(""BOM:""&amp;A102,""PRICE"")"),171)</f>
        <v>171</v>
      </c>
      <c r="F102" s="112">
        <f ca="1">IFERROR(__xludf.DUMMYFUNCTION("GOOGLEFINANCE(""BOM:""&amp;A102,""MARKETCAP"")/10000000"),170.829)</f>
        <v>170.82900000000001</v>
      </c>
      <c r="G102" s="95">
        <f t="shared" ca="1" si="0"/>
        <v>1.7933252157300574E-4</v>
      </c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</row>
    <row r="103" spans="1:25" ht="14.4">
      <c r="A103" s="99">
        <v>507998</v>
      </c>
      <c r="B103" s="98" t="s">
        <v>5760</v>
      </c>
      <c r="C103" s="174" t="e">
        <f>VLOOKUP(A103,'BSE ALL CAP'!$B$4:$Y$1034,2,)</f>
        <v>#N/A</v>
      </c>
      <c r="D103" s="174" t="e">
        <f>VLOOKUP(A103,'BSE ALL CAP'!$B$4:$Y$1034,3,)</f>
        <v>#N/A</v>
      </c>
      <c r="E103" s="101">
        <f ca="1">IFERROR(__xludf.DUMMYFUNCTION("GOOGLEFINANCE(""BOM:""&amp;A103,""PRICE"")"),150.1)</f>
        <v>150.1</v>
      </c>
      <c r="F103" s="112">
        <f ca="1">IFERROR(__xludf.DUMMYFUNCTION("GOOGLEFINANCE(""BOM:""&amp;A103,""MARKETCAP"")/10000000"),168.1120068)</f>
        <v>168.11200679999999</v>
      </c>
      <c r="G103" s="95">
        <f t="shared" ca="1" si="0"/>
        <v>1.7648028195530201E-4</v>
      </c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</row>
    <row r="104" spans="1:25" ht="14.4">
      <c r="A104" s="99">
        <v>505688</v>
      </c>
      <c r="B104" s="98" t="s">
        <v>5761</v>
      </c>
      <c r="C104" s="174" t="e">
        <f>VLOOKUP(A104,'BSE ALL CAP'!$B$4:$Y$1034,2,)</f>
        <v>#N/A</v>
      </c>
      <c r="D104" s="174" t="e">
        <f>VLOOKUP(A104,'BSE ALL CAP'!$B$4:$Y$1034,3,)</f>
        <v>#N/A</v>
      </c>
      <c r="E104" s="101">
        <f ca="1">IFERROR(__xludf.DUMMYFUNCTION("GOOGLEFINANCE(""BOM:""&amp;A104,""PRICE"")"),92.89)</f>
        <v>92.89</v>
      </c>
      <c r="F104" s="112">
        <f ca="1">IFERROR(__xludf.DUMMYFUNCTION("GOOGLEFINANCE(""BOM:""&amp;A104,""MARKETCAP"")/10000000"),143.1859345)</f>
        <v>143.1859345</v>
      </c>
      <c r="G104" s="95">
        <f t="shared" ca="1" si="0"/>
        <v>1.5031344026876137E-4</v>
      </c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</row>
    <row r="105" spans="1:25" ht="14.4">
      <c r="A105" s="99">
        <v>523248</v>
      </c>
      <c r="B105" s="98" t="s">
        <v>5762</v>
      </c>
      <c r="C105" s="174" t="e">
        <f>VLOOKUP(A105,'BSE ALL CAP'!$B$4:$Y$1034,2,)</f>
        <v>#N/A</v>
      </c>
      <c r="D105" s="174" t="e">
        <f>VLOOKUP(A105,'BSE ALL CAP'!$B$4:$Y$1034,3,)</f>
        <v>#N/A</v>
      </c>
      <c r="E105" s="101">
        <f ca="1">IFERROR(__xludf.DUMMYFUNCTION("GOOGLEFINANCE(""BOM:""&amp;A105,""PRICE"")"),231)</f>
        <v>231</v>
      </c>
      <c r="F105" s="112">
        <f ca="1">IFERROR(__xludf.DUMMYFUNCTION("GOOGLEFINANCE(""BOM:""&amp;A105,""MARKETCAP"")/10000000"),141.7600569)</f>
        <v>141.7600569</v>
      </c>
      <c r="G105" s="95">
        <f t="shared" ca="1" si="0"/>
        <v>1.4881658537022269E-4</v>
      </c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</row>
    <row r="106" spans="1:25" ht="14.4">
      <c r="A106" s="99">
        <v>504908</v>
      </c>
      <c r="B106" s="98" t="s">
        <v>5763</v>
      </c>
      <c r="C106" s="174" t="e">
        <f>VLOOKUP(A106,'BSE ALL CAP'!$B$4:$Y$1034,2,)</f>
        <v>#N/A</v>
      </c>
      <c r="D106" s="174" t="e">
        <f>VLOOKUP(A106,'BSE ALL CAP'!$B$4:$Y$1034,3,)</f>
        <v>#N/A</v>
      </c>
      <c r="E106" s="101">
        <f ca="1">IFERROR(__xludf.DUMMYFUNCTION("GOOGLEFINANCE(""BOM:""&amp;A106,""PRICE"")"),391)</f>
        <v>391</v>
      </c>
      <c r="F106" s="112">
        <f ca="1">IFERROR(__xludf.DUMMYFUNCTION("GOOGLEFINANCE(""BOM:""&amp;A106,""MARKETCAP"")/10000000"),144.5136)</f>
        <v>144.5136</v>
      </c>
      <c r="G106" s="95">
        <f t="shared" ca="1" si="0"/>
        <v>1.5170719426790957E-4</v>
      </c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</row>
    <row r="107" spans="1:25" ht="14.4">
      <c r="A107" s="99">
        <v>543930</v>
      </c>
      <c r="B107" s="98" t="s">
        <v>5764</v>
      </c>
      <c r="C107" s="174" t="e">
        <f>VLOOKUP(A107,'BSE ALL CAP'!$B$4:$Y$1034,2,)</f>
        <v>#N/A</v>
      </c>
      <c r="D107" s="174" t="e">
        <f>VLOOKUP(A107,'BSE ALL CAP'!$B$4:$Y$1034,3,)</f>
        <v>#N/A</v>
      </c>
      <c r="E107" s="101">
        <f ca="1">IFERROR(__xludf.DUMMYFUNCTION("GOOGLEFINANCE(""BOM:""&amp;A107,""PRICE"")"),139.5)</f>
        <v>139.5</v>
      </c>
      <c r="F107" s="112">
        <f ca="1">IFERROR(__xludf.DUMMYFUNCTION("GOOGLEFINANCE(""BOM:""&amp;A107,""MARKETCAP"")/10000000"),158.5398083)</f>
        <v>158.5398083</v>
      </c>
      <c r="G107" s="95">
        <f t="shared" ca="1" si="0"/>
        <v>1.6643159880430105E-4</v>
      </c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</row>
    <row r="108" spans="1:25" ht="14.4">
      <c r="A108" s="99">
        <v>504646</v>
      </c>
      <c r="B108" s="98" t="s">
        <v>5765</v>
      </c>
      <c r="C108" s="174" t="e">
        <f>VLOOKUP(A108,'BSE ALL CAP'!$B$4:$Y$1034,2,)</f>
        <v>#N/A</v>
      </c>
      <c r="D108" s="174" t="e">
        <f>VLOOKUP(A108,'BSE ALL CAP'!$B$4:$Y$1034,3,)</f>
        <v>#N/A</v>
      </c>
      <c r="E108" s="101">
        <f ca="1">IFERROR(__xludf.DUMMYFUNCTION("GOOGLEFINANCE(""BOM:""&amp;A108,""PRICE"")"),517.75)</f>
        <v>517.75</v>
      </c>
      <c r="F108" s="112">
        <f ca="1">IFERROR(__xludf.DUMMYFUNCTION("GOOGLEFINANCE(""BOM:""&amp;A108,""MARKETCAP"")/10000000"),149.1474141)</f>
        <v>149.14741409999999</v>
      </c>
      <c r="G108" s="95">
        <f t="shared" ca="1" si="0"/>
        <v>1.5657167024712588E-4</v>
      </c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</row>
    <row r="109" spans="1:25" ht="14.4">
      <c r="A109" s="99">
        <v>523638</v>
      </c>
      <c r="B109" s="98" t="s">
        <v>5766</v>
      </c>
      <c r="C109" s="174" t="e">
        <f>VLOOKUP(A109,'BSE ALL CAP'!$B$4:$Y$1034,2,)</f>
        <v>#N/A</v>
      </c>
      <c r="D109" s="174" t="e">
        <f>VLOOKUP(A109,'BSE ALL CAP'!$B$4:$Y$1034,3,)</f>
        <v>#N/A</v>
      </c>
      <c r="E109" s="101">
        <f ca="1">IFERROR(__xludf.DUMMYFUNCTION("GOOGLEFINANCE(""BOM:""&amp;A109,""PRICE"")"),106.99)</f>
        <v>106.99</v>
      </c>
      <c r="F109" s="112">
        <f ca="1">IFERROR(__xludf.DUMMYFUNCTION("GOOGLEFINANCE(""BOM:""&amp;A109,""MARKETCAP"")/10000000"),135.2494799)</f>
        <v>135.24947990000001</v>
      </c>
      <c r="G109" s="95">
        <f t="shared" ca="1" si="0"/>
        <v>1.4198192503558856E-4</v>
      </c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</row>
    <row r="110" spans="1:25" ht="14.4">
      <c r="A110" s="99">
        <v>544616</v>
      </c>
      <c r="B110" s="98" t="s">
        <v>5767</v>
      </c>
      <c r="C110" s="174" t="e">
        <f>VLOOKUP(A110,'BSE ALL CAP'!$B$4:$Y$1034,2,)</f>
        <v>#N/A</v>
      </c>
      <c r="D110" s="174" t="e">
        <f>VLOOKUP(A110,'BSE ALL CAP'!$B$4:$Y$1034,3,)</f>
        <v>#N/A</v>
      </c>
      <c r="E110" s="101">
        <f ca="1">IFERROR(__xludf.DUMMYFUNCTION("GOOGLEFINANCE(""BOM:""&amp;A110,""PRICE"")"),135.5)</f>
        <v>135.5</v>
      </c>
      <c r="F110" s="112">
        <f ca="1">IFERROR(__xludf.DUMMYFUNCTION("GOOGLEFINANCE(""BOM:""&amp;A110,""MARKETCAP"")/10000000"),128.725)</f>
        <v>128.72499999999999</v>
      </c>
      <c r="G110" s="95">
        <f t="shared" ca="1" si="0"/>
        <v>1.3513266974275542E-4</v>
      </c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</row>
    <row r="111" spans="1:25" ht="14.4">
      <c r="A111" s="99">
        <v>533007</v>
      </c>
      <c r="B111" s="98" t="s">
        <v>5768</v>
      </c>
      <c r="C111" s="174" t="e">
        <f>VLOOKUP(A111,'BSE ALL CAP'!$B$4:$Y$1034,2,)</f>
        <v>#N/A</v>
      </c>
      <c r="D111" s="174" t="e">
        <f>VLOOKUP(A111,'BSE ALL CAP'!$B$4:$Y$1034,3,)</f>
        <v>#N/A</v>
      </c>
      <c r="E111" s="101">
        <f ca="1">IFERROR(__xludf.DUMMYFUNCTION("GOOGLEFINANCE(""BOM:""&amp;A111,""PRICE"")"),6.11)</f>
        <v>6.11</v>
      </c>
      <c r="F111" s="112">
        <f ca="1">IFERROR(__xludf.DUMMYFUNCTION("GOOGLEFINANCE(""BOM:""&amp;A111,""MARKETCAP"")/10000000"),145.5416695)</f>
        <v>145.54166950000001</v>
      </c>
      <c r="G111" s="95">
        <f t="shared" ca="1" si="0"/>
        <v>1.5278643898506707E-4</v>
      </c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ht="14.4">
      <c r="A112" s="99">
        <v>505827</v>
      </c>
      <c r="B112" s="98" t="s">
        <v>5769</v>
      </c>
      <c r="C112" s="174" t="e">
        <f>VLOOKUP(A112,'BSE ALL CAP'!$B$4:$Y$1034,2,)</f>
        <v>#N/A</v>
      </c>
      <c r="D112" s="174" t="e">
        <f>VLOOKUP(A112,'BSE ALL CAP'!$B$4:$Y$1034,3,)</f>
        <v>#N/A</v>
      </c>
      <c r="E112" s="101">
        <f ca="1">IFERROR(__xludf.DUMMYFUNCTION("GOOGLEFINANCE(""BOM:""&amp;A112,""PRICE"")"),334.9)</f>
        <v>334.9</v>
      </c>
      <c r="F112" s="112">
        <f ca="1">IFERROR(__xludf.DUMMYFUNCTION("GOOGLEFINANCE(""BOM:""&amp;A112,""MARKETCAP"")/10000000"),120.9504723)</f>
        <v>120.9504723</v>
      </c>
      <c r="G112" s="95">
        <f t="shared" ca="1" si="0"/>
        <v>1.2697114180265051E-4</v>
      </c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</row>
    <row r="113" spans="1:25" ht="14.4">
      <c r="A113" s="99">
        <v>505893</v>
      </c>
      <c r="B113" s="98" t="s">
        <v>5770</v>
      </c>
      <c r="C113" s="174" t="e">
        <f>VLOOKUP(A113,'BSE ALL CAP'!$B$4:$Y$1034,2,)</f>
        <v>#N/A</v>
      </c>
      <c r="D113" s="174" t="e">
        <f>VLOOKUP(A113,'BSE ALL CAP'!$B$4:$Y$1034,3,)</f>
        <v>#N/A</v>
      </c>
      <c r="E113" s="101">
        <f ca="1">IFERROR(__xludf.DUMMYFUNCTION("GOOGLEFINANCE(""BOM:""&amp;A113,""PRICE"")"),750)</f>
        <v>750</v>
      </c>
      <c r="F113" s="112">
        <f ca="1">IFERROR(__xludf.DUMMYFUNCTION("GOOGLEFINANCE(""BOM:""&amp;A113,""MARKETCAP"")/10000000"),112.38375)</f>
        <v>112.38375000000001</v>
      </c>
      <c r="G113" s="95">
        <f t="shared" ca="1" si="0"/>
        <v>1.1797798542010013E-4</v>
      </c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</row>
    <row r="114" spans="1:25" ht="14.4">
      <c r="A114" s="99">
        <v>520075</v>
      </c>
      <c r="B114" s="98" t="s">
        <v>5771</v>
      </c>
      <c r="C114" s="174" t="e">
        <f>VLOOKUP(A114,'BSE ALL CAP'!$B$4:$Y$1034,2,)</f>
        <v>#N/A</v>
      </c>
      <c r="D114" s="174" t="e">
        <f>VLOOKUP(A114,'BSE ALL CAP'!$B$4:$Y$1034,3,)</f>
        <v>#N/A</v>
      </c>
      <c r="E114" s="101">
        <f ca="1">IFERROR(__xludf.DUMMYFUNCTION("GOOGLEFINANCE(""BOM:""&amp;A114,""PRICE"")"),113.4)</f>
        <v>113.4</v>
      </c>
      <c r="F114" s="112">
        <f ca="1">IFERROR(__xludf.DUMMYFUNCTION("GOOGLEFINANCE(""BOM:""&amp;A114,""MARKETCAP"")/10000000"),111.3645055)</f>
        <v>111.36450550000001</v>
      </c>
      <c r="G114" s="95">
        <f t="shared" ca="1" si="0"/>
        <v>1.1690800499356589E-4</v>
      </c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</row>
    <row r="115" spans="1:25" ht="14.4">
      <c r="A115" s="99">
        <v>531994</v>
      </c>
      <c r="B115" s="98" t="s">
        <v>5772</v>
      </c>
      <c r="C115" s="174" t="e">
        <f>VLOOKUP(A115,'BSE ALL CAP'!$B$4:$Y$1034,2,)</f>
        <v>#N/A</v>
      </c>
      <c r="D115" s="174" t="e">
        <f>VLOOKUP(A115,'BSE ALL CAP'!$B$4:$Y$1034,3,)</f>
        <v>#N/A</v>
      </c>
      <c r="E115" s="101">
        <f ca="1">IFERROR(__xludf.DUMMYFUNCTION("GOOGLEFINANCE(""BOM:""&amp;A115,""PRICE"")"),175)</f>
        <v>175</v>
      </c>
      <c r="F115" s="112">
        <f ca="1">IFERROR(__xludf.DUMMYFUNCTION("GOOGLEFINANCE(""BOM:""&amp;A115,""MARKETCAP"")/10000000"),99.873585)</f>
        <v>99.873585000000006</v>
      </c>
      <c r="G115" s="95">
        <f t="shared" ca="1" si="0"/>
        <v>1.0484508974814536E-4</v>
      </c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</row>
    <row r="116" spans="1:25" ht="14.4">
      <c r="A116" s="99">
        <v>530621</v>
      </c>
      <c r="B116" s="98" t="s">
        <v>5773</v>
      </c>
      <c r="C116" s="174" t="e">
        <f>VLOOKUP(A116,'BSE ALL CAP'!$B$4:$Y$1034,2,)</f>
        <v>#N/A</v>
      </c>
      <c r="D116" s="174" t="e">
        <f>VLOOKUP(A116,'BSE ALL CAP'!$B$4:$Y$1034,3,)</f>
        <v>#N/A</v>
      </c>
      <c r="E116" s="101">
        <f ca="1">IFERROR(__xludf.DUMMYFUNCTION("GOOGLEFINANCE(""BOM:""&amp;A116,""PRICE"")"),82.98)</f>
        <v>82.98</v>
      </c>
      <c r="F116" s="112">
        <f ca="1">IFERROR(__xludf.DUMMYFUNCTION("GOOGLEFINANCE(""BOM:""&amp;A116,""MARKETCAP"")/10000000"),89.5189106)</f>
        <v>89.518910599999998</v>
      </c>
      <c r="G116" s="95">
        <f t="shared" ca="1" si="0"/>
        <v>9.397498063189782E-5</v>
      </c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</row>
    <row r="117" spans="1:25" ht="14.4">
      <c r="A117" s="99">
        <v>539353</v>
      </c>
      <c r="B117" s="98" t="s">
        <v>5774</v>
      </c>
      <c r="C117" s="174" t="e">
        <f>VLOOKUP(A117,'BSE ALL CAP'!$B$4:$Y$1034,2,)</f>
        <v>#N/A</v>
      </c>
      <c r="D117" s="174" t="e">
        <f>VLOOKUP(A117,'BSE ALL CAP'!$B$4:$Y$1034,3,)</f>
        <v>#N/A</v>
      </c>
      <c r="E117" s="101">
        <f ca="1">IFERROR(__xludf.DUMMYFUNCTION("GOOGLEFINANCE(""BOM:""&amp;A117,""PRICE"")"),180)</f>
        <v>180</v>
      </c>
      <c r="F117" s="112">
        <f ca="1">IFERROR(__xludf.DUMMYFUNCTION("GOOGLEFINANCE(""BOM:""&amp;A117,""MARKETCAP"")/10000000"),86.31765)</f>
        <v>86.31765</v>
      </c>
      <c r="G117" s="95">
        <f t="shared" ca="1" si="0"/>
        <v>9.0614367763998843E-5</v>
      </c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</row>
    <row r="118" spans="1:25" ht="14.4">
      <c r="A118" s="99">
        <v>544082</v>
      </c>
      <c r="B118" s="98" t="s">
        <v>5775</v>
      </c>
      <c r="C118" s="174" t="e">
        <f>VLOOKUP(A118,'BSE ALL CAP'!$B$4:$Y$1034,2,)</f>
        <v>#N/A</v>
      </c>
      <c r="D118" s="174" t="e">
        <f>VLOOKUP(A118,'BSE ALL CAP'!$B$4:$Y$1034,3,)</f>
        <v>#N/A</v>
      </c>
      <c r="E118" s="101">
        <f ca="1">IFERROR(__xludf.DUMMYFUNCTION("GOOGLEFINANCE(""BOM:""&amp;A118,""PRICE"")"),40.75)</f>
        <v>40.75</v>
      </c>
      <c r="F118" s="112">
        <f ca="1">IFERROR(__xludf.DUMMYFUNCTION("GOOGLEFINANCE(""BOM:""&amp;A118,""MARKETCAP"")/10000000"),76.90167)</f>
        <v>76.901669999999996</v>
      </c>
      <c r="G118" s="95">
        <f t="shared" ca="1" si="0"/>
        <v>8.072967935347726E-5</v>
      </c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</row>
    <row r="119" spans="1:25" ht="14.4">
      <c r="A119" s="99">
        <v>542459</v>
      </c>
      <c r="B119" s="98" t="s">
        <v>5776</v>
      </c>
      <c r="C119" s="174" t="e">
        <f>VLOOKUP(A119,'BSE ALL CAP'!$B$4:$Y$1034,2,)</f>
        <v>#N/A</v>
      </c>
      <c r="D119" s="174" t="e">
        <f>VLOOKUP(A119,'BSE ALL CAP'!$B$4:$Y$1034,3,)</f>
        <v>#N/A</v>
      </c>
      <c r="E119" s="101">
        <f ca="1">IFERROR(__xludf.DUMMYFUNCTION("GOOGLEFINANCE(""BOM:""&amp;A119,""PRICE"")"),55.97)</f>
        <v>55.97</v>
      </c>
      <c r="F119" s="112">
        <f ca="1">IFERROR(__xludf.DUMMYFUNCTION("GOOGLEFINANCE(""BOM:""&amp;A119,""MARKETCAP"")/10000000"),71.4199603)</f>
        <v>71.4199603</v>
      </c>
      <c r="G119" s="95">
        <f t="shared" ca="1" si="0"/>
        <v>7.4975101248868535E-5</v>
      </c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</row>
    <row r="120" spans="1:25" ht="14.4">
      <c r="A120" s="99">
        <v>532933</v>
      </c>
      <c r="B120" s="98" t="s">
        <v>5777</v>
      </c>
      <c r="C120" s="174" t="e">
        <f>VLOOKUP(A120,'BSE ALL CAP'!$B$4:$Y$1034,2,)</f>
        <v>#N/A</v>
      </c>
      <c r="D120" s="174" t="e">
        <f>VLOOKUP(A120,'BSE ALL CAP'!$B$4:$Y$1034,3,)</f>
        <v>#N/A</v>
      </c>
      <c r="E120" s="101">
        <f ca="1">IFERROR(__xludf.DUMMYFUNCTION("GOOGLEFINANCE(""BOM:""&amp;A120,""PRICE"")"),48.4)</f>
        <v>48.4</v>
      </c>
      <c r="F120" s="112">
        <f ca="1">IFERROR(__xludf.DUMMYFUNCTION("GOOGLEFINANCE(""BOM:""&amp;A120,""MARKETCAP"")/10000000"),73.0840023)</f>
        <v>73.084002299999995</v>
      </c>
      <c r="G120" s="95">
        <f t="shared" ca="1" si="0"/>
        <v>7.6721975888791421E-5</v>
      </c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</row>
    <row r="121" spans="1:25" ht="14.4">
      <c r="A121" s="99">
        <v>539314</v>
      </c>
      <c r="B121" s="98" t="s">
        <v>5778</v>
      </c>
      <c r="C121" s="174" t="e">
        <f>VLOOKUP(A121,'BSE ALL CAP'!$B$4:$Y$1034,2,)</f>
        <v>#N/A</v>
      </c>
      <c r="D121" s="174" t="e">
        <f>VLOOKUP(A121,'BSE ALL CAP'!$B$4:$Y$1034,3,)</f>
        <v>#N/A</v>
      </c>
      <c r="E121" s="101">
        <f ca="1">IFERROR(__xludf.DUMMYFUNCTION("GOOGLEFINANCE(""BOM:""&amp;A121,""PRICE"")"),49.3)</f>
        <v>49.3</v>
      </c>
      <c r="F121" s="112">
        <f ca="1">IFERROR(__xludf.DUMMYFUNCTION("GOOGLEFINANCE(""BOM:""&amp;A121,""MARKETCAP"")/10000000"),61.3020347)</f>
        <v>61.3020347</v>
      </c>
      <c r="G121" s="95">
        <f t="shared" ca="1" si="0"/>
        <v>6.4353525808304773E-5</v>
      </c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</row>
    <row r="122" spans="1:25" ht="14.4">
      <c r="A122" s="99">
        <v>513059</v>
      </c>
      <c r="B122" s="98" t="s">
        <v>5779</v>
      </c>
      <c r="C122" s="174" t="e">
        <f>VLOOKUP(A122,'BSE ALL CAP'!$B$4:$Y$1034,2,)</f>
        <v>#N/A</v>
      </c>
      <c r="D122" s="174" t="e">
        <f>VLOOKUP(A122,'BSE ALL CAP'!$B$4:$Y$1034,3,)</f>
        <v>#N/A</v>
      </c>
      <c r="E122" s="101">
        <f ca="1">IFERROR(__xludf.DUMMYFUNCTION("GOOGLEFINANCE(""BOM:""&amp;A122,""PRICE"")"),30.5)</f>
        <v>30.5</v>
      </c>
      <c r="F122" s="112">
        <f ca="1">IFERROR(__xludf.DUMMYFUNCTION("GOOGLEFINANCE(""BOM:""&amp;A122,""MARKETCAP"")/10000000"),44.2694385)</f>
        <v>44.2694385</v>
      </c>
      <c r="G122" s="95">
        <f t="shared" ca="1" si="0"/>
        <v>4.6473081472268182E-5</v>
      </c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</row>
    <row r="123" spans="1:25" ht="14.4">
      <c r="A123" s="99">
        <v>539398</v>
      </c>
      <c r="B123" s="98" t="s">
        <v>5780</v>
      </c>
      <c r="C123" s="174" t="e">
        <f>VLOOKUP(A123,'BSE ALL CAP'!$B$4:$Y$1034,2,)</f>
        <v>#N/A</v>
      </c>
      <c r="D123" s="174" t="e">
        <f>VLOOKUP(A123,'BSE ALL CAP'!$B$4:$Y$1034,3,)</f>
        <v>#N/A</v>
      </c>
      <c r="E123" s="101">
        <f ca="1">IFERROR(__xludf.DUMMYFUNCTION("GOOGLEFINANCE(""BOM:""&amp;A123,""PRICE"")"),43.06)</f>
        <v>43.06</v>
      </c>
      <c r="F123" s="112">
        <f ca="1">IFERROR(__xludf.DUMMYFUNCTION("GOOGLEFINANCE(""BOM:""&amp;A123,""MARKETCAP"")/10000000"),46.4660044)</f>
        <v>46.466004400000003</v>
      </c>
      <c r="G123" s="95">
        <f t="shared" ca="1" si="0"/>
        <v>4.8778987973203498E-5</v>
      </c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</row>
    <row r="124" spans="1:25" ht="14.4">
      <c r="A124" s="99">
        <v>522207</v>
      </c>
      <c r="B124" s="98" t="s">
        <v>5781</v>
      </c>
      <c r="C124" s="174" t="e">
        <f>VLOOKUP(A124,'BSE ALL CAP'!$B$4:$Y$1034,2,)</f>
        <v>#N/A</v>
      </c>
      <c r="D124" s="174" t="e">
        <f>VLOOKUP(A124,'BSE ALL CAP'!$B$4:$Y$1034,3,)</f>
        <v>#N/A</v>
      </c>
      <c r="E124" s="101">
        <f ca="1">IFERROR(__xludf.DUMMYFUNCTION("GOOGLEFINANCE(""BOM:""&amp;A124,""PRICE"")"),58.7)</f>
        <v>58.7</v>
      </c>
      <c r="F124" s="112">
        <f ca="1">IFERROR(__xludf.DUMMYFUNCTION("GOOGLEFINANCE(""BOM:""&amp;A124,""MARKETCAP"")/10000000"),35.0732445)</f>
        <v>35.073244500000001</v>
      </c>
      <c r="G124" s="95">
        <f t="shared" ca="1" si="0"/>
        <v>3.6819119563607788E-5</v>
      </c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</row>
    <row r="125" spans="1:25" ht="14.4">
      <c r="A125" s="99">
        <v>530711</v>
      </c>
      <c r="B125" s="98" t="s">
        <v>5782</v>
      </c>
      <c r="C125" s="174" t="e">
        <f>VLOOKUP(A125,'BSE ALL CAP'!$B$4:$Y$1034,2,)</f>
        <v>#N/A</v>
      </c>
      <c r="D125" s="174" t="e">
        <f>VLOOKUP(A125,'BSE ALL CAP'!$B$4:$Y$1034,3,)</f>
        <v>#N/A</v>
      </c>
      <c r="E125" s="101">
        <f ca="1">IFERROR(__xludf.DUMMYFUNCTION("GOOGLEFINANCE(""BOM:""&amp;A125,""PRICE"")"),43.99)</f>
        <v>43.99</v>
      </c>
      <c r="F125" s="112">
        <f ca="1">IFERROR(__xludf.DUMMYFUNCTION("GOOGLEFINANCE(""BOM:""&amp;A125,""MARKETCAP"")/10000000"),32.1152658)</f>
        <v>32.115265800000003</v>
      </c>
      <c r="G125" s="95">
        <f t="shared" ca="1" si="0"/>
        <v>3.3713898675876541E-5</v>
      </c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</row>
    <row r="126" spans="1:25" ht="14.4">
      <c r="A126" s="99">
        <v>531144</v>
      </c>
      <c r="B126" s="98" t="s">
        <v>5783</v>
      </c>
      <c r="C126" s="174" t="e">
        <f>VLOOKUP(A126,'BSE ALL CAP'!$B$4:$Y$1034,2,)</f>
        <v>#N/A</v>
      </c>
      <c r="D126" s="174" t="e">
        <f>VLOOKUP(A126,'BSE ALL CAP'!$B$4:$Y$1034,3,)</f>
        <v>#N/A</v>
      </c>
      <c r="E126" s="101">
        <f ca="1">IFERROR(__xludf.DUMMYFUNCTION("GOOGLEFINANCE(""BOM:""&amp;A126,""PRICE"")"),13.75)</f>
        <v>13.75</v>
      </c>
      <c r="F126" s="112">
        <f ca="1">IFERROR(__xludf.DUMMYFUNCTION("GOOGLEFINANCE(""BOM:""&amp;A126,""MARKETCAP"")/10000000"),27.9459125)</f>
        <v>27.945912499999999</v>
      </c>
      <c r="G126" s="95">
        <f t="shared" ca="1" si="0"/>
        <v>2.933700341442952E-5</v>
      </c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</row>
    <row r="127" spans="1:25" ht="14.4">
      <c r="A127" s="99">
        <v>505212</v>
      </c>
      <c r="B127" s="98" t="s">
        <v>5784</v>
      </c>
      <c r="C127" s="174" t="e">
        <f>VLOOKUP(A127,'BSE ALL CAP'!$B$4:$Y$1034,2,)</f>
        <v>#N/A</v>
      </c>
      <c r="D127" s="174" t="e">
        <f>VLOOKUP(A127,'BSE ALL CAP'!$B$4:$Y$1034,3,)</f>
        <v>#N/A</v>
      </c>
      <c r="E127" s="101">
        <f ca="1">IFERROR(__xludf.DUMMYFUNCTION("GOOGLEFINANCE(""BOM:""&amp;A127,""PRICE"")"),118.95)</f>
        <v>118.95</v>
      </c>
      <c r="F127" s="112">
        <f ca="1">IFERROR(__xludf.DUMMYFUNCTION("GOOGLEFINANCE(""BOM:""&amp;A127,""MARKETCAP"")/10000000"),26.69841)</f>
        <v>26.698409999999999</v>
      </c>
      <c r="G127" s="95">
        <f t="shared" ca="1" si="0"/>
        <v>2.8027402767035762E-5</v>
      </c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</row>
    <row r="128" spans="1:25" ht="14.4">
      <c r="A128" s="99">
        <v>520141</v>
      </c>
      <c r="B128" s="98" t="s">
        <v>5785</v>
      </c>
      <c r="C128" s="174" t="e">
        <f>VLOOKUP(A128,'BSE ALL CAP'!$B$4:$Y$1034,2,)</f>
        <v>#N/A</v>
      </c>
      <c r="D128" s="174" t="e">
        <f>VLOOKUP(A128,'BSE ALL CAP'!$B$4:$Y$1034,3,)</f>
        <v>#N/A</v>
      </c>
      <c r="E128" s="101">
        <f ca="1">IFERROR(__xludf.DUMMYFUNCTION("GOOGLEFINANCE(""BOM:""&amp;A128,""PRICE"")"),7.38)</f>
        <v>7.38</v>
      </c>
      <c r="F128" s="112">
        <f ca="1">IFERROR(__xludf.DUMMYFUNCTION("GOOGLEFINANCE(""BOM:""&amp;A128,""MARKETCAP"")/10000000"),12.1955239)</f>
        <v>12.1955239</v>
      </c>
      <c r="G128" s="95">
        <f t="shared" ca="1" si="0"/>
        <v>1.2802592375362832E-5</v>
      </c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</row>
    <row r="129" spans="1:25" ht="14.4">
      <c r="A129" s="99">
        <v>513117</v>
      </c>
      <c r="B129" s="98" t="s">
        <v>5786</v>
      </c>
      <c r="C129" s="174" t="e">
        <f>VLOOKUP(A129,'BSE ALL CAP'!$B$4:$Y$1034,2,)</f>
        <v>#N/A</v>
      </c>
      <c r="D129" s="174" t="e">
        <f>VLOOKUP(A129,'BSE ALL CAP'!$B$4:$Y$1034,3,)</f>
        <v>#N/A</v>
      </c>
      <c r="E129" s="101">
        <f ca="1">IFERROR(__xludf.DUMMYFUNCTION("GOOGLEFINANCE(""BOM:""&amp;A129,""PRICE"")"),7.3)</f>
        <v>7.3</v>
      </c>
      <c r="F129" s="112">
        <f ca="1">IFERROR(__xludf.DUMMYFUNCTION("GOOGLEFINANCE(""BOM:""&amp;A129,""MARKETCAP"")/10000000"),10.5026562)</f>
        <v>10.502656200000001</v>
      </c>
      <c r="G129" s="95">
        <f t="shared" ca="1" si="0"/>
        <v>1.1025457150485939E-5</v>
      </c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</row>
    <row r="130" spans="1:25" ht="14.4">
      <c r="A130" s="99">
        <v>506079</v>
      </c>
      <c r="B130" s="98" t="s">
        <v>5787</v>
      </c>
      <c r="C130" s="174" t="e">
        <f>VLOOKUP(A130,'BSE ALL CAP'!$B$4:$Y$1034,2,)</f>
        <v>#N/A</v>
      </c>
      <c r="D130" s="174" t="e">
        <f>VLOOKUP(A130,'BSE ALL CAP'!$B$4:$Y$1034,3,)</f>
        <v>#N/A</v>
      </c>
      <c r="E130" s="101">
        <f ca="1">IFERROR(__xludf.DUMMYFUNCTION("GOOGLEFINANCE(""BOM:""&amp;A130,""PRICE"")"),5.6)</f>
        <v>5.6</v>
      </c>
      <c r="F130" s="112">
        <f ca="1">IFERROR(__xludf.DUMMYFUNCTION("GOOGLEFINANCE(""BOM:""&amp;A130,""MARKETCAP"")/10000000"),5.4927132)</f>
        <v>5.4927131999999999</v>
      </c>
      <c r="G130" s="95">
        <f t="shared" ca="1" si="0"/>
        <v>5.766129336549025E-6</v>
      </c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</row>
    <row r="131" spans="1:25" ht="14.4">
      <c r="A131" s="99">
        <v>506122</v>
      </c>
      <c r="B131" s="98" t="s">
        <v>5788</v>
      </c>
      <c r="C131" s="174" t="e">
        <f>VLOOKUP(A131,'BSE ALL CAP'!$B$4:$Y$1034,2,)</f>
        <v>#N/A</v>
      </c>
      <c r="D131" s="174" t="e">
        <f>VLOOKUP(A131,'BSE ALL CAP'!$B$4:$Y$1034,3,)</f>
        <v>#N/A</v>
      </c>
      <c r="E131" s="101">
        <f ca="1">IFERROR(__xludf.DUMMYFUNCTION("GOOGLEFINANCE(""BOM:""&amp;A131,""PRICE"")"),47.77)</f>
        <v>47.77</v>
      </c>
      <c r="F131" s="112">
        <f ca="1">IFERROR(__xludf.DUMMYFUNCTION("GOOGLEFINANCE(""BOM:""&amp;A131,""MARKETCAP"")/10000000"),5.38245)</f>
        <v>5.3824500000000004</v>
      </c>
      <c r="G131" s="95">
        <f t="shared" ca="1" si="0"/>
        <v>5.6503774578123436E-6</v>
      </c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</row>
    <row r="132" spans="1:25" ht="14.4">
      <c r="A132" s="99">
        <v>513687</v>
      </c>
      <c r="B132" s="98" t="s">
        <v>5789</v>
      </c>
      <c r="C132" s="174" t="e">
        <f>VLOOKUP(A132,'BSE ALL CAP'!$B$4:$Y$1034,2,)</f>
        <v>#N/A</v>
      </c>
      <c r="D132" s="174" t="e">
        <f>VLOOKUP(A132,'BSE ALL CAP'!$B$4:$Y$1034,3,)</f>
        <v>#N/A</v>
      </c>
      <c r="E132" s="101">
        <f ca="1">IFERROR(__xludf.DUMMYFUNCTION("GOOGLEFINANCE(""BOM:""&amp;A132,""PRICE"")"),5.21)</f>
        <v>5.21</v>
      </c>
      <c r="F132" s="112">
        <f ca="1">IFERROR(__xludf.DUMMYFUNCTION("GOOGLEFINANCE(""BOM:""&amp;A132,""MARKETCAP"")/10000000"),3.687899)</f>
        <v>3.6878989999999998</v>
      </c>
      <c r="G132" s="95">
        <f t="shared" ca="1" si="0"/>
        <v>3.8714751416712986E-6</v>
      </c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</row>
    <row r="133" spans="1:25" ht="14.4">
      <c r="A133" s="99">
        <v>526349</v>
      </c>
      <c r="B133" s="98" t="s">
        <v>5790</v>
      </c>
      <c r="C133" s="174" t="e">
        <f>VLOOKUP(A133,'BSE ALL CAP'!$B$4:$Y$1034,2,)</f>
        <v>#N/A</v>
      </c>
      <c r="D133" s="174" t="e">
        <f>VLOOKUP(A133,'BSE ALL CAP'!$B$4:$Y$1034,3,)</f>
        <v>#N/A</v>
      </c>
      <c r="E133" s="101"/>
      <c r="F133" s="112"/>
      <c r="G133" s="95">
        <f t="shared" ca="1" si="0"/>
        <v>0</v>
      </c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</row>
    <row r="134" spans="1:25" ht="14.4">
      <c r="A134" s="99">
        <v>505032</v>
      </c>
      <c r="B134" s="98" t="s">
        <v>5791</v>
      </c>
      <c r="C134" s="174" t="e">
        <f>VLOOKUP(A134,'BSE ALL CAP'!$B$4:$Y$1034,2,)</f>
        <v>#N/A</v>
      </c>
      <c r="D134" s="174" t="e">
        <f>VLOOKUP(A134,'BSE ALL CAP'!$B$4:$Y$1034,3,)</f>
        <v>#N/A</v>
      </c>
      <c r="E134" s="101"/>
      <c r="F134" s="112"/>
      <c r="G134" s="95">
        <f t="shared" ca="1" si="0"/>
        <v>0</v>
      </c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</row>
    <row r="135" spans="1:25" ht="13.2">
      <c r="A135" s="101"/>
      <c r="B135" s="101"/>
      <c r="C135" s="101"/>
      <c r="D135" s="101"/>
      <c r="E135" s="101"/>
      <c r="F135" s="112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</row>
    <row r="136" spans="1:25" ht="13.2">
      <c r="A136" s="101"/>
      <c r="B136" s="101"/>
      <c r="C136" s="101"/>
      <c r="D136" s="101"/>
      <c r="E136" s="101"/>
      <c r="F136" s="112">
        <f ca="1">SUM(F2:F134)</f>
        <v>952582.37882109976</v>
      </c>
      <c r="G136" s="95">
        <f ca="1">F136/$F$136</f>
        <v>1</v>
      </c>
      <c r="H136" s="101">
        <f t="shared" ref="H136:O136" si="1">SUM(H2:H134)</f>
        <v>302525</v>
      </c>
      <c r="I136" s="101">
        <f t="shared" si="1"/>
        <v>270370</v>
      </c>
      <c r="J136" s="101">
        <f t="shared" si="1"/>
        <v>16344</v>
      </c>
      <c r="K136" s="101">
        <f t="shared" si="1"/>
        <v>15425</v>
      </c>
      <c r="L136" s="101">
        <f t="shared" si="1"/>
        <v>102462</v>
      </c>
      <c r="M136" s="101">
        <f t="shared" si="1"/>
        <v>88537</v>
      </c>
      <c r="N136" s="101">
        <f t="shared" si="1"/>
        <v>5368</v>
      </c>
      <c r="O136" s="101">
        <f t="shared" si="1"/>
        <v>4719.3900000000003</v>
      </c>
      <c r="P136" s="37">
        <f t="shared" ref="P136:Q136" si="2">J136/H136</f>
        <v>5.402528716634989E-2</v>
      </c>
      <c r="Q136" s="37">
        <f t="shared" si="2"/>
        <v>5.705144801568221E-2</v>
      </c>
      <c r="R136" s="37">
        <f>P136-Q136</f>
        <v>-3.0261608493323197E-3</v>
      </c>
      <c r="S136" s="37">
        <f t="shared" ref="S136:T136" si="3">N136/L136</f>
        <v>5.2390154398703911E-2</v>
      </c>
      <c r="T136" s="37">
        <f t="shared" si="3"/>
        <v>5.3304155324892424E-2</v>
      </c>
      <c r="U136" s="37">
        <f>S136-T136</f>
        <v>-9.1400092618851292E-4</v>
      </c>
      <c r="V136" s="37">
        <f>(H136/I136)-1</f>
        <v>0.11892961497207533</v>
      </c>
      <c r="W136" s="37">
        <f>(J136/K136)-1</f>
        <v>5.9578606158833036E-2</v>
      </c>
      <c r="X136" s="37">
        <f>(L136/M136)-1</f>
        <v>0.15727887775732174</v>
      </c>
      <c r="Y136" s="37">
        <f>(N136/O136)-1</f>
        <v>0.13743513462544943</v>
      </c>
    </row>
    <row r="137" spans="1:25" ht="13.2">
      <c r="F137" s="94"/>
    </row>
    <row r="138" spans="1:25" ht="13.2">
      <c r="F138" s="94"/>
    </row>
    <row r="139" spans="1:25" ht="13.2">
      <c r="F139" s="94"/>
    </row>
    <row r="140" spans="1:25" ht="13.2">
      <c r="F140" s="94"/>
    </row>
    <row r="141" spans="1:25" ht="13.2">
      <c r="F141" s="94"/>
    </row>
    <row r="142" spans="1:25" ht="13.2">
      <c r="F142" s="94"/>
    </row>
    <row r="143" spans="1:25" ht="13.2">
      <c r="F143" s="94"/>
    </row>
    <row r="144" spans="1:25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34" xr:uid="{00000000-0009-0000-0000-0000B8000000}"/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543714</v>
      </c>
      <c r="B2" s="98" t="s">
        <v>5792</v>
      </c>
      <c r="C2" s="174" t="e">
        <f>VLOOKUP(A2,'BSE ALL CAP'!$B$4:$Y$1034,2,)</f>
        <v>#N/A</v>
      </c>
      <c r="D2" s="174" t="e">
        <f>VLOOKUP(A2,'BSE ALL CAP'!$B$4:$Y$1034,3,)</f>
        <v>#N/A</v>
      </c>
      <c r="E2" s="101">
        <f ca="1">IFERROR(__xludf.DUMMYFUNCTION("GOOGLEFINANCE(""BOM:""&amp;A2,""PRICE"")"),410.55)</f>
        <v>410.55</v>
      </c>
      <c r="F2" s="112">
        <f ca="1">IFERROR(__xludf.DUMMYFUNCTION("GOOGLEFINANCE(""BOM:""&amp;A2,""MARKETCAP"")/10000000"),1707.9392056)</f>
        <v>1707.9392055999999</v>
      </c>
      <c r="G2" s="95">
        <f t="shared" ref="G2:G6" ca="1" si="0">F2/$F$8</f>
        <v>0.65070420185642686</v>
      </c>
      <c r="H2" s="101" t="e">
        <f>VLOOKUP(A2,'BSE ALL CAP'!$B$4:$Y$1038,7,)</f>
        <v>#N/A</v>
      </c>
      <c r="I2" s="101" t="e">
        <f>VLOOKUP(A2,'BSE ALL CAP'!$B$4:$Y$1038,8,)</f>
        <v>#N/A</v>
      </c>
      <c r="J2" s="101" t="e">
        <f>VLOOKUP(A2,'BSE ALL CAP'!$B$4:$Y$1038,9,)</f>
        <v>#N/A</v>
      </c>
      <c r="K2" s="101" t="e">
        <f>VLOOKUP(A2,'BSE ALL CAP'!$B$4:$Y$1038,10,)</f>
        <v>#N/A</v>
      </c>
      <c r="L2" s="101" t="e">
        <f>VLOOKUP(A2,'BSE ALL CAP'!$B$4:$Y$1038,11,)</f>
        <v>#N/A</v>
      </c>
      <c r="M2" s="101" t="e">
        <f>VLOOKUP(A2,'BSE ALL CAP'!$B$4:$Y$1038,12,)</f>
        <v>#N/A</v>
      </c>
      <c r="N2" s="101" t="e">
        <f>VLOOKUP(A2,'BSE ALL CAP'!$B$4:$Y$1038,13,)</f>
        <v>#N/A</v>
      </c>
      <c r="O2" s="101" t="e">
        <f>VLOOKUP(A2,'BSE ALL CAP'!$B$4:$Y$1038,14,)</f>
        <v>#N/A</v>
      </c>
      <c r="P2" s="101" t="e">
        <f>VLOOKUP(A2,'BSE ALL CAP'!$B$4:$Y$1038,15,)</f>
        <v>#N/A</v>
      </c>
      <c r="Q2" s="101" t="e">
        <f>VLOOKUP(A2,'BSE ALL CAP'!$B$4:$Y$1038,16,)</f>
        <v>#N/A</v>
      </c>
      <c r="R2" s="101" t="e">
        <f>VLOOKUP(A2,'BSE ALL CAP'!$B$4:$Y$1038,17,)</f>
        <v>#N/A</v>
      </c>
      <c r="S2" s="101" t="e">
        <f>VLOOKUP(A2,'BSE ALL CAP'!$B$4:$Y$1038,18,)</f>
        <v>#N/A</v>
      </c>
      <c r="T2" s="101" t="e">
        <f>VLOOKUP(A2,'BSE ALL CAP'!$B$4:$Y$1038,19,)</f>
        <v>#N/A</v>
      </c>
      <c r="U2" s="101" t="e">
        <f>VLOOKUP(A2,'BSE ALL CAP'!$B$4:$Y$1038,20,)</f>
        <v>#N/A</v>
      </c>
      <c r="V2" s="101" t="e">
        <f>VLOOKUP(A2,'BSE ALL CAP'!$B$4:$Y$1038,21,)</f>
        <v>#N/A</v>
      </c>
      <c r="W2" s="101" t="e">
        <f>VLOOKUP(A2,'BSE ALL CAP'!$B$4:$Y$1038,22,)</f>
        <v>#N/A</v>
      </c>
      <c r="X2" s="101" t="e">
        <f>VLOOKUP(A2,'BSE ALL CAP'!$B$4:$Y$1038,23,)</f>
        <v>#N/A</v>
      </c>
      <c r="Y2" s="101" t="e">
        <f>VLOOKUP(A2,'BSE ALL CAP'!$B$4:$Y$1038,24,)</f>
        <v>#N/A</v>
      </c>
    </row>
    <row r="3" spans="1:25" ht="15.75" customHeight="1">
      <c r="A3" s="99">
        <v>544144</v>
      </c>
      <c r="B3" s="98" t="s">
        <v>5793</v>
      </c>
      <c r="C3" s="174" t="e">
        <f>VLOOKUP(A3,'BSE ALL CAP'!$B$4:$Y$1034,2,)</f>
        <v>#N/A</v>
      </c>
      <c r="D3" s="174" t="e">
        <f>VLOOKUP(A3,'BSE ALL CAP'!$B$4:$Y$1034,3,)</f>
        <v>#N/A</v>
      </c>
      <c r="E3" s="101">
        <f ca="1">IFERROR(__xludf.DUMMYFUNCTION("GOOGLEFINANCE(""BOM:""&amp;A3,""PRICE"")"),97.08)</f>
        <v>97.08</v>
      </c>
      <c r="F3" s="112">
        <f ca="1">IFERROR(__xludf.DUMMYFUNCTION("GOOGLEFINANCE(""BOM:""&amp;A3,""MARKETCAP"")/10000000"),684.4994904)</f>
        <v>684.49949040000001</v>
      </c>
      <c r="G3" s="95">
        <f t="shared" ca="1" si="0"/>
        <v>0.26078603565715985</v>
      </c>
      <c r="H3" s="101" t="e">
        <f>VLOOKUP(A3,'BSE ALL CAP'!$B$4:$Y$1038,7,)</f>
        <v>#N/A</v>
      </c>
      <c r="I3" s="101" t="e">
        <f>VLOOKUP(A3,'BSE ALL CAP'!$B$4:$Y$1038,8,)</f>
        <v>#N/A</v>
      </c>
      <c r="J3" s="101" t="e">
        <f>VLOOKUP(A3,'BSE ALL CAP'!$B$4:$Y$1038,9,)</f>
        <v>#N/A</v>
      </c>
      <c r="K3" s="101" t="e">
        <f>VLOOKUP(A3,'BSE ALL CAP'!$B$4:$Y$1038,10,)</f>
        <v>#N/A</v>
      </c>
      <c r="L3" s="101" t="e">
        <f>VLOOKUP(A3,'BSE ALL CAP'!$B$4:$Y$1038,11,)</f>
        <v>#N/A</v>
      </c>
      <c r="M3" s="101" t="e">
        <f>VLOOKUP(A3,'BSE ALL CAP'!$B$4:$Y$1038,12,)</f>
        <v>#N/A</v>
      </c>
      <c r="N3" s="101" t="e">
        <f>VLOOKUP(A3,'BSE ALL CAP'!$B$4:$Y$1038,13,)</f>
        <v>#N/A</v>
      </c>
      <c r="O3" s="101" t="e">
        <f>VLOOKUP(A3,'BSE ALL CAP'!$B$4:$Y$1038,14,)</f>
        <v>#N/A</v>
      </c>
      <c r="P3" s="101" t="e">
        <f>VLOOKUP(A3,'BSE ALL CAP'!$B$4:$Y$1038,15,)</f>
        <v>#N/A</v>
      </c>
      <c r="Q3" s="101" t="e">
        <f>VLOOKUP(A3,'BSE ALL CAP'!$B$4:$Y$1038,16,)</f>
        <v>#N/A</v>
      </c>
      <c r="R3" s="101" t="e">
        <f>VLOOKUP(A3,'BSE ALL CAP'!$B$4:$Y$1038,17,)</f>
        <v>#N/A</v>
      </c>
      <c r="S3" s="101" t="e">
        <f>VLOOKUP(A3,'BSE ALL CAP'!$B$4:$Y$1038,18,)</f>
        <v>#N/A</v>
      </c>
      <c r="T3" s="101" t="e">
        <f>VLOOKUP(A3,'BSE ALL CAP'!$B$4:$Y$1038,19,)</f>
        <v>#N/A</v>
      </c>
      <c r="U3" s="101" t="e">
        <f>VLOOKUP(A3,'BSE ALL CAP'!$B$4:$Y$1038,20,)</f>
        <v>#N/A</v>
      </c>
      <c r="V3" s="101" t="e">
        <f>VLOOKUP(A3,'BSE ALL CAP'!$B$4:$Y$1038,21,)</f>
        <v>#N/A</v>
      </c>
      <c r="W3" s="101" t="e">
        <f>VLOOKUP(A3,'BSE ALL CAP'!$B$4:$Y$1038,22,)</f>
        <v>#N/A</v>
      </c>
      <c r="X3" s="101" t="e">
        <f>VLOOKUP(A3,'BSE ALL CAP'!$B$4:$Y$1038,23,)</f>
        <v>#N/A</v>
      </c>
      <c r="Y3" s="101" t="e">
        <f>VLOOKUP(A3,'BSE ALL CAP'!$B$4:$Y$1038,24,)</f>
        <v>#N/A</v>
      </c>
    </row>
    <row r="4" spans="1:25" ht="15.75" customHeight="1">
      <c r="A4" s="99">
        <v>531041</v>
      </c>
      <c r="B4" s="98" t="s">
        <v>5794</v>
      </c>
      <c r="C4" s="174" t="e">
        <f>VLOOKUP(A4,'BSE ALL CAP'!$B$4:$Y$1034,2,)</f>
        <v>#N/A</v>
      </c>
      <c r="D4" s="174" t="e">
        <f>VLOOKUP(A4,'BSE ALL CAP'!$B$4:$Y$1034,3,)</f>
        <v>#N/A</v>
      </c>
      <c r="E4" s="101">
        <f ca="1">IFERROR(__xludf.DUMMYFUNCTION("GOOGLEFINANCE(""BOM:""&amp;A4,""PRICE"")"),354.3)</f>
        <v>354.3</v>
      </c>
      <c r="F4" s="112">
        <f ca="1">IFERROR(__xludf.DUMMYFUNCTION("GOOGLEFINANCE(""BOM:""&amp;A4,""MARKETCAP"")/10000000"),217.752737)</f>
        <v>217.752737</v>
      </c>
      <c r="G4" s="95">
        <f t="shared" ca="1" si="0"/>
        <v>8.2961161888581811E-2</v>
      </c>
      <c r="H4" s="101" t="e">
        <f>VLOOKUP(A4,'BSE ALL CAP'!$B$4:$Y$1038,7,)</f>
        <v>#N/A</v>
      </c>
      <c r="I4" s="101" t="e">
        <f>VLOOKUP(A4,'BSE ALL CAP'!$B$4:$Y$1038,8,)</f>
        <v>#N/A</v>
      </c>
      <c r="J4" s="101" t="e">
        <f>VLOOKUP(A4,'BSE ALL CAP'!$B$4:$Y$1038,9,)</f>
        <v>#N/A</v>
      </c>
      <c r="K4" s="101" t="e">
        <f>VLOOKUP(A4,'BSE ALL CAP'!$B$4:$Y$1038,10,)</f>
        <v>#N/A</v>
      </c>
      <c r="L4" s="101" t="e">
        <f>VLOOKUP(A4,'BSE ALL CAP'!$B$4:$Y$1038,11,)</f>
        <v>#N/A</v>
      </c>
      <c r="M4" s="101" t="e">
        <f>VLOOKUP(A4,'BSE ALL CAP'!$B$4:$Y$1038,12,)</f>
        <v>#N/A</v>
      </c>
      <c r="N4" s="101" t="e">
        <f>VLOOKUP(A4,'BSE ALL CAP'!$B$4:$Y$1038,13,)</f>
        <v>#N/A</v>
      </c>
      <c r="O4" s="101" t="e">
        <f>VLOOKUP(A4,'BSE ALL CAP'!$B$4:$Y$1038,14,)</f>
        <v>#N/A</v>
      </c>
      <c r="P4" s="101" t="e">
        <f>VLOOKUP(A4,'BSE ALL CAP'!$B$4:$Y$1038,15,)</f>
        <v>#N/A</v>
      </c>
      <c r="Q4" s="101" t="e">
        <f>VLOOKUP(A4,'BSE ALL CAP'!$B$4:$Y$1038,16,)</f>
        <v>#N/A</v>
      </c>
      <c r="R4" s="101" t="e">
        <f>VLOOKUP(A4,'BSE ALL CAP'!$B$4:$Y$1038,17,)</f>
        <v>#N/A</v>
      </c>
      <c r="S4" s="101" t="e">
        <f>VLOOKUP(A4,'BSE ALL CAP'!$B$4:$Y$1038,18,)</f>
        <v>#N/A</v>
      </c>
      <c r="T4" s="101" t="e">
        <f>VLOOKUP(A4,'BSE ALL CAP'!$B$4:$Y$1038,19,)</f>
        <v>#N/A</v>
      </c>
      <c r="U4" s="101" t="e">
        <f>VLOOKUP(A4,'BSE ALL CAP'!$B$4:$Y$1038,20,)</f>
        <v>#N/A</v>
      </c>
      <c r="V4" s="101" t="e">
        <f>VLOOKUP(A4,'BSE ALL CAP'!$B$4:$Y$1038,21,)</f>
        <v>#N/A</v>
      </c>
      <c r="W4" s="101" t="e">
        <f>VLOOKUP(A4,'BSE ALL CAP'!$B$4:$Y$1038,22,)</f>
        <v>#N/A</v>
      </c>
      <c r="X4" s="101" t="e">
        <f>VLOOKUP(A4,'BSE ALL CAP'!$B$4:$Y$1038,23,)</f>
        <v>#N/A</v>
      </c>
      <c r="Y4" s="101" t="e">
        <f>VLOOKUP(A4,'BSE ALL CAP'!$B$4:$Y$1038,24,)</f>
        <v>#N/A</v>
      </c>
    </row>
    <row r="5" spans="1:25" ht="15.75" customHeight="1">
      <c r="A5" s="99">
        <v>544236</v>
      </c>
      <c r="B5" s="98" t="s">
        <v>5795</v>
      </c>
      <c r="C5" s="174" t="e">
        <f>VLOOKUP(A5,'BSE ALL CAP'!$B$4:$Y$1034,2,)</f>
        <v>#N/A</v>
      </c>
      <c r="D5" s="174" t="e">
        <f>VLOOKUP(A5,'BSE ALL CAP'!$B$4:$Y$1034,3,)</f>
        <v>#N/A</v>
      </c>
      <c r="E5" s="101">
        <f ca="1">IFERROR(__xludf.DUMMYFUNCTION("GOOGLEFINANCE(""BOM:""&amp;A5,""PRICE"")"),38.99)</f>
        <v>38.99</v>
      </c>
      <c r="F5" s="112">
        <f ca="1">IFERROR(__xludf.DUMMYFUNCTION("GOOGLEFINANCE(""BOM:""&amp;A5,""MARKETCAP"")/10000000"),10.35553)</f>
        <v>10.35553</v>
      </c>
      <c r="G5" s="95">
        <f t="shared" ca="1" si="0"/>
        <v>3.9453318135425578E-3</v>
      </c>
      <c r="H5" s="101" t="e">
        <f>VLOOKUP(A5,'BSE ALL CAP'!$B$4:$Y$1038,7,)</f>
        <v>#N/A</v>
      </c>
      <c r="I5" s="101" t="e">
        <f>VLOOKUP(A5,'BSE ALL CAP'!$B$4:$Y$1038,8,)</f>
        <v>#N/A</v>
      </c>
      <c r="J5" s="101" t="e">
        <f>VLOOKUP(A5,'BSE ALL CAP'!$B$4:$Y$1038,9,)</f>
        <v>#N/A</v>
      </c>
      <c r="K5" s="101" t="e">
        <f>VLOOKUP(A5,'BSE ALL CAP'!$B$4:$Y$1038,10,)</f>
        <v>#N/A</v>
      </c>
      <c r="L5" s="101" t="e">
        <f>VLOOKUP(A5,'BSE ALL CAP'!$B$4:$Y$1038,11,)</f>
        <v>#N/A</v>
      </c>
      <c r="M5" s="101" t="e">
        <f>VLOOKUP(A5,'BSE ALL CAP'!$B$4:$Y$1038,12,)</f>
        <v>#N/A</v>
      </c>
      <c r="N5" s="101" t="e">
        <f>VLOOKUP(A5,'BSE ALL CAP'!$B$4:$Y$1038,13,)</f>
        <v>#N/A</v>
      </c>
      <c r="O5" s="101" t="e">
        <f>VLOOKUP(A5,'BSE ALL CAP'!$B$4:$Y$1038,14,)</f>
        <v>#N/A</v>
      </c>
      <c r="P5" s="101" t="e">
        <f>VLOOKUP(A5,'BSE ALL CAP'!$B$4:$Y$1038,15,)</f>
        <v>#N/A</v>
      </c>
      <c r="Q5" s="101" t="e">
        <f>VLOOKUP(A5,'BSE ALL CAP'!$B$4:$Y$1038,16,)</f>
        <v>#N/A</v>
      </c>
      <c r="R5" s="101" t="e">
        <f>VLOOKUP(A5,'BSE ALL CAP'!$B$4:$Y$1038,17,)</f>
        <v>#N/A</v>
      </c>
      <c r="S5" s="101" t="e">
        <f>VLOOKUP(A5,'BSE ALL CAP'!$B$4:$Y$1038,18,)</f>
        <v>#N/A</v>
      </c>
      <c r="T5" s="101" t="e">
        <f>VLOOKUP(A5,'BSE ALL CAP'!$B$4:$Y$1038,19,)</f>
        <v>#N/A</v>
      </c>
      <c r="U5" s="101" t="e">
        <f>VLOOKUP(A5,'BSE ALL CAP'!$B$4:$Y$1038,20,)</f>
        <v>#N/A</v>
      </c>
      <c r="V5" s="101" t="e">
        <f>VLOOKUP(A5,'BSE ALL CAP'!$B$4:$Y$1038,21,)</f>
        <v>#N/A</v>
      </c>
      <c r="W5" s="101" t="e">
        <f>VLOOKUP(A5,'BSE ALL CAP'!$B$4:$Y$1038,22,)</f>
        <v>#N/A</v>
      </c>
      <c r="X5" s="101" t="e">
        <f>VLOOKUP(A5,'BSE ALL CAP'!$B$4:$Y$1038,23,)</f>
        <v>#N/A</v>
      </c>
      <c r="Y5" s="101" t="e">
        <f>VLOOKUP(A5,'BSE ALL CAP'!$B$4:$Y$1038,24,)</f>
        <v>#N/A</v>
      </c>
    </row>
    <row r="6" spans="1:25" ht="15.75" customHeight="1">
      <c r="A6" s="99">
        <v>539402</v>
      </c>
      <c r="B6" s="98" t="s">
        <v>5796</v>
      </c>
      <c r="C6" s="174" t="e">
        <f>VLOOKUP(A6,'BSE ALL CAP'!$B$4:$Y$1034,2,)</f>
        <v>#N/A</v>
      </c>
      <c r="D6" s="174" t="e">
        <f>VLOOKUP(A6,'BSE ALL CAP'!$B$4:$Y$1034,3,)</f>
        <v>#N/A</v>
      </c>
      <c r="E6" s="101">
        <f ca="1">IFERROR(__xludf.DUMMYFUNCTION("GOOGLEFINANCE(""BOM:""&amp;A6,""PRICE"")"),4)</f>
        <v>4</v>
      </c>
      <c r="F6" s="112">
        <f ca="1">IFERROR(__xludf.DUMMYFUNCTION("GOOGLEFINANCE(""BOM:""&amp;A6,""MARKETCAP"")/10000000"),4.208188)</f>
        <v>4.2081879999999998</v>
      </c>
      <c r="G6" s="95">
        <f t="shared" ca="1" si="0"/>
        <v>1.603268784288977E-3</v>
      </c>
      <c r="H6" s="101" t="e">
        <f>VLOOKUP(A6,'BSE ALL CAP'!$B$4:$Y$1038,7,)</f>
        <v>#N/A</v>
      </c>
      <c r="I6" s="101" t="e">
        <f>VLOOKUP(A6,'BSE ALL CAP'!$B$4:$Y$1038,8,)</f>
        <v>#N/A</v>
      </c>
      <c r="J6" s="101" t="e">
        <f>VLOOKUP(A6,'BSE ALL CAP'!$B$4:$Y$1038,9,)</f>
        <v>#N/A</v>
      </c>
      <c r="K6" s="101" t="e">
        <f>VLOOKUP(A6,'BSE ALL CAP'!$B$4:$Y$1038,10,)</f>
        <v>#N/A</v>
      </c>
      <c r="L6" s="101" t="e">
        <f>VLOOKUP(A6,'BSE ALL CAP'!$B$4:$Y$1038,11,)</f>
        <v>#N/A</v>
      </c>
      <c r="M6" s="101" t="e">
        <f>VLOOKUP(A6,'BSE ALL CAP'!$B$4:$Y$1038,12,)</f>
        <v>#N/A</v>
      </c>
      <c r="N6" s="101" t="e">
        <f>VLOOKUP(A6,'BSE ALL CAP'!$B$4:$Y$1038,13,)</f>
        <v>#N/A</v>
      </c>
      <c r="O6" s="101" t="e">
        <f>VLOOKUP(A6,'BSE ALL CAP'!$B$4:$Y$1038,14,)</f>
        <v>#N/A</v>
      </c>
      <c r="P6" s="101" t="e">
        <f>VLOOKUP(A6,'BSE ALL CAP'!$B$4:$Y$1038,15,)</f>
        <v>#N/A</v>
      </c>
      <c r="Q6" s="101" t="e">
        <f>VLOOKUP(A6,'BSE ALL CAP'!$B$4:$Y$1038,16,)</f>
        <v>#N/A</v>
      </c>
      <c r="R6" s="101" t="e">
        <f>VLOOKUP(A6,'BSE ALL CAP'!$B$4:$Y$1038,17,)</f>
        <v>#N/A</v>
      </c>
      <c r="S6" s="101" t="e">
        <f>VLOOKUP(A6,'BSE ALL CAP'!$B$4:$Y$1038,18,)</f>
        <v>#N/A</v>
      </c>
      <c r="T6" s="101" t="e">
        <f>VLOOKUP(A6,'BSE ALL CAP'!$B$4:$Y$1038,19,)</f>
        <v>#N/A</v>
      </c>
      <c r="U6" s="101" t="e">
        <f>VLOOKUP(A6,'BSE ALL CAP'!$B$4:$Y$1038,20,)</f>
        <v>#N/A</v>
      </c>
      <c r="V6" s="101" t="e">
        <f>VLOOKUP(A6,'BSE ALL CAP'!$B$4:$Y$1038,21,)</f>
        <v>#N/A</v>
      </c>
      <c r="W6" s="101" t="e">
        <f>VLOOKUP(A6,'BSE ALL CAP'!$B$4:$Y$1038,22,)</f>
        <v>#N/A</v>
      </c>
      <c r="X6" s="101" t="e">
        <f>VLOOKUP(A6,'BSE ALL CAP'!$B$4:$Y$1038,23,)</f>
        <v>#N/A</v>
      </c>
      <c r="Y6" s="101" t="e">
        <f>VLOOKUP(A6,'BSE ALL CAP'!$B$4:$Y$1038,24,)</f>
        <v>#N/A</v>
      </c>
    </row>
    <row r="7" spans="1:25">
      <c r="A7" s="101"/>
      <c r="B7" s="101"/>
      <c r="C7" s="101"/>
      <c r="D7" s="101"/>
      <c r="E7" s="101"/>
      <c r="F7" s="112"/>
      <c r="G7" s="95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12">
        <f ca="1">SUM(F2:F6)</f>
        <v>2624.7551509999998</v>
      </c>
      <c r="G8" s="95">
        <f ca="1">F8/$F$8</f>
        <v>1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6" xr:uid="{00000000-0009-0000-0000-0000B9000000}"/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outlinePr summaryBelow="0" summaryRight="0"/>
  </sheetPr>
  <dimension ref="A1:Y9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544449</v>
      </c>
      <c r="B2" s="98" t="s">
        <v>1403</v>
      </c>
      <c r="C2" s="174" t="str">
        <f>VLOOKUP(A2,'BSE ALL CAP'!$B$4:$Y$1034,2,)</f>
        <v>Healthcare</v>
      </c>
      <c r="D2" s="174" t="str">
        <f>VLOOKUP(A2,'BSE ALL CAP'!$B$4:$Y$1034,3,)</f>
        <v>Biotechnology</v>
      </c>
      <c r="E2" s="101">
        <f ca="1">IFERROR(__xludf.DUMMYFUNCTION("GOOGLEFINANCE(""BOM:""&amp;A2,""PRICE"")"),662.85)</f>
        <v>662.85</v>
      </c>
      <c r="F2" s="112">
        <f ca="1">IFERROR(__xludf.DUMMYFUNCTION("GOOGLEFINANCE(""BOM:""&amp;A2,""MARKETCAP"")/10000000"),37250.0520183)</f>
        <v>37250.052018299997</v>
      </c>
      <c r="G2" s="95">
        <f t="shared" ref="G2:G7" ca="1" si="0">F2/$F$9</f>
        <v>0.92029242430775204</v>
      </c>
      <c r="H2" s="101">
        <f>VLOOKUP(A2,'BSE ALL CAP'!$B$4:$Y$1038,7,)</f>
        <v>1513</v>
      </c>
      <c r="I2" s="101">
        <f>VLOOKUP(A2,'BSE ALL CAP'!$B$4:$Y$1038,8,)</f>
        <v>1361</v>
      </c>
      <c r="J2" s="101">
        <f>VLOOKUP(A2,'BSE ALL CAP'!$B$4:$Y$1038,9,)</f>
        <v>402</v>
      </c>
      <c r="K2" s="101">
        <f>VLOOKUP(A2,'BSE ALL CAP'!$B$4:$Y$1038,10,)</f>
        <v>368</v>
      </c>
      <c r="L2" s="101">
        <f>VLOOKUP(A2,'BSE ALL CAP'!$B$4:$Y$1038,11,)</f>
        <v>423</v>
      </c>
      <c r="M2" s="101">
        <f>VLOOKUP(A2,'BSE ALL CAP'!$B$4:$Y$1038,12,)</f>
        <v>497</v>
      </c>
      <c r="N2" s="101">
        <f>VLOOKUP(A2,'BSE ALL CAP'!$B$4:$Y$1038,13,)</f>
        <v>92</v>
      </c>
      <c r="O2" s="101">
        <f>VLOOKUP(A2,'BSE ALL CAP'!$B$4:$Y$1038,14,)</f>
        <v>124</v>
      </c>
      <c r="P2" s="95">
        <f>VLOOKUP(A2,'BSE ALL CAP'!$B$4:$Y$1038,15,)</f>
        <v>0.26569729015201587</v>
      </c>
      <c r="Q2" s="95">
        <f>VLOOKUP(A2,'BSE ALL CAP'!$B$4:$Y$1038,16,)</f>
        <v>0.27038941954445261</v>
      </c>
      <c r="R2" s="95">
        <f>VLOOKUP(A2,'BSE ALL CAP'!$B$4:$Y$1038,17,)</f>
        <v>-4.6921293924367391E-3</v>
      </c>
      <c r="S2" s="95">
        <f>VLOOKUP(A2,'BSE ALL CAP'!$B$4:$Y$1038,18,)</f>
        <v>0.21749408983451538</v>
      </c>
      <c r="T2" s="95">
        <f>VLOOKUP(A2,'BSE ALL CAP'!$B$4:$Y$1038,19,)</f>
        <v>0.24949698189134809</v>
      </c>
      <c r="U2" s="95">
        <f>VLOOKUP(A2,'BSE ALL CAP'!$B$4:$Y$1038,20,)</f>
        <v>-3.200289205683271E-2</v>
      </c>
      <c r="V2" s="95">
        <f>VLOOKUP(A2,'BSE ALL CAP'!$B$4:$Y$1038,21,)</f>
        <v>0.11168258633357819</v>
      </c>
      <c r="W2" s="95">
        <f>VLOOKUP(A2,'BSE ALL CAP'!$B$4:$Y$1038,22,)</f>
        <v>9.2391304347826164E-2</v>
      </c>
      <c r="X2" s="95">
        <f>VLOOKUP(A2,'BSE ALL CAP'!$B$4:$Y$1038,23,)</f>
        <v>-0.14889336016096577</v>
      </c>
      <c r="Y2" s="95">
        <f>VLOOKUP(A2,'BSE ALL CAP'!$B$4:$Y$1038,24,)</f>
        <v>-0.25806451612903225</v>
      </c>
    </row>
    <row r="3" spans="1:25" ht="15.75" customHeight="1">
      <c r="A3" s="99">
        <v>540025</v>
      </c>
      <c r="B3" s="98" t="s">
        <v>5797</v>
      </c>
      <c r="C3" s="174" t="str">
        <f>VLOOKUP(A3,'BSE ALL CAP'!$B$4:$Y$1034,2,)</f>
        <v>Healthcare</v>
      </c>
      <c r="D3" s="174" t="str">
        <f>VLOOKUP(A3,'BSE ALL CAP'!$B$4:$Y$1034,3,)</f>
        <v>Biotechnology</v>
      </c>
      <c r="E3" s="101">
        <f ca="1">IFERROR(__xludf.DUMMYFUNCTION("GOOGLEFINANCE(""BOM:""&amp;A3,""PRICE"")"),279.9)</f>
        <v>279.89999999999998</v>
      </c>
      <c r="F3" s="112">
        <f ca="1">IFERROR(__xludf.DUMMYFUNCTION("GOOGLEFINANCE(""BOM:""&amp;A3,""MARKETCAP"")/10000000"),3138.9844381)</f>
        <v>3138.9844380999998</v>
      </c>
      <c r="G3" s="95">
        <f t="shared" ca="1" si="0"/>
        <v>7.7551129243636233E-2</v>
      </c>
      <c r="H3" s="101">
        <f>VLOOKUP(A3,'BSE ALL CAP'!$B$4:$Y$1038,7,)</f>
        <v>542</v>
      </c>
      <c r="I3" s="101">
        <f>VLOOKUP(A3,'BSE ALL CAP'!$B$4:$Y$1038,8,)</f>
        <v>469</v>
      </c>
      <c r="J3" s="101">
        <f>VLOOKUP(A3,'BSE ALL CAP'!$B$4:$Y$1038,9,)</f>
        <v>128</v>
      </c>
      <c r="K3" s="101">
        <f>VLOOKUP(A3,'BSE ALL CAP'!$B$4:$Y$1038,10,)</f>
        <v>107</v>
      </c>
      <c r="L3" s="101">
        <f>VLOOKUP(A3,'BSE ALL CAP'!$B$4:$Y$1038,11,)</f>
        <v>171</v>
      </c>
      <c r="M3" s="101">
        <f>VLOOKUP(A3,'BSE ALL CAP'!$B$4:$Y$1038,12,)</f>
        <v>169</v>
      </c>
      <c r="N3" s="101">
        <f>VLOOKUP(A3,'BSE ALL CAP'!$B$4:$Y$1038,13,)</f>
        <v>43</v>
      </c>
      <c r="O3" s="101">
        <f>VLOOKUP(A3,'BSE ALL CAP'!$B$4:$Y$1038,14,)</f>
        <v>38</v>
      </c>
      <c r="P3" s="95">
        <f>VLOOKUP(A3,'BSE ALL CAP'!$B$4:$Y$1038,15,)</f>
        <v>0.23616236162361623</v>
      </c>
      <c r="Q3" s="95">
        <f>VLOOKUP(A3,'BSE ALL CAP'!$B$4:$Y$1038,16,)</f>
        <v>0.22814498933901919</v>
      </c>
      <c r="R3" s="95">
        <f>VLOOKUP(A3,'BSE ALL CAP'!$B$4:$Y$1038,17,)</f>
        <v>8.0173722845970352E-3</v>
      </c>
      <c r="S3" s="95">
        <f>VLOOKUP(A3,'BSE ALL CAP'!$B$4:$Y$1038,18,)</f>
        <v>0.25146198830409355</v>
      </c>
      <c r="T3" s="95">
        <f>VLOOKUP(A3,'BSE ALL CAP'!$B$4:$Y$1038,19,)</f>
        <v>0.22485207100591717</v>
      </c>
      <c r="U3" s="95">
        <f>VLOOKUP(A3,'BSE ALL CAP'!$B$4:$Y$1038,20,)</f>
        <v>2.6609917298176383E-2</v>
      </c>
      <c r="V3" s="95">
        <f>VLOOKUP(A3,'BSE ALL CAP'!$B$4:$Y$1038,21,)</f>
        <v>0.15565031982942434</v>
      </c>
      <c r="W3" s="95">
        <f>VLOOKUP(A3,'BSE ALL CAP'!$B$4:$Y$1038,22,)</f>
        <v>0.19626168224299056</v>
      </c>
      <c r="X3" s="95">
        <f>VLOOKUP(A3,'BSE ALL CAP'!$B$4:$Y$1038,23,)</f>
        <v>1.1834319526627279E-2</v>
      </c>
      <c r="Y3" s="95">
        <f>VLOOKUP(A3,'BSE ALL CAP'!$B$4:$Y$1038,24,)</f>
        <v>0.13157894736842102</v>
      </c>
    </row>
    <row r="4" spans="1:25" ht="15.75" customHeight="1">
      <c r="A4" s="99">
        <v>511509</v>
      </c>
      <c r="B4" s="98" t="s">
        <v>5798</v>
      </c>
      <c r="C4" s="174" t="e">
        <f>VLOOKUP(A4,'BSE ALL CAP'!$B$4:$Y$1034,2,)</f>
        <v>#N/A</v>
      </c>
      <c r="D4" s="174" t="e">
        <f>VLOOKUP(A4,'BSE ALL CAP'!$B$4:$Y$1034,3,)</f>
        <v>#N/A</v>
      </c>
      <c r="E4" s="101">
        <f ca="1">IFERROR(__xludf.DUMMYFUNCTION("GOOGLEFINANCE(""BOM:""&amp;A4,""PRICE"")"),24.6)</f>
        <v>24.6</v>
      </c>
      <c r="F4" s="112">
        <f ca="1">IFERROR(__xludf.DUMMYFUNCTION("GOOGLEFINANCE(""BOM:""&amp;A4,""MARKETCAP"")/10000000"),54.588926)</f>
        <v>54.588926000000001</v>
      </c>
      <c r="G4" s="95">
        <f t="shared" ca="1" si="0"/>
        <v>1.348663218623586E-3</v>
      </c>
      <c r="H4" s="101"/>
      <c r="I4" s="101"/>
      <c r="J4" s="101"/>
      <c r="K4" s="101"/>
      <c r="L4" s="101"/>
      <c r="M4" s="101"/>
      <c r="N4" s="101"/>
      <c r="O4" s="101"/>
      <c r="P4" s="101" t="e">
        <f>VLOOKUP(A4,'BSE ALL CAP'!$B$4:$Y$1038,15,)</f>
        <v>#N/A</v>
      </c>
      <c r="Q4" s="101" t="e">
        <f>VLOOKUP(A4,'BSE ALL CAP'!$B$4:$Y$1038,16,)</f>
        <v>#N/A</v>
      </c>
      <c r="R4" s="101" t="e">
        <f>VLOOKUP(A4,'BSE ALL CAP'!$B$4:$Y$1038,17,)</f>
        <v>#N/A</v>
      </c>
      <c r="S4" s="101" t="e">
        <f>VLOOKUP(A4,'BSE ALL CAP'!$B$4:$Y$1038,18,)</f>
        <v>#N/A</v>
      </c>
      <c r="T4" s="101" t="e">
        <f>VLOOKUP(A4,'BSE ALL CAP'!$B$4:$Y$1038,19,)</f>
        <v>#N/A</v>
      </c>
      <c r="U4" s="101" t="e">
        <f>VLOOKUP(A4,'BSE ALL CAP'!$B$4:$Y$1038,20,)</f>
        <v>#N/A</v>
      </c>
      <c r="V4" s="101" t="e">
        <f>VLOOKUP(A4,'BSE ALL CAP'!$B$4:$Y$1038,21,)</f>
        <v>#N/A</v>
      </c>
      <c r="W4" s="101" t="e">
        <f>VLOOKUP(A4,'BSE ALL CAP'!$B$4:$Y$1038,22,)</f>
        <v>#N/A</v>
      </c>
      <c r="X4" s="101" t="e">
        <f>VLOOKUP(A4,'BSE ALL CAP'!$B$4:$Y$1038,23,)</f>
        <v>#N/A</v>
      </c>
      <c r="Y4" s="101" t="e">
        <f>VLOOKUP(A4,'BSE ALL CAP'!$B$4:$Y$1038,24,)</f>
        <v>#N/A</v>
      </c>
    </row>
    <row r="5" spans="1:25" ht="15.75" customHeight="1">
      <c r="A5" s="99">
        <v>539470</v>
      </c>
      <c r="B5" s="98" t="s">
        <v>5799</v>
      </c>
      <c r="C5" s="174" t="e">
        <f>VLOOKUP(A5,'BSE ALL CAP'!$B$4:$Y$1034,2,)</f>
        <v>#N/A</v>
      </c>
      <c r="D5" s="174" t="e">
        <f>VLOOKUP(A5,'BSE ALL CAP'!$B$4:$Y$1034,3,)</f>
        <v>#N/A</v>
      </c>
      <c r="E5" s="101">
        <f ca="1">IFERROR(__xludf.DUMMYFUNCTION("GOOGLEFINANCE(""BOM:""&amp;A5,""PRICE"")"),0.62)</f>
        <v>0.62</v>
      </c>
      <c r="F5" s="112">
        <f ca="1">IFERROR(__xludf.DUMMYFUNCTION("GOOGLEFINANCE(""BOM:""&amp;A5,""MARKETCAP"")/10000000"),24.7146881)</f>
        <v>24.7146881</v>
      </c>
      <c r="G5" s="95">
        <f t="shared" ca="1" si="0"/>
        <v>6.1059620041295623E-4</v>
      </c>
      <c r="H5" s="101"/>
      <c r="I5" s="101"/>
      <c r="J5" s="101"/>
      <c r="K5" s="101"/>
      <c r="L5" s="101"/>
      <c r="M5" s="101"/>
      <c r="N5" s="101"/>
      <c r="O5" s="101"/>
      <c r="P5" s="101" t="e">
        <f>VLOOKUP(A5,'BSE ALL CAP'!$B$4:$Y$1038,15,)</f>
        <v>#N/A</v>
      </c>
      <c r="Q5" s="101" t="e">
        <f>VLOOKUP(A5,'BSE ALL CAP'!$B$4:$Y$1038,16,)</f>
        <v>#N/A</v>
      </c>
      <c r="R5" s="101" t="e">
        <f>VLOOKUP(A5,'BSE ALL CAP'!$B$4:$Y$1038,17,)</f>
        <v>#N/A</v>
      </c>
      <c r="S5" s="101" t="e">
        <f>VLOOKUP(A5,'BSE ALL CAP'!$B$4:$Y$1038,18,)</f>
        <v>#N/A</v>
      </c>
      <c r="T5" s="101" t="e">
        <f>VLOOKUP(A5,'BSE ALL CAP'!$B$4:$Y$1038,19,)</f>
        <v>#N/A</v>
      </c>
      <c r="U5" s="101" t="e">
        <f>VLOOKUP(A5,'BSE ALL CAP'!$B$4:$Y$1038,20,)</f>
        <v>#N/A</v>
      </c>
      <c r="V5" s="101" t="e">
        <f>VLOOKUP(A5,'BSE ALL CAP'!$B$4:$Y$1038,21,)</f>
        <v>#N/A</v>
      </c>
      <c r="W5" s="101" t="e">
        <f>VLOOKUP(A5,'BSE ALL CAP'!$B$4:$Y$1038,22,)</f>
        <v>#N/A</v>
      </c>
      <c r="X5" s="101" t="e">
        <f>VLOOKUP(A5,'BSE ALL CAP'!$B$4:$Y$1038,23,)</f>
        <v>#N/A</v>
      </c>
      <c r="Y5" s="101" t="e">
        <f>VLOOKUP(A5,'BSE ALL CAP'!$B$4:$Y$1038,24,)</f>
        <v>#N/A</v>
      </c>
    </row>
    <row r="6" spans="1:25" ht="15.75" customHeight="1">
      <c r="A6" s="99">
        <v>539206</v>
      </c>
      <c r="B6" s="98" t="s">
        <v>5800</v>
      </c>
      <c r="C6" s="174" t="e">
        <f>VLOOKUP(A6,'BSE ALL CAP'!$B$4:$Y$1034,2,)</f>
        <v>#N/A</v>
      </c>
      <c r="D6" s="174" t="e">
        <f>VLOOKUP(A6,'BSE ALL CAP'!$B$4:$Y$1034,3,)</f>
        <v>#N/A</v>
      </c>
      <c r="E6" s="101">
        <f ca="1">IFERROR(__xludf.DUMMYFUNCTION("GOOGLEFINANCE(""BOM:""&amp;A6,""PRICE"")"),26.13)</f>
        <v>26.13</v>
      </c>
      <c r="F6" s="112">
        <f ca="1">IFERROR(__xludf.DUMMYFUNCTION("GOOGLEFINANCE(""BOM:""&amp;A6,""MARKETCAP"")/10000000"),7.9814056)</f>
        <v>7.9814056000000004</v>
      </c>
      <c r="G6" s="95">
        <f t="shared" ca="1" si="0"/>
        <v>1.9718702957512507E-4</v>
      </c>
      <c r="H6" s="101"/>
      <c r="I6" s="101"/>
      <c r="J6" s="101"/>
      <c r="K6" s="101"/>
      <c r="L6" s="101"/>
      <c r="M6" s="101"/>
      <c r="N6" s="101"/>
      <c r="O6" s="101"/>
      <c r="P6" s="101" t="e">
        <f>VLOOKUP(A6,'BSE ALL CAP'!$B$4:$Y$1038,15,)</f>
        <v>#N/A</v>
      </c>
      <c r="Q6" s="101" t="e">
        <f>VLOOKUP(A6,'BSE ALL CAP'!$B$4:$Y$1038,16,)</f>
        <v>#N/A</v>
      </c>
      <c r="R6" s="101" t="e">
        <f>VLOOKUP(A6,'BSE ALL CAP'!$B$4:$Y$1038,17,)</f>
        <v>#N/A</v>
      </c>
      <c r="S6" s="101" t="e">
        <f>VLOOKUP(A6,'BSE ALL CAP'!$B$4:$Y$1038,18,)</f>
        <v>#N/A</v>
      </c>
      <c r="T6" s="101" t="e">
        <f>VLOOKUP(A6,'BSE ALL CAP'!$B$4:$Y$1038,19,)</f>
        <v>#N/A</v>
      </c>
      <c r="U6" s="101" t="e">
        <f>VLOOKUP(A6,'BSE ALL CAP'!$B$4:$Y$1038,20,)</f>
        <v>#N/A</v>
      </c>
      <c r="V6" s="101" t="e">
        <f>VLOOKUP(A6,'BSE ALL CAP'!$B$4:$Y$1038,21,)</f>
        <v>#N/A</v>
      </c>
      <c r="W6" s="101" t="e">
        <f>VLOOKUP(A6,'BSE ALL CAP'!$B$4:$Y$1038,22,)</f>
        <v>#N/A</v>
      </c>
      <c r="X6" s="101" t="e">
        <f>VLOOKUP(A6,'BSE ALL CAP'!$B$4:$Y$1038,23,)</f>
        <v>#N/A</v>
      </c>
      <c r="Y6" s="101" t="e">
        <f>VLOOKUP(A6,'BSE ALL CAP'!$B$4:$Y$1038,24,)</f>
        <v>#N/A</v>
      </c>
    </row>
    <row r="7" spans="1:25" ht="15.75" customHeight="1">
      <c r="A7" s="99">
        <v>514336</v>
      </c>
      <c r="B7" s="98" t="s">
        <v>5801</v>
      </c>
      <c r="C7" s="174" t="e">
        <f>VLOOKUP(A7,'BSE ALL CAP'!$B$4:$Y$1034,2,)</f>
        <v>#N/A</v>
      </c>
      <c r="D7" s="174" t="e">
        <f>VLOOKUP(A7,'BSE ALL CAP'!$B$4:$Y$1034,3,)</f>
        <v>#N/A</v>
      </c>
      <c r="E7" s="101">
        <f ca="1">IFERROR(__xludf.DUMMYFUNCTION("GOOGLEFINANCE(""BOM:""&amp;A7,""PRICE"")"),92.15)</f>
        <v>92.15</v>
      </c>
      <c r="F7" s="101"/>
      <c r="G7" s="95">
        <f t="shared" ca="1" si="0"/>
        <v>0</v>
      </c>
      <c r="H7" s="101"/>
      <c r="I7" s="101"/>
      <c r="J7" s="101"/>
      <c r="K7" s="101"/>
      <c r="L7" s="101"/>
      <c r="M7" s="101"/>
      <c r="N7" s="101"/>
      <c r="O7" s="101"/>
      <c r="P7" s="101" t="e">
        <f>VLOOKUP(A7,'BSE ALL CAP'!$B$4:$Y$1038,15,)</f>
        <v>#N/A</v>
      </c>
      <c r="Q7" s="101" t="e">
        <f>VLOOKUP(A7,'BSE ALL CAP'!$B$4:$Y$1038,16,)</f>
        <v>#N/A</v>
      </c>
      <c r="R7" s="101" t="e">
        <f>VLOOKUP(A7,'BSE ALL CAP'!$B$4:$Y$1038,17,)</f>
        <v>#N/A</v>
      </c>
      <c r="S7" s="101" t="e">
        <f>VLOOKUP(A7,'BSE ALL CAP'!$B$4:$Y$1038,18,)</f>
        <v>#N/A</v>
      </c>
      <c r="T7" s="101" t="e">
        <f>VLOOKUP(A7,'BSE ALL CAP'!$B$4:$Y$1038,19,)</f>
        <v>#N/A</v>
      </c>
      <c r="U7" s="101" t="e">
        <f>VLOOKUP(A7,'BSE ALL CAP'!$B$4:$Y$1038,20,)</f>
        <v>#N/A</v>
      </c>
      <c r="V7" s="101" t="e">
        <f>VLOOKUP(A7,'BSE ALL CAP'!$B$4:$Y$1038,21,)</f>
        <v>#N/A</v>
      </c>
      <c r="W7" s="101" t="e">
        <f>VLOOKUP(A7,'BSE ALL CAP'!$B$4:$Y$1038,22,)</f>
        <v>#N/A</v>
      </c>
      <c r="X7" s="101" t="e">
        <f>VLOOKUP(A7,'BSE ALL CAP'!$B$4:$Y$1038,23,)</f>
        <v>#N/A</v>
      </c>
      <c r="Y7" s="101" t="e">
        <f>VLOOKUP(A7,'BSE ALL CAP'!$B$4:$Y$1038,24,)</f>
        <v>#N/A</v>
      </c>
    </row>
    <row r="8" spans="1:25">
      <c r="A8" s="101"/>
      <c r="B8" s="101"/>
      <c r="C8" s="101"/>
      <c r="D8" s="101"/>
      <c r="E8" s="101"/>
      <c r="F8" s="101"/>
      <c r="G8" s="95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A9" s="101"/>
      <c r="B9" s="101"/>
      <c r="C9" s="101"/>
      <c r="D9" s="101"/>
      <c r="E9" s="101"/>
      <c r="F9" s="112">
        <f ca="1">SUM(F2:F7)</f>
        <v>40476.321476099998</v>
      </c>
      <c r="G9" s="95">
        <f ca="1">F9/$F$9</f>
        <v>1</v>
      </c>
      <c r="H9" s="101">
        <f t="shared" ref="H9:O9" si="1">SUM(H2:H7)</f>
        <v>2055</v>
      </c>
      <c r="I9" s="101">
        <f t="shared" si="1"/>
        <v>1830</v>
      </c>
      <c r="J9" s="101">
        <f t="shared" si="1"/>
        <v>530</v>
      </c>
      <c r="K9" s="101">
        <f t="shared" si="1"/>
        <v>475</v>
      </c>
      <c r="L9" s="101">
        <f t="shared" si="1"/>
        <v>594</v>
      </c>
      <c r="M9" s="101">
        <f t="shared" si="1"/>
        <v>666</v>
      </c>
      <c r="N9" s="101">
        <f t="shared" si="1"/>
        <v>135</v>
      </c>
      <c r="O9" s="101">
        <f t="shared" si="1"/>
        <v>162</v>
      </c>
      <c r="P9" s="13">
        <f t="shared" ref="P9:Q9" si="2">J9/H9</f>
        <v>0.25790754257907544</v>
      </c>
      <c r="Q9" s="13">
        <f t="shared" si="2"/>
        <v>0.25956284153005466</v>
      </c>
      <c r="R9" s="13">
        <f>P9-Q9</f>
        <v>-1.6552989509792115E-3</v>
      </c>
      <c r="S9" s="13">
        <f t="shared" ref="S9:T9" si="3">N9/L9</f>
        <v>0.22727272727272727</v>
      </c>
      <c r="T9" s="13">
        <f t="shared" si="3"/>
        <v>0.24324324324324326</v>
      </c>
      <c r="U9" s="13">
        <f>S9-T9</f>
        <v>-1.5970515970515992E-2</v>
      </c>
      <c r="V9" s="13">
        <f>(H9/I9)-1</f>
        <v>0.12295081967213117</v>
      </c>
      <c r="W9" s="13">
        <f>(J9/K9)-1</f>
        <v>0.11578947368421044</v>
      </c>
      <c r="X9" s="13">
        <f>(L9/M9)-1</f>
        <v>-0.10810810810810811</v>
      </c>
      <c r="Y9" s="13">
        <f>(N9/O9)-1</f>
        <v>-0.16666666666666663</v>
      </c>
    </row>
  </sheetData>
  <autoFilter ref="A1:Y7" xr:uid="{00000000-0009-0000-0000-0000BA000000}"/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outlinePr summaryBelow="0" summaryRight="0"/>
  </sheetPr>
  <dimension ref="A1:Y3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532432</v>
      </c>
      <c r="B2" s="98" t="s">
        <v>5802</v>
      </c>
      <c r="C2" s="174" t="str">
        <f>VLOOKUP(A2,'BSE ALL CAP'!$B$4:$Y$1034,2,)</f>
        <v>Fast Moving Consumer Goods</v>
      </c>
      <c r="D2" s="174" t="str">
        <f>VLOOKUP(A2,'BSE ALL CAP'!$B$4:$Y$1034,3,)</f>
        <v>Breweries &amp; Distilleries</v>
      </c>
      <c r="E2" s="101">
        <f ca="1">IFERROR(__xludf.DUMMYFUNCTION("GOOGLEFINANCE(""BOM:""&amp;A2,""PRICE"")"),1233.35)</f>
        <v>1233.3499999999999</v>
      </c>
      <c r="F2" s="112">
        <f ca="1">IFERROR(__xludf.DUMMYFUNCTION("GOOGLEFINANCE(""BOM:""&amp;A2,""MARKETCAP"")/10000000"),89728.9999425)</f>
        <v>89728.999942499999</v>
      </c>
      <c r="G2" s="95">
        <f t="shared" ref="G2:G28" ca="1" si="0">F2/$F$30</f>
        <v>0.42321323648711767</v>
      </c>
      <c r="H2" s="101">
        <f>VLOOKUP(A2,'BSE ALL CAP'!$B$4:$Y$1038,7,)</f>
        <v>21436</v>
      </c>
      <c r="I2" s="101">
        <f>VLOOKUP(A2,'BSE ALL CAP'!$B$4:$Y$1038,8,)</f>
        <v>20642</v>
      </c>
      <c r="J2" s="101">
        <f>VLOOKUP(A2,'BSE ALL CAP'!$B$4:$Y$1038,9,)</f>
        <v>1299</v>
      </c>
      <c r="K2" s="101">
        <f>VLOOKUP(A2,'BSE ALL CAP'!$B$4:$Y$1038,10,)</f>
        <v>1161</v>
      </c>
      <c r="L2" s="101">
        <f>VLOOKUP(A2,'BSE ALL CAP'!$B$4:$Y$1038,11,)</f>
        <v>7942</v>
      </c>
      <c r="M2" s="101">
        <f>VLOOKUP(A2,'BSE ALL CAP'!$B$4:$Y$1038,12,)</f>
        <v>7732</v>
      </c>
      <c r="N2" s="101">
        <f>VLOOKUP(A2,'BSE ALL CAP'!$B$4:$Y$1038,13,)</f>
        <v>418</v>
      </c>
      <c r="O2" s="101">
        <f>VLOOKUP(A2,'BSE ALL CAP'!$B$4:$Y$1038,14,)</f>
        <v>335</v>
      </c>
      <c r="P2" s="95">
        <f>VLOOKUP(A2,'BSE ALL CAP'!$B$4:$Y$1038,15,)</f>
        <v>6.0598992349318904E-2</v>
      </c>
      <c r="Q2" s="95">
        <f>VLOOKUP(A2,'BSE ALL CAP'!$B$4:$Y$1038,16,)</f>
        <v>5.624454994671059E-2</v>
      </c>
      <c r="R2" s="95">
        <f>VLOOKUP(A2,'BSE ALL CAP'!$B$4:$Y$1038,17,)</f>
        <v>4.3544424026083148E-3</v>
      </c>
      <c r="S2" s="95">
        <f>VLOOKUP(A2,'BSE ALL CAP'!$B$4:$Y$1038,18,)</f>
        <v>5.2631578947368418E-2</v>
      </c>
      <c r="T2" s="95">
        <f>VLOOKUP(A2,'BSE ALL CAP'!$B$4:$Y$1038,19,)</f>
        <v>4.3326435592343504E-2</v>
      </c>
      <c r="U2" s="95">
        <f>VLOOKUP(A2,'BSE ALL CAP'!$B$4:$Y$1038,20,)</f>
        <v>9.3051433550249141E-3</v>
      </c>
      <c r="V2" s="95">
        <f>VLOOKUP(A2,'BSE ALL CAP'!$B$4:$Y$1038,21,)</f>
        <v>3.8465264993702064E-2</v>
      </c>
      <c r="W2" s="95">
        <f>VLOOKUP(A2,'BSE ALL CAP'!$B$4:$Y$1038,22,)</f>
        <v>0.1188630490956073</v>
      </c>
      <c r="X2" s="95">
        <f>VLOOKUP(A2,'BSE ALL CAP'!$B$4:$Y$1038,23,)</f>
        <v>2.7159855147439238E-2</v>
      </c>
      <c r="Y2" s="95">
        <f>VLOOKUP(A2,'BSE ALL CAP'!$B$4:$Y$1038,24,)</f>
        <v>0.24776119402985075</v>
      </c>
    </row>
    <row r="3" spans="1:25" ht="15.75" customHeight="1">
      <c r="A3" s="99">
        <v>532478</v>
      </c>
      <c r="B3" s="98" t="s">
        <v>5803</v>
      </c>
      <c r="C3" s="174" t="str">
        <f>VLOOKUP(A3,'BSE ALL CAP'!$B$4:$Y$1034,2,)</f>
        <v>Fast Moving Consumer Goods</v>
      </c>
      <c r="D3" s="174" t="str">
        <f>VLOOKUP(A3,'BSE ALL CAP'!$B$4:$Y$1034,3,)</f>
        <v>Breweries &amp; Distilleries</v>
      </c>
      <c r="E3" s="101">
        <f ca="1">IFERROR(__xludf.DUMMYFUNCTION("GOOGLEFINANCE(""BOM:""&amp;A3,""PRICE"")"),1472.8)</f>
        <v>1472.8</v>
      </c>
      <c r="F3" s="112">
        <f ca="1">IFERROR(__xludf.DUMMYFUNCTION("GOOGLEFINANCE(""BOM:""&amp;A3,""MARKETCAP"")/10000000"),38960.091485)</f>
        <v>38960.091484999997</v>
      </c>
      <c r="G3" s="95">
        <f t="shared" ca="1" si="0"/>
        <v>0.18375805393760247</v>
      </c>
      <c r="H3" s="101">
        <f>VLOOKUP(A3,'BSE ALL CAP'!$B$4:$Y$1038,7,)</f>
        <v>13055</v>
      </c>
      <c r="I3" s="101">
        <f>VLOOKUP(A3,'BSE ALL CAP'!$B$4:$Y$1038,8,)</f>
        <v>14981</v>
      </c>
      <c r="J3" s="101">
        <f>VLOOKUP(A3,'BSE ALL CAP'!$B$4:$Y$1038,9,)</f>
        <v>311</v>
      </c>
      <c r="K3" s="101">
        <f>VLOOKUP(A3,'BSE ALL CAP'!$B$4:$Y$1038,10,)</f>
        <v>344</v>
      </c>
      <c r="L3" s="101">
        <f>VLOOKUP(A3,'BSE ALL CAP'!$B$4:$Y$1038,11,)</f>
        <v>3936</v>
      </c>
      <c r="M3" s="101">
        <f>VLOOKUP(A3,'BSE ALL CAP'!$B$4:$Y$1038,12,)</f>
        <v>4426</v>
      </c>
      <c r="N3" s="101">
        <f>VLOOKUP(A3,'BSE ALL CAP'!$B$4:$Y$1038,13,)</f>
        <v>81</v>
      </c>
      <c r="O3" s="101">
        <f>VLOOKUP(A3,'BSE ALL CAP'!$B$4:$Y$1038,14,)</f>
        <v>38</v>
      </c>
      <c r="P3" s="95">
        <f>VLOOKUP(A3,'BSE ALL CAP'!$B$4:$Y$1038,15,)</f>
        <v>2.3822290310225966E-2</v>
      </c>
      <c r="Q3" s="95">
        <f>VLOOKUP(A3,'BSE ALL CAP'!$B$4:$Y$1038,16,)</f>
        <v>2.2962419064147921E-2</v>
      </c>
      <c r="R3" s="95">
        <f>VLOOKUP(A3,'BSE ALL CAP'!$B$4:$Y$1038,17,)</f>
        <v>8.5987124607804499E-4</v>
      </c>
      <c r="S3" s="95">
        <f>VLOOKUP(A3,'BSE ALL CAP'!$B$4:$Y$1038,18,)</f>
        <v>2.0579268292682928E-2</v>
      </c>
      <c r="T3" s="95">
        <f>VLOOKUP(A3,'BSE ALL CAP'!$B$4:$Y$1038,19,)</f>
        <v>8.5856303660189794E-3</v>
      </c>
      <c r="U3" s="95">
        <f>VLOOKUP(A3,'BSE ALL CAP'!$B$4:$Y$1038,20,)</f>
        <v>1.1993637926663948E-2</v>
      </c>
      <c r="V3" s="95">
        <f>VLOOKUP(A3,'BSE ALL CAP'!$B$4:$Y$1038,21,)</f>
        <v>-0.12856284627194448</v>
      </c>
      <c r="W3" s="95">
        <f>VLOOKUP(A3,'BSE ALL CAP'!$B$4:$Y$1038,22,)</f>
        <v>-9.5930232558139483E-2</v>
      </c>
      <c r="X3" s="95">
        <f>VLOOKUP(A3,'BSE ALL CAP'!$B$4:$Y$1038,23,)</f>
        <v>-0.11070944419340267</v>
      </c>
      <c r="Y3" s="95">
        <f>VLOOKUP(A3,'BSE ALL CAP'!$B$4:$Y$1038,24,)</f>
        <v>1.1315789473684212</v>
      </c>
    </row>
    <row r="4" spans="1:25" ht="15.75" customHeight="1">
      <c r="A4" s="99">
        <v>532497</v>
      </c>
      <c r="B4" s="98" t="s">
        <v>5804</v>
      </c>
      <c r="C4" s="174" t="str">
        <f>VLOOKUP(A4,'BSE ALL CAP'!$B$4:$Y$1034,2,)</f>
        <v>Fast Moving Consumer Goods</v>
      </c>
      <c r="D4" s="174" t="str">
        <f>VLOOKUP(A4,'BSE ALL CAP'!$B$4:$Y$1034,3,)</f>
        <v>Breweries &amp; Distilleries</v>
      </c>
      <c r="E4" s="101">
        <f ca="1">IFERROR(__xludf.DUMMYFUNCTION("GOOGLEFINANCE(""BOM:""&amp;A4,""PRICE"")"),2686.4)</f>
        <v>2686.4</v>
      </c>
      <c r="F4" s="112">
        <f ca="1">IFERROR(__xludf.DUMMYFUNCTION("GOOGLEFINANCE(""BOM:""&amp;A4,""MARKETCAP"")/10000000"),35938.19636)</f>
        <v>35938.196360000002</v>
      </c>
      <c r="G4" s="95">
        <f t="shared" ca="1" si="0"/>
        <v>0.16950506976308322</v>
      </c>
      <c r="H4" s="101">
        <f>VLOOKUP(A4,'BSE ALL CAP'!$B$4:$Y$1038,7,)</f>
        <v>15794</v>
      </c>
      <c r="I4" s="101">
        <f>VLOOKUP(A4,'BSE ALL CAP'!$B$4:$Y$1038,8,)</f>
        <v>12613</v>
      </c>
      <c r="J4" s="101">
        <f>VLOOKUP(A4,'BSE ALL CAP'!$B$4:$Y$1038,9,)</f>
        <v>425</v>
      </c>
      <c r="K4" s="101">
        <f>VLOOKUP(A4,'BSE ALL CAP'!$B$4:$Y$1038,10,)</f>
        <v>253</v>
      </c>
      <c r="L4" s="101">
        <f>VLOOKUP(A4,'BSE ALL CAP'!$B$4:$Y$1038,11,)</f>
        <v>5423</v>
      </c>
      <c r="M4" s="101">
        <f>VLOOKUP(A4,'BSE ALL CAP'!$B$4:$Y$1038,12,)</f>
        <v>4440</v>
      </c>
      <c r="N4" s="101">
        <f>VLOOKUP(A4,'BSE ALL CAP'!$B$4:$Y$1038,13,)</f>
        <v>154</v>
      </c>
      <c r="O4" s="101">
        <f>VLOOKUP(A4,'BSE ALL CAP'!$B$4:$Y$1038,14,)</f>
        <v>95</v>
      </c>
      <c r="P4" s="95">
        <f>VLOOKUP(A4,'BSE ALL CAP'!$B$4:$Y$1038,15,)</f>
        <v>2.6908952766873495E-2</v>
      </c>
      <c r="Q4" s="95">
        <f>VLOOKUP(A4,'BSE ALL CAP'!$B$4:$Y$1038,16,)</f>
        <v>2.0058669626575754E-2</v>
      </c>
      <c r="R4" s="95">
        <f>VLOOKUP(A4,'BSE ALL CAP'!$B$4:$Y$1038,17,)</f>
        <v>6.8502831402977409E-3</v>
      </c>
      <c r="S4" s="95">
        <f>VLOOKUP(A4,'BSE ALL CAP'!$B$4:$Y$1038,18,)</f>
        <v>2.8397565922920892E-2</v>
      </c>
      <c r="T4" s="95">
        <f>VLOOKUP(A4,'BSE ALL CAP'!$B$4:$Y$1038,19,)</f>
        <v>2.1396396396396396E-2</v>
      </c>
      <c r="U4" s="95">
        <f>VLOOKUP(A4,'BSE ALL CAP'!$B$4:$Y$1038,20,)</f>
        <v>7.0011695265244957E-3</v>
      </c>
      <c r="V4" s="95">
        <f>VLOOKUP(A4,'BSE ALL CAP'!$B$4:$Y$1038,21,)</f>
        <v>0.25220011099659079</v>
      </c>
      <c r="W4" s="95">
        <f>VLOOKUP(A4,'BSE ALL CAP'!$B$4:$Y$1038,22,)</f>
        <v>0.67984189723320165</v>
      </c>
      <c r="X4" s="95">
        <f>VLOOKUP(A4,'BSE ALL CAP'!$B$4:$Y$1038,23,)</f>
        <v>0.2213963963963963</v>
      </c>
      <c r="Y4" s="95">
        <f>VLOOKUP(A4,'BSE ALL CAP'!$B$4:$Y$1038,24,)</f>
        <v>0.6210526315789473</v>
      </c>
    </row>
    <row r="5" spans="1:25" ht="15.75" customHeight="1">
      <c r="A5" s="99">
        <v>544203</v>
      </c>
      <c r="B5" s="98" t="s">
        <v>5805</v>
      </c>
      <c r="C5" s="174" t="str">
        <f>VLOOKUP(A5,'BSE ALL CAP'!$B$4:$Y$1034,2,)</f>
        <v>Fast Moving Consumer Goods</v>
      </c>
      <c r="D5" s="174" t="str">
        <f>VLOOKUP(A5,'BSE ALL CAP'!$B$4:$Y$1034,3,)</f>
        <v>Breweries &amp; Distilleries</v>
      </c>
      <c r="E5" s="101">
        <f ca="1">IFERROR(__xludf.DUMMYFUNCTION("GOOGLEFINANCE(""BOM:""&amp;A5,""PRICE"")"),422.4)</f>
        <v>422.4</v>
      </c>
      <c r="F5" s="112">
        <f ca="1">IFERROR(__xludf.DUMMYFUNCTION("GOOGLEFINANCE(""BOM:""&amp;A5,""MARKETCAP"")/10000000"),11826.1384585)</f>
        <v>11826.1384585</v>
      </c>
      <c r="G5" s="95">
        <f t="shared" ca="1" si="0"/>
        <v>5.5778826637696177E-2</v>
      </c>
      <c r="H5" s="101">
        <f>VLOOKUP(A5,'BSE ALL CAP'!$B$4:$Y$1038,7,)</f>
        <v>5662</v>
      </c>
      <c r="I5" s="101">
        <f>VLOOKUP(A5,'BSE ALL CAP'!$B$4:$Y$1038,8,)</f>
        <v>6138</v>
      </c>
      <c r="J5" s="101">
        <f>VLOOKUP(A5,'BSE ALL CAP'!$B$4:$Y$1038,9,)</f>
        <v>182</v>
      </c>
      <c r="K5" s="101">
        <f>VLOOKUP(A5,'BSE ALL CAP'!$B$4:$Y$1038,10,)</f>
        <v>116</v>
      </c>
      <c r="L5" s="101">
        <f>VLOOKUP(A5,'BSE ALL CAP'!$B$4:$Y$1038,11,)</f>
        <v>1933</v>
      </c>
      <c r="M5" s="101">
        <f>VLOOKUP(A5,'BSE ALL CAP'!$B$4:$Y$1038,12,)</f>
        <v>2342</v>
      </c>
      <c r="N5" s="101">
        <f>VLOOKUP(A5,'BSE ALL CAP'!$B$4:$Y$1038,13,)</f>
        <v>63</v>
      </c>
      <c r="O5" s="101">
        <f>VLOOKUP(A5,'BSE ALL CAP'!$B$4:$Y$1038,14,)</f>
        <v>57</v>
      </c>
      <c r="P5" s="95">
        <f>VLOOKUP(A5,'BSE ALL CAP'!$B$4:$Y$1038,15,)</f>
        <v>3.2144118685976684E-2</v>
      </c>
      <c r="Q5" s="95">
        <f>VLOOKUP(A5,'BSE ALL CAP'!$B$4:$Y$1038,16,)</f>
        <v>1.8898664059954384E-2</v>
      </c>
      <c r="R5" s="95">
        <f>VLOOKUP(A5,'BSE ALL CAP'!$B$4:$Y$1038,17,)</f>
        <v>1.32454546260223E-2</v>
      </c>
      <c r="S5" s="95">
        <f>VLOOKUP(A5,'BSE ALL CAP'!$B$4:$Y$1038,18,)</f>
        <v>3.2591826176927054E-2</v>
      </c>
      <c r="T5" s="95">
        <f>VLOOKUP(A5,'BSE ALL CAP'!$B$4:$Y$1038,19,)</f>
        <v>2.4338172502134929E-2</v>
      </c>
      <c r="U5" s="95">
        <f>VLOOKUP(A5,'BSE ALL CAP'!$B$4:$Y$1038,20,)</f>
        <v>8.2536536747921246E-3</v>
      </c>
      <c r="V5" s="95">
        <f>VLOOKUP(A5,'BSE ALL CAP'!$B$4:$Y$1038,21,)</f>
        <v>-7.7549690452916265E-2</v>
      </c>
      <c r="W5" s="95">
        <f>VLOOKUP(A5,'BSE ALL CAP'!$B$4:$Y$1038,22,)</f>
        <v>0.56896551724137923</v>
      </c>
      <c r="X5" s="95">
        <f>VLOOKUP(A5,'BSE ALL CAP'!$B$4:$Y$1038,23,)</f>
        <v>-0.17463706233988041</v>
      </c>
      <c r="Y5" s="95">
        <f>VLOOKUP(A5,'BSE ALL CAP'!$B$4:$Y$1038,24,)</f>
        <v>0.10526315789473695</v>
      </c>
    </row>
    <row r="6" spans="1:25" ht="15.75" customHeight="1">
      <c r="A6" s="99">
        <v>507205</v>
      </c>
      <c r="B6" s="98" t="s">
        <v>5806</v>
      </c>
      <c r="C6" s="174" t="str">
        <f>VLOOKUP(A6,'BSE ALL CAP'!$B$4:$Y$1034,2,)</f>
        <v>Fast Moving Consumer Goods</v>
      </c>
      <c r="D6" s="174" t="str">
        <f>VLOOKUP(A6,'BSE ALL CAP'!$B$4:$Y$1034,3,)</f>
        <v>Breweries &amp; Distilleries</v>
      </c>
      <c r="E6" s="101">
        <f ca="1">IFERROR(__xludf.DUMMYFUNCTION("GOOGLEFINANCE(""BOM:""&amp;A6,""PRICE"")"),421)</f>
        <v>421</v>
      </c>
      <c r="F6" s="112">
        <f ca="1">IFERROR(__xludf.DUMMYFUNCTION("GOOGLEFINANCE(""BOM:""&amp;A6,""MARKETCAP"")/10000000"),10410.8343977)</f>
        <v>10410.8343977</v>
      </c>
      <c r="G6" s="95">
        <f t="shared" ca="1" si="0"/>
        <v>4.9103443956864314E-2</v>
      </c>
      <c r="H6" s="101">
        <f>VLOOKUP(A6,'BSE ALL CAP'!$B$4:$Y$1038,7,)</f>
        <v>3232</v>
      </c>
      <c r="I6" s="101">
        <f>VLOOKUP(A6,'BSE ALL CAP'!$B$4:$Y$1038,8,)</f>
        <v>2293</v>
      </c>
      <c r="J6" s="101">
        <f>VLOOKUP(A6,'BSE ALL CAP'!$B$4:$Y$1038,9,)</f>
        <v>35</v>
      </c>
      <c r="K6" s="101">
        <f>VLOOKUP(A6,'BSE ALL CAP'!$B$4:$Y$1038,10,)</f>
        <v>152</v>
      </c>
      <c r="L6" s="101">
        <f>VLOOKUP(A6,'BSE ALL CAP'!$B$4:$Y$1038,11,)</f>
        <v>1453</v>
      </c>
      <c r="M6" s="101">
        <f>VLOOKUP(A6,'BSE ALL CAP'!$B$4:$Y$1038,12,)</f>
        <v>805</v>
      </c>
      <c r="N6" s="101">
        <f>VLOOKUP(A6,'BSE ALL CAP'!$B$4:$Y$1038,13,)</f>
        <v>-105</v>
      </c>
      <c r="O6" s="101">
        <f>VLOOKUP(A6,'BSE ALL CAP'!$B$4:$Y$1038,14,)</f>
        <v>53</v>
      </c>
      <c r="P6" s="95">
        <f>VLOOKUP(A6,'BSE ALL CAP'!$B$4:$Y$1038,15,)</f>
        <v>1.0829207920792078E-2</v>
      </c>
      <c r="Q6" s="95">
        <f>VLOOKUP(A6,'BSE ALL CAP'!$B$4:$Y$1038,16,)</f>
        <v>6.628870475359791E-2</v>
      </c>
      <c r="R6" s="95">
        <f>VLOOKUP(A6,'BSE ALL CAP'!$B$4:$Y$1038,17,)</f>
        <v>-5.5459496832805835E-2</v>
      </c>
      <c r="S6" s="95">
        <f>VLOOKUP(A6,'BSE ALL CAP'!$B$4:$Y$1038,18,)</f>
        <v>-7.2264280798348249E-2</v>
      </c>
      <c r="T6" s="95">
        <f>VLOOKUP(A6,'BSE ALL CAP'!$B$4:$Y$1038,19,)</f>
        <v>6.5838509316770183E-2</v>
      </c>
      <c r="U6" s="95">
        <f>VLOOKUP(A6,'BSE ALL CAP'!$B$4:$Y$1038,20,)</f>
        <v>-0.13810279011511845</v>
      </c>
      <c r="V6" s="95">
        <f>VLOOKUP(A6,'BSE ALL CAP'!$B$4:$Y$1038,21,)</f>
        <v>0.40950719581334494</v>
      </c>
      <c r="W6" s="95">
        <f>VLOOKUP(A6,'BSE ALL CAP'!$B$4:$Y$1038,22,)</f>
        <v>-0.76973684210526316</v>
      </c>
      <c r="X6" s="95">
        <f>VLOOKUP(A6,'BSE ALL CAP'!$B$4:$Y$1038,23,)</f>
        <v>0.8049689440993788</v>
      </c>
      <c r="Y6" s="95">
        <f>VLOOKUP(A6,'BSE ALL CAP'!$B$4:$Y$1038,24,)</f>
        <v>-2.9811320754716979</v>
      </c>
    </row>
    <row r="7" spans="1:25" ht="15.75" customHeight="1">
      <c r="A7" s="99">
        <v>500201</v>
      </c>
      <c r="B7" s="98" t="s">
        <v>5807</v>
      </c>
      <c r="C7" s="174" t="str">
        <f>VLOOKUP(A7,'BSE ALL CAP'!$B$4:$Y$1034,2,)</f>
        <v>Fast Moving Consumer Goods</v>
      </c>
      <c r="D7" s="174" t="str">
        <f>VLOOKUP(A7,'BSE ALL CAP'!$B$4:$Y$1034,3,)</f>
        <v>Breweries &amp; Distilleries</v>
      </c>
      <c r="E7" s="101">
        <f ca="1">IFERROR(__xludf.DUMMYFUNCTION("GOOGLEFINANCE(""BOM:""&amp;A7,""PRICE"")"),902.6)</f>
        <v>902.6</v>
      </c>
      <c r="F7" s="112">
        <f ca="1">IFERROR(__xludf.DUMMYFUNCTION("GOOGLEFINANCE(""BOM:""&amp;A7,""MARKETCAP"")/10000000"),6047.154369)</f>
        <v>6047.1543689999999</v>
      </c>
      <c r="G7" s="95">
        <f t="shared" ca="1" si="0"/>
        <v>2.8521835456560413E-2</v>
      </c>
      <c r="H7" s="101">
        <f>VLOOKUP(A7,'BSE ALL CAP'!$B$4:$Y$1038,7,)</f>
        <v>7463</v>
      </c>
      <c r="I7" s="101">
        <f>VLOOKUP(A7,'BSE ALL CAP'!$B$4:$Y$1038,8,)</f>
        <v>6850</v>
      </c>
      <c r="J7" s="101">
        <f>VLOOKUP(A7,'BSE ALL CAP'!$B$4:$Y$1038,9,)</f>
        <v>206</v>
      </c>
      <c r="K7" s="101">
        <f>VLOOKUP(A7,'BSE ALL CAP'!$B$4:$Y$1038,10,)</f>
        <v>167</v>
      </c>
      <c r="L7" s="101">
        <f>VLOOKUP(A7,'BSE ALL CAP'!$B$4:$Y$1038,11,)</f>
        <v>2551</v>
      </c>
      <c r="M7" s="101">
        <f>VLOOKUP(A7,'BSE ALL CAP'!$B$4:$Y$1038,12,)</f>
        <v>2424</v>
      </c>
      <c r="N7" s="101">
        <f>VLOOKUP(A7,'BSE ALL CAP'!$B$4:$Y$1038,13,)</f>
        <v>68</v>
      </c>
      <c r="O7" s="101">
        <f>VLOOKUP(A7,'BSE ALL CAP'!$B$4:$Y$1038,14,)</f>
        <v>57</v>
      </c>
      <c r="P7" s="95">
        <f>VLOOKUP(A7,'BSE ALL CAP'!$B$4:$Y$1038,15,)</f>
        <v>2.760284068069141E-2</v>
      </c>
      <c r="Q7" s="95">
        <f>VLOOKUP(A7,'BSE ALL CAP'!$B$4:$Y$1038,16,)</f>
        <v>2.437956204379562E-2</v>
      </c>
      <c r="R7" s="95">
        <f>VLOOKUP(A7,'BSE ALL CAP'!$B$4:$Y$1038,17,)</f>
        <v>3.2232786368957891E-3</v>
      </c>
      <c r="S7" s="95">
        <f>VLOOKUP(A7,'BSE ALL CAP'!$B$4:$Y$1038,18,)</f>
        <v>2.6656213249705997E-2</v>
      </c>
      <c r="T7" s="95">
        <f>VLOOKUP(A7,'BSE ALL CAP'!$B$4:$Y$1038,19,)</f>
        <v>2.3514851485148515E-2</v>
      </c>
      <c r="U7" s="95">
        <f>VLOOKUP(A7,'BSE ALL CAP'!$B$4:$Y$1038,20,)</f>
        <v>3.1413617645574821E-3</v>
      </c>
      <c r="V7" s="95">
        <f>VLOOKUP(A7,'BSE ALL CAP'!$B$4:$Y$1038,21,)</f>
        <v>8.948905109489047E-2</v>
      </c>
      <c r="W7" s="95">
        <f>VLOOKUP(A7,'BSE ALL CAP'!$B$4:$Y$1038,22,)</f>
        <v>0.23353293413173648</v>
      </c>
      <c r="X7" s="95">
        <f>VLOOKUP(A7,'BSE ALL CAP'!$B$4:$Y$1038,23,)</f>
        <v>5.2392739273927402E-2</v>
      </c>
      <c r="Y7" s="95">
        <f>VLOOKUP(A7,'BSE ALL CAP'!$B$4:$Y$1038,24,)</f>
        <v>0.19298245614035081</v>
      </c>
    </row>
    <row r="8" spans="1:25" ht="15.75" customHeight="1">
      <c r="A8" s="99">
        <v>530305</v>
      </c>
      <c r="B8" s="98" t="s">
        <v>5808</v>
      </c>
      <c r="C8" s="174" t="str">
        <f>VLOOKUP(A8,'BSE ALL CAP'!$B$4:$Y$1034,2,)</f>
        <v>Fast Moving Consumer Goods</v>
      </c>
      <c r="D8" s="174" t="str">
        <f>VLOOKUP(A8,'BSE ALL CAP'!$B$4:$Y$1034,3,)</f>
        <v>Breweries &amp; Distilleries</v>
      </c>
      <c r="E8" s="101">
        <f ca="1">IFERROR(__xludf.DUMMYFUNCTION("GOOGLEFINANCE(""BOM:""&amp;A8,""PRICE"")"),532.95)</f>
        <v>532.95000000000005</v>
      </c>
      <c r="F8" s="112">
        <f ca="1">IFERROR(__xludf.DUMMYFUNCTION("GOOGLEFINANCE(""BOM:""&amp;A8,""MARKETCAP"")/10000000"),5255.3402963)</f>
        <v>5255.3402962999999</v>
      </c>
      <c r="G8" s="95">
        <f t="shared" ca="1" si="0"/>
        <v>2.4787187832958735E-2</v>
      </c>
      <c r="H8" s="101">
        <f>VLOOKUP(A8,'BSE ALL CAP'!$B$4:$Y$1038,7,)</f>
        <v>775</v>
      </c>
      <c r="I8" s="101">
        <f>VLOOKUP(A8,'BSE ALL CAP'!$B$4:$Y$1038,8,)</f>
        <v>614</v>
      </c>
      <c r="J8" s="101">
        <f>VLOOKUP(A8,'BSE ALL CAP'!$B$4:$Y$1038,9,)</f>
        <v>92</v>
      </c>
      <c r="K8" s="101">
        <f>VLOOKUP(A8,'BSE ALL CAP'!$B$4:$Y$1038,10,)</f>
        <v>62</v>
      </c>
      <c r="L8" s="101">
        <f>VLOOKUP(A8,'BSE ALL CAP'!$B$4:$Y$1038,11,)</f>
        <v>312</v>
      </c>
      <c r="M8" s="101">
        <f>VLOOKUP(A8,'BSE ALL CAP'!$B$4:$Y$1038,12,)</f>
        <v>203</v>
      </c>
      <c r="N8" s="101">
        <f>VLOOKUP(A8,'BSE ALL CAP'!$B$4:$Y$1038,13,)</f>
        <v>47</v>
      </c>
      <c r="O8" s="101">
        <f>VLOOKUP(A8,'BSE ALL CAP'!$B$4:$Y$1038,14,)</f>
        <v>24</v>
      </c>
      <c r="P8" s="95">
        <f>VLOOKUP(A8,'BSE ALL CAP'!$B$4:$Y$1038,15,)</f>
        <v>0.11870967741935484</v>
      </c>
      <c r="Q8" s="95">
        <f>VLOOKUP(A8,'BSE ALL CAP'!$B$4:$Y$1038,16,)</f>
        <v>0.10097719869706841</v>
      </c>
      <c r="R8" s="95">
        <f>VLOOKUP(A8,'BSE ALL CAP'!$B$4:$Y$1038,17,)</f>
        <v>1.7732478722286435E-2</v>
      </c>
      <c r="S8" s="95">
        <f>VLOOKUP(A8,'BSE ALL CAP'!$B$4:$Y$1038,18,)</f>
        <v>0.15064102564102563</v>
      </c>
      <c r="T8" s="95">
        <f>VLOOKUP(A8,'BSE ALL CAP'!$B$4:$Y$1038,19,)</f>
        <v>0.11822660098522167</v>
      </c>
      <c r="U8" s="95">
        <f>VLOOKUP(A8,'BSE ALL CAP'!$B$4:$Y$1038,20,)</f>
        <v>3.2414424655803964E-2</v>
      </c>
      <c r="V8" s="95">
        <f>VLOOKUP(A8,'BSE ALL CAP'!$B$4:$Y$1038,21,)</f>
        <v>0.26221498371335494</v>
      </c>
      <c r="W8" s="95">
        <f>VLOOKUP(A8,'BSE ALL CAP'!$B$4:$Y$1038,22,)</f>
        <v>0.4838709677419355</v>
      </c>
      <c r="X8" s="95">
        <f>VLOOKUP(A8,'BSE ALL CAP'!$B$4:$Y$1038,23,)</f>
        <v>0.53694581280788167</v>
      </c>
      <c r="Y8" s="95">
        <f>VLOOKUP(A8,'BSE ALL CAP'!$B$4:$Y$1038,24,)</f>
        <v>0.95833333333333326</v>
      </c>
    </row>
    <row r="9" spans="1:25" ht="15.75" customHeight="1">
      <c r="A9" s="99">
        <v>533104</v>
      </c>
      <c r="B9" s="98" t="s">
        <v>5809</v>
      </c>
      <c r="C9" s="174" t="str">
        <f>VLOOKUP(A9,'BSE ALL CAP'!$B$4:$Y$1034,2,)</f>
        <v>Fast Moving Consumer Goods</v>
      </c>
      <c r="D9" s="174" t="str">
        <f>VLOOKUP(A9,'BSE ALL CAP'!$B$4:$Y$1034,3,)</f>
        <v>Breweries &amp; Distilleries</v>
      </c>
      <c r="E9" s="101">
        <f ca="1">IFERROR(__xludf.DUMMYFUNCTION("GOOGLEFINANCE(""BOM:""&amp;A9,""PRICE"")"),880)</f>
        <v>880</v>
      </c>
      <c r="F9" s="112">
        <f ca="1">IFERROR(__xludf.DUMMYFUNCTION("GOOGLEFINANCE(""BOM:""&amp;A9,""MARKETCAP"")/10000000"),2566.5564466)</f>
        <v>2566.5564466000001</v>
      </c>
      <c r="G9" s="95">
        <f t="shared" ca="1" si="0"/>
        <v>1.2105346778505497E-2</v>
      </c>
      <c r="H9" s="101">
        <f>VLOOKUP(A9,'BSE ALL CAP'!$B$4:$Y$1038,7,)</f>
        <v>2761</v>
      </c>
      <c r="I9" s="101">
        <f>VLOOKUP(A9,'BSE ALL CAP'!$B$4:$Y$1038,8,)</f>
        <v>2643</v>
      </c>
      <c r="J9" s="101">
        <f>VLOOKUP(A9,'BSE ALL CAP'!$B$4:$Y$1038,9,)</f>
        <v>69</v>
      </c>
      <c r="K9" s="101">
        <f>VLOOKUP(A9,'BSE ALL CAP'!$B$4:$Y$1038,10,)</f>
        <v>17</v>
      </c>
      <c r="L9" s="101">
        <f>VLOOKUP(A9,'BSE ALL CAP'!$B$4:$Y$1038,11,)</f>
        <v>938</v>
      </c>
      <c r="M9" s="101">
        <f>VLOOKUP(A9,'BSE ALL CAP'!$B$4:$Y$1038,12,)</f>
        <v>882</v>
      </c>
      <c r="N9" s="101">
        <f>VLOOKUP(A9,'BSE ALL CAP'!$B$4:$Y$1038,13,)</f>
        <v>30</v>
      </c>
      <c r="O9" s="101">
        <f>VLOOKUP(A9,'BSE ALL CAP'!$B$4:$Y$1038,14,)</f>
        <v>0.72</v>
      </c>
      <c r="P9" s="95">
        <f>VLOOKUP(A9,'BSE ALL CAP'!$B$4:$Y$1038,15,)</f>
        <v>2.4990945309670408E-2</v>
      </c>
      <c r="Q9" s="95">
        <f>VLOOKUP(A9,'BSE ALL CAP'!$B$4:$Y$1038,16,)</f>
        <v>6.4320847521755582E-3</v>
      </c>
      <c r="R9" s="95">
        <f>VLOOKUP(A9,'BSE ALL CAP'!$B$4:$Y$1038,17,)</f>
        <v>1.8558860557494849E-2</v>
      </c>
      <c r="S9" s="95">
        <f>VLOOKUP(A9,'BSE ALL CAP'!$B$4:$Y$1038,18,)</f>
        <v>3.1982942430703626E-2</v>
      </c>
      <c r="T9" s="95">
        <f>VLOOKUP(A9,'BSE ALL CAP'!$B$4:$Y$1038,19,)</f>
        <v>8.1632653061224482E-4</v>
      </c>
      <c r="U9" s="95">
        <f>VLOOKUP(A9,'BSE ALL CAP'!$B$4:$Y$1038,20,)</f>
        <v>3.1166615900091382E-2</v>
      </c>
      <c r="V9" s="95">
        <f>VLOOKUP(A9,'BSE ALL CAP'!$B$4:$Y$1038,21,)</f>
        <v>4.4646235338630325E-2</v>
      </c>
      <c r="W9" s="95">
        <f>VLOOKUP(A9,'BSE ALL CAP'!$B$4:$Y$1038,22,)</f>
        <v>3.0588235294117645</v>
      </c>
      <c r="X9" s="95">
        <f>VLOOKUP(A9,'BSE ALL CAP'!$B$4:$Y$1038,23,)</f>
        <v>6.3492063492063489E-2</v>
      </c>
      <c r="Y9" s="95">
        <f>VLOOKUP(A9,'BSE ALL CAP'!$B$4:$Y$1038,24,)</f>
        <v>40.666666666666671</v>
      </c>
    </row>
    <row r="10" spans="1:25" ht="15.75" customHeight="1">
      <c r="A10" s="99">
        <v>507488</v>
      </c>
      <c r="B10" s="98" t="s">
        <v>5810</v>
      </c>
      <c r="C10" s="174" t="str">
        <f>VLOOKUP(A10,'BSE ALL CAP'!$B$4:$Y$1034,2,)</f>
        <v>Fast Moving Consumer Goods</v>
      </c>
      <c r="D10" s="174" t="str">
        <f>VLOOKUP(A10,'BSE ALL CAP'!$B$4:$Y$1034,3,)</f>
        <v>Breweries &amp; Distilleries</v>
      </c>
      <c r="E10" s="101">
        <f ca="1">IFERROR(__xludf.DUMMYFUNCTION("GOOGLEFINANCE(""BOM:""&amp;A10,""PRICE"")"),1055)</f>
        <v>1055</v>
      </c>
      <c r="F10" s="112">
        <f ca="1">IFERROR(__xludf.DUMMYFUNCTION("GOOGLEFINANCE(""BOM:""&amp;A10,""MARKETCAP"")/10000000"),2407.2657815)</f>
        <v>2407.2657814999998</v>
      </c>
      <c r="G10" s="95">
        <f t="shared" ca="1" si="0"/>
        <v>1.1354040980353764E-2</v>
      </c>
      <c r="H10" s="101">
        <f>VLOOKUP(A10,'BSE ALL CAP'!$B$4:$Y$1038,7,)</f>
        <v>2164</v>
      </c>
      <c r="I10" s="101">
        <f>VLOOKUP(A10,'BSE ALL CAP'!$B$4:$Y$1038,8,)</f>
        <v>1840</v>
      </c>
      <c r="J10" s="101">
        <f>VLOOKUP(A10,'BSE ALL CAP'!$B$4:$Y$1038,9,)</f>
        <v>102</v>
      </c>
      <c r="K10" s="101">
        <f>VLOOKUP(A10,'BSE ALL CAP'!$B$4:$Y$1038,10,)</f>
        <v>68</v>
      </c>
      <c r="L10" s="101">
        <f>VLOOKUP(A10,'BSE ALL CAP'!$B$4:$Y$1038,11,)</f>
        <v>808</v>
      </c>
      <c r="M10" s="101">
        <f>VLOOKUP(A10,'BSE ALL CAP'!$B$4:$Y$1038,12,)</f>
        <v>644</v>
      </c>
      <c r="N10" s="101">
        <f>VLOOKUP(A10,'BSE ALL CAP'!$B$4:$Y$1038,13,)</f>
        <v>42</v>
      </c>
      <c r="O10" s="101">
        <f>VLOOKUP(A10,'BSE ALL CAP'!$B$4:$Y$1038,14,)</f>
        <v>21</v>
      </c>
      <c r="P10" s="95">
        <f>VLOOKUP(A10,'BSE ALL CAP'!$B$4:$Y$1038,15,)</f>
        <v>4.7134935304990758E-2</v>
      </c>
      <c r="Q10" s="95">
        <f>VLOOKUP(A10,'BSE ALL CAP'!$B$4:$Y$1038,16,)</f>
        <v>3.6956521739130437E-2</v>
      </c>
      <c r="R10" s="95">
        <f>VLOOKUP(A10,'BSE ALL CAP'!$B$4:$Y$1038,17,)</f>
        <v>1.0178413565860321E-2</v>
      </c>
      <c r="S10" s="95">
        <f>VLOOKUP(A10,'BSE ALL CAP'!$B$4:$Y$1038,18,)</f>
        <v>5.1980198019801978E-2</v>
      </c>
      <c r="T10" s="95">
        <f>VLOOKUP(A10,'BSE ALL CAP'!$B$4:$Y$1038,19,)</f>
        <v>3.2608695652173912E-2</v>
      </c>
      <c r="U10" s="95">
        <f>VLOOKUP(A10,'BSE ALL CAP'!$B$4:$Y$1038,20,)</f>
        <v>1.9371502367628066E-2</v>
      </c>
      <c r="V10" s="95">
        <f>VLOOKUP(A10,'BSE ALL CAP'!$B$4:$Y$1038,21,)</f>
        <v>0.17608695652173911</v>
      </c>
      <c r="W10" s="95">
        <f>VLOOKUP(A10,'BSE ALL CAP'!$B$4:$Y$1038,22,)</f>
        <v>0.5</v>
      </c>
      <c r="X10" s="95">
        <f>VLOOKUP(A10,'BSE ALL CAP'!$B$4:$Y$1038,23,)</f>
        <v>0.25465838509316763</v>
      </c>
      <c r="Y10" s="95">
        <f>VLOOKUP(A10,'BSE ALL CAP'!$B$4:$Y$1038,24,)</f>
        <v>1</v>
      </c>
    </row>
    <row r="11" spans="1:25" ht="15.75" customHeight="1">
      <c r="A11" s="99">
        <v>507514</v>
      </c>
      <c r="B11" s="98" t="s">
        <v>5811</v>
      </c>
      <c r="C11" s="174" t="e">
        <f>VLOOKUP(A11,'BSE ALL CAP'!$B$4:$Y$1034,2,)</f>
        <v>#N/A</v>
      </c>
      <c r="D11" s="174" t="e">
        <f>VLOOKUP(A11,'BSE ALL CAP'!$B$4:$Y$1034,3,)</f>
        <v>#N/A</v>
      </c>
      <c r="E11" s="101">
        <f ca="1">IFERROR(__xludf.DUMMYFUNCTION("GOOGLEFINANCE(""BOM:""&amp;A11,""PRICE"")"),71)</f>
        <v>71</v>
      </c>
      <c r="F11" s="112">
        <f ca="1">IFERROR(__xludf.DUMMYFUNCTION("GOOGLEFINANCE(""BOM:""&amp;A11,""MARKETCAP"")/10000000"),1475.4755514)</f>
        <v>1475.4755514000001</v>
      </c>
      <c r="G11" s="95">
        <f t="shared" ca="1" si="0"/>
        <v>6.9591858135693227E-3</v>
      </c>
      <c r="H11" s="101"/>
      <c r="I11" s="101"/>
      <c r="J11" s="101"/>
      <c r="K11" s="101"/>
      <c r="L11" s="101"/>
      <c r="M11" s="101"/>
      <c r="N11" s="101"/>
      <c r="O11" s="101"/>
      <c r="P11" s="101" t="e">
        <f>VLOOKUP(A11,'BSE ALL CAP'!$B$4:$Y$1038,15,)</f>
        <v>#N/A</v>
      </c>
      <c r="Q11" s="101" t="e">
        <f>VLOOKUP(A11,'BSE ALL CAP'!$B$4:$Y$1038,16,)</f>
        <v>#N/A</v>
      </c>
      <c r="R11" s="101" t="e">
        <f>VLOOKUP(A11,'BSE ALL CAP'!$B$4:$Y$1038,17,)</f>
        <v>#N/A</v>
      </c>
      <c r="S11" s="101" t="e">
        <f>VLOOKUP(A11,'BSE ALL CAP'!$B$4:$Y$1038,18,)</f>
        <v>#N/A</v>
      </c>
      <c r="T11" s="101" t="e">
        <f>VLOOKUP(A11,'BSE ALL CAP'!$B$4:$Y$1038,19,)</f>
        <v>#N/A</v>
      </c>
      <c r="U11" s="101" t="e">
        <f>VLOOKUP(A11,'BSE ALL CAP'!$B$4:$Y$1038,20,)</f>
        <v>#N/A</v>
      </c>
      <c r="V11" s="101" t="e">
        <f>VLOOKUP(A11,'BSE ALL CAP'!$B$4:$Y$1038,21,)</f>
        <v>#N/A</v>
      </c>
      <c r="W11" s="101" t="e">
        <f>VLOOKUP(A11,'BSE ALL CAP'!$B$4:$Y$1038,22,)</f>
        <v>#N/A</v>
      </c>
      <c r="X11" s="101" t="e">
        <f>VLOOKUP(A11,'BSE ALL CAP'!$B$4:$Y$1038,23,)</f>
        <v>#N/A</v>
      </c>
      <c r="Y11" s="101" t="e">
        <f>VLOOKUP(A11,'BSE ALL CAP'!$B$4:$Y$1038,24,)</f>
        <v>#N/A</v>
      </c>
    </row>
    <row r="12" spans="1:25" ht="15.75" customHeight="1">
      <c r="A12" s="99">
        <v>543711</v>
      </c>
      <c r="B12" s="98" t="s">
        <v>5812</v>
      </c>
      <c r="C12" s="174" t="e">
        <f>VLOOKUP(A12,'BSE ALL CAP'!$B$4:$Y$1034,2,)</f>
        <v>#N/A</v>
      </c>
      <c r="D12" s="174" t="e">
        <f>VLOOKUP(A12,'BSE ALL CAP'!$B$4:$Y$1034,3,)</f>
        <v>#N/A</v>
      </c>
      <c r="E12" s="101">
        <f ca="1">IFERROR(__xludf.DUMMYFUNCTION("GOOGLEFINANCE(""BOM:""&amp;A12,""PRICE"")"),157.5)</f>
        <v>157.5</v>
      </c>
      <c r="F12" s="112">
        <f ca="1">IFERROR(__xludf.DUMMYFUNCTION("GOOGLEFINANCE(""BOM:""&amp;A12,""MARKETCAP"")/10000000"),1327.5951167)</f>
        <v>1327.5951167000001</v>
      </c>
      <c r="G12" s="95">
        <f t="shared" ca="1" si="0"/>
        <v>6.2616971819940857E-3</v>
      </c>
      <c r="H12" s="101"/>
      <c r="I12" s="101"/>
      <c r="J12" s="101"/>
      <c r="K12" s="101"/>
      <c r="L12" s="101"/>
      <c r="M12" s="101"/>
      <c r="N12" s="101"/>
      <c r="O12" s="101"/>
      <c r="P12" s="101" t="e">
        <f>VLOOKUP(A12,'BSE ALL CAP'!$B$4:$Y$1038,15,)</f>
        <v>#N/A</v>
      </c>
      <c r="Q12" s="101" t="e">
        <f>VLOOKUP(A12,'BSE ALL CAP'!$B$4:$Y$1038,16,)</f>
        <v>#N/A</v>
      </c>
      <c r="R12" s="101" t="e">
        <f>VLOOKUP(A12,'BSE ALL CAP'!$B$4:$Y$1038,17,)</f>
        <v>#N/A</v>
      </c>
      <c r="S12" s="101" t="e">
        <f>VLOOKUP(A12,'BSE ALL CAP'!$B$4:$Y$1038,18,)</f>
        <v>#N/A</v>
      </c>
      <c r="T12" s="101" t="e">
        <f>VLOOKUP(A12,'BSE ALL CAP'!$B$4:$Y$1038,19,)</f>
        <v>#N/A</v>
      </c>
      <c r="U12" s="101" t="e">
        <f>VLOOKUP(A12,'BSE ALL CAP'!$B$4:$Y$1038,20,)</f>
        <v>#N/A</v>
      </c>
      <c r="V12" s="101" t="e">
        <f>VLOOKUP(A12,'BSE ALL CAP'!$B$4:$Y$1038,21,)</f>
        <v>#N/A</v>
      </c>
      <c r="W12" s="101" t="e">
        <f>VLOOKUP(A12,'BSE ALL CAP'!$B$4:$Y$1038,22,)</f>
        <v>#N/A</v>
      </c>
      <c r="X12" s="101" t="e">
        <f>VLOOKUP(A12,'BSE ALL CAP'!$B$4:$Y$1038,23,)</f>
        <v>#N/A</v>
      </c>
      <c r="Y12" s="101" t="e">
        <f>VLOOKUP(A12,'BSE ALL CAP'!$B$4:$Y$1038,24,)</f>
        <v>#N/A</v>
      </c>
    </row>
    <row r="13" spans="1:25" ht="15.75" customHeight="1">
      <c r="A13" s="99">
        <v>507526</v>
      </c>
      <c r="B13" s="98" t="s">
        <v>5813</v>
      </c>
      <c r="C13" s="174" t="e">
        <f>VLOOKUP(A13,'BSE ALL CAP'!$B$4:$Y$1034,2,)</f>
        <v>#N/A</v>
      </c>
      <c r="D13" s="174" t="e">
        <f>VLOOKUP(A13,'BSE ALL CAP'!$B$4:$Y$1034,3,)</f>
        <v>#N/A</v>
      </c>
      <c r="E13" s="101">
        <f ca="1">IFERROR(__xludf.DUMMYFUNCTION("GOOGLEFINANCE(""BOM:""&amp;A13,""PRICE"")"),774.25)</f>
        <v>774.25</v>
      </c>
      <c r="F13" s="112">
        <f ca="1">IFERROR(__xludf.DUMMYFUNCTION("GOOGLEFINANCE(""BOM:""&amp;A13,""MARKETCAP"")/10000000"),1555.5348738)</f>
        <v>1555.5348738</v>
      </c>
      <c r="G13" s="95">
        <f t="shared" ca="1" si="0"/>
        <v>7.3367913253390062E-3</v>
      </c>
      <c r="H13" s="101"/>
      <c r="I13" s="101"/>
      <c r="J13" s="101"/>
      <c r="K13" s="101"/>
      <c r="L13" s="101"/>
      <c r="M13" s="101"/>
      <c r="N13" s="101"/>
      <c r="O13" s="101"/>
      <c r="P13" s="101" t="e">
        <f>VLOOKUP(A13,'BSE ALL CAP'!$B$4:$Y$1038,15,)</f>
        <v>#N/A</v>
      </c>
      <c r="Q13" s="101" t="e">
        <f>VLOOKUP(A13,'BSE ALL CAP'!$B$4:$Y$1038,16,)</f>
        <v>#N/A</v>
      </c>
      <c r="R13" s="101" t="e">
        <f>VLOOKUP(A13,'BSE ALL CAP'!$B$4:$Y$1038,17,)</f>
        <v>#N/A</v>
      </c>
      <c r="S13" s="101" t="e">
        <f>VLOOKUP(A13,'BSE ALL CAP'!$B$4:$Y$1038,18,)</f>
        <v>#N/A</v>
      </c>
      <c r="T13" s="101" t="e">
        <f>VLOOKUP(A13,'BSE ALL CAP'!$B$4:$Y$1038,19,)</f>
        <v>#N/A</v>
      </c>
      <c r="U13" s="101" t="e">
        <f>VLOOKUP(A13,'BSE ALL CAP'!$B$4:$Y$1038,20,)</f>
        <v>#N/A</v>
      </c>
      <c r="V13" s="101" t="e">
        <f>VLOOKUP(A13,'BSE ALL CAP'!$B$4:$Y$1038,21,)</f>
        <v>#N/A</v>
      </c>
      <c r="W13" s="101" t="e">
        <f>VLOOKUP(A13,'BSE ALL CAP'!$B$4:$Y$1038,22,)</f>
        <v>#N/A</v>
      </c>
      <c r="X13" s="101" t="e">
        <f>VLOOKUP(A13,'BSE ALL CAP'!$B$4:$Y$1038,23,)</f>
        <v>#N/A</v>
      </c>
      <c r="Y13" s="101" t="e">
        <f>VLOOKUP(A13,'BSE ALL CAP'!$B$4:$Y$1038,24,)</f>
        <v>#N/A</v>
      </c>
    </row>
    <row r="14" spans="1:25" ht="15.75" customHeight="1">
      <c r="A14" s="99">
        <v>507438</v>
      </c>
      <c r="B14" s="98" t="s">
        <v>5814</v>
      </c>
      <c r="C14" s="174" t="e">
        <f>VLOOKUP(A14,'BSE ALL CAP'!$B$4:$Y$1034,2,)</f>
        <v>#N/A</v>
      </c>
      <c r="D14" s="174" t="e">
        <f>VLOOKUP(A14,'BSE ALL CAP'!$B$4:$Y$1034,3,)</f>
        <v>#N/A</v>
      </c>
      <c r="E14" s="101">
        <f ca="1">IFERROR(__xludf.DUMMYFUNCTION("GOOGLEFINANCE(""BOM:""&amp;A14,""PRICE"")"),796)</f>
        <v>796</v>
      </c>
      <c r="F14" s="112">
        <f ca="1">IFERROR(__xludf.DUMMYFUNCTION("GOOGLEFINANCE(""BOM:""&amp;A14,""MARKETCAP"")/10000000"),744.7320691)</f>
        <v>744.73206909999999</v>
      </c>
      <c r="G14" s="95">
        <f t="shared" ca="1" si="0"/>
        <v>3.5125819911236305E-3</v>
      </c>
      <c r="H14" s="101"/>
      <c r="I14" s="101"/>
      <c r="J14" s="101"/>
      <c r="K14" s="101"/>
      <c r="L14" s="101"/>
      <c r="M14" s="101"/>
      <c r="N14" s="101"/>
      <c r="O14" s="101"/>
      <c r="P14" s="101" t="e">
        <f>VLOOKUP(A14,'BSE ALL CAP'!$B$4:$Y$1038,15,)</f>
        <v>#N/A</v>
      </c>
      <c r="Q14" s="101" t="e">
        <f>VLOOKUP(A14,'BSE ALL CAP'!$B$4:$Y$1038,16,)</f>
        <v>#N/A</v>
      </c>
      <c r="R14" s="101" t="e">
        <f>VLOOKUP(A14,'BSE ALL CAP'!$B$4:$Y$1038,17,)</f>
        <v>#N/A</v>
      </c>
      <c r="S14" s="101" t="e">
        <f>VLOOKUP(A14,'BSE ALL CAP'!$B$4:$Y$1038,18,)</f>
        <v>#N/A</v>
      </c>
      <c r="T14" s="101" t="e">
        <f>VLOOKUP(A14,'BSE ALL CAP'!$B$4:$Y$1038,19,)</f>
        <v>#N/A</v>
      </c>
      <c r="U14" s="101" t="e">
        <f>VLOOKUP(A14,'BSE ALL CAP'!$B$4:$Y$1038,20,)</f>
        <v>#N/A</v>
      </c>
      <c r="V14" s="101" t="e">
        <f>VLOOKUP(A14,'BSE ALL CAP'!$B$4:$Y$1038,21,)</f>
        <v>#N/A</v>
      </c>
      <c r="W14" s="101" t="e">
        <f>VLOOKUP(A14,'BSE ALL CAP'!$B$4:$Y$1038,22,)</f>
        <v>#N/A</v>
      </c>
      <c r="X14" s="101" t="e">
        <f>VLOOKUP(A14,'BSE ALL CAP'!$B$4:$Y$1038,23,)</f>
        <v>#N/A</v>
      </c>
      <c r="Y14" s="101" t="e">
        <f>VLOOKUP(A14,'BSE ALL CAP'!$B$4:$Y$1038,24,)</f>
        <v>#N/A</v>
      </c>
    </row>
    <row r="15" spans="1:25" ht="15.75" customHeight="1">
      <c r="A15" s="99">
        <v>524332</v>
      </c>
      <c r="B15" s="98" t="s">
        <v>5815</v>
      </c>
      <c r="C15" s="174" t="e">
        <f>VLOOKUP(A15,'BSE ALL CAP'!$B$4:$Y$1034,2,)</f>
        <v>#N/A</v>
      </c>
      <c r="D15" s="174" t="e">
        <f>VLOOKUP(A15,'BSE ALL CAP'!$B$4:$Y$1034,3,)</f>
        <v>#N/A</v>
      </c>
      <c r="E15" s="101">
        <f ca="1">IFERROR(__xludf.DUMMYFUNCTION("GOOGLEFINANCE(""BOM:""&amp;A15,""PRICE"")"),32.17)</f>
        <v>32.17</v>
      </c>
      <c r="F15" s="112">
        <f ca="1">IFERROR(__xludf.DUMMYFUNCTION("GOOGLEFINANCE(""BOM:""&amp;A15,""MARKETCAP"")/10000000"),951.6627008)</f>
        <v>951.66270080000004</v>
      </c>
      <c r="G15" s="95">
        <f t="shared" ca="1" si="0"/>
        <v>4.4885850940914662E-3</v>
      </c>
      <c r="H15" s="101"/>
      <c r="I15" s="101"/>
      <c r="J15" s="101"/>
      <c r="K15" s="101"/>
      <c r="L15" s="101"/>
      <c r="M15" s="101"/>
      <c r="N15" s="101"/>
      <c r="O15" s="101"/>
      <c r="P15" s="101" t="e">
        <f>VLOOKUP(A15,'BSE ALL CAP'!$B$4:$Y$1038,15,)</f>
        <v>#N/A</v>
      </c>
      <c r="Q15" s="101" t="e">
        <f>VLOOKUP(A15,'BSE ALL CAP'!$B$4:$Y$1038,16,)</f>
        <v>#N/A</v>
      </c>
      <c r="R15" s="101" t="e">
        <f>VLOOKUP(A15,'BSE ALL CAP'!$B$4:$Y$1038,17,)</f>
        <v>#N/A</v>
      </c>
      <c r="S15" s="101" t="e">
        <f>VLOOKUP(A15,'BSE ALL CAP'!$B$4:$Y$1038,18,)</f>
        <v>#N/A</v>
      </c>
      <c r="T15" s="101" t="e">
        <f>VLOOKUP(A15,'BSE ALL CAP'!$B$4:$Y$1038,19,)</f>
        <v>#N/A</v>
      </c>
      <c r="U15" s="101" t="e">
        <f>VLOOKUP(A15,'BSE ALL CAP'!$B$4:$Y$1038,20,)</f>
        <v>#N/A</v>
      </c>
      <c r="V15" s="101" t="e">
        <f>VLOOKUP(A15,'BSE ALL CAP'!$B$4:$Y$1038,21,)</f>
        <v>#N/A</v>
      </c>
      <c r="W15" s="101" t="e">
        <f>VLOOKUP(A15,'BSE ALL CAP'!$B$4:$Y$1038,22,)</f>
        <v>#N/A</v>
      </c>
      <c r="X15" s="101" t="e">
        <f>VLOOKUP(A15,'BSE ALL CAP'!$B$4:$Y$1038,23,)</f>
        <v>#N/A</v>
      </c>
      <c r="Y15" s="101" t="e">
        <f>VLOOKUP(A15,'BSE ALL CAP'!$B$4:$Y$1038,24,)</f>
        <v>#N/A</v>
      </c>
    </row>
    <row r="16" spans="1:25" ht="15.75" customHeight="1">
      <c r="A16" s="99">
        <v>544451</v>
      </c>
      <c r="B16" s="98" t="s">
        <v>5816</v>
      </c>
      <c r="C16" s="174" t="e">
        <f>VLOOKUP(A16,'BSE ALL CAP'!$B$4:$Y$1034,2,)</f>
        <v>#N/A</v>
      </c>
      <c r="D16" s="174" t="e">
        <f>VLOOKUP(A16,'BSE ALL CAP'!$B$4:$Y$1034,3,)</f>
        <v>#N/A</v>
      </c>
      <c r="E16" s="101">
        <f ca="1">IFERROR(__xludf.DUMMYFUNCTION("GOOGLEFINANCE(""BOM:""&amp;A16,""PRICE"")"),256)</f>
        <v>256</v>
      </c>
      <c r="F16" s="112">
        <f ca="1">IFERROR(__xludf.DUMMYFUNCTION("GOOGLEFINANCE(""BOM:""&amp;A16,""MARKETCAP"")/10000000"),549.118976)</f>
        <v>549.11897599999998</v>
      </c>
      <c r="G16" s="95">
        <f t="shared" ca="1" si="0"/>
        <v>2.5899588672377329E-3</v>
      </c>
      <c r="H16" s="101"/>
      <c r="I16" s="101"/>
      <c r="J16" s="101"/>
      <c r="K16" s="101"/>
      <c r="L16" s="101"/>
      <c r="M16" s="101"/>
      <c r="N16" s="101"/>
      <c r="O16" s="101"/>
      <c r="P16" s="101" t="e">
        <f>VLOOKUP(A16,'BSE ALL CAP'!$B$4:$Y$1038,15,)</f>
        <v>#N/A</v>
      </c>
      <c r="Q16" s="101" t="e">
        <f>VLOOKUP(A16,'BSE ALL CAP'!$B$4:$Y$1038,16,)</f>
        <v>#N/A</v>
      </c>
      <c r="R16" s="101" t="e">
        <f>VLOOKUP(A16,'BSE ALL CAP'!$B$4:$Y$1038,17,)</f>
        <v>#N/A</v>
      </c>
      <c r="S16" s="101" t="e">
        <f>VLOOKUP(A16,'BSE ALL CAP'!$B$4:$Y$1038,18,)</f>
        <v>#N/A</v>
      </c>
      <c r="T16" s="101" t="e">
        <f>VLOOKUP(A16,'BSE ALL CAP'!$B$4:$Y$1038,19,)</f>
        <v>#N/A</v>
      </c>
      <c r="U16" s="101" t="e">
        <f>VLOOKUP(A16,'BSE ALL CAP'!$B$4:$Y$1038,20,)</f>
        <v>#N/A</v>
      </c>
      <c r="V16" s="101" t="e">
        <f>VLOOKUP(A16,'BSE ALL CAP'!$B$4:$Y$1038,21,)</f>
        <v>#N/A</v>
      </c>
      <c r="W16" s="101" t="e">
        <f>VLOOKUP(A16,'BSE ALL CAP'!$B$4:$Y$1038,22,)</f>
        <v>#N/A</v>
      </c>
      <c r="X16" s="101" t="e">
        <f>VLOOKUP(A16,'BSE ALL CAP'!$B$4:$Y$1038,23,)</f>
        <v>#N/A</v>
      </c>
      <c r="Y16" s="101" t="e">
        <f>VLOOKUP(A16,'BSE ALL CAP'!$B$4:$Y$1038,24,)</f>
        <v>#N/A</v>
      </c>
    </row>
    <row r="17" spans="1:25" ht="15.75" customHeight="1">
      <c r="A17" s="99">
        <v>507155</v>
      </c>
      <c r="B17" s="98" t="s">
        <v>5817</v>
      </c>
      <c r="C17" s="174" t="e">
        <f>VLOOKUP(A17,'BSE ALL CAP'!$B$4:$Y$1034,2,)</f>
        <v>#N/A</v>
      </c>
      <c r="D17" s="174" t="e">
        <f>VLOOKUP(A17,'BSE ALL CAP'!$B$4:$Y$1034,3,)</f>
        <v>#N/A</v>
      </c>
      <c r="E17" s="101">
        <f ca="1">IFERROR(__xludf.DUMMYFUNCTION("GOOGLEFINANCE(""BOM:""&amp;A17,""PRICE"")"),128)</f>
        <v>128</v>
      </c>
      <c r="F17" s="112">
        <f ca="1">IFERROR(__xludf.DUMMYFUNCTION("GOOGLEFINANCE(""BOM:""&amp;A17,""MARKETCAP"")/10000000"),598.816256)</f>
        <v>598.81625599999995</v>
      </c>
      <c r="G17" s="95">
        <f t="shared" ca="1" si="0"/>
        <v>2.8243596376339762E-3</v>
      </c>
      <c r="H17" s="101"/>
      <c r="I17" s="101"/>
      <c r="J17" s="101"/>
      <c r="K17" s="101"/>
      <c r="L17" s="101"/>
      <c r="M17" s="101"/>
      <c r="N17" s="101"/>
      <c r="O17" s="101"/>
      <c r="P17" s="101" t="e">
        <f>VLOOKUP(A17,'BSE ALL CAP'!$B$4:$Y$1038,15,)</f>
        <v>#N/A</v>
      </c>
      <c r="Q17" s="101" t="e">
        <f>VLOOKUP(A17,'BSE ALL CAP'!$B$4:$Y$1038,16,)</f>
        <v>#N/A</v>
      </c>
      <c r="R17" s="101" t="e">
        <f>VLOOKUP(A17,'BSE ALL CAP'!$B$4:$Y$1038,17,)</f>
        <v>#N/A</v>
      </c>
      <c r="S17" s="101" t="e">
        <f>VLOOKUP(A17,'BSE ALL CAP'!$B$4:$Y$1038,18,)</f>
        <v>#N/A</v>
      </c>
      <c r="T17" s="101" t="e">
        <f>VLOOKUP(A17,'BSE ALL CAP'!$B$4:$Y$1038,19,)</f>
        <v>#N/A</v>
      </c>
      <c r="U17" s="101" t="e">
        <f>VLOOKUP(A17,'BSE ALL CAP'!$B$4:$Y$1038,20,)</f>
        <v>#N/A</v>
      </c>
      <c r="V17" s="101" t="e">
        <f>VLOOKUP(A17,'BSE ALL CAP'!$B$4:$Y$1038,21,)</f>
        <v>#N/A</v>
      </c>
      <c r="W17" s="101" t="e">
        <f>VLOOKUP(A17,'BSE ALL CAP'!$B$4:$Y$1038,22,)</f>
        <v>#N/A</v>
      </c>
      <c r="X17" s="101" t="e">
        <f>VLOOKUP(A17,'BSE ALL CAP'!$B$4:$Y$1038,23,)</f>
        <v>#N/A</v>
      </c>
      <c r="Y17" s="101" t="e">
        <f>VLOOKUP(A17,'BSE ALL CAP'!$B$4:$Y$1038,24,)</f>
        <v>#N/A</v>
      </c>
    </row>
    <row r="18" spans="1:25" ht="15.75" customHeight="1">
      <c r="A18" s="99">
        <v>541741</v>
      </c>
      <c r="B18" s="98" t="s">
        <v>5818</v>
      </c>
      <c r="C18" s="174" t="e">
        <f>VLOOKUP(A18,'BSE ALL CAP'!$B$4:$Y$1034,2,)</f>
        <v>#N/A</v>
      </c>
      <c r="D18" s="174" t="e">
        <f>VLOOKUP(A18,'BSE ALL CAP'!$B$4:$Y$1034,3,)</f>
        <v>#N/A</v>
      </c>
      <c r="E18" s="101">
        <f ca="1">IFERROR(__xludf.DUMMYFUNCTION("GOOGLEFINANCE(""BOM:""&amp;A18,""PRICE"")"),75.89)</f>
        <v>75.89</v>
      </c>
      <c r="F18" s="112">
        <f ca="1">IFERROR(__xludf.DUMMYFUNCTION("GOOGLEFINANCE(""BOM:""&amp;A18,""MARKETCAP"")/10000000"),329.5742545)</f>
        <v>329.5742545</v>
      </c>
      <c r="G18" s="95">
        <f t="shared" ca="1" si="0"/>
        <v>1.5544605088561724E-3</v>
      </c>
      <c r="H18" s="101"/>
      <c r="I18" s="101"/>
      <c r="J18" s="101"/>
      <c r="K18" s="101"/>
      <c r="L18" s="101"/>
      <c r="M18" s="101"/>
      <c r="N18" s="101"/>
      <c r="O18" s="101"/>
      <c r="P18" s="101" t="e">
        <f>VLOOKUP(A18,'BSE ALL CAP'!$B$4:$Y$1038,15,)</f>
        <v>#N/A</v>
      </c>
      <c r="Q18" s="101" t="e">
        <f>VLOOKUP(A18,'BSE ALL CAP'!$B$4:$Y$1038,16,)</f>
        <v>#N/A</v>
      </c>
      <c r="R18" s="101" t="e">
        <f>VLOOKUP(A18,'BSE ALL CAP'!$B$4:$Y$1038,17,)</f>
        <v>#N/A</v>
      </c>
      <c r="S18" s="101" t="e">
        <f>VLOOKUP(A18,'BSE ALL CAP'!$B$4:$Y$1038,18,)</f>
        <v>#N/A</v>
      </c>
      <c r="T18" s="101" t="e">
        <f>VLOOKUP(A18,'BSE ALL CAP'!$B$4:$Y$1038,19,)</f>
        <v>#N/A</v>
      </c>
      <c r="U18" s="101" t="e">
        <f>VLOOKUP(A18,'BSE ALL CAP'!$B$4:$Y$1038,20,)</f>
        <v>#N/A</v>
      </c>
      <c r="V18" s="101" t="e">
        <f>VLOOKUP(A18,'BSE ALL CAP'!$B$4:$Y$1038,21,)</f>
        <v>#N/A</v>
      </c>
      <c r="W18" s="101" t="e">
        <f>VLOOKUP(A18,'BSE ALL CAP'!$B$4:$Y$1038,22,)</f>
        <v>#N/A</v>
      </c>
      <c r="X18" s="101" t="e">
        <f>VLOOKUP(A18,'BSE ALL CAP'!$B$4:$Y$1038,23,)</f>
        <v>#N/A</v>
      </c>
      <c r="Y18" s="101" t="e">
        <f>VLOOKUP(A18,'BSE ALL CAP'!$B$4:$Y$1038,24,)</f>
        <v>#N/A</v>
      </c>
    </row>
    <row r="19" spans="1:25" ht="15.75" customHeight="1">
      <c r="A19" s="99">
        <v>539546</v>
      </c>
      <c r="B19" s="98" t="s">
        <v>5819</v>
      </c>
      <c r="C19" s="174" t="e">
        <f>VLOOKUP(A19,'BSE ALL CAP'!$B$4:$Y$1034,2,)</f>
        <v>#N/A</v>
      </c>
      <c r="D19" s="174" t="e">
        <f>VLOOKUP(A19,'BSE ALL CAP'!$B$4:$Y$1034,3,)</f>
        <v>#N/A</v>
      </c>
      <c r="E19" s="101">
        <f ca="1">IFERROR(__xludf.DUMMYFUNCTION("GOOGLEFINANCE(""BOM:""&amp;A19,""PRICE"")"),266.65)</f>
        <v>266.64999999999998</v>
      </c>
      <c r="F19" s="112">
        <f ca="1">IFERROR(__xludf.DUMMYFUNCTION("GOOGLEFINANCE(""BOM:""&amp;A19,""MARKETCAP"")/10000000"),290.2279863)</f>
        <v>290.2279863</v>
      </c>
      <c r="G19" s="95">
        <f t="shared" ca="1" si="0"/>
        <v>1.3688810248623357E-3</v>
      </c>
      <c r="H19" s="101"/>
      <c r="I19" s="101"/>
      <c r="J19" s="101"/>
      <c r="K19" s="101"/>
      <c r="L19" s="101"/>
      <c r="M19" s="101"/>
      <c r="N19" s="101"/>
      <c r="O19" s="101"/>
      <c r="P19" s="101" t="e">
        <f>VLOOKUP(A19,'BSE ALL CAP'!$B$4:$Y$1038,15,)</f>
        <v>#N/A</v>
      </c>
      <c r="Q19" s="101" t="e">
        <f>VLOOKUP(A19,'BSE ALL CAP'!$B$4:$Y$1038,16,)</f>
        <v>#N/A</v>
      </c>
      <c r="R19" s="101" t="e">
        <f>VLOOKUP(A19,'BSE ALL CAP'!$B$4:$Y$1038,17,)</f>
        <v>#N/A</v>
      </c>
      <c r="S19" s="101" t="e">
        <f>VLOOKUP(A19,'BSE ALL CAP'!$B$4:$Y$1038,18,)</f>
        <v>#N/A</v>
      </c>
      <c r="T19" s="101" t="e">
        <f>VLOOKUP(A19,'BSE ALL CAP'!$B$4:$Y$1038,19,)</f>
        <v>#N/A</v>
      </c>
      <c r="U19" s="101" t="e">
        <f>VLOOKUP(A19,'BSE ALL CAP'!$B$4:$Y$1038,20,)</f>
        <v>#N/A</v>
      </c>
      <c r="V19" s="101" t="e">
        <f>VLOOKUP(A19,'BSE ALL CAP'!$B$4:$Y$1038,21,)</f>
        <v>#N/A</v>
      </c>
      <c r="W19" s="101" t="e">
        <f>VLOOKUP(A19,'BSE ALL CAP'!$B$4:$Y$1038,22,)</f>
        <v>#N/A</v>
      </c>
      <c r="X19" s="101" t="e">
        <f>VLOOKUP(A19,'BSE ALL CAP'!$B$4:$Y$1038,23,)</f>
        <v>#N/A</v>
      </c>
      <c r="Y19" s="101" t="e">
        <f>VLOOKUP(A19,'BSE ALL CAP'!$B$4:$Y$1038,24,)</f>
        <v>#N/A</v>
      </c>
    </row>
    <row r="20" spans="1:25" ht="15.75" customHeight="1">
      <c r="A20" s="99">
        <v>531216</v>
      </c>
      <c r="B20" s="98" t="s">
        <v>5820</v>
      </c>
      <c r="C20" s="174" t="e">
        <f>VLOOKUP(A20,'BSE ALL CAP'!$B$4:$Y$1034,2,)</f>
        <v>#N/A</v>
      </c>
      <c r="D20" s="174" t="e">
        <f>VLOOKUP(A20,'BSE ALL CAP'!$B$4:$Y$1034,3,)</f>
        <v>#N/A</v>
      </c>
      <c r="E20" s="101">
        <f ca="1">IFERROR(__xludf.DUMMYFUNCTION("GOOGLEFINANCE(""BOM:""&amp;A20,""PRICE"")"),6.85)</f>
        <v>6.85</v>
      </c>
      <c r="F20" s="112">
        <f ca="1">IFERROR(__xludf.DUMMYFUNCTION("GOOGLEFINANCE(""BOM:""&amp;A20,""MARKETCAP"")/10000000"),219.1575269)</f>
        <v>219.15752689999999</v>
      </c>
      <c r="G20" s="95">
        <f t="shared" ca="1" si="0"/>
        <v>1.0336721273980286E-3</v>
      </c>
      <c r="H20" s="101"/>
      <c r="I20" s="101"/>
      <c r="J20" s="101"/>
      <c r="K20" s="101"/>
      <c r="L20" s="101"/>
      <c r="M20" s="101"/>
      <c r="N20" s="101"/>
      <c r="O20" s="101"/>
      <c r="P20" s="101" t="e">
        <f>VLOOKUP(A20,'BSE ALL CAP'!$B$4:$Y$1038,15,)</f>
        <v>#N/A</v>
      </c>
      <c r="Q20" s="101" t="e">
        <f>VLOOKUP(A20,'BSE ALL CAP'!$B$4:$Y$1038,16,)</f>
        <v>#N/A</v>
      </c>
      <c r="R20" s="101" t="e">
        <f>VLOOKUP(A20,'BSE ALL CAP'!$B$4:$Y$1038,17,)</f>
        <v>#N/A</v>
      </c>
      <c r="S20" s="101" t="e">
        <f>VLOOKUP(A20,'BSE ALL CAP'!$B$4:$Y$1038,18,)</f>
        <v>#N/A</v>
      </c>
      <c r="T20" s="101" t="e">
        <f>VLOOKUP(A20,'BSE ALL CAP'!$B$4:$Y$1038,19,)</f>
        <v>#N/A</v>
      </c>
      <c r="U20" s="101" t="e">
        <f>VLOOKUP(A20,'BSE ALL CAP'!$B$4:$Y$1038,20,)</f>
        <v>#N/A</v>
      </c>
      <c r="V20" s="101" t="e">
        <f>VLOOKUP(A20,'BSE ALL CAP'!$B$4:$Y$1038,21,)</f>
        <v>#N/A</v>
      </c>
      <c r="W20" s="101" t="e">
        <f>VLOOKUP(A20,'BSE ALL CAP'!$B$4:$Y$1038,22,)</f>
        <v>#N/A</v>
      </c>
      <c r="X20" s="101" t="e">
        <f>VLOOKUP(A20,'BSE ALL CAP'!$B$4:$Y$1038,23,)</f>
        <v>#N/A</v>
      </c>
      <c r="Y20" s="101" t="e">
        <f>VLOOKUP(A20,'BSE ALL CAP'!$B$4:$Y$1038,24,)</f>
        <v>#N/A</v>
      </c>
    </row>
    <row r="21" spans="1:25" ht="15.75" customHeight="1">
      <c r="A21" s="99">
        <v>512361</v>
      </c>
      <c r="B21" s="98" t="s">
        <v>5821</v>
      </c>
      <c r="C21" s="174" t="e">
        <f>VLOOKUP(A21,'BSE ALL CAP'!$B$4:$Y$1034,2,)</f>
        <v>#N/A</v>
      </c>
      <c r="D21" s="174" t="e">
        <f>VLOOKUP(A21,'BSE ALL CAP'!$B$4:$Y$1034,3,)</f>
        <v>#N/A</v>
      </c>
      <c r="E21" s="101">
        <f ca="1">IFERROR(__xludf.DUMMYFUNCTION("GOOGLEFINANCE(""BOM:""&amp;A21,""PRICE"")"),22.37)</f>
        <v>22.37</v>
      </c>
      <c r="F21" s="112">
        <f ca="1">IFERROR(__xludf.DUMMYFUNCTION("GOOGLEFINANCE(""BOM:""&amp;A21,""MARKETCAP"")/10000000"),204.3349921)</f>
        <v>204.33499209999999</v>
      </c>
      <c r="G21" s="95">
        <f t="shared" ca="1" si="0"/>
        <v>9.6376058341926085E-4</v>
      </c>
      <c r="H21" s="101"/>
      <c r="I21" s="101"/>
      <c r="J21" s="101"/>
      <c r="K21" s="101"/>
      <c r="L21" s="101"/>
      <c r="M21" s="101"/>
      <c r="N21" s="101"/>
      <c r="O21" s="101"/>
      <c r="P21" s="101" t="e">
        <f>VLOOKUP(A21,'BSE ALL CAP'!$B$4:$Y$1038,15,)</f>
        <v>#N/A</v>
      </c>
      <c r="Q21" s="101" t="e">
        <f>VLOOKUP(A21,'BSE ALL CAP'!$B$4:$Y$1038,16,)</f>
        <v>#N/A</v>
      </c>
      <c r="R21" s="101" t="e">
        <f>VLOOKUP(A21,'BSE ALL CAP'!$B$4:$Y$1038,17,)</f>
        <v>#N/A</v>
      </c>
      <c r="S21" s="101" t="e">
        <f>VLOOKUP(A21,'BSE ALL CAP'!$B$4:$Y$1038,18,)</f>
        <v>#N/A</v>
      </c>
      <c r="T21" s="101" t="e">
        <f>VLOOKUP(A21,'BSE ALL CAP'!$B$4:$Y$1038,19,)</f>
        <v>#N/A</v>
      </c>
      <c r="U21" s="101" t="e">
        <f>VLOOKUP(A21,'BSE ALL CAP'!$B$4:$Y$1038,20,)</f>
        <v>#N/A</v>
      </c>
      <c r="V21" s="101" t="e">
        <f>VLOOKUP(A21,'BSE ALL CAP'!$B$4:$Y$1038,21,)</f>
        <v>#N/A</v>
      </c>
      <c r="W21" s="101" t="e">
        <f>VLOOKUP(A21,'BSE ALL CAP'!$B$4:$Y$1038,22,)</f>
        <v>#N/A</v>
      </c>
      <c r="X21" s="101" t="e">
        <f>VLOOKUP(A21,'BSE ALL CAP'!$B$4:$Y$1038,23,)</f>
        <v>#N/A</v>
      </c>
      <c r="Y21" s="101" t="e">
        <f>VLOOKUP(A21,'BSE ALL CAP'!$B$4:$Y$1038,24,)</f>
        <v>#N/A</v>
      </c>
    </row>
    <row r="22" spans="1:25" ht="15.75" customHeight="1">
      <c r="A22" s="99">
        <v>516032</v>
      </c>
      <c r="B22" s="98" t="s">
        <v>5822</v>
      </c>
      <c r="C22" s="174" t="e">
        <f>VLOOKUP(A22,'BSE ALL CAP'!$B$4:$Y$1034,2,)</f>
        <v>#N/A</v>
      </c>
      <c r="D22" s="174" t="e">
        <f>VLOOKUP(A22,'BSE ALL CAP'!$B$4:$Y$1034,3,)</f>
        <v>#N/A</v>
      </c>
      <c r="E22" s="101">
        <f ca="1">IFERROR(__xludf.DUMMYFUNCTION("GOOGLEFINANCE(""BOM:""&amp;A22,""PRICE"")"),6.35)</f>
        <v>6.35</v>
      </c>
      <c r="F22" s="112">
        <f ca="1">IFERROR(__xludf.DUMMYFUNCTION("GOOGLEFINANCE(""BOM:""&amp;A22,""MARKETCAP"")/10000000"),99.39338)</f>
        <v>99.393379999999993</v>
      </c>
      <c r="G22" s="95">
        <f t="shared" ca="1" si="0"/>
        <v>4.6879597523821417E-4</v>
      </c>
      <c r="H22" s="101"/>
      <c r="I22" s="101"/>
      <c r="J22" s="101"/>
      <c r="K22" s="101"/>
      <c r="L22" s="101"/>
      <c r="M22" s="101"/>
      <c r="N22" s="101"/>
      <c r="O22" s="101"/>
      <c r="P22" s="101" t="e">
        <f>VLOOKUP(A22,'BSE ALL CAP'!$B$4:$Y$1038,15,)</f>
        <v>#N/A</v>
      </c>
      <c r="Q22" s="101" t="e">
        <f>VLOOKUP(A22,'BSE ALL CAP'!$B$4:$Y$1038,16,)</f>
        <v>#N/A</v>
      </c>
      <c r="R22" s="101" t="e">
        <f>VLOOKUP(A22,'BSE ALL CAP'!$B$4:$Y$1038,17,)</f>
        <v>#N/A</v>
      </c>
      <c r="S22" s="101" t="e">
        <f>VLOOKUP(A22,'BSE ALL CAP'!$B$4:$Y$1038,18,)</f>
        <v>#N/A</v>
      </c>
      <c r="T22" s="101" t="e">
        <f>VLOOKUP(A22,'BSE ALL CAP'!$B$4:$Y$1038,19,)</f>
        <v>#N/A</v>
      </c>
      <c r="U22" s="101" t="e">
        <f>VLOOKUP(A22,'BSE ALL CAP'!$B$4:$Y$1038,20,)</f>
        <v>#N/A</v>
      </c>
      <c r="V22" s="101" t="e">
        <f>VLOOKUP(A22,'BSE ALL CAP'!$B$4:$Y$1038,21,)</f>
        <v>#N/A</v>
      </c>
      <c r="W22" s="101" t="e">
        <f>VLOOKUP(A22,'BSE ALL CAP'!$B$4:$Y$1038,22,)</f>
        <v>#N/A</v>
      </c>
      <c r="X22" s="101" t="e">
        <f>VLOOKUP(A22,'BSE ALL CAP'!$B$4:$Y$1038,23,)</f>
        <v>#N/A</v>
      </c>
      <c r="Y22" s="101" t="e">
        <f>VLOOKUP(A22,'BSE ALL CAP'!$B$4:$Y$1038,24,)</f>
        <v>#N/A</v>
      </c>
    </row>
    <row r="23" spans="1:25" ht="15.75" customHeight="1">
      <c r="A23" s="99">
        <v>523309</v>
      </c>
      <c r="B23" s="98" t="s">
        <v>5823</v>
      </c>
      <c r="C23" s="174" t="e">
        <f>VLOOKUP(A23,'BSE ALL CAP'!$B$4:$Y$1034,2,)</f>
        <v>#N/A</v>
      </c>
      <c r="D23" s="174" t="e">
        <f>VLOOKUP(A23,'BSE ALL CAP'!$B$4:$Y$1034,3,)</f>
        <v>#N/A</v>
      </c>
      <c r="E23" s="101">
        <f ca="1">IFERROR(__xludf.DUMMYFUNCTION("GOOGLEFINANCE(""BOM:""&amp;A23,""PRICE"")"),78.79)</f>
        <v>78.790000000000006</v>
      </c>
      <c r="F23" s="112">
        <f ca="1">IFERROR(__xludf.DUMMYFUNCTION("GOOGLEFINANCE(""BOM:""&amp;A23,""MARKETCAP"")/10000000"),157.422343)</f>
        <v>157.42234300000001</v>
      </c>
      <c r="G23" s="95">
        <f t="shared" ca="1" si="0"/>
        <v>7.4249372353540715E-4</v>
      </c>
      <c r="H23" s="101"/>
      <c r="I23" s="101"/>
      <c r="J23" s="101"/>
      <c r="K23" s="101"/>
      <c r="L23" s="101"/>
      <c r="M23" s="101"/>
      <c r="N23" s="101"/>
      <c r="O23" s="101"/>
      <c r="P23" s="101" t="e">
        <f>VLOOKUP(A23,'BSE ALL CAP'!$B$4:$Y$1038,15,)</f>
        <v>#N/A</v>
      </c>
      <c r="Q23" s="101" t="e">
        <f>VLOOKUP(A23,'BSE ALL CAP'!$B$4:$Y$1038,16,)</f>
        <v>#N/A</v>
      </c>
      <c r="R23" s="101" t="e">
        <f>VLOOKUP(A23,'BSE ALL CAP'!$B$4:$Y$1038,17,)</f>
        <v>#N/A</v>
      </c>
      <c r="S23" s="101" t="e">
        <f>VLOOKUP(A23,'BSE ALL CAP'!$B$4:$Y$1038,18,)</f>
        <v>#N/A</v>
      </c>
      <c r="T23" s="101" t="e">
        <f>VLOOKUP(A23,'BSE ALL CAP'!$B$4:$Y$1038,19,)</f>
        <v>#N/A</v>
      </c>
      <c r="U23" s="101" t="e">
        <f>VLOOKUP(A23,'BSE ALL CAP'!$B$4:$Y$1038,20,)</f>
        <v>#N/A</v>
      </c>
      <c r="V23" s="101" t="e">
        <f>VLOOKUP(A23,'BSE ALL CAP'!$B$4:$Y$1038,21,)</f>
        <v>#N/A</v>
      </c>
      <c r="W23" s="101" t="e">
        <f>VLOOKUP(A23,'BSE ALL CAP'!$B$4:$Y$1038,22,)</f>
        <v>#N/A</v>
      </c>
      <c r="X23" s="101" t="e">
        <f>VLOOKUP(A23,'BSE ALL CAP'!$B$4:$Y$1038,23,)</f>
        <v>#N/A</v>
      </c>
      <c r="Y23" s="101" t="e">
        <f>VLOOKUP(A23,'BSE ALL CAP'!$B$4:$Y$1038,24,)</f>
        <v>#N/A</v>
      </c>
    </row>
    <row r="24" spans="1:25" ht="15.75" customHeight="1">
      <c r="A24" s="99">
        <v>526211</v>
      </c>
      <c r="B24" s="98" t="s">
        <v>5824</v>
      </c>
      <c r="C24" s="174" t="e">
        <f>VLOOKUP(A24,'BSE ALL CAP'!$B$4:$Y$1034,2,)</f>
        <v>#N/A</v>
      </c>
      <c r="D24" s="174" t="e">
        <f>VLOOKUP(A24,'BSE ALL CAP'!$B$4:$Y$1034,3,)</f>
        <v>#N/A</v>
      </c>
      <c r="E24" s="101">
        <f ca="1">IFERROR(__xludf.DUMMYFUNCTION("GOOGLEFINANCE(""BOM:""&amp;A24,""PRICE"")"),44.99)</f>
        <v>44.99</v>
      </c>
      <c r="F24" s="112">
        <f ca="1">IFERROR(__xludf.DUMMYFUNCTION("GOOGLEFINANCE(""BOM:""&amp;A24,""MARKETCAP"")/10000000"),143.8384341)</f>
        <v>143.8384341</v>
      </c>
      <c r="G24" s="95">
        <f t="shared" ca="1" si="0"/>
        <v>6.7842424707407177E-4</v>
      </c>
      <c r="H24" s="101"/>
      <c r="I24" s="101"/>
      <c r="J24" s="101"/>
      <c r="K24" s="101"/>
      <c r="L24" s="101"/>
      <c r="M24" s="101"/>
      <c r="N24" s="101"/>
      <c r="O24" s="101"/>
      <c r="P24" s="101" t="e">
        <f>VLOOKUP(A24,'BSE ALL CAP'!$B$4:$Y$1038,15,)</f>
        <v>#N/A</v>
      </c>
      <c r="Q24" s="101" t="e">
        <f>VLOOKUP(A24,'BSE ALL CAP'!$B$4:$Y$1038,16,)</f>
        <v>#N/A</v>
      </c>
      <c r="R24" s="101" t="e">
        <f>VLOOKUP(A24,'BSE ALL CAP'!$B$4:$Y$1038,17,)</f>
        <v>#N/A</v>
      </c>
      <c r="S24" s="101" t="e">
        <f>VLOOKUP(A24,'BSE ALL CAP'!$B$4:$Y$1038,18,)</f>
        <v>#N/A</v>
      </c>
      <c r="T24" s="101" t="e">
        <f>VLOOKUP(A24,'BSE ALL CAP'!$B$4:$Y$1038,19,)</f>
        <v>#N/A</v>
      </c>
      <c r="U24" s="101" t="e">
        <f>VLOOKUP(A24,'BSE ALL CAP'!$B$4:$Y$1038,20,)</f>
        <v>#N/A</v>
      </c>
      <c r="V24" s="101" t="e">
        <f>VLOOKUP(A24,'BSE ALL CAP'!$B$4:$Y$1038,21,)</f>
        <v>#N/A</v>
      </c>
      <c r="W24" s="101" t="e">
        <f>VLOOKUP(A24,'BSE ALL CAP'!$B$4:$Y$1038,22,)</f>
        <v>#N/A</v>
      </c>
      <c r="X24" s="101" t="e">
        <f>VLOOKUP(A24,'BSE ALL CAP'!$B$4:$Y$1038,23,)</f>
        <v>#N/A</v>
      </c>
      <c r="Y24" s="101" t="e">
        <f>VLOOKUP(A24,'BSE ALL CAP'!$B$4:$Y$1038,24,)</f>
        <v>#N/A</v>
      </c>
    </row>
    <row r="25" spans="1:25" ht="14.4">
      <c r="A25" s="99">
        <v>531126</v>
      </c>
      <c r="B25" s="98" t="s">
        <v>5825</v>
      </c>
      <c r="C25" s="174" t="e">
        <f>VLOOKUP(A25,'BSE ALL CAP'!$B$4:$Y$1034,2,)</f>
        <v>#N/A</v>
      </c>
      <c r="D25" s="174" t="e">
        <f>VLOOKUP(A25,'BSE ALL CAP'!$B$4:$Y$1034,3,)</f>
        <v>#N/A</v>
      </c>
      <c r="E25" s="101">
        <f ca="1">IFERROR(__xludf.DUMMYFUNCTION("GOOGLEFINANCE(""BOM:""&amp;A25,""PRICE"")"),21.35)</f>
        <v>21.35</v>
      </c>
      <c r="F25" s="112">
        <f ca="1">IFERROR(__xludf.DUMMYFUNCTION("GOOGLEFINANCE(""BOM:""&amp;A25,""MARKETCAP"")/10000000"),98.2499476)</f>
        <v>98.249947599999999</v>
      </c>
      <c r="G25" s="95">
        <f t="shared" ca="1" si="0"/>
        <v>4.6340289466205339E-4</v>
      </c>
      <c r="H25" s="101"/>
      <c r="I25" s="101"/>
      <c r="J25" s="101"/>
      <c r="K25" s="101"/>
      <c r="L25" s="101"/>
      <c r="M25" s="101"/>
      <c r="N25" s="101"/>
      <c r="O25" s="101"/>
      <c r="P25" s="101" t="e">
        <f>VLOOKUP(A25,'BSE ALL CAP'!$B$4:$Y$1038,15,)</f>
        <v>#N/A</v>
      </c>
      <c r="Q25" s="101" t="e">
        <f>VLOOKUP(A25,'BSE ALL CAP'!$B$4:$Y$1038,16,)</f>
        <v>#N/A</v>
      </c>
      <c r="R25" s="101" t="e">
        <f>VLOOKUP(A25,'BSE ALL CAP'!$B$4:$Y$1038,17,)</f>
        <v>#N/A</v>
      </c>
      <c r="S25" s="101" t="e">
        <f>VLOOKUP(A25,'BSE ALL CAP'!$B$4:$Y$1038,18,)</f>
        <v>#N/A</v>
      </c>
      <c r="T25" s="101" t="e">
        <f>VLOOKUP(A25,'BSE ALL CAP'!$B$4:$Y$1038,19,)</f>
        <v>#N/A</v>
      </c>
      <c r="U25" s="101" t="e">
        <f>VLOOKUP(A25,'BSE ALL CAP'!$B$4:$Y$1038,20,)</f>
        <v>#N/A</v>
      </c>
      <c r="V25" s="101" t="e">
        <f>VLOOKUP(A25,'BSE ALL CAP'!$B$4:$Y$1038,21,)</f>
        <v>#N/A</v>
      </c>
      <c r="W25" s="101" t="e">
        <f>VLOOKUP(A25,'BSE ALL CAP'!$B$4:$Y$1038,22,)</f>
        <v>#N/A</v>
      </c>
      <c r="X25" s="101" t="e">
        <f>VLOOKUP(A25,'BSE ALL CAP'!$B$4:$Y$1038,23,)</f>
        <v>#N/A</v>
      </c>
      <c r="Y25" s="101" t="e">
        <f>VLOOKUP(A25,'BSE ALL CAP'!$B$4:$Y$1038,24,)</f>
        <v>#N/A</v>
      </c>
    </row>
    <row r="26" spans="1:25" ht="14.4">
      <c r="A26" s="99">
        <v>526471</v>
      </c>
      <c r="B26" s="98" t="s">
        <v>5826</v>
      </c>
      <c r="C26" s="174" t="e">
        <f>VLOOKUP(A26,'BSE ALL CAP'!$B$4:$Y$1034,2,)</f>
        <v>#N/A</v>
      </c>
      <c r="D26" s="174" t="e">
        <f>VLOOKUP(A26,'BSE ALL CAP'!$B$4:$Y$1034,3,)</f>
        <v>#N/A</v>
      </c>
      <c r="E26" s="101">
        <f ca="1">IFERROR(__xludf.DUMMYFUNCTION("GOOGLEFINANCE(""BOM:""&amp;A26,""PRICE"")"),20.77)</f>
        <v>20.77</v>
      </c>
      <c r="F26" s="112">
        <f ca="1">IFERROR(__xludf.DUMMYFUNCTION("GOOGLEFINANCE(""BOM:""&amp;A26,""MARKETCAP"")/10000000"),57.4682857)</f>
        <v>57.468285700000003</v>
      </c>
      <c r="G26" s="95">
        <f t="shared" ca="1" si="0"/>
        <v>2.7105327376933776E-4</v>
      </c>
      <c r="H26" s="101"/>
      <c r="I26" s="101"/>
      <c r="J26" s="101"/>
      <c r="K26" s="101"/>
      <c r="L26" s="101"/>
      <c r="M26" s="101"/>
      <c r="N26" s="101"/>
      <c r="O26" s="101"/>
      <c r="P26" s="101" t="e">
        <f>VLOOKUP(A26,'BSE ALL CAP'!$B$4:$Y$1038,15,)</f>
        <v>#N/A</v>
      </c>
      <c r="Q26" s="101" t="e">
        <f>VLOOKUP(A26,'BSE ALL CAP'!$B$4:$Y$1038,16,)</f>
        <v>#N/A</v>
      </c>
      <c r="R26" s="101" t="e">
        <f>VLOOKUP(A26,'BSE ALL CAP'!$B$4:$Y$1038,17,)</f>
        <v>#N/A</v>
      </c>
      <c r="S26" s="101" t="e">
        <f>VLOOKUP(A26,'BSE ALL CAP'!$B$4:$Y$1038,18,)</f>
        <v>#N/A</v>
      </c>
      <c r="T26" s="101" t="e">
        <f>VLOOKUP(A26,'BSE ALL CAP'!$B$4:$Y$1038,19,)</f>
        <v>#N/A</v>
      </c>
      <c r="U26" s="101" t="e">
        <f>VLOOKUP(A26,'BSE ALL CAP'!$B$4:$Y$1038,20,)</f>
        <v>#N/A</v>
      </c>
      <c r="V26" s="101" t="e">
        <f>VLOOKUP(A26,'BSE ALL CAP'!$B$4:$Y$1038,21,)</f>
        <v>#N/A</v>
      </c>
      <c r="W26" s="101" t="e">
        <f>VLOOKUP(A26,'BSE ALL CAP'!$B$4:$Y$1038,22,)</f>
        <v>#N/A</v>
      </c>
      <c r="X26" s="101" t="e">
        <f>VLOOKUP(A26,'BSE ALL CAP'!$B$4:$Y$1038,23,)</f>
        <v>#N/A</v>
      </c>
      <c r="Y26" s="101" t="e">
        <f>VLOOKUP(A26,'BSE ALL CAP'!$B$4:$Y$1038,24,)</f>
        <v>#N/A</v>
      </c>
    </row>
    <row r="27" spans="1:25" ht="14.4">
      <c r="A27" s="99">
        <v>533294</v>
      </c>
      <c r="B27" s="98" t="s">
        <v>5827</v>
      </c>
      <c r="C27" s="174" t="e">
        <f>VLOOKUP(A27,'BSE ALL CAP'!$B$4:$Y$1034,2,)</f>
        <v>#N/A</v>
      </c>
      <c r="D27" s="174" t="e">
        <f>VLOOKUP(A27,'BSE ALL CAP'!$B$4:$Y$1034,3,)</f>
        <v>#N/A</v>
      </c>
      <c r="E27" s="101">
        <f ca="1">IFERROR(__xludf.DUMMYFUNCTION("GOOGLEFINANCE(""BOM:""&amp;A27,""PRICE"")"),19.48)</f>
        <v>19.48</v>
      </c>
      <c r="F27" s="112">
        <f ca="1">IFERROR(__xludf.DUMMYFUNCTION("GOOGLEFINANCE(""BOM:""&amp;A27,""MARKETCAP"")/10000000"),45.6720016)</f>
        <v>45.672001600000002</v>
      </c>
      <c r="G27" s="95">
        <f t="shared" ca="1" si="0"/>
        <v>2.1541525734564295E-4</v>
      </c>
      <c r="H27" s="101"/>
      <c r="I27" s="101"/>
      <c r="J27" s="101"/>
      <c r="K27" s="101"/>
      <c r="L27" s="101"/>
      <c r="M27" s="101"/>
      <c r="N27" s="101"/>
      <c r="O27" s="101"/>
      <c r="P27" s="101" t="e">
        <f>VLOOKUP(A27,'BSE ALL CAP'!$B$4:$Y$1038,15,)</f>
        <v>#N/A</v>
      </c>
      <c r="Q27" s="101" t="e">
        <f>VLOOKUP(A27,'BSE ALL CAP'!$B$4:$Y$1038,16,)</f>
        <v>#N/A</v>
      </c>
      <c r="R27" s="101" t="e">
        <f>VLOOKUP(A27,'BSE ALL CAP'!$B$4:$Y$1038,17,)</f>
        <v>#N/A</v>
      </c>
      <c r="S27" s="101" t="e">
        <f>VLOOKUP(A27,'BSE ALL CAP'!$B$4:$Y$1038,18,)</f>
        <v>#N/A</v>
      </c>
      <c r="T27" s="101" t="e">
        <f>VLOOKUP(A27,'BSE ALL CAP'!$B$4:$Y$1038,19,)</f>
        <v>#N/A</v>
      </c>
      <c r="U27" s="101" t="e">
        <f>VLOOKUP(A27,'BSE ALL CAP'!$B$4:$Y$1038,20,)</f>
        <v>#N/A</v>
      </c>
      <c r="V27" s="101" t="e">
        <f>VLOOKUP(A27,'BSE ALL CAP'!$B$4:$Y$1038,21,)</f>
        <v>#N/A</v>
      </c>
      <c r="W27" s="101" t="e">
        <f>VLOOKUP(A27,'BSE ALL CAP'!$B$4:$Y$1038,22,)</f>
        <v>#N/A</v>
      </c>
      <c r="X27" s="101" t="e">
        <f>VLOOKUP(A27,'BSE ALL CAP'!$B$4:$Y$1038,23,)</f>
        <v>#N/A</v>
      </c>
      <c r="Y27" s="101" t="e">
        <f>VLOOKUP(A27,'BSE ALL CAP'!$B$4:$Y$1038,24,)</f>
        <v>#N/A</v>
      </c>
    </row>
    <row r="28" spans="1:25" ht="14.4">
      <c r="A28" s="99">
        <v>531635</v>
      </c>
      <c r="B28" s="98" t="s">
        <v>5828</v>
      </c>
      <c r="C28" s="174" t="e">
        <f>VLOOKUP(A28,'BSE ALL CAP'!$B$4:$Y$1034,2,)</f>
        <v>#N/A</v>
      </c>
      <c r="D28" s="174" t="e">
        <f>VLOOKUP(A28,'BSE ALL CAP'!$B$4:$Y$1034,3,)</f>
        <v>#N/A</v>
      </c>
      <c r="E28" s="101">
        <f ca="1">IFERROR(__xludf.DUMMYFUNCTION("GOOGLEFINANCE(""BOM:""&amp;A28,""PRICE"")"),78)</f>
        <v>78</v>
      </c>
      <c r="F28" s="112">
        <f ca="1">IFERROR(__xludf.DUMMYFUNCTION("GOOGLEFINANCE(""BOM:""&amp;A28,""MARKETCAP"")/10000000"),29.56356)</f>
        <v>29.563559999999999</v>
      </c>
      <c r="G28" s="95">
        <f t="shared" ca="1" si="0"/>
        <v>1.3943864210788946E-4</v>
      </c>
      <c r="H28" s="101"/>
      <c r="I28" s="101"/>
      <c r="J28" s="101"/>
      <c r="K28" s="101"/>
      <c r="L28" s="101"/>
      <c r="M28" s="101"/>
      <c r="N28" s="101"/>
      <c r="O28" s="101"/>
      <c r="P28" s="101" t="e">
        <f>VLOOKUP(A28,'BSE ALL CAP'!$B$4:$Y$1038,15,)</f>
        <v>#N/A</v>
      </c>
      <c r="Q28" s="101" t="e">
        <f>VLOOKUP(A28,'BSE ALL CAP'!$B$4:$Y$1038,16,)</f>
        <v>#N/A</v>
      </c>
      <c r="R28" s="101" t="e">
        <f>VLOOKUP(A28,'BSE ALL CAP'!$B$4:$Y$1038,17,)</f>
        <v>#N/A</v>
      </c>
      <c r="S28" s="101" t="e">
        <f>VLOOKUP(A28,'BSE ALL CAP'!$B$4:$Y$1038,18,)</f>
        <v>#N/A</v>
      </c>
      <c r="T28" s="101" t="e">
        <f>VLOOKUP(A28,'BSE ALL CAP'!$B$4:$Y$1038,19,)</f>
        <v>#N/A</v>
      </c>
      <c r="U28" s="101" t="e">
        <f>VLOOKUP(A28,'BSE ALL CAP'!$B$4:$Y$1038,20,)</f>
        <v>#N/A</v>
      </c>
      <c r="V28" s="101" t="e">
        <f>VLOOKUP(A28,'BSE ALL CAP'!$B$4:$Y$1038,21,)</f>
        <v>#N/A</v>
      </c>
      <c r="W28" s="101" t="e">
        <f>VLOOKUP(A28,'BSE ALL CAP'!$B$4:$Y$1038,22,)</f>
        <v>#N/A</v>
      </c>
      <c r="X28" s="101" t="e">
        <f>VLOOKUP(A28,'BSE ALL CAP'!$B$4:$Y$1038,23,)</f>
        <v>#N/A</v>
      </c>
      <c r="Y28" s="101" t="e">
        <f>VLOOKUP(A28,'BSE ALL CAP'!$B$4:$Y$1038,24,)</f>
        <v>#N/A</v>
      </c>
    </row>
    <row r="29" spans="1:25" ht="13.2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3.2">
      <c r="A30" s="101"/>
      <c r="B30" s="101"/>
      <c r="C30" s="101"/>
      <c r="D30" s="101"/>
      <c r="E30" s="101"/>
      <c r="F30" s="112">
        <f ca="1">SUM(F2:F28)</f>
        <v>212018.41579270002</v>
      </c>
      <c r="G30" s="95">
        <f ca="1">F30/$F$30</f>
        <v>1</v>
      </c>
      <c r="H30" s="101">
        <f t="shared" ref="H30:O30" si="1">SUM(H2:H28)</f>
        <v>72342</v>
      </c>
      <c r="I30" s="101">
        <f t="shared" si="1"/>
        <v>68614</v>
      </c>
      <c r="J30" s="101">
        <f t="shared" si="1"/>
        <v>2721</v>
      </c>
      <c r="K30" s="101">
        <f t="shared" si="1"/>
        <v>2340</v>
      </c>
      <c r="L30" s="101">
        <f t="shared" si="1"/>
        <v>25296</v>
      </c>
      <c r="M30" s="101">
        <f t="shared" si="1"/>
        <v>23898</v>
      </c>
      <c r="N30" s="101">
        <f t="shared" si="1"/>
        <v>798</v>
      </c>
      <c r="O30" s="101">
        <f t="shared" si="1"/>
        <v>680.72</v>
      </c>
      <c r="P30" s="13">
        <f t="shared" ref="P30:Q30" si="2">J30/H30</f>
        <v>3.7613004893422911E-2</v>
      </c>
      <c r="Q30" s="13">
        <f t="shared" si="2"/>
        <v>3.4103827207275485E-2</v>
      </c>
      <c r="R30" s="13">
        <f>P30-Q30</f>
        <v>3.5091776861474258E-3</v>
      </c>
      <c r="S30" s="13">
        <f t="shared" ref="S30:T30" si="3">N30/L30</f>
        <v>3.1546489563567363E-2</v>
      </c>
      <c r="T30" s="13">
        <f t="shared" si="3"/>
        <v>2.8484391999330488E-2</v>
      </c>
      <c r="U30" s="13">
        <f>S30-T30</f>
        <v>3.0620975642368757E-3</v>
      </c>
      <c r="V30" s="13">
        <f>(H30/I30)-1</f>
        <v>5.4332934969539837E-2</v>
      </c>
      <c r="W30" s="13">
        <f>(J30/K30)-1</f>
        <v>0.16282051282051291</v>
      </c>
      <c r="X30" s="13">
        <f>(L30/M30)-1</f>
        <v>5.849861913130816E-2</v>
      </c>
      <c r="Y30" s="13">
        <f>(N30/O30)-1</f>
        <v>0.17228816547185333</v>
      </c>
    </row>
  </sheetData>
  <autoFilter ref="A1:Y28" xr:uid="{00000000-0009-0000-0000-0000BB000000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512463</v>
      </c>
      <c r="B2" s="98" t="s">
        <v>1593</v>
      </c>
      <c r="C2" s="334" t="str">
        <f>VLOOKUP(A2,'BSE ALL CAP'!$B$4:$Y$1038,2,)</f>
        <v>Commodities</v>
      </c>
      <c r="D2" s="334" t="str">
        <f>VLOOKUP(A2,'BSE ALL CAP'!$B$4:$Y$1038,3,)</f>
        <v>Trading - Metals</v>
      </c>
      <c r="E2" s="11">
        <f ca="1">IFERROR(__xludf.DUMMYFUNCTION("GOOGLEFINANCE(""BOM:""&amp;A2,""PRICE"")"),47.04)</f>
        <v>47.04</v>
      </c>
      <c r="F2" s="20">
        <f ca="1">IFERROR(__xludf.DUMMYFUNCTION("GOOGLEFINANCE(""BOM:""&amp;A2,""MARKETCAP"")/10000000"),7143.0176543)</f>
        <v>7143.0176542999998</v>
      </c>
      <c r="G2" s="95">
        <f t="shared" ref="G2:G11" ca="1" si="0">F2/$F$13</f>
        <v>0.48910883586650528</v>
      </c>
      <c r="H2" s="101">
        <f>VLOOKUP(A2,'BSE ALL CAP'!$B$4:$Y$1038,7,)</f>
        <v>1037</v>
      </c>
      <c r="I2" s="101">
        <f>VLOOKUP(A2,'BSE ALL CAP'!$B$4:$Y$1038,8,)</f>
        <v>999</v>
      </c>
      <c r="J2" s="101">
        <f>VLOOKUP(A2,'BSE ALL CAP'!$B$4:$Y$1038,9,)</f>
        <v>348</v>
      </c>
      <c r="K2" s="101">
        <f>VLOOKUP(A2,'BSE ALL CAP'!$B$4:$Y$1038,10,)</f>
        <v>99</v>
      </c>
      <c r="L2" s="101">
        <f>VLOOKUP(A2,'BSE ALL CAP'!$B$4:$Y$1038,11,)</f>
        <v>299</v>
      </c>
      <c r="M2" s="101">
        <f>VLOOKUP(A2,'BSE ALL CAP'!$B$4:$Y$1038,12,)</f>
        <v>290</v>
      </c>
      <c r="N2" s="101">
        <f>VLOOKUP(A2,'BSE ALL CAP'!$B$4:$Y$1038,13,)</f>
        <v>38</v>
      </c>
      <c r="O2" s="101">
        <f>VLOOKUP(A2,'BSE ALL CAP'!$B$4:$Y$1038,14,)</f>
        <v>41</v>
      </c>
      <c r="P2" s="95">
        <f>VLOOKUP(A2,'BSE ALL CAP'!$B$4:$Y$1038,15,)</f>
        <v>0.33558341369334621</v>
      </c>
      <c r="Q2" s="95">
        <f>VLOOKUP(A2,'BSE ALL CAP'!$B$4:$Y$1038,16,)</f>
        <v>9.90990990990991E-2</v>
      </c>
      <c r="R2" s="95">
        <f>VLOOKUP(A2,'BSE ALL CAP'!$B$4:$Y$1038,17,)</f>
        <v>0.23648431459424712</v>
      </c>
      <c r="S2" s="95">
        <f>VLOOKUP(A2,'BSE ALL CAP'!$B$4:$Y$1038,18,)</f>
        <v>0.12709030100334448</v>
      </c>
      <c r="T2" s="95">
        <f>VLOOKUP(A2,'BSE ALL CAP'!$B$4:$Y$1038,19,)</f>
        <v>0.14137931034482759</v>
      </c>
      <c r="U2" s="95">
        <f>VLOOKUP(A2,'BSE ALL CAP'!$B$4:$Y$1038,20,)</f>
        <v>-1.4289009341483111E-2</v>
      </c>
      <c r="V2" s="95">
        <f>VLOOKUP(A2,'BSE ALL CAP'!$B$4:$Y$1038,21,)</f>
        <v>3.8038038038038069E-2</v>
      </c>
      <c r="W2" s="95">
        <f>VLOOKUP(A2,'BSE ALL CAP'!$B$4:$Y$1038,22,)</f>
        <v>2.5151515151515151</v>
      </c>
      <c r="X2" s="95">
        <f>VLOOKUP(A2,'BSE ALL CAP'!$B$4:$Y$1038,23,)</f>
        <v>3.1034482758620641E-2</v>
      </c>
      <c r="Y2" s="95">
        <f>VLOOKUP(A2,'BSE ALL CAP'!$B$4:$Y$1038,24,)</f>
        <v>-7.3170731707317027E-2</v>
      </c>
    </row>
    <row r="3" spans="1:25" ht="15.75" customHeight="1">
      <c r="A3" s="99">
        <v>512329</v>
      </c>
      <c r="B3" s="98" t="s">
        <v>1594</v>
      </c>
      <c r="C3" s="334" t="str">
        <f>VLOOKUP(A3,'BSE ALL CAP'!$B$4:$Y$1038,2,)</f>
        <v>Commodities</v>
      </c>
      <c r="D3" s="334" t="str">
        <f>VLOOKUP(A3,'BSE ALL CAP'!$B$4:$Y$1038,3,)</f>
        <v>Trading - Metals</v>
      </c>
      <c r="E3" s="11">
        <f ca="1">IFERROR(__xludf.DUMMYFUNCTION("GOOGLEFINANCE(""BOM:""&amp;A3,""PRICE"")"),503.2)</f>
        <v>503.2</v>
      </c>
      <c r="F3" s="20">
        <f ca="1">IFERROR(__xludf.DUMMYFUNCTION("GOOGLEFINANCE(""BOM:""&amp;A3,""MARKETCAP"")/10000000"),6344.7298461)</f>
        <v>6344.7298461</v>
      </c>
      <c r="G3" s="95">
        <f t="shared" ca="1" si="0"/>
        <v>0.43444711732517133</v>
      </c>
      <c r="H3" s="101">
        <f>VLOOKUP(A3,'BSE ALL CAP'!$B$4:$Y$1038,7,)</f>
        <v>4549</v>
      </c>
      <c r="I3" s="101">
        <f>VLOOKUP(A3,'BSE ALL CAP'!$B$4:$Y$1038,8,)</f>
        <v>4323</v>
      </c>
      <c r="J3" s="101">
        <f>VLOOKUP(A3,'BSE ALL CAP'!$B$4:$Y$1038,9,)</f>
        <v>69</v>
      </c>
      <c r="K3" s="101">
        <f>VLOOKUP(A3,'BSE ALL CAP'!$B$4:$Y$1038,10,)</f>
        <v>70</v>
      </c>
      <c r="L3" s="101">
        <f>VLOOKUP(A3,'BSE ALL CAP'!$B$4:$Y$1038,11,)</f>
        <v>1662</v>
      </c>
      <c r="M3" s="101">
        <f>VLOOKUP(A3,'BSE ALL CAP'!$B$4:$Y$1038,12,)</f>
        <v>1360</v>
      </c>
      <c r="N3" s="101">
        <f>VLOOKUP(A3,'BSE ALL CAP'!$B$4:$Y$1038,13,)</f>
        <v>10</v>
      </c>
      <c r="O3" s="101">
        <f>VLOOKUP(A3,'BSE ALL CAP'!$B$4:$Y$1038,14,)</f>
        <v>28</v>
      </c>
      <c r="P3" s="95">
        <f>VLOOKUP(A3,'BSE ALL CAP'!$B$4:$Y$1038,15,)</f>
        <v>1.5168168828313915E-2</v>
      </c>
      <c r="Q3" s="95">
        <f>VLOOKUP(A3,'BSE ALL CAP'!$B$4:$Y$1038,16,)</f>
        <v>1.6192458940550544E-2</v>
      </c>
      <c r="R3" s="95">
        <f>VLOOKUP(A3,'BSE ALL CAP'!$B$4:$Y$1038,17,)</f>
        <v>-1.0242901122366286E-3</v>
      </c>
      <c r="S3" s="95">
        <f>VLOOKUP(A3,'BSE ALL CAP'!$B$4:$Y$1038,18,)</f>
        <v>6.0168471720818293E-3</v>
      </c>
      <c r="T3" s="95">
        <f>VLOOKUP(A3,'BSE ALL CAP'!$B$4:$Y$1038,19,)</f>
        <v>2.0588235294117647E-2</v>
      </c>
      <c r="U3" s="95">
        <f>VLOOKUP(A3,'BSE ALL CAP'!$B$4:$Y$1038,20,)</f>
        <v>-1.4571388122035817E-2</v>
      </c>
      <c r="V3" s="95">
        <f>VLOOKUP(A3,'BSE ALL CAP'!$B$4:$Y$1038,21,)</f>
        <v>5.2278510293777503E-2</v>
      </c>
      <c r="W3" s="95">
        <f>VLOOKUP(A3,'BSE ALL CAP'!$B$4:$Y$1038,22,)</f>
        <v>-1.4285714285714235E-2</v>
      </c>
      <c r="X3" s="95">
        <f>VLOOKUP(A3,'BSE ALL CAP'!$B$4:$Y$1038,23,)</f>
        <v>0.22205882352941186</v>
      </c>
      <c r="Y3" s="95">
        <f>VLOOKUP(A3,'BSE ALL CAP'!$B$4:$Y$1038,24,)</f>
        <v>-0.64285714285714279</v>
      </c>
    </row>
    <row r="4" spans="1:25" ht="15.75" customHeight="1">
      <c r="A4" s="99">
        <v>544543</v>
      </c>
      <c r="B4" s="98" t="s">
        <v>1595</v>
      </c>
      <c r="C4" s="334"/>
      <c r="D4" s="334"/>
      <c r="E4" s="11">
        <f ca="1">IFERROR(__xludf.DUMMYFUNCTION("GOOGLEFINANCE(""BOM:""&amp;A4,""PRICE"")"),52.99)</f>
        <v>52.99</v>
      </c>
      <c r="F4" s="20">
        <f ca="1">IFERROR(__xludf.DUMMYFUNCTION("GOOGLEFINANCE(""BOM:""&amp;A4,""MARKETCAP"")/10000000"),459.589447)</f>
        <v>459.58944700000001</v>
      </c>
      <c r="G4" s="95">
        <f t="shared" ca="1" si="0"/>
        <v>3.1469789139241568E-2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506180</v>
      </c>
      <c r="B5" s="98" t="s">
        <v>1596</v>
      </c>
      <c r="C5" s="334"/>
      <c r="D5" s="334"/>
      <c r="E5" s="11">
        <f ca="1">IFERROR(__xludf.DUMMYFUNCTION("GOOGLEFINANCE(""BOM:""&amp;A5,""PRICE"")"),492.55)</f>
        <v>492.55</v>
      </c>
      <c r="F5" s="20">
        <f ca="1">IFERROR(__xludf.DUMMYFUNCTION("GOOGLEFINANCE(""BOM:""&amp;A5,""MARKETCAP"")/10000000"),225.0460894)</f>
        <v>225.0460894</v>
      </c>
      <c r="G5" s="95">
        <f t="shared" ca="1" si="0"/>
        <v>1.5409738030884131E-2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512165</v>
      </c>
      <c r="B6" s="98" t="s">
        <v>1597</v>
      </c>
      <c r="C6" s="334"/>
      <c r="D6" s="334"/>
      <c r="E6" s="11">
        <f ca="1">IFERROR(__xludf.DUMMYFUNCTION("GOOGLEFINANCE(""BOM:""&amp;A6,""PRICE"")"),21.88)</f>
        <v>21.88</v>
      </c>
      <c r="F6" s="20">
        <f ca="1">IFERROR(__xludf.DUMMYFUNCTION("GOOGLEFINANCE(""BOM:""&amp;A6,""MARKETCAP"")/10000000"),152.6104998)</f>
        <v>152.61049980000001</v>
      </c>
      <c r="G6" s="95">
        <f t="shared" ca="1" si="0"/>
        <v>1.0449805321879524E-2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505693</v>
      </c>
      <c r="B7" s="98" t="s">
        <v>1598</v>
      </c>
      <c r="C7" s="334"/>
      <c r="D7" s="334"/>
      <c r="E7" s="11">
        <f ca="1">IFERROR(__xludf.DUMMYFUNCTION("GOOGLEFINANCE(""BOM:""&amp;A7,""PRICE"")"),9.8)</f>
        <v>9.8000000000000007</v>
      </c>
      <c r="F7" s="20">
        <f ca="1">IFERROR(__xludf.DUMMYFUNCTION("GOOGLEFINANCE(""BOM:""&amp;A7,""MARKETCAP"")/10000000"),129.8219745)</f>
        <v>129.82197450000001</v>
      </c>
      <c r="G7" s="95">
        <f t="shared" ca="1" si="0"/>
        <v>8.8893907156118758E-3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543211</v>
      </c>
      <c r="B8" s="98" t="s">
        <v>1599</v>
      </c>
      <c r="C8" s="334"/>
      <c r="D8" s="334"/>
      <c r="E8" s="11">
        <f ca="1">IFERROR(__xludf.DUMMYFUNCTION("GOOGLEFINANCE(""BOM:""&amp;A8,""PRICE"")"),37.4)</f>
        <v>37.4</v>
      </c>
      <c r="F8" s="20">
        <f ca="1">IFERROR(__xludf.DUMMYFUNCTION("GOOGLEFINANCE(""BOM:""&amp;A8,""MARKETCAP"")/10000000"),61.5850128)</f>
        <v>61.585012800000001</v>
      </c>
      <c r="G8" s="95">
        <f t="shared" ca="1" si="0"/>
        <v>4.2169535867378023E-3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540923</v>
      </c>
      <c r="B9" s="98" t="s">
        <v>1600</v>
      </c>
      <c r="C9" s="334"/>
      <c r="D9" s="334"/>
      <c r="E9" s="11">
        <f ca="1">IFERROR(__xludf.DUMMYFUNCTION("GOOGLEFINANCE(""BOM:""&amp;A9,""PRICE"")"),13.75)</f>
        <v>13.75</v>
      </c>
      <c r="F9" s="20">
        <f ca="1">IFERROR(__xludf.DUMMYFUNCTION("GOOGLEFINANCE(""BOM:""&amp;A9,""MARKETCAP"")/10000000"),34.894416)</f>
        <v>34.894416</v>
      </c>
      <c r="G9" s="95">
        <f t="shared" ca="1" si="0"/>
        <v>2.3893497138044104E-3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539011</v>
      </c>
      <c r="B10" s="98" t="s">
        <v>1601</v>
      </c>
      <c r="C10" s="334"/>
      <c r="D10" s="334"/>
      <c r="E10" s="11">
        <f ca="1">IFERROR(__xludf.DUMMYFUNCTION("GOOGLEFINANCE(""BOM:""&amp;A10,""PRICE"")"),71)</f>
        <v>71</v>
      </c>
      <c r="F10" s="20">
        <f ca="1">IFERROR(__xludf.DUMMYFUNCTION("GOOGLEFINANCE(""BOM:""&amp;A10,""MARKETCAP"")/10000000"),25.5920068)</f>
        <v>25.5920068</v>
      </c>
      <c r="G10" s="95">
        <f t="shared" ca="1" si="0"/>
        <v>1.752379352709629E-3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531667</v>
      </c>
      <c r="B11" s="98" t="s">
        <v>1602</v>
      </c>
      <c r="C11" s="334"/>
      <c r="D11" s="334"/>
      <c r="E11" s="11">
        <f ca="1">IFERROR(__xludf.DUMMYFUNCTION("GOOGLEFINANCE(""BOM:""&amp;A11,""PRICE"")"),30.26)</f>
        <v>30.26</v>
      </c>
      <c r="F11" s="20">
        <f ca="1">IFERROR(__xludf.DUMMYFUNCTION("GOOGLEFINANCE(""BOM:""&amp;A11,""MARKETCAP"")/10000000"),27.2607)</f>
        <v>27.2607</v>
      </c>
      <c r="G11" s="95">
        <f t="shared" ca="1" si="0"/>
        <v>1.8666409474543974E-3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>
      <c r="A12" s="101"/>
      <c r="B12" s="101"/>
      <c r="C12" s="101"/>
      <c r="D12" s="101"/>
      <c r="E12" s="101"/>
      <c r="F12" s="101"/>
      <c r="G12" s="95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>
      <c r="A13" s="101"/>
      <c r="B13" s="101"/>
      <c r="C13" s="101"/>
      <c r="D13" s="101"/>
      <c r="E13" s="101"/>
      <c r="F13" s="112">
        <f ca="1">SUM(F1:F11)</f>
        <v>14604.147646700001</v>
      </c>
      <c r="G13" s="95">
        <f ca="1">F13/$F$13</f>
        <v>1</v>
      </c>
      <c r="H13" s="101">
        <f t="shared" ref="H13:O13" si="1">SUM(H2:H11)</f>
        <v>5586</v>
      </c>
      <c r="I13" s="101">
        <f t="shared" si="1"/>
        <v>5322</v>
      </c>
      <c r="J13" s="101">
        <f t="shared" si="1"/>
        <v>417</v>
      </c>
      <c r="K13" s="101">
        <f t="shared" si="1"/>
        <v>169</v>
      </c>
      <c r="L13" s="101">
        <f t="shared" si="1"/>
        <v>1961</v>
      </c>
      <c r="M13" s="101">
        <f t="shared" si="1"/>
        <v>1650</v>
      </c>
      <c r="N13" s="101">
        <f t="shared" si="1"/>
        <v>48</v>
      </c>
      <c r="O13" s="101">
        <f t="shared" si="1"/>
        <v>69</v>
      </c>
      <c r="P13" s="95">
        <f t="shared" ref="P13:Q13" si="2">J13/H13</f>
        <v>7.465091299677766E-2</v>
      </c>
      <c r="Q13" s="95">
        <f t="shared" si="2"/>
        <v>3.1754979331078542E-2</v>
      </c>
      <c r="R13" s="95">
        <f>P13-Q13</f>
        <v>4.2895933665699118E-2</v>
      </c>
      <c r="S13" s="95">
        <f t="shared" ref="S13:T13" si="3">N13/L13</f>
        <v>2.447730749617542E-2</v>
      </c>
      <c r="T13" s="95">
        <f t="shared" si="3"/>
        <v>4.1818181818181817E-2</v>
      </c>
      <c r="U13" s="95">
        <f>S13-T13</f>
        <v>-1.7340874322006396E-2</v>
      </c>
      <c r="V13" s="95">
        <f>(H13/I13)-1</f>
        <v>4.9605411499436203E-2</v>
      </c>
      <c r="W13" s="95">
        <f>(J13/K13)-1</f>
        <v>1.4674556213017751</v>
      </c>
      <c r="X13" s="95">
        <f>(L13/M13)-1</f>
        <v>0.18848484848484848</v>
      </c>
      <c r="Y13" s="95">
        <f>(N13/O13)-1</f>
        <v>-0.30434782608695654</v>
      </c>
    </row>
    <row r="14" spans="1:25">
      <c r="G14" s="50"/>
    </row>
    <row r="15" spans="1:25">
      <c r="G15" s="50"/>
    </row>
    <row r="16" spans="1:25">
      <c r="G16" s="50"/>
    </row>
    <row r="17" spans="7:7">
      <c r="G17" s="50"/>
    </row>
    <row r="18" spans="7:7">
      <c r="G18" s="50"/>
    </row>
    <row r="19" spans="7:7">
      <c r="G19" s="50"/>
    </row>
    <row r="20" spans="7:7">
      <c r="G20" s="50"/>
    </row>
    <row r="21" spans="7:7">
      <c r="G21" s="50"/>
    </row>
    <row r="22" spans="7:7">
      <c r="G22" s="50"/>
    </row>
    <row r="23" spans="7:7">
      <c r="G23" s="50"/>
    </row>
    <row r="24" spans="7:7">
      <c r="G24" s="50"/>
    </row>
    <row r="25" spans="7:7" ht="13.2">
      <c r="G25" s="50"/>
    </row>
    <row r="26" spans="7:7" ht="13.2">
      <c r="G26" s="50"/>
    </row>
    <row r="27" spans="7:7" ht="13.2">
      <c r="G27" s="50"/>
    </row>
    <row r="28" spans="7:7" ht="13.2">
      <c r="G28" s="50"/>
    </row>
    <row r="29" spans="7:7" ht="13.2">
      <c r="G29" s="50"/>
    </row>
    <row r="30" spans="7:7" ht="13.2">
      <c r="G30" s="50"/>
    </row>
    <row r="31" spans="7:7" ht="13.2">
      <c r="G31" s="50"/>
    </row>
    <row r="32" spans="7:7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11" xr:uid="{00000000-0009-0000-0000-00001A000000}"/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outlinePr summaryBelow="0" summaryRight="0"/>
  </sheetPr>
  <dimension ref="A1:Y13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532809</v>
      </c>
      <c r="B2" s="98" t="s">
        <v>5829</v>
      </c>
      <c r="C2" s="174" t="str">
        <f>VLOOKUP(A2,'BSE ALL CAP'!$B$4:$Y$1034,2,)</f>
        <v>Services</v>
      </c>
      <c r="D2" s="174" t="str">
        <f>VLOOKUP(A2,'BSE ALL CAP'!$B$4:$Y$1034,3,)</f>
        <v>Business Process Outsourcing (BPO)/ Knowledge Process Outsourcing (KPO)</v>
      </c>
      <c r="E2" s="101">
        <f ca="1">IFERROR(__xludf.DUMMYFUNCTION("GOOGLEFINANCE(""BOM:""&amp;A2,""PRICE"")"),222.7)</f>
        <v>222.7</v>
      </c>
      <c r="F2" s="112">
        <f ca="1">IFERROR(__xludf.DUMMYFUNCTION("GOOGLEFINANCE(""BOM:""&amp;A2,""MARKETCAP"")/10000000"),15417.4193894)</f>
        <v>15417.4193894</v>
      </c>
      <c r="G2" s="95">
        <f t="shared" ref="G2:G11" ca="1" si="0">F2/$F$13</f>
        <v>0.42818898931566141</v>
      </c>
      <c r="H2" s="101">
        <f>VLOOKUP(A2,'BSE ALL CAP'!$B$4:$Y$1038,7,)</f>
        <v>7003</v>
      </c>
      <c r="I2" s="101">
        <f>VLOOKUP(A2,'BSE ALL CAP'!$B$4:$Y$1038,8,)</f>
        <v>5804</v>
      </c>
      <c r="J2" s="101">
        <f>VLOOKUP(A2,'BSE ALL CAP'!$B$4:$Y$1038,9,)</f>
        <v>469</v>
      </c>
      <c r="K2" s="101">
        <f>VLOOKUP(A2,'BSE ALL CAP'!$B$4:$Y$1038,10,)</f>
        <v>433</v>
      </c>
      <c r="L2" s="101">
        <f>VLOOKUP(A2,'BSE ALL CAP'!$B$4:$Y$1038,11,)</f>
        <v>2467</v>
      </c>
      <c r="M2" s="101">
        <f>VLOOKUP(A2,'BSE ALL CAP'!$B$4:$Y$1038,12,)</f>
        <v>2087</v>
      </c>
      <c r="N2" s="101">
        <f>VLOOKUP(A2,'BSE ALL CAP'!$B$4:$Y$1038,13,)</f>
        <v>120</v>
      </c>
      <c r="O2" s="101">
        <f>VLOOKUP(A2,'BSE ALL CAP'!$B$4:$Y$1038,14,)</f>
        <v>160</v>
      </c>
      <c r="P2" s="95">
        <f>VLOOKUP(A2,'BSE ALL CAP'!$B$4:$Y$1038,15,)</f>
        <v>6.6971298015136377E-2</v>
      </c>
      <c r="Q2" s="95">
        <f>VLOOKUP(A2,'BSE ALL CAP'!$B$4:$Y$1038,16,)</f>
        <v>7.460372157133012E-2</v>
      </c>
      <c r="R2" s="95">
        <f>VLOOKUP(A2,'BSE ALL CAP'!$B$4:$Y$1038,17,)</f>
        <v>-7.6324235561937431E-3</v>
      </c>
      <c r="S2" s="95">
        <f>VLOOKUP(A2,'BSE ALL CAP'!$B$4:$Y$1038,18,)</f>
        <v>4.8642075395216859E-2</v>
      </c>
      <c r="T2" s="95">
        <f>VLOOKUP(A2,'BSE ALL CAP'!$B$4:$Y$1038,19,)</f>
        <v>7.6665069477719214E-2</v>
      </c>
      <c r="U2" s="95">
        <f>VLOOKUP(A2,'BSE ALL CAP'!$B$4:$Y$1038,20,)</f>
        <v>-2.8022994082502355E-2</v>
      </c>
      <c r="V2" s="95">
        <f>VLOOKUP(A2,'BSE ALL CAP'!$B$4:$Y$1038,21,)</f>
        <v>0.20658166781529985</v>
      </c>
      <c r="W2" s="95">
        <f>VLOOKUP(A2,'BSE ALL CAP'!$B$4:$Y$1038,22,)</f>
        <v>8.3140877598152363E-2</v>
      </c>
      <c r="X2" s="95">
        <f>VLOOKUP(A2,'BSE ALL CAP'!$B$4:$Y$1038,23,)</f>
        <v>0.18207954000958315</v>
      </c>
      <c r="Y2" s="95">
        <f>VLOOKUP(A2,'BSE ALL CAP'!$B$4:$Y$1038,24,)</f>
        <v>-0.25</v>
      </c>
    </row>
    <row r="3" spans="1:25" ht="15.75" customHeight="1">
      <c r="A3" s="99">
        <v>532927</v>
      </c>
      <c r="B3" s="98" t="s">
        <v>5830</v>
      </c>
      <c r="C3" s="174" t="str">
        <f>VLOOKUP(A3,'BSE ALL CAP'!$B$4:$Y$1034,2,)</f>
        <v>Services</v>
      </c>
      <c r="D3" s="174" t="str">
        <f>VLOOKUP(A3,'BSE ALL CAP'!$B$4:$Y$1034,3,)</f>
        <v>Business Process Outsourcing (BPO)/ Knowledge Process Outsourcing (KPO)</v>
      </c>
      <c r="E3" s="101">
        <f ca="1">IFERROR(__xludf.DUMMYFUNCTION("GOOGLEFINANCE(""BOM:""&amp;A3,""PRICE"")"),1492.55)</f>
        <v>1492.55</v>
      </c>
      <c r="F3" s="112">
        <f ca="1">IFERROR(__xludf.DUMMYFUNCTION("GOOGLEFINANCE(""BOM:""&amp;A3,""MARKETCAP"")/10000000"),13749.8536528)</f>
        <v>13749.8536528</v>
      </c>
      <c r="G3" s="95">
        <f t="shared" ca="1" si="0"/>
        <v>0.38187557788552917</v>
      </c>
      <c r="H3" s="101">
        <f>VLOOKUP(A3,'BSE ALL CAP'!$B$4:$Y$1038,7,)</f>
        <v>3009</v>
      </c>
      <c r="I3" s="101">
        <f>VLOOKUP(A3,'BSE ALL CAP'!$B$4:$Y$1038,8,)</f>
        <v>2467</v>
      </c>
      <c r="J3" s="101">
        <f>VLOOKUP(A3,'BSE ALL CAP'!$B$4:$Y$1038,9,)</f>
        <v>516</v>
      </c>
      <c r="K3" s="101">
        <f>VLOOKUP(A3,'BSE ALL CAP'!$B$4:$Y$1038,10,)</f>
        <v>388</v>
      </c>
      <c r="L3" s="101">
        <f>VLOOKUP(A3,'BSE ALL CAP'!$B$4:$Y$1038,11,)</f>
        <v>1070</v>
      </c>
      <c r="M3" s="101">
        <f>VLOOKUP(A3,'BSE ALL CAP'!$B$4:$Y$1038,12,)</f>
        <v>857</v>
      </c>
      <c r="N3" s="101">
        <f>VLOOKUP(A3,'BSE ALL CAP'!$B$4:$Y$1038,13,)</f>
        <v>191</v>
      </c>
      <c r="O3" s="101">
        <f>VLOOKUP(A3,'BSE ALL CAP'!$B$4:$Y$1038,14,)</f>
        <v>137</v>
      </c>
      <c r="P3" s="95">
        <f>VLOOKUP(A3,'BSE ALL CAP'!$B$4:$Y$1038,15,)</f>
        <v>0.17148554336989033</v>
      </c>
      <c r="Q3" s="95">
        <f>VLOOKUP(A3,'BSE ALL CAP'!$B$4:$Y$1038,16,)</f>
        <v>0.15727604377786786</v>
      </c>
      <c r="R3" s="95">
        <f>VLOOKUP(A3,'BSE ALL CAP'!$B$4:$Y$1038,17,)</f>
        <v>1.4209499592022473E-2</v>
      </c>
      <c r="S3" s="95">
        <f>VLOOKUP(A3,'BSE ALL CAP'!$B$4:$Y$1038,18,)</f>
        <v>0.17850467289719626</v>
      </c>
      <c r="T3" s="95">
        <f>VLOOKUP(A3,'BSE ALL CAP'!$B$4:$Y$1038,19,)</f>
        <v>0.15985997666277713</v>
      </c>
      <c r="U3" s="95">
        <f>VLOOKUP(A3,'BSE ALL CAP'!$B$4:$Y$1038,20,)</f>
        <v>1.8644696234419139E-2</v>
      </c>
      <c r="V3" s="95">
        <f>VLOOKUP(A3,'BSE ALL CAP'!$B$4:$Y$1038,21,)</f>
        <v>0.21970004053506287</v>
      </c>
      <c r="W3" s="95">
        <f>VLOOKUP(A3,'BSE ALL CAP'!$B$4:$Y$1038,22,)</f>
        <v>0.32989690721649478</v>
      </c>
      <c r="X3" s="95">
        <f>VLOOKUP(A3,'BSE ALL CAP'!$B$4:$Y$1038,23,)</f>
        <v>0.24854142357059517</v>
      </c>
      <c r="Y3" s="95">
        <f>VLOOKUP(A3,'BSE ALL CAP'!$B$4:$Y$1038,24,)</f>
        <v>0.3941605839416058</v>
      </c>
    </row>
    <row r="4" spans="1:25" ht="15.75" customHeight="1">
      <c r="A4" s="99">
        <v>542333</v>
      </c>
      <c r="B4" s="98" t="s">
        <v>5831</v>
      </c>
      <c r="C4" s="174" t="str">
        <f>VLOOKUP(A4,'BSE ALL CAP'!$B$4:$Y$1034,2,)</f>
        <v>Services</v>
      </c>
      <c r="D4" s="174" t="str">
        <f>VLOOKUP(A4,'BSE ALL CAP'!$B$4:$Y$1034,3,)</f>
        <v>Business Process Outsourcing (BPO)/ Knowledge Process Outsourcing (KPO)</v>
      </c>
      <c r="E4" s="101">
        <f ca="1">IFERROR(__xludf.DUMMYFUNCTION("GOOGLEFINANCE(""BOM:""&amp;A4,""PRICE"")"),1113)</f>
        <v>1113</v>
      </c>
      <c r="F4" s="112">
        <f ca="1">IFERROR(__xludf.DUMMYFUNCTION("GOOGLEFINANCE(""BOM:""&amp;A4,""MARKETCAP"")/10000000"),3679.5384632)</f>
        <v>3679.5384632</v>
      </c>
      <c r="G4" s="95">
        <f t="shared" ca="1" si="0"/>
        <v>0.10219206054606947</v>
      </c>
      <c r="H4" s="101">
        <f>VLOOKUP(A4,'BSE ALL CAP'!$B$4:$Y$1038,7,)</f>
        <v>8396</v>
      </c>
      <c r="I4" s="101">
        <f>VLOOKUP(A4,'BSE ALL CAP'!$B$4:$Y$1038,8,)</f>
        <v>7067</v>
      </c>
      <c r="J4" s="101">
        <f>VLOOKUP(A4,'BSE ALL CAP'!$B$4:$Y$1038,9,)</f>
        <v>74</v>
      </c>
      <c r="K4" s="101">
        <f>VLOOKUP(A4,'BSE ALL CAP'!$B$4:$Y$1038,10,)</f>
        <v>152</v>
      </c>
      <c r="L4" s="101">
        <f>VLOOKUP(A4,'BSE ALL CAP'!$B$4:$Y$1038,11,)</f>
        <v>2756</v>
      </c>
      <c r="M4" s="101">
        <f>VLOOKUP(A4,'BSE ALL CAP'!$B$4:$Y$1038,12,)</f>
        <v>2385</v>
      </c>
      <c r="N4" s="101">
        <f>VLOOKUP(A4,'BSE ALL CAP'!$B$4:$Y$1038,13,)</f>
        <v>-136</v>
      </c>
      <c r="O4" s="101">
        <f>VLOOKUP(A4,'BSE ALL CAP'!$B$4:$Y$1038,14,)</f>
        <v>-46</v>
      </c>
      <c r="P4" s="95">
        <f>VLOOKUP(A4,'BSE ALL CAP'!$B$4:$Y$1038,15,)</f>
        <v>8.8137208194378272E-3</v>
      </c>
      <c r="Q4" s="95">
        <f>VLOOKUP(A4,'BSE ALL CAP'!$B$4:$Y$1038,16,)</f>
        <v>2.1508419414178578E-2</v>
      </c>
      <c r="R4" s="95">
        <f>VLOOKUP(A4,'BSE ALL CAP'!$B$4:$Y$1038,17,)</f>
        <v>-1.269469859474075E-2</v>
      </c>
      <c r="S4" s="95">
        <f>VLOOKUP(A4,'BSE ALL CAP'!$B$4:$Y$1038,18,)</f>
        <v>-4.9346879535558781E-2</v>
      </c>
      <c r="T4" s="95">
        <f>VLOOKUP(A4,'BSE ALL CAP'!$B$4:$Y$1038,19,)</f>
        <v>-1.9287211740041929E-2</v>
      </c>
      <c r="U4" s="95">
        <f>VLOOKUP(A4,'BSE ALL CAP'!$B$4:$Y$1038,20,)</f>
        <v>-3.0059667795516852E-2</v>
      </c>
      <c r="V4" s="95">
        <f>VLOOKUP(A4,'BSE ALL CAP'!$B$4:$Y$1038,21,)</f>
        <v>0.18805716711475884</v>
      </c>
      <c r="W4" s="95">
        <f>VLOOKUP(A4,'BSE ALL CAP'!$B$4:$Y$1038,22,)</f>
        <v>-0.51315789473684204</v>
      </c>
      <c r="X4" s="95">
        <f>VLOOKUP(A4,'BSE ALL CAP'!$B$4:$Y$1038,23,)</f>
        <v>0.15555555555555545</v>
      </c>
      <c r="Y4" s="95">
        <f>VLOOKUP(A4,'BSE ALL CAP'!$B$4:$Y$1038,24,)</f>
        <v>1.9565217391304346</v>
      </c>
    </row>
    <row r="5" spans="1:25" ht="15.75" customHeight="1">
      <c r="A5" s="99">
        <v>532859</v>
      </c>
      <c r="B5" s="98" t="s">
        <v>5832</v>
      </c>
      <c r="C5" s="174" t="e">
        <f>VLOOKUP(A5,'BSE ALL CAP'!$B$4:$Y$1034,2,)</f>
        <v>#N/A</v>
      </c>
      <c r="D5" s="174" t="e">
        <f>VLOOKUP(A5,'BSE ALL CAP'!$B$4:$Y$1034,3,)</f>
        <v>#N/A</v>
      </c>
      <c r="E5" s="101">
        <f ca="1">IFERROR(__xludf.DUMMYFUNCTION("GOOGLEFINANCE(""BOM:""&amp;A5,""PRICE"")"),369.8)</f>
        <v>369.8</v>
      </c>
      <c r="F5" s="112">
        <f ca="1">IFERROR(__xludf.DUMMYFUNCTION("GOOGLEFINANCE(""BOM:""&amp;A5,""MARKETCAP"")/10000000"),1714.0079141)</f>
        <v>1714.0079141000001</v>
      </c>
      <c r="G5" s="95">
        <f t="shared" ca="1" si="0"/>
        <v>4.7603253040007371E-2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532633</v>
      </c>
      <c r="B6" s="98" t="s">
        <v>5833</v>
      </c>
      <c r="C6" s="174" t="e">
        <f>VLOOKUP(A6,'BSE ALL CAP'!$B$4:$Y$1034,2,)</f>
        <v>#N/A</v>
      </c>
      <c r="D6" s="174" t="e">
        <f>VLOOKUP(A6,'BSE ALL CAP'!$B$4:$Y$1034,3,)</f>
        <v>#N/A</v>
      </c>
      <c r="E6" s="101">
        <f ca="1">IFERROR(__xludf.DUMMYFUNCTION("GOOGLEFINANCE(""BOM:""&amp;A6,""PRICE"")"),776.15)</f>
        <v>776.15</v>
      </c>
      <c r="F6" s="112">
        <f ca="1">IFERROR(__xludf.DUMMYFUNCTION("GOOGLEFINANCE(""BOM:""&amp;A6,""MARKETCAP"")/10000000"),1184.8450143)</f>
        <v>1184.8450143</v>
      </c>
      <c r="G6" s="95">
        <f t="shared" ca="1" si="0"/>
        <v>3.2906777480388789E-2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544571</v>
      </c>
      <c r="B7" s="98" t="s">
        <v>5834</v>
      </c>
      <c r="C7" s="174" t="e">
        <f>VLOOKUP(A7,'BSE ALL CAP'!$B$4:$Y$1034,2,)</f>
        <v>#N/A</v>
      </c>
      <c r="D7" s="174" t="e">
        <f>VLOOKUP(A7,'BSE ALL CAP'!$B$4:$Y$1034,3,)</f>
        <v>#N/A</v>
      </c>
      <c r="E7" s="101">
        <f ca="1">IFERROR(__xludf.DUMMYFUNCTION("GOOGLEFINANCE(""BOM:""&amp;A7,""PRICE"")"),75)</f>
        <v>75</v>
      </c>
      <c r="F7" s="112">
        <f ca="1">IFERROR(__xludf.DUMMYFUNCTION("GOOGLEFINANCE(""BOM:""&amp;A7,""MARKETCAP"")/10000000"),149.79435)</f>
        <v>149.79435000000001</v>
      </c>
      <c r="G7" s="95">
        <f t="shared" ca="1" si="0"/>
        <v>4.1602482044300546E-3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543535</v>
      </c>
      <c r="B8" s="98" t="s">
        <v>5835</v>
      </c>
      <c r="C8" s="174" t="e">
        <f>VLOOKUP(A8,'BSE ALL CAP'!$B$4:$Y$1034,2,)</f>
        <v>#N/A</v>
      </c>
      <c r="D8" s="174" t="e">
        <f>VLOOKUP(A8,'BSE ALL CAP'!$B$4:$Y$1034,3,)</f>
        <v>#N/A</v>
      </c>
      <c r="E8" s="101">
        <f ca="1">IFERROR(__xludf.DUMMYFUNCTION("GOOGLEFINANCE(""BOM:""&amp;A8,""PRICE"")"),44)</f>
        <v>44</v>
      </c>
      <c r="F8" s="112">
        <f ca="1">IFERROR(__xludf.DUMMYFUNCTION("GOOGLEFINANCE(""BOM:""&amp;A8,""MARKETCAP"")/10000000"),44.7084)</f>
        <v>44.708399999999997</v>
      </c>
      <c r="G8" s="95">
        <f t="shared" ca="1" si="0"/>
        <v>1.2416892948428336E-3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504810</v>
      </c>
      <c r="B9" s="98" t="s">
        <v>5836</v>
      </c>
      <c r="C9" s="174" t="e">
        <f>VLOOKUP(A9,'BSE ALL CAP'!$B$4:$Y$1034,2,)</f>
        <v>#N/A</v>
      </c>
      <c r="D9" s="174" t="e">
        <f>VLOOKUP(A9,'BSE ALL CAP'!$B$4:$Y$1034,3,)</f>
        <v>#N/A</v>
      </c>
      <c r="E9" s="101">
        <f ca="1">IFERROR(__xludf.DUMMYFUNCTION("GOOGLEFINANCE(""BOM:""&amp;A9,""PRICE"")"),84.99)</f>
        <v>84.99</v>
      </c>
      <c r="F9" s="112">
        <f ca="1">IFERROR(__xludf.DUMMYFUNCTION("GOOGLEFINANCE(""BOM:""&amp;A9,""MARKETCAP"")/10000000"),35.43318)</f>
        <v>35.43318</v>
      </c>
      <c r="G9" s="95">
        <f t="shared" ca="1" si="0"/>
        <v>9.8408800780701603E-4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543352</v>
      </c>
      <c r="B10" s="98" t="s">
        <v>5837</v>
      </c>
      <c r="C10" s="174" t="e">
        <f>VLOOKUP(A10,'BSE ALL CAP'!$B$4:$Y$1034,2,)</f>
        <v>#N/A</v>
      </c>
      <c r="D10" s="174" t="e">
        <f>VLOOKUP(A10,'BSE ALL CAP'!$B$4:$Y$1034,3,)</f>
        <v>#N/A</v>
      </c>
      <c r="E10" s="101">
        <f ca="1">IFERROR(__xludf.DUMMYFUNCTION("GOOGLEFINANCE(""BOM:""&amp;A10,""PRICE"")"),125.5)</f>
        <v>125.5</v>
      </c>
      <c r="F10" s="112">
        <f ca="1">IFERROR(__xludf.DUMMYFUNCTION("GOOGLEFINANCE(""BOM:""&amp;A10,""MARKETCAP"")/10000000"),19.81956)</f>
        <v>19.819559999999999</v>
      </c>
      <c r="G10" s="95">
        <f t="shared" ca="1" si="0"/>
        <v>5.5044992619944424E-4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530809</v>
      </c>
      <c r="B11" s="98" t="s">
        <v>5838</v>
      </c>
      <c r="C11" s="174" t="e">
        <f>VLOOKUP(A11,'BSE ALL CAP'!$B$4:$Y$1034,2,)</f>
        <v>#N/A</v>
      </c>
      <c r="D11" s="174" t="e">
        <f>VLOOKUP(A11,'BSE ALL CAP'!$B$4:$Y$1034,3,)</f>
        <v>#N/A</v>
      </c>
      <c r="E11" s="101">
        <f ca="1">IFERROR(__xludf.DUMMYFUNCTION("GOOGLEFINANCE(""BOM:""&amp;A11,""PRICE"")"),35.63)</f>
        <v>35.630000000000003</v>
      </c>
      <c r="F11" s="112">
        <f ca="1">IFERROR(__xludf.DUMMYFUNCTION("GOOGLEFINANCE(""BOM:""&amp;A11,""MARKETCAP"")/10000000"),10.6890003)</f>
        <v>10.6890003</v>
      </c>
      <c r="G11" s="95">
        <f t="shared" ca="1" si="0"/>
        <v>2.9686629906419909E-4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>
      <c r="A12" s="101"/>
      <c r="B12" s="101"/>
      <c r="C12" s="101"/>
      <c r="D12" s="101"/>
      <c r="E12" s="101"/>
      <c r="F12" s="101"/>
      <c r="G12" s="95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>
      <c r="A13" s="101"/>
      <c r="B13" s="101"/>
      <c r="C13" s="101"/>
      <c r="D13" s="101"/>
      <c r="E13" s="101"/>
      <c r="F13" s="112">
        <f ca="1">SUM(F1:F11)</f>
        <v>36006.108924100008</v>
      </c>
      <c r="G13" s="95">
        <f ca="1">F13/$F$13</f>
        <v>1</v>
      </c>
      <c r="H13" s="101">
        <f t="shared" ref="H13:O13" si="1">SUM(H2:H11)</f>
        <v>18408</v>
      </c>
      <c r="I13" s="101">
        <f t="shared" si="1"/>
        <v>15338</v>
      </c>
      <c r="J13" s="101">
        <f t="shared" si="1"/>
        <v>1059</v>
      </c>
      <c r="K13" s="101">
        <f t="shared" si="1"/>
        <v>973</v>
      </c>
      <c r="L13" s="101">
        <f t="shared" si="1"/>
        <v>6293</v>
      </c>
      <c r="M13" s="101">
        <f t="shared" si="1"/>
        <v>5329</v>
      </c>
      <c r="N13" s="101">
        <f t="shared" si="1"/>
        <v>175</v>
      </c>
      <c r="O13" s="101">
        <f t="shared" si="1"/>
        <v>251</v>
      </c>
      <c r="P13" s="13">
        <f t="shared" ref="P13:Q13" si="2">J13/H13</f>
        <v>5.7529335071707953E-2</v>
      </c>
      <c r="Q13" s="13">
        <f t="shared" si="2"/>
        <v>6.3437214760725003E-2</v>
      </c>
      <c r="R13" s="13">
        <f>P13-Q13</f>
        <v>-5.9078796890170496E-3</v>
      </c>
      <c r="S13" s="13">
        <f t="shared" ref="S13:T13" si="3">N13/L13</f>
        <v>2.7808676307007785E-2</v>
      </c>
      <c r="T13" s="13">
        <f t="shared" si="3"/>
        <v>4.7100769375117285E-2</v>
      </c>
      <c r="U13" s="13">
        <f>S13-T13</f>
        <v>-1.92920930681095E-2</v>
      </c>
      <c r="V13" s="13">
        <f>(H13/I13)-1</f>
        <v>0.20015647411657311</v>
      </c>
      <c r="W13" s="13">
        <f>(J13/K13)-1</f>
        <v>8.8386433710174739E-2</v>
      </c>
      <c r="X13" s="13">
        <f>(L13/M13)-1</f>
        <v>0.18089697879527122</v>
      </c>
      <c r="Y13" s="13">
        <f>(N13/O13)-1</f>
        <v>-0.3027888446215139</v>
      </c>
    </row>
  </sheetData>
  <autoFilter ref="A1:Y11" xr:uid="{00000000-0009-0000-0000-0000BC000000}"/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cols>
    <col min="7" max="7" width="15.33203125" customWidth="1"/>
  </cols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357">
        <v>542652</v>
      </c>
      <c r="B2" s="357" t="s">
        <v>1395</v>
      </c>
      <c r="C2" s="174" t="str">
        <f>VLOOKUP(A2,'BSE ALL CAP'!$B$4:$Y$1034,2,)</f>
        <v>Industrials</v>
      </c>
      <c r="D2" s="174" t="str">
        <f>VLOOKUP(A2,'BSE ALL CAP'!$B$4:$Y$1034,3,)</f>
        <v>Cables - Electricals</v>
      </c>
      <c r="E2" s="101">
        <f ca="1">IFERROR(__xludf.DUMMYFUNCTION("GOOGLEFINANCE(""BOM:""&amp;A2,""PRICE"")"),7032.05)</f>
        <v>7032.05</v>
      </c>
      <c r="F2" s="112">
        <f ca="1">IFERROR(__xludf.DUMMYFUNCTION("GOOGLEFINANCE(""BOM:""&amp;A2,""MARKETCAP"")/10000000"),105996.55803)</f>
        <v>105996.55803</v>
      </c>
      <c r="G2" s="95">
        <f t="shared" ref="G2:G15" ca="1" si="0">F2/$F$17</f>
        <v>0.5886906409758822</v>
      </c>
      <c r="H2" s="101">
        <f>VLOOKUP(A2,'BSE ALL CAP'!$B$4:$Y$1038,7,)</f>
        <v>20019</v>
      </c>
      <c r="I2" s="101">
        <f>VLOOKUP(A2,'BSE ALL CAP'!$B$4:$Y$1038,8,)</f>
        <v>15422</v>
      </c>
      <c r="J2" s="101">
        <f>VLOOKUP(A2,'BSE ALL CAP'!$B$4:$Y$1038,9,)</f>
        <v>1922</v>
      </c>
      <c r="K2" s="101">
        <f>VLOOKUP(A2,'BSE ALL CAP'!$B$4:$Y$1038,10,)</f>
        <v>1311</v>
      </c>
      <c r="L2" s="101">
        <f>VLOOKUP(A2,'BSE ALL CAP'!$B$4:$Y$1038,11,)</f>
        <v>7636</v>
      </c>
      <c r="M2" s="101">
        <f>VLOOKUP(A2,'BSE ALL CAP'!$B$4:$Y$1038,12,)</f>
        <v>5226</v>
      </c>
      <c r="N2" s="101">
        <f>VLOOKUP(A2,'BSE ALL CAP'!$B$4:$Y$1038,13,)</f>
        <v>630</v>
      </c>
      <c r="O2" s="101">
        <f>VLOOKUP(A2,'BSE ALL CAP'!$B$4:$Y$1038,14,)</f>
        <v>464</v>
      </c>
      <c r="P2" s="95">
        <f>VLOOKUP(A2,'BSE ALL CAP'!$B$4:$Y$1038,15,)</f>
        <v>9.6008791647934466E-2</v>
      </c>
      <c r="Q2" s="95">
        <f>VLOOKUP(A2,'BSE ALL CAP'!$B$4:$Y$1038,16,)</f>
        <v>8.5008429516275449E-2</v>
      </c>
      <c r="R2" s="95">
        <f>VLOOKUP(A2,'BSE ALL CAP'!$B$4:$Y$1038,17,)</f>
        <v>1.1000362131659017E-2</v>
      </c>
      <c r="S2" s="95">
        <f>VLOOKUP(A2,'BSE ALL CAP'!$B$4:$Y$1038,18,)</f>
        <v>8.2503928758512313E-2</v>
      </c>
      <c r="T2" s="95">
        <f>VLOOKUP(A2,'BSE ALL CAP'!$B$4:$Y$1038,19,)</f>
        <v>8.8786835055491772E-2</v>
      </c>
      <c r="U2" s="95">
        <f>VLOOKUP(A2,'BSE ALL CAP'!$B$4:$Y$1038,20,)</f>
        <v>-6.2829062969794597E-3</v>
      </c>
      <c r="V2" s="95">
        <f>VLOOKUP(A2,'BSE ALL CAP'!$B$4:$Y$1038,21,)</f>
        <v>0.29808066398651278</v>
      </c>
      <c r="W2" s="95">
        <f>VLOOKUP(A2,'BSE ALL CAP'!$B$4:$Y$1038,22,)</f>
        <v>0.46605644546147973</v>
      </c>
      <c r="X2" s="95">
        <f>VLOOKUP(A2,'BSE ALL CAP'!$B$4:$Y$1038,23,)</f>
        <v>0.46115575966322231</v>
      </c>
      <c r="Y2" s="95">
        <f>VLOOKUP(A2,'BSE ALL CAP'!$B$4:$Y$1038,24,)</f>
        <v>0.35775862068965525</v>
      </c>
    </row>
    <row r="3" spans="1:25" ht="15.75" customHeight="1">
      <c r="A3" s="357">
        <v>517569</v>
      </c>
      <c r="B3" s="357" t="s">
        <v>5839</v>
      </c>
      <c r="C3" s="174" t="str">
        <f>VLOOKUP(A3,'BSE ALL CAP'!$B$4:$Y$1034,2,)</f>
        <v>Industrials</v>
      </c>
      <c r="D3" s="174" t="str">
        <f>VLOOKUP(A3,'BSE ALL CAP'!$B$4:$Y$1034,3,)</f>
        <v>Cables - Electricals</v>
      </c>
      <c r="E3" s="101">
        <f ca="1">IFERROR(__xludf.DUMMYFUNCTION("GOOGLEFINANCE(""BOM:""&amp;A3,""PRICE"")"),4149)</f>
        <v>4149</v>
      </c>
      <c r="F3" s="112">
        <f ca="1">IFERROR(__xludf.DUMMYFUNCTION("GOOGLEFINANCE(""BOM:""&amp;A3,""MARKETCAP"")/10000000"),39655.12888)</f>
        <v>39655.128879999997</v>
      </c>
      <c r="G3" s="95">
        <f t="shared" ca="1" si="0"/>
        <v>0.22023925750250531</v>
      </c>
      <c r="H3" s="101">
        <f>VLOOKUP(A3,'BSE ALL CAP'!$B$4:$Y$1038,7,)</f>
        <v>8271</v>
      </c>
      <c r="I3" s="101">
        <f>VLOOKUP(A3,'BSE ALL CAP'!$B$4:$Y$1038,8,)</f>
        <v>6821</v>
      </c>
      <c r="J3" s="101">
        <f>VLOOKUP(A3,'BSE ALL CAP'!$B$4:$Y$1038,9,)</f>
        <v>634</v>
      </c>
      <c r="K3" s="101">
        <f>VLOOKUP(A3,'BSE ALL CAP'!$B$4:$Y$1038,10,)</f>
        <v>469</v>
      </c>
      <c r="L3" s="101">
        <f>VLOOKUP(A3,'BSE ALL CAP'!$B$4:$Y$1038,11,)</f>
        <v>2954</v>
      </c>
      <c r="M3" s="101">
        <f>VLOOKUP(A3,'BSE ALL CAP'!$B$4:$Y$1038,12,)</f>
        <v>2472</v>
      </c>
      <c r="N3" s="101">
        <f>VLOOKUP(A3,'BSE ALL CAP'!$B$4:$Y$1038,13,)</f>
        <v>234</v>
      </c>
      <c r="O3" s="101">
        <f>VLOOKUP(A3,'BSE ALL CAP'!$B$4:$Y$1038,14,)</f>
        <v>164</v>
      </c>
      <c r="P3" s="95">
        <f>VLOOKUP(A3,'BSE ALL CAP'!$B$4:$Y$1038,15,)</f>
        <v>7.6653367186555438E-2</v>
      </c>
      <c r="Q3" s="95">
        <f>VLOOKUP(A3,'BSE ALL CAP'!$B$4:$Y$1038,16,)</f>
        <v>6.8758246591408889E-2</v>
      </c>
      <c r="R3" s="95">
        <f>VLOOKUP(A3,'BSE ALL CAP'!$B$4:$Y$1038,17,)</f>
        <v>7.8951205951465486E-3</v>
      </c>
      <c r="S3" s="95">
        <f>VLOOKUP(A3,'BSE ALL CAP'!$B$4:$Y$1038,18,)</f>
        <v>7.9214624238320916E-2</v>
      </c>
      <c r="T3" s="95">
        <f>VLOOKUP(A3,'BSE ALL CAP'!$B$4:$Y$1038,19,)</f>
        <v>6.6343042071197414E-2</v>
      </c>
      <c r="U3" s="95">
        <f>VLOOKUP(A3,'BSE ALL CAP'!$B$4:$Y$1038,20,)</f>
        <v>1.2871582167123502E-2</v>
      </c>
      <c r="V3" s="95">
        <f>VLOOKUP(A3,'BSE ALL CAP'!$B$4:$Y$1038,21,)</f>
        <v>0.21257880076235147</v>
      </c>
      <c r="W3" s="95">
        <f>VLOOKUP(A3,'BSE ALL CAP'!$B$4:$Y$1038,22,)</f>
        <v>0.35181236673773997</v>
      </c>
      <c r="X3" s="95">
        <f>VLOOKUP(A3,'BSE ALL CAP'!$B$4:$Y$1038,23,)</f>
        <v>0.19498381877022664</v>
      </c>
      <c r="Y3" s="95">
        <f>VLOOKUP(A3,'BSE ALL CAP'!$B$4:$Y$1038,24,)</f>
        <v>0.42682926829268286</v>
      </c>
    </row>
    <row r="4" spans="1:25" ht="15.75" customHeight="1">
      <c r="A4" s="357">
        <v>543981</v>
      </c>
      <c r="B4" s="357" t="s">
        <v>5840</v>
      </c>
      <c r="C4" s="174" t="str">
        <f>VLOOKUP(A4,'BSE ALL CAP'!$B$4:$Y$1034,2,)</f>
        <v>Industrials</v>
      </c>
      <c r="D4" s="174" t="str">
        <f>VLOOKUP(A4,'BSE ALL CAP'!$B$4:$Y$1034,3,)</f>
        <v>Cables - Electricals</v>
      </c>
      <c r="E4" s="101">
        <f ca="1">IFERROR(__xludf.DUMMYFUNCTION("GOOGLEFINANCE(""BOM:""&amp;A4,""PRICE"")"),1330.75)</f>
        <v>1330.75</v>
      </c>
      <c r="F4" s="112">
        <f ca="1">IFERROR(__xludf.DUMMYFUNCTION("GOOGLEFINANCE(""BOM:""&amp;A4,""MARKETCAP"")/10000000"),15061.3703798)</f>
        <v>15061.370379800001</v>
      </c>
      <c r="G4" s="95">
        <f t="shared" ca="1" si="0"/>
        <v>8.3648827354848299E-2</v>
      </c>
      <c r="H4" s="101">
        <f>VLOOKUP(A4,'BSE ALL CAP'!$B$4:$Y$1038,7,)</f>
        <v>6758</v>
      </c>
      <c r="I4" s="101">
        <f>VLOOKUP(A4,'BSE ALL CAP'!$B$4:$Y$1038,8,)</f>
        <v>5400</v>
      </c>
      <c r="J4" s="101">
        <f>VLOOKUP(A4,'BSE ALL CAP'!$B$4:$Y$1038,9,)</f>
        <v>324</v>
      </c>
      <c r="K4" s="101">
        <f>VLOOKUP(A4,'BSE ALL CAP'!$B$4:$Y$1038,10,)</f>
        <v>182</v>
      </c>
      <c r="L4" s="101">
        <f>VLOOKUP(A4,'BSE ALL CAP'!$B$4:$Y$1038,11,)</f>
        <v>2535</v>
      </c>
      <c r="M4" s="101">
        <f>VLOOKUP(A4,'BSE ALL CAP'!$B$4:$Y$1038,12,)</f>
        <v>1782</v>
      </c>
      <c r="N4" s="101">
        <f>VLOOKUP(A4,'BSE ALL CAP'!$B$4:$Y$1038,13,)</f>
        <v>118</v>
      </c>
      <c r="O4" s="101">
        <f>VLOOKUP(A4,'BSE ALL CAP'!$B$4:$Y$1038,14,)</f>
        <v>68</v>
      </c>
      <c r="P4" s="95">
        <f>VLOOKUP(A4,'BSE ALL CAP'!$B$4:$Y$1038,15,)</f>
        <v>4.794317845516425E-2</v>
      </c>
      <c r="Q4" s="95">
        <f>VLOOKUP(A4,'BSE ALL CAP'!$B$4:$Y$1038,16,)</f>
        <v>3.3703703703703701E-2</v>
      </c>
      <c r="R4" s="95">
        <f>VLOOKUP(A4,'BSE ALL CAP'!$B$4:$Y$1038,17,)</f>
        <v>1.4239474751460549E-2</v>
      </c>
      <c r="S4" s="95">
        <f>VLOOKUP(A4,'BSE ALL CAP'!$B$4:$Y$1038,18,)</f>
        <v>4.6548323471400394E-2</v>
      </c>
      <c r="T4" s="95">
        <f>VLOOKUP(A4,'BSE ALL CAP'!$B$4:$Y$1038,19,)</f>
        <v>3.8159371492704826E-2</v>
      </c>
      <c r="U4" s="95">
        <f>VLOOKUP(A4,'BSE ALL CAP'!$B$4:$Y$1038,20,)</f>
        <v>8.3889519786955677E-3</v>
      </c>
      <c r="V4" s="95">
        <f>VLOOKUP(A4,'BSE ALL CAP'!$B$4:$Y$1038,21,)</f>
        <v>0.25148148148148142</v>
      </c>
      <c r="W4" s="95">
        <f>VLOOKUP(A4,'BSE ALL CAP'!$B$4:$Y$1038,22,)</f>
        <v>0.78021978021978011</v>
      </c>
      <c r="X4" s="95">
        <f>VLOOKUP(A4,'BSE ALL CAP'!$B$4:$Y$1038,23,)</f>
        <v>0.42255892255892258</v>
      </c>
      <c r="Y4" s="95">
        <f>VLOOKUP(A4,'BSE ALL CAP'!$B$4:$Y$1038,24,)</f>
        <v>0.73529411764705888</v>
      </c>
    </row>
    <row r="5" spans="1:25" ht="15.75" customHeight="1">
      <c r="A5" s="357">
        <v>500144</v>
      </c>
      <c r="B5" s="357" t="s">
        <v>5841</v>
      </c>
      <c r="C5" s="174" t="str">
        <f>VLOOKUP(A5,'BSE ALL CAP'!$B$4:$Y$1034,2,)</f>
        <v>Industrials</v>
      </c>
      <c r="D5" s="174" t="str">
        <f>VLOOKUP(A5,'BSE ALL CAP'!$B$4:$Y$1034,3,)</f>
        <v>Cables - Electricals</v>
      </c>
      <c r="E5" s="101">
        <f ca="1">IFERROR(__xludf.DUMMYFUNCTION("GOOGLEFINANCE(""BOM:""&amp;A5,""PRICE"")"),803.7)</f>
        <v>803.7</v>
      </c>
      <c r="F5" s="112">
        <f ca="1">IFERROR(__xludf.DUMMYFUNCTION("GOOGLEFINANCE(""BOM:""&amp;A5,""MARKETCAP"")/10000000"),12291.1209156)</f>
        <v>12291.1209156</v>
      </c>
      <c r="G5" s="95">
        <f t="shared" ca="1" si="0"/>
        <v>6.8263234057739305E-2</v>
      </c>
      <c r="H5" s="101">
        <f>VLOOKUP(A5,'BSE ALL CAP'!$B$4:$Y$1038,7,)</f>
        <v>4370</v>
      </c>
      <c r="I5" s="101">
        <f>VLOOKUP(A5,'BSE ALL CAP'!$B$4:$Y$1038,8,)</f>
        <v>3724</v>
      </c>
      <c r="J5" s="101">
        <f>VLOOKUP(A5,'BSE ALL CAP'!$B$4:$Y$1038,9,)</f>
        <v>489</v>
      </c>
      <c r="K5" s="101">
        <f>VLOOKUP(A5,'BSE ALL CAP'!$B$4:$Y$1038,10,)</f>
        <v>509</v>
      </c>
      <c r="L5" s="101">
        <f>VLOOKUP(A5,'BSE ALL CAP'!$B$4:$Y$1038,11,)</f>
        <v>1598</v>
      </c>
      <c r="M5" s="101">
        <f>VLOOKUP(A5,'BSE ALL CAP'!$B$4:$Y$1038,12,)</f>
        <v>1182</v>
      </c>
      <c r="N5" s="101">
        <f>VLOOKUP(A5,'BSE ALL CAP'!$B$4:$Y$1038,13,)</f>
        <v>164</v>
      </c>
      <c r="O5" s="101">
        <f>VLOOKUP(A5,'BSE ALL CAP'!$B$4:$Y$1038,14,)</f>
        <v>147</v>
      </c>
      <c r="P5" s="95">
        <f>VLOOKUP(A5,'BSE ALL CAP'!$B$4:$Y$1038,15,)</f>
        <v>0.11189931350114417</v>
      </c>
      <c r="Q5" s="95">
        <f>VLOOKUP(A5,'BSE ALL CAP'!$B$4:$Y$1038,16,)</f>
        <v>0.13668098818474758</v>
      </c>
      <c r="R5" s="95">
        <f>VLOOKUP(A5,'BSE ALL CAP'!$B$4:$Y$1038,17,)</f>
        <v>-2.4781674683603414E-2</v>
      </c>
      <c r="S5" s="95">
        <f>VLOOKUP(A5,'BSE ALL CAP'!$B$4:$Y$1038,18,)</f>
        <v>0.10262828535669587</v>
      </c>
      <c r="T5" s="95">
        <f>VLOOKUP(A5,'BSE ALL CAP'!$B$4:$Y$1038,19,)</f>
        <v>0.12436548223350254</v>
      </c>
      <c r="U5" s="95">
        <f>VLOOKUP(A5,'BSE ALL CAP'!$B$4:$Y$1038,20,)</f>
        <v>-2.1737196876806669E-2</v>
      </c>
      <c r="V5" s="95">
        <f>VLOOKUP(A5,'BSE ALL CAP'!$B$4:$Y$1038,21,)</f>
        <v>0.17346938775510212</v>
      </c>
      <c r="W5" s="95">
        <f>VLOOKUP(A5,'BSE ALL CAP'!$B$4:$Y$1038,22,)</f>
        <v>-3.9292730844793677E-2</v>
      </c>
      <c r="X5" s="95">
        <f>VLOOKUP(A5,'BSE ALL CAP'!$B$4:$Y$1038,23,)</f>
        <v>0.35194585448392557</v>
      </c>
      <c r="Y5" s="95">
        <f>VLOOKUP(A5,'BSE ALL CAP'!$B$4:$Y$1038,24,)</f>
        <v>0.11564625850340127</v>
      </c>
    </row>
    <row r="6" spans="1:25" ht="15.75" customHeight="1">
      <c r="A6" s="357">
        <v>504212</v>
      </c>
      <c r="B6" s="357" t="s">
        <v>5842</v>
      </c>
      <c r="C6" s="174" t="str">
        <f>VLOOKUP(A6,'BSE ALL CAP'!$B$4:$Y$1034,2,)</f>
        <v>Industrials</v>
      </c>
      <c r="D6" s="174" t="str">
        <f>VLOOKUP(A6,'BSE ALL CAP'!$B$4:$Y$1034,3,)</f>
        <v>Cables - Electricals</v>
      </c>
      <c r="E6" s="101">
        <f ca="1">IFERROR(__xludf.DUMMYFUNCTION("GOOGLEFINANCE(""BOM:""&amp;A6,""PRICE"")"),691)</f>
        <v>691</v>
      </c>
      <c r="F6" s="112">
        <f ca="1">IFERROR(__xludf.DUMMYFUNCTION("GOOGLEFINANCE(""BOM:""&amp;A6,""MARKETCAP"")/10000000"),2397.27248)</f>
        <v>2397.2724800000001</v>
      </c>
      <c r="G6" s="95">
        <f t="shared" ca="1" si="0"/>
        <v>1.3314129242249725E-2</v>
      </c>
      <c r="H6" s="101">
        <f>VLOOKUP(A6,'BSE ALL CAP'!$B$4:$Y$1038,7,)</f>
        <v>2182</v>
      </c>
      <c r="I6" s="101">
        <f>VLOOKUP(A6,'BSE ALL CAP'!$B$4:$Y$1038,8,)</f>
        <v>1734</v>
      </c>
      <c r="J6" s="101">
        <f>VLOOKUP(A6,'BSE ALL CAP'!$B$4:$Y$1038,9,)</f>
        <v>107</v>
      </c>
      <c r="K6" s="101">
        <f>VLOOKUP(A6,'BSE ALL CAP'!$B$4:$Y$1038,10,)</f>
        <v>39</v>
      </c>
      <c r="L6" s="101">
        <f>VLOOKUP(A6,'BSE ALL CAP'!$B$4:$Y$1038,11,)</f>
        <v>767</v>
      </c>
      <c r="M6" s="101">
        <f>VLOOKUP(A6,'BSE ALL CAP'!$B$4:$Y$1038,12,)</f>
        <v>607</v>
      </c>
      <c r="N6" s="101">
        <f>VLOOKUP(A6,'BSE ALL CAP'!$B$4:$Y$1038,13,)</f>
        <v>27</v>
      </c>
      <c r="O6" s="101">
        <f>VLOOKUP(A6,'BSE ALL CAP'!$B$4:$Y$1038,14,)</f>
        <v>15</v>
      </c>
      <c r="P6" s="95">
        <f>VLOOKUP(A6,'BSE ALL CAP'!$B$4:$Y$1038,15,)</f>
        <v>4.9037580201649861E-2</v>
      </c>
      <c r="Q6" s="95">
        <f>VLOOKUP(A6,'BSE ALL CAP'!$B$4:$Y$1038,16,)</f>
        <v>2.2491349480968859E-2</v>
      </c>
      <c r="R6" s="95">
        <f>VLOOKUP(A6,'BSE ALL CAP'!$B$4:$Y$1038,17,)</f>
        <v>2.6546230720681002E-2</v>
      </c>
      <c r="S6" s="95">
        <f>VLOOKUP(A6,'BSE ALL CAP'!$B$4:$Y$1038,18,)</f>
        <v>3.5202086049543675E-2</v>
      </c>
      <c r="T6" s="95">
        <f>VLOOKUP(A6,'BSE ALL CAP'!$B$4:$Y$1038,19,)</f>
        <v>2.4711696869851731E-2</v>
      </c>
      <c r="U6" s="95">
        <f>VLOOKUP(A6,'BSE ALL CAP'!$B$4:$Y$1038,20,)</f>
        <v>1.0490389179691945E-2</v>
      </c>
      <c r="V6" s="95">
        <f>VLOOKUP(A6,'BSE ALL CAP'!$B$4:$Y$1038,21,)</f>
        <v>0.25836216839677051</v>
      </c>
      <c r="W6" s="95">
        <f>VLOOKUP(A6,'BSE ALL CAP'!$B$4:$Y$1038,22,)</f>
        <v>1.7435897435897436</v>
      </c>
      <c r="X6" s="95">
        <f>VLOOKUP(A6,'BSE ALL CAP'!$B$4:$Y$1038,23,)</f>
        <v>0.26359143327841839</v>
      </c>
      <c r="Y6" s="95">
        <f>VLOOKUP(A6,'BSE ALL CAP'!$B$4:$Y$1038,24,)</f>
        <v>0.8</v>
      </c>
    </row>
    <row r="7" spans="1:25" ht="15.75" customHeight="1">
      <c r="A7" s="357">
        <v>540795</v>
      </c>
      <c r="B7" s="357" t="s">
        <v>5843</v>
      </c>
      <c r="C7" s="174"/>
      <c r="D7" s="174"/>
      <c r="E7" s="101">
        <f ca="1">IFERROR(__xludf.DUMMYFUNCTION("GOOGLEFINANCE(""BOM:""&amp;A7,""PRICE"")"),267.95)</f>
        <v>267.95</v>
      </c>
      <c r="F7" s="112">
        <f ca="1">IFERROR(__xludf.DUMMYFUNCTION("GOOGLEFINANCE(""BOM:""&amp;A7,""MARKETCAP"")/10000000"),1302.2499209)</f>
        <v>1302.2499209</v>
      </c>
      <c r="G7" s="95">
        <f t="shared" ca="1" si="0"/>
        <v>7.2325210826981508E-3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357">
        <v>544336</v>
      </c>
      <c r="B8" s="357" t="s">
        <v>5844</v>
      </c>
      <c r="C8" s="174"/>
      <c r="D8" s="174"/>
      <c r="E8" s="101">
        <f ca="1">IFERROR(__xludf.DUMMYFUNCTION("GOOGLEFINANCE(""BOM:""&amp;A8,""PRICE"")"),287.3)</f>
        <v>287.3</v>
      </c>
      <c r="F8" s="112">
        <f ca="1">IFERROR(__xludf.DUMMYFUNCTION("GOOGLEFINANCE(""BOM:""&amp;A8,""MARKETCAP"")/10000000"),1150)</f>
        <v>1150</v>
      </c>
      <c r="G8" s="95">
        <f t="shared" ca="1" si="0"/>
        <v>6.3869454792169402E-3</v>
      </c>
      <c r="H8" s="342"/>
      <c r="I8" s="342"/>
      <c r="J8" s="342"/>
      <c r="K8" s="342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357">
        <v>530555</v>
      </c>
      <c r="B9" s="357" t="s">
        <v>5845</v>
      </c>
      <c r="C9" s="174"/>
      <c r="D9" s="174"/>
      <c r="E9" s="101">
        <f ca="1">IFERROR(__xludf.DUMMYFUNCTION("GOOGLEFINANCE(""BOM:""&amp;A9,""PRICE"")"),32.51)</f>
        <v>32.51</v>
      </c>
      <c r="F9" s="112">
        <f ca="1">IFERROR(__xludf.DUMMYFUNCTION("GOOGLEFINANCE(""BOM:""&amp;A9,""MARKETCAP"")/10000000"),992.236375)</f>
        <v>992.23637499999995</v>
      </c>
      <c r="G9" s="95">
        <f t="shared" ca="1" si="0"/>
        <v>5.5107475040181344E-3</v>
      </c>
      <c r="H9" s="342"/>
      <c r="I9" s="342"/>
      <c r="J9" s="342"/>
      <c r="K9" s="342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357">
        <v>544524</v>
      </c>
      <c r="B10" s="357" t="s">
        <v>5846</v>
      </c>
      <c r="C10" s="174"/>
      <c r="D10" s="174"/>
      <c r="E10" s="101">
        <f ca="1">IFERROR(__xludf.DUMMYFUNCTION("GOOGLEFINANCE(""BOM:""&amp;A10,""PRICE"")"),175)</f>
        <v>175</v>
      </c>
      <c r="F10" s="112">
        <f ca="1">IFERROR(__xludf.DUMMYFUNCTION("GOOGLEFINANCE(""BOM:""&amp;A10,""MARKETCAP"")/10000000"),394.64425)</f>
        <v>394.64425</v>
      </c>
      <c r="G10" s="95">
        <f t="shared" ca="1" si="0"/>
        <v>2.1918011377708348E-3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357">
        <v>544541</v>
      </c>
      <c r="B11" s="357" t="s">
        <v>5847</v>
      </c>
      <c r="C11" s="174"/>
      <c r="D11" s="174"/>
      <c r="E11" s="101">
        <f ca="1">IFERROR(__xludf.DUMMYFUNCTION("GOOGLEFINANCE(""BOM:""&amp;A11,""PRICE"")"),169.9)</f>
        <v>169.9</v>
      </c>
      <c r="F11" s="112">
        <f ca="1">IFERROR(__xludf.DUMMYFUNCTION("GOOGLEFINANCE(""BOM:""&amp;A11,""MARKETCAP"")/10000000"),379.4077539)</f>
        <v>379.40775389999999</v>
      </c>
      <c r="G11" s="95">
        <f t="shared" ca="1" si="0"/>
        <v>2.1071796856969205E-3</v>
      </c>
      <c r="H11" s="342"/>
      <c r="I11" s="342"/>
      <c r="J11" s="342"/>
      <c r="K11" s="342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357">
        <v>532941</v>
      </c>
      <c r="B12" s="357" t="s">
        <v>5848</v>
      </c>
      <c r="C12" s="174"/>
      <c r="D12" s="174"/>
      <c r="E12" s="101">
        <f ca="1">IFERROR(__xludf.DUMMYFUNCTION("GOOGLEFINANCE(""BOM:""&amp;A12,""PRICE"")"),149.5)</f>
        <v>149.5</v>
      </c>
      <c r="F12" s="112">
        <f ca="1">IFERROR(__xludf.DUMMYFUNCTION("GOOGLEFINANCE(""BOM:""&amp;A12,""MARKETCAP"")/10000000"),193.1020941)</f>
        <v>193.10209409999999</v>
      </c>
      <c r="G12" s="95">
        <f t="shared" ca="1" si="0"/>
        <v>1.0724630842950601E-3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357">
        <v>544003</v>
      </c>
      <c r="B13" s="357" t="s">
        <v>5849</v>
      </c>
      <c r="C13" s="174"/>
      <c r="D13" s="174"/>
      <c r="E13" s="101">
        <f ca="1">IFERROR(__xludf.DUMMYFUNCTION("GOOGLEFINANCE(""BOM:""&amp;A13,""PRICE"")"),33.62)</f>
        <v>33.619999999999997</v>
      </c>
      <c r="F13" s="112">
        <f ca="1">IFERROR(__xludf.DUMMYFUNCTION("GOOGLEFINANCE(""BOM:""&amp;A13,""MARKETCAP"")/10000000"),146.3944222)</f>
        <v>146.39442220000001</v>
      </c>
      <c r="G13" s="95">
        <f t="shared" ca="1" si="0"/>
        <v>8.1305495048075314E-4</v>
      </c>
      <c r="H13" s="342"/>
      <c r="I13" s="342"/>
      <c r="J13" s="342"/>
      <c r="K13" s="342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357">
        <v>538706</v>
      </c>
      <c r="B14" s="357" t="s">
        <v>5850</v>
      </c>
      <c r="C14" s="174"/>
      <c r="D14" s="174"/>
      <c r="E14" s="101">
        <f ca="1">IFERROR(__xludf.DUMMYFUNCTION("GOOGLEFINANCE(""BOM:""&amp;A14,""PRICE"")"),6.79)</f>
        <v>6.79</v>
      </c>
      <c r="F14" s="112">
        <f ca="1">IFERROR(__xludf.DUMMYFUNCTION("GOOGLEFINANCE(""BOM:""&amp;A14,""MARKETCAP"")/10000000"),83.4884136)</f>
        <v>83.488413600000001</v>
      </c>
      <c r="G14" s="95">
        <f t="shared" ca="1" si="0"/>
        <v>4.6368343113870796E-4</v>
      </c>
      <c r="H14" s="342"/>
      <c r="I14" s="342"/>
      <c r="J14" s="342"/>
      <c r="K14" s="342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357">
        <v>537766</v>
      </c>
      <c r="B15" s="357" t="s">
        <v>5851</v>
      </c>
      <c r="C15" s="174"/>
      <c r="D15" s="174"/>
      <c r="E15" s="101">
        <f ca="1">IFERROR(__xludf.DUMMYFUNCTION("GOOGLEFINANCE(""BOM:""&amp;A15,""PRICE"")"),1.69)</f>
        <v>1.69</v>
      </c>
      <c r="F15" s="112">
        <f ca="1">IFERROR(__xludf.DUMMYFUNCTION("GOOGLEFINANCE(""BOM:""&amp;A15,""MARKETCAP"")/10000000"),11.7962003)</f>
        <v>11.796200300000001</v>
      </c>
      <c r="G15" s="95">
        <f t="shared" ca="1" si="0"/>
        <v>6.5514511459150012E-5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>
      <c r="A16" s="101"/>
      <c r="B16" s="101"/>
      <c r="C16" s="101"/>
      <c r="D16" s="101"/>
      <c r="E16" s="101"/>
      <c r="F16" s="112"/>
      <c r="G16" s="358"/>
      <c r="H16" s="342"/>
      <c r="I16" s="342"/>
      <c r="J16" s="342"/>
      <c r="K16" s="342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>
      <c r="A17" s="101"/>
      <c r="B17" s="101"/>
      <c r="C17" s="101"/>
      <c r="D17" s="101"/>
      <c r="E17" s="101"/>
      <c r="F17" s="112">
        <f ca="1">SUM(F2:F15)</f>
        <v>180054.77011540008</v>
      </c>
      <c r="G17" s="95">
        <f ca="1">F17/$F$17</f>
        <v>1</v>
      </c>
      <c r="H17" s="342">
        <f t="shared" ref="H17:O17" si="1">SUM(H2:H15)</f>
        <v>41600</v>
      </c>
      <c r="I17" s="342">
        <f t="shared" si="1"/>
        <v>33101</v>
      </c>
      <c r="J17" s="342">
        <f t="shared" si="1"/>
        <v>3476</v>
      </c>
      <c r="K17" s="342">
        <f t="shared" si="1"/>
        <v>2510</v>
      </c>
      <c r="L17" s="342">
        <f t="shared" si="1"/>
        <v>15490</v>
      </c>
      <c r="M17" s="342">
        <f t="shared" si="1"/>
        <v>11269</v>
      </c>
      <c r="N17" s="342">
        <f t="shared" si="1"/>
        <v>1173</v>
      </c>
      <c r="O17" s="342">
        <f t="shared" si="1"/>
        <v>858</v>
      </c>
      <c r="P17" s="13">
        <f t="shared" ref="P17:Q17" si="2">J17/H17</f>
        <v>8.3557692307692305E-2</v>
      </c>
      <c r="Q17" s="13">
        <f t="shared" si="2"/>
        <v>7.582852481798133E-2</v>
      </c>
      <c r="R17" s="13">
        <f>P17-Q17</f>
        <v>7.7291674897109752E-3</v>
      </c>
      <c r="S17" s="13">
        <f t="shared" ref="S17:T17" si="3">N17/L17</f>
        <v>7.5726275016139447E-2</v>
      </c>
      <c r="T17" s="13">
        <f t="shared" si="3"/>
        <v>7.6138077912858287E-2</v>
      </c>
      <c r="U17" s="13">
        <f>S17-T17</f>
        <v>-4.1180289671884085E-4</v>
      </c>
      <c r="V17" s="13">
        <f>(H17/I17)-1</f>
        <v>0.25675961451315676</v>
      </c>
      <c r="W17" s="13">
        <f>(J17/K17)-1</f>
        <v>0.38486055776892436</v>
      </c>
      <c r="X17" s="13">
        <f>(L17/M17)-1</f>
        <v>0.37456739728458599</v>
      </c>
      <c r="Y17" s="13">
        <f>(N17/O17)-1</f>
        <v>0.36713286713286708</v>
      </c>
    </row>
    <row r="18" spans="1:25">
      <c r="F18" s="94"/>
      <c r="G18" s="359"/>
      <c r="H18" s="359"/>
      <c r="I18" s="359"/>
      <c r="J18" s="359"/>
      <c r="K18" s="359"/>
    </row>
    <row r="19" spans="1:25">
      <c r="F19" s="94"/>
      <c r="G19" s="359"/>
      <c r="H19" s="359"/>
      <c r="I19" s="359"/>
      <c r="J19" s="359"/>
      <c r="K19" s="359"/>
    </row>
    <row r="20" spans="1:25">
      <c r="F20" s="94"/>
      <c r="G20" s="359"/>
      <c r="H20" s="359"/>
      <c r="I20" s="359"/>
      <c r="J20" s="359"/>
      <c r="K20" s="359"/>
    </row>
    <row r="21" spans="1:25">
      <c r="F21" s="94"/>
      <c r="G21" s="359"/>
      <c r="H21" s="359"/>
      <c r="I21" s="359"/>
      <c r="J21" s="359"/>
      <c r="K21" s="359"/>
    </row>
    <row r="22" spans="1:25">
      <c r="F22" s="94"/>
      <c r="G22" s="359"/>
      <c r="H22" s="359"/>
      <c r="I22" s="359"/>
      <c r="J22" s="359"/>
      <c r="K22" s="359"/>
    </row>
    <row r="23" spans="1:25">
      <c r="F23" s="94"/>
      <c r="G23" s="359"/>
      <c r="H23" s="359"/>
      <c r="I23" s="359"/>
      <c r="J23" s="359"/>
      <c r="K23" s="359"/>
    </row>
    <row r="24" spans="1:25">
      <c r="F24" s="94"/>
      <c r="G24" s="359"/>
      <c r="H24" s="359"/>
      <c r="I24" s="359"/>
      <c r="J24" s="359"/>
      <c r="K24" s="359"/>
    </row>
    <row r="25" spans="1:25" ht="13.2">
      <c r="F25" s="94"/>
      <c r="G25" s="359"/>
      <c r="H25" s="359"/>
      <c r="I25" s="359"/>
      <c r="J25" s="359"/>
      <c r="K25" s="359"/>
    </row>
    <row r="26" spans="1:25" ht="13.2">
      <c r="F26" s="94"/>
      <c r="G26" s="359"/>
      <c r="H26" s="359"/>
      <c r="I26" s="359"/>
      <c r="J26" s="359"/>
      <c r="K26" s="359"/>
    </row>
    <row r="27" spans="1:25" ht="13.2">
      <c r="F27" s="94"/>
      <c r="G27" s="359"/>
    </row>
    <row r="28" spans="1:25" ht="13.2">
      <c r="F28" s="94"/>
      <c r="G28" s="359"/>
      <c r="H28" s="359"/>
      <c r="I28" s="359"/>
      <c r="J28" s="359"/>
      <c r="K28" s="359"/>
    </row>
    <row r="29" spans="1:25" ht="13.2">
      <c r="F29" s="94"/>
      <c r="G29" s="359"/>
      <c r="H29" s="359"/>
      <c r="I29" s="359"/>
      <c r="J29" s="359"/>
      <c r="K29" s="359"/>
    </row>
    <row r="30" spans="1:25" ht="13.2">
      <c r="F30" s="94"/>
      <c r="G30" s="359"/>
      <c r="H30" s="359"/>
      <c r="I30" s="359"/>
      <c r="J30" s="359"/>
      <c r="K30" s="359"/>
    </row>
    <row r="31" spans="1:25" ht="13.2">
      <c r="F31" s="94"/>
      <c r="G31" s="359"/>
      <c r="H31" s="359"/>
      <c r="I31" s="359"/>
      <c r="J31" s="359"/>
      <c r="K31" s="359"/>
    </row>
    <row r="32" spans="1:25" ht="13.2">
      <c r="F32" s="94"/>
      <c r="G32" s="359"/>
      <c r="H32" s="359"/>
      <c r="I32" s="359"/>
      <c r="J32" s="359"/>
      <c r="K32" s="359"/>
    </row>
    <row r="33" spans="6:11" ht="13.2">
      <c r="F33" s="94"/>
      <c r="G33" s="359"/>
      <c r="H33" s="359"/>
      <c r="I33" s="359"/>
      <c r="J33" s="359"/>
      <c r="K33" s="359"/>
    </row>
    <row r="34" spans="6:11" ht="13.2">
      <c r="F34" s="94"/>
      <c r="G34" s="359"/>
      <c r="H34" s="359"/>
      <c r="I34" s="359"/>
      <c r="J34" s="359"/>
      <c r="K34" s="359"/>
    </row>
    <row r="35" spans="6:11" ht="13.2">
      <c r="F35" s="94"/>
    </row>
    <row r="36" spans="6:11" ht="13.2">
      <c r="F36" s="94"/>
    </row>
    <row r="37" spans="6:11" ht="13.2">
      <c r="F37" s="94"/>
    </row>
    <row r="38" spans="6:11" ht="13.2">
      <c r="F38" s="94"/>
    </row>
    <row r="39" spans="6:11" ht="13.2">
      <c r="F39" s="94"/>
    </row>
    <row r="40" spans="6:11" ht="13.2">
      <c r="F40" s="94"/>
    </row>
    <row r="41" spans="6:11" ht="13.2">
      <c r="F41" s="94"/>
    </row>
    <row r="42" spans="6:11" ht="13.2">
      <c r="F42" s="94"/>
    </row>
    <row r="43" spans="6:11" ht="13.2">
      <c r="F43" s="94"/>
    </row>
    <row r="44" spans="6:11" ht="13.2">
      <c r="F44" s="94"/>
    </row>
    <row r="45" spans="6:11" ht="13.2">
      <c r="F45" s="94"/>
    </row>
    <row r="46" spans="6:11" ht="13.2">
      <c r="F46" s="94"/>
    </row>
    <row r="47" spans="6:11" ht="13.2">
      <c r="F47" s="94"/>
    </row>
    <row r="48" spans="6:11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5" xr:uid="{00000000-0009-0000-0000-0000BD000000}"/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8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4.4">
      <c r="A2" s="99">
        <v>500184</v>
      </c>
      <c r="B2" s="98" t="s">
        <v>5852</v>
      </c>
      <c r="C2" s="174" t="str">
        <f>VLOOKUP(A2,'BSE ALL CAP'!$B$4:$Y$1034,2,)</f>
        <v>Commodities</v>
      </c>
      <c r="D2" s="174" t="str">
        <f>VLOOKUP(A2,'BSE ALL CAP'!$B$4:$Y$1034,3,)</f>
        <v>Carbon Black</v>
      </c>
      <c r="E2" s="101">
        <f ca="1">IFERROR(__xludf.DUMMYFUNCTION("GOOGLEFINANCE(""BOM:""&amp;A2,""PRICE"")"),451.9)</f>
        <v>451.9</v>
      </c>
      <c r="F2" s="112">
        <f ca="1">IFERROR(__xludf.DUMMYFUNCTION("GOOGLEFINANCE(""BOM:""&amp;A2,""MARKETCAP"")/10000000"),22752.2995583)</f>
        <v>22752.299558300001</v>
      </c>
      <c r="G2" s="95">
        <f t="shared" ref="G2:G3" ca="1" si="0">F2/$F$5</f>
        <v>0.68998939759908062</v>
      </c>
      <c r="H2" s="101">
        <f>VLOOKUP(A2,'BSE ALL CAP'!$B$4:$Y$1038,7,)</f>
        <v>3372</v>
      </c>
      <c r="I2" s="101">
        <f>VLOOKUP(A2,'BSE ALL CAP'!$B$4:$Y$1038,8,)</f>
        <v>3477</v>
      </c>
      <c r="J2" s="101">
        <f>VLOOKUP(A2,'BSE ALL CAP'!$B$4:$Y$1038,9,)</f>
        <v>547</v>
      </c>
      <c r="K2" s="101">
        <f>VLOOKUP(A2,'BSE ALL CAP'!$B$4:$Y$1038,10,)</f>
        <v>399</v>
      </c>
      <c r="L2" s="101">
        <f>VLOOKUP(A2,'BSE ALL CAP'!$B$4:$Y$1038,11,)</f>
        <v>1183</v>
      </c>
      <c r="M2" s="101">
        <f>VLOOKUP(A2,'BSE ALL CAP'!$B$4:$Y$1038,12,)</f>
        <v>1140</v>
      </c>
      <c r="N2" s="101">
        <f>VLOOKUP(A2,'BSE ALL CAP'!$B$4:$Y$1038,13,)</f>
        <v>192</v>
      </c>
      <c r="O2" s="101">
        <f>VLOOKUP(A2,'BSE ALL CAP'!$B$4:$Y$1038,14,)</f>
        <v>141</v>
      </c>
      <c r="P2" s="95">
        <f>VLOOKUP(A2,'BSE ALL CAP'!$B$4:$Y$1038,15,)</f>
        <v>0.16221826809015422</v>
      </c>
      <c r="Q2" s="95">
        <f>VLOOKUP(A2,'BSE ALL CAP'!$B$4:$Y$1038,16,)</f>
        <v>0.11475409836065574</v>
      </c>
      <c r="R2" s="95">
        <f>VLOOKUP(A2,'BSE ALL CAP'!$B$4:$Y$1038,17,)</f>
        <v>4.7464169729498476E-2</v>
      </c>
      <c r="S2" s="95">
        <f>VLOOKUP(A2,'BSE ALL CAP'!$B$4:$Y$1038,18,)</f>
        <v>0.16229923922231615</v>
      </c>
      <c r="T2" s="95">
        <f>VLOOKUP(A2,'BSE ALL CAP'!$B$4:$Y$1038,19,)</f>
        <v>0.12368421052631579</v>
      </c>
      <c r="U2" s="95">
        <f>VLOOKUP(A2,'BSE ALL CAP'!$B$4:$Y$1038,20,)</f>
        <v>3.8615028696000364E-2</v>
      </c>
      <c r="V2" s="95">
        <f>VLOOKUP(A2,'BSE ALL CAP'!$B$4:$Y$1038,21,)</f>
        <v>-3.0198446937014678E-2</v>
      </c>
      <c r="W2" s="95">
        <f>VLOOKUP(A2,'BSE ALL CAP'!$B$4:$Y$1038,22,)</f>
        <v>0.37092731829573933</v>
      </c>
      <c r="X2" s="95">
        <f>VLOOKUP(A2,'BSE ALL CAP'!$B$4:$Y$1038,23,)</f>
        <v>3.7719298245614041E-2</v>
      </c>
      <c r="Y2" s="95">
        <f>VLOOKUP(A2,'BSE ALL CAP'!$B$4:$Y$1038,24,)</f>
        <v>0.36170212765957444</v>
      </c>
    </row>
    <row r="3" spans="1:25" ht="14.4">
      <c r="A3" s="99">
        <v>506590</v>
      </c>
      <c r="B3" s="98" t="s">
        <v>5853</v>
      </c>
      <c r="C3" s="174" t="str">
        <f>VLOOKUP(A3,'BSE ALL CAP'!$B$4:$Y$1034,2,)</f>
        <v>Commodities</v>
      </c>
      <c r="D3" s="174" t="str">
        <f>VLOOKUP(A3,'BSE ALL CAP'!$B$4:$Y$1034,3,)</f>
        <v>Carbon Black</v>
      </c>
      <c r="E3" s="101">
        <f ca="1">IFERROR(__xludf.DUMMYFUNCTION("GOOGLEFINANCE(""BOM:""&amp;A3,""PRICE"")"),259.95)</f>
        <v>259.95</v>
      </c>
      <c r="F3" s="112">
        <f ca="1">IFERROR(__xludf.DUMMYFUNCTION("GOOGLEFINANCE(""BOM:""&amp;A3,""MARKETCAP"")/10000000"),10222.5543126)</f>
        <v>10222.554312599999</v>
      </c>
      <c r="G3" s="95">
        <f t="shared" ca="1" si="0"/>
        <v>0.31001060240091943</v>
      </c>
      <c r="H3" s="101">
        <f>VLOOKUP(A3,'BSE ALL CAP'!$B$4:$Y$1038,7,)</f>
        <v>6123</v>
      </c>
      <c r="I3" s="101">
        <f>VLOOKUP(A3,'BSE ALL CAP'!$B$4:$Y$1038,8,)</f>
        <v>6317</v>
      </c>
      <c r="J3" s="101">
        <f>VLOOKUP(A3,'BSE ALL CAP'!$B$4:$Y$1038,9,)</f>
        <v>158</v>
      </c>
      <c r="K3" s="101">
        <f>VLOOKUP(A3,'BSE ALL CAP'!$B$4:$Y$1038,10,)</f>
        <v>334</v>
      </c>
      <c r="L3" s="101">
        <f>VLOOKUP(A3,'BSE ALL CAP'!$B$4:$Y$1038,11,)</f>
        <v>1846</v>
      </c>
      <c r="M3" s="101">
        <f>VLOOKUP(A3,'BSE ALL CAP'!$B$4:$Y$1038,12,)</f>
        <v>2010</v>
      </c>
      <c r="N3" s="101">
        <f>VLOOKUP(A3,'BSE ALL CAP'!$B$4:$Y$1038,13,)</f>
        <v>2</v>
      </c>
      <c r="O3" s="101">
        <f>VLOOKUP(A3,'BSE ALL CAP'!$B$4:$Y$1038,14,)</f>
        <v>93</v>
      </c>
      <c r="P3" s="95">
        <f>VLOOKUP(A3,'BSE ALL CAP'!$B$4:$Y$1038,15,)</f>
        <v>2.5804344275681856E-2</v>
      </c>
      <c r="Q3" s="95">
        <f>VLOOKUP(A3,'BSE ALL CAP'!$B$4:$Y$1038,16,)</f>
        <v>5.2873199303466838E-2</v>
      </c>
      <c r="R3" s="95">
        <f>VLOOKUP(A3,'BSE ALL CAP'!$B$4:$Y$1038,17,)</f>
        <v>-2.7068855027784982E-2</v>
      </c>
      <c r="S3" s="95">
        <f>VLOOKUP(A3,'BSE ALL CAP'!$B$4:$Y$1038,18,)</f>
        <v>1.0834236186348862E-3</v>
      </c>
      <c r="T3" s="95">
        <f>VLOOKUP(A3,'BSE ALL CAP'!$B$4:$Y$1038,19,)</f>
        <v>4.6268656716417909E-2</v>
      </c>
      <c r="U3" s="95">
        <f>VLOOKUP(A3,'BSE ALL CAP'!$B$4:$Y$1038,20,)</f>
        <v>-4.5185233097783023E-2</v>
      </c>
      <c r="V3" s="95">
        <f>VLOOKUP(A3,'BSE ALL CAP'!$B$4:$Y$1038,21,)</f>
        <v>-3.0710780433750196E-2</v>
      </c>
      <c r="W3" s="95">
        <f>VLOOKUP(A3,'BSE ALL CAP'!$B$4:$Y$1038,22,)</f>
        <v>-0.52694610778443107</v>
      </c>
      <c r="X3" s="95">
        <f>VLOOKUP(A3,'BSE ALL CAP'!$B$4:$Y$1038,23,)</f>
        <v>-8.1592039800995053E-2</v>
      </c>
      <c r="Y3" s="95">
        <f>VLOOKUP(A3,'BSE ALL CAP'!$B$4:$Y$1038,24,)</f>
        <v>-0.978494623655914</v>
      </c>
    </row>
    <row r="4" spans="1:25" ht="13.2">
      <c r="A4" s="101"/>
      <c r="B4" s="101"/>
      <c r="C4" s="101"/>
      <c r="D4" s="101"/>
      <c r="E4" s="101"/>
      <c r="F4" s="112"/>
      <c r="G4" s="95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3.2">
      <c r="A5" s="101"/>
      <c r="B5" s="101"/>
      <c r="C5" s="101"/>
      <c r="D5" s="101"/>
      <c r="E5" s="101"/>
      <c r="F5" s="112">
        <f ca="1">SUM(F2:F3)</f>
        <v>32974.853870899999</v>
      </c>
      <c r="G5" s="95">
        <f ca="1">F5/$F$5</f>
        <v>1</v>
      </c>
      <c r="H5" s="101">
        <f t="shared" ref="H5:O5" si="1">SUM(H2:H3)</f>
        <v>9495</v>
      </c>
      <c r="I5" s="101">
        <f t="shared" si="1"/>
        <v>9794</v>
      </c>
      <c r="J5" s="101">
        <f t="shared" si="1"/>
        <v>705</v>
      </c>
      <c r="K5" s="101">
        <f t="shared" si="1"/>
        <v>733</v>
      </c>
      <c r="L5" s="101">
        <f t="shared" si="1"/>
        <v>3029</v>
      </c>
      <c r="M5" s="101">
        <f t="shared" si="1"/>
        <v>3150</v>
      </c>
      <c r="N5" s="101">
        <f t="shared" si="1"/>
        <v>194</v>
      </c>
      <c r="O5" s="101">
        <f t="shared" si="1"/>
        <v>234</v>
      </c>
      <c r="P5" s="13">
        <f t="shared" ref="P5:Q5" si="2">J5/H5</f>
        <v>7.4249605055292253E-2</v>
      </c>
      <c r="Q5" s="13">
        <f t="shared" si="2"/>
        <v>7.4841739840718804E-2</v>
      </c>
      <c r="R5" s="13">
        <f>P5-Q5</f>
        <v>-5.9213478542655129E-4</v>
      </c>
      <c r="S5" s="13">
        <f t="shared" ref="S5:T5" si="3">N5/L5</f>
        <v>6.4047540442390222E-2</v>
      </c>
      <c r="T5" s="13">
        <f t="shared" si="3"/>
        <v>7.4285714285714288E-2</v>
      </c>
      <c r="U5" s="13">
        <f>S5-T5</f>
        <v>-1.0238173843324067E-2</v>
      </c>
      <c r="V5" s="13">
        <f>(H5/I5)-1</f>
        <v>-3.0528895241984877E-2</v>
      </c>
      <c r="W5" s="13">
        <f>(J5/K5)-1</f>
        <v>-3.8199181446111896E-2</v>
      </c>
      <c r="X5" s="13">
        <f>(L5/M5)-1</f>
        <v>-3.8412698412698454E-2</v>
      </c>
      <c r="Y5" s="13">
        <f>(N5/O5)-1</f>
        <v>-0.17094017094017089</v>
      </c>
    </row>
    <row r="6" spans="1:25" ht="13.2">
      <c r="F6" s="94"/>
    </row>
    <row r="7" spans="1:25" ht="13.2">
      <c r="F7" s="94"/>
    </row>
    <row r="8" spans="1:25" ht="13.2">
      <c r="F8" s="94"/>
    </row>
    <row r="9" spans="1:25" ht="13.2">
      <c r="F9" s="94"/>
    </row>
    <row r="10" spans="1:25" ht="13.2">
      <c r="F10" s="94"/>
    </row>
    <row r="11" spans="1:25" ht="13.2">
      <c r="F11" s="94"/>
    </row>
    <row r="12" spans="1:25" ht="13.2">
      <c r="F12" s="94"/>
    </row>
    <row r="13" spans="1:25" ht="13.2">
      <c r="F13" s="94"/>
    </row>
    <row r="14" spans="1:25" ht="13.2">
      <c r="F14" s="94"/>
    </row>
    <row r="15" spans="1:25" ht="13.2">
      <c r="F15" s="94"/>
    </row>
    <row r="16" spans="1:25" ht="13.2">
      <c r="F16" s="94"/>
    </row>
    <row r="17" spans="6:6" ht="13.2">
      <c r="F17" s="94"/>
    </row>
    <row r="18" spans="6:6" ht="13.2">
      <c r="F18" s="94"/>
    </row>
    <row r="19" spans="6:6" ht="13.2">
      <c r="F19" s="94"/>
    </row>
    <row r="20" spans="6:6" ht="13.2">
      <c r="F20" s="94"/>
    </row>
    <row r="21" spans="6:6" ht="13.2">
      <c r="F21" s="94"/>
    </row>
    <row r="22" spans="6:6" ht="13.2">
      <c r="F22" s="94"/>
    </row>
    <row r="23" spans="6:6" ht="13.2">
      <c r="F23" s="94"/>
    </row>
    <row r="24" spans="6:6" ht="13.2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3" xr:uid="{00000000-0009-0000-0000-0000BE000000}"/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8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4.4">
      <c r="A2" s="99">
        <v>532683</v>
      </c>
      <c r="B2" s="98" t="s">
        <v>5854</v>
      </c>
      <c r="C2" s="174" t="str">
        <f>VLOOKUP(A2,'BSE ALL CAP'!$B$4:$Y$1034,2,)</f>
        <v>Industrials</v>
      </c>
      <c r="D2" s="174" t="str">
        <f>VLOOKUP(A2,'BSE ALL CAP'!$B$4:$Y$1034,3,)</f>
        <v>Castings &amp; Forgings</v>
      </c>
      <c r="E2" s="101">
        <f ca="1">IFERROR(__xludf.DUMMYFUNCTION("GOOGLEFINANCE(""BOM:""&amp;A2,""PRICE"")"),3655.05)</f>
        <v>3655.05</v>
      </c>
      <c r="F2" s="112">
        <f ca="1">IFERROR(__xludf.DUMMYFUNCTION("GOOGLEFINANCE(""BOM:""&amp;A2,""MARKETCAP"")/10000000"),34136.591346)</f>
        <v>34136.591346000001</v>
      </c>
      <c r="G2" s="95">
        <f t="shared" ref="G2:G22" ca="1" si="0">F2/$F$24</f>
        <v>0.58291107723282209</v>
      </c>
      <c r="H2" s="101">
        <f>VLOOKUP(A2,'BSE ALL CAP'!$B$4:$Y$1038,7,)</f>
        <v>3153</v>
      </c>
      <c r="I2" s="101">
        <f>VLOOKUP(A2,'BSE ALL CAP'!$B$4:$Y$1038,8,)</f>
        <v>3130</v>
      </c>
      <c r="J2" s="101">
        <f>VLOOKUP(A2,'BSE ALL CAP'!$B$4:$Y$1038,9,)</f>
        <v>875</v>
      </c>
      <c r="K2" s="101">
        <f>VLOOKUP(A2,'BSE ALL CAP'!$B$4:$Y$1038,10,)</f>
        <v>774</v>
      </c>
      <c r="L2" s="101">
        <f>VLOOKUP(A2,'BSE ALL CAP'!$B$4:$Y$1038,11,)</f>
        <v>1066</v>
      </c>
      <c r="M2" s="101">
        <f>VLOOKUP(A2,'BSE ALL CAP'!$B$4:$Y$1038,12,)</f>
        <v>1066</v>
      </c>
      <c r="N2" s="101">
        <f>VLOOKUP(A2,'BSE ALL CAP'!$B$4:$Y$1038,13,)</f>
        <v>292</v>
      </c>
      <c r="O2" s="101">
        <f>VLOOKUP(A2,'BSE ALL CAP'!$B$4:$Y$1038,14,)</f>
        <v>258</v>
      </c>
      <c r="P2" s="95">
        <f>VLOOKUP(A2,'BSE ALL CAP'!$B$4:$Y$1038,15,)</f>
        <v>0.27751347922613384</v>
      </c>
      <c r="Q2" s="95">
        <f>VLOOKUP(A2,'BSE ALL CAP'!$B$4:$Y$1038,16,)</f>
        <v>0.24728434504792332</v>
      </c>
      <c r="R2" s="95">
        <f>VLOOKUP(A2,'BSE ALL CAP'!$B$4:$Y$1038,17,)</f>
        <v>3.0229134178210521E-2</v>
      </c>
      <c r="S2" s="95">
        <f>VLOOKUP(A2,'BSE ALL CAP'!$B$4:$Y$1038,18,)</f>
        <v>0.27392120075046905</v>
      </c>
      <c r="T2" s="95">
        <f>VLOOKUP(A2,'BSE ALL CAP'!$B$4:$Y$1038,19,)</f>
        <v>0.24202626641651032</v>
      </c>
      <c r="U2" s="95">
        <f>VLOOKUP(A2,'BSE ALL CAP'!$B$4:$Y$1038,20,)</f>
        <v>3.1894934333958735E-2</v>
      </c>
      <c r="V2" s="95">
        <f>VLOOKUP(A2,'BSE ALL CAP'!$B$4:$Y$1038,21,)</f>
        <v>7.348242811501704E-3</v>
      </c>
      <c r="W2" s="95">
        <f>VLOOKUP(A2,'BSE ALL CAP'!$B$4:$Y$1038,22,)</f>
        <v>0.1304909560723515</v>
      </c>
      <c r="X2" s="95">
        <f>VLOOKUP(A2,'BSE ALL CAP'!$B$4:$Y$1038,23,)</f>
        <v>0</v>
      </c>
      <c r="Y2" s="95">
        <f>VLOOKUP(A2,'BSE ALL CAP'!$B$4:$Y$1038,24,)</f>
        <v>0.13178294573643412</v>
      </c>
    </row>
    <row r="3" spans="1:25" ht="14.4">
      <c r="A3" s="99">
        <v>544057</v>
      </c>
      <c r="B3" s="98" t="s">
        <v>5855</v>
      </c>
      <c r="C3" s="174" t="str">
        <f>VLOOKUP(A3,'BSE ALL CAP'!$B$4:$Y$1034,2,)</f>
        <v>Industrials</v>
      </c>
      <c r="D3" s="174" t="str">
        <f>VLOOKUP(A3,'BSE ALL CAP'!$B$4:$Y$1034,3,)</f>
        <v>Castings &amp; Forgings</v>
      </c>
      <c r="E3" s="101">
        <f ca="1">IFERROR(__xludf.DUMMYFUNCTION("GOOGLEFINANCE(""BOM:""&amp;A3,""PRICE"")"),1195.2)</f>
        <v>1195.2</v>
      </c>
      <c r="F3" s="112">
        <f ca="1">IFERROR(__xludf.DUMMYFUNCTION("GOOGLEFINANCE(""BOM:""&amp;A3,""MARKETCAP"")/10000000"),11267.2945588)</f>
        <v>11267.2945588</v>
      </c>
      <c r="G3" s="95">
        <f t="shared" ca="1" si="0"/>
        <v>0.19239855386261984</v>
      </c>
      <c r="H3" s="101">
        <f>VLOOKUP(A3,'BSE ALL CAP'!$B$4:$Y$1038,7,)</f>
        <v>1122</v>
      </c>
      <c r="I3" s="101">
        <f>VLOOKUP(A3,'BSE ALL CAP'!$B$4:$Y$1038,8,)</f>
        <v>1056</v>
      </c>
      <c r="J3" s="101">
        <f>VLOOKUP(A3,'BSE ALL CAP'!$B$4:$Y$1038,9,)</f>
        <v>218</v>
      </c>
      <c r="K3" s="101">
        <f>VLOOKUP(A3,'BSE ALL CAP'!$B$4:$Y$1038,10,)</f>
        <v>199</v>
      </c>
      <c r="L3" s="101">
        <f>VLOOKUP(A3,'BSE ALL CAP'!$B$4:$Y$1038,11,)</f>
        <v>391</v>
      </c>
      <c r="M3" s="101">
        <f>VLOOKUP(A3,'BSE ALL CAP'!$B$4:$Y$1038,12,)</f>
        <v>354</v>
      </c>
      <c r="N3" s="101">
        <f>VLOOKUP(A3,'BSE ALL CAP'!$B$4:$Y$1038,13,)</f>
        <v>78</v>
      </c>
      <c r="O3" s="101">
        <f>VLOOKUP(A3,'BSE ALL CAP'!$B$4:$Y$1038,14,)</f>
        <v>65</v>
      </c>
      <c r="P3" s="95">
        <f>VLOOKUP(A3,'BSE ALL CAP'!$B$4:$Y$1038,15,)</f>
        <v>0.19429590017825313</v>
      </c>
      <c r="Q3" s="95">
        <f>VLOOKUP(A3,'BSE ALL CAP'!$B$4:$Y$1038,16,)</f>
        <v>0.1884469696969697</v>
      </c>
      <c r="R3" s="95">
        <f>VLOOKUP(A3,'BSE ALL CAP'!$B$4:$Y$1038,17,)</f>
        <v>5.848930481283432E-3</v>
      </c>
      <c r="S3" s="95">
        <f>VLOOKUP(A3,'BSE ALL CAP'!$B$4:$Y$1038,18,)</f>
        <v>0.19948849104859334</v>
      </c>
      <c r="T3" s="95">
        <f>VLOOKUP(A3,'BSE ALL CAP'!$B$4:$Y$1038,19,)</f>
        <v>0.18361581920903955</v>
      </c>
      <c r="U3" s="95">
        <f>VLOOKUP(A3,'BSE ALL CAP'!$B$4:$Y$1038,20,)</f>
        <v>1.5872671839553792E-2</v>
      </c>
      <c r="V3" s="95">
        <f>VLOOKUP(A3,'BSE ALL CAP'!$B$4:$Y$1038,21,)</f>
        <v>6.25E-2</v>
      </c>
      <c r="W3" s="95">
        <f>VLOOKUP(A3,'BSE ALL CAP'!$B$4:$Y$1038,22,)</f>
        <v>9.5477386934673447E-2</v>
      </c>
      <c r="X3" s="95">
        <f>VLOOKUP(A3,'BSE ALL CAP'!$B$4:$Y$1038,23,)</f>
        <v>0.10451977401129953</v>
      </c>
      <c r="Y3" s="95">
        <f>VLOOKUP(A3,'BSE ALL CAP'!$B$4:$Y$1038,24,)</f>
        <v>0.19999999999999996</v>
      </c>
    </row>
    <row r="4" spans="1:25" ht="14.4">
      <c r="A4" s="99">
        <v>531112</v>
      </c>
      <c r="B4" s="98" t="s">
        <v>5856</v>
      </c>
      <c r="C4" s="174" t="str">
        <f>VLOOKUP(A4,'BSE ALL CAP'!$B$4:$Y$1034,2,)</f>
        <v>Industrials</v>
      </c>
      <c r="D4" s="174" t="str">
        <f>VLOOKUP(A4,'BSE ALL CAP'!$B$4:$Y$1034,3,)</f>
        <v>Castings &amp; Forgings</v>
      </c>
      <c r="E4" s="101">
        <f ca="1">IFERROR(__xludf.DUMMYFUNCTION("GOOGLEFINANCE(""BOM:""&amp;A4,""PRICE"")"),433)</f>
        <v>433</v>
      </c>
      <c r="F4" s="112">
        <f ca="1">IFERROR(__xludf.DUMMYFUNCTION("GOOGLEFINANCE(""BOM:""&amp;A4,""MARKETCAP"")/10000000"),5256.26927)</f>
        <v>5256.2692699999998</v>
      </c>
      <c r="G4" s="95">
        <f t="shared" ca="1" si="0"/>
        <v>8.9755229259599167E-2</v>
      </c>
      <c r="H4" s="101">
        <f>VLOOKUP(A4,'BSE ALL CAP'!$B$4:$Y$1038,7,)</f>
        <v>843</v>
      </c>
      <c r="I4" s="101">
        <f>VLOOKUP(A4,'BSE ALL CAP'!$B$4:$Y$1038,8,)</f>
        <v>653</v>
      </c>
      <c r="J4" s="101">
        <f>VLOOKUP(A4,'BSE ALL CAP'!$B$4:$Y$1038,9,)</f>
        <v>193</v>
      </c>
      <c r="K4" s="101">
        <f>VLOOKUP(A4,'BSE ALL CAP'!$B$4:$Y$1038,10,)</f>
        <v>141</v>
      </c>
      <c r="L4" s="101">
        <f>VLOOKUP(A4,'BSE ALL CAP'!$B$4:$Y$1038,11,)</f>
        <v>311</v>
      </c>
      <c r="M4" s="101">
        <f>VLOOKUP(A4,'BSE ALL CAP'!$B$4:$Y$1038,12,)</f>
        <v>255</v>
      </c>
      <c r="N4" s="101">
        <f>VLOOKUP(A4,'BSE ALL CAP'!$B$4:$Y$1038,13,)</f>
        <v>71</v>
      </c>
      <c r="O4" s="101">
        <f>VLOOKUP(A4,'BSE ALL CAP'!$B$4:$Y$1038,14,)</f>
        <v>59</v>
      </c>
      <c r="P4" s="95">
        <f>VLOOKUP(A4,'BSE ALL CAP'!$B$4:$Y$1038,15,)</f>
        <v>0.22894424673784106</v>
      </c>
      <c r="Q4" s="95">
        <f>VLOOKUP(A4,'BSE ALL CAP'!$B$4:$Y$1038,16,)</f>
        <v>0.21592649310872894</v>
      </c>
      <c r="R4" s="95">
        <f>VLOOKUP(A4,'BSE ALL CAP'!$B$4:$Y$1038,17,)</f>
        <v>1.3017753629112117E-2</v>
      </c>
      <c r="S4" s="95">
        <f>VLOOKUP(A4,'BSE ALL CAP'!$B$4:$Y$1038,18,)</f>
        <v>0.22829581993569131</v>
      </c>
      <c r="T4" s="95">
        <f>VLOOKUP(A4,'BSE ALL CAP'!$B$4:$Y$1038,19,)</f>
        <v>0.23137254901960785</v>
      </c>
      <c r="U4" s="95">
        <f>VLOOKUP(A4,'BSE ALL CAP'!$B$4:$Y$1038,20,)</f>
        <v>-3.0767290839165407E-3</v>
      </c>
      <c r="V4" s="95">
        <f>VLOOKUP(A4,'BSE ALL CAP'!$B$4:$Y$1038,21,)</f>
        <v>0.29096477794793252</v>
      </c>
      <c r="W4" s="95">
        <f>VLOOKUP(A4,'BSE ALL CAP'!$B$4:$Y$1038,22,)</f>
        <v>0.36879432624113484</v>
      </c>
      <c r="X4" s="95">
        <f>VLOOKUP(A4,'BSE ALL CAP'!$B$4:$Y$1038,23,)</f>
        <v>0.21960784313725501</v>
      </c>
      <c r="Y4" s="95">
        <f>VLOOKUP(A4,'BSE ALL CAP'!$B$4:$Y$1038,24,)</f>
        <v>0.20338983050847448</v>
      </c>
    </row>
    <row r="5" spans="1:25" ht="14.4">
      <c r="A5" s="99">
        <v>513517</v>
      </c>
      <c r="B5" s="98" t="s">
        <v>5857</v>
      </c>
      <c r="C5" s="174" t="e">
        <f>VLOOKUP(A5,'BSE ALL CAP'!$B$4:$Y$1034,2,)</f>
        <v>#N/A</v>
      </c>
      <c r="D5" s="174" t="e">
        <f>VLOOKUP(A5,'BSE ALL CAP'!$B$4:$Y$1034,3,)</f>
        <v>#N/A</v>
      </c>
      <c r="E5" s="101">
        <f ca="1">IFERROR(__xludf.DUMMYFUNCTION("GOOGLEFINANCE(""BOM:""&amp;A5,""PRICE"")"),236.75)</f>
        <v>236.75</v>
      </c>
      <c r="F5" s="112">
        <f ca="1">IFERROR(__xludf.DUMMYFUNCTION("GOOGLEFINANCE(""BOM:""&amp;A5,""MARKETCAP"")/10000000"),2403.7024432)</f>
        <v>2403.7024431999998</v>
      </c>
      <c r="G5" s="95">
        <f t="shared" ca="1" si="0"/>
        <v>4.1045245739717337E-2</v>
      </c>
      <c r="H5" s="101"/>
      <c r="I5" s="101"/>
      <c r="J5" s="101"/>
      <c r="K5" s="101"/>
      <c r="L5" s="101"/>
      <c r="M5" s="101"/>
      <c r="N5" s="101"/>
      <c r="O5" s="101"/>
      <c r="P5" s="101" t="e">
        <f>VLOOKUP(A5,'BSE ALL CAP'!$B$4:$Y$1038,15,)</f>
        <v>#N/A</v>
      </c>
      <c r="Q5" s="101" t="e">
        <f>VLOOKUP(A5,'BSE ALL CAP'!$B$4:$Y$1038,16,)</f>
        <v>#N/A</v>
      </c>
      <c r="R5" s="101" t="e">
        <f>VLOOKUP(A5,'BSE ALL CAP'!$B$4:$Y$1038,17,)</f>
        <v>#N/A</v>
      </c>
      <c r="S5" s="101" t="e">
        <f>VLOOKUP(A5,'BSE ALL CAP'!$B$4:$Y$1038,18,)</f>
        <v>#N/A</v>
      </c>
      <c r="T5" s="101" t="e">
        <f>VLOOKUP(A5,'BSE ALL CAP'!$B$4:$Y$1038,19,)</f>
        <v>#N/A</v>
      </c>
      <c r="U5" s="101" t="e">
        <f>VLOOKUP(A5,'BSE ALL CAP'!$B$4:$Y$1038,20,)</f>
        <v>#N/A</v>
      </c>
      <c r="V5" s="101" t="e">
        <f>VLOOKUP(A5,'BSE ALL CAP'!$B$4:$Y$1038,21,)</f>
        <v>#N/A</v>
      </c>
      <c r="W5" s="101" t="e">
        <f>VLOOKUP(A5,'BSE ALL CAP'!$B$4:$Y$1038,22,)</f>
        <v>#N/A</v>
      </c>
      <c r="X5" s="101" t="e">
        <f>VLOOKUP(A5,'BSE ALL CAP'!$B$4:$Y$1038,23,)</f>
        <v>#N/A</v>
      </c>
      <c r="Y5" s="101" t="e">
        <f>VLOOKUP(A5,'BSE ALL CAP'!$B$4:$Y$1038,24,)</f>
        <v>#N/A</v>
      </c>
    </row>
    <row r="6" spans="1:25" ht="14.4">
      <c r="A6" s="99">
        <v>544037</v>
      </c>
      <c r="B6" s="98" t="s">
        <v>5858</v>
      </c>
      <c r="C6" s="174" t="e">
        <f>VLOOKUP(A6,'BSE ALL CAP'!$B$4:$Y$1034,2,)</f>
        <v>#N/A</v>
      </c>
      <c r="D6" s="174" t="e">
        <f>VLOOKUP(A6,'BSE ALL CAP'!$B$4:$Y$1034,3,)</f>
        <v>#N/A</v>
      </c>
      <c r="E6" s="101">
        <f ca="1">IFERROR(__xludf.DUMMYFUNCTION("GOOGLEFINANCE(""BOM:""&amp;A6,""PRICE"")"),1365)</f>
        <v>1365</v>
      </c>
      <c r="F6" s="112">
        <f ca="1">IFERROR(__xludf.DUMMYFUNCTION("GOOGLEFINANCE(""BOM:""&amp;A6,""MARKETCAP"")/10000000"),1467.215295)</f>
        <v>1467.215295</v>
      </c>
      <c r="G6" s="95">
        <f t="shared" ca="1" si="0"/>
        <v>2.5053938147258471E-2</v>
      </c>
      <c r="H6" s="101"/>
      <c r="I6" s="101"/>
      <c r="J6" s="101"/>
      <c r="K6" s="101"/>
      <c r="L6" s="101"/>
      <c r="M6" s="101"/>
      <c r="N6" s="101"/>
      <c r="O6" s="101"/>
      <c r="P6" s="101" t="e">
        <f>VLOOKUP(A6,'BSE ALL CAP'!$B$4:$Y$1038,15,)</f>
        <v>#N/A</v>
      </c>
      <c r="Q6" s="101" t="e">
        <f>VLOOKUP(A6,'BSE ALL CAP'!$B$4:$Y$1038,16,)</f>
        <v>#N/A</v>
      </c>
      <c r="R6" s="101" t="e">
        <f>VLOOKUP(A6,'BSE ALL CAP'!$B$4:$Y$1038,17,)</f>
        <v>#N/A</v>
      </c>
      <c r="S6" s="101" t="e">
        <f>VLOOKUP(A6,'BSE ALL CAP'!$B$4:$Y$1038,18,)</f>
        <v>#N/A</v>
      </c>
      <c r="T6" s="101" t="e">
        <f>VLOOKUP(A6,'BSE ALL CAP'!$B$4:$Y$1038,19,)</f>
        <v>#N/A</v>
      </c>
      <c r="U6" s="101" t="e">
        <f>VLOOKUP(A6,'BSE ALL CAP'!$B$4:$Y$1038,20,)</f>
        <v>#N/A</v>
      </c>
      <c r="V6" s="101" t="e">
        <f>VLOOKUP(A6,'BSE ALL CAP'!$B$4:$Y$1038,21,)</f>
        <v>#N/A</v>
      </c>
      <c r="W6" s="101" t="e">
        <f>VLOOKUP(A6,'BSE ALL CAP'!$B$4:$Y$1038,22,)</f>
        <v>#N/A</v>
      </c>
      <c r="X6" s="101" t="e">
        <f>VLOOKUP(A6,'BSE ALL CAP'!$B$4:$Y$1038,23,)</f>
        <v>#N/A</v>
      </c>
      <c r="Y6" s="101" t="e">
        <f>VLOOKUP(A6,'BSE ALL CAP'!$B$4:$Y$1038,24,)</f>
        <v>#N/A</v>
      </c>
    </row>
    <row r="7" spans="1:25" ht="14.4">
      <c r="A7" s="99">
        <v>541929</v>
      </c>
      <c r="B7" s="98" t="s">
        <v>5859</v>
      </c>
      <c r="C7" s="174" t="e">
        <f>VLOOKUP(A7,'BSE ALL CAP'!$B$4:$Y$1034,2,)</f>
        <v>#N/A</v>
      </c>
      <c r="D7" s="174" t="e">
        <f>VLOOKUP(A7,'BSE ALL CAP'!$B$4:$Y$1034,3,)</f>
        <v>#N/A</v>
      </c>
      <c r="E7" s="101">
        <f ca="1">IFERROR(__xludf.DUMMYFUNCTION("GOOGLEFINANCE(""BOM:""&amp;A7,""PRICE"")"),486.85)</f>
        <v>486.85</v>
      </c>
      <c r="F7" s="112">
        <f ca="1">IFERROR(__xludf.DUMMYFUNCTION("GOOGLEFINANCE(""BOM:""&amp;A7,""MARKETCAP"")/10000000"),751.7367018)</f>
        <v>751.73670179999999</v>
      </c>
      <c r="G7" s="95">
        <f t="shared" ca="1" si="0"/>
        <v>1.283653796010986E-2</v>
      </c>
      <c r="H7" s="101"/>
      <c r="I7" s="101"/>
      <c r="J7" s="101"/>
      <c r="K7" s="101"/>
      <c r="L7" s="101"/>
      <c r="M7" s="101"/>
      <c r="N7" s="101"/>
      <c r="O7" s="101"/>
      <c r="P7" s="101" t="e">
        <f>VLOOKUP(A7,'BSE ALL CAP'!$B$4:$Y$1038,15,)</f>
        <v>#N/A</v>
      </c>
      <c r="Q7" s="101" t="e">
        <f>VLOOKUP(A7,'BSE ALL CAP'!$B$4:$Y$1038,16,)</f>
        <v>#N/A</v>
      </c>
      <c r="R7" s="101" t="e">
        <f>VLOOKUP(A7,'BSE ALL CAP'!$B$4:$Y$1038,17,)</f>
        <v>#N/A</v>
      </c>
      <c r="S7" s="101" t="e">
        <f>VLOOKUP(A7,'BSE ALL CAP'!$B$4:$Y$1038,18,)</f>
        <v>#N/A</v>
      </c>
      <c r="T7" s="101" t="e">
        <f>VLOOKUP(A7,'BSE ALL CAP'!$B$4:$Y$1038,19,)</f>
        <v>#N/A</v>
      </c>
      <c r="U7" s="101" t="e">
        <f>VLOOKUP(A7,'BSE ALL CAP'!$B$4:$Y$1038,20,)</f>
        <v>#N/A</v>
      </c>
      <c r="V7" s="101" t="e">
        <f>VLOOKUP(A7,'BSE ALL CAP'!$B$4:$Y$1038,21,)</f>
        <v>#N/A</v>
      </c>
      <c r="W7" s="101" t="e">
        <f>VLOOKUP(A7,'BSE ALL CAP'!$B$4:$Y$1038,22,)</f>
        <v>#N/A</v>
      </c>
      <c r="X7" s="101" t="e">
        <f>VLOOKUP(A7,'BSE ALL CAP'!$B$4:$Y$1038,23,)</f>
        <v>#N/A</v>
      </c>
      <c r="Y7" s="101" t="e">
        <f>VLOOKUP(A7,'BSE ALL CAP'!$B$4:$Y$1038,24,)</f>
        <v>#N/A</v>
      </c>
    </row>
    <row r="8" spans="1:25" ht="14.4">
      <c r="A8" s="99">
        <v>532864</v>
      </c>
      <c r="B8" s="98" t="s">
        <v>5860</v>
      </c>
      <c r="C8" s="174" t="e">
        <f>VLOOKUP(A8,'BSE ALL CAP'!$B$4:$Y$1034,2,)</f>
        <v>#N/A</v>
      </c>
      <c r="D8" s="174" t="e">
        <f>VLOOKUP(A8,'BSE ALL CAP'!$B$4:$Y$1034,3,)</f>
        <v>#N/A</v>
      </c>
      <c r="E8" s="101">
        <f ca="1">IFERROR(__xludf.DUMMYFUNCTION("GOOGLEFINANCE(""BOM:""&amp;A8,""PRICE"")"),123.15)</f>
        <v>123.15</v>
      </c>
      <c r="F8" s="112">
        <f ca="1">IFERROR(__xludf.DUMMYFUNCTION("GOOGLEFINANCE(""BOM:""&amp;A8,""MARKETCAP"")/10000000"),1071.2458748)</f>
        <v>1071.2458747999999</v>
      </c>
      <c r="G8" s="95">
        <f t="shared" ca="1" si="0"/>
        <v>1.8292426462024437E-2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4.4">
      <c r="A9" s="99">
        <v>504786</v>
      </c>
      <c r="B9" s="98" t="s">
        <v>5861</v>
      </c>
      <c r="C9" s="174" t="e">
        <f>VLOOKUP(A9,'BSE ALL CAP'!$B$4:$Y$1034,2,)</f>
        <v>#N/A</v>
      </c>
      <c r="D9" s="174" t="e">
        <f>VLOOKUP(A9,'BSE ALL CAP'!$B$4:$Y$1034,3,)</f>
        <v>#N/A</v>
      </c>
      <c r="E9" s="101">
        <f ca="1">IFERROR(__xludf.DUMMYFUNCTION("GOOGLEFINANCE(""BOM:""&amp;A9,""PRICE"")"),524.95)</f>
        <v>524.95000000000005</v>
      </c>
      <c r="F9" s="112">
        <f ca="1">IFERROR(__xludf.DUMMYFUNCTION("GOOGLEFINANCE(""BOM:""&amp;A9,""MARKETCAP"")/10000000"),524.9500122)</f>
        <v>524.95001219999995</v>
      </c>
      <c r="G9" s="95">
        <f t="shared" ca="1" si="0"/>
        <v>8.9639640350541588E-3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4.4">
      <c r="A10" s="99">
        <v>517449</v>
      </c>
      <c r="B10" s="98" t="s">
        <v>5862</v>
      </c>
      <c r="C10" s="174" t="e">
        <f>VLOOKUP(A10,'BSE ALL CAP'!$B$4:$Y$1034,2,)</f>
        <v>#N/A</v>
      </c>
      <c r="D10" s="174" t="e">
        <f>VLOOKUP(A10,'BSE ALL CAP'!$B$4:$Y$1034,3,)</f>
        <v>#N/A</v>
      </c>
      <c r="E10" s="101">
        <f ca="1">IFERROR(__xludf.DUMMYFUNCTION("GOOGLEFINANCE(""BOM:""&amp;A10,""PRICE"")"),914.15)</f>
        <v>914.15</v>
      </c>
      <c r="F10" s="112">
        <f ca="1">IFERROR(__xludf.DUMMYFUNCTION("GOOGLEFINANCE(""BOM:""&amp;A10,""MARKETCAP"")/10000000"),386.8777974)</f>
        <v>386.87779740000002</v>
      </c>
      <c r="G10" s="95">
        <f t="shared" ca="1" si="0"/>
        <v>6.6062645609260735E-3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4.4">
      <c r="A11" s="99">
        <v>508875</v>
      </c>
      <c r="B11" s="98" t="s">
        <v>5863</v>
      </c>
      <c r="C11" s="174" t="e">
        <f>VLOOKUP(A11,'BSE ALL CAP'!$B$4:$Y$1034,2,)</f>
        <v>#N/A</v>
      </c>
      <c r="D11" s="174" t="e">
        <f>VLOOKUP(A11,'BSE ALL CAP'!$B$4:$Y$1034,3,)</f>
        <v>#N/A</v>
      </c>
      <c r="E11" s="101">
        <f ca="1">IFERROR(__xludf.DUMMYFUNCTION("GOOGLEFINANCE(""BOM:""&amp;A11,""PRICE"")"),567.95)</f>
        <v>567.95000000000005</v>
      </c>
      <c r="F11" s="112">
        <f ca="1">IFERROR(__xludf.DUMMYFUNCTION("GOOGLEFINANCE(""BOM:""&amp;A11,""MARKETCAP"")/10000000"),292.0018436)</f>
        <v>292.00184359999997</v>
      </c>
      <c r="G11" s="95">
        <f t="shared" ca="1" si="0"/>
        <v>4.9861776614316452E-3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4.4">
      <c r="A12" s="99">
        <v>513509</v>
      </c>
      <c r="B12" s="98" t="s">
        <v>5864</v>
      </c>
      <c r="C12" s="174" t="e">
        <f>VLOOKUP(A12,'BSE ALL CAP'!$B$4:$Y$1034,2,)</f>
        <v>#N/A</v>
      </c>
      <c r="D12" s="174" t="e">
        <f>VLOOKUP(A12,'BSE ALL CAP'!$B$4:$Y$1034,3,)</f>
        <v>#N/A</v>
      </c>
      <c r="E12" s="101">
        <f ca="1">IFERROR(__xludf.DUMMYFUNCTION("GOOGLEFINANCE(""BOM:""&amp;A12,""PRICE"")"),595)</f>
        <v>595</v>
      </c>
      <c r="F12" s="112">
        <f ca="1">IFERROR(__xludf.DUMMYFUNCTION("GOOGLEFINANCE(""BOM:""&amp;A12,""MARKETCAP"")/10000000"),212.2409288)</f>
        <v>212.24092880000001</v>
      </c>
      <c r="G12" s="95">
        <f t="shared" ca="1" si="0"/>
        <v>3.6241927961035121E-3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4.4">
      <c r="A13" s="99">
        <v>517372</v>
      </c>
      <c r="B13" s="98" t="s">
        <v>5865</v>
      </c>
      <c r="C13" s="174" t="e">
        <f>VLOOKUP(A13,'BSE ALL CAP'!$B$4:$Y$1034,2,)</f>
        <v>#N/A</v>
      </c>
      <c r="D13" s="174" t="e">
        <f>VLOOKUP(A13,'BSE ALL CAP'!$B$4:$Y$1034,3,)</f>
        <v>#N/A</v>
      </c>
      <c r="E13" s="101">
        <f ca="1">IFERROR(__xludf.DUMMYFUNCTION("GOOGLEFINANCE(""BOM:""&amp;A13,""PRICE"")"),439.95)</f>
        <v>439.95</v>
      </c>
      <c r="F13" s="112">
        <f ca="1">IFERROR(__xludf.DUMMYFUNCTION("GOOGLEFINANCE(""BOM:""&amp;A13,""MARKETCAP"")/10000000"),151.1359836)</f>
        <v>151.1359836</v>
      </c>
      <c r="G13" s="95">
        <f t="shared" ca="1" si="0"/>
        <v>2.5807743402371432E-3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4.4">
      <c r="A14" s="99">
        <v>513369</v>
      </c>
      <c r="B14" s="98" t="s">
        <v>5866</v>
      </c>
      <c r="C14" s="174" t="e">
        <f>VLOOKUP(A14,'BSE ALL CAP'!$B$4:$Y$1034,2,)</f>
        <v>#N/A</v>
      </c>
      <c r="D14" s="174" t="e">
        <f>VLOOKUP(A14,'BSE ALL CAP'!$B$4:$Y$1034,3,)</f>
        <v>#N/A</v>
      </c>
      <c r="E14" s="101">
        <f ca="1">IFERROR(__xludf.DUMMYFUNCTION("GOOGLEFINANCE(""BOM:""&amp;A14,""PRICE"")"),111.1)</f>
        <v>111.1</v>
      </c>
      <c r="F14" s="112">
        <f ca="1">IFERROR(__xludf.DUMMYFUNCTION("GOOGLEFINANCE(""BOM:""&amp;A14,""MARKETCAP"")/10000000"),121.5366212)</f>
        <v>121.5366212</v>
      </c>
      <c r="G14" s="95">
        <f t="shared" ca="1" si="0"/>
        <v>2.075340272520525E-3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4.4">
      <c r="A15" s="99">
        <v>544554</v>
      </c>
      <c r="B15" s="98" t="s">
        <v>5867</v>
      </c>
      <c r="C15" s="174" t="e">
        <f>VLOOKUP(A15,'BSE ALL CAP'!$B$4:$Y$1034,2,)</f>
        <v>#N/A</v>
      </c>
      <c r="D15" s="174" t="e">
        <f>VLOOKUP(A15,'BSE ALL CAP'!$B$4:$Y$1034,3,)</f>
        <v>#N/A</v>
      </c>
      <c r="E15" s="101">
        <f ca="1">IFERROR(__xludf.DUMMYFUNCTION("GOOGLEFINANCE(""BOM:""&amp;A15,""PRICE"")"),52)</f>
        <v>52</v>
      </c>
      <c r="F15" s="112">
        <f ca="1">IFERROR(__xludf.DUMMYFUNCTION("GOOGLEFINANCE(""BOM:""&amp;A15,""MARKETCAP"")/10000000"),97.517264)</f>
        <v>97.517263999999997</v>
      </c>
      <c r="G15" s="95">
        <f t="shared" ca="1" si="0"/>
        <v>1.665189498004705E-3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4.4">
      <c r="A16" s="99">
        <v>532847</v>
      </c>
      <c r="B16" s="98" t="s">
        <v>5868</v>
      </c>
      <c r="C16" s="174" t="e">
        <f>VLOOKUP(A16,'BSE ALL CAP'!$B$4:$Y$1034,2,)</f>
        <v>#N/A</v>
      </c>
      <c r="D16" s="174" t="e">
        <f>VLOOKUP(A16,'BSE ALL CAP'!$B$4:$Y$1034,3,)</f>
        <v>#N/A</v>
      </c>
      <c r="E16" s="101">
        <f ca="1">IFERROR(__xludf.DUMMYFUNCTION("GOOGLEFINANCE(""BOM:""&amp;A16,""PRICE"")"),20.63)</f>
        <v>20.63</v>
      </c>
      <c r="F16" s="112">
        <f ca="1">IFERROR(__xludf.DUMMYFUNCTION("GOOGLEFINANCE(""BOM:""&amp;A16,""MARKETCAP"")/10000000"),106.194076)</f>
        <v>106.194076</v>
      </c>
      <c r="G16" s="95">
        <f t="shared" ca="1" si="0"/>
        <v>1.8133533781824877E-3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4.4">
      <c r="A17" s="99">
        <v>543229</v>
      </c>
      <c r="B17" s="98" t="s">
        <v>5869</v>
      </c>
      <c r="C17" s="174" t="e">
        <f>VLOOKUP(A17,'BSE ALL CAP'!$B$4:$Y$1034,2,)</f>
        <v>#N/A</v>
      </c>
      <c r="D17" s="174" t="e">
        <f>VLOOKUP(A17,'BSE ALL CAP'!$B$4:$Y$1034,3,)</f>
        <v>#N/A</v>
      </c>
      <c r="E17" s="101">
        <f ca="1">IFERROR(__xludf.DUMMYFUNCTION("GOOGLEFINANCE(""BOM:""&amp;A17,""PRICE"")"),178.05)</f>
        <v>178.05</v>
      </c>
      <c r="F17" s="112">
        <f ca="1">IFERROR(__xludf.DUMMYFUNCTION("GOOGLEFINANCE(""BOM:""&amp;A17,""MARKETCAP"")/10000000"),89.0250015)</f>
        <v>89.025001500000002</v>
      </c>
      <c r="G17" s="95">
        <f t="shared" ca="1" si="0"/>
        <v>1.5201769561300768E-3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4.4">
      <c r="A18" s="99">
        <v>544381</v>
      </c>
      <c r="B18" s="98" t="s">
        <v>5870</v>
      </c>
      <c r="C18" s="174" t="e">
        <f>VLOOKUP(A18,'BSE ALL CAP'!$B$4:$Y$1034,2,)</f>
        <v>#N/A</v>
      </c>
      <c r="D18" s="174" t="e">
        <f>VLOOKUP(A18,'BSE ALL CAP'!$B$4:$Y$1034,3,)</f>
        <v>#N/A</v>
      </c>
      <c r="E18" s="101">
        <f ca="1">IFERROR(__xludf.DUMMYFUNCTION("GOOGLEFINANCE(""BOM:""&amp;A18,""PRICE"")"),28.61)</f>
        <v>28.61</v>
      </c>
      <c r="F18" s="112">
        <f ca="1">IFERROR(__xludf.DUMMYFUNCTION("GOOGLEFINANCE(""BOM:""&amp;A18,""MARKETCAP"")/10000000"),66.9292912)</f>
        <v>66.929291199999994</v>
      </c>
      <c r="G18" s="95">
        <f t="shared" ca="1" si="0"/>
        <v>1.1428740742268847E-3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4.4">
      <c r="A19" s="99">
        <v>539527</v>
      </c>
      <c r="B19" s="98" t="s">
        <v>5871</v>
      </c>
      <c r="C19" s="174" t="e">
        <f>VLOOKUP(A19,'BSE ALL CAP'!$B$4:$Y$1034,2,)</f>
        <v>#N/A</v>
      </c>
      <c r="D19" s="174" t="e">
        <f>VLOOKUP(A19,'BSE ALL CAP'!$B$4:$Y$1034,3,)</f>
        <v>#N/A</v>
      </c>
      <c r="E19" s="101">
        <f ca="1">IFERROR(__xludf.DUMMYFUNCTION("GOOGLEFINANCE(""BOM:""&amp;A19,""PRICE"")"),540)</f>
        <v>540</v>
      </c>
      <c r="F19" s="112">
        <f ca="1">IFERROR(__xludf.DUMMYFUNCTION("GOOGLEFINANCE(""BOM:""&amp;A19,""MARKETCAP"")/10000000"),70.2)</f>
        <v>70.2</v>
      </c>
      <c r="G19" s="95">
        <f t="shared" ca="1" si="0"/>
        <v>1.1987241844677913E-3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4.4">
      <c r="A20" s="99">
        <v>513418</v>
      </c>
      <c r="B20" s="98" t="s">
        <v>5872</v>
      </c>
      <c r="C20" s="174" t="e">
        <f>VLOOKUP(A20,'BSE ALL CAP'!$B$4:$Y$1034,2,)</f>
        <v>#N/A</v>
      </c>
      <c r="D20" s="174" t="e">
        <f>VLOOKUP(A20,'BSE ALL CAP'!$B$4:$Y$1034,3,)</f>
        <v>#N/A</v>
      </c>
      <c r="E20" s="101">
        <f ca="1">IFERROR(__xludf.DUMMYFUNCTION("GOOGLEFINANCE(""BOM:""&amp;A20,""PRICE"")"),4.19)</f>
        <v>4.1900000000000004</v>
      </c>
      <c r="F20" s="112">
        <f ca="1">IFERROR(__xludf.DUMMYFUNCTION("GOOGLEFINANCE(""BOM:""&amp;A20,""MARKETCAP"")/10000000"),42.736534)</f>
        <v>42.736533999999999</v>
      </c>
      <c r="G20" s="95">
        <f t="shared" ca="1" si="0"/>
        <v>7.2976234852037078E-4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4.4">
      <c r="A21" s="99">
        <v>544452</v>
      </c>
      <c r="B21" s="98" t="s">
        <v>5873</v>
      </c>
      <c r="C21" s="174" t="e">
        <f>VLOOKUP(A21,'BSE ALL CAP'!$B$4:$Y$1034,2,)</f>
        <v>#N/A</v>
      </c>
      <c r="D21" s="174" t="e">
        <f>VLOOKUP(A21,'BSE ALL CAP'!$B$4:$Y$1034,3,)</f>
        <v>#N/A</v>
      </c>
      <c r="E21" s="101">
        <f ca="1">IFERROR(__xludf.DUMMYFUNCTION("GOOGLEFINANCE(""BOM:""&amp;A21,""PRICE"")"),57.4)</f>
        <v>57.4</v>
      </c>
      <c r="F21" s="112">
        <f ca="1">IFERROR(__xludf.DUMMYFUNCTION("GOOGLEFINANCE(""BOM:""&amp;A21,""MARKETCAP"")/10000000"),46.86136)</f>
        <v>46.861359999999998</v>
      </c>
      <c r="G21" s="95">
        <f t="shared" ca="1" si="0"/>
        <v>8.0019723004346962E-4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4.4">
      <c r="A22" s="99">
        <v>544434</v>
      </c>
      <c r="B22" s="98" t="s">
        <v>5874</v>
      </c>
      <c r="C22" s="101"/>
      <c r="D22" s="101"/>
      <c r="E22" s="101"/>
      <c r="F22" s="112"/>
      <c r="G22" s="95">
        <f t="shared" ca="1" si="0"/>
        <v>0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3.2">
      <c r="A23" s="101"/>
      <c r="B23" s="101"/>
      <c r="C23" s="101"/>
      <c r="D23" s="101"/>
      <c r="E23" s="101"/>
      <c r="F23" s="112"/>
      <c r="G23" s="95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3.2">
      <c r="A24" s="101"/>
      <c r="B24" s="101"/>
      <c r="C24" s="101"/>
      <c r="D24" s="101"/>
      <c r="E24" s="101"/>
      <c r="F24" s="112">
        <f ca="1">SUM(F2:F22)</f>
        <v>58562.262203099999</v>
      </c>
      <c r="G24" s="95">
        <f ca="1">F24/$F$24</f>
        <v>1</v>
      </c>
      <c r="H24" s="101">
        <f t="shared" ref="H24:O24" si="1">SUM(H2:H22)</f>
        <v>5118</v>
      </c>
      <c r="I24" s="101">
        <f t="shared" si="1"/>
        <v>4839</v>
      </c>
      <c r="J24" s="101">
        <f t="shared" si="1"/>
        <v>1286</v>
      </c>
      <c r="K24" s="101">
        <f t="shared" si="1"/>
        <v>1114</v>
      </c>
      <c r="L24" s="101">
        <f t="shared" si="1"/>
        <v>1768</v>
      </c>
      <c r="M24" s="101">
        <f t="shared" si="1"/>
        <v>1675</v>
      </c>
      <c r="N24" s="101">
        <f t="shared" si="1"/>
        <v>441</v>
      </c>
      <c r="O24" s="101">
        <f t="shared" si="1"/>
        <v>382</v>
      </c>
      <c r="P24" s="13">
        <f t="shared" ref="P24:Q24" si="2">J24/H24</f>
        <v>0.25127002735443532</v>
      </c>
      <c r="Q24" s="13">
        <f t="shared" si="2"/>
        <v>0.23021285389543295</v>
      </c>
      <c r="R24" s="13">
        <f>P24-Q24</f>
        <v>2.1057173459002376E-2</v>
      </c>
      <c r="S24" s="13">
        <f t="shared" ref="S24:T24" si="3">N24/L24</f>
        <v>0.2494343891402715</v>
      </c>
      <c r="T24" s="13">
        <f t="shared" si="3"/>
        <v>0.22805970149253732</v>
      </c>
      <c r="U24" s="13">
        <f>S24-T24</f>
        <v>2.1374687647734175E-2</v>
      </c>
      <c r="V24" s="13">
        <f>(H24/I24)-1</f>
        <v>5.7656540607563533E-2</v>
      </c>
      <c r="W24" s="13">
        <f>(J24/K24)-1</f>
        <v>0.15439856373429084</v>
      </c>
      <c r="X24" s="13">
        <f>(L24/M24)-1</f>
        <v>5.5522388059701555E-2</v>
      </c>
      <c r="Y24" s="13">
        <f>(N24/O24)-1</f>
        <v>0.15445026178010468</v>
      </c>
    </row>
    <row r="25" spans="1:25" ht="13.2">
      <c r="F25" s="94"/>
    </row>
    <row r="26" spans="1:25" ht="13.2">
      <c r="F26" s="94"/>
    </row>
    <row r="27" spans="1:25" ht="13.2">
      <c r="F27" s="94"/>
    </row>
    <row r="28" spans="1:25" ht="13.2">
      <c r="F28" s="94"/>
    </row>
    <row r="29" spans="1:25" ht="13.2">
      <c r="F29" s="94"/>
    </row>
    <row r="30" spans="1:25" ht="13.2">
      <c r="F30" s="94"/>
    </row>
    <row r="31" spans="1:25" ht="13.2">
      <c r="F31" s="94"/>
    </row>
    <row r="32" spans="1:25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22" xr:uid="{00000000-0009-0000-0000-0000BF000000}"/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8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4.4">
      <c r="A2" s="99">
        <v>532538</v>
      </c>
      <c r="B2" s="98" t="s">
        <v>110</v>
      </c>
      <c r="C2" s="174" t="str">
        <f>VLOOKUP(A2,'BSE ALL CAP'!$B$4:$Y$1034,2,)</f>
        <v>Commodities</v>
      </c>
      <c r="D2" s="174" t="str">
        <f>VLOOKUP(A2,'BSE ALL CAP'!$B$4:$Y$1034,3,)</f>
        <v>Cement &amp; Cement Products</v>
      </c>
      <c r="E2" s="101">
        <f ca="1">IFERROR(__xludf.DUMMYFUNCTION("GOOGLEFINANCE(""BOM:""&amp;A2,""PRICE"")"),10902.5)</f>
        <v>10902.5</v>
      </c>
      <c r="F2" s="112">
        <f ca="1">IFERROR(__xludf.DUMMYFUNCTION("GOOGLEFINANCE(""BOM:""&amp;A2,""MARKETCAP"")/10000000"),320580.57024)</f>
        <v>320580.57023999997</v>
      </c>
      <c r="G2" s="95">
        <f t="shared" ref="G2:G42" ca="1" si="0">F2/$F$44</f>
        <v>0.35765740128637846</v>
      </c>
      <c r="H2" s="101">
        <f>VLOOKUP(A2,'BSE ALL CAP'!$B$4:$Y$1038,7,)</f>
        <v>62712</v>
      </c>
      <c r="I2" s="101">
        <f>VLOOKUP(A2,'BSE ALL CAP'!$B$4:$Y$1038,8,)</f>
        <v>52892</v>
      </c>
      <c r="J2" s="101">
        <f>VLOOKUP(A2,'BSE ALL CAP'!$B$4:$Y$1038,9,)</f>
        <v>5188</v>
      </c>
      <c r="K2" s="101">
        <f>VLOOKUP(A2,'BSE ALL CAP'!$B$4:$Y$1038,10,)</f>
        <v>3565</v>
      </c>
      <c r="L2" s="101">
        <f>VLOOKUP(A2,'BSE ALL CAP'!$B$4:$Y$1038,11,)</f>
        <v>21830</v>
      </c>
      <c r="M2" s="101">
        <f>VLOOKUP(A2,'BSE ALL CAP'!$B$4:$Y$1038,12,)</f>
        <v>17779</v>
      </c>
      <c r="N2" s="101">
        <f>VLOOKUP(A2,'BSE ALL CAP'!$B$4:$Y$1038,13,)</f>
        <v>1729</v>
      </c>
      <c r="O2" s="101">
        <f>VLOOKUP(A2,'BSE ALL CAP'!$B$4:$Y$1038,14,)</f>
        <v>1363</v>
      </c>
      <c r="P2" s="95">
        <f>VLOOKUP(A2,'BSE ALL CAP'!$B$4:$Y$1038,15,)</f>
        <v>8.2727388697537957E-2</v>
      </c>
      <c r="Q2" s="95">
        <f>VLOOKUP(A2,'BSE ALL CAP'!$B$4:$Y$1038,16,)</f>
        <v>6.7401497390909781E-2</v>
      </c>
      <c r="R2" s="95">
        <f>VLOOKUP(A2,'BSE ALL CAP'!$B$4:$Y$1038,17,)</f>
        <v>1.5325891306628175E-2</v>
      </c>
      <c r="S2" s="95">
        <f>VLOOKUP(A2,'BSE ALL CAP'!$B$4:$Y$1038,18,)</f>
        <v>7.9202931745304628E-2</v>
      </c>
      <c r="T2" s="95">
        <f>VLOOKUP(A2,'BSE ALL CAP'!$B$4:$Y$1038,19,)</f>
        <v>7.6663479385792224E-2</v>
      </c>
      <c r="U2" s="95">
        <f>VLOOKUP(A2,'BSE ALL CAP'!$B$4:$Y$1038,20,)</f>
        <v>2.5394523595124036E-3</v>
      </c>
      <c r="V2" s="95">
        <f>VLOOKUP(A2,'BSE ALL CAP'!$B$4:$Y$1038,21,)</f>
        <v>0.18566134765181874</v>
      </c>
      <c r="W2" s="95">
        <f>VLOOKUP(A2,'BSE ALL CAP'!$B$4:$Y$1038,22,)</f>
        <v>0.4552594670406731</v>
      </c>
      <c r="X2" s="95">
        <f>VLOOKUP(A2,'BSE ALL CAP'!$B$4:$Y$1038,23,)</f>
        <v>0.22785308510039926</v>
      </c>
      <c r="Y2" s="95">
        <f>VLOOKUP(A2,'BSE ALL CAP'!$B$4:$Y$1038,24,)</f>
        <v>0.26852531181217909</v>
      </c>
    </row>
    <row r="3" spans="1:25" ht="14.4">
      <c r="A3" s="99">
        <v>500300</v>
      </c>
      <c r="B3" s="98" t="s">
        <v>5875</v>
      </c>
      <c r="C3" s="174" t="str">
        <f>VLOOKUP(A3,'BSE ALL CAP'!$B$4:$Y$1034,2,)</f>
        <v>Commodities</v>
      </c>
      <c r="D3" s="174" t="str">
        <f>VLOOKUP(A3,'BSE ALL CAP'!$B$4:$Y$1034,3,)</f>
        <v>Cement &amp; Cement Products</v>
      </c>
      <c r="E3" s="101">
        <f ca="1">IFERROR(__xludf.DUMMYFUNCTION("GOOGLEFINANCE(""BOM:""&amp;A3,""PRICE"")"),2587.5)</f>
        <v>2587.5</v>
      </c>
      <c r="F3" s="112">
        <f ca="1">IFERROR(__xludf.DUMMYFUNCTION("GOOGLEFINANCE(""BOM:""&amp;A3,""MARKETCAP"")/10000000"),175072.26564)</f>
        <v>175072.26564</v>
      </c>
      <c r="G3" s="95">
        <f t="shared" ca="1" si="0"/>
        <v>0.19532029504858658</v>
      </c>
      <c r="H3" s="101">
        <f>VLOOKUP(A3,'BSE ALL CAP'!$B$4:$Y$1038,7,)</f>
        <v>124330</v>
      </c>
      <c r="I3" s="101">
        <f>VLOOKUP(A3,'BSE ALL CAP'!$B$4:$Y$1038,8,)</f>
        <v>104211</v>
      </c>
      <c r="J3" s="101">
        <f>VLOOKUP(A3,'BSE ALL CAP'!$B$4:$Y$1038,9,)</f>
        <v>6498</v>
      </c>
      <c r="K3" s="101">
        <f>VLOOKUP(A3,'BSE ALL CAP'!$B$4:$Y$1038,10,)</f>
        <v>4783</v>
      </c>
      <c r="L3" s="101">
        <f>VLOOKUP(A3,'BSE ALL CAP'!$B$4:$Y$1038,11,)</f>
        <v>44312</v>
      </c>
      <c r="M3" s="101">
        <f>VLOOKUP(A3,'BSE ALL CAP'!$B$4:$Y$1038,12,)</f>
        <v>35378</v>
      </c>
      <c r="N3" s="101">
        <f>VLOOKUP(A3,'BSE ALL CAP'!$B$4:$Y$1038,13,)</f>
        <v>2233</v>
      </c>
      <c r="O3" s="101">
        <f>VLOOKUP(A3,'BSE ALL CAP'!$B$4:$Y$1038,14,)</f>
        <v>1734</v>
      </c>
      <c r="P3" s="95">
        <f>VLOOKUP(A3,'BSE ALL CAP'!$B$4:$Y$1038,15,)</f>
        <v>5.226413576771495E-2</v>
      </c>
      <c r="Q3" s="95">
        <f>VLOOKUP(A3,'BSE ALL CAP'!$B$4:$Y$1038,16,)</f>
        <v>4.5897266123537825E-2</v>
      </c>
      <c r="R3" s="95">
        <f>VLOOKUP(A3,'BSE ALL CAP'!$B$4:$Y$1038,17,)</f>
        <v>6.3668696441771255E-3</v>
      </c>
      <c r="S3" s="95">
        <f>VLOOKUP(A3,'BSE ALL CAP'!$B$4:$Y$1038,18,)</f>
        <v>5.039267015706806E-2</v>
      </c>
      <c r="T3" s="95">
        <f>VLOOKUP(A3,'BSE ALL CAP'!$B$4:$Y$1038,19,)</f>
        <v>4.9013511221663184E-2</v>
      </c>
      <c r="U3" s="95">
        <f>VLOOKUP(A3,'BSE ALL CAP'!$B$4:$Y$1038,20,)</f>
        <v>1.3791589354048769E-3</v>
      </c>
      <c r="V3" s="95">
        <f>VLOOKUP(A3,'BSE ALL CAP'!$B$4:$Y$1038,21,)</f>
        <v>0.19306023356459501</v>
      </c>
      <c r="W3" s="95">
        <f>VLOOKUP(A3,'BSE ALL CAP'!$B$4:$Y$1038,22,)</f>
        <v>0.35856157223499885</v>
      </c>
      <c r="X3" s="95">
        <f>VLOOKUP(A3,'BSE ALL CAP'!$B$4:$Y$1038,23,)</f>
        <v>0.25252982079258302</v>
      </c>
      <c r="Y3" s="95">
        <f>VLOOKUP(A3,'BSE ALL CAP'!$B$4:$Y$1038,24,)</f>
        <v>0.28777393310265276</v>
      </c>
    </row>
    <row r="4" spans="1:25" ht="14.4">
      <c r="A4" s="99">
        <v>500425</v>
      </c>
      <c r="B4" s="98" t="s">
        <v>5876</v>
      </c>
      <c r="C4" s="174" t="str">
        <f>VLOOKUP(A4,'BSE ALL CAP'!$B$4:$Y$1034,2,)</f>
        <v>Commodities</v>
      </c>
      <c r="D4" s="174" t="str">
        <f>VLOOKUP(A4,'BSE ALL CAP'!$B$4:$Y$1034,3,)</f>
        <v>Cement &amp; Cement Products</v>
      </c>
      <c r="E4" s="101">
        <f ca="1">IFERROR(__xludf.DUMMYFUNCTION("GOOGLEFINANCE(""BOM:""&amp;A4,""PRICE"")"),428.7)</f>
        <v>428.7</v>
      </c>
      <c r="F4" s="112">
        <f ca="1">IFERROR(__xludf.DUMMYFUNCTION("GOOGLEFINANCE(""BOM:""&amp;A4,""MARKETCAP"")/10000000"),106004.1737486)</f>
        <v>106004.17374860001</v>
      </c>
      <c r="G4" s="95">
        <f t="shared" ca="1" si="0"/>
        <v>0.11826411463442914</v>
      </c>
      <c r="H4" s="101">
        <f>VLOOKUP(A4,'BSE ALL CAP'!$B$4:$Y$1038,7,)</f>
        <v>29554</v>
      </c>
      <c r="I4" s="101">
        <f>VLOOKUP(A4,'BSE ALL CAP'!$B$4:$Y$1038,8,)</f>
        <v>24095</v>
      </c>
      <c r="J4" s="101">
        <f>VLOOKUP(A4,'BSE ALL CAP'!$B$4:$Y$1038,9,)</f>
        <v>3686</v>
      </c>
      <c r="K4" s="101">
        <f>VLOOKUP(A4,'BSE ALL CAP'!$B$4:$Y$1038,10,)</f>
        <v>3943</v>
      </c>
      <c r="L4" s="101">
        <f>VLOOKUP(A4,'BSE ALL CAP'!$B$4:$Y$1038,11,)</f>
        <v>10181</v>
      </c>
      <c r="M4" s="101">
        <f>VLOOKUP(A4,'BSE ALL CAP'!$B$4:$Y$1038,12,)</f>
        <v>8498</v>
      </c>
      <c r="N4" s="101">
        <f>VLOOKUP(A4,'BSE ALL CAP'!$B$4:$Y$1038,13,)</f>
        <v>367</v>
      </c>
      <c r="O4" s="101">
        <f>VLOOKUP(A4,'BSE ALL CAP'!$B$4:$Y$1038,14,)</f>
        <v>2663</v>
      </c>
      <c r="P4" s="95">
        <f>VLOOKUP(A4,'BSE ALL CAP'!$B$4:$Y$1038,15,)</f>
        <v>0.12472084996954727</v>
      </c>
      <c r="Q4" s="95">
        <f>VLOOKUP(A4,'BSE ALL CAP'!$B$4:$Y$1038,16,)</f>
        <v>0.16364390952479768</v>
      </c>
      <c r="R4" s="95">
        <f>VLOOKUP(A4,'BSE ALL CAP'!$B$4:$Y$1038,17,)</f>
        <v>-3.8923059555250411E-2</v>
      </c>
      <c r="S4" s="95">
        <f>VLOOKUP(A4,'BSE ALL CAP'!$B$4:$Y$1038,18,)</f>
        <v>3.6047539534426874E-2</v>
      </c>
      <c r="T4" s="95">
        <f>VLOOKUP(A4,'BSE ALL CAP'!$B$4:$Y$1038,19,)</f>
        <v>0.31336785125911981</v>
      </c>
      <c r="U4" s="95">
        <f>VLOOKUP(A4,'BSE ALL CAP'!$B$4:$Y$1038,20,)</f>
        <v>-0.27732031172469296</v>
      </c>
      <c r="V4" s="95">
        <f>VLOOKUP(A4,'BSE ALL CAP'!$B$4:$Y$1038,21,)</f>
        <v>0.22656152728781898</v>
      </c>
      <c r="W4" s="95">
        <f>VLOOKUP(A4,'BSE ALL CAP'!$B$4:$Y$1038,22,)</f>
        <v>-6.5178797869642424E-2</v>
      </c>
      <c r="X4" s="95">
        <f>VLOOKUP(A4,'BSE ALL CAP'!$B$4:$Y$1038,23,)</f>
        <v>0.19804659919981171</v>
      </c>
      <c r="Y4" s="95">
        <f>VLOOKUP(A4,'BSE ALL CAP'!$B$4:$Y$1038,24,)</f>
        <v>-0.86218550506947056</v>
      </c>
    </row>
    <row r="5" spans="1:25" ht="14.4">
      <c r="A5" s="99">
        <v>500387</v>
      </c>
      <c r="B5" s="98" t="s">
        <v>5877</v>
      </c>
      <c r="C5" s="174" t="str">
        <f>VLOOKUP(A5,'BSE ALL CAP'!$B$4:$Y$1034,2,)</f>
        <v>Commodities</v>
      </c>
      <c r="D5" s="174" t="str">
        <f>VLOOKUP(A5,'BSE ALL CAP'!$B$4:$Y$1034,3,)</f>
        <v>Cement &amp; Cement Products</v>
      </c>
      <c r="E5" s="101">
        <f ca="1">IFERROR(__xludf.DUMMYFUNCTION("GOOGLEFINANCE(""BOM:""&amp;A5,""PRICE"")"),23460)</f>
        <v>23460</v>
      </c>
      <c r="F5" s="112">
        <f ca="1">IFERROR(__xludf.DUMMYFUNCTION("GOOGLEFINANCE(""BOM:""&amp;A5,""MARKETCAP"")/10000000"),84645.41604)</f>
        <v>84645.416039999996</v>
      </c>
      <c r="G5" s="95">
        <f t="shared" ca="1" si="0"/>
        <v>9.4435104126885522E-2</v>
      </c>
      <c r="H5" s="101">
        <f>VLOOKUP(A5,'BSE ALL CAP'!$B$4:$Y$1038,7,)</f>
        <v>14842</v>
      </c>
      <c r="I5" s="101">
        <f>VLOOKUP(A5,'BSE ALL CAP'!$B$4:$Y$1038,8,)</f>
        <v>13751</v>
      </c>
      <c r="J5" s="101">
        <f>VLOOKUP(A5,'BSE ALL CAP'!$B$4:$Y$1038,9,)</f>
        <v>1221</v>
      </c>
      <c r="K5" s="101">
        <f>VLOOKUP(A5,'BSE ALL CAP'!$B$4:$Y$1038,10,)</f>
        <v>549</v>
      </c>
      <c r="L5" s="101">
        <f>VLOOKUP(A5,'BSE ALL CAP'!$B$4:$Y$1038,11,)</f>
        <v>4800</v>
      </c>
      <c r="M5" s="101">
        <f>VLOOKUP(A5,'BSE ALL CAP'!$B$4:$Y$1038,12,)</f>
        <v>4573</v>
      </c>
      <c r="N5" s="101">
        <f>VLOOKUP(A5,'BSE ALL CAP'!$B$4:$Y$1038,13,)</f>
        <v>266</v>
      </c>
      <c r="O5" s="101">
        <f>VLOOKUP(A5,'BSE ALL CAP'!$B$4:$Y$1038,14,)</f>
        <v>194</v>
      </c>
      <c r="P5" s="95">
        <f>VLOOKUP(A5,'BSE ALL CAP'!$B$4:$Y$1038,15,)</f>
        <v>8.226654089745318E-2</v>
      </c>
      <c r="Q5" s="95">
        <f>VLOOKUP(A5,'BSE ALL CAP'!$B$4:$Y$1038,16,)</f>
        <v>3.9924369136790053E-2</v>
      </c>
      <c r="R5" s="95">
        <f>VLOOKUP(A5,'BSE ALL CAP'!$B$4:$Y$1038,17,)</f>
        <v>4.2342171760663128E-2</v>
      </c>
      <c r="S5" s="95">
        <f>VLOOKUP(A5,'BSE ALL CAP'!$B$4:$Y$1038,18,)</f>
        <v>5.541666666666667E-2</v>
      </c>
      <c r="T5" s="95">
        <f>VLOOKUP(A5,'BSE ALL CAP'!$B$4:$Y$1038,19,)</f>
        <v>4.242291712223923E-2</v>
      </c>
      <c r="U5" s="95">
        <f>VLOOKUP(A5,'BSE ALL CAP'!$B$4:$Y$1038,20,)</f>
        <v>1.299374954442744E-2</v>
      </c>
      <c r="V5" s="95">
        <f>VLOOKUP(A5,'BSE ALL CAP'!$B$4:$Y$1038,21,)</f>
        <v>7.9339684386590115E-2</v>
      </c>
      <c r="W5" s="95">
        <f>VLOOKUP(A5,'BSE ALL CAP'!$B$4:$Y$1038,22,)</f>
        <v>1.2240437158469946</v>
      </c>
      <c r="X5" s="95">
        <f>VLOOKUP(A5,'BSE ALL CAP'!$B$4:$Y$1038,23,)</f>
        <v>4.9639186529630397E-2</v>
      </c>
      <c r="Y5" s="95">
        <f>VLOOKUP(A5,'BSE ALL CAP'!$B$4:$Y$1038,24,)</f>
        <v>0.37113402061855671</v>
      </c>
    </row>
    <row r="6" spans="1:25" ht="14.4">
      <c r="A6" s="99">
        <v>532644</v>
      </c>
      <c r="B6" s="98" t="s">
        <v>5878</v>
      </c>
      <c r="C6" s="174" t="str">
        <f>VLOOKUP(A6,'BSE ALL CAP'!$B$4:$Y$1034,2,)</f>
        <v>Commodities</v>
      </c>
      <c r="D6" s="174" t="str">
        <f>VLOOKUP(A6,'BSE ALL CAP'!$B$4:$Y$1034,3,)</f>
        <v>Cement &amp; Cement Products</v>
      </c>
      <c r="E6" s="101">
        <f ca="1">IFERROR(__xludf.DUMMYFUNCTION("GOOGLEFINANCE(""BOM:""&amp;A6,""PRICE"")"),5295.5)</f>
        <v>5295.5</v>
      </c>
      <c r="F6" s="112">
        <f ca="1">IFERROR(__xludf.DUMMYFUNCTION("GOOGLEFINANCE(""BOM:""&amp;A6,""MARKETCAP"")/10000000"),40944.445675)</f>
        <v>40944.445675000003</v>
      </c>
      <c r="G6" s="95">
        <f t="shared" ca="1" si="0"/>
        <v>4.5679886420654341E-2</v>
      </c>
      <c r="H6" s="101">
        <f>VLOOKUP(A6,'BSE ALL CAP'!$B$4:$Y$1038,7,)</f>
        <v>9834</v>
      </c>
      <c r="I6" s="101">
        <f>VLOOKUP(A6,'BSE ALL CAP'!$B$4:$Y$1038,8,)</f>
        <v>8297</v>
      </c>
      <c r="J6" s="101">
        <f>VLOOKUP(A6,'BSE ALL CAP'!$B$4:$Y$1038,9,)</f>
        <v>657</v>
      </c>
      <c r="K6" s="101">
        <f>VLOOKUP(A6,'BSE ALL CAP'!$B$4:$Y$1038,10,)</f>
        <v>511</v>
      </c>
      <c r="L6" s="101">
        <f>VLOOKUP(A6,'BSE ALL CAP'!$B$4:$Y$1038,11,)</f>
        <v>3463</v>
      </c>
      <c r="M6" s="101">
        <f>VLOOKUP(A6,'BSE ALL CAP'!$B$4:$Y$1038,12,)</f>
        <v>2930</v>
      </c>
      <c r="N6" s="101">
        <f>VLOOKUP(A6,'BSE ALL CAP'!$B$4:$Y$1038,13,)</f>
        <v>173</v>
      </c>
      <c r="O6" s="101">
        <f>VLOOKUP(A6,'BSE ALL CAP'!$B$4:$Y$1038,14,)</f>
        <v>189</v>
      </c>
      <c r="P6" s="95">
        <f>VLOOKUP(A6,'BSE ALL CAP'!$B$4:$Y$1038,15,)</f>
        <v>6.6809029896278224E-2</v>
      </c>
      <c r="Q6" s="95">
        <f>VLOOKUP(A6,'BSE ALL CAP'!$B$4:$Y$1038,16,)</f>
        <v>6.1588525973243338E-2</v>
      </c>
      <c r="R6" s="95">
        <f>VLOOKUP(A6,'BSE ALL CAP'!$B$4:$Y$1038,17,)</f>
        <v>5.220503923034886E-3</v>
      </c>
      <c r="S6" s="95">
        <f>VLOOKUP(A6,'BSE ALL CAP'!$B$4:$Y$1038,18,)</f>
        <v>4.9956684955241124E-2</v>
      </c>
      <c r="T6" s="95">
        <f>VLOOKUP(A6,'BSE ALL CAP'!$B$4:$Y$1038,19,)</f>
        <v>6.4505119453924911E-2</v>
      </c>
      <c r="U6" s="95">
        <f>VLOOKUP(A6,'BSE ALL CAP'!$B$4:$Y$1038,20,)</f>
        <v>-1.4548434498683788E-2</v>
      </c>
      <c r="V6" s="95">
        <f>VLOOKUP(A6,'BSE ALL CAP'!$B$4:$Y$1038,21,)</f>
        <v>0.18524767988429547</v>
      </c>
      <c r="W6" s="95">
        <f>VLOOKUP(A6,'BSE ALL CAP'!$B$4:$Y$1038,22,)</f>
        <v>0.28571428571428581</v>
      </c>
      <c r="X6" s="95">
        <f>VLOOKUP(A6,'BSE ALL CAP'!$B$4:$Y$1038,23,)</f>
        <v>0.18191126279863479</v>
      </c>
      <c r="Y6" s="95">
        <f>VLOOKUP(A6,'BSE ALL CAP'!$B$4:$Y$1038,24,)</f>
        <v>-8.4656084656084651E-2</v>
      </c>
    </row>
    <row r="7" spans="1:25" ht="14.4">
      <c r="A7" s="99">
        <v>542216</v>
      </c>
      <c r="B7" s="98" t="s">
        <v>5879</v>
      </c>
      <c r="C7" s="174" t="str">
        <f>VLOOKUP(A7,'BSE ALL CAP'!$B$4:$Y$1034,2,)</f>
        <v>Commodities</v>
      </c>
      <c r="D7" s="174" t="str">
        <f>VLOOKUP(A7,'BSE ALL CAP'!$B$4:$Y$1034,3,)</f>
        <v>Cement &amp; Cement Products</v>
      </c>
      <c r="E7" s="101">
        <f ca="1">IFERROR(__xludf.DUMMYFUNCTION("GOOGLEFINANCE(""BOM:""&amp;A7,""PRICE"")"),1871)</f>
        <v>1871</v>
      </c>
      <c r="F7" s="112">
        <f ca="1">IFERROR(__xludf.DUMMYFUNCTION("GOOGLEFINANCE(""BOM:""&amp;A7,""MARKETCAP"")/10000000"),35101.0829839)</f>
        <v>35101.0829839</v>
      </c>
      <c r="G7" s="95">
        <f t="shared" ca="1" si="0"/>
        <v>3.916070806462358E-2</v>
      </c>
      <c r="H7" s="101">
        <f>VLOOKUP(A7,'BSE ALL CAP'!$B$4:$Y$1038,7,)</f>
        <v>10559</v>
      </c>
      <c r="I7" s="101">
        <f>VLOOKUP(A7,'BSE ALL CAP'!$B$4:$Y$1038,8,)</f>
        <v>9889</v>
      </c>
      <c r="J7" s="101">
        <f>VLOOKUP(A7,'BSE ALL CAP'!$B$4:$Y$1038,9,)</f>
        <v>762</v>
      </c>
      <c r="K7" s="101">
        <f>VLOOKUP(A7,'BSE ALL CAP'!$B$4:$Y$1038,10,)</f>
        <v>260</v>
      </c>
      <c r="L7" s="101">
        <f>VLOOKUP(A7,'BSE ALL CAP'!$B$4:$Y$1038,11,)</f>
        <v>3506</v>
      </c>
      <c r="M7" s="101">
        <f>VLOOKUP(A7,'BSE ALL CAP'!$B$4:$Y$1038,12,)</f>
        <v>3181</v>
      </c>
      <c r="N7" s="101">
        <f>VLOOKUP(A7,'BSE ALL CAP'!$B$4:$Y$1038,13,)</f>
        <v>128</v>
      </c>
      <c r="O7" s="101">
        <f>VLOOKUP(A7,'BSE ALL CAP'!$B$4:$Y$1038,14,)</f>
        <v>66</v>
      </c>
      <c r="P7" s="95">
        <f>VLOOKUP(A7,'BSE ALL CAP'!$B$4:$Y$1038,15,)</f>
        <v>7.2165924803485174E-2</v>
      </c>
      <c r="Q7" s="95">
        <f>VLOOKUP(A7,'BSE ALL CAP'!$B$4:$Y$1038,16,)</f>
        <v>2.6291839417534633E-2</v>
      </c>
      <c r="R7" s="95">
        <f>VLOOKUP(A7,'BSE ALL CAP'!$B$4:$Y$1038,17,)</f>
        <v>4.5874085385950544E-2</v>
      </c>
      <c r="S7" s="95">
        <f>VLOOKUP(A7,'BSE ALL CAP'!$B$4:$Y$1038,18,)</f>
        <v>3.650884198516828E-2</v>
      </c>
      <c r="T7" s="95">
        <f>VLOOKUP(A7,'BSE ALL CAP'!$B$4:$Y$1038,19,)</f>
        <v>2.0748192392329456E-2</v>
      </c>
      <c r="U7" s="95">
        <f>VLOOKUP(A7,'BSE ALL CAP'!$B$4:$Y$1038,20,)</f>
        <v>1.5760649592838825E-2</v>
      </c>
      <c r="V7" s="95">
        <f>VLOOKUP(A7,'BSE ALL CAP'!$B$4:$Y$1038,21,)</f>
        <v>6.7752047729800813E-2</v>
      </c>
      <c r="W7" s="95">
        <f>VLOOKUP(A7,'BSE ALL CAP'!$B$4:$Y$1038,22,)</f>
        <v>1.9307692307692306</v>
      </c>
      <c r="X7" s="95">
        <f>VLOOKUP(A7,'BSE ALL CAP'!$B$4:$Y$1038,23,)</f>
        <v>0.10216912920465271</v>
      </c>
      <c r="Y7" s="95">
        <f>VLOOKUP(A7,'BSE ALL CAP'!$B$4:$Y$1038,24,)</f>
        <v>0.93939393939393945</v>
      </c>
    </row>
    <row r="8" spans="1:25" ht="14.4">
      <c r="A8" s="99">
        <v>500410</v>
      </c>
      <c r="B8" s="98" t="s">
        <v>5880</v>
      </c>
      <c r="C8" s="174" t="str">
        <f>VLOOKUP(A8,'BSE ALL CAP'!$B$4:$Y$1034,2,)</f>
        <v>Commodities</v>
      </c>
      <c r="D8" s="174" t="str">
        <f>VLOOKUP(A8,'BSE ALL CAP'!$B$4:$Y$1034,3,)</f>
        <v>Cement &amp; Cement Products</v>
      </c>
      <c r="E8" s="101">
        <f ca="1">IFERROR(__xludf.DUMMYFUNCTION("GOOGLEFINANCE(""BOM:""&amp;A8,""PRICE"")"),1356)</f>
        <v>1356</v>
      </c>
      <c r="F8" s="112">
        <f ca="1">IFERROR(__xludf.DUMMYFUNCTION("GOOGLEFINANCE(""BOM:""&amp;A8,""MARKETCAP"")/10000000"),25445.1656)</f>
        <v>25445.1656</v>
      </c>
      <c r="G8" s="95">
        <f t="shared" ca="1" si="0"/>
        <v>2.8388032989598921E-2</v>
      </c>
      <c r="H8" s="101">
        <f>VLOOKUP(A8,'BSE ALL CAP'!$B$4:$Y$1038,7,)</f>
        <v>18637</v>
      </c>
      <c r="I8" s="101">
        <f>VLOOKUP(A8,'BSE ALL CAP'!$B$4:$Y$1038,8,)</f>
        <v>14906</v>
      </c>
      <c r="J8" s="101">
        <f>VLOOKUP(A8,'BSE ALL CAP'!$B$4:$Y$1038,9,)</f>
        <v>1898</v>
      </c>
      <c r="K8" s="101">
        <f>VLOOKUP(A8,'BSE ALL CAP'!$B$4:$Y$1038,10,)</f>
        <v>1651</v>
      </c>
      <c r="L8" s="101">
        <f>VLOOKUP(A8,'BSE ALL CAP'!$B$4:$Y$1038,11,)</f>
        <v>6391</v>
      </c>
      <c r="M8" s="101">
        <f>VLOOKUP(A8,'BSE ALL CAP'!$B$4:$Y$1038,12,)</f>
        <v>5251</v>
      </c>
      <c r="N8" s="101">
        <f>VLOOKUP(A8,'BSE ALL CAP'!$B$4:$Y$1038,13,)</f>
        <v>404</v>
      </c>
      <c r="O8" s="101">
        <f>VLOOKUP(A8,'BSE ALL CAP'!$B$4:$Y$1038,14,)</f>
        <v>1091</v>
      </c>
      <c r="P8" s="95">
        <f>VLOOKUP(A8,'BSE ALL CAP'!$B$4:$Y$1038,15,)</f>
        <v>0.10184042496109889</v>
      </c>
      <c r="Q8" s="95">
        <f>VLOOKUP(A8,'BSE ALL CAP'!$B$4:$Y$1038,16,)</f>
        <v>0.11076076747618409</v>
      </c>
      <c r="R8" s="95">
        <f>VLOOKUP(A8,'BSE ALL CAP'!$B$4:$Y$1038,17,)</f>
        <v>-8.9203425150851945E-3</v>
      </c>
      <c r="S8" s="95">
        <f>VLOOKUP(A8,'BSE ALL CAP'!$B$4:$Y$1038,18,)</f>
        <v>6.321389453919575E-2</v>
      </c>
      <c r="T8" s="95">
        <f>VLOOKUP(A8,'BSE ALL CAP'!$B$4:$Y$1038,19,)</f>
        <v>0.20776994858122264</v>
      </c>
      <c r="U8" s="95">
        <f>VLOOKUP(A8,'BSE ALL CAP'!$B$4:$Y$1038,20,)</f>
        <v>-0.14455605404202687</v>
      </c>
      <c r="V8" s="95">
        <f>VLOOKUP(A8,'BSE ALL CAP'!$B$4:$Y$1038,21,)</f>
        <v>0.25030189185562857</v>
      </c>
      <c r="W8" s="95">
        <f>VLOOKUP(A8,'BSE ALL CAP'!$B$4:$Y$1038,22,)</f>
        <v>0.14960629921259838</v>
      </c>
      <c r="X8" s="95">
        <f>VLOOKUP(A8,'BSE ALL CAP'!$B$4:$Y$1038,23,)</f>
        <v>0.21710150447533794</v>
      </c>
      <c r="Y8" s="95">
        <f>VLOOKUP(A8,'BSE ALL CAP'!$B$4:$Y$1038,24,)</f>
        <v>-0.62969752520623279</v>
      </c>
    </row>
    <row r="9" spans="1:25" ht="14.4">
      <c r="A9" s="99">
        <v>500260</v>
      </c>
      <c r="B9" s="98" t="s">
        <v>5881</v>
      </c>
      <c r="C9" s="174" t="str">
        <f>VLOOKUP(A9,'BSE ALL CAP'!$B$4:$Y$1034,2,)</f>
        <v>Commodities</v>
      </c>
      <c r="D9" s="174" t="str">
        <f>VLOOKUP(A9,'BSE ALL CAP'!$B$4:$Y$1034,3,)</f>
        <v>Cement &amp; Cement Products</v>
      </c>
      <c r="E9" s="101">
        <f ca="1">IFERROR(__xludf.DUMMYFUNCTION("GOOGLEFINANCE(""BOM:""&amp;A9,""PRICE"")"),935)</f>
        <v>935</v>
      </c>
      <c r="F9" s="112">
        <f ca="1">IFERROR(__xludf.DUMMYFUNCTION("GOOGLEFINANCE(""BOM:""&amp;A9,""MARKETCAP"")/10000000"),22090.9677038)</f>
        <v>22090.967703800001</v>
      </c>
      <c r="G9" s="95">
        <f t="shared" ca="1" si="0"/>
        <v>2.4645904444325517E-2</v>
      </c>
      <c r="H9" s="101">
        <f>VLOOKUP(A9,'BSE ALL CAP'!$B$4:$Y$1038,7,)</f>
        <v>6418</v>
      </c>
      <c r="I9" s="101">
        <f>VLOOKUP(A9,'BSE ALL CAP'!$B$4:$Y$1038,8,)</f>
        <v>6121</v>
      </c>
      <c r="J9" s="101">
        <f>VLOOKUP(A9,'BSE ALL CAP'!$B$4:$Y$1038,9,)</f>
        <v>548</v>
      </c>
      <c r="K9" s="101">
        <f>VLOOKUP(A9,'BSE ALL CAP'!$B$4:$Y$1038,10,)</f>
        <v>243</v>
      </c>
      <c r="L9" s="101">
        <f>VLOOKUP(A9,'BSE ALL CAP'!$B$4:$Y$1038,11,)</f>
        <v>2106</v>
      </c>
      <c r="M9" s="101">
        <f>VLOOKUP(A9,'BSE ALL CAP'!$B$4:$Y$1038,12,)</f>
        <v>1983</v>
      </c>
      <c r="N9" s="101">
        <f>VLOOKUP(A9,'BSE ALL CAP'!$B$4:$Y$1038,13,)</f>
        <v>386</v>
      </c>
      <c r="O9" s="101">
        <f>VLOOKUP(A9,'BSE ALL CAP'!$B$4:$Y$1038,14,)</f>
        <v>182</v>
      </c>
      <c r="P9" s="95">
        <f>VLOOKUP(A9,'BSE ALL CAP'!$B$4:$Y$1038,15,)</f>
        <v>8.538485509504519E-2</v>
      </c>
      <c r="Q9" s="95">
        <f>VLOOKUP(A9,'BSE ALL CAP'!$B$4:$Y$1038,16,)</f>
        <v>3.9699395523607253E-2</v>
      </c>
      <c r="R9" s="95">
        <f>VLOOKUP(A9,'BSE ALL CAP'!$B$4:$Y$1038,17,)</f>
        <v>4.5685459571437936E-2</v>
      </c>
      <c r="S9" s="95">
        <f>VLOOKUP(A9,'BSE ALL CAP'!$B$4:$Y$1038,18,)</f>
        <v>0.18328584995251662</v>
      </c>
      <c r="T9" s="95">
        <f>VLOOKUP(A9,'BSE ALL CAP'!$B$4:$Y$1038,19,)</f>
        <v>9.1780131114473015E-2</v>
      </c>
      <c r="U9" s="95">
        <f>VLOOKUP(A9,'BSE ALL CAP'!$B$4:$Y$1038,20,)</f>
        <v>9.1505718838043607E-2</v>
      </c>
      <c r="V9" s="95">
        <f>VLOOKUP(A9,'BSE ALL CAP'!$B$4:$Y$1038,21,)</f>
        <v>4.8521483417742095E-2</v>
      </c>
      <c r="W9" s="95">
        <f>VLOOKUP(A9,'BSE ALL CAP'!$B$4:$Y$1038,22,)</f>
        <v>1.2551440329218106</v>
      </c>
      <c r="X9" s="95">
        <f>VLOOKUP(A9,'BSE ALL CAP'!$B$4:$Y$1038,23,)</f>
        <v>6.2027231467473465E-2</v>
      </c>
      <c r="Y9" s="95">
        <f>VLOOKUP(A9,'BSE ALL CAP'!$B$4:$Y$1038,24,)</f>
        <v>1.1208791208791209</v>
      </c>
    </row>
    <row r="10" spans="1:25" ht="14.4">
      <c r="A10" s="99">
        <v>544480</v>
      </c>
      <c r="B10" s="98" t="s">
        <v>5882</v>
      </c>
      <c r="C10" s="174" t="str">
        <f>VLOOKUP(A10,'BSE ALL CAP'!$B$4:$Y$1034,2,)</f>
        <v>Commodities</v>
      </c>
      <c r="D10" s="174" t="str">
        <f>VLOOKUP(A10,'BSE ALL CAP'!$B$4:$Y$1034,3,)</f>
        <v>Cement &amp; Cement Products</v>
      </c>
      <c r="E10" s="101">
        <f ca="1">IFERROR(__xludf.DUMMYFUNCTION("GOOGLEFINANCE(""BOM:""&amp;A10,""PRICE"")"),118.25)</f>
        <v>118.25</v>
      </c>
      <c r="F10" s="112">
        <f ca="1">IFERROR(__xludf.DUMMYFUNCTION("GOOGLEFINANCE(""BOM:""&amp;A10,""MARKETCAP"")/10000000"),15813.9249682)</f>
        <v>15813.924968200001</v>
      </c>
      <c r="G10" s="95">
        <f t="shared" ca="1" si="0"/>
        <v>1.764288866299631E-2</v>
      </c>
      <c r="H10" s="101">
        <f>VLOOKUP(A10,'BSE ALL CAP'!$B$4:$Y$1038,7,)</f>
        <v>4618</v>
      </c>
      <c r="I10" s="101">
        <f>VLOOKUP(A10,'BSE ALL CAP'!$B$4:$Y$1038,8,)</f>
        <v>4104</v>
      </c>
      <c r="J10" s="101">
        <f>VLOOKUP(A10,'BSE ALL CAP'!$B$4:$Y$1038,9,)</f>
        <v>-1160</v>
      </c>
      <c r="K10" s="101">
        <f>VLOOKUP(A10,'BSE ALL CAP'!$B$4:$Y$1038,10,)</f>
        <v>-180</v>
      </c>
      <c r="L10" s="101">
        <f>VLOOKUP(A10,'BSE ALL CAP'!$B$4:$Y$1038,11,)</f>
        <v>1621</v>
      </c>
      <c r="M10" s="101">
        <f>VLOOKUP(A10,'BSE ALL CAP'!$B$4:$Y$1038,12,)</f>
        <v>1433</v>
      </c>
      <c r="N10" s="101">
        <f>VLOOKUP(A10,'BSE ALL CAP'!$B$4:$Y$1038,13,)</f>
        <v>131</v>
      </c>
      <c r="O10" s="101">
        <f>VLOOKUP(A10,'BSE ALL CAP'!$B$4:$Y$1038,14,)</f>
        <v>-80</v>
      </c>
      <c r="P10" s="95">
        <f>VLOOKUP(A10,'BSE ALL CAP'!$B$4:$Y$1038,15,)</f>
        <v>-0.25119099177132959</v>
      </c>
      <c r="Q10" s="95">
        <f>VLOOKUP(A10,'BSE ALL CAP'!$B$4:$Y$1038,16,)</f>
        <v>-4.3859649122807015E-2</v>
      </c>
      <c r="R10" s="95">
        <f>VLOOKUP(A10,'BSE ALL CAP'!$B$4:$Y$1038,17,)</f>
        <v>-0.20733134264852257</v>
      </c>
      <c r="S10" s="95">
        <f>VLOOKUP(A10,'BSE ALL CAP'!$B$4:$Y$1038,18,)</f>
        <v>8.0814312152991979E-2</v>
      </c>
      <c r="T10" s="95">
        <f>VLOOKUP(A10,'BSE ALL CAP'!$B$4:$Y$1038,19,)</f>
        <v>-5.5826936496859735E-2</v>
      </c>
      <c r="U10" s="95">
        <f>VLOOKUP(A10,'BSE ALL CAP'!$B$4:$Y$1038,20,)</f>
        <v>0.13664124864985172</v>
      </c>
      <c r="V10" s="95">
        <f>VLOOKUP(A10,'BSE ALL CAP'!$B$4:$Y$1038,21,)</f>
        <v>0.12524366471734893</v>
      </c>
      <c r="W10" s="95">
        <f>VLOOKUP(A10,'BSE ALL CAP'!$B$4:$Y$1038,22,)</f>
        <v>5.4444444444444446</v>
      </c>
      <c r="X10" s="95">
        <f>VLOOKUP(A10,'BSE ALL CAP'!$B$4:$Y$1038,23,)</f>
        <v>0.13119330076762048</v>
      </c>
      <c r="Y10" s="95">
        <f>VLOOKUP(A10,'BSE ALL CAP'!$B$4:$Y$1038,24,)</f>
        <v>-2.6375000000000002</v>
      </c>
    </row>
    <row r="11" spans="1:25" ht="14.4">
      <c r="A11" s="99">
        <v>530005</v>
      </c>
      <c r="B11" s="98" t="s">
        <v>5883</v>
      </c>
      <c r="C11" s="174" t="str">
        <f>VLOOKUP(A11,'BSE ALL CAP'!$B$4:$Y$1034,2,)</f>
        <v>Commodities</v>
      </c>
      <c r="D11" s="174" t="str">
        <f>VLOOKUP(A11,'BSE ALL CAP'!$B$4:$Y$1034,3,)</f>
        <v>Cement &amp; Cement Products</v>
      </c>
      <c r="E11" s="101">
        <f ca="1">IFERROR(__xludf.DUMMYFUNCTION("GOOGLEFINANCE(""BOM:""&amp;A11,""PRICE"")"),356.05)</f>
        <v>356.05</v>
      </c>
      <c r="F11" s="112">
        <f ca="1">IFERROR(__xludf.DUMMYFUNCTION("GOOGLEFINANCE(""BOM:""&amp;A11,""MARKETCAP"")/10000000"),11042.6795908)</f>
        <v>11042.6795908</v>
      </c>
      <c r="G11" s="95">
        <f t="shared" ca="1" si="0"/>
        <v>1.2319823633499996E-2</v>
      </c>
      <c r="H11" s="101">
        <f>VLOOKUP(A11,'BSE ALL CAP'!$B$4:$Y$1038,7,)</f>
        <v>3317</v>
      </c>
      <c r="I11" s="101">
        <f>VLOOKUP(A11,'BSE ALL CAP'!$B$4:$Y$1038,8,)</f>
        <v>3117</v>
      </c>
      <c r="J11" s="101">
        <f>VLOOKUP(A11,'BSE ALL CAP'!$B$4:$Y$1038,9,)</f>
        <v>-125</v>
      </c>
      <c r="K11" s="101">
        <f>VLOOKUP(A11,'BSE ALL CAP'!$B$4:$Y$1038,10,)</f>
        <v>-151</v>
      </c>
      <c r="L11" s="101">
        <f>VLOOKUP(A11,'BSE ALL CAP'!$B$4:$Y$1038,11,)</f>
        <v>1137</v>
      </c>
      <c r="M11" s="101">
        <f>VLOOKUP(A11,'BSE ALL CAP'!$B$4:$Y$1038,12,)</f>
        <v>952</v>
      </c>
      <c r="N11" s="101">
        <f>VLOOKUP(A11,'BSE ALL CAP'!$B$4:$Y$1038,13,)</f>
        <v>-2</v>
      </c>
      <c r="O11" s="101">
        <f>VLOOKUP(A11,'BSE ALL CAP'!$B$4:$Y$1038,14,)</f>
        <v>116</v>
      </c>
      <c r="P11" s="95">
        <f>VLOOKUP(A11,'BSE ALL CAP'!$B$4:$Y$1038,15,)</f>
        <v>-3.7684654808561951E-2</v>
      </c>
      <c r="Q11" s="95">
        <f>VLOOKUP(A11,'BSE ALL CAP'!$B$4:$Y$1038,16,)</f>
        <v>-4.844401668270773E-2</v>
      </c>
      <c r="R11" s="95">
        <f>VLOOKUP(A11,'BSE ALL CAP'!$B$4:$Y$1038,17,)</f>
        <v>1.0759361874145779E-2</v>
      </c>
      <c r="S11" s="95">
        <f>VLOOKUP(A11,'BSE ALL CAP'!$B$4:$Y$1038,18,)</f>
        <v>-1.7590149516270889E-3</v>
      </c>
      <c r="T11" s="95">
        <f>VLOOKUP(A11,'BSE ALL CAP'!$B$4:$Y$1038,19,)</f>
        <v>0.12184873949579832</v>
      </c>
      <c r="U11" s="95">
        <f>VLOOKUP(A11,'BSE ALL CAP'!$B$4:$Y$1038,20,)</f>
        <v>-0.1236077544474254</v>
      </c>
      <c r="V11" s="95">
        <f>VLOOKUP(A11,'BSE ALL CAP'!$B$4:$Y$1038,21,)</f>
        <v>6.4164260506897719E-2</v>
      </c>
      <c r="W11" s="95">
        <f>VLOOKUP(A11,'BSE ALL CAP'!$B$4:$Y$1038,22,)</f>
        <v>-0.17218543046357615</v>
      </c>
      <c r="X11" s="95">
        <f>VLOOKUP(A11,'BSE ALL CAP'!$B$4:$Y$1038,23,)</f>
        <v>0.19432773109243695</v>
      </c>
      <c r="Y11" s="95">
        <f>VLOOKUP(A11,'BSE ALL CAP'!$B$4:$Y$1038,24,)</f>
        <v>-1.0172413793103448</v>
      </c>
    </row>
    <row r="12" spans="1:25" ht="14.4">
      <c r="A12" s="99">
        <v>543334</v>
      </c>
      <c r="B12" s="98" t="s">
        <v>5884</v>
      </c>
      <c r="C12" s="174" t="str">
        <f>VLOOKUP(A12,'BSE ALL CAP'!$B$4:$Y$1034,2,)</f>
        <v>Commodities</v>
      </c>
      <c r="D12" s="174" t="str">
        <f>VLOOKUP(A12,'BSE ALL CAP'!$B$4:$Y$1034,3,)</f>
        <v>Cement &amp; Cement Products</v>
      </c>
      <c r="E12" s="101">
        <f ca="1">IFERROR(__xludf.DUMMYFUNCTION("GOOGLEFINANCE(""BOM:""&amp;A12,""PRICE"")"),295.7)</f>
        <v>295.7</v>
      </c>
      <c r="F12" s="112">
        <f ca="1">IFERROR(__xludf.DUMMYFUNCTION("GOOGLEFINANCE(""BOM:""&amp;A12,""MARKETCAP"")/10000000"),10545.0309)</f>
        <v>10545.0309</v>
      </c>
      <c r="G12" s="95">
        <f t="shared" ca="1" si="0"/>
        <v>1.1764619251113854E-2</v>
      </c>
      <c r="H12" s="101">
        <f>VLOOKUP(A12,'BSE ALL CAP'!$B$4:$Y$1038,7,)</f>
        <v>8031</v>
      </c>
      <c r="I12" s="101">
        <f>VLOOKUP(A12,'BSE ALL CAP'!$B$4:$Y$1038,8,)</f>
        <v>7314</v>
      </c>
      <c r="J12" s="101">
        <f>VLOOKUP(A12,'BSE ALL CAP'!$B$4:$Y$1038,9,)</f>
        <v>218</v>
      </c>
      <c r="K12" s="101">
        <f>VLOOKUP(A12,'BSE ALL CAP'!$B$4:$Y$1038,10,)</f>
        <v>-143</v>
      </c>
      <c r="L12" s="101">
        <f>VLOOKUP(A12,'BSE ALL CAP'!$B$4:$Y$1038,11,)</f>
        <v>2701</v>
      </c>
      <c r="M12" s="101">
        <f>VLOOKUP(A12,'BSE ALL CAP'!$B$4:$Y$1038,12,)</f>
        <v>2409</v>
      </c>
      <c r="N12" s="101">
        <f>VLOOKUP(A12,'BSE ALL CAP'!$B$4:$Y$1038,13,)</f>
        <v>49</v>
      </c>
      <c r="O12" s="101">
        <f>VLOOKUP(A12,'BSE ALL CAP'!$B$4:$Y$1038,14,)</f>
        <v>-61</v>
      </c>
      <c r="P12" s="95">
        <f>VLOOKUP(A12,'BSE ALL CAP'!$B$4:$Y$1038,15,)</f>
        <v>2.7144813846345411E-2</v>
      </c>
      <c r="Q12" s="95">
        <f>VLOOKUP(A12,'BSE ALL CAP'!$B$4:$Y$1038,16,)</f>
        <v>-1.9551544982225867E-2</v>
      </c>
      <c r="R12" s="95">
        <f>VLOOKUP(A12,'BSE ALL CAP'!$B$4:$Y$1038,17,)</f>
        <v>4.6696358828571274E-2</v>
      </c>
      <c r="S12" s="95">
        <f>VLOOKUP(A12,'BSE ALL CAP'!$B$4:$Y$1038,18,)</f>
        <v>1.8141429100333211E-2</v>
      </c>
      <c r="T12" s="95">
        <f>VLOOKUP(A12,'BSE ALL CAP'!$B$4:$Y$1038,19,)</f>
        <v>-2.5321710253217101E-2</v>
      </c>
      <c r="U12" s="95">
        <f>VLOOKUP(A12,'BSE ALL CAP'!$B$4:$Y$1038,20,)</f>
        <v>4.3463139353550312E-2</v>
      </c>
      <c r="V12" s="95">
        <f>VLOOKUP(A12,'BSE ALL CAP'!$B$4:$Y$1038,21,)</f>
        <v>9.8031173092699042E-2</v>
      </c>
      <c r="W12" s="95">
        <f>VLOOKUP(A12,'BSE ALL CAP'!$B$4:$Y$1038,22,)</f>
        <v>-2.5244755244755241</v>
      </c>
      <c r="X12" s="95">
        <f>VLOOKUP(A12,'BSE ALL CAP'!$B$4:$Y$1038,23,)</f>
        <v>0.1212121212121211</v>
      </c>
      <c r="Y12" s="95">
        <f>VLOOKUP(A12,'BSE ALL CAP'!$B$4:$Y$1038,24,)</f>
        <v>-1.8032786885245902</v>
      </c>
    </row>
    <row r="13" spans="1:25" ht="14.4">
      <c r="A13" s="99">
        <v>500380</v>
      </c>
      <c r="B13" s="98" t="s">
        <v>5885</v>
      </c>
      <c r="C13" s="174" t="str">
        <f>VLOOKUP(A13,'BSE ALL CAP'!$B$4:$Y$1034,2,)</f>
        <v>Commodities</v>
      </c>
      <c r="D13" s="174" t="str">
        <f>VLOOKUP(A13,'BSE ALL CAP'!$B$4:$Y$1034,3,)</f>
        <v>Cement &amp; Cement Products</v>
      </c>
      <c r="E13" s="101">
        <f ca="1">IFERROR(__xludf.DUMMYFUNCTION("GOOGLEFINANCE(""BOM:""&amp;A13,""PRICE"")"),590.15)</f>
        <v>590.15</v>
      </c>
      <c r="F13" s="112">
        <f ca="1">IFERROR(__xludf.DUMMYFUNCTION("GOOGLEFINANCE(""BOM:""&amp;A13,""MARKETCAP"")/10000000"),7333.83043)</f>
        <v>7333.83043</v>
      </c>
      <c r="G13" s="95">
        <f t="shared" ca="1" si="0"/>
        <v>8.1820265373696143E-3</v>
      </c>
      <c r="H13" s="101">
        <f>VLOOKUP(A13,'BSE ALL CAP'!$B$4:$Y$1038,7,)</f>
        <v>4861</v>
      </c>
      <c r="I13" s="101">
        <f>VLOOKUP(A13,'BSE ALL CAP'!$B$4:$Y$1038,8,)</f>
        <v>4295</v>
      </c>
      <c r="J13" s="101">
        <f>VLOOKUP(A13,'BSE ALL CAP'!$B$4:$Y$1038,9,)</f>
        <v>288</v>
      </c>
      <c r="K13" s="101">
        <f>VLOOKUP(A13,'BSE ALL CAP'!$B$4:$Y$1038,10,)</f>
        <v>101</v>
      </c>
      <c r="L13" s="101">
        <f>VLOOKUP(A13,'BSE ALL CAP'!$B$4:$Y$1038,11,)</f>
        <v>1588</v>
      </c>
      <c r="M13" s="101">
        <f>VLOOKUP(A13,'BSE ALL CAP'!$B$4:$Y$1038,12,)</f>
        <v>1497</v>
      </c>
      <c r="N13" s="101">
        <f>VLOOKUP(A13,'BSE ALL CAP'!$B$4:$Y$1038,13,)</f>
        <v>57</v>
      </c>
      <c r="O13" s="101">
        <f>VLOOKUP(A13,'BSE ALL CAP'!$B$4:$Y$1038,14,)</f>
        <v>75</v>
      </c>
      <c r="P13" s="95">
        <f>VLOOKUP(A13,'BSE ALL CAP'!$B$4:$Y$1038,15,)</f>
        <v>5.9247068504422962E-2</v>
      </c>
      <c r="Q13" s="95">
        <f>VLOOKUP(A13,'BSE ALL CAP'!$B$4:$Y$1038,16,)</f>
        <v>2.351571594877765E-2</v>
      </c>
      <c r="R13" s="95">
        <f>VLOOKUP(A13,'BSE ALL CAP'!$B$4:$Y$1038,17,)</f>
        <v>3.5731352555645315E-2</v>
      </c>
      <c r="S13" s="95">
        <f>VLOOKUP(A13,'BSE ALL CAP'!$B$4:$Y$1038,18,)</f>
        <v>3.5894206549118388E-2</v>
      </c>
      <c r="T13" s="95">
        <f>VLOOKUP(A13,'BSE ALL CAP'!$B$4:$Y$1038,19,)</f>
        <v>5.0100200400801605E-2</v>
      </c>
      <c r="U13" s="95">
        <f>VLOOKUP(A13,'BSE ALL CAP'!$B$4:$Y$1038,20,)</f>
        <v>-1.4205993851683217E-2</v>
      </c>
      <c r="V13" s="95">
        <f>VLOOKUP(A13,'BSE ALL CAP'!$B$4:$Y$1038,21,)</f>
        <v>0.13178114086146686</v>
      </c>
      <c r="W13" s="95">
        <f>VLOOKUP(A13,'BSE ALL CAP'!$B$4:$Y$1038,22,)</f>
        <v>1.8514851485148514</v>
      </c>
      <c r="X13" s="95">
        <f>VLOOKUP(A13,'BSE ALL CAP'!$B$4:$Y$1038,23,)</f>
        <v>6.078824315297271E-2</v>
      </c>
      <c r="Y13" s="95">
        <f>VLOOKUP(A13,'BSE ALL CAP'!$B$4:$Y$1038,24,)</f>
        <v>-0.24</v>
      </c>
    </row>
    <row r="14" spans="1:25" ht="14.4">
      <c r="A14" s="99">
        <v>540575</v>
      </c>
      <c r="B14" s="98" t="s">
        <v>5886</v>
      </c>
      <c r="C14" s="174" t="str">
        <f>VLOOKUP(A14,'BSE ALL CAP'!$B$4:$Y$1034,2,)</f>
        <v>Commodities</v>
      </c>
      <c r="D14" s="174" t="str">
        <f>VLOOKUP(A14,'BSE ALL CAP'!$B$4:$Y$1034,3,)</f>
        <v>Cement &amp; Cement Products</v>
      </c>
      <c r="E14" s="101">
        <f ca="1">IFERROR(__xludf.DUMMYFUNCTION("GOOGLEFINANCE(""BOM:""&amp;A14,""PRICE"")"),209.6)</f>
        <v>209.6</v>
      </c>
      <c r="F14" s="112">
        <f ca="1">IFERROR(__xludf.DUMMYFUNCTION("GOOGLEFINANCE(""BOM:""&amp;A14,""MARKETCAP"")/10000000"),8452.4178781)</f>
        <v>8452.4178780999991</v>
      </c>
      <c r="G14" s="95">
        <f t="shared" ca="1" si="0"/>
        <v>9.4299845140476696E-3</v>
      </c>
      <c r="H14" s="101">
        <f>VLOOKUP(A14,'BSE ALL CAP'!$B$4:$Y$1038,7,)</f>
        <v>2602</v>
      </c>
      <c r="I14" s="101">
        <f>VLOOKUP(A14,'BSE ALL CAP'!$B$4:$Y$1038,8,)</f>
        <v>2111</v>
      </c>
      <c r="J14" s="101">
        <f>VLOOKUP(A14,'BSE ALL CAP'!$B$4:$Y$1038,9,)</f>
        <v>243</v>
      </c>
      <c r="K14" s="101">
        <f>VLOOKUP(A14,'BSE ALL CAP'!$B$4:$Y$1038,10,)</f>
        <v>45</v>
      </c>
      <c r="L14" s="101">
        <f>VLOOKUP(A14,'BSE ALL CAP'!$B$4:$Y$1038,11,)</f>
        <v>880</v>
      </c>
      <c r="M14" s="101">
        <f>VLOOKUP(A14,'BSE ALL CAP'!$B$4:$Y$1038,12,)</f>
        <v>718</v>
      </c>
      <c r="N14" s="101">
        <f>VLOOKUP(A14,'BSE ALL CAP'!$B$4:$Y$1038,13,)</f>
        <v>74</v>
      </c>
      <c r="O14" s="101">
        <f>VLOOKUP(A14,'BSE ALL CAP'!$B$4:$Y$1038,14,)</f>
        <v>9</v>
      </c>
      <c r="P14" s="95">
        <f>VLOOKUP(A14,'BSE ALL CAP'!$B$4:$Y$1038,15,)</f>
        <v>9.3389700230591857E-2</v>
      </c>
      <c r="Q14" s="95">
        <f>VLOOKUP(A14,'BSE ALL CAP'!$B$4:$Y$1038,16,)</f>
        <v>2.1316911416390336E-2</v>
      </c>
      <c r="R14" s="95">
        <f>VLOOKUP(A14,'BSE ALL CAP'!$B$4:$Y$1038,17,)</f>
        <v>7.2072788814201524E-2</v>
      </c>
      <c r="S14" s="95">
        <f>VLOOKUP(A14,'BSE ALL CAP'!$B$4:$Y$1038,18,)</f>
        <v>8.4090909090909091E-2</v>
      </c>
      <c r="T14" s="95">
        <f>VLOOKUP(A14,'BSE ALL CAP'!$B$4:$Y$1038,19,)</f>
        <v>1.2534818941504178E-2</v>
      </c>
      <c r="U14" s="95">
        <f>VLOOKUP(A14,'BSE ALL CAP'!$B$4:$Y$1038,20,)</f>
        <v>7.1556090149404908E-2</v>
      </c>
      <c r="V14" s="95">
        <f>VLOOKUP(A14,'BSE ALL CAP'!$B$4:$Y$1038,21,)</f>
        <v>0.23259118900994791</v>
      </c>
      <c r="W14" s="95">
        <f>VLOOKUP(A14,'BSE ALL CAP'!$B$4:$Y$1038,22,)</f>
        <v>4.4000000000000004</v>
      </c>
      <c r="X14" s="95">
        <f>VLOOKUP(A14,'BSE ALL CAP'!$B$4:$Y$1038,23,)</f>
        <v>0.22562674094707513</v>
      </c>
      <c r="Y14" s="95">
        <f>VLOOKUP(A14,'BSE ALL CAP'!$B$4:$Y$1038,24,)</f>
        <v>7.2222222222222214</v>
      </c>
    </row>
    <row r="15" spans="1:25" ht="14.4">
      <c r="A15" s="99">
        <v>500335</v>
      </c>
      <c r="B15" s="98" t="s">
        <v>5887</v>
      </c>
      <c r="C15" s="174" t="str">
        <f>VLOOKUP(A15,'BSE ALL CAP'!$B$4:$Y$1034,2,)</f>
        <v>Commodities</v>
      </c>
      <c r="D15" s="174" t="str">
        <f>VLOOKUP(A15,'BSE ALL CAP'!$B$4:$Y$1034,3,)</f>
        <v>Cement &amp; Cement Products</v>
      </c>
      <c r="E15" s="101">
        <f ca="1">IFERROR(__xludf.DUMMYFUNCTION("GOOGLEFINANCE(""BOM:""&amp;A15,""PRICE"")"),892.7)</f>
        <v>892.7</v>
      </c>
      <c r="F15" s="112">
        <f ca="1">IFERROR(__xludf.DUMMYFUNCTION("GOOGLEFINANCE(""BOM:""&amp;A15,""MARKETCAP"")/10000000"),6893.9030635)</f>
        <v>6893.9030634999999</v>
      </c>
      <c r="G15" s="95">
        <f t="shared" ca="1" si="0"/>
        <v>7.6912192543850087E-3</v>
      </c>
      <c r="H15" s="101">
        <f>VLOOKUP(A15,'BSE ALL CAP'!$B$4:$Y$1038,7,)</f>
        <v>6819</v>
      </c>
      <c r="I15" s="101">
        <f>VLOOKUP(A15,'BSE ALL CAP'!$B$4:$Y$1038,8,)</f>
        <v>6400</v>
      </c>
      <c r="J15" s="101">
        <f>VLOOKUP(A15,'BSE ALL CAP'!$B$4:$Y$1038,9,)</f>
        <v>263</v>
      </c>
      <c r="K15" s="101">
        <f>VLOOKUP(A15,'BSE ALL CAP'!$B$4:$Y$1038,10,)</f>
        <v>39</v>
      </c>
      <c r="L15" s="101">
        <f>VLOOKUP(A15,'BSE ALL CAP'!$B$4:$Y$1038,11,)</f>
        <v>2159</v>
      </c>
      <c r="M15" s="101">
        <f>VLOOKUP(A15,'BSE ALL CAP'!$B$4:$Y$1038,12,)</f>
        <v>2257</v>
      </c>
      <c r="N15" s="101">
        <f>VLOOKUP(A15,'BSE ALL CAP'!$B$4:$Y$1038,13,)</f>
        <v>53</v>
      </c>
      <c r="O15" s="101">
        <f>VLOOKUP(A15,'BSE ALL CAP'!$B$4:$Y$1038,14,)</f>
        <v>31</v>
      </c>
      <c r="P15" s="95">
        <f>VLOOKUP(A15,'BSE ALL CAP'!$B$4:$Y$1038,15,)</f>
        <v>3.8568705088722684E-2</v>
      </c>
      <c r="Q15" s="95">
        <f>VLOOKUP(A15,'BSE ALL CAP'!$B$4:$Y$1038,16,)</f>
        <v>6.0937500000000002E-3</v>
      </c>
      <c r="R15" s="95">
        <f>VLOOKUP(A15,'BSE ALL CAP'!$B$4:$Y$1038,17,)</f>
        <v>3.2474955088722682E-2</v>
      </c>
      <c r="S15" s="95">
        <f>VLOOKUP(A15,'BSE ALL CAP'!$B$4:$Y$1038,18,)</f>
        <v>2.4548402037980546E-2</v>
      </c>
      <c r="T15" s="95">
        <f>VLOOKUP(A15,'BSE ALL CAP'!$B$4:$Y$1038,19,)</f>
        <v>1.3735046521931768E-2</v>
      </c>
      <c r="U15" s="95">
        <f>VLOOKUP(A15,'BSE ALL CAP'!$B$4:$Y$1038,20,)</f>
        <v>1.0813355516048779E-2</v>
      </c>
      <c r="V15" s="95">
        <f>VLOOKUP(A15,'BSE ALL CAP'!$B$4:$Y$1038,21,)</f>
        <v>6.5468749999999964E-2</v>
      </c>
      <c r="W15" s="95">
        <f>VLOOKUP(A15,'BSE ALL CAP'!$B$4:$Y$1038,22,)</f>
        <v>5.7435897435897436</v>
      </c>
      <c r="X15" s="95">
        <f>VLOOKUP(A15,'BSE ALL CAP'!$B$4:$Y$1038,23,)</f>
        <v>-4.3420469649977811E-2</v>
      </c>
      <c r="Y15" s="95">
        <f>VLOOKUP(A15,'BSE ALL CAP'!$B$4:$Y$1038,24,)</f>
        <v>0.70967741935483875</v>
      </c>
    </row>
    <row r="16" spans="1:25" ht="14.4">
      <c r="A16" s="99">
        <v>500338</v>
      </c>
      <c r="B16" s="98" t="s">
        <v>5888</v>
      </c>
      <c r="C16" s="174" t="str">
        <f>VLOOKUP(A16,'BSE ALL CAP'!$B$4:$Y$1034,2,)</f>
        <v>Commodities</v>
      </c>
      <c r="D16" s="174" t="str">
        <f>VLOOKUP(A16,'BSE ALL CAP'!$B$4:$Y$1034,3,)</f>
        <v>Cement &amp; Cement Products</v>
      </c>
      <c r="E16" s="101">
        <f ca="1">IFERROR(__xludf.DUMMYFUNCTION("GOOGLEFINANCE(""BOM:""&amp;A16,""PRICE"")"),123.05)</f>
        <v>123.05</v>
      </c>
      <c r="F16" s="112">
        <f ca="1">IFERROR(__xludf.DUMMYFUNCTION("GOOGLEFINANCE(""BOM:""&amp;A16,""MARKETCAP"")/10000000"),6186.7549258)</f>
        <v>6186.7549257999999</v>
      </c>
      <c r="G16" s="95">
        <f t="shared" ca="1" si="0"/>
        <v>6.9022857108925247E-3</v>
      </c>
      <c r="H16" s="101">
        <f>VLOOKUP(A16,'BSE ALL CAP'!$B$4:$Y$1038,7,)</f>
        <v>5646</v>
      </c>
      <c r="I16" s="101">
        <f>VLOOKUP(A16,'BSE ALL CAP'!$B$4:$Y$1038,8,)</f>
        <v>5323</v>
      </c>
      <c r="J16" s="101">
        <f>VLOOKUP(A16,'BSE ALL CAP'!$B$4:$Y$1038,9,)</f>
        <v>46</v>
      </c>
      <c r="K16" s="101">
        <f>VLOOKUP(A16,'BSE ALL CAP'!$B$4:$Y$1038,10,)</f>
        <v>-76</v>
      </c>
      <c r="L16" s="101">
        <f>VLOOKUP(A16,'BSE ALL CAP'!$B$4:$Y$1038,11,)</f>
        <v>1850</v>
      </c>
      <c r="M16" s="101">
        <f>VLOOKUP(A16,'BSE ALL CAP'!$B$4:$Y$1038,12,)</f>
        <v>1792</v>
      </c>
      <c r="N16" s="101">
        <f>VLOOKUP(A16,'BSE ALL CAP'!$B$4:$Y$1038,13,)</f>
        <v>50</v>
      </c>
      <c r="O16" s="101">
        <f>VLOOKUP(A16,'BSE ALL CAP'!$B$4:$Y$1038,14,)</f>
        <v>46</v>
      </c>
      <c r="P16" s="95">
        <f>VLOOKUP(A16,'BSE ALL CAP'!$B$4:$Y$1038,15,)</f>
        <v>8.1473609635139919E-3</v>
      </c>
      <c r="Q16" s="95">
        <f>VLOOKUP(A16,'BSE ALL CAP'!$B$4:$Y$1038,16,)</f>
        <v>-1.4277662972008266E-2</v>
      </c>
      <c r="R16" s="95">
        <f>VLOOKUP(A16,'BSE ALL CAP'!$B$4:$Y$1038,17,)</f>
        <v>2.2425023935522259E-2</v>
      </c>
      <c r="S16" s="95">
        <f>VLOOKUP(A16,'BSE ALL CAP'!$B$4:$Y$1038,18,)</f>
        <v>2.7027027027027029E-2</v>
      </c>
      <c r="T16" s="95">
        <f>VLOOKUP(A16,'BSE ALL CAP'!$B$4:$Y$1038,19,)</f>
        <v>2.5669642857142856E-2</v>
      </c>
      <c r="U16" s="95">
        <f>VLOOKUP(A16,'BSE ALL CAP'!$B$4:$Y$1038,20,)</f>
        <v>1.3573841698841724E-3</v>
      </c>
      <c r="V16" s="95">
        <f>VLOOKUP(A16,'BSE ALL CAP'!$B$4:$Y$1038,21,)</f>
        <v>6.0680067631035062E-2</v>
      </c>
      <c r="W16" s="95">
        <f>VLOOKUP(A16,'BSE ALL CAP'!$B$4:$Y$1038,22,)</f>
        <v>-1.6052631578947367</v>
      </c>
      <c r="X16" s="95">
        <f>VLOOKUP(A16,'BSE ALL CAP'!$B$4:$Y$1038,23,)</f>
        <v>3.2366071428571397E-2</v>
      </c>
      <c r="Y16" s="95">
        <f>VLOOKUP(A16,'BSE ALL CAP'!$B$4:$Y$1038,24,)</f>
        <v>8.6956521739130377E-2</v>
      </c>
    </row>
    <row r="17" spans="1:25" ht="14.4">
      <c r="A17" s="99">
        <v>500292</v>
      </c>
      <c r="B17" s="98" t="s">
        <v>5889</v>
      </c>
      <c r="C17" s="174" t="str">
        <f>VLOOKUP(A17,'BSE ALL CAP'!$B$4:$Y$1034,2,)</f>
        <v>Commodities</v>
      </c>
      <c r="D17" s="174" t="str">
        <f>VLOOKUP(A17,'BSE ALL CAP'!$B$4:$Y$1034,3,)</f>
        <v>Cement &amp; Cement Products</v>
      </c>
      <c r="E17" s="101">
        <f ca="1">IFERROR(__xludf.DUMMYFUNCTION("GOOGLEFINANCE(""BOM:""&amp;A17,""PRICE"")"),147.5)</f>
        <v>147.5</v>
      </c>
      <c r="F17" s="112">
        <f ca="1">IFERROR(__xludf.DUMMYFUNCTION("GOOGLEFINANCE(""BOM:""&amp;A17,""MARKETCAP"")/10000000"),3338.4628819)</f>
        <v>3338.4628819</v>
      </c>
      <c r="G17" s="95">
        <f t="shared" ca="1" si="0"/>
        <v>3.7245736937129106E-3</v>
      </c>
      <c r="H17" s="101">
        <f>VLOOKUP(A17,'BSE ALL CAP'!$B$4:$Y$1038,7,)</f>
        <v>1683</v>
      </c>
      <c r="I17" s="101">
        <f>VLOOKUP(A17,'BSE ALL CAP'!$B$4:$Y$1038,8,)</f>
        <v>1536</v>
      </c>
      <c r="J17" s="101">
        <f>VLOOKUP(A17,'BSE ALL CAP'!$B$4:$Y$1038,9,)</f>
        <v>88</v>
      </c>
      <c r="K17" s="101">
        <f>VLOOKUP(A17,'BSE ALL CAP'!$B$4:$Y$1038,10,)</f>
        <v>56</v>
      </c>
      <c r="L17" s="101">
        <f>VLOOKUP(A17,'BSE ALL CAP'!$B$4:$Y$1038,11,)</f>
        <v>574</v>
      </c>
      <c r="M17" s="101">
        <f>VLOOKUP(A17,'BSE ALL CAP'!$B$4:$Y$1038,12,)</f>
        <v>542</v>
      </c>
      <c r="N17" s="101">
        <f>VLOOKUP(A17,'BSE ALL CAP'!$B$4:$Y$1038,13,)</f>
        <v>15</v>
      </c>
      <c r="O17" s="101">
        <f>VLOOKUP(A17,'BSE ALL CAP'!$B$4:$Y$1038,14,)</f>
        <v>5</v>
      </c>
      <c r="P17" s="95">
        <f>VLOOKUP(A17,'BSE ALL CAP'!$B$4:$Y$1038,15,)</f>
        <v>5.2287581699346407E-2</v>
      </c>
      <c r="Q17" s="95">
        <f>VLOOKUP(A17,'BSE ALL CAP'!$B$4:$Y$1038,16,)</f>
        <v>3.6458333333333336E-2</v>
      </c>
      <c r="R17" s="95">
        <f>VLOOKUP(A17,'BSE ALL CAP'!$B$4:$Y$1038,17,)</f>
        <v>1.5829248366013071E-2</v>
      </c>
      <c r="S17" s="95">
        <f>VLOOKUP(A17,'BSE ALL CAP'!$B$4:$Y$1038,18,)</f>
        <v>2.6132404181184669E-2</v>
      </c>
      <c r="T17" s="95">
        <f>VLOOKUP(A17,'BSE ALL CAP'!$B$4:$Y$1038,19,)</f>
        <v>9.2250922509225092E-3</v>
      </c>
      <c r="U17" s="95">
        <f>VLOOKUP(A17,'BSE ALL CAP'!$B$4:$Y$1038,20,)</f>
        <v>1.690731193026216E-2</v>
      </c>
      <c r="V17" s="95">
        <f>VLOOKUP(A17,'BSE ALL CAP'!$B$4:$Y$1038,21,)</f>
        <v>9.5703125E-2</v>
      </c>
      <c r="W17" s="95">
        <f>VLOOKUP(A17,'BSE ALL CAP'!$B$4:$Y$1038,22,)</f>
        <v>0.5714285714285714</v>
      </c>
      <c r="X17" s="95">
        <f>VLOOKUP(A17,'BSE ALL CAP'!$B$4:$Y$1038,23,)</f>
        <v>5.9040590405904148E-2</v>
      </c>
      <c r="Y17" s="95">
        <f>VLOOKUP(A17,'BSE ALL CAP'!$B$4:$Y$1038,24,)</f>
        <v>2</v>
      </c>
    </row>
    <row r="18" spans="1:25" ht="14.4">
      <c r="A18" s="99">
        <v>535754</v>
      </c>
      <c r="B18" s="98" t="s">
        <v>5890</v>
      </c>
      <c r="C18" s="174" t="str">
        <f>VLOOKUP(A18,'BSE ALL CAP'!$B$4:$Y$1034,2,)</f>
        <v>Commodities</v>
      </c>
      <c r="D18" s="174" t="str">
        <f>VLOOKUP(A18,'BSE ALL CAP'!$B$4:$Y$1034,3,)</f>
        <v>Cement &amp; Cement Products</v>
      </c>
      <c r="E18" s="101">
        <f ca="1">IFERROR(__xludf.DUMMYFUNCTION("GOOGLEFINANCE(""BOM:""&amp;A18,""PRICE"")"),134.3)</f>
        <v>134.30000000000001</v>
      </c>
      <c r="F18" s="112">
        <f ca="1">IFERROR(__xludf.DUMMYFUNCTION("GOOGLEFINANCE(""BOM:""&amp;A18,""MARKETCAP"")/10000000"),2762.4069482)</f>
        <v>2762.4069482</v>
      </c>
      <c r="G18" s="95">
        <f t="shared" ca="1" si="0"/>
        <v>3.0818938579122031E-3</v>
      </c>
      <c r="H18" s="101">
        <f>VLOOKUP(A18,'BSE ALL CAP'!$B$4:$Y$1038,7,)</f>
        <v>2145</v>
      </c>
      <c r="I18" s="101">
        <f>VLOOKUP(A18,'BSE ALL CAP'!$B$4:$Y$1038,8,)</f>
        <v>1883</v>
      </c>
      <c r="J18" s="101">
        <f>VLOOKUP(A18,'BSE ALL CAP'!$B$4:$Y$1038,9,)</f>
        <v>282</v>
      </c>
      <c r="K18" s="101">
        <f>VLOOKUP(A18,'BSE ALL CAP'!$B$4:$Y$1038,10,)</f>
        <v>49</v>
      </c>
      <c r="L18" s="101">
        <f>VLOOKUP(A18,'BSE ALL CAP'!$B$4:$Y$1038,11,)</f>
        <v>636</v>
      </c>
      <c r="M18" s="101">
        <f>VLOOKUP(A18,'BSE ALL CAP'!$B$4:$Y$1038,12,)</f>
        <v>643</v>
      </c>
      <c r="N18" s="101">
        <f>VLOOKUP(A18,'BSE ALL CAP'!$B$4:$Y$1038,13,)</f>
        <v>27</v>
      </c>
      <c r="O18" s="101">
        <f>VLOOKUP(A18,'BSE ALL CAP'!$B$4:$Y$1038,14,)</f>
        <v>10</v>
      </c>
      <c r="P18" s="95">
        <f>VLOOKUP(A18,'BSE ALL CAP'!$B$4:$Y$1038,15,)</f>
        <v>0.13146853146853146</v>
      </c>
      <c r="Q18" s="95">
        <f>VLOOKUP(A18,'BSE ALL CAP'!$B$4:$Y$1038,16,)</f>
        <v>2.6022304832713755E-2</v>
      </c>
      <c r="R18" s="95">
        <f>VLOOKUP(A18,'BSE ALL CAP'!$B$4:$Y$1038,17,)</f>
        <v>0.10544622663581771</v>
      </c>
      <c r="S18" s="95">
        <f>VLOOKUP(A18,'BSE ALL CAP'!$B$4:$Y$1038,18,)</f>
        <v>4.2452830188679243E-2</v>
      </c>
      <c r="T18" s="95">
        <f>VLOOKUP(A18,'BSE ALL CAP'!$B$4:$Y$1038,19,)</f>
        <v>1.5552099533437015E-2</v>
      </c>
      <c r="U18" s="95">
        <f>VLOOKUP(A18,'BSE ALL CAP'!$B$4:$Y$1038,20,)</f>
        <v>2.6900730655242226E-2</v>
      </c>
      <c r="V18" s="95">
        <f>VLOOKUP(A18,'BSE ALL CAP'!$B$4:$Y$1038,21,)</f>
        <v>0.13913967073818378</v>
      </c>
      <c r="W18" s="95">
        <f>VLOOKUP(A18,'BSE ALL CAP'!$B$4:$Y$1038,22,)</f>
        <v>4.7551020408163263</v>
      </c>
      <c r="X18" s="95">
        <f>VLOOKUP(A18,'BSE ALL CAP'!$B$4:$Y$1038,23,)</f>
        <v>-1.0886469673405896E-2</v>
      </c>
      <c r="Y18" s="95">
        <f>VLOOKUP(A18,'BSE ALL CAP'!$B$4:$Y$1038,24,)</f>
        <v>1.7000000000000002</v>
      </c>
    </row>
    <row r="19" spans="1:25" ht="14.4">
      <c r="A19" s="99">
        <v>502090</v>
      </c>
      <c r="B19" s="98" t="s">
        <v>5891</v>
      </c>
      <c r="C19" s="174" t="str">
        <f>VLOOKUP(A19,'BSE ALL CAP'!$B$4:$Y$1034,2,)</f>
        <v>Commodities</v>
      </c>
      <c r="D19" s="174" t="str">
        <f>VLOOKUP(A19,'BSE ALL CAP'!$B$4:$Y$1034,3,)</f>
        <v>Cement &amp; Cement Products</v>
      </c>
      <c r="E19" s="101">
        <f ca="1">IFERROR(__xludf.DUMMYFUNCTION("GOOGLEFINANCE(""BOM:""&amp;A19,""PRICE"")"),168.15)</f>
        <v>168.15</v>
      </c>
      <c r="F19" s="112">
        <f ca="1">IFERROR(__xludf.DUMMYFUNCTION("GOOGLEFINANCE(""BOM:""&amp;A19,""MARKETCAP"")/10000000"),2198.5001101)</f>
        <v>2198.5001100999998</v>
      </c>
      <c r="G19" s="95">
        <f t="shared" ca="1" si="0"/>
        <v>2.4527682245917728E-3</v>
      </c>
      <c r="H19" s="101">
        <f>VLOOKUP(A19,'BSE ALL CAP'!$B$4:$Y$1038,7,)</f>
        <v>1863</v>
      </c>
      <c r="I19" s="101">
        <f>VLOOKUP(A19,'BSE ALL CAP'!$B$4:$Y$1038,8,)</f>
        <v>1599</v>
      </c>
      <c r="J19" s="101">
        <f>VLOOKUP(A19,'BSE ALL CAP'!$B$4:$Y$1038,9,)</f>
        <v>-100</v>
      </c>
      <c r="K19" s="101">
        <f>VLOOKUP(A19,'BSE ALL CAP'!$B$4:$Y$1038,10,)</f>
        <v>-143</v>
      </c>
      <c r="L19" s="101">
        <f>VLOOKUP(A19,'BSE ALL CAP'!$B$4:$Y$1038,11,)</f>
        <v>590</v>
      </c>
      <c r="M19" s="101">
        <f>VLOOKUP(A19,'BSE ALL CAP'!$B$4:$Y$1038,12,)</f>
        <v>563</v>
      </c>
      <c r="N19" s="101">
        <f>VLOOKUP(A19,'BSE ALL CAP'!$B$4:$Y$1038,13,)</f>
        <v>-64</v>
      </c>
      <c r="O19" s="101">
        <f>VLOOKUP(A19,'BSE ALL CAP'!$B$4:$Y$1038,14,)</f>
        <v>-54</v>
      </c>
      <c r="P19" s="95">
        <f>VLOOKUP(A19,'BSE ALL CAP'!$B$4:$Y$1038,15,)</f>
        <v>-5.3676865271068172E-2</v>
      </c>
      <c r="Q19" s="95">
        <f>VLOOKUP(A19,'BSE ALL CAP'!$B$4:$Y$1038,16,)</f>
        <v>-8.943089430894309E-2</v>
      </c>
      <c r="R19" s="95">
        <f>VLOOKUP(A19,'BSE ALL CAP'!$B$4:$Y$1038,17,)</f>
        <v>3.5754029037874918E-2</v>
      </c>
      <c r="S19" s="95">
        <f>VLOOKUP(A19,'BSE ALL CAP'!$B$4:$Y$1038,18,)</f>
        <v>-0.10847457627118644</v>
      </c>
      <c r="T19" s="95">
        <f>VLOOKUP(A19,'BSE ALL CAP'!$B$4:$Y$1038,19,)</f>
        <v>-9.5914742451154528E-2</v>
      </c>
      <c r="U19" s="95">
        <f>VLOOKUP(A19,'BSE ALL CAP'!$B$4:$Y$1038,20,)</f>
        <v>-1.255983382003191E-2</v>
      </c>
      <c r="V19" s="95">
        <f>VLOOKUP(A19,'BSE ALL CAP'!$B$4:$Y$1038,21,)</f>
        <v>0.16510318949343339</v>
      </c>
      <c r="W19" s="95">
        <f>VLOOKUP(A19,'BSE ALL CAP'!$B$4:$Y$1038,22,)</f>
        <v>-0.30069930069930073</v>
      </c>
      <c r="X19" s="95">
        <f>VLOOKUP(A19,'BSE ALL CAP'!$B$4:$Y$1038,23,)</f>
        <v>4.7957371225577194E-2</v>
      </c>
      <c r="Y19" s="95">
        <f>VLOOKUP(A19,'BSE ALL CAP'!$B$4:$Y$1038,24,)</f>
        <v>0.18518518518518512</v>
      </c>
    </row>
    <row r="20" spans="1:25" ht="14.4">
      <c r="A20" s="99">
        <v>590066</v>
      </c>
      <c r="B20" s="98" t="s">
        <v>5892</v>
      </c>
      <c r="C20" s="174"/>
      <c r="D20" s="174"/>
      <c r="E20" s="101">
        <f ca="1">IFERROR(__xludf.DUMMYFUNCTION("GOOGLEFINANCE(""BOM:""&amp;A20,""PRICE"")"),151.9)</f>
        <v>151.9</v>
      </c>
      <c r="F20" s="112">
        <f ca="1">IFERROR(__xludf.DUMMYFUNCTION("GOOGLEFINANCE(""BOM:""&amp;A20,""MARKETCAP"")/10000000"),1956.4278703)</f>
        <v>1956.4278703</v>
      </c>
      <c r="G20" s="95">
        <f t="shared" ca="1" si="0"/>
        <v>2.1826990555662627E-3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4.4">
      <c r="A21" s="99">
        <v>502157</v>
      </c>
      <c r="B21" s="98" t="s">
        <v>5893</v>
      </c>
      <c r="C21" s="174"/>
      <c r="D21" s="174"/>
      <c r="E21" s="101">
        <f ca="1">IFERROR(__xludf.DUMMYFUNCTION("GOOGLEFINANCE(""BOM:""&amp;A21,""PRICE"")"),816)</f>
        <v>816</v>
      </c>
      <c r="F21" s="112">
        <f ca="1">IFERROR(__xludf.DUMMYFUNCTION("GOOGLEFINANCE(""BOM:""&amp;A21,""MARKETCAP"")/10000000"),2246.1160665)</f>
        <v>2246.1160665000002</v>
      </c>
      <c r="G21" s="95">
        <f t="shared" ca="1" si="0"/>
        <v>2.505891217083302E-3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4.4">
      <c r="A22" s="99">
        <v>526521</v>
      </c>
      <c r="B22" s="98" t="s">
        <v>5894</v>
      </c>
      <c r="C22" s="174"/>
      <c r="D22" s="174"/>
      <c r="E22" s="101">
        <f ca="1">IFERROR(__xludf.DUMMYFUNCTION("GOOGLEFINANCE(""BOM:""&amp;A22,""PRICE"")"),50.14)</f>
        <v>50.14</v>
      </c>
      <c r="F22" s="112">
        <f ca="1">IFERROR(__xludf.DUMMYFUNCTION("GOOGLEFINANCE(""BOM:""&amp;A22,""MARKETCAP"")/10000000"),1288.53)</f>
        <v>1288.53</v>
      </c>
      <c r="G22" s="95">
        <f t="shared" ca="1" si="0"/>
        <v>1.4375552795808056E-3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4.4">
      <c r="A23" s="99">
        <v>502180</v>
      </c>
      <c r="B23" s="98" t="s">
        <v>5895</v>
      </c>
      <c r="C23" s="174"/>
      <c r="D23" s="174"/>
      <c r="E23" s="101">
        <f ca="1">IFERROR(__xludf.DUMMYFUNCTION("GOOGLEFINANCE(""BOM:""&amp;A23,""PRICE"")"),66.54)</f>
        <v>66.540000000000006</v>
      </c>
      <c r="F23" s="112">
        <f ca="1">IFERROR(__xludf.DUMMYFUNCTION("GOOGLEFINANCE(""BOM:""&amp;A23,""MARKETCAP"")/10000000"),980.650895)</f>
        <v>980.65089499999999</v>
      </c>
      <c r="G23" s="95">
        <f t="shared" ca="1" si="0"/>
        <v>1.0940683348722128E-3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4.4">
      <c r="A24" s="99">
        <v>502137</v>
      </c>
      <c r="B24" s="98" t="s">
        <v>5896</v>
      </c>
      <c r="C24" s="174"/>
      <c r="D24" s="174"/>
      <c r="E24" s="101">
        <f ca="1">IFERROR(__xludf.DUMMYFUNCTION("GOOGLEFINANCE(""BOM:""&amp;A24,""PRICE"")"),614.75)</f>
        <v>614.75</v>
      </c>
      <c r="F24" s="112">
        <f ca="1">IFERROR(__xludf.DUMMYFUNCTION("GOOGLEFINANCE(""BOM:""&amp;A24,""MARKETCAP"")/10000000"),861.2504884)</f>
        <v>861.25048839999999</v>
      </c>
      <c r="G24" s="95">
        <f t="shared" ca="1" si="0"/>
        <v>9.6085864251586493E-4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502168</v>
      </c>
      <c r="B25" s="98" t="s">
        <v>5897</v>
      </c>
      <c r="C25" s="174"/>
      <c r="D25" s="174"/>
      <c r="E25" s="101">
        <f ca="1">IFERROR(__xludf.DUMMYFUNCTION("GOOGLEFINANCE(""BOM:""&amp;A25,""PRICE"")"),167.15)</f>
        <v>167.15</v>
      </c>
      <c r="F25" s="112">
        <f ca="1">IFERROR(__xludf.DUMMYFUNCTION("GOOGLEFINANCE(""BOM:""&amp;A25,""MARKETCAP"")/10000000"),760.8607909)</f>
        <v>760.86079089999998</v>
      </c>
      <c r="G25" s="95">
        <f t="shared" ca="1" si="0"/>
        <v>8.4885834787263193E-4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540061</v>
      </c>
      <c r="B26" s="98" t="s">
        <v>5898</v>
      </c>
      <c r="C26" s="174"/>
      <c r="D26" s="174"/>
      <c r="E26" s="101">
        <f ca="1">IFERROR(__xludf.DUMMYFUNCTION("GOOGLEFINANCE(""BOM:""&amp;A26,""PRICE"")"),47.15)</f>
        <v>47.15</v>
      </c>
      <c r="F26" s="112">
        <f ca="1">IFERROR(__xludf.DUMMYFUNCTION("GOOGLEFINANCE(""BOM:""&amp;A26,""MARKETCAP"")/10000000"),667.9541569)</f>
        <v>667.95415690000004</v>
      </c>
      <c r="G26" s="95">
        <f t="shared" ca="1" si="0"/>
        <v>7.4520657242713856E-4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502175</v>
      </c>
      <c r="B27" s="98" t="s">
        <v>5899</v>
      </c>
      <c r="C27" s="174"/>
      <c r="D27" s="174"/>
      <c r="E27" s="101">
        <f ca="1">IFERROR(__xludf.DUMMYFUNCTION("GOOGLEFINANCE(""BOM:""&amp;A27,""PRICE"")"),54.34)</f>
        <v>54.34</v>
      </c>
      <c r="F27" s="112">
        <f ca="1">IFERROR(__xludf.DUMMYFUNCTION("GOOGLEFINANCE(""BOM:""&amp;A27,""MARKETCAP"")/10000000"),603.7524329)</f>
        <v>603.75243290000003</v>
      </c>
      <c r="G27" s="95">
        <f t="shared" ca="1" si="0"/>
        <v>6.7357958097611324E-4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532323</v>
      </c>
      <c r="B28" s="98" t="s">
        <v>5900</v>
      </c>
      <c r="C28" s="174"/>
      <c r="D28" s="174"/>
      <c r="E28" s="101">
        <f ca="1">IFERROR(__xludf.DUMMYFUNCTION("GOOGLEFINANCE(""BOM:""&amp;A28,""PRICE"")"),16.56)</f>
        <v>16.559999999999999</v>
      </c>
      <c r="F28" s="112">
        <f ca="1">IFERROR(__xludf.DUMMYFUNCTION("GOOGLEFINANCE(""BOM:""&amp;A28,""MARKETCAP"")/10000000"),488.5199842)</f>
        <v>488.51998420000001</v>
      </c>
      <c r="G28" s="95">
        <f t="shared" ca="1" si="0"/>
        <v>5.4501989279833742E-4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509055</v>
      </c>
      <c r="B29" s="98" t="s">
        <v>5901</v>
      </c>
      <c r="C29" s="174"/>
      <c r="D29" s="174"/>
      <c r="E29" s="101">
        <f ca="1">IFERROR(__xludf.DUMMYFUNCTION("GOOGLEFINANCE(""BOM:""&amp;A29,""PRICE"")"),58.37)</f>
        <v>58.37</v>
      </c>
      <c r="F29" s="112">
        <f ca="1">IFERROR(__xludf.DUMMYFUNCTION("GOOGLEFINANCE(""BOM:""&amp;A29,""MARKETCAP"")/10000000"),503.9125576)</f>
        <v>503.91255760000001</v>
      </c>
      <c r="G29" s="95">
        <f t="shared" ca="1" si="0"/>
        <v>5.6219269836553813E-4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532141</v>
      </c>
      <c r="B30" s="98" t="s">
        <v>5902</v>
      </c>
      <c r="C30" s="174"/>
      <c r="D30" s="174"/>
      <c r="E30" s="101">
        <f ca="1">IFERROR(__xludf.DUMMYFUNCTION("GOOGLEFINANCE(""BOM:""&amp;A30,""PRICE"")"),46.4)</f>
        <v>46.4</v>
      </c>
      <c r="F30" s="112">
        <f ca="1">IFERROR(__xludf.DUMMYFUNCTION("GOOGLEFINANCE(""BOM:""&amp;A30,""MARKETCAP"")/10000000"),435.052555)</f>
        <v>435.05255499999998</v>
      </c>
      <c r="G30" s="95">
        <f t="shared" ca="1" si="0"/>
        <v>4.8536867386507785E-4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518091</v>
      </c>
      <c r="B31" s="98" t="s">
        <v>5903</v>
      </c>
      <c r="C31" s="174"/>
      <c r="D31" s="174"/>
      <c r="E31" s="101">
        <f ca="1">IFERROR(__xludf.DUMMYFUNCTION("GOOGLEFINANCE(""BOM:""&amp;A31,""PRICE"")"),103.55)</f>
        <v>103.55</v>
      </c>
      <c r="F31" s="112">
        <f ca="1">IFERROR(__xludf.DUMMYFUNCTION("GOOGLEFINANCE(""BOM:""&amp;A31,""MARKETCAP"")/10000000"),317.247408)</f>
        <v>317.24740800000001</v>
      </c>
      <c r="G31" s="95">
        <f t="shared" ca="1" si="0"/>
        <v>3.5393874128171319E-4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530977</v>
      </c>
      <c r="B32" s="98" t="s">
        <v>5904</v>
      </c>
      <c r="C32" s="174"/>
      <c r="D32" s="174"/>
      <c r="E32" s="101">
        <f ca="1">IFERROR(__xludf.DUMMYFUNCTION("GOOGLEFINANCE(""BOM:""&amp;A32,""PRICE"")"),135)</f>
        <v>135</v>
      </c>
      <c r="F32" s="112">
        <f ca="1">IFERROR(__xludf.DUMMYFUNCTION("GOOGLEFINANCE(""BOM:""&amp;A32,""MARKETCAP"")/10000000"),236.422125)</f>
        <v>236.42212499999999</v>
      </c>
      <c r="G32" s="95">
        <f t="shared" ca="1" si="0"/>
        <v>2.6376558869678095E-4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539620</v>
      </c>
      <c r="B33" s="98" t="s">
        <v>5905</v>
      </c>
      <c r="C33" s="174"/>
      <c r="D33" s="174"/>
      <c r="E33" s="101">
        <f ca="1">IFERROR(__xludf.DUMMYFUNCTION("GOOGLEFINANCE(""BOM:""&amp;A33,""PRICE"")"),15.58)</f>
        <v>15.58</v>
      </c>
      <c r="F33" s="112">
        <f ca="1">IFERROR(__xludf.DUMMYFUNCTION("GOOGLEFINANCE(""BOM:""&amp;A33,""MARKETCAP"")/10000000"),122.052)</f>
        <v>122.05200000000001</v>
      </c>
      <c r="G33" s="95">
        <f t="shared" ca="1" si="0"/>
        <v>1.3616795649569393E-4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500322</v>
      </c>
      <c r="B34" s="98" t="s">
        <v>5906</v>
      </c>
      <c r="C34" s="174"/>
      <c r="D34" s="174"/>
      <c r="E34" s="101">
        <f ca="1">IFERROR(__xludf.DUMMYFUNCTION("GOOGLEFINANCE(""BOM:""&amp;A34,""PRICE"")"),114.9)</f>
        <v>114.9</v>
      </c>
      <c r="F34" s="112">
        <f ca="1">IFERROR(__xludf.DUMMYFUNCTION("GOOGLEFINANCE(""BOM:""&amp;A34,""MARKETCAP"")/10000000"),92.1658987)</f>
        <v>92.1658987</v>
      </c>
      <c r="G34" s="95">
        <f t="shared" ca="1" si="0"/>
        <v>1.028253702075192E-4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532916</v>
      </c>
      <c r="B35" s="98" t="s">
        <v>5907</v>
      </c>
      <c r="C35" s="174"/>
      <c r="D35" s="174"/>
      <c r="E35" s="101">
        <f ca="1">IFERROR(__xludf.DUMMYFUNCTION("GOOGLEFINANCE(""BOM:""&amp;A35,""PRICE"")"),39)</f>
        <v>39</v>
      </c>
      <c r="F35" s="112">
        <f ca="1">IFERROR(__xludf.DUMMYFUNCTION("GOOGLEFINANCE(""BOM:""&amp;A35,""MARKETCAP"")/10000000"),86.002963)</f>
        <v>86.002962999999994</v>
      </c>
      <c r="G35" s="95">
        <f t="shared" ca="1" si="0"/>
        <v>9.5949658541316597E-5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500234</v>
      </c>
      <c r="B36" s="98" t="s">
        <v>5908</v>
      </c>
      <c r="C36" s="174"/>
      <c r="D36" s="174"/>
      <c r="E36" s="101">
        <f ca="1">IFERROR(__xludf.DUMMYFUNCTION("GOOGLEFINANCE(""BOM:""&amp;A36,""PRICE"")"),95.42)</f>
        <v>95.42</v>
      </c>
      <c r="F36" s="112">
        <f ca="1">IFERROR(__xludf.DUMMYFUNCTION("GOOGLEFINANCE(""BOM:""&amp;A36,""MARKETCAP"")/10000000"),73.8127793)</f>
        <v>73.812779300000003</v>
      </c>
      <c r="G36" s="95">
        <f t="shared" ca="1" si="0"/>
        <v>8.2349615905914344E-5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518053</v>
      </c>
      <c r="B37" s="98" t="s">
        <v>5909</v>
      </c>
      <c r="C37" s="174"/>
      <c r="D37" s="174"/>
      <c r="E37" s="101">
        <f ca="1">IFERROR(__xludf.DUMMYFUNCTION("GOOGLEFINANCE(""BOM:""&amp;A37,""PRICE"")"),44.88)</f>
        <v>44.88</v>
      </c>
      <c r="F37" s="112">
        <f ca="1">IFERROR(__xludf.DUMMYFUNCTION("GOOGLEFINANCE(""BOM:""&amp;A37,""MARKETCAP"")/10000000"),40.3920009)</f>
        <v>40.392000899999999</v>
      </c>
      <c r="G37" s="95">
        <f t="shared" ca="1" si="0"/>
        <v>4.5063548498387814E-5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518011</v>
      </c>
      <c r="B38" s="98" t="s">
        <v>5910</v>
      </c>
      <c r="C38" s="174"/>
      <c r="D38" s="174"/>
      <c r="E38" s="101">
        <f ca="1">IFERROR(__xludf.DUMMYFUNCTION("GOOGLEFINANCE(""BOM:""&amp;A38,""PRICE"")"),45.35)</f>
        <v>45.35</v>
      </c>
      <c r="F38" s="112">
        <f ca="1">IFERROR(__xludf.DUMMYFUNCTION("GOOGLEFINANCE(""BOM:""&amp;A38,""MARKETCAP"")/10000000"),36.355901)</f>
        <v>36.355901000000003</v>
      </c>
      <c r="G38" s="95">
        <f t="shared" ca="1" si="0"/>
        <v>4.056065239184737E-5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530265</v>
      </c>
      <c r="B39" s="98" t="s">
        <v>5911</v>
      </c>
      <c r="C39" s="174"/>
      <c r="D39" s="174"/>
      <c r="E39" s="101">
        <f ca="1">IFERROR(__xludf.DUMMYFUNCTION("GOOGLEFINANCE(""BOM:""&amp;A39,""PRICE"")"),40)</f>
        <v>40</v>
      </c>
      <c r="F39" s="112">
        <f ca="1">IFERROR(__xludf.DUMMYFUNCTION("GOOGLEFINANCE(""BOM:""&amp;A39,""MARKETCAP"")/10000000"),43.52)</f>
        <v>43.52</v>
      </c>
      <c r="G39" s="95">
        <f t="shared" ca="1" si="0"/>
        <v>4.8553317165573692E-5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531797</v>
      </c>
      <c r="B40" s="98" t="s">
        <v>5912</v>
      </c>
      <c r="C40" s="174"/>
      <c r="D40" s="174"/>
      <c r="E40" s="101">
        <f ca="1">IFERROR(__xludf.DUMMYFUNCTION("GOOGLEFINANCE(""BOM:""&amp;A40,""PRICE"")"),120.3)</f>
        <v>120.3</v>
      </c>
      <c r="F40" s="112">
        <f ca="1">IFERROR(__xludf.DUMMYFUNCTION("GOOGLEFINANCE(""BOM:""&amp;A40,""MARKETCAP"")/10000000"),34.5657998)</f>
        <v>34.565799800000001</v>
      </c>
      <c r="G40" s="95">
        <f t="shared" ca="1" si="0"/>
        <v>3.8563516561836474E-5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531444</v>
      </c>
      <c r="B41" s="98" t="s">
        <v>5913</v>
      </c>
      <c r="C41" s="174"/>
      <c r="D41" s="174"/>
      <c r="E41" s="101">
        <f ca="1">IFERROR(__xludf.DUMMYFUNCTION("GOOGLEFINANCE(""BOM:""&amp;A41,""PRICE"")"),9.31)</f>
        <v>9.31</v>
      </c>
      <c r="F41" s="112">
        <f ca="1">IFERROR(__xludf.DUMMYFUNCTION("GOOGLEFINANCE(""BOM:""&amp;A41,""MARKETCAP"")/10000000"),6.662795)</f>
        <v>6.662795</v>
      </c>
      <c r="G41" s="95">
        <f t="shared" ca="1" si="0"/>
        <v>7.4333823263832378E-6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526941</v>
      </c>
      <c r="B42" s="98" t="s">
        <v>5914</v>
      </c>
      <c r="C42" s="174"/>
      <c r="D42" s="174"/>
      <c r="E42" s="101">
        <f ca="1">IFERROR(__xludf.DUMMYFUNCTION("GOOGLEFINANCE(""BOM:""&amp;A42,""PRICE"")"),3.69)</f>
        <v>3.69</v>
      </c>
      <c r="F42" s="112"/>
      <c r="G42" s="95">
        <f t="shared" ca="1" si="0"/>
        <v>0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3.2">
      <c r="A43" s="101"/>
      <c r="B43" s="101"/>
      <c r="C43" s="101"/>
      <c r="D43" s="101"/>
      <c r="E43" s="101"/>
      <c r="F43" s="112"/>
      <c r="G43" s="95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3.2">
      <c r="A44" s="101"/>
      <c r="B44" s="101"/>
      <c r="C44" s="101"/>
      <c r="D44" s="101"/>
      <c r="E44" s="101"/>
      <c r="F44" s="112">
        <f ca="1">SUM(F2:F42)</f>
        <v>896334.2267962998</v>
      </c>
      <c r="G44" s="95">
        <f ca="1">F44/$F$44</f>
        <v>1</v>
      </c>
      <c r="H44" s="101">
        <f t="shared" ref="H44:O44" si="1">SUM(H2:H42)</f>
        <v>318471</v>
      </c>
      <c r="I44" s="101">
        <f t="shared" si="1"/>
        <v>271844</v>
      </c>
      <c r="J44" s="101">
        <f t="shared" si="1"/>
        <v>20501</v>
      </c>
      <c r="K44" s="101">
        <f t="shared" si="1"/>
        <v>15102</v>
      </c>
      <c r="L44" s="101">
        <f t="shared" si="1"/>
        <v>110325</v>
      </c>
      <c r="M44" s="101">
        <f t="shared" si="1"/>
        <v>92379</v>
      </c>
      <c r="N44" s="101">
        <f t="shared" si="1"/>
        <v>6076</v>
      </c>
      <c r="O44" s="101">
        <f t="shared" si="1"/>
        <v>7579</v>
      </c>
      <c r="P44" s="13">
        <f t="shared" ref="P44:Q44" si="2">J44/H44</f>
        <v>6.4373208235600735E-2</v>
      </c>
      <c r="Q44" s="13">
        <f t="shared" si="2"/>
        <v>5.5553920630950104E-2</v>
      </c>
      <c r="R44" s="13">
        <f>P44-Q44</f>
        <v>8.8192876046506302E-3</v>
      </c>
      <c r="S44" s="13">
        <f t="shared" ref="S44:T44" si="3">N44/L44</f>
        <v>5.5073646045773847E-2</v>
      </c>
      <c r="T44" s="13">
        <f t="shared" si="3"/>
        <v>8.2042455536431441E-2</v>
      </c>
      <c r="U44" s="13">
        <f>S44-T44</f>
        <v>-2.6968809490657594E-2</v>
      </c>
      <c r="V44" s="13">
        <f>(H44/I44)-1</f>
        <v>0.17152116655140448</v>
      </c>
      <c r="W44" s="13">
        <f>(J44/K44)-1</f>
        <v>0.35750231757383122</v>
      </c>
      <c r="X44" s="13">
        <f>(L44/M44)-1</f>
        <v>0.19426493034131131</v>
      </c>
      <c r="Y44" s="13">
        <f>(N44/O44)-1</f>
        <v>-0.19831112283942476</v>
      </c>
    </row>
    <row r="45" spans="1:25" ht="13.2">
      <c r="F45" s="94"/>
    </row>
    <row r="46" spans="1:25" ht="13.2">
      <c r="F46" s="94"/>
    </row>
    <row r="47" spans="1:25" ht="13.2">
      <c r="F47" s="94"/>
    </row>
    <row r="48" spans="1:25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42" xr:uid="{00000000-0009-0000-0000-0000C0000000}"/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8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4.4">
      <c r="A2" s="99">
        <v>500233</v>
      </c>
      <c r="B2" s="98" t="s">
        <v>116</v>
      </c>
      <c r="C2" s="174" t="str">
        <f>VLOOKUP(A2,'BSE ALL CAP'!$B$4:$Y$1034,2,)</f>
        <v>Consumer Discretionary</v>
      </c>
      <c r="D2" s="174" t="str">
        <f>VLOOKUP(A2,'BSE ALL CAP'!$B$4:$Y$1034,3,)</f>
        <v>Ceramics</v>
      </c>
      <c r="E2" s="101">
        <f ca="1">IFERROR(__xludf.DUMMYFUNCTION("GOOGLEFINANCE(""BOM:""&amp;A2,""PRICE"")"),989.25)</f>
        <v>989.25</v>
      </c>
      <c r="F2" s="112">
        <f ca="1">IFERROR(__xludf.DUMMYFUNCTION("GOOGLEFINANCE(""BOM:""&amp;A2,""MARKETCAP"")/10000000"),15785.3534325)</f>
        <v>15785.3534325</v>
      </c>
      <c r="G2" s="95">
        <f t="shared" ref="G2:G11" ca="1" si="0">F2/$F$13</f>
        <v>0.7217322430403198</v>
      </c>
      <c r="H2" s="101">
        <f>VLOOKUP(A2,'BSE ALL CAP'!$B$4:$Y$1038,7,)</f>
        <v>3139</v>
      </c>
      <c r="I2" s="101">
        <f>VLOOKUP(A2,'BSE ALL CAP'!$B$4:$Y$1038,8,)</f>
        <v>3114</v>
      </c>
      <c r="J2" s="101">
        <f>VLOOKUP(A2,'BSE ALL CAP'!$B$4:$Y$1038,9,)</f>
        <v>313</v>
      </c>
      <c r="K2" s="101">
        <f>VLOOKUP(A2,'BSE ALL CAP'!$B$4:$Y$1038,10,)</f>
        <v>259</v>
      </c>
      <c r="L2" s="101">
        <f>VLOOKUP(A2,'BSE ALL CAP'!$B$4:$Y$1038,11,)</f>
        <v>1053</v>
      </c>
      <c r="M2" s="101">
        <f>VLOOKUP(A2,'BSE ALL CAP'!$B$4:$Y$1038,12,)</f>
        <v>1050</v>
      </c>
      <c r="N2" s="101">
        <f>VLOOKUP(A2,'BSE ALL CAP'!$B$4:$Y$1038,13,)</f>
        <v>93</v>
      </c>
      <c r="O2" s="101">
        <f>VLOOKUP(A2,'BSE ALL CAP'!$B$4:$Y$1038,14,)</f>
        <v>80</v>
      </c>
      <c r="P2" s="95">
        <f>VLOOKUP(A2,'BSE ALL CAP'!$B$4:$Y$1038,15,)</f>
        <v>9.9713284485504941E-2</v>
      </c>
      <c r="Q2" s="95">
        <f>VLOOKUP(A2,'BSE ALL CAP'!$B$4:$Y$1038,16,)</f>
        <v>8.3172768143866413E-2</v>
      </c>
      <c r="R2" s="95">
        <f>VLOOKUP(A2,'BSE ALL CAP'!$B$4:$Y$1038,17,)</f>
        <v>1.6540516341638528E-2</v>
      </c>
      <c r="S2" s="95">
        <f>VLOOKUP(A2,'BSE ALL CAP'!$B$4:$Y$1038,18,)</f>
        <v>8.8319088319088315E-2</v>
      </c>
      <c r="T2" s="95">
        <f>VLOOKUP(A2,'BSE ALL CAP'!$B$4:$Y$1038,19,)</f>
        <v>7.6190476190476197E-2</v>
      </c>
      <c r="U2" s="95">
        <f>VLOOKUP(A2,'BSE ALL CAP'!$B$4:$Y$1038,20,)</f>
        <v>1.2128612128612118E-2</v>
      </c>
      <c r="V2" s="95">
        <f>VLOOKUP(A2,'BSE ALL CAP'!$B$4:$Y$1038,21,)</f>
        <v>8.0282594733462886E-3</v>
      </c>
      <c r="W2" s="95">
        <f>VLOOKUP(A2,'BSE ALL CAP'!$B$4:$Y$1038,22,)</f>
        <v>0.20849420849420852</v>
      </c>
      <c r="X2" s="95">
        <f>VLOOKUP(A2,'BSE ALL CAP'!$B$4:$Y$1038,23,)</f>
        <v>2.8571428571428914E-3</v>
      </c>
      <c r="Y2" s="95">
        <f>VLOOKUP(A2,'BSE ALL CAP'!$B$4:$Y$1038,24,)</f>
        <v>0.16250000000000009</v>
      </c>
    </row>
    <row r="3" spans="1:25" ht="14.4">
      <c r="A3" s="99">
        <v>532722</v>
      </c>
      <c r="B3" s="98" t="s">
        <v>5915</v>
      </c>
      <c r="C3" s="174" t="str">
        <f>VLOOKUP(A3,'BSE ALL CAP'!$B$4:$Y$1034,2,)</f>
        <v>Consumer Discretionary</v>
      </c>
      <c r="D3" s="174" t="str">
        <f>VLOOKUP(A3,'BSE ALL CAP'!$B$4:$Y$1034,3,)</f>
        <v>Ceramics</v>
      </c>
      <c r="E3" s="101">
        <f ca="1">IFERROR(__xludf.DUMMYFUNCTION("GOOGLEFINANCE(""BOM:""&amp;A3,""PRICE"")"),87.76)</f>
        <v>87.76</v>
      </c>
      <c r="F3" s="112">
        <f ca="1">IFERROR(__xludf.DUMMYFUNCTION("GOOGLEFINANCE(""BOM:""&amp;A3,""MARKETCAP"")/10000000"),2006.5988457)</f>
        <v>2006.5988457000001</v>
      </c>
      <c r="G3" s="95">
        <f t="shared" ca="1" si="0"/>
        <v>9.1744989555157211E-2</v>
      </c>
      <c r="H3" s="101">
        <f>VLOOKUP(A3,'BSE ALL CAP'!$B$4:$Y$1038,7,)</f>
        <v>389</v>
      </c>
      <c r="I3" s="101">
        <f>VLOOKUP(A3,'BSE ALL CAP'!$B$4:$Y$1038,8,)</f>
        <v>220</v>
      </c>
      <c r="J3" s="101">
        <f>VLOOKUP(A3,'BSE ALL CAP'!$B$4:$Y$1038,9,)</f>
        <v>36</v>
      </c>
      <c r="K3" s="101">
        <f>VLOOKUP(A3,'BSE ALL CAP'!$B$4:$Y$1038,10,)</f>
        <v>-738</v>
      </c>
      <c r="L3" s="101">
        <f>VLOOKUP(A3,'BSE ALL CAP'!$B$4:$Y$1038,11,)</f>
        <v>130</v>
      </c>
      <c r="M3" s="101">
        <f>VLOOKUP(A3,'BSE ALL CAP'!$B$4:$Y$1038,12,)</f>
        <v>84</v>
      </c>
      <c r="N3" s="101">
        <f>VLOOKUP(A3,'BSE ALL CAP'!$B$4:$Y$1038,13,)</f>
        <v>-11</v>
      </c>
      <c r="O3" s="101">
        <f>VLOOKUP(A3,'BSE ALL CAP'!$B$4:$Y$1038,14,)</f>
        <v>-660</v>
      </c>
      <c r="P3" s="95">
        <f>VLOOKUP(A3,'BSE ALL CAP'!$B$4:$Y$1038,15,)</f>
        <v>9.2544987146529561E-2</v>
      </c>
      <c r="Q3" s="95">
        <f>VLOOKUP(A3,'BSE ALL CAP'!$B$4:$Y$1038,16,)</f>
        <v>-3.3545454545454545</v>
      </c>
      <c r="R3" s="95">
        <f>VLOOKUP(A3,'BSE ALL CAP'!$B$4:$Y$1038,17,)</f>
        <v>3.4470904416919841</v>
      </c>
      <c r="S3" s="95">
        <f>VLOOKUP(A3,'BSE ALL CAP'!$B$4:$Y$1038,18,)</f>
        <v>-8.461538461538462E-2</v>
      </c>
      <c r="T3" s="95">
        <f>VLOOKUP(A3,'BSE ALL CAP'!$B$4:$Y$1038,19,)</f>
        <v>-7.8571428571428568</v>
      </c>
      <c r="U3" s="95">
        <f>VLOOKUP(A3,'BSE ALL CAP'!$B$4:$Y$1038,20,)</f>
        <v>7.7725274725274724</v>
      </c>
      <c r="V3" s="95">
        <f>VLOOKUP(A3,'BSE ALL CAP'!$B$4:$Y$1038,21,)</f>
        <v>0.76818181818181808</v>
      </c>
      <c r="W3" s="95">
        <f>VLOOKUP(A3,'BSE ALL CAP'!$B$4:$Y$1038,22,)</f>
        <v>-1.0487804878048781</v>
      </c>
      <c r="X3" s="95">
        <f>VLOOKUP(A3,'BSE ALL CAP'!$B$4:$Y$1038,23,)</f>
        <v>0.54761904761904767</v>
      </c>
      <c r="Y3" s="95">
        <f>VLOOKUP(A3,'BSE ALL CAP'!$B$4:$Y$1038,24,)</f>
        <v>-0.98333333333333328</v>
      </c>
    </row>
    <row r="4" spans="1:25" ht="14.4">
      <c r="A4" s="99">
        <v>531548</v>
      </c>
      <c r="B4" s="98" t="s">
        <v>5916</v>
      </c>
      <c r="C4" s="174" t="e">
        <f>VLOOKUP(A4,'BSE ALL CAP'!$B$4:$Y$1034,2,)</f>
        <v>#N/A</v>
      </c>
      <c r="D4" s="174" t="e">
        <f>VLOOKUP(A4,'BSE ALL CAP'!$B$4:$Y$1034,3,)</f>
        <v>#N/A</v>
      </c>
      <c r="E4" s="101">
        <f ca="1">IFERROR(__xludf.DUMMYFUNCTION("GOOGLEFINANCE(""BOM:""&amp;A4,""PRICE"")"),390.65)</f>
        <v>390.65</v>
      </c>
      <c r="F4" s="112">
        <f ca="1">IFERROR(__xludf.DUMMYFUNCTION("GOOGLEFINANCE(""BOM:""&amp;A4,""MARKETCAP"")/10000000"),1615.289153)</f>
        <v>1615.2891529999999</v>
      </c>
      <c r="G4" s="95">
        <f t="shared" ca="1" si="0"/>
        <v>7.3853668753031773E-2</v>
      </c>
      <c r="H4" s="101"/>
      <c r="I4" s="101"/>
      <c r="J4" s="101"/>
      <c r="K4" s="101"/>
      <c r="L4" s="101"/>
      <c r="M4" s="101"/>
      <c r="N4" s="101"/>
      <c r="O4" s="101"/>
      <c r="P4" s="101" t="e">
        <f>VLOOKUP(A4,'BSE ALL CAP'!$B$4:$Y$1038,15,)</f>
        <v>#N/A</v>
      </c>
      <c r="Q4" s="101" t="e">
        <f>VLOOKUP(A4,'BSE ALL CAP'!$B$4:$Y$1038,16,)</f>
        <v>#N/A</v>
      </c>
      <c r="R4" s="101" t="e">
        <f>VLOOKUP(A4,'BSE ALL CAP'!$B$4:$Y$1038,17,)</f>
        <v>#N/A</v>
      </c>
      <c r="S4" s="101" t="e">
        <f>VLOOKUP(A4,'BSE ALL CAP'!$B$4:$Y$1038,18,)</f>
        <v>#N/A</v>
      </c>
      <c r="T4" s="101" t="e">
        <f>VLOOKUP(A4,'BSE ALL CAP'!$B$4:$Y$1038,19,)</f>
        <v>#N/A</v>
      </c>
      <c r="U4" s="101" t="e">
        <f>VLOOKUP(A4,'BSE ALL CAP'!$B$4:$Y$1038,20,)</f>
        <v>#N/A</v>
      </c>
      <c r="V4" s="101" t="e">
        <f>VLOOKUP(A4,'BSE ALL CAP'!$B$4:$Y$1038,21,)</f>
        <v>#N/A</v>
      </c>
      <c r="W4" s="101" t="e">
        <f>VLOOKUP(A4,'BSE ALL CAP'!$B$4:$Y$1038,22,)</f>
        <v>#N/A</v>
      </c>
      <c r="X4" s="101" t="e">
        <f>VLOOKUP(A4,'BSE ALL CAP'!$B$4:$Y$1038,23,)</f>
        <v>#N/A</v>
      </c>
      <c r="Y4" s="101" t="e">
        <f>VLOOKUP(A4,'BSE ALL CAP'!$B$4:$Y$1038,24,)</f>
        <v>#N/A</v>
      </c>
    </row>
    <row r="5" spans="1:25" ht="14.4">
      <c r="A5" s="99">
        <v>532888</v>
      </c>
      <c r="B5" s="98" t="s">
        <v>5917</v>
      </c>
      <c r="C5" s="174"/>
      <c r="D5" s="174"/>
      <c r="E5" s="101">
        <f ca="1">IFERROR(__xludf.DUMMYFUNCTION("GOOGLEFINANCE(""BOM:""&amp;A5,""PRICE"")"),57.96)</f>
        <v>57.96</v>
      </c>
      <c r="F5" s="112">
        <f ca="1">IFERROR(__xludf.DUMMYFUNCTION("GOOGLEFINANCE(""BOM:""&amp;A5,""MARKETCAP"")/10000000"),1342.7681993)</f>
        <v>1342.7681993000001</v>
      </c>
      <c r="G5" s="95">
        <f t="shared" ca="1" si="0"/>
        <v>6.1393563882371452E-2</v>
      </c>
      <c r="H5" s="101"/>
      <c r="I5" s="101"/>
      <c r="J5" s="101"/>
      <c r="K5" s="101"/>
      <c r="L5" s="101"/>
      <c r="M5" s="101"/>
      <c r="N5" s="101"/>
      <c r="O5" s="101"/>
      <c r="P5" s="101" t="e">
        <f>VLOOKUP(A5,'BSE ALL CAP'!$B$4:$Y$1038,15,)</f>
        <v>#N/A</v>
      </c>
      <c r="Q5" s="101" t="e">
        <f>VLOOKUP(A5,'BSE ALL CAP'!$B$4:$Y$1038,16,)</f>
        <v>#N/A</v>
      </c>
      <c r="R5" s="101" t="e">
        <f>VLOOKUP(A5,'BSE ALL CAP'!$B$4:$Y$1038,17,)</f>
        <v>#N/A</v>
      </c>
      <c r="S5" s="101" t="e">
        <f>VLOOKUP(A5,'BSE ALL CAP'!$B$4:$Y$1038,18,)</f>
        <v>#N/A</v>
      </c>
      <c r="T5" s="101" t="e">
        <f>VLOOKUP(A5,'BSE ALL CAP'!$B$4:$Y$1038,19,)</f>
        <v>#N/A</v>
      </c>
      <c r="U5" s="101" t="e">
        <f>VLOOKUP(A5,'BSE ALL CAP'!$B$4:$Y$1038,20,)</f>
        <v>#N/A</v>
      </c>
      <c r="V5" s="101" t="e">
        <f>VLOOKUP(A5,'BSE ALL CAP'!$B$4:$Y$1038,21,)</f>
        <v>#N/A</v>
      </c>
      <c r="W5" s="101" t="e">
        <f>VLOOKUP(A5,'BSE ALL CAP'!$B$4:$Y$1038,22,)</f>
        <v>#N/A</v>
      </c>
      <c r="X5" s="101" t="e">
        <f>VLOOKUP(A5,'BSE ALL CAP'!$B$4:$Y$1038,23,)</f>
        <v>#N/A</v>
      </c>
      <c r="Y5" s="101" t="e">
        <f>VLOOKUP(A5,'BSE ALL CAP'!$B$4:$Y$1038,24,)</f>
        <v>#N/A</v>
      </c>
    </row>
    <row r="6" spans="1:25" ht="14.4">
      <c r="A6" s="99">
        <v>530365</v>
      </c>
      <c r="B6" s="98" t="s">
        <v>5918</v>
      </c>
      <c r="C6" s="174"/>
      <c r="D6" s="174"/>
      <c r="E6" s="101">
        <f ca="1">IFERROR(__xludf.DUMMYFUNCTION("GOOGLEFINANCE(""BOM:""&amp;A6,""PRICE"")"),260.75)</f>
        <v>260.75</v>
      </c>
      <c r="F6" s="112">
        <f ca="1">IFERROR(__xludf.DUMMYFUNCTION("GOOGLEFINANCE(""BOM:""&amp;A6,""MARKETCAP"")/10000000"),386.2969511)</f>
        <v>386.2969511</v>
      </c>
      <c r="G6" s="95">
        <f t="shared" ca="1" si="0"/>
        <v>1.7662130036507163E-2</v>
      </c>
      <c r="H6" s="101"/>
      <c r="I6" s="101"/>
      <c r="J6" s="101"/>
      <c r="K6" s="101"/>
      <c r="L6" s="101"/>
      <c r="M6" s="101"/>
      <c r="N6" s="101"/>
      <c r="O6" s="101"/>
      <c r="P6" s="101" t="e">
        <f>VLOOKUP(A6,'BSE ALL CAP'!$B$4:$Y$1038,15,)</f>
        <v>#N/A</v>
      </c>
      <c r="Q6" s="101" t="e">
        <f>VLOOKUP(A6,'BSE ALL CAP'!$B$4:$Y$1038,16,)</f>
        <v>#N/A</v>
      </c>
      <c r="R6" s="101" t="e">
        <f>VLOOKUP(A6,'BSE ALL CAP'!$B$4:$Y$1038,17,)</f>
        <v>#N/A</v>
      </c>
      <c r="S6" s="101" t="e">
        <f>VLOOKUP(A6,'BSE ALL CAP'!$B$4:$Y$1038,18,)</f>
        <v>#N/A</v>
      </c>
      <c r="T6" s="101" t="e">
        <f>VLOOKUP(A6,'BSE ALL CAP'!$B$4:$Y$1038,19,)</f>
        <v>#N/A</v>
      </c>
      <c r="U6" s="101" t="e">
        <f>VLOOKUP(A6,'BSE ALL CAP'!$B$4:$Y$1038,20,)</f>
        <v>#N/A</v>
      </c>
      <c r="V6" s="101" t="e">
        <f>VLOOKUP(A6,'BSE ALL CAP'!$B$4:$Y$1038,21,)</f>
        <v>#N/A</v>
      </c>
      <c r="W6" s="101" t="e">
        <f>VLOOKUP(A6,'BSE ALL CAP'!$B$4:$Y$1038,22,)</f>
        <v>#N/A</v>
      </c>
      <c r="X6" s="101" t="e">
        <f>VLOOKUP(A6,'BSE ALL CAP'!$B$4:$Y$1038,23,)</f>
        <v>#N/A</v>
      </c>
      <c r="Y6" s="101" t="e">
        <f>VLOOKUP(A6,'BSE ALL CAP'!$B$4:$Y$1038,24,)</f>
        <v>#N/A</v>
      </c>
    </row>
    <row r="7" spans="1:25" ht="14.4">
      <c r="A7" s="99">
        <v>543327</v>
      </c>
      <c r="B7" s="98" t="s">
        <v>5919</v>
      </c>
      <c r="C7" s="174"/>
      <c r="D7" s="174"/>
      <c r="E7" s="101">
        <f ca="1">IFERROR(__xludf.DUMMYFUNCTION("GOOGLEFINANCE(""BOM:""&amp;A7,""PRICE"")"),6.42)</f>
        <v>6.42</v>
      </c>
      <c r="F7" s="112">
        <f ca="1">IFERROR(__xludf.DUMMYFUNCTION("GOOGLEFINANCE(""BOM:""&amp;A7,""MARKETCAP"")/10000000"),288.1324933)</f>
        <v>288.13249330000002</v>
      </c>
      <c r="G7" s="95">
        <f t="shared" ca="1" si="0"/>
        <v>1.3173890060266721E-2</v>
      </c>
      <c r="H7" s="101"/>
      <c r="I7" s="101"/>
      <c r="J7" s="101"/>
      <c r="K7" s="101"/>
      <c r="L7" s="101"/>
      <c r="M7" s="101"/>
      <c r="N7" s="101"/>
      <c r="O7" s="101"/>
      <c r="P7" s="101" t="e">
        <f>VLOOKUP(A7,'BSE ALL CAP'!$B$4:$Y$1038,15,)</f>
        <v>#N/A</v>
      </c>
      <c r="Q7" s="101" t="e">
        <f>VLOOKUP(A7,'BSE ALL CAP'!$B$4:$Y$1038,16,)</f>
        <v>#N/A</v>
      </c>
      <c r="R7" s="101" t="e">
        <f>VLOOKUP(A7,'BSE ALL CAP'!$B$4:$Y$1038,17,)</f>
        <v>#N/A</v>
      </c>
      <c r="S7" s="101" t="e">
        <f>VLOOKUP(A7,'BSE ALL CAP'!$B$4:$Y$1038,18,)</f>
        <v>#N/A</v>
      </c>
      <c r="T7" s="101" t="e">
        <f>VLOOKUP(A7,'BSE ALL CAP'!$B$4:$Y$1038,19,)</f>
        <v>#N/A</v>
      </c>
      <c r="U7" s="101" t="e">
        <f>VLOOKUP(A7,'BSE ALL CAP'!$B$4:$Y$1038,20,)</f>
        <v>#N/A</v>
      </c>
      <c r="V7" s="101" t="e">
        <f>VLOOKUP(A7,'BSE ALL CAP'!$B$4:$Y$1038,21,)</f>
        <v>#N/A</v>
      </c>
      <c r="W7" s="101" t="e">
        <f>VLOOKUP(A7,'BSE ALL CAP'!$B$4:$Y$1038,22,)</f>
        <v>#N/A</v>
      </c>
      <c r="X7" s="101" t="e">
        <f>VLOOKUP(A7,'BSE ALL CAP'!$B$4:$Y$1038,23,)</f>
        <v>#N/A</v>
      </c>
      <c r="Y7" s="101" t="e">
        <f>VLOOKUP(A7,'BSE ALL CAP'!$B$4:$Y$1038,24,)</f>
        <v>#N/A</v>
      </c>
    </row>
    <row r="8" spans="1:25" ht="14.4">
      <c r="A8" s="99">
        <v>515037</v>
      </c>
      <c r="B8" s="98" t="s">
        <v>5920</v>
      </c>
      <c r="C8" s="174"/>
      <c r="D8" s="174"/>
      <c r="E8" s="101">
        <f ca="1">IFERROR(__xludf.DUMMYFUNCTION("GOOGLEFINANCE(""BOM:""&amp;A8,""PRICE"")"),27.6)</f>
        <v>27.6</v>
      </c>
      <c r="F8" s="112">
        <f ca="1">IFERROR(__xludf.DUMMYFUNCTION("GOOGLEFINANCE(""BOM:""&amp;A8,""MARKETCAP"")/10000000"),168.6185514)</f>
        <v>168.6185514</v>
      </c>
      <c r="G8" s="95">
        <f t="shared" ca="1" si="0"/>
        <v>7.7095166630588175E-3</v>
      </c>
      <c r="H8" s="101"/>
      <c r="I8" s="101"/>
      <c r="J8" s="101"/>
      <c r="K8" s="101"/>
      <c r="L8" s="101"/>
      <c r="M8" s="101"/>
      <c r="N8" s="101"/>
      <c r="O8" s="101"/>
      <c r="P8" s="101" t="e">
        <f>VLOOKUP(A8,'BSE ALL CAP'!$B$4:$Y$1038,15,)</f>
        <v>#N/A</v>
      </c>
      <c r="Q8" s="101" t="e">
        <f>VLOOKUP(A8,'BSE ALL CAP'!$B$4:$Y$1038,16,)</f>
        <v>#N/A</v>
      </c>
      <c r="R8" s="101" t="e">
        <f>VLOOKUP(A8,'BSE ALL CAP'!$B$4:$Y$1038,17,)</f>
        <v>#N/A</v>
      </c>
      <c r="S8" s="101" t="e">
        <f>VLOOKUP(A8,'BSE ALL CAP'!$B$4:$Y$1038,18,)</f>
        <v>#N/A</v>
      </c>
      <c r="T8" s="101" t="e">
        <f>VLOOKUP(A8,'BSE ALL CAP'!$B$4:$Y$1038,19,)</f>
        <v>#N/A</v>
      </c>
      <c r="U8" s="101" t="e">
        <f>VLOOKUP(A8,'BSE ALL CAP'!$B$4:$Y$1038,20,)</f>
        <v>#N/A</v>
      </c>
      <c r="V8" s="101" t="e">
        <f>VLOOKUP(A8,'BSE ALL CAP'!$B$4:$Y$1038,21,)</f>
        <v>#N/A</v>
      </c>
      <c r="W8" s="101" t="e">
        <f>VLOOKUP(A8,'BSE ALL CAP'!$B$4:$Y$1038,22,)</f>
        <v>#N/A</v>
      </c>
      <c r="X8" s="101" t="e">
        <f>VLOOKUP(A8,'BSE ALL CAP'!$B$4:$Y$1038,23,)</f>
        <v>#N/A</v>
      </c>
      <c r="Y8" s="101" t="e">
        <f>VLOOKUP(A8,'BSE ALL CAP'!$B$4:$Y$1038,24,)</f>
        <v>#N/A</v>
      </c>
    </row>
    <row r="9" spans="1:25" ht="14.4">
      <c r="A9" s="99">
        <v>544073</v>
      </c>
      <c r="B9" s="98" t="s">
        <v>5921</v>
      </c>
      <c r="C9" s="174"/>
      <c r="D9" s="174"/>
      <c r="E9" s="101">
        <f ca="1">IFERROR(__xludf.DUMMYFUNCTION("GOOGLEFINANCE(""BOM:""&amp;A9,""PRICE"")"),75.5)</f>
        <v>75.5</v>
      </c>
      <c r="F9" s="112">
        <f ca="1">IFERROR(__xludf.DUMMYFUNCTION("GOOGLEFINANCE(""BOM:""&amp;A9,""MARKETCAP"")/10000000"),103.4877745)</f>
        <v>103.4877745</v>
      </c>
      <c r="G9" s="95">
        <f t="shared" ca="1" si="0"/>
        <v>4.7316307446976643E-3</v>
      </c>
      <c r="H9" s="101"/>
      <c r="I9" s="101"/>
      <c r="J9" s="101"/>
      <c r="K9" s="101"/>
      <c r="L9" s="101"/>
      <c r="M9" s="101"/>
      <c r="N9" s="101"/>
      <c r="O9" s="101"/>
      <c r="P9" s="101" t="e">
        <f>VLOOKUP(A9,'BSE ALL CAP'!$B$4:$Y$1038,15,)</f>
        <v>#N/A</v>
      </c>
      <c r="Q9" s="101" t="e">
        <f>VLOOKUP(A9,'BSE ALL CAP'!$B$4:$Y$1038,16,)</f>
        <v>#N/A</v>
      </c>
      <c r="R9" s="101" t="e">
        <f>VLOOKUP(A9,'BSE ALL CAP'!$B$4:$Y$1038,17,)</f>
        <v>#N/A</v>
      </c>
      <c r="S9" s="101" t="e">
        <f>VLOOKUP(A9,'BSE ALL CAP'!$B$4:$Y$1038,18,)</f>
        <v>#N/A</v>
      </c>
      <c r="T9" s="101" t="e">
        <f>VLOOKUP(A9,'BSE ALL CAP'!$B$4:$Y$1038,19,)</f>
        <v>#N/A</v>
      </c>
      <c r="U9" s="101" t="e">
        <f>VLOOKUP(A9,'BSE ALL CAP'!$B$4:$Y$1038,20,)</f>
        <v>#N/A</v>
      </c>
      <c r="V9" s="101" t="e">
        <f>VLOOKUP(A9,'BSE ALL CAP'!$B$4:$Y$1038,21,)</f>
        <v>#N/A</v>
      </c>
      <c r="W9" s="101" t="e">
        <f>VLOOKUP(A9,'BSE ALL CAP'!$B$4:$Y$1038,22,)</f>
        <v>#N/A</v>
      </c>
      <c r="X9" s="101" t="e">
        <f>VLOOKUP(A9,'BSE ALL CAP'!$B$4:$Y$1038,23,)</f>
        <v>#N/A</v>
      </c>
      <c r="Y9" s="101" t="e">
        <f>VLOOKUP(A9,'BSE ALL CAP'!$B$4:$Y$1038,24,)</f>
        <v>#N/A</v>
      </c>
    </row>
    <row r="10" spans="1:25" ht="14.4">
      <c r="A10" s="99">
        <v>515018</v>
      </c>
      <c r="B10" s="98" t="s">
        <v>5922</v>
      </c>
      <c r="C10" s="174"/>
      <c r="D10" s="174"/>
      <c r="E10" s="101">
        <f ca="1">IFERROR(__xludf.DUMMYFUNCTION("GOOGLEFINANCE(""BOM:""&amp;A10,""PRICE"")"),45.75)</f>
        <v>45.75</v>
      </c>
      <c r="F10" s="112">
        <f ca="1">IFERROR(__xludf.DUMMYFUNCTION("GOOGLEFINANCE(""BOM:""&amp;A10,""MARKETCAP"")/10000000"),111.054636)</f>
        <v>111.054636</v>
      </c>
      <c r="G10" s="95">
        <f t="shared" ca="1" si="0"/>
        <v>5.0776000602738638E-3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4.4">
      <c r="A11" s="99">
        <v>515085</v>
      </c>
      <c r="B11" s="98" t="s">
        <v>5923</v>
      </c>
      <c r="C11" s="174"/>
      <c r="D11" s="174"/>
      <c r="E11" s="101">
        <f ca="1">IFERROR(__xludf.DUMMYFUNCTION("GOOGLEFINANCE(""BOM:""&amp;A11,""PRICE"")"),6.5)</f>
        <v>6.5</v>
      </c>
      <c r="F11" s="112">
        <f ca="1">IFERROR(__xludf.DUMMYFUNCTION("GOOGLEFINANCE(""BOM:""&amp;A11,""MARKETCAP"")/10000000"),63.881506)</f>
        <v>63.881506000000002</v>
      </c>
      <c r="G11" s="95">
        <f t="shared" ca="1" si="0"/>
        <v>2.9207672043154074E-3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3.2">
      <c r="A12" s="101"/>
      <c r="B12" s="101"/>
      <c r="C12" s="101"/>
      <c r="D12" s="101"/>
      <c r="E12" s="101"/>
      <c r="F12" s="112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3.2">
      <c r="A13" s="101"/>
      <c r="B13" s="101"/>
      <c r="C13" s="101"/>
      <c r="D13" s="101"/>
      <c r="E13" s="101"/>
      <c r="F13" s="112">
        <f ca="1">SUM(F1:F11)</f>
        <v>21871.481542800004</v>
      </c>
      <c r="G13" s="95">
        <f ca="1">F13/$F$13</f>
        <v>1</v>
      </c>
      <c r="H13" s="101">
        <f t="shared" ref="H13:O13" si="1">SUM(H2:H11)</f>
        <v>3528</v>
      </c>
      <c r="I13" s="101">
        <f t="shared" si="1"/>
        <v>3334</v>
      </c>
      <c r="J13" s="101">
        <f t="shared" si="1"/>
        <v>349</v>
      </c>
      <c r="K13" s="101">
        <f t="shared" si="1"/>
        <v>-479</v>
      </c>
      <c r="L13" s="101">
        <f t="shared" si="1"/>
        <v>1183</v>
      </c>
      <c r="M13" s="101">
        <f t="shared" si="1"/>
        <v>1134</v>
      </c>
      <c r="N13" s="101">
        <f t="shared" si="1"/>
        <v>82</v>
      </c>
      <c r="O13" s="101">
        <f t="shared" si="1"/>
        <v>-580</v>
      </c>
      <c r="P13" s="13">
        <f t="shared" ref="P13:Q13" si="2">J13/H13</f>
        <v>9.8922902494331069E-2</v>
      </c>
      <c r="Q13" s="13">
        <f t="shared" si="2"/>
        <v>-0.14367126574685063</v>
      </c>
      <c r="R13" s="13">
        <f>P13-Q13</f>
        <v>0.24259416824118168</v>
      </c>
      <c r="S13" s="13">
        <f t="shared" ref="S13:T13" si="3">N13/L13</f>
        <v>6.9315300084530851E-2</v>
      </c>
      <c r="T13" s="13">
        <f t="shared" si="3"/>
        <v>-0.5114638447971781</v>
      </c>
      <c r="U13" s="13">
        <f>S13-T13</f>
        <v>0.58077914488170901</v>
      </c>
      <c r="V13" s="13">
        <f>(H13/I13)-1</f>
        <v>5.8188362327534549E-2</v>
      </c>
      <c r="W13" s="13">
        <f>(J13/K13)-1</f>
        <v>-1.7286012526096033</v>
      </c>
      <c r="X13" s="13">
        <f>(L13/M13)-1</f>
        <v>4.3209876543209846E-2</v>
      </c>
      <c r="Y13" s="13">
        <f>(N13/O13)-1</f>
        <v>-1.1413793103448275</v>
      </c>
    </row>
    <row r="14" spans="1:25" ht="13.2">
      <c r="F14" s="94"/>
    </row>
    <row r="15" spans="1:25" ht="13.2">
      <c r="F15" s="94"/>
    </row>
    <row r="16" spans="1:25" ht="13.2">
      <c r="F16" s="94"/>
    </row>
    <row r="17" spans="6:6" ht="13.2">
      <c r="F17" s="94"/>
    </row>
    <row r="18" spans="6:6" ht="13.2">
      <c r="F18" s="94"/>
    </row>
    <row r="19" spans="6:6" ht="13.2">
      <c r="F19" s="94"/>
    </row>
    <row r="20" spans="6:6" ht="13.2">
      <c r="F20" s="94"/>
    </row>
    <row r="21" spans="6:6" ht="13.2">
      <c r="F21" s="94"/>
    </row>
    <row r="22" spans="6:6" ht="13.2">
      <c r="F22" s="94"/>
    </row>
    <row r="23" spans="6:6" ht="13.2">
      <c r="F23" s="94"/>
    </row>
    <row r="24" spans="6:6" ht="13.2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1" xr:uid="{00000000-0009-0000-0000-0000C1000000}"/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8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4.4">
      <c r="A2" s="99">
        <v>500163</v>
      </c>
      <c r="B2" s="98" t="s">
        <v>5924</v>
      </c>
      <c r="C2" s="174" t="str">
        <f>VLOOKUP(A2,'BSE ALL CAP'!$B$4:$Y$1034,2,)</f>
        <v>Fast Moving Consumer Goods</v>
      </c>
      <c r="D2" s="174" t="str">
        <f>VLOOKUP(A2,'BSE ALL CAP'!$B$4:$Y$1034,3,)</f>
        <v>Cigarettes &amp; Tobacco Products</v>
      </c>
      <c r="E2" s="101">
        <f ca="1">IFERROR(__xludf.DUMMYFUNCTION("GOOGLEFINANCE(""BOM:""&amp;A2,""PRICE"")"),1921)</f>
        <v>1921</v>
      </c>
      <c r="F2" s="112">
        <f ca="1">IFERROR(__xludf.DUMMYFUNCTION("GOOGLEFINANCE(""BOM:""&amp;A2,""MARKETCAP"")/10000000"),29962.5251338)</f>
        <v>29962.525133800002</v>
      </c>
      <c r="G2" s="95">
        <f t="shared" ref="G2:G7" ca="1" si="0">F2/$F$9</f>
        <v>0.74064242722356644</v>
      </c>
      <c r="H2" s="101">
        <f>VLOOKUP(A2,'BSE ALL CAP'!$B$4:$Y$1038,7,)</f>
        <v>5635</v>
      </c>
      <c r="I2" s="101">
        <f>VLOOKUP(A2,'BSE ALL CAP'!$B$4:$Y$1038,8,)</f>
        <v>4879</v>
      </c>
      <c r="J2" s="101">
        <f>VLOOKUP(A2,'BSE ALL CAP'!$B$4:$Y$1038,9,)</f>
        <v>1004</v>
      </c>
      <c r="K2" s="101">
        <f>VLOOKUP(A2,'BSE ALL CAP'!$B$4:$Y$1038,10,)</f>
        <v>792</v>
      </c>
      <c r="L2" s="101">
        <f>VLOOKUP(A2,'BSE ALL CAP'!$B$4:$Y$1038,11,)</f>
        <v>2189</v>
      </c>
      <c r="M2" s="101">
        <f>VLOOKUP(A2,'BSE ALL CAP'!$B$4:$Y$1038,12,)</f>
        <v>1893</v>
      </c>
      <c r="N2" s="101">
        <f>VLOOKUP(A2,'BSE ALL CAP'!$B$4:$Y$1038,13,)</f>
        <v>343</v>
      </c>
      <c r="O2" s="101">
        <f>VLOOKUP(A2,'BSE ALL CAP'!$B$4:$Y$1038,14,)</f>
        <v>315</v>
      </c>
      <c r="P2" s="95">
        <f>VLOOKUP(A2,'BSE ALL CAP'!$B$4:$Y$1038,15,)</f>
        <v>0.17817213842058563</v>
      </c>
      <c r="Q2" s="95">
        <f>VLOOKUP(A2,'BSE ALL CAP'!$B$4:$Y$1038,16,)</f>
        <v>0.16232834597253534</v>
      </c>
      <c r="R2" s="95">
        <f>VLOOKUP(A2,'BSE ALL CAP'!$B$4:$Y$1038,17,)</f>
        <v>1.5843792448050287E-2</v>
      </c>
      <c r="S2" s="95">
        <f>VLOOKUP(A2,'BSE ALL CAP'!$B$4:$Y$1038,18,)</f>
        <v>0.15669255367747831</v>
      </c>
      <c r="T2" s="95">
        <f>VLOOKUP(A2,'BSE ALL CAP'!$B$4:$Y$1038,19,)</f>
        <v>0.1664025356576862</v>
      </c>
      <c r="U2" s="95">
        <f>VLOOKUP(A2,'BSE ALL CAP'!$B$4:$Y$1038,20,)</f>
        <v>-9.7099819802078935E-3</v>
      </c>
      <c r="V2" s="95">
        <f>VLOOKUP(A2,'BSE ALL CAP'!$B$4:$Y$1038,21,)</f>
        <v>0.15494978479196564</v>
      </c>
      <c r="W2" s="95">
        <f>VLOOKUP(A2,'BSE ALL CAP'!$B$4:$Y$1038,22,)</f>
        <v>0.26767676767676774</v>
      </c>
      <c r="X2" s="95">
        <f>VLOOKUP(A2,'BSE ALL CAP'!$B$4:$Y$1038,23,)</f>
        <v>0.15636555731642887</v>
      </c>
      <c r="Y2" s="95">
        <f>VLOOKUP(A2,'BSE ALL CAP'!$B$4:$Y$1038,24,)</f>
        <v>8.8888888888888795E-2</v>
      </c>
    </row>
    <row r="3" spans="1:25" ht="14.4">
      <c r="A3" s="99">
        <v>539533</v>
      </c>
      <c r="B3" s="98" t="s">
        <v>5925</v>
      </c>
      <c r="C3" s="174" t="str">
        <f>VLOOKUP(A3,'BSE ALL CAP'!$B$4:$Y$1034,2,)</f>
        <v>Fast Moving Consumer Goods</v>
      </c>
      <c r="D3" s="174" t="str">
        <f>VLOOKUP(A3,'BSE ALL CAP'!$B$4:$Y$1034,3,)</f>
        <v>Cigarettes &amp; Tobacco Products</v>
      </c>
      <c r="E3" s="101">
        <f ca="1">IFERROR(__xludf.DUMMYFUNCTION("GOOGLEFINANCE(""BOM:""&amp;A3,""PRICE"")"),41.5)</f>
        <v>41.5</v>
      </c>
      <c r="F3" s="112">
        <f ca="1">IFERROR(__xludf.DUMMYFUNCTION("GOOGLEFINANCE(""BOM:""&amp;A3,""MARKETCAP"")/10000000"),6633.775)</f>
        <v>6633.7749999999996</v>
      </c>
      <c r="G3" s="95">
        <f t="shared" ca="1" si="0"/>
        <v>0.16398001155491698</v>
      </c>
      <c r="H3" s="101">
        <f>VLOOKUP(A3,'BSE ALL CAP'!$B$4:$Y$1038,7,)</f>
        <v>5477</v>
      </c>
      <c r="I3" s="101">
        <f>VLOOKUP(A3,'BSE ALL CAP'!$B$4:$Y$1038,8,)</f>
        <v>236</v>
      </c>
      <c r="J3" s="101">
        <f>VLOOKUP(A3,'BSE ALL CAP'!$B$4:$Y$1038,9,)</f>
        <v>311</v>
      </c>
      <c r="K3" s="101">
        <f>VLOOKUP(A3,'BSE ALL CAP'!$B$4:$Y$1038,10,)</f>
        <v>27</v>
      </c>
      <c r="L3" s="101">
        <f>VLOOKUP(A3,'BSE ALL CAP'!$B$4:$Y$1038,11,)</f>
        <v>1741</v>
      </c>
      <c r="M3" s="101">
        <f>VLOOKUP(A3,'BSE ALL CAP'!$B$4:$Y$1038,12,)</f>
        <v>94</v>
      </c>
      <c r="N3" s="101">
        <f>VLOOKUP(A3,'BSE ALL CAP'!$B$4:$Y$1038,13,)</f>
        <v>104</v>
      </c>
      <c r="O3" s="101">
        <f>VLOOKUP(A3,'BSE ALL CAP'!$B$4:$Y$1038,14,)</f>
        <v>13</v>
      </c>
      <c r="P3" s="95">
        <f>VLOOKUP(A3,'BSE ALL CAP'!$B$4:$Y$1038,15,)</f>
        <v>5.6782910352382691E-2</v>
      </c>
      <c r="Q3" s="95">
        <f>VLOOKUP(A3,'BSE ALL CAP'!$B$4:$Y$1038,16,)</f>
        <v>0.11440677966101695</v>
      </c>
      <c r="R3" s="95">
        <f>VLOOKUP(A3,'BSE ALL CAP'!$B$4:$Y$1038,17,)</f>
        <v>-5.7623869308634258E-2</v>
      </c>
      <c r="S3" s="95">
        <f>VLOOKUP(A3,'BSE ALL CAP'!$B$4:$Y$1038,18,)</f>
        <v>5.9735784032165423E-2</v>
      </c>
      <c r="T3" s="95">
        <f>VLOOKUP(A3,'BSE ALL CAP'!$B$4:$Y$1038,19,)</f>
        <v>0.13829787234042554</v>
      </c>
      <c r="U3" s="95">
        <f>VLOOKUP(A3,'BSE ALL CAP'!$B$4:$Y$1038,20,)</f>
        <v>-7.8562088308260114E-2</v>
      </c>
      <c r="V3" s="95">
        <f>VLOOKUP(A3,'BSE ALL CAP'!$B$4:$Y$1038,21,)</f>
        <v>22.207627118644069</v>
      </c>
      <c r="W3" s="95">
        <f>VLOOKUP(A3,'BSE ALL CAP'!$B$4:$Y$1038,22,)</f>
        <v>10.518518518518519</v>
      </c>
      <c r="X3" s="95">
        <f>VLOOKUP(A3,'BSE ALL CAP'!$B$4:$Y$1038,23,)</f>
        <v>17.521276595744681</v>
      </c>
      <c r="Y3" s="95">
        <f>VLOOKUP(A3,'BSE ALL CAP'!$B$4:$Y$1038,24,)</f>
        <v>7</v>
      </c>
    </row>
    <row r="4" spans="1:25" ht="14.4">
      <c r="A4" s="99">
        <v>509966</v>
      </c>
      <c r="B4" s="98" t="s">
        <v>5926</v>
      </c>
      <c r="C4" s="174" t="str">
        <f>VLOOKUP(A4,'BSE ALL CAP'!$B$4:$Y$1034,2,)</f>
        <v>Fast Moving Consumer Goods</v>
      </c>
      <c r="D4" s="174" t="str">
        <f>VLOOKUP(A4,'BSE ALL CAP'!$B$4:$Y$1034,3,)</f>
        <v>Cigarettes &amp; Tobacco Products</v>
      </c>
      <c r="E4" s="101">
        <f ca="1">IFERROR(__xludf.DUMMYFUNCTION("GOOGLEFINANCE(""BOM:""&amp;A4,""PRICE"")"),212.25)</f>
        <v>212.25</v>
      </c>
      <c r="F4" s="112">
        <f ca="1">IFERROR(__xludf.DUMMYFUNCTION("GOOGLEFINANCE(""BOM:""&amp;A4,""MARKETCAP"")/10000000"),3601.1059605)</f>
        <v>3601.1059605</v>
      </c>
      <c r="G4" s="95">
        <f t="shared" ca="1" si="0"/>
        <v>8.9015590220239665E-2</v>
      </c>
      <c r="H4" s="101">
        <f>VLOOKUP(A4,'BSE ALL CAP'!$B$4:$Y$1038,7,)</f>
        <v>1356</v>
      </c>
      <c r="I4" s="101">
        <f>VLOOKUP(A4,'BSE ALL CAP'!$B$4:$Y$1038,8,)</f>
        <v>1355</v>
      </c>
      <c r="J4" s="101">
        <f>VLOOKUP(A4,'BSE ALL CAP'!$B$4:$Y$1038,9,)</f>
        <v>175</v>
      </c>
      <c r="K4" s="101">
        <f>VLOOKUP(A4,'BSE ALL CAP'!$B$4:$Y$1038,10,)</f>
        <v>237</v>
      </c>
      <c r="L4" s="101">
        <f>VLOOKUP(A4,'BSE ALL CAP'!$B$4:$Y$1038,11,)</f>
        <v>491</v>
      </c>
      <c r="M4" s="101">
        <f>VLOOKUP(A4,'BSE ALL CAP'!$B$4:$Y$1038,12,)</f>
        <v>470</v>
      </c>
      <c r="N4" s="101">
        <f>VLOOKUP(A4,'BSE ALL CAP'!$B$4:$Y$1038,13,)</f>
        <v>60</v>
      </c>
      <c r="O4" s="101">
        <f>VLOOKUP(A4,'BSE ALL CAP'!$B$4:$Y$1038,14,)</f>
        <v>136</v>
      </c>
      <c r="P4" s="95">
        <f>VLOOKUP(A4,'BSE ALL CAP'!$B$4:$Y$1038,15,)</f>
        <v>0.12905604719764011</v>
      </c>
      <c r="Q4" s="95">
        <f>VLOOKUP(A4,'BSE ALL CAP'!$B$4:$Y$1038,16,)</f>
        <v>0.17490774907749077</v>
      </c>
      <c r="R4" s="95">
        <f>VLOOKUP(A4,'BSE ALL CAP'!$B$4:$Y$1038,17,)</f>
        <v>-4.5851701879850659E-2</v>
      </c>
      <c r="S4" s="95">
        <f>VLOOKUP(A4,'BSE ALL CAP'!$B$4:$Y$1038,18,)</f>
        <v>0.12219959266802444</v>
      </c>
      <c r="T4" s="95">
        <f>VLOOKUP(A4,'BSE ALL CAP'!$B$4:$Y$1038,19,)</f>
        <v>0.28936170212765955</v>
      </c>
      <c r="U4" s="95">
        <f>VLOOKUP(A4,'BSE ALL CAP'!$B$4:$Y$1038,20,)</f>
        <v>-0.16716210945963511</v>
      </c>
      <c r="V4" s="95">
        <f>VLOOKUP(A4,'BSE ALL CAP'!$B$4:$Y$1038,21,)</f>
        <v>7.3800738007379074E-4</v>
      </c>
      <c r="W4" s="95">
        <f>VLOOKUP(A4,'BSE ALL CAP'!$B$4:$Y$1038,22,)</f>
        <v>-0.26160337552742619</v>
      </c>
      <c r="X4" s="95">
        <f>VLOOKUP(A4,'BSE ALL CAP'!$B$4:$Y$1038,23,)</f>
        <v>4.4680851063829685E-2</v>
      </c>
      <c r="Y4" s="95">
        <f>VLOOKUP(A4,'BSE ALL CAP'!$B$4:$Y$1038,24,)</f>
        <v>-0.55882352941176472</v>
      </c>
    </row>
    <row r="5" spans="1:25" ht="14.4">
      <c r="A5" s="99">
        <v>526723</v>
      </c>
      <c r="B5" s="98" t="s">
        <v>5927</v>
      </c>
      <c r="C5" s="174" t="e">
        <f>VLOOKUP(A5,'BSE ALL CAP'!$B$4:$Y$1034,2,)</f>
        <v>#N/A</v>
      </c>
      <c r="D5" s="174" t="e">
        <f>VLOOKUP(A5,'BSE ALL CAP'!$B$4:$Y$1034,3,)</f>
        <v>#N/A</v>
      </c>
      <c r="E5" s="101">
        <f ca="1">IFERROR(__xludf.DUMMYFUNCTION("GOOGLEFINANCE(""BOM:""&amp;A5,""PRICE"")"),149.5)</f>
        <v>149.5</v>
      </c>
      <c r="F5" s="112">
        <f ca="1">IFERROR(__xludf.DUMMYFUNCTION("GOOGLEFINANCE(""BOM:""&amp;A5,""MARKETCAP"")/10000000"),217.0589005)</f>
        <v>217.05890049999999</v>
      </c>
      <c r="G5" s="95">
        <f t="shared" ca="1" si="0"/>
        <v>5.3654700396211169E-3</v>
      </c>
      <c r="H5" s="101"/>
      <c r="I5" s="101"/>
      <c r="J5" s="101"/>
      <c r="K5" s="101"/>
      <c r="L5" s="101"/>
      <c r="M5" s="101"/>
      <c r="N5" s="101"/>
      <c r="O5" s="101"/>
      <c r="P5" s="101" t="e">
        <f>VLOOKUP(A5,'BSE ALL CAP'!$B$4:$Y$1038,15,)</f>
        <v>#N/A</v>
      </c>
      <c r="Q5" s="101" t="e">
        <f>VLOOKUP(A5,'BSE ALL CAP'!$B$4:$Y$1038,16,)</f>
        <v>#N/A</v>
      </c>
      <c r="R5" s="101" t="e">
        <f>VLOOKUP(A5,'BSE ALL CAP'!$B$4:$Y$1038,17,)</f>
        <v>#N/A</v>
      </c>
      <c r="S5" s="101" t="e">
        <f>VLOOKUP(A5,'BSE ALL CAP'!$B$4:$Y$1038,18,)</f>
        <v>#N/A</v>
      </c>
      <c r="T5" s="101" t="e">
        <f>VLOOKUP(A5,'BSE ALL CAP'!$B$4:$Y$1038,19,)</f>
        <v>#N/A</v>
      </c>
      <c r="U5" s="101" t="e">
        <f>VLOOKUP(A5,'BSE ALL CAP'!$B$4:$Y$1038,20,)</f>
        <v>#N/A</v>
      </c>
      <c r="V5" s="101" t="e">
        <f>VLOOKUP(A5,'BSE ALL CAP'!$B$4:$Y$1038,21,)</f>
        <v>#N/A</v>
      </c>
      <c r="W5" s="101" t="e">
        <f>VLOOKUP(A5,'BSE ALL CAP'!$B$4:$Y$1038,22,)</f>
        <v>#N/A</v>
      </c>
      <c r="X5" s="101" t="e">
        <f>VLOOKUP(A5,'BSE ALL CAP'!$B$4:$Y$1038,23,)</f>
        <v>#N/A</v>
      </c>
      <c r="Y5" s="101" t="e">
        <f>VLOOKUP(A5,'BSE ALL CAP'!$B$4:$Y$1038,24,)</f>
        <v>#N/A</v>
      </c>
    </row>
    <row r="6" spans="1:25" ht="14.4">
      <c r="A6" s="99">
        <v>509887</v>
      </c>
      <c r="B6" s="98" t="s">
        <v>5928</v>
      </c>
      <c r="C6" s="174" t="e">
        <f>VLOOKUP(A6,'BSE ALL CAP'!$B$4:$Y$1034,2,)</f>
        <v>#N/A</v>
      </c>
      <c r="D6" s="174" t="e">
        <f>VLOOKUP(A6,'BSE ALL CAP'!$B$4:$Y$1034,3,)</f>
        <v>#N/A</v>
      </c>
      <c r="E6" s="101">
        <f ca="1">IFERROR(__xludf.DUMMYFUNCTION("GOOGLEFINANCE(""BOM:""&amp;A6,""PRICE"")"),867.2)</f>
        <v>867.2</v>
      </c>
      <c r="F6" s="112">
        <f ca="1">IFERROR(__xludf.DUMMYFUNCTION("GOOGLEFINANCE(""BOM:""&amp;A6,""MARKETCAP"")/10000000"),34.6880004)</f>
        <v>34.6880004</v>
      </c>
      <c r="G6" s="95">
        <f t="shared" ca="1" si="0"/>
        <v>8.5745125609610891E-4</v>
      </c>
      <c r="H6" s="101"/>
      <c r="I6" s="101"/>
      <c r="J6" s="101"/>
      <c r="K6" s="101"/>
      <c r="L6" s="101"/>
      <c r="M6" s="101"/>
      <c r="N6" s="101"/>
      <c r="O6" s="101"/>
      <c r="P6" s="101" t="e">
        <f>VLOOKUP(A6,'BSE ALL CAP'!$B$4:$Y$1038,15,)</f>
        <v>#N/A</v>
      </c>
      <c r="Q6" s="101" t="e">
        <f>VLOOKUP(A6,'BSE ALL CAP'!$B$4:$Y$1038,16,)</f>
        <v>#N/A</v>
      </c>
      <c r="R6" s="101" t="e">
        <f>VLOOKUP(A6,'BSE ALL CAP'!$B$4:$Y$1038,17,)</f>
        <v>#N/A</v>
      </c>
      <c r="S6" s="101" t="e">
        <f>VLOOKUP(A6,'BSE ALL CAP'!$B$4:$Y$1038,18,)</f>
        <v>#N/A</v>
      </c>
      <c r="T6" s="101" t="e">
        <f>VLOOKUP(A6,'BSE ALL CAP'!$B$4:$Y$1038,19,)</f>
        <v>#N/A</v>
      </c>
      <c r="U6" s="101" t="e">
        <f>VLOOKUP(A6,'BSE ALL CAP'!$B$4:$Y$1038,20,)</f>
        <v>#N/A</v>
      </c>
      <c r="V6" s="101" t="e">
        <f>VLOOKUP(A6,'BSE ALL CAP'!$B$4:$Y$1038,21,)</f>
        <v>#N/A</v>
      </c>
      <c r="W6" s="101" t="e">
        <f>VLOOKUP(A6,'BSE ALL CAP'!$B$4:$Y$1038,22,)</f>
        <v>#N/A</v>
      </c>
      <c r="X6" s="101" t="e">
        <f>VLOOKUP(A6,'BSE ALL CAP'!$B$4:$Y$1038,23,)</f>
        <v>#N/A</v>
      </c>
      <c r="Y6" s="101" t="e">
        <f>VLOOKUP(A6,'BSE ALL CAP'!$B$4:$Y$1038,24,)</f>
        <v>#N/A</v>
      </c>
    </row>
    <row r="7" spans="1:25" ht="14.4">
      <c r="A7" s="99">
        <v>526813</v>
      </c>
      <c r="B7" s="98" t="s">
        <v>5929</v>
      </c>
      <c r="C7" s="174" t="e">
        <f>VLOOKUP(A7,'BSE ALL CAP'!$B$4:$Y$1034,2,)</f>
        <v>#N/A</v>
      </c>
      <c r="D7" s="174" t="e">
        <f>VLOOKUP(A7,'BSE ALL CAP'!$B$4:$Y$1034,3,)</f>
        <v>#N/A</v>
      </c>
      <c r="E7" s="101">
        <f ca="1">IFERROR(__xludf.DUMMYFUNCTION("GOOGLEFINANCE(""BOM:""&amp;A7,""PRICE"")"),11.25)</f>
        <v>11.25</v>
      </c>
      <c r="F7" s="112">
        <f ca="1">IFERROR(__xludf.DUMMYFUNCTION("GOOGLEFINANCE(""BOM:""&amp;A7,""MARKETCAP"")/10000000"),5.625225)</f>
        <v>5.6252250000000004</v>
      </c>
      <c r="G7" s="95">
        <f t="shared" ca="1" si="0"/>
        <v>1.3904970555965614E-4</v>
      </c>
      <c r="H7" s="101"/>
      <c r="I7" s="101"/>
      <c r="J7" s="101"/>
      <c r="K7" s="101"/>
      <c r="L7" s="101"/>
      <c r="M7" s="101"/>
      <c r="N7" s="101"/>
      <c r="O7" s="101"/>
      <c r="P7" s="101" t="e">
        <f>VLOOKUP(A7,'BSE ALL CAP'!$B$4:$Y$1038,15,)</f>
        <v>#N/A</v>
      </c>
      <c r="Q7" s="101" t="e">
        <f>VLOOKUP(A7,'BSE ALL CAP'!$B$4:$Y$1038,16,)</f>
        <v>#N/A</v>
      </c>
      <c r="R7" s="101" t="e">
        <f>VLOOKUP(A7,'BSE ALL CAP'!$B$4:$Y$1038,17,)</f>
        <v>#N/A</v>
      </c>
      <c r="S7" s="101" t="e">
        <f>VLOOKUP(A7,'BSE ALL CAP'!$B$4:$Y$1038,18,)</f>
        <v>#N/A</v>
      </c>
      <c r="T7" s="101" t="e">
        <f>VLOOKUP(A7,'BSE ALL CAP'!$B$4:$Y$1038,19,)</f>
        <v>#N/A</v>
      </c>
      <c r="U7" s="101" t="e">
        <f>VLOOKUP(A7,'BSE ALL CAP'!$B$4:$Y$1038,20,)</f>
        <v>#N/A</v>
      </c>
      <c r="V7" s="101" t="e">
        <f>VLOOKUP(A7,'BSE ALL CAP'!$B$4:$Y$1038,21,)</f>
        <v>#N/A</v>
      </c>
      <c r="W7" s="101" t="e">
        <f>VLOOKUP(A7,'BSE ALL CAP'!$B$4:$Y$1038,22,)</f>
        <v>#N/A</v>
      </c>
      <c r="X7" s="101" t="e">
        <f>VLOOKUP(A7,'BSE ALL CAP'!$B$4:$Y$1038,23,)</f>
        <v>#N/A</v>
      </c>
      <c r="Y7" s="101" t="e">
        <f>VLOOKUP(A7,'BSE ALL CAP'!$B$4:$Y$1038,24,)</f>
        <v>#N/A</v>
      </c>
    </row>
    <row r="8" spans="1:25" ht="13.2">
      <c r="A8" s="101"/>
      <c r="B8" s="101"/>
      <c r="C8" s="101"/>
      <c r="D8" s="101"/>
      <c r="E8" s="101"/>
      <c r="F8" s="112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3.2">
      <c r="A9" s="101"/>
      <c r="B9" s="101"/>
      <c r="C9" s="101"/>
      <c r="D9" s="101"/>
      <c r="E9" s="101"/>
      <c r="F9" s="112">
        <f ca="1">SUM(F2:F7)</f>
        <v>40454.778220200002</v>
      </c>
      <c r="G9" s="95">
        <f ca="1">F9/$F$9</f>
        <v>1</v>
      </c>
      <c r="H9" s="101">
        <f t="shared" ref="H9:O9" si="1">SUM(H2:H7)</f>
        <v>12468</v>
      </c>
      <c r="I9" s="101">
        <f t="shared" si="1"/>
        <v>6470</v>
      </c>
      <c r="J9" s="101">
        <f t="shared" si="1"/>
        <v>1490</v>
      </c>
      <c r="K9" s="101">
        <f t="shared" si="1"/>
        <v>1056</v>
      </c>
      <c r="L9" s="101">
        <f t="shared" si="1"/>
        <v>4421</v>
      </c>
      <c r="M9" s="101">
        <f t="shared" si="1"/>
        <v>2457</v>
      </c>
      <c r="N9" s="101">
        <f t="shared" si="1"/>
        <v>507</v>
      </c>
      <c r="O9" s="101">
        <f t="shared" si="1"/>
        <v>464</v>
      </c>
      <c r="P9" s="13">
        <f t="shared" ref="P9:Q9" si="2">J9/H9</f>
        <v>0.11950593519409689</v>
      </c>
      <c r="Q9" s="13">
        <f t="shared" si="2"/>
        <v>0.16321483771251932</v>
      </c>
      <c r="R9" s="13">
        <f>P9-Q9</f>
        <v>-4.3708902518422438E-2</v>
      </c>
      <c r="S9" s="13">
        <f t="shared" ref="S9:T9" si="3">N9/L9</f>
        <v>0.1146799366659127</v>
      </c>
      <c r="T9" s="13">
        <f t="shared" si="3"/>
        <v>0.18884818884818885</v>
      </c>
      <c r="U9" s="13">
        <f>S9-T9</f>
        <v>-7.4168252182276156E-2</v>
      </c>
      <c r="V9" s="13">
        <f>(H9/I9)-1</f>
        <v>0.92704791344667692</v>
      </c>
      <c r="W9" s="13">
        <f>(J9/K9)-1</f>
        <v>0.4109848484848484</v>
      </c>
      <c r="X9" s="13">
        <f>(L9/M9)-1</f>
        <v>0.79934879934879932</v>
      </c>
      <c r="Y9" s="13">
        <f>(N9/O9)-1</f>
        <v>9.2672413793103425E-2</v>
      </c>
    </row>
    <row r="10" spans="1:25" ht="13.2">
      <c r="F10" s="94"/>
    </row>
    <row r="11" spans="1:25" ht="13.2">
      <c r="F11" s="94"/>
    </row>
    <row r="12" spans="1:25" ht="13.2">
      <c r="F12" s="94"/>
    </row>
    <row r="13" spans="1:25" ht="13.2">
      <c r="F13" s="94"/>
    </row>
    <row r="14" spans="1:25" ht="13.2">
      <c r="F14" s="94"/>
    </row>
    <row r="15" spans="1:25" ht="13.2">
      <c r="F15" s="94"/>
    </row>
    <row r="16" spans="1:25" ht="13.2">
      <c r="F16" s="94"/>
    </row>
    <row r="17" spans="6:6" ht="13.2">
      <c r="F17" s="94"/>
    </row>
    <row r="18" spans="6:6" ht="13.2">
      <c r="F18" s="94"/>
    </row>
    <row r="19" spans="6:6" ht="13.2">
      <c r="F19" s="94"/>
    </row>
    <row r="20" spans="6:6" ht="13.2">
      <c r="F20" s="94"/>
    </row>
    <row r="21" spans="6:6" ht="13.2">
      <c r="F21" s="94"/>
    </row>
    <row r="22" spans="6:6" ht="13.2">
      <c r="F22" s="94"/>
    </row>
    <row r="23" spans="6:6" ht="13.2">
      <c r="F23" s="94"/>
    </row>
    <row r="24" spans="6:6" ht="13.2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7" xr:uid="{00000000-0009-0000-0000-0000C2000000}"/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8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4.4">
      <c r="A2" s="99">
        <v>500510</v>
      </c>
      <c r="B2" s="98" t="s">
        <v>1407</v>
      </c>
      <c r="C2" s="360" t="str">
        <f>VLOOKUP(A2,'BSE ALL CAP'!$B$4:$Y$1034,2,)</f>
        <v>Industrials</v>
      </c>
      <c r="D2" s="360" t="str">
        <f>VLOOKUP(A2,'BSE ALL CAP'!$B$4:$Y$1034,3,)</f>
        <v>Civil Construction</v>
      </c>
      <c r="E2" s="101">
        <f ca="1">IFERROR(__xludf.DUMMYFUNCTION("GOOGLEFINANCE(""BOM:""&amp;A2,""PRICE"")"),3723.95)</f>
        <v>3723.95</v>
      </c>
      <c r="F2" s="112">
        <f ca="1">IFERROR(__xludf.DUMMYFUNCTION("GOOGLEFINANCE(""BOM:""&amp;A2,""MARKETCAP"")/10000000"),512093.1984)</f>
        <v>512093.19839999999</v>
      </c>
      <c r="G2" s="95">
        <f t="shared" ref="G2:G123" ca="1" si="0">F2/$F$125</f>
        <v>0.61771068889872605</v>
      </c>
      <c r="H2" s="174">
        <f>VLOOKUP(A2,'BSE ALL CAP'!$B$4:$Y$1034,7,)</f>
        <v>203112</v>
      </c>
      <c r="I2" s="174">
        <f>VLOOKUP(A2,'BSE ALL CAP'!$B$4:$Y$1034,8,)</f>
        <v>181342</v>
      </c>
      <c r="J2" s="174">
        <f>VLOOKUP(A2,'BSE ALL CAP'!$B$4:$Y$1034,9,)</f>
        <v>14186</v>
      </c>
      <c r="K2" s="174">
        <f>VLOOKUP(A2,'BSE ALL CAP'!$B$4:$Y$1034,10,)</f>
        <v>11554</v>
      </c>
      <c r="L2" s="174">
        <f>VLOOKUP(A2,'BSE ALL CAP'!$B$4:$Y$1034,11,)</f>
        <v>71450</v>
      </c>
      <c r="M2" s="174">
        <f>VLOOKUP(A2,'BSE ALL CAP'!$B$4:$Y$1034,12,)</f>
        <v>64668</v>
      </c>
      <c r="N2" s="174">
        <f>VLOOKUP(A2,'BSE ALL CAP'!$B$4:$Y$1034,13,)</f>
        <v>5173</v>
      </c>
      <c r="O2" s="174">
        <f>VLOOKUP(A2,'BSE ALL CAP'!$B$4:$Y$1034,14,)</f>
        <v>4001</v>
      </c>
      <c r="P2" s="344">
        <f>VLOOKUP(A2,'BSE ALL CAP'!$B$4:$Y$1034,15,)</f>
        <v>6.9843239198077903E-2</v>
      </c>
      <c r="Q2" s="344">
        <f>VLOOKUP(A2,'BSE ALL CAP'!$B$4:$Y$1034,16,)</f>
        <v>6.3713866616669057E-2</v>
      </c>
      <c r="R2" s="344">
        <f>VLOOKUP(A2,'BSE ALL CAP'!$B$4:$Y$1034,17,)</f>
        <v>6.1293725814088457E-3</v>
      </c>
      <c r="S2" s="345">
        <f>VLOOKUP(A2,'BSE ALL CAP'!$B$4:$Y$1034,18,)</f>
        <v>7.2400279916025198E-2</v>
      </c>
      <c r="T2" s="346">
        <f>VLOOKUP(A2,'BSE ALL CAP'!$B$4:$Y$1034,19,)</f>
        <v>6.1869858353436009E-2</v>
      </c>
      <c r="U2" s="344">
        <f>VLOOKUP(A2,'BSE ALL CAP'!$B$4:$Y$1034,20,)</f>
        <v>1.0530421562589189E-2</v>
      </c>
      <c r="V2" s="344">
        <f>VLOOKUP(A2,'BSE ALL CAP'!$B$4:$Y$1034,21,)</f>
        <v>0.12004940940322695</v>
      </c>
      <c r="W2" s="344">
        <f>VLOOKUP(A2,'BSE ALL CAP'!$B$4:$Y$1034,22,)</f>
        <v>0.22779989613986507</v>
      </c>
      <c r="X2" s="344">
        <f>VLOOKUP(A2,'BSE ALL CAP'!$B$4:$Y$1034,23,)</f>
        <v>0.10487412630667414</v>
      </c>
      <c r="Y2" s="344">
        <f>VLOOKUP(A2,'BSE ALL CAP'!$B$4:$Y$1034,24,)</f>
        <v>0.29292676830792308</v>
      </c>
    </row>
    <row r="3" spans="1:25" ht="14.4">
      <c r="A3" s="99">
        <v>542649</v>
      </c>
      <c r="B3" s="98" t="s">
        <v>1516</v>
      </c>
      <c r="C3" s="360" t="str">
        <f>VLOOKUP(A3,'BSE ALL CAP'!$B$4:$Y$1034,2,)</f>
        <v>Industrials</v>
      </c>
      <c r="D3" s="360" t="str">
        <f>VLOOKUP(A3,'BSE ALL CAP'!$B$4:$Y$1034,3,)</f>
        <v>Civil Construction</v>
      </c>
      <c r="E3" s="101">
        <f ca="1">IFERROR(__xludf.DUMMYFUNCTION("GOOGLEFINANCE(""BOM:""&amp;A3,""PRICE"")"),260.7)</f>
        <v>260.7</v>
      </c>
      <c r="F3" s="112">
        <f ca="1">IFERROR(__xludf.DUMMYFUNCTION("GOOGLEFINANCE(""BOM:""&amp;A3,""MARKETCAP"")/10000000"),54379.3800299)</f>
        <v>54379.380029899999</v>
      </c>
      <c r="G3" s="95">
        <f t="shared" ca="1" si="0"/>
        <v>6.5594943274206854E-2</v>
      </c>
      <c r="H3" s="174">
        <f>VLOOKUP(A3,'BSE ALL CAP'!$B$4:$Y$1034,7,)</f>
        <v>13716</v>
      </c>
      <c r="I3" s="174">
        <f>VLOOKUP(A3,'BSE ALL CAP'!$B$4:$Y$1034,8,)</f>
        <v>13496</v>
      </c>
      <c r="J3" s="174">
        <f>VLOOKUP(A3,'BSE ALL CAP'!$B$4:$Y$1034,9,)</f>
        <v>689</v>
      </c>
      <c r="K3" s="174">
        <f>VLOOKUP(A3,'BSE ALL CAP'!$B$4:$Y$1034,10,)</f>
        <v>822</v>
      </c>
      <c r="L3" s="174">
        <f>VLOOKUP(A3,'BSE ALL CAP'!$B$4:$Y$1034,11,)</f>
        <v>4684</v>
      </c>
      <c r="M3" s="174">
        <f>VLOOKUP(A3,'BSE ALL CAP'!$B$4:$Y$1034,12,)</f>
        <v>4567</v>
      </c>
      <c r="N3" s="174">
        <f>VLOOKUP(A3,'BSE ALL CAP'!$B$4:$Y$1034,13,)</f>
        <v>324</v>
      </c>
      <c r="O3" s="174">
        <f>VLOOKUP(A3,'BSE ALL CAP'!$B$4:$Y$1034,14,)</f>
        <v>312</v>
      </c>
      <c r="P3" s="344">
        <f>VLOOKUP(A3,'BSE ALL CAP'!$B$4:$Y$1034,15,)</f>
        <v>5.0233304170312042E-2</v>
      </c>
      <c r="Q3" s="344">
        <f>VLOOKUP(A3,'BSE ALL CAP'!$B$4:$Y$1034,16,)</f>
        <v>6.0906935388263188E-2</v>
      </c>
      <c r="R3" s="344">
        <f>VLOOKUP(A3,'BSE ALL CAP'!$B$4:$Y$1034,17,)</f>
        <v>-1.0673631217951146E-2</v>
      </c>
      <c r="S3" s="345">
        <f>VLOOKUP(A3,'BSE ALL CAP'!$B$4:$Y$1034,18,)</f>
        <v>6.9171648163962429E-2</v>
      </c>
      <c r="T3" s="346">
        <f>VLOOKUP(A3,'BSE ALL CAP'!$B$4:$Y$1034,19,)</f>
        <v>6.8316181300634993E-2</v>
      </c>
      <c r="U3" s="344">
        <f>VLOOKUP(A3,'BSE ALL CAP'!$B$4:$Y$1034,20,)</f>
        <v>8.5546686332743649E-4</v>
      </c>
      <c r="V3" s="344">
        <f>VLOOKUP(A3,'BSE ALL CAP'!$B$4:$Y$1034,21,)</f>
        <v>1.6301126259632426E-2</v>
      </c>
      <c r="W3" s="344">
        <f>VLOOKUP(A3,'BSE ALL CAP'!$B$4:$Y$1034,22,)</f>
        <v>-0.16180048661800484</v>
      </c>
      <c r="X3" s="344">
        <f>VLOOKUP(A3,'BSE ALL CAP'!$B$4:$Y$1034,23,)</f>
        <v>2.5618567987738095E-2</v>
      </c>
      <c r="Y3" s="344">
        <f>VLOOKUP(A3,'BSE ALL CAP'!$B$4:$Y$1034,24,)</f>
        <v>3.8461538461538547E-2</v>
      </c>
    </row>
    <row r="4" spans="1:25" ht="14.4">
      <c r="A4" s="99">
        <v>534309</v>
      </c>
      <c r="B4" s="98" t="s">
        <v>5930</v>
      </c>
      <c r="C4" s="360" t="str">
        <f>VLOOKUP(A4,'BSE ALL CAP'!$B$4:$Y$1034,2,)</f>
        <v>Industrials</v>
      </c>
      <c r="D4" s="360" t="str">
        <f>VLOOKUP(A4,'BSE ALL CAP'!$B$4:$Y$1034,3,)</f>
        <v>Civil Construction</v>
      </c>
      <c r="E4" s="101">
        <f ca="1">IFERROR(__xludf.DUMMYFUNCTION("GOOGLEFINANCE(""BOM:""&amp;A4,""PRICE"")"),84.1)</f>
        <v>84.1</v>
      </c>
      <c r="F4" s="112">
        <f ca="1">IFERROR(__xludf.DUMMYFUNCTION("GOOGLEFINANCE(""BOM:""&amp;A4,""MARKETCAP"")/10000000"),22733.999176)</f>
        <v>22733.999176000001</v>
      </c>
      <c r="G4" s="95">
        <f t="shared" ca="1" si="0"/>
        <v>2.7422809629783263E-2</v>
      </c>
      <c r="H4" s="174">
        <f>VLOOKUP(A4,'BSE ALL CAP'!$B$4:$Y$1034,7,)</f>
        <v>8328</v>
      </c>
      <c r="I4" s="174">
        <f>VLOOKUP(A4,'BSE ALL CAP'!$B$4:$Y$1034,8,)</f>
        <v>7399</v>
      </c>
      <c r="J4" s="174">
        <f>VLOOKUP(A4,'BSE ALL CAP'!$B$4:$Y$1034,9,)</f>
        <v>488</v>
      </c>
      <c r="K4" s="174">
        <f>VLOOKUP(A4,'BSE ALL CAP'!$B$4:$Y$1034,10,)</f>
        <v>374</v>
      </c>
      <c r="L4" s="174">
        <f>VLOOKUP(A4,'BSE ALL CAP'!$B$4:$Y$1034,11,)</f>
        <v>3022</v>
      </c>
      <c r="M4" s="174">
        <f>VLOOKUP(A4,'BSE ALL CAP'!$B$4:$Y$1034,12,)</f>
        <v>2809</v>
      </c>
      <c r="N4" s="174">
        <f>VLOOKUP(A4,'BSE ALL CAP'!$B$4:$Y$1034,13,)</f>
        <v>197</v>
      </c>
      <c r="O4" s="174">
        <f>VLOOKUP(A4,'BSE ALL CAP'!$B$4:$Y$1034,14,)</f>
        <v>142</v>
      </c>
      <c r="P4" s="344">
        <f>VLOOKUP(A4,'BSE ALL CAP'!$B$4:$Y$1034,15,)</f>
        <v>5.8597502401536987E-2</v>
      </c>
      <c r="Q4" s="344">
        <f>VLOOKUP(A4,'BSE ALL CAP'!$B$4:$Y$1034,16,)</f>
        <v>5.054737126638735E-2</v>
      </c>
      <c r="R4" s="344">
        <f>VLOOKUP(A4,'BSE ALL CAP'!$B$4:$Y$1034,17,)</f>
        <v>8.0501311351496366E-3</v>
      </c>
      <c r="S4" s="345">
        <f>VLOOKUP(A4,'BSE ALL CAP'!$B$4:$Y$1034,18,)</f>
        <v>6.5188616810059566E-2</v>
      </c>
      <c r="T4" s="346">
        <f>VLOOKUP(A4,'BSE ALL CAP'!$B$4:$Y$1034,19,)</f>
        <v>5.0551797792808828E-2</v>
      </c>
      <c r="U4" s="344">
        <f>VLOOKUP(A4,'BSE ALL CAP'!$B$4:$Y$1034,20,)</f>
        <v>1.4636819017250738E-2</v>
      </c>
      <c r="V4" s="344">
        <f>VLOOKUP(A4,'BSE ALL CAP'!$B$4:$Y$1034,21,)</f>
        <v>0.12555750777132046</v>
      </c>
      <c r="W4" s="344">
        <f>VLOOKUP(A4,'BSE ALL CAP'!$B$4:$Y$1034,22,)</f>
        <v>0.30481283422459904</v>
      </c>
      <c r="X4" s="344">
        <f>VLOOKUP(A4,'BSE ALL CAP'!$B$4:$Y$1034,23,)</f>
        <v>7.5827696689213298E-2</v>
      </c>
      <c r="Y4" s="344">
        <f>VLOOKUP(A4,'BSE ALL CAP'!$B$4:$Y$1034,24,)</f>
        <v>0.38732394366197176</v>
      </c>
    </row>
    <row r="5" spans="1:25" ht="14.4">
      <c r="A5" s="99">
        <v>532947</v>
      </c>
      <c r="B5" s="98" t="s">
        <v>5931</v>
      </c>
      <c r="C5" s="360" t="str">
        <f>VLOOKUP(A5,'BSE ALL CAP'!$B$4:$Y$1034,2,)</f>
        <v>Industrials</v>
      </c>
      <c r="D5" s="360" t="str">
        <f>VLOOKUP(A5,'BSE ALL CAP'!$B$4:$Y$1034,3,)</f>
        <v>Civil Construction</v>
      </c>
      <c r="E5" s="101">
        <f ca="1">IFERROR(__xludf.DUMMYFUNCTION("GOOGLEFINANCE(""BOM:""&amp;A5,""PRICE"")"),20.64)</f>
        <v>20.64</v>
      </c>
      <c r="F5" s="112">
        <f ca="1">IFERROR(__xludf.DUMMYFUNCTION("GOOGLEFINANCE(""BOM:""&amp;A5,""MARKETCAP"")/10000000"),12450.8422718)</f>
        <v>12450.8422718</v>
      </c>
      <c r="G5" s="95">
        <f t="shared" ca="1" si="0"/>
        <v>1.5018786387151824E-2</v>
      </c>
      <c r="H5" s="174">
        <f>VLOOKUP(A5,'BSE ALL CAP'!$B$4:$Y$1034,7,)</f>
        <v>5721</v>
      </c>
      <c r="I5" s="174">
        <f>VLOOKUP(A5,'BSE ALL CAP'!$B$4:$Y$1034,8,)</f>
        <v>5464</v>
      </c>
      <c r="J5" s="174">
        <f>VLOOKUP(A5,'BSE ALL CAP'!$B$4:$Y$1034,9,)</f>
        <v>554</v>
      </c>
      <c r="K5" s="174">
        <f>VLOOKUP(A5,'BSE ALL CAP'!$B$4:$Y$1034,10,)</f>
        <v>6265</v>
      </c>
      <c r="L5" s="174">
        <f>VLOOKUP(A5,'BSE ALL CAP'!$B$4:$Y$1034,11,)</f>
        <v>1871</v>
      </c>
      <c r="M5" s="174">
        <f>VLOOKUP(A5,'BSE ALL CAP'!$B$4:$Y$1034,12,)</f>
        <v>2025</v>
      </c>
      <c r="N5" s="174">
        <f>VLOOKUP(A5,'BSE ALL CAP'!$B$4:$Y$1034,13,)</f>
        <v>210</v>
      </c>
      <c r="O5" s="174">
        <f>VLOOKUP(A5,'BSE ALL CAP'!$B$4:$Y$1034,14,)</f>
        <v>6026</v>
      </c>
      <c r="P5" s="344">
        <f>VLOOKUP(A5,'BSE ALL CAP'!$B$4:$Y$1034,15,)</f>
        <v>9.6836217444502715E-2</v>
      </c>
      <c r="Q5" s="344">
        <f>VLOOKUP(A5,'BSE ALL CAP'!$B$4:$Y$1034,16,)</f>
        <v>1.1465959004392388</v>
      </c>
      <c r="R5" s="344">
        <f>VLOOKUP(A5,'BSE ALL CAP'!$B$4:$Y$1034,17,)</f>
        <v>-1.049759682994736</v>
      </c>
      <c r="S5" s="345">
        <f>VLOOKUP(A5,'BSE ALL CAP'!$B$4:$Y$1034,18,)</f>
        <v>0.1122394441475147</v>
      </c>
      <c r="T5" s="346">
        <f>VLOOKUP(A5,'BSE ALL CAP'!$B$4:$Y$1034,19,)</f>
        <v>2.9758024691358025</v>
      </c>
      <c r="U5" s="344">
        <f>VLOOKUP(A5,'BSE ALL CAP'!$B$4:$Y$1034,20,)</f>
        <v>-2.863563024988288</v>
      </c>
      <c r="V5" s="344">
        <f>VLOOKUP(A5,'BSE ALL CAP'!$B$4:$Y$1034,21,)</f>
        <v>4.7035139092240108E-2</v>
      </c>
      <c r="W5" s="344">
        <f>VLOOKUP(A5,'BSE ALL CAP'!$B$4:$Y$1034,22,)</f>
        <v>-0.91157222665602555</v>
      </c>
      <c r="X5" s="344">
        <f>VLOOKUP(A5,'BSE ALL CAP'!$B$4:$Y$1034,23,)</f>
        <v>-7.604938271604933E-2</v>
      </c>
      <c r="Y5" s="344">
        <f>VLOOKUP(A5,'BSE ALL CAP'!$B$4:$Y$1034,24,)</f>
        <v>-0.96515101228011946</v>
      </c>
    </row>
    <row r="6" spans="1:25" ht="14.4">
      <c r="A6" s="99">
        <v>522287</v>
      </c>
      <c r="B6" s="98" t="s">
        <v>5932</v>
      </c>
      <c r="C6" s="360" t="str">
        <f>VLOOKUP(A6,'BSE ALL CAP'!$B$4:$Y$1034,2,)</f>
        <v>Industrials</v>
      </c>
      <c r="D6" s="360" t="str">
        <f>VLOOKUP(A6,'BSE ALL CAP'!$B$4:$Y$1034,3,)</f>
        <v>Civil Construction</v>
      </c>
      <c r="E6" s="101">
        <f ca="1">IFERROR(__xludf.DUMMYFUNCTION("GOOGLEFINANCE(""BOM:""&amp;A6,""PRICE"")"),1084)</f>
        <v>1084</v>
      </c>
      <c r="F6" s="112">
        <f ca="1">IFERROR(__xludf.DUMMYFUNCTION("GOOGLEFINANCE(""BOM:""&amp;A6,""MARKETCAP"")/10000000"),18889.15)</f>
        <v>18889.150000000001</v>
      </c>
      <c r="G6" s="95">
        <f t="shared" ca="1" si="0"/>
        <v>2.2784973312801909E-2</v>
      </c>
      <c r="H6" s="174">
        <f>VLOOKUP(A6,'BSE ALL CAP'!$B$4:$Y$1034,7,)</f>
        <v>19365</v>
      </c>
      <c r="I6" s="174">
        <f>VLOOKUP(A6,'BSE ALL CAP'!$B$4:$Y$1034,8,)</f>
        <v>15249</v>
      </c>
      <c r="J6" s="174">
        <f>VLOOKUP(A6,'BSE ALL CAP'!$B$4:$Y$1034,9,)</f>
        <v>600</v>
      </c>
      <c r="K6" s="174">
        <f>VLOOKUP(A6,'BSE ALL CAP'!$B$4:$Y$1034,10,)</f>
        <v>349</v>
      </c>
      <c r="L6" s="174">
        <f>VLOOKUP(A6,'BSE ALL CAP'!$B$4:$Y$1034,11,)</f>
        <v>6665</v>
      </c>
      <c r="M6" s="174">
        <f>VLOOKUP(A6,'BSE ALL CAP'!$B$4:$Y$1034,12,)</f>
        <v>5732</v>
      </c>
      <c r="N6" s="174">
        <f>VLOOKUP(A6,'BSE ALL CAP'!$B$4:$Y$1034,13,)</f>
        <v>149</v>
      </c>
      <c r="O6" s="174">
        <f>VLOOKUP(A6,'BSE ALL CAP'!$B$4:$Y$1034,14,)</f>
        <v>140</v>
      </c>
      <c r="P6" s="344">
        <f>VLOOKUP(A6,'BSE ALL CAP'!$B$4:$Y$1034,15,)</f>
        <v>3.0983733539891558E-2</v>
      </c>
      <c r="Q6" s="344">
        <f>VLOOKUP(A6,'BSE ALL CAP'!$B$4:$Y$1034,16,)</f>
        <v>2.2886746671912914E-2</v>
      </c>
      <c r="R6" s="344">
        <f>VLOOKUP(A6,'BSE ALL CAP'!$B$4:$Y$1034,17,)</f>
        <v>8.0969868679786443E-3</v>
      </c>
      <c r="S6" s="345">
        <f>VLOOKUP(A6,'BSE ALL CAP'!$B$4:$Y$1034,18,)</f>
        <v>2.2355588897224304E-2</v>
      </c>
      <c r="T6" s="346">
        <f>VLOOKUP(A6,'BSE ALL CAP'!$B$4:$Y$1034,19,)</f>
        <v>2.4424284717376135E-2</v>
      </c>
      <c r="U6" s="344">
        <f>VLOOKUP(A6,'BSE ALL CAP'!$B$4:$Y$1034,20,)</f>
        <v>-2.0686958201518307E-3</v>
      </c>
      <c r="V6" s="344">
        <f>VLOOKUP(A6,'BSE ALL CAP'!$B$4:$Y$1034,21,)</f>
        <v>0.26991933897304743</v>
      </c>
      <c r="W6" s="344">
        <f>VLOOKUP(A6,'BSE ALL CAP'!$B$4:$Y$1034,22,)</f>
        <v>0.71919770773638958</v>
      </c>
      <c r="X6" s="344">
        <f>VLOOKUP(A6,'BSE ALL CAP'!$B$4:$Y$1034,23,)</f>
        <v>0.16277041172365658</v>
      </c>
      <c r="Y6" s="344">
        <f>VLOOKUP(A6,'BSE ALL CAP'!$B$4:$Y$1034,24,)</f>
        <v>6.4285714285714279E-2</v>
      </c>
    </row>
    <row r="7" spans="1:25" ht="14.4">
      <c r="A7" s="99">
        <v>532714</v>
      </c>
      <c r="B7" s="98" t="s">
        <v>5933</v>
      </c>
      <c r="C7" s="360" t="str">
        <f>VLOOKUP(A7,'BSE ALL CAP'!$B$4:$Y$1034,2,)</f>
        <v>Industrials</v>
      </c>
      <c r="D7" s="360" t="str">
        <f>VLOOKUP(A7,'BSE ALL CAP'!$B$4:$Y$1034,3,)</f>
        <v>Civil Construction</v>
      </c>
      <c r="E7" s="101">
        <f ca="1">IFERROR(__xludf.DUMMYFUNCTION("GOOGLEFINANCE(""BOM:""&amp;A7,""PRICE"")"),533.65)</f>
        <v>533.65</v>
      </c>
      <c r="F7" s="112">
        <f ca="1">IFERROR(__xludf.DUMMYFUNCTION("GOOGLEFINANCE(""BOM:""&amp;A7,""MARKETCAP"")/10000000"),14217.74135)</f>
        <v>14217.74135</v>
      </c>
      <c r="G7" s="95">
        <f t="shared" ca="1" si="0"/>
        <v>1.7150102425364303E-2</v>
      </c>
      <c r="H7" s="174">
        <f>VLOOKUP(A7,'BSE ALL CAP'!$B$4:$Y$1034,7,)</f>
        <v>17116</v>
      </c>
      <c r="I7" s="174">
        <f>VLOOKUP(A7,'BSE ALL CAP'!$B$4:$Y$1034,8,)</f>
        <v>14975</v>
      </c>
      <c r="J7" s="174">
        <f>VLOOKUP(A7,'BSE ALL CAP'!$B$4:$Y$1034,9,)</f>
        <v>413</v>
      </c>
      <c r="K7" s="174">
        <f>VLOOKUP(A7,'BSE ALL CAP'!$B$4:$Y$1034,10,)</f>
        <v>303</v>
      </c>
      <c r="L7" s="174">
        <f>VLOOKUP(A7,'BSE ALL CAP'!$B$4:$Y$1034,11,)</f>
        <v>6001</v>
      </c>
      <c r="M7" s="174">
        <f>VLOOKUP(A7,'BSE ALL CAP'!$B$4:$Y$1034,12,)</f>
        <v>5349</v>
      </c>
      <c r="N7" s="174">
        <f>VLOOKUP(A7,'BSE ALL CAP'!$B$4:$Y$1034,13,)</f>
        <v>127</v>
      </c>
      <c r="O7" s="174">
        <f>VLOOKUP(A7,'BSE ALL CAP'!$B$4:$Y$1034,14,)</f>
        <v>130</v>
      </c>
      <c r="P7" s="344">
        <f>VLOOKUP(A7,'BSE ALL CAP'!$B$4:$Y$1034,15,)</f>
        <v>2.4129469502220145E-2</v>
      </c>
      <c r="Q7" s="344">
        <f>VLOOKUP(A7,'BSE ALL CAP'!$B$4:$Y$1034,16,)</f>
        <v>2.023372287145242E-2</v>
      </c>
      <c r="R7" s="344">
        <f>VLOOKUP(A7,'BSE ALL CAP'!$B$4:$Y$1034,17,)</f>
        <v>3.8957466307677248E-3</v>
      </c>
      <c r="S7" s="345">
        <f>VLOOKUP(A7,'BSE ALL CAP'!$B$4:$Y$1034,18,)</f>
        <v>2.1163139476753873E-2</v>
      </c>
      <c r="T7" s="346">
        <f>VLOOKUP(A7,'BSE ALL CAP'!$B$4:$Y$1034,19,)</f>
        <v>2.4303608151056273E-2</v>
      </c>
      <c r="U7" s="344">
        <f>VLOOKUP(A7,'BSE ALL CAP'!$B$4:$Y$1034,20,)</f>
        <v>-3.1404686743023991E-3</v>
      </c>
      <c r="V7" s="344">
        <f>VLOOKUP(A7,'BSE ALL CAP'!$B$4:$Y$1034,21,)</f>
        <v>0.14297161936560943</v>
      </c>
      <c r="W7" s="344">
        <f>VLOOKUP(A7,'BSE ALL CAP'!$B$4:$Y$1034,22,)</f>
        <v>0.36303630363036299</v>
      </c>
      <c r="X7" s="344">
        <f>VLOOKUP(A7,'BSE ALL CAP'!$B$4:$Y$1034,23,)</f>
        <v>0.12189194241914381</v>
      </c>
      <c r="Y7" s="344">
        <f>VLOOKUP(A7,'BSE ALL CAP'!$B$4:$Y$1034,24,)</f>
        <v>-2.3076923076923106E-2</v>
      </c>
    </row>
    <row r="8" spans="1:25" ht="14.4">
      <c r="A8" s="99">
        <v>541956</v>
      </c>
      <c r="B8" s="98" t="s">
        <v>5934</v>
      </c>
      <c r="C8" s="360" t="str">
        <f>VLOOKUP(A8,'BSE ALL CAP'!$B$4:$Y$1034,2,)</f>
        <v>Industrials</v>
      </c>
      <c r="D8" s="360" t="str">
        <f>VLOOKUP(A8,'BSE ALL CAP'!$B$4:$Y$1034,3,)</f>
        <v>Civil Construction</v>
      </c>
      <c r="E8" s="101">
        <f ca="1">IFERROR(__xludf.DUMMYFUNCTION("GOOGLEFINANCE(""BOM:""&amp;A8,""PRICE"")"),125.45)</f>
        <v>125.45</v>
      </c>
      <c r="F8" s="112">
        <f ca="1">IFERROR(__xludf.DUMMYFUNCTION("GOOGLEFINANCE(""BOM:""&amp;A8,""MARKETCAP"")/10000000"),11804.5900493)</f>
        <v>11804.590049300001</v>
      </c>
      <c r="G8" s="95">
        <f t="shared" ca="1" si="0"/>
        <v>1.423924682909858E-2</v>
      </c>
      <c r="H8" s="174">
        <f>VLOOKUP(A8,'BSE ALL CAP'!$B$4:$Y$1034,7,)</f>
        <v>5882</v>
      </c>
      <c r="I8" s="174">
        <f>VLOOKUP(A8,'BSE ALL CAP'!$B$4:$Y$1034,8,)</f>
        <v>7347</v>
      </c>
      <c r="J8" s="174">
        <f>VLOOKUP(A8,'BSE ALL CAP'!$B$4:$Y$1034,9,)</f>
        <v>400</v>
      </c>
      <c r="K8" s="174">
        <f>VLOOKUP(A8,'BSE ALL CAP'!$B$4:$Y$1034,10,)</f>
        <v>516</v>
      </c>
      <c r="L8" s="174">
        <f>VLOOKUP(A8,'BSE ALL CAP'!$B$4:$Y$1034,11,)</f>
        <v>2119</v>
      </c>
      <c r="M8" s="174">
        <f>VLOOKUP(A8,'BSE ALL CAP'!$B$4:$Y$1034,12,)</f>
        <v>2613</v>
      </c>
      <c r="N8" s="174">
        <f>VLOOKUP(A8,'BSE ALL CAP'!$B$4:$Y$1034,13,)</f>
        <v>100</v>
      </c>
      <c r="O8" s="174">
        <f>VLOOKUP(A8,'BSE ALL CAP'!$B$4:$Y$1034,14,)</f>
        <v>86</v>
      </c>
      <c r="P8" s="344">
        <f>VLOOKUP(A8,'BSE ALL CAP'!$B$4:$Y$1034,15,)</f>
        <v>6.8004080244814691E-2</v>
      </c>
      <c r="Q8" s="344">
        <f>VLOOKUP(A8,'BSE ALL CAP'!$B$4:$Y$1034,16,)</f>
        <v>7.0232748060432823E-2</v>
      </c>
      <c r="R8" s="344">
        <f>VLOOKUP(A8,'BSE ALL CAP'!$B$4:$Y$1034,17,)</f>
        <v>-2.2286678156181322E-3</v>
      </c>
      <c r="S8" s="345">
        <f>VLOOKUP(A8,'BSE ALL CAP'!$B$4:$Y$1034,18,)</f>
        <v>4.7192071731949031E-2</v>
      </c>
      <c r="T8" s="346">
        <f>VLOOKUP(A8,'BSE ALL CAP'!$B$4:$Y$1034,19,)</f>
        <v>3.2912361270570227E-2</v>
      </c>
      <c r="U8" s="344">
        <f>VLOOKUP(A8,'BSE ALL CAP'!$B$4:$Y$1034,20,)</f>
        <v>1.4279710461378804E-2</v>
      </c>
      <c r="V8" s="344">
        <f>VLOOKUP(A8,'BSE ALL CAP'!$B$4:$Y$1034,21,)</f>
        <v>-0.19940111610181022</v>
      </c>
      <c r="W8" s="344">
        <f>VLOOKUP(A8,'BSE ALL CAP'!$B$4:$Y$1034,22,)</f>
        <v>-0.22480620155038755</v>
      </c>
      <c r="X8" s="344">
        <f>VLOOKUP(A8,'BSE ALL CAP'!$B$4:$Y$1034,23,)</f>
        <v>-0.18905472636815923</v>
      </c>
      <c r="Y8" s="344">
        <f>VLOOKUP(A8,'BSE ALL CAP'!$B$4:$Y$1034,24,)</f>
        <v>0.16279069767441867</v>
      </c>
    </row>
    <row r="9" spans="1:25" ht="14.4">
      <c r="A9" s="99">
        <v>544280</v>
      </c>
      <c r="B9" s="98" t="s">
        <v>5935</v>
      </c>
      <c r="C9" s="360" t="str">
        <f>VLOOKUP(A9,'BSE ALL CAP'!$B$4:$Y$1034,2,)</f>
        <v>Industrials</v>
      </c>
      <c r="D9" s="360" t="str">
        <f>VLOOKUP(A9,'BSE ALL CAP'!$B$4:$Y$1034,3,)</f>
        <v>Civil Construction</v>
      </c>
      <c r="E9" s="101">
        <f ca="1">IFERROR(__xludf.DUMMYFUNCTION("GOOGLEFINANCE(""BOM:""&amp;A9,""PRICE"")"),286.95)</f>
        <v>286.95</v>
      </c>
      <c r="F9" s="112">
        <f ca="1">IFERROR(__xludf.DUMMYFUNCTION("GOOGLEFINANCE(""BOM:""&amp;A9,""MARKETCAP"")/10000000"),10540.7068604)</f>
        <v>10540.7068604</v>
      </c>
      <c r="G9" s="95">
        <f t="shared" ca="1" si="0"/>
        <v>1.2714692006378368E-2</v>
      </c>
      <c r="H9" s="174">
        <f>VLOOKUP(A9,'BSE ALL CAP'!$B$4:$Y$1034,7,)</f>
        <v>9334</v>
      </c>
      <c r="I9" s="174">
        <f>VLOOKUP(A9,'BSE ALL CAP'!$B$4:$Y$1034,8,)</f>
        <v>9325</v>
      </c>
      <c r="J9" s="174">
        <f>VLOOKUP(A9,'BSE ALL CAP'!$B$4:$Y$1034,9,)</f>
        <v>339</v>
      </c>
      <c r="K9" s="174">
        <f>VLOOKUP(A9,'BSE ALL CAP'!$B$4:$Y$1034,10,)</f>
        <v>376</v>
      </c>
      <c r="L9" s="174">
        <f>VLOOKUP(A9,'BSE ALL CAP'!$B$4:$Y$1034,11,)</f>
        <v>2976</v>
      </c>
      <c r="M9" s="174">
        <f>VLOOKUP(A9,'BSE ALL CAP'!$B$4:$Y$1034,12,)</f>
        <v>3211</v>
      </c>
      <c r="N9" s="174">
        <f>VLOOKUP(A9,'BSE ALL CAP'!$B$4:$Y$1034,13,)</f>
        <v>81</v>
      </c>
      <c r="O9" s="174">
        <f>VLOOKUP(A9,'BSE ALL CAP'!$B$4:$Y$1034,14,)</f>
        <v>149</v>
      </c>
      <c r="P9" s="344">
        <f>VLOOKUP(A9,'BSE ALL CAP'!$B$4:$Y$1034,15,)</f>
        <v>3.6318834368973645E-2</v>
      </c>
      <c r="Q9" s="344">
        <f>VLOOKUP(A9,'BSE ALL CAP'!$B$4:$Y$1034,16,)</f>
        <v>4.0321715817694372E-2</v>
      </c>
      <c r="R9" s="344">
        <f>VLOOKUP(A9,'BSE ALL CAP'!$B$4:$Y$1034,17,)</f>
        <v>-4.002881448720727E-3</v>
      </c>
      <c r="S9" s="345">
        <f>VLOOKUP(A9,'BSE ALL CAP'!$B$4:$Y$1034,18,)</f>
        <v>2.7217741935483871E-2</v>
      </c>
      <c r="T9" s="346">
        <f>VLOOKUP(A9,'BSE ALL CAP'!$B$4:$Y$1034,19,)</f>
        <v>4.6402989722827782E-2</v>
      </c>
      <c r="U9" s="344">
        <f>VLOOKUP(A9,'BSE ALL CAP'!$B$4:$Y$1034,20,)</f>
        <v>-1.9185247787343911E-2</v>
      </c>
      <c r="V9" s="344">
        <f>VLOOKUP(A9,'BSE ALL CAP'!$B$4:$Y$1034,21,)</f>
        <v>9.6514745308318162E-4</v>
      </c>
      <c r="W9" s="344">
        <f>VLOOKUP(A9,'BSE ALL CAP'!$B$4:$Y$1034,22,)</f>
        <v>-9.8404255319148981E-2</v>
      </c>
      <c r="X9" s="344">
        <f>VLOOKUP(A9,'BSE ALL CAP'!$B$4:$Y$1034,23,)</f>
        <v>-7.3185923388352503E-2</v>
      </c>
      <c r="Y9" s="344">
        <f>VLOOKUP(A9,'BSE ALL CAP'!$B$4:$Y$1034,24,)</f>
        <v>-0.4563758389261745</v>
      </c>
    </row>
    <row r="10" spans="1:25" ht="14.4">
      <c r="A10" s="99">
        <v>542141</v>
      </c>
      <c r="B10" s="98" t="s">
        <v>5936</v>
      </c>
      <c r="C10" s="360" t="str">
        <f>VLOOKUP(A10,'BSE ALL CAP'!$B$4:$Y$1034,2,)</f>
        <v>Industrials</v>
      </c>
      <c r="D10" s="360" t="str">
        <f>VLOOKUP(A10,'BSE ALL CAP'!$B$4:$Y$1034,3,)</f>
        <v>Civil Construction</v>
      </c>
      <c r="E10" s="101">
        <f ca="1">IFERROR(__xludf.DUMMYFUNCTION("GOOGLEFINANCE(""BOM:""&amp;A10,""PRICE"")"),1055.45)</f>
        <v>1055.45</v>
      </c>
      <c r="F10" s="112">
        <f ca="1">IFERROR(__xludf.DUMMYFUNCTION("GOOGLEFINANCE(""BOM:""&amp;A10,""MARKETCAP"")/10000000"),12279.8883117)</f>
        <v>12279.8883117</v>
      </c>
      <c r="G10" s="95">
        <f t="shared" ca="1" si="0"/>
        <v>1.4812573750871404E-2</v>
      </c>
      <c r="H10" s="174">
        <f>VLOOKUP(A10,'BSE ALL CAP'!$B$4:$Y$1034,7,)</f>
        <v>2241</v>
      </c>
      <c r="I10" s="174">
        <f>VLOOKUP(A10,'BSE ALL CAP'!$B$4:$Y$1034,8,)</f>
        <v>1452</v>
      </c>
      <c r="J10" s="174">
        <f>VLOOKUP(A10,'BSE ALL CAP'!$B$4:$Y$1034,9,)</f>
        <v>359</v>
      </c>
      <c r="K10" s="174">
        <f>VLOOKUP(A10,'BSE ALL CAP'!$B$4:$Y$1034,10,)</f>
        <v>288</v>
      </c>
      <c r="L10" s="174">
        <f>VLOOKUP(A10,'BSE ALL CAP'!$B$4:$Y$1034,11,)</f>
        <v>872</v>
      </c>
      <c r="M10" s="174">
        <f>VLOOKUP(A10,'BSE ALL CAP'!$B$4:$Y$1034,12,)</f>
        <v>636</v>
      </c>
      <c r="N10" s="174">
        <f>VLOOKUP(A10,'BSE ALL CAP'!$B$4:$Y$1034,13,)</f>
        <v>119</v>
      </c>
      <c r="O10" s="174">
        <f>VLOOKUP(A10,'BSE ALL CAP'!$B$4:$Y$1034,14,)</f>
        <v>95</v>
      </c>
      <c r="P10" s="344">
        <f>VLOOKUP(A10,'BSE ALL CAP'!$B$4:$Y$1034,15,)</f>
        <v>0.16019634091923249</v>
      </c>
      <c r="Q10" s="344">
        <f>VLOOKUP(A10,'BSE ALL CAP'!$B$4:$Y$1034,16,)</f>
        <v>0.19834710743801653</v>
      </c>
      <c r="R10" s="344">
        <f>VLOOKUP(A10,'BSE ALL CAP'!$B$4:$Y$1034,17,)</f>
        <v>-3.8150766518784046E-2</v>
      </c>
      <c r="S10" s="345">
        <f>VLOOKUP(A10,'BSE ALL CAP'!$B$4:$Y$1034,18,)</f>
        <v>0.13646788990825687</v>
      </c>
      <c r="T10" s="346">
        <f>VLOOKUP(A10,'BSE ALL CAP'!$B$4:$Y$1034,19,)</f>
        <v>0.14937106918238993</v>
      </c>
      <c r="U10" s="344">
        <f>VLOOKUP(A10,'BSE ALL CAP'!$B$4:$Y$1034,20,)</f>
        <v>-1.2903179274133064E-2</v>
      </c>
      <c r="V10" s="344">
        <f>VLOOKUP(A10,'BSE ALL CAP'!$B$4:$Y$1034,21,)</f>
        <v>0.54338842975206614</v>
      </c>
      <c r="W10" s="344">
        <f>VLOOKUP(A10,'BSE ALL CAP'!$B$4:$Y$1034,22,)</f>
        <v>0.24652777777777768</v>
      </c>
      <c r="X10" s="344">
        <f>VLOOKUP(A10,'BSE ALL CAP'!$B$4:$Y$1034,23,)</f>
        <v>0.37106918238993702</v>
      </c>
      <c r="Y10" s="344">
        <f>VLOOKUP(A10,'BSE ALL CAP'!$B$4:$Y$1034,24,)</f>
        <v>0.25263157894736832</v>
      </c>
    </row>
    <row r="11" spans="1:25" ht="14.4">
      <c r="A11" s="99">
        <v>509496</v>
      </c>
      <c r="B11" s="98" t="s">
        <v>5937</v>
      </c>
      <c r="C11" s="360" t="str">
        <f>VLOOKUP(A11,'BSE ALL CAP'!$B$4:$Y$1034,2,)</f>
        <v>Industrials</v>
      </c>
      <c r="D11" s="360" t="str">
        <f>VLOOKUP(A11,'BSE ALL CAP'!$B$4:$Y$1034,3,)</f>
        <v>Civil Construction</v>
      </c>
      <c r="E11" s="101">
        <f ca="1">IFERROR(__xludf.DUMMYFUNCTION("GOOGLEFINANCE(""BOM:""&amp;A11,""PRICE"")"),554.25)</f>
        <v>554.25</v>
      </c>
      <c r="F11" s="112">
        <f ca="1">IFERROR(__xludf.DUMMYFUNCTION("GOOGLEFINANCE(""BOM:""&amp;A11,""MARKETCAP"")/10000000"),9516.1687722)</f>
        <v>9516.1687722000006</v>
      </c>
      <c r="G11" s="95">
        <f t="shared" ca="1" si="0"/>
        <v>1.1478846402018931E-2</v>
      </c>
      <c r="H11" s="174">
        <f>VLOOKUP(A11,'BSE ALL CAP'!$B$4:$Y$1034,7,)</f>
        <v>7087</v>
      </c>
      <c r="I11" s="174">
        <f>VLOOKUP(A11,'BSE ALL CAP'!$B$4:$Y$1034,8,)</f>
        <v>6714</v>
      </c>
      <c r="J11" s="174">
        <f>VLOOKUP(A11,'BSE ALL CAP'!$B$4:$Y$1034,9,)</f>
        <v>356</v>
      </c>
      <c r="K11" s="174">
        <f>VLOOKUP(A11,'BSE ALL CAP'!$B$4:$Y$1034,10,)</f>
        <v>259</v>
      </c>
      <c r="L11" s="174">
        <f>VLOOKUP(A11,'BSE ALL CAP'!$B$4:$Y$1034,11,)</f>
        <v>2315</v>
      </c>
      <c r="M11" s="174">
        <f>VLOOKUP(A11,'BSE ALL CAP'!$B$4:$Y$1034,12,)</f>
        <v>2270</v>
      </c>
      <c r="N11" s="174">
        <f>VLOOKUP(A11,'BSE ALL CAP'!$B$4:$Y$1034,13,)</f>
        <v>111</v>
      </c>
      <c r="O11" s="174">
        <f>VLOOKUP(A11,'BSE ALL CAP'!$B$4:$Y$1034,14,)</f>
        <v>87</v>
      </c>
      <c r="P11" s="344">
        <f>VLOOKUP(A11,'BSE ALL CAP'!$B$4:$Y$1034,15,)</f>
        <v>5.0232820657541977E-2</v>
      </c>
      <c r="Q11" s="344">
        <f>VLOOKUP(A11,'BSE ALL CAP'!$B$4:$Y$1034,16,)</f>
        <v>3.8576109621686026E-2</v>
      </c>
      <c r="R11" s="344">
        <f>VLOOKUP(A11,'BSE ALL CAP'!$B$4:$Y$1034,17,)</f>
        <v>1.165671103585595E-2</v>
      </c>
      <c r="S11" s="345">
        <f>VLOOKUP(A11,'BSE ALL CAP'!$B$4:$Y$1034,18,)</f>
        <v>4.7948164146868248E-2</v>
      </c>
      <c r="T11" s="346">
        <f>VLOOKUP(A11,'BSE ALL CAP'!$B$4:$Y$1034,19,)</f>
        <v>3.8325991189427311E-2</v>
      </c>
      <c r="U11" s="344">
        <f>VLOOKUP(A11,'BSE ALL CAP'!$B$4:$Y$1034,20,)</f>
        <v>9.6221729574409373E-3</v>
      </c>
      <c r="V11" s="344">
        <f>VLOOKUP(A11,'BSE ALL CAP'!$B$4:$Y$1034,21,)</f>
        <v>5.555555555555558E-2</v>
      </c>
      <c r="W11" s="344">
        <f>VLOOKUP(A11,'BSE ALL CAP'!$B$4:$Y$1034,22,)</f>
        <v>0.37451737451737444</v>
      </c>
      <c r="X11" s="344">
        <f>VLOOKUP(A11,'BSE ALL CAP'!$B$4:$Y$1034,23,)</f>
        <v>1.982378854625555E-2</v>
      </c>
      <c r="Y11" s="344">
        <f>VLOOKUP(A11,'BSE ALL CAP'!$B$4:$Y$1034,24,)</f>
        <v>0.27586206896551735</v>
      </c>
    </row>
    <row r="12" spans="1:25" ht="14.4">
      <c r="A12" s="99">
        <v>541556</v>
      </c>
      <c r="B12" s="98" t="s">
        <v>5938</v>
      </c>
      <c r="C12" s="360" t="str">
        <f>VLOOKUP(A12,'BSE ALL CAP'!$B$4:$Y$1034,2,)</f>
        <v>Industrials</v>
      </c>
      <c r="D12" s="360" t="str">
        <f>VLOOKUP(A12,'BSE ALL CAP'!$B$4:$Y$1034,3,)</f>
        <v>Civil Construction</v>
      </c>
      <c r="E12" s="101">
        <f ca="1">IFERROR(__xludf.DUMMYFUNCTION("GOOGLEFINANCE(""BOM:""&amp;A12,""PRICE"")"),190.75)</f>
        <v>190.75</v>
      </c>
      <c r="F12" s="112">
        <f ca="1">IFERROR(__xludf.DUMMYFUNCTION("GOOGLEFINANCE(""BOM:""&amp;A12,""MARKETCAP"")/10000000"),9151.453445)</f>
        <v>9151.4534449999992</v>
      </c>
      <c r="G12" s="95">
        <f t="shared" ca="1" si="0"/>
        <v>1.1038909771888839E-2</v>
      </c>
      <c r="H12" s="174">
        <f>VLOOKUP(A12,'BSE ALL CAP'!$B$4:$Y$1034,7,)</f>
        <v>1647</v>
      </c>
      <c r="I12" s="174">
        <f>VLOOKUP(A12,'BSE ALL CAP'!$B$4:$Y$1034,8,)</f>
        <v>1602</v>
      </c>
      <c r="J12" s="174">
        <f>VLOOKUP(A12,'BSE ALL CAP'!$B$4:$Y$1034,9,)</f>
        <v>315</v>
      </c>
      <c r="K12" s="174">
        <f>VLOOKUP(A12,'BSE ALL CAP'!$B$4:$Y$1034,10,)</f>
        <v>282</v>
      </c>
      <c r="L12" s="174">
        <f>VLOOKUP(A12,'BSE ALL CAP'!$B$4:$Y$1034,11,)</f>
        <v>609</v>
      </c>
      <c r="M12" s="174">
        <f>VLOOKUP(A12,'BSE ALL CAP'!$B$4:$Y$1034,12,)</f>
        <v>576</v>
      </c>
      <c r="N12" s="174">
        <f>VLOOKUP(A12,'BSE ALL CAP'!$B$4:$Y$1034,13,)</f>
        <v>115</v>
      </c>
      <c r="O12" s="174">
        <f>VLOOKUP(A12,'BSE ALL CAP'!$B$4:$Y$1034,14,)</f>
        <v>109</v>
      </c>
      <c r="P12" s="344">
        <f>VLOOKUP(A12,'BSE ALL CAP'!$B$4:$Y$1034,15,)</f>
        <v>0.19125683060109289</v>
      </c>
      <c r="Q12" s="344">
        <f>VLOOKUP(A12,'BSE ALL CAP'!$B$4:$Y$1034,16,)</f>
        <v>0.17602996254681649</v>
      </c>
      <c r="R12" s="344">
        <f>VLOOKUP(A12,'BSE ALL CAP'!$B$4:$Y$1034,17,)</f>
        <v>1.5226868054276393E-2</v>
      </c>
      <c r="S12" s="345">
        <f>VLOOKUP(A12,'BSE ALL CAP'!$B$4:$Y$1034,18,)</f>
        <v>0.18883415435139572</v>
      </c>
      <c r="T12" s="346">
        <f>VLOOKUP(A12,'BSE ALL CAP'!$B$4:$Y$1034,19,)</f>
        <v>0.1892361111111111</v>
      </c>
      <c r="U12" s="344">
        <f>VLOOKUP(A12,'BSE ALL CAP'!$B$4:$Y$1034,20,)</f>
        <v>-4.0195675971538281E-4</v>
      </c>
      <c r="V12" s="344">
        <f>VLOOKUP(A12,'BSE ALL CAP'!$B$4:$Y$1034,21,)</f>
        <v>2.8089887640449396E-2</v>
      </c>
      <c r="W12" s="344">
        <f>VLOOKUP(A12,'BSE ALL CAP'!$B$4:$Y$1034,22,)</f>
        <v>0.11702127659574457</v>
      </c>
      <c r="X12" s="344">
        <f>VLOOKUP(A12,'BSE ALL CAP'!$B$4:$Y$1034,23,)</f>
        <v>5.7291666666666741E-2</v>
      </c>
      <c r="Y12" s="344">
        <f>VLOOKUP(A12,'BSE ALL CAP'!$B$4:$Y$1034,24,)</f>
        <v>5.504587155963292E-2</v>
      </c>
    </row>
    <row r="13" spans="1:25" ht="14.4">
      <c r="A13" s="99">
        <v>532178</v>
      </c>
      <c r="B13" s="98" t="s">
        <v>5939</v>
      </c>
      <c r="C13" s="360" t="str">
        <f>VLOOKUP(A13,'BSE ALL CAP'!$B$4:$Y$1034,2,)</f>
        <v>Industrials</v>
      </c>
      <c r="D13" s="360" t="str">
        <f>VLOOKUP(A13,'BSE ALL CAP'!$B$4:$Y$1034,3,)</f>
        <v>Civil Construction</v>
      </c>
      <c r="E13" s="101">
        <f ca="1">IFERROR(__xludf.DUMMYFUNCTION("GOOGLEFINANCE(""BOM:""&amp;A13,""PRICE"")"),202.6)</f>
        <v>202.6</v>
      </c>
      <c r="F13" s="112">
        <f ca="1">IFERROR(__xludf.DUMMYFUNCTION("GOOGLEFINANCE(""BOM:""&amp;A13,""MARKETCAP"")/10000000"),11392.5972494)</f>
        <v>11392.5972494</v>
      </c>
      <c r="G13" s="95">
        <f t="shared" ca="1" si="0"/>
        <v>1.3742281907395484E-2</v>
      </c>
      <c r="H13" s="174">
        <f>VLOOKUP(A13,'BSE ALL CAP'!$B$4:$Y$1034,7,)</f>
        <v>30001</v>
      </c>
      <c r="I13" s="174">
        <f>VLOOKUP(A13,'BSE ALL CAP'!$B$4:$Y$1034,8,)</f>
        <v>2077</v>
      </c>
      <c r="J13" s="174">
        <f>VLOOKUP(A13,'BSE ALL CAP'!$B$4:$Y$1034,9,)</f>
        <v>496</v>
      </c>
      <c r="K13" s="174">
        <f>VLOOKUP(A13,'BSE ALL CAP'!$B$4:$Y$1034,10,)</f>
        <v>299</v>
      </c>
      <c r="L13" s="174">
        <f>VLOOKUP(A13,'BSE ALL CAP'!$B$4:$Y$1034,11,)</f>
        <v>1210</v>
      </c>
      <c r="M13" s="174">
        <f>VLOOKUP(A13,'BSE ALL CAP'!$B$4:$Y$1034,12,)</f>
        <v>764</v>
      </c>
      <c r="N13" s="174">
        <f>VLOOKUP(A13,'BSE ALL CAP'!$B$4:$Y$1034,13,)</f>
        <v>347</v>
      </c>
      <c r="O13" s="174">
        <f>VLOOKUP(A13,'BSE ALL CAP'!$B$4:$Y$1034,14,)</f>
        <v>108</v>
      </c>
      <c r="P13" s="344">
        <f>VLOOKUP(A13,'BSE ALL CAP'!$B$4:$Y$1034,15,)</f>
        <v>1.653278224059198E-2</v>
      </c>
      <c r="Q13" s="344">
        <f>VLOOKUP(A13,'BSE ALL CAP'!$B$4:$Y$1034,16,)</f>
        <v>0.1439576311988445</v>
      </c>
      <c r="R13" s="344">
        <f>VLOOKUP(A13,'BSE ALL CAP'!$B$4:$Y$1034,17,)</f>
        <v>-0.12742484895825251</v>
      </c>
      <c r="S13" s="345">
        <f>VLOOKUP(A13,'BSE ALL CAP'!$B$4:$Y$1034,18,)</f>
        <v>0.28677685950413223</v>
      </c>
      <c r="T13" s="346">
        <f>VLOOKUP(A13,'BSE ALL CAP'!$B$4:$Y$1034,19,)</f>
        <v>0.14136125654450263</v>
      </c>
      <c r="U13" s="344">
        <f>VLOOKUP(A13,'BSE ALL CAP'!$B$4:$Y$1034,20,)</f>
        <v>0.1454156029596296</v>
      </c>
      <c r="V13" s="344">
        <f>VLOOKUP(A13,'BSE ALL CAP'!$B$4:$Y$1034,21,)</f>
        <v>13.44439094848339</v>
      </c>
      <c r="W13" s="344">
        <f>VLOOKUP(A13,'BSE ALL CAP'!$B$4:$Y$1034,22,)</f>
        <v>0.65886287625418061</v>
      </c>
      <c r="X13" s="344">
        <f>VLOOKUP(A13,'BSE ALL CAP'!$B$4:$Y$1034,23,)</f>
        <v>0.58376963350785349</v>
      </c>
      <c r="Y13" s="344">
        <f>VLOOKUP(A13,'BSE ALL CAP'!$B$4:$Y$1034,24,)</f>
        <v>2.2129629629629628</v>
      </c>
    </row>
    <row r="14" spans="1:25" ht="14.4">
      <c r="A14" s="99">
        <v>543317</v>
      </c>
      <c r="B14" s="98" t="s">
        <v>5940</v>
      </c>
      <c r="C14" s="360" t="str">
        <f>VLOOKUP(A14,'BSE ALL CAP'!$B$4:$Y$1034,2,)</f>
        <v>Industrials</v>
      </c>
      <c r="D14" s="360" t="str">
        <f>VLOOKUP(A14,'BSE ALL CAP'!$B$4:$Y$1034,3,)</f>
        <v>Civil Construction</v>
      </c>
      <c r="E14" s="101">
        <f ca="1">IFERROR(__xludf.DUMMYFUNCTION("GOOGLEFINANCE(""BOM:""&amp;A14,""PRICE"")"),835.2)</f>
        <v>835.2</v>
      </c>
      <c r="F14" s="112">
        <f ca="1">IFERROR(__xludf.DUMMYFUNCTION("GOOGLEFINANCE(""BOM:""&amp;A14,""MARKETCAP"")/10000000"),8082.6556349)</f>
        <v>8082.6556349000002</v>
      </c>
      <c r="G14" s="95">
        <f t="shared" ca="1" si="0"/>
        <v>9.7496760276542058E-3</v>
      </c>
      <c r="H14" s="174">
        <f>VLOOKUP(A14,'BSE ALL CAP'!$B$4:$Y$1034,7,)</f>
        <v>5898</v>
      </c>
      <c r="I14" s="174">
        <f>VLOOKUP(A14,'BSE ALL CAP'!$B$4:$Y$1034,8,)</f>
        <v>5119</v>
      </c>
      <c r="J14" s="174">
        <f>VLOOKUP(A14,'BSE ALL CAP'!$B$4:$Y$1034,9,)</f>
        <v>692</v>
      </c>
      <c r="K14" s="174">
        <f>VLOOKUP(A14,'BSE ALL CAP'!$B$4:$Y$1034,10,)</f>
        <v>612</v>
      </c>
      <c r="L14" s="174">
        <f>VLOOKUP(A14,'BSE ALL CAP'!$B$4:$Y$1034,11,)</f>
        <v>2308</v>
      </c>
      <c r="M14" s="174">
        <f>VLOOKUP(A14,'BSE ALL CAP'!$B$4:$Y$1034,12,)</f>
        <v>1694</v>
      </c>
      <c r="N14" s="174">
        <f>VLOOKUP(A14,'BSE ALL CAP'!$B$4:$Y$1034,13,)</f>
        <v>258</v>
      </c>
      <c r="O14" s="174">
        <f>VLOOKUP(A14,'BSE ALL CAP'!$B$4:$Y$1034,14,)</f>
        <v>262</v>
      </c>
      <c r="P14" s="344">
        <f>VLOOKUP(A14,'BSE ALL CAP'!$B$4:$Y$1034,15,)</f>
        <v>0.11732790776534419</v>
      </c>
      <c r="Q14" s="344">
        <f>VLOOKUP(A14,'BSE ALL CAP'!$B$4:$Y$1034,16,)</f>
        <v>0.1195546005079117</v>
      </c>
      <c r="R14" s="344">
        <f>VLOOKUP(A14,'BSE ALL CAP'!$B$4:$Y$1034,17,)</f>
        <v>-2.2266927425675098E-3</v>
      </c>
      <c r="S14" s="345">
        <f>VLOOKUP(A14,'BSE ALL CAP'!$B$4:$Y$1034,18,)</f>
        <v>0.11178509532062392</v>
      </c>
      <c r="T14" s="346">
        <f>VLOOKUP(A14,'BSE ALL CAP'!$B$4:$Y$1034,19,)</f>
        <v>0.15466351829988192</v>
      </c>
      <c r="U14" s="344">
        <f>VLOOKUP(A14,'BSE ALL CAP'!$B$4:$Y$1034,20,)</f>
        <v>-4.2878422979258007E-2</v>
      </c>
      <c r="V14" s="344">
        <f>VLOOKUP(A14,'BSE ALL CAP'!$B$4:$Y$1034,21,)</f>
        <v>0.15217815979683524</v>
      </c>
      <c r="W14" s="344">
        <f>VLOOKUP(A14,'BSE ALL CAP'!$B$4:$Y$1034,22,)</f>
        <v>0.13071895424836599</v>
      </c>
      <c r="X14" s="344">
        <f>VLOOKUP(A14,'BSE ALL CAP'!$B$4:$Y$1034,23,)</f>
        <v>0.36245572609208976</v>
      </c>
      <c r="Y14" s="344">
        <f>VLOOKUP(A14,'BSE ALL CAP'!$B$4:$Y$1034,24,)</f>
        <v>-1.5267175572519109E-2</v>
      </c>
    </row>
    <row r="15" spans="1:25" ht="14.4">
      <c r="A15" s="99">
        <v>500294</v>
      </c>
      <c r="B15" s="98" t="s">
        <v>5941</v>
      </c>
      <c r="C15" s="360" t="str">
        <f>VLOOKUP(A15,'BSE ALL CAP'!$B$4:$Y$1034,2,)</f>
        <v>Industrials</v>
      </c>
      <c r="D15" s="360" t="str">
        <f>VLOOKUP(A15,'BSE ALL CAP'!$B$4:$Y$1034,3,)</f>
        <v>Civil Construction</v>
      </c>
      <c r="E15" s="101">
        <f ca="1">IFERROR(__xludf.DUMMYFUNCTION("GOOGLEFINANCE(""BOM:""&amp;A15,""PRICE"")"),140.85)</f>
        <v>140.85</v>
      </c>
      <c r="F15" s="112">
        <f ca="1">IFERROR(__xludf.DUMMYFUNCTION("GOOGLEFINANCE(""BOM:""&amp;A15,""MARKETCAP"")/10000000"),8850.7521871)</f>
        <v>8850.7521871000008</v>
      </c>
      <c r="G15" s="95">
        <f t="shared" ca="1" si="0"/>
        <v>1.0676189896384783E-2</v>
      </c>
      <c r="H15" s="174">
        <f>VLOOKUP(A15,'BSE ALL CAP'!$B$4:$Y$1034,7,)</f>
        <v>14590</v>
      </c>
      <c r="I15" s="174">
        <f>VLOOKUP(A15,'BSE ALL CAP'!$B$4:$Y$1034,8,)</f>
        <v>16068</v>
      </c>
      <c r="J15" s="174">
        <f>VLOOKUP(A15,'BSE ALL CAP'!$B$4:$Y$1034,9,)</f>
        <v>507</v>
      </c>
      <c r="K15" s="174">
        <f>VLOOKUP(A15,'BSE ALL CAP'!$B$4:$Y$1034,10,)</f>
        <v>603</v>
      </c>
      <c r="L15" s="174">
        <f>VLOOKUP(A15,'BSE ALL CAP'!$B$4:$Y$1034,11,)</f>
        <v>4868</v>
      </c>
      <c r="M15" s="174">
        <f>VLOOKUP(A15,'BSE ALL CAP'!$B$4:$Y$1034,12,)</f>
        <v>5344</v>
      </c>
      <c r="N15" s="174">
        <f>VLOOKUP(A15,'BSE ALL CAP'!$B$4:$Y$1034,13,)</f>
        <v>135</v>
      </c>
      <c r="O15" s="174">
        <f>VLOOKUP(A15,'BSE ALL CAP'!$B$4:$Y$1034,14,)</f>
        <v>206</v>
      </c>
      <c r="P15" s="344">
        <f>VLOOKUP(A15,'BSE ALL CAP'!$B$4:$Y$1034,15,)</f>
        <v>3.474982864976011E-2</v>
      </c>
      <c r="Q15" s="344">
        <f>VLOOKUP(A15,'BSE ALL CAP'!$B$4:$Y$1034,16,)</f>
        <v>3.7528005974607918E-2</v>
      </c>
      <c r="R15" s="344">
        <f>VLOOKUP(A15,'BSE ALL CAP'!$B$4:$Y$1034,17,)</f>
        <v>-2.7781773248478081E-3</v>
      </c>
      <c r="S15" s="345">
        <f>VLOOKUP(A15,'BSE ALL CAP'!$B$4:$Y$1034,18,)</f>
        <v>2.7732128184059162E-2</v>
      </c>
      <c r="T15" s="346">
        <f>VLOOKUP(A15,'BSE ALL CAP'!$B$4:$Y$1034,19,)</f>
        <v>3.8547904191616765E-2</v>
      </c>
      <c r="U15" s="344">
        <f>VLOOKUP(A15,'BSE ALL CAP'!$B$4:$Y$1034,20,)</f>
        <v>-1.0815776007557603E-2</v>
      </c>
      <c r="V15" s="344">
        <f>VLOOKUP(A15,'BSE ALL CAP'!$B$4:$Y$1034,21,)</f>
        <v>-9.1984067712223005E-2</v>
      </c>
      <c r="W15" s="344">
        <f>VLOOKUP(A15,'BSE ALL CAP'!$B$4:$Y$1034,22,)</f>
        <v>-0.15920398009950254</v>
      </c>
      <c r="X15" s="344">
        <f>VLOOKUP(A15,'BSE ALL CAP'!$B$4:$Y$1034,23,)</f>
        <v>-8.90718562874252E-2</v>
      </c>
      <c r="Y15" s="344">
        <f>VLOOKUP(A15,'BSE ALL CAP'!$B$4:$Y$1034,24,)</f>
        <v>-0.34466019417475724</v>
      </c>
    </row>
    <row r="16" spans="1:25" ht="14.4">
      <c r="A16" s="99">
        <v>540047</v>
      </c>
      <c r="B16" s="98" t="s">
        <v>5942</v>
      </c>
      <c r="C16" s="360" t="str">
        <f>VLOOKUP(A16,'BSE ALL CAP'!$B$4:$Y$1034,2,)</f>
        <v>Industrials</v>
      </c>
      <c r="D16" s="360" t="str">
        <f>VLOOKUP(A16,'BSE ALL CAP'!$B$4:$Y$1034,3,)</f>
        <v>Civil Construction</v>
      </c>
      <c r="E16" s="101">
        <f ca="1">IFERROR(__xludf.DUMMYFUNCTION("GOOGLEFINANCE(""BOM:""&amp;A16,""PRICE"")"),402.7)</f>
        <v>402.7</v>
      </c>
      <c r="F16" s="112">
        <f ca="1">IFERROR(__xludf.DUMMYFUNCTION("GOOGLEFINANCE(""BOM:""&amp;A16,""MARKETCAP"")/10000000"),6542.46432)</f>
        <v>6542.46432</v>
      </c>
      <c r="G16" s="95">
        <f t="shared" ca="1" si="0"/>
        <v>7.8918254622975977E-3</v>
      </c>
      <c r="H16" s="174">
        <f>VLOOKUP(A16,'BSE ALL CAP'!$B$4:$Y$1034,7,)</f>
        <v>6684</v>
      </c>
      <c r="I16" s="174">
        <f>VLOOKUP(A16,'BSE ALL CAP'!$B$4:$Y$1034,8,)</f>
        <v>8220</v>
      </c>
      <c r="J16" s="174">
        <f>VLOOKUP(A16,'BSE ALL CAP'!$B$4:$Y$1034,9,)</f>
        <v>1274</v>
      </c>
      <c r="K16" s="174">
        <f>VLOOKUP(A16,'BSE ALL CAP'!$B$4:$Y$1034,10,)</f>
        <v>563</v>
      </c>
      <c r="L16" s="174">
        <f>VLOOKUP(A16,'BSE ALL CAP'!$B$4:$Y$1034,11,)</f>
        <v>2137</v>
      </c>
      <c r="M16" s="174">
        <f>VLOOKUP(A16,'BSE ALL CAP'!$B$4:$Y$1034,12,)</f>
        <v>2589</v>
      </c>
      <c r="N16" s="174">
        <f>VLOOKUP(A16,'BSE ALL CAP'!$B$4:$Y$1034,13,)</f>
        <v>788</v>
      </c>
      <c r="O16" s="174">
        <f>VLOOKUP(A16,'BSE ALL CAP'!$B$4:$Y$1034,14,)</f>
        <v>157</v>
      </c>
      <c r="P16" s="344">
        <f>VLOOKUP(A16,'BSE ALL CAP'!$B$4:$Y$1034,15,)</f>
        <v>0.19060442848593656</v>
      </c>
      <c r="Q16" s="344">
        <f>VLOOKUP(A16,'BSE ALL CAP'!$B$4:$Y$1034,16,)</f>
        <v>6.8491484184914839E-2</v>
      </c>
      <c r="R16" s="344">
        <f>VLOOKUP(A16,'BSE ALL CAP'!$B$4:$Y$1034,17,)</f>
        <v>0.12211294430102172</v>
      </c>
      <c r="S16" s="345">
        <f>VLOOKUP(A16,'BSE ALL CAP'!$B$4:$Y$1034,18,)</f>
        <v>0.36874122601778192</v>
      </c>
      <c r="T16" s="346">
        <f>VLOOKUP(A16,'BSE ALL CAP'!$B$4:$Y$1034,19,)</f>
        <v>6.0641174198532252E-2</v>
      </c>
      <c r="U16" s="344">
        <f>VLOOKUP(A16,'BSE ALL CAP'!$B$4:$Y$1034,20,)</f>
        <v>0.30810005181924965</v>
      </c>
      <c r="V16" s="344">
        <f>VLOOKUP(A16,'BSE ALL CAP'!$B$4:$Y$1034,21,)</f>
        <v>-0.18686131386861315</v>
      </c>
      <c r="W16" s="344">
        <f>VLOOKUP(A16,'BSE ALL CAP'!$B$4:$Y$1034,22,)</f>
        <v>1.2628774422735347</v>
      </c>
      <c r="X16" s="344">
        <f>VLOOKUP(A16,'BSE ALL CAP'!$B$4:$Y$1034,23,)</f>
        <v>-0.17458478176902281</v>
      </c>
      <c r="Y16" s="344">
        <f>VLOOKUP(A16,'BSE ALL CAP'!$B$4:$Y$1034,24,)</f>
        <v>4.0191082802547768</v>
      </c>
    </row>
    <row r="17" spans="1:25" ht="14.4">
      <c r="A17" s="99">
        <v>532553</v>
      </c>
      <c r="B17" s="98" t="s">
        <v>5943</v>
      </c>
      <c r="C17" s="360" t="str">
        <f>VLOOKUP(A17,'BSE ALL CAP'!$B$4:$Y$1034,2,)</f>
        <v>Industrials</v>
      </c>
      <c r="D17" s="360" t="str">
        <f>VLOOKUP(A17,'BSE ALL CAP'!$B$4:$Y$1034,3,)</f>
        <v>Civil Construction</v>
      </c>
      <c r="E17" s="101">
        <f ca="1">IFERROR(__xludf.DUMMYFUNCTION("GOOGLEFINANCE(""BOM:""&amp;A17,""PRICE"")"),440.75)</f>
        <v>440.75</v>
      </c>
      <c r="F17" s="112">
        <f ca="1">IFERROR(__xludf.DUMMYFUNCTION("GOOGLEFINANCE(""BOM:""&amp;A17,""MARKETCAP"")/10000000"),6029.384333)</f>
        <v>6029.384333</v>
      </c>
      <c r="G17" s="95">
        <f t="shared" ca="1" si="0"/>
        <v>7.2729244629870012E-3</v>
      </c>
      <c r="H17" s="174">
        <f>VLOOKUP(A17,'BSE ALL CAP'!$B$4:$Y$1034,7,)</f>
        <v>2416</v>
      </c>
      <c r="I17" s="174">
        <f>VLOOKUP(A17,'BSE ALL CAP'!$B$4:$Y$1034,8,)</f>
        <v>2641</v>
      </c>
      <c r="J17" s="174">
        <f>VLOOKUP(A17,'BSE ALL CAP'!$B$4:$Y$1034,9,)</f>
        <v>230</v>
      </c>
      <c r="K17" s="174">
        <f>VLOOKUP(A17,'BSE ALL CAP'!$B$4:$Y$1034,10,)</f>
        <v>248</v>
      </c>
      <c r="L17" s="174">
        <f>VLOOKUP(A17,'BSE ALL CAP'!$B$4:$Y$1034,11,)</f>
        <v>789</v>
      </c>
      <c r="M17" s="174">
        <f>VLOOKUP(A17,'BSE ALL CAP'!$B$4:$Y$1034,12,)</f>
        <v>896</v>
      </c>
      <c r="N17" s="174">
        <f>VLOOKUP(A17,'BSE ALL CAP'!$B$4:$Y$1034,13,)</f>
        <v>31</v>
      </c>
      <c r="O17" s="174">
        <f>VLOOKUP(A17,'BSE ALL CAP'!$B$4:$Y$1034,14,)</f>
        <v>77</v>
      </c>
      <c r="P17" s="344">
        <f>VLOOKUP(A17,'BSE ALL CAP'!$B$4:$Y$1034,15,)</f>
        <v>9.5198675496688742E-2</v>
      </c>
      <c r="Q17" s="344">
        <f>VLOOKUP(A17,'BSE ALL CAP'!$B$4:$Y$1034,16,)</f>
        <v>9.3903824308973871E-2</v>
      </c>
      <c r="R17" s="344">
        <f>VLOOKUP(A17,'BSE ALL CAP'!$B$4:$Y$1034,17,)</f>
        <v>1.2948511877148711E-3</v>
      </c>
      <c r="S17" s="345">
        <f>VLOOKUP(A17,'BSE ALL CAP'!$B$4:$Y$1034,18,)</f>
        <v>3.9290240811153357E-2</v>
      </c>
      <c r="T17" s="346">
        <f>VLOOKUP(A17,'BSE ALL CAP'!$B$4:$Y$1034,19,)</f>
        <v>8.59375E-2</v>
      </c>
      <c r="U17" s="344">
        <f>VLOOKUP(A17,'BSE ALL CAP'!$B$4:$Y$1034,20,)</f>
        <v>-4.6647259188846643E-2</v>
      </c>
      <c r="V17" s="344">
        <f>VLOOKUP(A17,'BSE ALL CAP'!$B$4:$Y$1034,21,)</f>
        <v>-8.5195001893222266E-2</v>
      </c>
      <c r="W17" s="344">
        <f>VLOOKUP(A17,'BSE ALL CAP'!$B$4:$Y$1034,22,)</f>
        <v>-7.2580645161290369E-2</v>
      </c>
      <c r="X17" s="344">
        <f>VLOOKUP(A17,'BSE ALL CAP'!$B$4:$Y$1034,23,)</f>
        <v>-0.1194196428571429</v>
      </c>
      <c r="Y17" s="344">
        <f>VLOOKUP(A17,'BSE ALL CAP'!$B$4:$Y$1034,24,)</f>
        <v>-0.59740259740259738</v>
      </c>
    </row>
    <row r="18" spans="1:25" ht="14.4">
      <c r="A18" s="99">
        <v>539302</v>
      </c>
      <c r="B18" s="98" t="s">
        <v>5944</v>
      </c>
      <c r="C18" s="360" t="str">
        <f>VLOOKUP(A18,'BSE ALL CAP'!$B$4:$Y$1034,2,)</f>
        <v>Industrials</v>
      </c>
      <c r="D18" s="360" t="str">
        <f>VLOOKUP(A18,'BSE ALL CAP'!$B$4:$Y$1034,3,)</f>
        <v>Civil Construction</v>
      </c>
      <c r="E18" s="101">
        <f ca="1">IFERROR(__xludf.DUMMYFUNCTION("GOOGLEFINANCE(""BOM:""&amp;A18,""PRICE"")"),1925.65)</f>
        <v>1925.65</v>
      </c>
      <c r="F18" s="112">
        <f ca="1">IFERROR(__xludf.DUMMYFUNCTION("GOOGLEFINANCE(""BOM:""&amp;A18,""MARKETCAP"")/10000000"),6085.1871819)</f>
        <v>6085.1871818999998</v>
      </c>
      <c r="G18" s="95">
        <f t="shared" ca="1" si="0"/>
        <v>7.3402364607722285E-3</v>
      </c>
      <c r="H18" s="174">
        <f>VLOOKUP(A18,'BSE ALL CAP'!$B$4:$Y$1034,7,)</f>
        <v>3951</v>
      </c>
      <c r="I18" s="174">
        <f>VLOOKUP(A18,'BSE ALL CAP'!$B$4:$Y$1034,8,)</f>
        <v>3381</v>
      </c>
      <c r="J18" s="174">
        <f>VLOOKUP(A18,'BSE ALL CAP'!$B$4:$Y$1034,9,)</f>
        <v>258</v>
      </c>
      <c r="K18" s="174">
        <f>VLOOKUP(A18,'BSE ALL CAP'!$B$4:$Y$1034,10,)</f>
        <v>218</v>
      </c>
      <c r="L18" s="174">
        <f>VLOOKUP(A18,'BSE ALL CAP'!$B$4:$Y$1034,11,)</f>
        <v>1420</v>
      </c>
      <c r="M18" s="174">
        <f>VLOOKUP(A18,'BSE ALL CAP'!$B$4:$Y$1034,12,)</f>
        <v>1338</v>
      </c>
      <c r="N18" s="174">
        <f>VLOOKUP(A18,'BSE ALL CAP'!$B$4:$Y$1034,13,)</f>
        <v>100</v>
      </c>
      <c r="O18" s="174">
        <f>VLOOKUP(A18,'BSE ALL CAP'!$B$4:$Y$1034,14,)</f>
        <v>86</v>
      </c>
      <c r="P18" s="344">
        <f>VLOOKUP(A18,'BSE ALL CAP'!$B$4:$Y$1034,15,)</f>
        <v>6.5299924069855728E-2</v>
      </c>
      <c r="Q18" s="344">
        <f>VLOOKUP(A18,'BSE ALL CAP'!$B$4:$Y$1034,16,)</f>
        <v>6.4477965099083115E-2</v>
      </c>
      <c r="R18" s="344">
        <f>VLOOKUP(A18,'BSE ALL CAP'!$B$4:$Y$1034,17,)</f>
        <v>8.2195897077261271E-4</v>
      </c>
      <c r="S18" s="345">
        <f>VLOOKUP(A18,'BSE ALL CAP'!$B$4:$Y$1034,18,)</f>
        <v>7.0422535211267609E-2</v>
      </c>
      <c r="T18" s="346">
        <f>VLOOKUP(A18,'BSE ALL CAP'!$B$4:$Y$1034,19,)</f>
        <v>6.4275037369207769E-2</v>
      </c>
      <c r="U18" s="344">
        <f>VLOOKUP(A18,'BSE ALL CAP'!$B$4:$Y$1034,20,)</f>
        <v>6.1474978420598403E-3</v>
      </c>
      <c r="V18" s="344">
        <f>VLOOKUP(A18,'BSE ALL CAP'!$B$4:$Y$1034,21,)</f>
        <v>0.16858917480035496</v>
      </c>
      <c r="W18" s="344">
        <f>VLOOKUP(A18,'BSE ALL CAP'!$B$4:$Y$1034,22,)</f>
        <v>0.1834862385321101</v>
      </c>
      <c r="X18" s="344">
        <f>VLOOKUP(A18,'BSE ALL CAP'!$B$4:$Y$1034,23,)</f>
        <v>6.1285500747384258E-2</v>
      </c>
      <c r="Y18" s="344">
        <f>VLOOKUP(A18,'BSE ALL CAP'!$B$4:$Y$1034,24,)</f>
        <v>0.16279069767441867</v>
      </c>
    </row>
    <row r="19" spans="1:25" ht="14.4">
      <c r="A19" s="99">
        <v>532811</v>
      </c>
      <c r="B19" s="98" t="s">
        <v>5945</v>
      </c>
      <c r="C19" s="360" t="str">
        <f>VLOOKUP(A19,'BSE ALL CAP'!$B$4:$Y$1034,2,)</f>
        <v>Industrials</v>
      </c>
      <c r="D19" s="360" t="str">
        <f>VLOOKUP(A19,'BSE ALL CAP'!$B$4:$Y$1034,3,)</f>
        <v>Civil Construction</v>
      </c>
      <c r="E19" s="101">
        <f ca="1">IFERROR(__xludf.DUMMYFUNCTION("GOOGLEFINANCE(""BOM:""&amp;A19,""PRICE"")"),714.1)</f>
        <v>714.1</v>
      </c>
      <c r="F19" s="112">
        <f ca="1">IFERROR(__xludf.DUMMYFUNCTION("GOOGLEFINANCE(""BOM:""&amp;A19,""MARKETCAP"")/10000000"),4798.3181247)</f>
        <v>4798.3181247000002</v>
      </c>
      <c r="G19" s="95">
        <f t="shared" ca="1" si="0"/>
        <v>5.787955012143119E-3</v>
      </c>
      <c r="H19" s="174">
        <f>VLOOKUP(A19,'BSE ALL CAP'!$B$4:$Y$1034,7,)</f>
        <v>3242</v>
      </c>
      <c r="I19" s="174">
        <f>VLOOKUP(A19,'BSE ALL CAP'!$B$4:$Y$1034,8,)</f>
        <v>2882</v>
      </c>
      <c r="J19" s="174">
        <f>VLOOKUP(A19,'BSE ALL CAP'!$B$4:$Y$1034,9,)</f>
        <v>184</v>
      </c>
      <c r="K19" s="174">
        <f>VLOOKUP(A19,'BSE ALL CAP'!$B$4:$Y$1034,10,)</f>
        <v>118</v>
      </c>
      <c r="L19" s="174">
        <f>VLOOKUP(A19,'BSE ALL CAP'!$B$4:$Y$1034,11,)</f>
        <v>1060</v>
      </c>
      <c r="M19" s="174">
        <f>VLOOKUP(A19,'BSE ALL CAP'!$B$4:$Y$1034,12,)</f>
        <v>951</v>
      </c>
      <c r="N19" s="174">
        <f>VLOOKUP(A19,'BSE ALL CAP'!$B$4:$Y$1034,13,)</f>
        <v>54</v>
      </c>
      <c r="O19" s="174">
        <f>VLOOKUP(A19,'BSE ALL CAP'!$B$4:$Y$1034,14,)</f>
        <v>49</v>
      </c>
      <c r="P19" s="344">
        <f>VLOOKUP(A19,'BSE ALL CAP'!$B$4:$Y$1034,15,)</f>
        <v>5.6755089450956198E-2</v>
      </c>
      <c r="Q19" s="344">
        <f>VLOOKUP(A19,'BSE ALL CAP'!$B$4:$Y$1034,16,)</f>
        <v>4.0943789035392086E-2</v>
      </c>
      <c r="R19" s="344">
        <f>VLOOKUP(A19,'BSE ALL CAP'!$B$4:$Y$1034,17,)</f>
        <v>1.5811300415564111E-2</v>
      </c>
      <c r="S19" s="345">
        <f>VLOOKUP(A19,'BSE ALL CAP'!$B$4:$Y$1034,18,)</f>
        <v>5.0943396226415097E-2</v>
      </c>
      <c r="T19" s="346">
        <f>VLOOKUP(A19,'BSE ALL CAP'!$B$4:$Y$1034,19,)</f>
        <v>5.152471083070452E-2</v>
      </c>
      <c r="U19" s="344">
        <f>VLOOKUP(A19,'BSE ALL CAP'!$B$4:$Y$1034,20,)</f>
        <v>-5.813146042894235E-4</v>
      </c>
      <c r="V19" s="344">
        <f>VLOOKUP(A19,'BSE ALL CAP'!$B$4:$Y$1034,21,)</f>
        <v>0.12491325468424708</v>
      </c>
      <c r="W19" s="344">
        <f>VLOOKUP(A19,'BSE ALL CAP'!$B$4:$Y$1034,22,)</f>
        <v>0.55932203389830515</v>
      </c>
      <c r="X19" s="344">
        <f>VLOOKUP(A19,'BSE ALL CAP'!$B$4:$Y$1034,23,)</f>
        <v>0.11461619348054675</v>
      </c>
      <c r="Y19" s="344">
        <f>VLOOKUP(A19,'BSE ALL CAP'!$B$4:$Y$1034,24,)</f>
        <v>0.1020408163265305</v>
      </c>
    </row>
    <row r="20" spans="1:25" ht="14.4">
      <c r="A20" s="99">
        <v>539150</v>
      </c>
      <c r="B20" s="98" t="s">
        <v>5946</v>
      </c>
      <c r="C20" s="360" t="str">
        <f>VLOOKUP(A20,'BSE ALL CAP'!$B$4:$Y$1034,2,)</f>
        <v>Industrials</v>
      </c>
      <c r="D20" s="360" t="str">
        <f>VLOOKUP(A20,'BSE ALL CAP'!$B$4:$Y$1034,3,)</f>
        <v>Civil Construction</v>
      </c>
      <c r="E20" s="101">
        <f ca="1">IFERROR(__xludf.DUMMYFUNCTION("GOOGLEFINANCE(""BOM:""&amp;A20,""PRICE"")"),174.95)</f>
        <v>174.95</v>
      </c>
      <c r="F20" s="112">
        <f ca="1">IFERROR(__xludf.DUMMYFUNCTION("GOOGLEFINANCE(""BOM:""&amp;A20,""MARKETCAP"")/10000000"),4487.6382884)</f>
        <v>4487.6382884000004</v>
      </c>
      <c r="G20" s="95">
        <f t="shared" ca="1" si="0"/>
        <v>5.413198510187173E-3</v>
      </c>
      <c r="H20" s="174">
        <f>VLOOKUP(A20,'BSE ALL CAP'!$B$4:$Y$1034,7,)</f>
        <v>3751</v>
      </c>
      <c r="I20" s="174">
        <f>VLOOKUP(A20,'BSE ALL CAP'!$B$4:$Y$1034,8,)</f>
        <v>5064</v>
      </c>
      <c r="J20" s="174">
        <f>VLOOKUP(A20,'BSE ALL CAP'!$B$4:$Y$1034,9,)</f>
        <v>723</v>
      </c>
      <c r="K20" s="174">
        <f>VLOOKUP(A20,'BSE ALL CAP'!$B$4:$Y$1034,10,)</f>
        <v>739</v>
      </c>
      <c r="L20" s="174">
        <f>VLOOKUP(A20,'BSE ALL CAP'!$B$4:$Y$1034,11,)</f>
        <v>1200</v>
      </c>
      <c r="M20" s="174">
        <f>VLOOKUP(A20,'BSE ALL CAP'!$B$4:$Y$1034,12,)</f>
        <v>1470</v>
      </c>
      <c r="N20" s="174">
        <f>VLOOKUP(A20,'BSE ALL CAP'!$B$4:$Y$1034,13,)</f>
        <v>76</v>
      </c>
      <c r="O20" s="174">
        <f>VLOOKUP(A20,'BSE ALL CAP'!$B$4:$Y$1034,14,)</f>
        <v>81</v>
      </c>
      <c r="P20" s="344">
        <f>VLOOKUP(A20,'BSE ALL CAP'!$B$4:$Y$1034,15,)</f>
        <v>0.1927486003732338</v>
      </c>
      <c r="Q20" s="344">
        <f>VLOOKUP(A20,'BSE ALL CAP'!$B$4:$Y$1034,16,)</f>
        <v>0.14593206951026857</v>
      </c>
      <c r="R20" s="344">
        <f>VLOOKUP(A20,'BSE ALL CAP'!$B$4:$Y$1034,17,)</f>
        <v>4.6816530862965222E-2</v>
      </c>
      <c r="S20" s="345">
        <f>VLOOKUP(A20,'BSE ALL CAP'!$B$4:$Y$1034,18,)</f>
        <v>6.3333333333333339E-2</v>
      </c>
      <c r="T20" s="346">
        <f>VLOOKUP(A20,'BSE ALL CAP'!$B$4:$Y$1034,19,)</f>
        <v>5.5102040816326532E-2</v>
      </c>
      <c r="U20" s="344">
        <f>VLOOKUP(A20,'BSE ALL CAP'!$B$4:$Y$1034,20,)</f>
        <v>8.2312925170068066E-3</v>
      </c>
      <c r="V20" s="344">
        <f>VLOOKUP(A20,'BSE ALL CAP'!$B$4:$Y$1034,21,)</f>
        <v>-0.25928120063191151</v>
      </c>
      <c r="W20" s="344">
        <f>VLOOKUP(A20,'BSE ALL CAP'!$B$4:$Y$1034,22,)</f>
        <v>-2.1650879566982417E-2</v>
      </c>
      <c r="X20" s="344">
        <f>VLOOKUP(A20,'BSE ALL CAP'!$B$4:$Y$1034,23,)</f>
        <v>-0.18367346938775508</v>
      </c>
      <c r="Y20" s="344">
        <f>VLOOKUP(A20,'BSE ALL CAP'!$B$4:$Y$1034,24,)</f>
        <v>-6.1728395061728447E-2</v>
      </c>
    </row>
    <row r="21" spans="1:25" ht="14.4">
      <c r="A21" s="99">
        <v>533033</v>
      </c>
      <c r="B21" s="98" t="s">
        <v>5947</v>
      </c>
      <c r="C21" s="360" t="str">
        <f>VLOOKUP(A21,'BSE ALL CAP'!$B$4:$Y$1034,2,)</f>
        <v>Industrials</v>
      </c>
      <c r="D21" s="360" t="str">
        <f>VLOOKUP(A21,'BSE ALL CAP'!$B$4:$Y$1034,3,)</f>
        <v>Civil Construction</v>
      </c>
      <c r="E21" s="101">
        <f ca="1">IFERROR(__xludf.DUMMYFUNCTION("GOOGLEFINANCE(""BOM:""&amp;A21,""PRICE"")"),913.95)</f>
        <v>913.95</v>
      </c>
      <c r="F21" s="112">
        <f ca="1">IFERROR(__xludf.DUMMYFUNCTION("GOOGLEFINANCE(""BOM:""&amp;A21,""MARKETCAP"")/10000000"),6727.94925)</f>
        <v>6727.9492499999997</v>
      </c>
      <c r="G21" s="95">
        <f t="shared" ca="1" si="0"/>
        <v>8.1155660318826192E-3</v>
      </c>
      <c r="H21" s="174">
        <f>VLOOKUP(A21,'BSE ALL CAP'!$B$4:$Y$1034,7,)</f>
        <v>4770</v>
      </c>
      <c r="I21" s="174">
        <f>VLOOKUP(A21,'BSE ALL CAP'!$B$4:$Y$1034,8,)</f>
        <v>4677</v>
      </c>
      <c r="J21" s="174">
        <f>VLOOKUP(A21,'BSE ALL CAP'!$B$4:$Y$1034,9,)</f>
        <v>199</v>
      </c>
      <c r="K21" s="174">
        <f>VLOOKUP(A21,'BSE ALL CAP'!$B$4:$Y$1034,10,)</f>
        <v>185</v>
      </c>
      <c r="L21" s="174">
        <f>VLOOKUP(A21,'BSE ALL CAP'!$B$4:$Y$1034,11,)</f>
        <v>1738</v>
      </c>
      <c r="M21" s="174">
        <f>VLOOKUP(A21,'BSE ALL CAP'!$B$4:$Y$1034,12,)</f>
        <v>1495</v>
      </c>
      <c r="N21" s="174">
        <f>VLOOKUP(A21,'BSE ALL CAP'!$B$4:$Y$1034,13,)</f>
        <v>112</v>
      </c>
      <c r="O21" s="174">
        <f>VLOOKUP(A21,'BSE ALL CAP'!$B$4:$Y$1034,14,)</f>
        <v>58</v>
      </c>
      <c r="P21" s="344">
        <f>VLOOKUP(A21,'BSE ALL CAP'!$B$4:$Y$1034,15,)</f>
        <v>4.1719077568134172E-2</v>
      </c>
      <c r="Q21" s="344">
        <f>VLOOKUP(A21,'BSE ALL CAP'!$B$4:$Y$1034,16,)</f>
        <v>3.955527047252512E-2</v>
      </c>
      <c r="R21" s="344">
        <f>VLOOKUP(A21,'BSE ALL CAP'!$B$4:$Y$1034,17,)</f>
        <v>2.1638070956090522E-3</v>
      </c>
      <c r="S21" s="345">
        <f>VLOOKUP(A21,'BSE ALL CAP'!$B$4:$Y$1034,18,)</f>
        <v>6.4441887226697359E-2</v>
      </c>
      <c r="T21" s="346">
        <f>VLOOKUP(A21,'BSE ALL CAP'!$B$4:$Y$1034,19,)</f>
        <v>3.8795986622073578E-2</v>
      </c>
      <c r="U21" s="344">
        <f>VLOOKUP(A21,'BSE ALL CAP'!$B$4:$Y$1034,20,)</f>
        <v>2.5645900604623781E-2</v>
      </c>
      <c r="V21" s="344">
        <f>VLOOKUP(A21,'BSE ALL CAP'!$B$4:$Y$1034,21,)</f>
        <v>1.9884541372674702E-2</v>
      </c>
      <c r="W21" s="344">
        <f>VLOOKUP(A21,'BSE ALL CAP'!$B$4:$Y$1034,22,)</f>
        <v>7.5675675675675569E-2</v>
      </c>
      <c r="X21" s="344">
        <f>VLOOKUP(A21,'BSE ALL CAP'!$B$4:$Y$1034,23,)</f>
        <v>0.16254180602006696</v>
      </c>
      <c r="Y21" s="344">
        <f>VLOOKUP(A21,'BSE ALL CAP'!$B$4:$Y$1034,24,)</f>
        <v>0.93103448275862077</v>
      </c>
    </row>
    <row r="22" spans="1:25" ht="14.4">
      <c r="A22" s="99">
        <v>500185</v>
      </c>
      <c r="B22" s="98" t="s">
        <v>5948</v>
      </c>
      <c r="C22" s="360" t="str">
        <f>VLOOKUP(A22,'BSE ALL CAP'!$B$4:$Y$1034,2,)</f>
        <v>Industrials</v>
      </c>
      <c r="D22" s="360" t="str">
        <f>VLOOKUP(A22,'BSE ALL CAP'!$B$4:$Y$1034,3,)</f>
        <v>Civil Construction</v>
      </c>
      <c r="E22" s="101">
        <f ca="1">IFERROR(__xludf.DUMMYFUNCTION("GOOGLEFINANCE(""BOM:""&amp;A22,""PRICE"")"),15.48)</f>
        <v>15.48</v>
      </c>
      <c r="F22" s="112">
        <f ca="1">IFERROR(__xludf.DUMMYFUNCTION("GOOGLEFINANCE(""BOM:""&amp;A22,""MARKETCAP"")/10000000"),4054.936344)</f>
        <v>4054.9363440000002</v>
      </c>
      <c r="G22" s="95">
        <f t="shared" ca="1" si="0"/>
        <v>4.8912532529600608E-3</v>
      </c>
      <c r="H22" s="174">
        <f>VLOOKUP(A22,'BSE ALL CAP'!$B$4:$Y$1034,7,)</f>
        <v>2977</v>
      </c>
      <c r="I22" s="174">
        <f>VLOOKUP(A22,'BSE ALL CAP'!$B$4:$Y$1034,8,)</f>
        <v>4230</v>
      </c>
      <c r="J22" s="174">
        <f>VLOOKUP(A22,'BSE ALL CAP'!$B$4:$Y$1034,9,)</f>
        <v>106</v>
      </c>
      <c r="K22" s="174">
        <f>VLOOKUP(A22,'BSE ALL CAP'!$B$4:$Y$1034,10,)</f>
        <v>22</v>
      </c>
      <c r="L22" s="174">
        <f>VLOOKUP(A22,'BSE ALL CAP'!$B$4:$Y$1034,11,)</f>
        <v>925</v>
      </c>
      <c r="M22" s="174">
        <f>VLOOKUP(A22,'BSE ALL CAP'!$B$4:$Y$1034,12,)</f>
        <v>1007</v>
      </c>
      <c r="N22" s="174">
        <f>VLOOKUP(A22,'BSE ALL CAP'!$B$4:$Y$1034,13,)</f>
        <v>8</v>
      </c>
      <c r="O22" s="174">
        <f>VLOOKUP(A22,'BSE ALL CAP'!$B$4:$Y$1034,14,)</f>
        <v>-39</v>
      </c>
      <c r="P22" s="344">
        <f>VLOOKUP(A22,'BSE ALL CAP'!$B$4:$Y$1034,15,)</f>
        <v>3.5606315082297613E-2</v>
      </c>
      <c r="Q22" s="344">
        <f>VLOOKUP(A22,'BSE ALL CAP'!$B$4:$Y$1034,16,)</f>
        <v>5.2009456264775411E-3</v>
      </c>
      <c r="R22" s="344">
        <f>VLOOKUP(A22,'BSE ALL CAP'!$B$4:$Y$1034,17,)</f>
        <v>3.0405369455820071E-2</v>
      </c>
      <c r="S22" s="345">
        <f>VLOOKUP(A22,'BSE ALL CAP'!$B$4:$Y$1034,18,)</f>
        <v>8.6486486486486488E-3</v>
      </c>
      <c r="T22" s="346">
        <f>VLOOKUP(A22,'BSE ALL CAP'!$B$4:$Y$1034,19,)</f>
        <v>-3.8728897715988087E-2</v>
      </c>
      <c r="U22" s="344">
        <f>VLOOKUP(A22,'BSE ALL CAP'!$B$4:$Y$1034,20,)</f>
        <v>4.7377546364636737E-2</v>
      </c>
      <c r="V22" s="344">
        <f>VLOOKUP(A22,'BSE ALL CAP'!$B$4:$Y$1034,21,)</f>
        <v>-0.29621749408983455</v>
      </c>
      <c r="W22" s="344">
        <f>VLOOKUP(A22,'BSE ALL CAP'!$B$4:$Y$1034,22,)</f>
        <v>3.8181818181818183</v>
      </c>
      <c r="X22" s="344">
        <f>VLOOKUP(A22,'BSE ALL CAP'!$B$4:$Y$1034,23,)</f>
        <v>-8.1429990069513458E-2</v>
      </c>
      <c r="Y22" s="344">
        <f>VLOOKUP(A22,'BSE ALL CAP'!$B$4:$Y$1034,24,)</f>
        <v>-1.2051282051282051</v>
      </c>
    </row>
    <row r="23" spans="1:25" ht="14.4">
      <c r="A23" s="99">
        <v>544223</v>
      </c>
      <c r="B23" s="98" t="s">
        <v>5949</v>
      </c>
      <c r="C23" s="360" t="str">
        <f>VLOOKUP(A23,'BSE ALL CAP'!$B$4:$Y$1034,2,)</f>
        <v>Industrials</v>
      </c>
      <c r="D23" s="360" t="str">
        <f>VLOOKUP(A23,'BSE ALL CAP'!$B$4:$Y$1034,3,)</f>
        <v>Civil Construction</v>
      </c>
      <c r="E23" s="101">
        <f ca="1">IFERROR(__xludf.DUMMYFUNCTION("GOOGLEFINANCE(""BOM:""&amp;A23,""PRICE"")"),280.4)</f>
        <v>280.39999999999998</v>
      </c>
      <c r="F23" s="112">
        <f ca="1">IFERROR(__xludf.DUMMYFUNCTION("GOOGLEFINANCE(""BOM:""&amp;A23,""MARKETCAP"")/10000000"),4879.4765543)</f>
        <v>4879.4765543000003</v>
      </c>
      <c r="G23" s="95">
        <f t="shared" ca="1" si="0"/>
        <v>5.8858520934064323E-3</v>
      </c>
      <c r="H23" s="174">
        <f>VLOOKUP(A23,'BSE ALL CAP'!$B$4:$Y$1034,7,)</f>
        <v>2635</v>
      </c>
      <c r="I23" s="174">
        <f>VLOOKUP(A23,'BSE ALL CAP'!$B$4:$Y$1034,8,)</f>
        <v>2425</v>
      </c>
      <c r="J23" s="174">
        <f>VLOOKUP(A23,'BSE ALL CAP'!$B$4:$Y$1034,9,)</f>
        <v>181</v>
      </c>
      <c r="K23" s="174">
        <f>VLOOKUP(A23,'BSE ALL CAP'!$B$4:$Y$1034,10,)</f>
        <v>214</v>
      </c>
      <c r="L23" s="174">
        <f>VLOOKUP(A23,'BSE ALL CAP'!$B$4:$Y$1034,11,)</f>
        <v>991</v>
      </c>
      <c r="M23" s="174">
        <f>VLOOKUP(A23,'BSE ALL CAP'!$B$4:$Y$1034,12,)</f>
        <v>830</v>
      </c>
      <c r="N23" s="174">
        <f>VLOOKUP(A23,'BSE ALL CAP'!$B$4:$Y$1034,13,)</f>
        <v>72</v>
      </c>
      <c r="O23" s="174">
        <f>VLOOKUP(A23,'BSE ALL CAP'!$B$4:$Y$1034,14,)</f>
        <v>70</v>
      </c>
      <c r="P23" s="344">
        <f>VLOOKUP(A23,'BSE ALL CAP'!$B$4:$Y$1034,15,)</f>
        <v>6.8690702087286531E-2</v>
      </c>
      <c r="Q23" s="344">
        <f>VLOOKUP(A23,'BSE ALL CAP'!$B$4:$Y$1034,16,)</f>
        <v>8.8247422680412371E-2</v>
      </c>
      <c r="R23" s="344">
        <f>VLOOKUP(A23,'BSE ALL CAP'!$B$4:$Y$1034,17,)</f>
        <v>-1.955672059312584E-2</v>
      </c>
      <c r="S23" s="345">
        <f>VLOOKUP(A23,'BSE ALL CAP'!$B$4:$Y$1034,18,)</f>
        <v>7.2653884964682142E-2</v>
      </c>
      <c r="T23" s="346">
        <f>VLOOKUP(A23,'BSE ALL CAP'!$B$4:$Y$1034,19,)</f>
        <v>8.4337349397590355E-2</v>
      </c>
      <c r="U23" s="344">
        <f>VLOOKUP(A23,'BSE ALL CAP'!$B$4:$Y$1034,20,)</f>
        <v>-1.1683464432908214E-2</v>
      </c>
      <c r="V23" s="344">
        <f>VLOOKUP(A23,'BSE ALL CAP'!$B$4:$Y$1034,21,)</f>
        <v>8.6597938144329811E-2</v>
      </c>
      <c r="W23" s="344">
        <f>VLOOKUP(A23,'BSE ALL CAP'!$B$4:$Y$1034,22,)</f>
        <v>-0.15420560747663548</v>
      </c>
      <c r="X23" s="344">
        <f>VLOOKUP(A23,'BSE ALL CAP'!$B$4:$Y$1034,23,)</f>
        <v>0.19397590361445793</v>
      </c>
      <c r="Y23" s="344">
        <f>VLOOKUP(A23,'BSE ALL CAP'!$B$4:$Y$1034,24,)</f>
        <v>2.857142857142847E-2</v>
      </c>
    </row>
    <row r="24" spans="1:25" ht="14.4">
      <c r="A24" s="99">
        <v>533169</v>
      </c>
      <c r="B24" s="98" t="s">
        <v>5950</v>
      </c>
      <c r="C24" s="360" t="str">
        <f>VLOOKUP(A24,'BSE ALL CAP'!$B$4:$Y$1034,2,)</f>
        <v>Industrials</v>
      </c>
      <c r="D24" s="360" t="str">
        <f>VLOOKUP(A24,'BSE ALL CAP'!$B$4:$Y$1034,3,)</f>
        <v>Civil Construction</v>
      </c>
      <c r="E24" s="101">
        <f ca="1">IFERROR(__xludf.DUMMYFUNCTION("GOOGLEFINANCE(""BOM:""&amp;A24,""PRICE"")"),89.02)</f>
        <v>89.02</v>
      </c>
      <c r="F24" s="112">
        <f ca="1">IFERROR(__xludf.DUMMYFUNCTION("GOOGLEFINANCE(""BOM:""&amp;A24,""MARKETCAP"")/10000000"),3598.4900421)</f>
        <v>3598.4900421000002</v>
      </c>
      <c r="G24" s="95">
        <f t="shared" ca="1" si="0"/>
        <v>4.3406664447914233E-3</v>
      </c>
      <c r="H24" s="174">
        <f>VLOOKUP(A24,'BSE ALL CAP'!$B$4:$Y$1034,7,)</f>
        <v>484</v>
      </c>
      <c r="I24" s="174">
        <f>VLOOKUP(A24,'BSE ALL CAP'!$B$4:$Y$1034,8,)</f>
        <v>814</v>
      </c>
      <c r="J24" s="174">
        <f>VLOOKUP(A24,'BSE ALL CAP'!$B$4:$Y$1034,9,)</f>
        <v>169</v>
      </c>
      <c r="K24" s="174">
        <f>VLOOKUP(A24,'BSE ALL CAP'!$B$4:$Y$1034,10,)</f>
        <v>215</v>
      </c>
      <c r="L24" s="174">
        <f>VLOOKUP(A24,'BSE ALL CAP'!$B$4:$Y$1034,11,)</f>
        <v>153</v>
      </c>
      <c r="M24" s="174">
        <f>VLOOKUP(A24,'BSE ALL CAP'!$B$4:$Y$1034,12,)</f>
        <v>242</v>
      </c>
      <c r="N24" s="174">
        <f>VLOOKUP(A24,'BSE ALL CAP'!$B$4:$Y$1034,13,)</f>
        <v>51</v>
      </c>
      <c r="O24" s="174">
        <f>VLOOKUP(A24,'BSE ALL CAP'!$B$4:$Y$1034,14,)</f>
        <v>84</v>
      </c>
      <c r="P24" s="344">
        <f>VLOOKUP(A24,'BSE ALL CAP'!$B$4:$Y$1034,15,)</f>
        <v>0.34917355371900827</v>
      </c>
      <c r="Q24" s="344">
        <f>VLOOKUP(A24,'BSE ALL CAP'!$B$4:$Y$1034,16,)</f>
        <v>0.26412776412776412</v>
      </c>
      <c r="R24" s="344">
        <f>VLOOKUP(A24,'BSE ALL CAP'!$B$4:$Y$1034,17,)</f>
        <v>8.5045789591244147E-2</v>
      </c>
      <c r="S24" s="345">
        <f>VLOOKUP(A24,'BSE ALL CAP'!$B$4:$Y$1034,18,)</f>
        <v>0.33333333333333331</v>
      </c>
      <c r="T24" s="346">
        <f>VLOOKUP(A24,'BSE ALL CAP'!$B$4:$Y$1034,19,)</f>
        <v>0.34710743801652894</v>
      </c>
      <c r="U24" s="344">
        <f>VLOOKUP(A24,'BSE ALL CAP'!$B$4:$Y$1034,20,)</f>
        <v>-1.377410468319562E-2</v>
      </c>
      <c r="V24" s="344">
        <f>VLOOKUP(A24,'BSE ALL CAP'!$B$4:$Y$1034,21,)</f>
        <v>-0.40540540540540537</v>
      </c>
      <c r="W24" s="344">
        <f>VLOOKUP(A24,'BSE ALL CAP'!$B$4:$Y$1034,22,)</f>
        <v>-0.21395348837209305</v>
      </c>
      <c r="X24" s="344">
        <f>VLOOKUP(A24,'BSE ALL CAP'!$B$4:$Y$1034,23,)</f>
        <v>-0.36776859504132231</v>
      </c>
      <c r="Y24" s="344">
        <f>VLOOKUP(A24,'BSE ALL CAP'!$B$4:$Y$1034,24,)</f>
        <v>-0.3928571428571429</v>
      </c>
    </row>
    <row r="25" spans="1:25" ht="14.4">
      <c r="A25" s="99">
        <v>532940</v>
      </c>
      <c r="B25" s="98" t="s">
        <v>5951</v>
      </c>
      <c r="C25" s="360" t="str">
        <f>VLOOKUP(A25,'BSE ALL CAP'!$B$4:$Y$1034,2,)</f>
        <v>Industrials</v>
      </c>
      <c r="D25" s="360" t="str">
        <f>VLOOKUP(A25,'BSE ALL CAP'!$B$4:$Y$1034,3,)</f>
        <v>Civil Construction</v>
      </c>
      <c r="E25" s="101">
        <f ca="1">IFERROR(__xludf.DUMMYFUNCTION("GOOGLEFINANCE(""BOM:""&amp;A25,""PRICE"")"),457.8)</f>
        <v>457.8</v>
      </c>
      <c r="F25" s="112">
        <f ca="1">IFERROR(__xludf.DUMMYFUNCTION("GOOGLEFINANCE(""BOM:""&amp;A25,""MARKETCAP"")/10000000"),3461.3007283)</f>
        <v>3461.3007283000002</v>
      </c>
      <c r="G25" s="95">
        <f t="shared" ca="1" si="0"/>
        <v>4.1751822989333724E-3</v>
      </c>
      <c r="H25" s="174">
        <f>VLOOKUP(A25,'BSE ALL CAP'!$B$4:$Y$1034,7,)</f>
        <v>4137</v>
      </c>
      <c r="I25" s="174">
        <f>VLOOKUP(A25,'BSE ALL CAP'!$B$4:$Y$1034,8,)</f>
        <v>4060</v>
      </c>
      <c r="J25" s="174">
        <f>VLOOKUP(A25,'BSE ALL CAP'!$B$4:$Y$1034,9,)</f>
        <v>276</v>
      </c>
      <c r="K25" s="174">
        <f>VLOOKUP(A25,'BSE ALL CAP'!$B$4:$Y$1034,10,)</f>
        <v>277</v>
      </c>
      <c r="L25" s="174">
        <f>VLOOKUP(A25,'BSE ALL CAP'!$B$4:$Y$1034,11,)</f>
        <v>1311</v>
      </c>
      <c r="M25" s="174">
        <f>VLOOKUP(A25,'BSE ALL CAP'!$B$4:$Y$1034,12,)</f>
        <v>1486</v>
      </c>
      <c r="N25" s="174">
        <f>VLOOKUP(A25,'BSE ALL CAP'!$B$4:$Y$1034,13,)</f>
        <v>82</v>
      </c>
      <c r="O25" s="174">
        <f>VLOOKUP(A25,'BSE ALL CAP'!$B$4:$Y$1034,14,)</f>
        <v>99</v>
      </c>
      <c r="P25" s="344">
        <f>VLOOKUP(A25,'BSE ALL CAP'!$B$4:$Y$1034,15,)</f>
        <v>6.6715010877447425E-2</v>
      </c>
      <c r="Q25" s="344">
        <f>VLOOKUP(A25,'BSE ALL CAP'!$B$4:$Y$1034,16,)</f>
        <v>6.822660098522168E-2</v>
      </c>
      <c r="R25" s="344">
        <f>VLOOKUP(A25,'BSE ALL CAP'!$B$4:$Y$1034,17,)</f>
        <v>-1.511590107774255E-3</v>
      </c>
      <c r="S25" s="345">
        <f>VLOOKUP(A25,'BSE ALL CAP'!$B$4:$Y$1034,18,)</f>
        <v>6.2547673531655232E-2</v>
      </c>
      <c r="T25" s="346">
        <f>VLOOKUP(A25,'BSE ALL CAP'!$B$4:$Y$1034,19,)</f>
        <v>6.6621803499327059E-2</v>
      </c>
      <c r="U25" s="344">
        <f>VLOOKUP(A25,'BSE ALL CAP'!$B$4:$Y$1034,20,)</f>
        <v>-4.0741299676718273E-3</v>
      </c>
      <c r="V25" s="344">
        <f>VLOOKUP(A25,'BSE ALL CAP'!$B$4:$Y$1034,21,)</f>
        <v>1.8965517241379404E-2</v>
      </c>
      <c r="W25" s="344">
        <f>VLOOKUP(A25,'BSE ALL CAP'!$B$4:$Y$1034,22,)</f>
        <v>-3.6101083032491488E-3</v>
      </c>
      <c r="X25" s="344">
        <f>VLOOKUP(A25,'BSE ALL CAP'!$B$4:$Y$1034,23,)</f>
        <v>-0.11776581426648725</v>
      </c>
      <c r="Y25" s="344">
        <f>VLOOKUP(A25,'BSE ALL CAP'!$B$4:$Y$1034,24,)</f>
        <v>-0.17171717171717171</v>
      </c>
    </row>
    <row r="26" spans="1:25" ht="14.4">
      <c r="A26" s="99">
        <v>542760</v>
      </c>
      <c r="B26" s="98" t="s">
        <v>5952</v>
      </c>
      <c r="C26" s="360" t="str">
        <f>VLOOKUP(A26,'BSE ALL CAP'!$B$4:$Y$1034,2,)</f>
        <v>Industrials</v>
      </c>
      <c r="D26" s="360" t="str">
        <f>VLOOKUP(A26,'BSE ALL CAP'!$B$4:$Y$1034,3,)</f>
        <v>Civil Construction</v>
      </c>
      <c r="E26" s="101">
        <f ca="1">IFERROR(__xludf.DUMMYFUNCTION("GOOGLEFINANCE(""BOM:""&amp;A26,""PRICE"")"),166.55)</f>
        <v>166.55</v>
      </c>
      <c r="F26" s="112">
        <f ca="1">IFERROR(__xludf.DUMMYFUNCTION("GOOGLEFINANCE(""BOM:""&amp;A26,""MARKETCAP"")/10000000"),3890.6313882)</f>
        <v>3890.6313881999999</v>
      </c>
      <c r="G26" s="95">
        <f t="shared" ca="1" si="0"/>
        <v>4.6930609556325416E-3</v>
      </c>
      <c r="H26" s="174">
        <f>VLOOKUP(A26,'BSE ALL CAP'!$B$4:$Y$1034,7,)</f>
        <v>5602</v>
      </c>
      <c r="I26" s="174">
        <f>VLOOKUP(A26,'BSE ALL CAP'!$B$4:$Y$1034,8,)</f>
        <v>3782</v>
      </c>
      <c r="J26" s="174">
        <f>VLOOKUP(A26,'BSE ALL CAP'!$B$4:$Y$1034,9,)</f>
        <v>-437</v>
      </c>
      <c r="K26" s="174">
        <f>VLOOKUP(A26,'BSE ALL CAP'!$B$4:$Y$1034,10,)</f>
        <v>30</v>
      </c>
      <c r="L26" s="174">
        <f>VLOOKUP(A26,'BSE ALL CAP'!$B$4:$Y$1034,11,)</f>
        <v>2092</v>
      </c>
      <c r="M26" s="174">
        <f>VLOOKUP(A26,'BSE ALL CAP'!$B$4:$Y$1034,12,)</f>
        <v>1837</v>
      </c>
      <c r="N26" s="174">
        <f>VLOOKUP(A26,'BSE ALL CAP'!$B$4:$Y$1034,13,)</f>
        <v>1</v>
      </c>
      <c r="O26" s="174">
        <f>VLOOKUP(A26,'BSE ALL CAP'!$B$4:$Y$1034,14,)</f>
        <v>17</v>
      </c>
      <c r="P26" s="344">
        <f>VLOOKUP(A26,'BSE ALL CAP'!$B$4:$Y$1034,15,)</f>
        <v>-7.8007854337736521E-2</v>
      </c>
      <c r="Q26" s="344">
        <f>VLOOKUP(A26,'BSE ALL CAP'!$B$4:$Y$1034,16,)</f>
        <v>7.9323109465891072E-3</v>
      </c>
      <c r="R26" s="344">
        <f>VLOOKUP(A26,'BSE ALL CAP'!$B$4:$Y$1034,17,)</f>
        <v>-8.5940165284325631E-2</v>
      </c>
      <c r="S26" s="345">
        <f>VLOOKUP(A26,'BSE ALL CAP'!$B$4:$Y$1034,18,)</f>
        <v>4.7801147227533459E-4</v>
      </c>
      <c r="T26" s="346">
        <f>VLOOKUP(A26,'BSE ALL CAP'!$B$4:$Y$1034,19,)</f>
        <v>9.2542188350571587E-3</v>
      </c>
      <c r="U26" s="344">
        <f>VLOOKUP(A26,'BSE ALL CAP'!$B$4:$Y$1034,20,)</f>
        <v>-8.7762073627818248E-3</v>
      </c>
      <c r="V26" s="344">
        <f>VLOOKUP(A26,'BSE ALL CAP'!$B$4:$Y$1034,21,)</f>
        <v>0.48122686409307236</v>
      </c>
      <c r="W26" s="344">
        <f>VLOOKUP(A26,'BSE ALL CAP'!$B$4:$Y$1034,22,)</f>
        <v>-15.566666666666666</v>
      </c>
      <c r="X26" s="344">
        <f>VLOOKUP(A26,'BSE ALL CAP'!$B$4:$Y$1034,23,)</f>
        <v>0.13881328252585745</v>
      </c>
      <c r="Y26" s="344">
        <f>VLOOKUP(A26,'BSE ALL CAP'!$B$4:$Y$1034,24,)</f>
        <v>-0.94117647058823528</v>
      </c>
    </row>
    <row r="27" spans="1:25" ht="14.4">
      <c r="A27" s="99">
        <v>533271</v>
      </c>
      <c r="B27" s="98" t="s">
        <v>5953</v>
      </c>
      <c r="C27" s="360" t="str">
        <f>VLOOKUP(A27,'BSE ALL CAP'!$B$4:$Y$1034,2,)</f>
        <v>Industrials</v>
      </c>
      <c r="D27" s="360" t="str">
        <f>VLOOKUP(A27,'BSE ALL CAP'!$B$4:$Y$1034,3,)</f>
        <v>Civil Construction</v>
      </c>
      <c r="E27" s="101">
        <f ca="1">IFERROR(__xludf.DUMMYFUNCTION("GOOGLEFINANCE(""BOM:""&amp;A27,""PRICE"")"),112.3)</f>
        <v>112.3</v>
      </c>
      <c r="F27" s="112">
        <f ca="1">IFERROR(__xludf.DUMMYFUNCTION("GOOGLEFINANCE(""BOM:""&amp;A27,""MARKETCAP"")/10000000"),3152.2397156)</f>
        <v>3152.2397156000002</v>
      </c>
      <c r="G27" s="95">
        <f t="shared" ca="1" si="0"/>
        <v>3.802378497470785E-3</v>
      </c>
      <c r="H27" s="174">
        <f>VLOOKUP(A27,'BSE ALL CAP'!$B$4:$Y$1034,7,)</f>
        <v>5565</v>
      </c>
      <c r="I27" s="174">
        <f>VLOOKUP(A27,'BSE ALL CAP'!$B$4:$Y$1034,8,)</f>
        <v>7342</v>
      </c>
      <c r="J27" s="174">
        <f>VLOOKUP(A27,'BSE ALL CAP'!$B$4:$Y$1034,9,)</f>
        <v>2428</v>
      </c>
      <c r="K27" s="174">
        <f>VLOOKUP(A27,'BSE ALL CAP'!$B$4:$Y$1034,10,)</f>
        <v>1281</v>
      </c>
      <c r="L27" s="174">
        <f>VLOOKUP(A27,'BSE ALL CAP'!$B$4:$Y$1034,11,)</f>
        <v>1827</v>
      </c>
      <c r="M27" s="174">
        <f>VLOOKUP(A27,'BSE ALL CAP'!$B$4:$Y$1034,12,)</f>
        <v>2387</v>
      </c>
      <c r="N27" s="174">
        <f>VLOOKUP(A27,'BSE ALL CAP'!$B$4:$Y$1034,13,)</f>
        <v>2111</v>
      </c>
      <c r="O27" s="174">
        <f>VLOOKUP(A27,'BSE ALL CAP'!$B$4:$Y$1034,14,)</f>
        <v>661</v>
      </c>
      <c r="P27" s="344">
        <f>VLOOKUP(A27,'BSE ALL CAP'!$B$4:$Y$1034,15,)</f>
        <v>0.43629829290206651</v>
      </c>
      <c r="Q27" s="344">
        <f>VLOOKUP(A27,'BSE ALL CAP'!$B$4:$Y$1034,16,)</f>
        <v>0.17447561972214656</v>
      </c>
      <c r="R27" s="344">
        <f>VLOOKUP(A27,'BSE ALL CAP'!$B$4:$Y$1034,17,)</f>
        <v>0.26182267317991992</v>
      </c>
      <c r="S27" s="345">
        <f>VLOOKUP(A27,'BSE ALL CAP'!$B$4:$Y$1034,18,)</f>
        <v>1.1554460864805693</v>
      </c>
      <c r="T27" s="346">
        <f>VLOOKUP(A27,'BSE ALL CAP'!$B$4:$Y$1034,19,)</f>
        <v>0.27691663175534142</v>
      </c>
      <c r="U27" s="344">
        <f>VLOOKUP(A27,'BSE ALL CAP'!$B$4:$Y$1034,20,)</f>
        <v>0.87852945472522792</v>
      </c>
      <c r="V27" s="344">
        <f>VLOOKUP(A27,'BSE ALL CAP'!$B$4:$Y$1034,21,)</f>
        <v>-0.24203214383001903</v>
      </c>
      <c r="W27" s="344">
        <f>VLOOKUP(A27,'BSE ALL CAP'!$B$4:$Y$1034,22,)</f>
        <v>0.89539422326307583</v>
      </c>
      <c r="X27" s="344">
        <f>VLOOKUP(A27,'BSE ALL CAP'!$B$4:$Y$1034,23,)</f>
        <v>-0.23460410557184752</v>
      </c>
      <c r="Y27" s="344">
        <f>VLOOKUP(A27,'BSE ALL CAP'!$B$4:$Y$1034,24,)</f>
        <v>2.1936459909228443</v>
      </c>
    </row>
    <row r="28" spans="1:25" ht="14.4">
      <c r="A28" s="99">
        <v>541019</v>
      </c>
      <c r="B28" s="98" t="s">
        <v>5954</v>
      </c>
      <c r="C28" s="360" t="str">
        <f>VLOOKUP(A28,'BSE ALL CAP'!$B$4:$Y$1034,2,)</f>
        <v>Industrials</v>
      </c>
      <c r="D28" s="360" t="str">
        <f>VLOOKUP(A28,'BSE ALL CAP'!$B$4:$Y$1034,3,)</f>
        <v>Civil Construction</v>
      </c>
      <c r="E28" s="101">
        <f ca="1">IFERROR(__xludf.DUMMYFUNCTION("GOOGLEFINANCE(""BOM:""&amp;A28,""PRICE"")"),486.35)</f>
        <v>486.35</v>
      </c>
      <c r="F28" s="112">
        <f ca="1">IFERROR(__xludf.DUMMYFUNCTION("GOOGLEFINANCE(""BOM:""&amp;A28,""MARKETCAP"")/10000000"),3171.2257657)</f>
        <v>3171.2257657</v>
      </c>
      <c r="G28" s="95">
        <f t="shared" ca="1" si="0"/>
        <v>3.8252803562015387E-3</v>
      </c>
      <c r="H28" s="174">
        <f>VLOOKUP(A28,'BSE ALL CAP'!$B$4:$Y$1034,7,)</f>
        <v>3807</v>
      </c>
      <c r="I28" s="174">
        <f>VLOOKUP(A28,'BSE ALL CAP'!$B$4:$Y$1034,8,)</f>
        <v>3695</v>
      </c>
      <c r="J28" s="174">
        <f>VLOOKUP(A28,'BSE ALL CAP'!$B$4:$Y$1034,9,)</f>
        <v>245</v>
      </c>
      <c r="K28" s="174">
        <f>VLOOKUP(A28,'BSE ALL CAP'!$B$4:$Y$1034,10,)</f>
        <v>358</v>
      </c>
      <c r="L28" s="174">
        <f>VLOOKUP(A28,'BSE ALL CAP'!$B$4:$Y$1034,11,)</f>
        <v>1421</v>
      </c>
      <c r="M28" s="174">
        <f>VLOOKUP(A28,'BSE ALL CAP'!$B$4:$Y$1034,12,)</f>
        <v>1264</v>
      </c>
      <c r="N28" s="174">
        <f>VLOOKUP(A28,'BSE ALL CAP'!$B$4:$Y$1034,13,)</f>
        <v>94</v>
      </c>
      <c r="O28" s="174">
        <f>VLOOKUP(A28,'BSE ALL CAP'!$B$4:$Y$1034,14,)</f>
        <v>115</v>
      </c>
      <c r="P28" s="344">
        <f>VLOOKUP(A28,'BSE ALL CAP'!$B$4:$Y$1034,15,)</f>
        <v>6.4355135277121098E-2</v>
      </c>
      <c r="Q28" s="344">
        <f>VLOOKUP(A28,'BSE ALL CAP'!$B$4:$Y$1034,16,)</f>
        <v>9.6887686062246278E-2</v>
      </c>
      <c r="R28" s="344">
        <f>VLOOKUP(A28,'BSE ALL CAP'!$B$4:$Y$1034,17,)</f>
        <v>-3.2532550785125181E-2</v>
      </c>
      <c r="S28" s="345">
        <f>VLOOKUP(A28,'BSE ALL CAP'!$B$4:$Y$1034,18,)</f>
        <v>6.615059817030261E-2</v>
      </c>
      <c r="T28" s="346">
        <f>VLOOKUP(A28,'BSE ALL CAP'!$B$4:$Y$1034,19,)</f>
        <v>9.0981012658227847E-2</v>
      </c>
      <c r="U28" s="344">
        <f>VLOOKUP(A28,'BSE ALL CAP'!$B$4:$Y$1034,20,)</f>
        <v>-2.4830414487925237E-2</v>
      </c>
      <c r="V28" s="344">
        <f>VLOOKUP(A28,'BSE ALL CAP'!$B$4:$Y$1034,21,)</f>
        <v>3.0311231393775451E-2</v>
      </c>
      <c r="W28" s="344">
        <f>VLOOKUP(A28,'BSE ALL CAP'!$B$4:$Y$1034,22,)</f>
        <v>-0.31564245810055869</v>
      </c>
      <c r="X28" s="344">
        <f>VLOOKUP(A28,'BSE ALL CAP'!$B$4:$Y$1034,23,)</f>
        <v>0.12420886075949378</v>
      </c>
      <c r="Y28" s="344">
        <f>VLOOKUP(A28,'BSE ALL CAP'!$B$4:$Y$1034,24,)</f>
        <v>-0.18260869565217386</v>
      </c>
    </row>
    <row r="29" spans="1:25" ht="14.4">
      <c r="A29" s="99">
        <v>532942</v>
      </c>
      <c r="B29" s="98" t="s">
        <v>5955</v>
      </c>
      <c r="C29" s="360" t="str">
        <f>VLOOKUP(A29,'BSE ALL CAP'!$B$4:$Y$1034,2,)</f>
        <v>Industrials</v>
      </c>
      <c r="D29" s="360" t="str">
        <f>VLOOKUP(A29,'BSE ALL CAP'!$B$4:$Y$1034,3,)</f>
        <v>Civil Construction</v>
      </c>
      <c r="E29" s="101">
        <f ca="1">IFERROR(__xludf.DUMMYFUNCTION("GOOGLEFINANCE(""BOM:""&amp;A29,""PRICE"")"),115)</f>
        <v>115</v>
      </c>
      <c r="F29" s="112">
        <f ca="1">IFERROR(__xludf.DUMMYFUNCTION("GOOGLEFINANCE(""BOM:""&amp;A29,""MARKETCAP"")/10000000"),3233.3542305)</f>
        <v>3233.3542305000001</v>
      </c>
      <c r="G29" s="95">
        <f t="shared" ca="1" si="0"/>
        <v>3.9002226067757226E-3</v>
      </c>
      <c r="H29" s="174">
        <f>VLOOKUP(A29,'BSE ALL CAP'!$B$4:$Y$1034,7,)</f>
        <v>2002</v>
      </c>
      <c r="I29" s="174">
        <f>VLOOKUP(A29,'BSE ALL CAP'!$B$4:$Y$1034,8,)</f>
        <v>3777</v>
      </c>
      <c r="J29" s="174">
        <f>VLOOKUP(A29,'BSE ALL CAP'!$B$4:$Y$1034,9,)</f>
        <v>325</v>
      </c>
      <c r="K29" s="174">
        <f>VLOOKUP(A29,'BSE ALL CAP'!$B$4:$Y$1034,10,)</f>
        <v>1013</v>
      </c>
      <c r="L29" s="174">
        <f>VLOOKUP(A29,'BSE ALL CAP'!$B$4:$Y$1034,11,)</f>
        <v>743</v>
      </c>
      <c r="M29" s="174">
        <f>VLOOKUP(A29,'BSE ALL CAP'!$B$4:$Y$1034,12,)</f>
        <v>848</v>
      </c>
      <c r="N29" s="174">
        <f>VLOOKUP(A29,'BSE ALL CAP'!$B$4:$Y$1034,13,)</f>
        <v>101</v>
      </c>
      <c r="O29" s="174">
        <f>VLOOKUP(A29,'BSE ALL CAP'!$B$4:$Y$1034,14,)</f>
        <v>250</v>
      </c>
      <c r="P29" s="344">
        <f>VLOOKUP(A29,'BSE ALL CAP'!$B$4:$Y$1034,15,)</f>
        <v>0.16233766233766234</v>
      </c>
      <c r="Q29" s="344">
        <f>VLOOKUP(A29,'BSE ALL CAP'!$B$4:$Y$1034,16,)</f>
        <v>0.26820227693936988</v>
      </c>
      <c r="R29" s="344">
        <f>VLOOKUP(A29,'BSE ALL CAP'!$B$4:$Y$1034,17,)</f>
        <v>-0.10586461460170754</v>
      </c>
      <c r="S29" s="345">
        <f>VLOOKUP(A29,'BSE ALL CAP'!$B$4:$Y$1034,18,)</f>
        <v>0.13593539703903096</v>
      </c>
      <c r="T29" s="346">
        <f>VLOOKUP(A29,'BSE ALL CAP'!$B$4:$Y$1034,19,)</f>
        <v>0.294811320754717</v>
      </c>
      <c r="U29" s="344">
        <f>VLOOKUP(A29,'BSE ALL CAP'!$B$4:$Y$1034,20,)</f>
        <v>-0.15887592371568604</v>
      </c>
      <c r="V29" s="344">
        <f>VLOOKUP(A29,'BSE ALL CAP'!$B$4:$Y$1034,21,)</f>
        <v>-0.46994969552554933</v>
      </c>
      <c r="W29" s="344">
        <f>VLOOKUP(A29,'BSE ALL CAP'!$B$4:$Y$1034,22,)</f>
        <v>-0.67917077986179664</v>
      </c>
      <c r="X29" s="344">
        <f>VLOOKUP(A29,'BSE ALL CAP'!$B$4:$Y$1034,23,)</f>
        <v>-0.12382075471698117</v>
      </c>
      <c r="Y29" s="344">
        <f>VLOOKUP(A29,'BSE ALL CAP'!$B$4:$Y$1034,24,)</f>
        <v>-0.59599999999999997</v>
      </c>
    </row>
    <row r="30" spans="1:25" ht="14.4">
      <c r="A30" s="99">
        <v>544338</v>
      </c>
      <c r="B30" s="98" t="s">
        <v>5956</v>
      </c>
      <c r="C30" s="360" t="e">
        <f>VLOOKUP(A30,'BSE ALL CAP'!$B$4:$Y$1034,2,)</f>
        <v>#N/A</v>
      </c>
      <c r="D30" s="360" t="e">
        <f>VLOOKUP(A30,'BSE ALL CAP'!$B$4:$Y$1034,3,)</f>
        <v>#N/A</v>
      </c>
      <c r="E30" s="101">
        <f ca="1">IFERROR(__xludf.DUMMYFUNCTION("GOOGLEFINANCE(""BOM:""&amp;A30,""PRICE"")"),70.54)</f>
        <v>70.540000000000006</v>
      </c>
      <c r="F30" s="112">
        <f ca="1">IFERROR(__xludf.DUMMYFUNCTION("GOOGLEFINANCE(""BOM:""&amp;A30,""MARKETCAP"")/10000000"),3470.370533)</f>
        <v>3470.3705329999998</v>
      </c>
      <c r="G30" s="95">
        <f t="shared" ca="1" si="0"/>
        <v>4.1861227201827039E-3</v>
      </c>
      <c r="H30" s="174"/>
      <c r="I30" s="174"/>
      <c r="J30" s="174"/>
      <c r="K30" s="174"/>
      <c r="L30" s="174"/>
      <c r="M30" s="174"/>
      <c r="N30" s="174"/>
      <c r="O30" s="174"/>
      <c r="P30" s="344" t="e">
        <f>VLOOKUP(A30,'BSE ALL CAP'!$B$4:$Y$1034,15,)</f>
        <v>#N/A</v>
      </c>
      <c r="Q30" s="344" t="e">
        <f>VLOOKUP(A30,'BSE ALL CAP'!$B$4:$Y$1034,16,)</f>
        <v>#N/A</v>
      </c>
      <c r="R30" s="344" t="e">
        <f>VLOOKUP(A30,'BSE ALL CAP'!$B$4:$Y$1034,17,)</f>
        <v>#N/A</v>
      </c>
      <c r="S30" s="345" t="e">
        <f>VLOOKUP(A30,'BSE ALL CAP'!$B$4:$Y$1034,18,)</f>
        <v>#N/A</v>
      </c>
      <c r="T30" s="346" t="e">
        <f>VLOOKUP(A30,'BSE ALL CAP'!$B$4:$Y$1034,19,)</f>
        <v>#N/A</v>
      </c>
      <c r="U30" s="344" t="e">
        <f>VLOOKUP(A30,'BSE ALL CAP'!$B$4:$Y$1034,20,)</f>
        <v>#N/A</v>
      </c>
      <c r="V30" s="344" t="e">
        <f>VLOOKUP(A30,'BSE ALL CAP'!$B$4:$Y$1034,21,)</f>
        <v>#N/A</v>
      </c>
      <c r="W30" s="344" t="e">
        <f>VLOOKUP(A30,'BSE ALL CAP'!$B$4:$Y$1034,22,)</f>
        <v>#N/A</v>
      </c>
      <c r="X30" s="344" t="e">
        <f>VLOOKUP(A30,'BSE ALL CAP'!$B$4:$Y$1034,23,)</f>
        <v>#N/A</v>
      </c>
      <c r="Y30" s="344" t="e">
        <f>VLOOKUP(A30,'BSE ALL CAP'!$B$4:$Y$1034,24,)</f>
        <v>#N/A</v>
      </c>
    </row>
    <row r="31" spans="1:25" ht="14.4">
      <c r="A31" s="99">
        <v>533262</v>
      </c>
      <c r="B31" s="98" t="s">
        <v>5957</v>
      </c>
      <c r="C31" s="360" t="str">
        <f>VLOOKUP(A31,'BSE ALL CAP'!$B$4:$Y$1034,2,)</f>
        <v>Industrials</v>
      </c>
      <c r="D31" s="360" t="str">
        <f>VLOOKUP(A31,'BSE ALL CAP'!$B$4:$Y$1034,3,)</f>
        <v>Civil Construction</v>
      </c>
      <c r="E31" s="101">
        <f ca="1">IFERROR(__xludf.DUMMYFUNCTION("GOOGLEFINANCE(""BOM:""&amp;A31,""PRICE"")"),456.8)</f>
        <v>456.8</v>
      </c>
      <c r="F31" s="112">
        <f ca="1">IFERROR(__xludf.DUMMYFUNCTION("GOOGLEFINANCE(""BOM:""&amp;A31,""MARKETCAP"")/10000000"),3155.7651284)</f>
        <v>3155.7651283999999</v>
      </c>
      <c r="G31" s="95">
        <f t="shared" ca="1" si="0"/>
        <v>3.8066310147394076E-3</v>
      </c>
      <c r="H31" s="174">
        <f>VLOOKUP(A31,'BSE ALL CAP'!$B$4:$Y$1034,7,)</f>
        <v>1339</v>
      </c>
      <c r="I31" s="174">
        <f>VLOOKUP(A31,'BSE ALL CAP'!$B$4:$Y$1034,8,)</f>
        <v>1555</v>
      </c>
      <c r="J31" s="174">
        <f>VLOOKUP(A31,'BSE ALL CAP'!$B$4:$Y$1034,9,)</f>
        <v>230</v>
      </c>
      <c r="K31" s="174">
        <f>VLOOKUP(A31,'BSE ALL CAP'!$B$4:$Y$1034,10,)</f>
        <v>213</v>
      </c>
      <c r="L31" s="174">
        <f>VLOOKUP(A31,'BSE ALL CAP'!$B$4:$Y$1034,11,)</f>
        <v>488</v>
      </c>
      <c r="M31" s="174">
        <f>VLOOKUP(A31,'BSE ALL CAP'!$B$4:$Y$1034,12,)</f>
        <v>459</v>
      </c>
      <c r="N31" s="174">
        <f>VLOOKUP(A31,'BSE ALL CAP'!$B$4:$Y$1034,13,)</f>
        <v>77</v>
      </c>
      <c r="O31" s="174">
        <f>VLOOKUP(A31,'BSE ALL CAP'!$B$4:$Y$1034,14,)</f>
        <v>59</v>
      </c>
      <c r="P31" s="344">
        <f>VLOOKUP(A31,'BSE ALL CAP'!$B$4:$Y$1034,15,)</f>
        <v>0.17176997759522031</v>
      </c>
      <c r="Q31" s="344">
        <f>VLOOKUP(A31,'BSE ALL CAP'!$B$4:$Y$1034,16,)</f>
        <v>0.13697749196141479</v>
      </c>
      <c r="R31" s="344">
        <f>VLOOKUP(A31,'BSE ALL CAP'!$B$4:$Y$1034,17,)</f>
        <v>3.479248563380552E-2</v>
      </c>
      <c r="S31" s="345">
        <f>VLOOKUP(A31,'BSE ALL CAP'!$B$4:$Y$1034,18,)</f>
        <v>0.15778688524590165</v>
      </c>
      <c r="T31" s="346">
        <f>VLOOKUP(A31,'BSE ALL CAP'!$B$4:$Y$1034,19,)</f>
        <v>0.12854030501089325</v>
      </c>
      <c r="U31" s="344">
        <f>VLOOKUP(A31,'BSE ALL CAP'!$B$4:$Y$1034,20,)</f>
        <v>2.9246580235008396E-2</v>
      </c>
      <c r="V31" s="344">
        <f>VLOOKUP(A31,'BSE ALL CAP'!$B$4:$Y$1034,21,)</f>
        <v>-0.13890675241157557</v>
      </c>
      <c r="W31" s="344">
        <f>VLOOKUP(A31,'BSE ALL CAP'!$B$4:$Y$1034,22,)</f>
        <v>7.9812206572769995E-2</v>
      </c>
      <c r="X31" s="344">
        <f>VLOOKUP(A31,'BSE ALL CAP'!$B$4:$Y$1034,23,)</f>
        <v>6.3180827886710311E-2</v>
      </c>
      <c r="Y31" s="344">
        <f>VLOOKUP(A31,'BSE ALL CAP'!$B$4:$Y$1034,24,)</f>
        <v>0.30508474576271194</v>
      </c>
    </row>
    <row r="32" spans="1:25" ht="14.4">
      <c r="A32" s="99">
        <v>544232</v>
      </c>
      <c r="B32" s="98" t="s">
        <v>5958</v>
      </c>
      <c r="C32" s="360" t="str">
        <f>VLOOKUP(A32,'BSE ALL CAP'!$B$4:$Y$1034,2,)</f>
        <v>Industrials</v>
      </c>
      <c r="D32" s="360" t="str">
        <f>VLOOKUP(A32,'BSE ALL CAP'!$B$4:$Y$1034,3,)</f>
        <v>Civil Construction</v>
      </c>
      <c r="E32" s="101">
        <f ca="1">IFERROR(__xludf.DUMMYFUNCTION("GOOGLEFINANCE(""BOM:""&amp;A32,""PRICE"")"),1818.75)</f>
        <v>1818.75</v>
      </c>
      <c r="F32" s="112">
        <f ca="1">IFERROR(__xludf.DUMMYFUNCTION("GOOGLEFINANCE(""BOM:""&amp;A32,""MARKETCAP"")/10000000"),3055.6633924)</f>
        <v>3055.6633923999998</v>
      </c>
      <c r="G32" s="95">
        <f t="shared" ca="1" si="0"/>
        <v>3.6858836341889249E-3</v>
      </c>
      <c r="H32" s="174">
        <f>VLOOKUP(A32,'BSE ALL CAP'!$B$4:$Y$1034,7,)</f>
        <v>1394</v>
      </c>
      <c r="I32" s="174">
        <f>VLOOKUP(A32,'BSE ALL CAP'!$B$4:$Y$1034,8,)</f>
        <v>990</v>
      </c>
      <c r="J32" s="174">
        <f>VLOOKUP(A32,'BSE ALL CAP'!$B$4:$Y$1034,9,)</f>
        <v>97</v>
      </c>
      <c r="K32" s="174">
        <f>VLOOKUP(A32,'BSE ALL CAP'!$B$4:$Y$1034,10,)</f>
        <v>69</v>
      </c>
      <c r="L32" s="174">
        <f>VLOOKUP(A32,'BSE ALL CAP'!$B$4:$Y$1034,11,)</f>
        <v>522</v>
      </c>
      <c r="M32" s="174">
        <f>VLOOKUP(A32,'BSE ALL CAP'!$B$4:$Y$1034,12,)</f>
        <v>363</v>
      </c>
      <c r="N32" s="174">
        <f>VLOOKUP(A32,'BSE ALL CAP'!$B$4:$Y$1034,13,)</f>
        <v>37</v>
      </c>
      <c r="O32" s="174">
        <f>VLOOKUP(A32,'BSE ALL CAP'!$B$4:$Y$1034,14,)</f>
        <v>28</v>
      </c>
      <c r="P32" s="344">
        <f>VLOOKUP(A32,'BSE ALL CAP'!$B$4:$Y$1034,15,)</f>
        <v>6.9583931133428978E-2</v>
      </c>
      <c r="Q32" s="344">
        <f>VLOOKUP(A32,'BSE ALL CAP'!$B$4:$Y$1034,16,)</f>
        <v>6.9696969696969702E-2</v>
      </c>
      <c r="R32" s="344">
        <f>VLOOKUP(A32,'BSE ALL CAP'!$B$4:$Y$1034,17,)</f>
        <v>-1.1303856354072384E-4</v>
      </c>
      <c r="S32" s="345">
        <f>VLOOKUP(A32,'BSE ALL CAP'!$B$4:$Y$1034,18,)</f>
        <v>7.0881226053639848E-2</v>
      </c>
      <c r="T32" s="346">
        <f>VLOOKUP(A32,'BSE ALL CAP'!$B$4:$Y$1034,19,)</f>
        <v>7.7134986225895319E-2</v>
      </c>
      <c r="U32" s="344">
        <f>VLOOKUP(A32,'BSE ALL CAP'!$B$4:$Y$1034,20,)</f>
        <v>-6.2537601722554709E-3</v>
      </c>
      <c r="V32" s="344">
        <f>VLOOKUP(A32,'BSE ALL CAP'!$B$4:$Y$1034,21,)</f>
        <v>0.40808080808080804</v>
      </c>
      <c r="W32" s="344">
        <f>VLOOKUP(A32,'BSE ALL CAP'!$B$4:$Y$1034,22,)</f>
        <v>0.40579710144927539</v>
      </c>
      <c r="X32" s="344">
        <f>VLOOKUP(A32,'BSE ALL CAP'!$B$4:$Y$1034,23,)</f>
        <v>0.43801652892561993</v>
      </c>
      <c r="Y32" s="344">
        <f>VLOOKUP(A32,'BSE ALL CAP'!$B$4:$Y$1034,24,)</f>
        <v>0.3214285714285714</v>
      </c>
    </row>
    <row r="33" spans="1:25" ht="14.4">
      <c r="A33" s="99">
        <v>540544</v>
      </c>
      <c r="B33" s="98" t="s">
        <v>5959</v>
      </c>
      <c r="C33" s="360" t="str">
        <f>VLOOKUP(A33,'BSE ALL CAP'!$B$4:$Y$1034,2,)</f>
        <v>Industrials</v>
      </c>
      <c r="D33" s="360" t="str">
        <f>VLOOKUP(A33,'BSE ALL CAP'!$B$4:$Y$1034,3,)</f>
        <v>Civil Construction</v>
      </c>
      <c r="E33" s="101">
        <f ca="1">IFERROR(__xludf.DUMMYFUNCTION("GOOGLEFINANCE(""BOM:""&amp;A33,""PRICE"")"),635.4)</f>
        <v>635.4</v>
      </c>
      <c r="F33" s="112">
        <f ca="1">IFERROR(__xludf.DUMMYFUNCTION("GOOGLEFINANCE(""BOM:""&amp;A33,""MARKETCAP"")/10000000"),2522.2088887)</f>
        <v>2522.2088887</v>
      </c>
      <c r="G33" s="95">
        <f t="shared" ca="1" si="0"/>
        <v>3.0424059430065012E-3</v>
      </c>
      <c r="H33" s="174">
        <f>VLOOKUP(A33,'BSE ALL CAP'!$B$4:$Y$1034,7,)</f>
        <v>2033</v>
      </c>
      <c r="I33" s="174">
        <f>VLOOKUP(A33,'BSE ALL CAP'!$B$4:$Y$1034,8,)</f>
        <v>1839</v>
      </c>
      <c r="J33" s="174">
        <f>VLOOKUP(A33,'BSE ALL CAP'!$B$4:$Y$1034,9,)</f>
        <v>34</v>
      </c>
      <c r="K33" s="174">
        <f>VLOOKUP(A33,'BSE ALL CAP'!$B$4:$Y$1034,10,)</f>
        <v>49</v>
      </c>
      <c r="L33" s="174">
        <f>VLOOKUP(A33,'BSE ALL CAP'!$B$4:$Y$1034,11,)</f>
        <v>812</v>
      </c>
      <c r="M33" s="174">
        <f>VLOOKUP(A33,'BSE ALL CAP'!$B$4:$Y$1034,12,)</f>
        <v>630</v>
      </c>
      <c r="N33" s="174">
        <f>VLOOKUP(A33,'BSE ALL CAP'!$B$4:$Y$1034,13,)</f>
        <v>17</v>
      </c>
      <c r="O33" s="174">
        <f>VLOOKUP(A33,'BSE ALL CAP'!$B$4:$Y$1034,14,)</f>
        <v>5</v>
      </c>
      <c r="P33" s="344">
        <f>VLOOKUP(A33,'BSE ALL CAP'!$B$4:$Y$1034,15,)</f>
        <v>1.6724053123462864E-2</v>
      </c>
      <c r="Q33" s="344">
        <f>VLOOKUP(A33,'BSE ALL CAP'!$B$4:$Y$1034,16,)</f>
        <v>2.6644915715062535E-2</v>
      </c>
      <c r="R33" s="344">
        <f>VLOOKUP(A33,'BSE ALL CAP'!$B$4:$Y$1034,17,)</f>
        <v>-9.9208625915996711E-3</v>
      </c>
      <c r="S33" s="345">
        <f>VLOOKUP(A33,'BSE ALL CAP'!$B$4:$Y$1034,18,)</f>
        <v>2.0935960591133004E-2</v>
      </c>
      <c r="T33" s="346">
        <f>VLOOKUP(A33,'BSE ALL CAP'!$B$4:$Y$1034,19,)</f>
        <v>7.9365079365079361E-3</v>
      </c>
      <c r="U33" s="344">
        <f>VLOOKUP(A33,'BSE ALL CAP'!$B$4:$Y$1034,20,)</f>
        <v>1.2999452654625068E-2</v>
      </c>
      <c r="V33" s="344">
        <f>VLOOKUP(A33,'BSE ALL CAP'!$B$4:$Y$1034,21,)</f>
        <v>0.10549211528004343</v>
      </c>
      <c r="W33" s="344">
        <f>VLOOKUP(A33,'BSE ALL CAP'!$B$4:$Y$1034,22,)</f>
        <v>-0.30612244897959184</v>
      </c>
      <c r="X33" s="344">
        <f>VLOOKUP(A33,'BSE ALL CAP'!$B$4:$Y$1034,23,)</f>
        <v>0.28888888888888897</v>
      </c>
      <c r="Y33" s="344">
        <f>VLOOKUP(A33,'BSE ALL CAP'!$B$4:$Y$1034,24,)</f>
        <v>2.4</v>
      </c>
    </row>
    <row r="34" spans="1:25" ht="14.4">
      <c r="A34" s="99">
        <v>531120</v>
      </c>
      <c r="B34" s="98" t="s">
        <v>5960</v>
      </c>
      <c r="C34" s="360" t="str">
        <f>VLOOKUP(A34,'BSE ALL CAP'!$B$4:$Y$1034,2,)</f>
        <v>Industrials</v>
      </c>
      <c r="D34" s="360" t="str">
        <f>VLOOKUP(A34,'BSE ALL CAP'!$B$4:$Y$1034,3,)</f>
        <v>Civil Construction</v>
      </c>
      <c r="E34" s="101">
        <f ca="1">IFERROR(__xludf.DUMMYFUNCTION("GOOGLEFINANCE(""BOM:""&amp;A34,""PRICE"")"),24.93)</f>
        <v>24.93</v>
      </c>
      <c r="F34" s="112">
        <f ca="1">IFERROR(__xludf.DUMMYFUNCTION("GOOGLEFINANCE(""BOM:""&amp;A34,""MARKETCAP"")/10000000"),2376.3498486)</f>
        <v>2376.3498485999999</v>
      </c>
      <c r="G34" s="95">
        <f t="shared" ca="1" si="0"/>
        <v>2.8664639691162305E-3</v>
      </c>
      <c r="H34" s="174">
        <f>VLOOKUP(A34,'BSE ALL CAP'!$B$4:$Y$1034,7,)</f>
        <v>3681</v>
      </c>
      <c r="I34" s="174">
        <f>VLOOKUP(A34,'BSE ALL CAP'!$B$4:$Y$1034,8,)</f>
        <v>3481</v>
      </c>
      <c r="J34" s="174">
        <f>VLOOKUP(A34,'BSE ALL CAP'!$B$4:$Y$1034,9,)</f>
        <v>238</v>
      </c>
      <c r="K34" s="174">
        <f>VLOOKUP(A34,'BSE ALL CAP'!$B$4:$Y$1034,10,)</f>
        <v>201</v>
      </c>
      <c r="L34" s="174">
        <f>VLOOKUP(A34,'BSE ALL CAP'!$B$4:$Y$1034,11,)</f>
        <v>1239</v>
      </c>
      <c r="M34" s="174">
        <f>VLOOKUP(A34,'BSE ALL CAP'!$B$4:$Y$1034,12,)</f>
        <v>1205</v>
      </c>
      <c r="N34" s="174">
        <f>VLOOKUP(A34,'BSE ALL CAP'!$B$4:$Y$1034,13,)</f>
        <v>93</v>
      </c>
      <c r="O34" s="174">
        <f>VLOOKUP(A34,'BSE ALL CAP'!$B$4:$Y$1034,14,)</f>
        <v>80</v>
      </c>
      <c r="P34" s="344">
        <f>VLOOKUP(A34,'BSE ALL CAP'!$B$4:$Y$1034,15,)</f>
        <v>6.4656343384949744E-2</v>
      </c>
      <c r="Q34" s="344">
        <f>VLOOKUP(A34,'BSE ALL CAP'!$B$4:$Y$1034,16,)</f>
        <v>5.7742028152829646E-2</v>
      </c>
      <c r="R34" s="344">
        <f>VLOOKUP(A34,'BSE ALL CAP'!$B$4:$Y$1034,17,)</f>
        <v>6.9143152321200982E-3</v>
      </c>
      <c r="S34" s="345">
        <f>VLOOKUP(A34,'BSE ALL CAP'!$B$4:$Y$1034,18,)</f>
        <v>7.5060532687651338E-2</v>
      </c>
      <c r="T34" s="346">
        <f>VLOOKUP(A34,'BSE ALL CAP'!$B$4:$Y$1034,19,)</f>
        <v>6.6390041493775934E-2</v>
      </c>
      <c r="U34" s="344">
        <f>VLOOKUP(A34,'BSE ALL CAP'!$B$4:$Y$1034,20,)</f>
        <v>8.6704911938754042E-3</v>
      </c>
      <c r="V34" s="344">
        <f>VLOOKUP(A34,'BSE ALL CAP'!$B$4:$Y$1034,21,)</f>
        <v>5.7454754380924955E-2</v>
      </c>
      <c r="W34" s="344">
        <f>VLOOKUP(A34,'BSE ALL CAP'!$B$4:$Y$1034,22,)</f>
        <v>0.18407960199004969</v>
      </c>
      <c r="X34" s="344">
        <f>VLOOKUP(A34,'BSE ALL CAP'!$B$4:$Y$1034,23,)</f>
        <v>2.8215767634854672E-2</v>
      </c>
      <c r="Y34" s="344">
        <f>VLOOKUP(A34,'BSE ALL CAP'!$B$4:$Y$1034,24,)</f>
        <v>0.16250000000000009</v>
      </c>
    </row>
    <row r="35" spans="1:25" ht="14.4">
      <c r="A35" s="99">
        <v>532930</v>
      </c>
      <c r="B35" s="98" t="s">
        <v>5961</v>
      </c>
      <c r="C35" s="360"/>
      <c r="D35" s="360"/>
      <c r="E35" s="101">
        <f ca="1">IFERROR(__xludf.DUMMYFUNCTION("GOOGLEFINANCE(""BOM:""&amp;A35,""PRICE"")"),274)</f>
        <v>274</v>
      </c>
      <c r="F35" s="112">
        <f ca="1">IFERROR(__xludf.DUMMYFUNCTION("GOOGLEFINANCE(""BOM:""&amp;A35,""MARKETCAP"")/10000000"),1995.574606)</f>
        <v>1995.5746059999999</v>
      </c>
      <c r="G35" s="95">
        <f t="shared" ca="1" si="0"/>
        <v>2.4071551203423752E-3</v>
      </c>
      <c r="H35" s="174"/>
      <c r="I35" s="174"/>
      <c r="J35" s="174"/>
      <c r="K35" s="174"/>
      <c r="L35" s="174"/>
      <c r="M35" s="174"/>
      <c r="N35" s="174"/>
      <c r="O35" s="174"/>
      <c r="P35" s="344"/>
      <c r="Q35" s="344"/>
      <c r="R35" s="344"/>
      <c r="S35" s="345"/>
      <c r="T35" s="346"/>
      <c r="U35" s="344"/>
      <c r="V35" s="344"/>
      <c r="W35" s="344"/>
      <c r="X35" s="344"/>
      <c r="Y35" s="344"/>
    </row>
    <row r="36" spans="1:25" ht="14.4">
      <c r="A36" s="99">
        <v>544496</v>
      </c>
      <c r="B36" s="98" t="s">
        <v>5962</v>
      </c>
      <c r="C36" s="360"/>
      <c r="D36" s="360"/>
      <c r="E36" s="101">
        <f ca="1">IFERROR(__xludf.DUMMYFUNCTION("GOOGLEFINANCE(""BOM:""&amp;A36,""PRICE"")"),59.4)</f>
        <v>59.4</v>
      </c>
      <c r="F36" s="112">
        <f ca="1">IFERROR(__xludf.DUMMYFUNCTION("GOOGLEFINANCE(""BOM:""&amp;A36,""MARKETCAP"")/10000000"),1531.2175794)</f>
        <v>1531.2175794</v>
      </c>
      <c r="G36" s="95">
        <f t="shared" ca="1" si="0"/>
        <v>1.8470260272549126E-3</v>
      </c>
      <c r="H36" s="174"/>
      <c r="I36" s="174"/>
      <c r="J36" s="174"/>
      <c r="K36" s="174"/>
      <c r="L36" s="174"/>
      <c r="M36" s="174"/>
      <c r="N36" s="174"/>
      <c r="O36" s="174"/>
      <c r="P36" s="344"/>
      <c r="Q36" s="344"/>
      <c r="R36" s="344"/>
      <c r="S36" s="345"/>
      <c r="T36" s="346"/>
      <c r="U36" s="344"/>
      <c r="V36" s="344"/>
      <c r="W36" s="344"/>
      <c r="X36" s="344"/>
      <c r="Y36" s="344"/>
    </row>
    <row r="37" spans="1:25" ht="14.4">
      <c r="A37" s="99">
        <v>544525</v>
      </c>
      <c r="B37" s="98" t="s">
        <v>5963</v>
      </c>
      <c r="C37" s="360"/>
      <c r="D37" s="360"/>
      <c r="E37" s="101">
        <f ca="1">IFERROR(__xludf.DUMMYFUNCTION("GOOGLEFINANCE(""BOM:""&amp;A37,""PRICE"")"),93.86)</f>
        <v>93.86</v>
      </c>
      <c r="F37" s="112">
        <f ca="1">IFERROR(__xludf.DUMMYFUNCTION("GOOGLEFINANCE(""BOM:""&amp;A37,""MARKETCAP"")/10000000"),1906.8881865)</f>
        <v>1906.8881865000001</v>
      </c>
      <c r="G37" s="95">
        <f t="shared" ca="1" si="0"/>
        <v>2.3001774267184987E-3</v>
      </c>
      <c r="H37" s="174"/>
      <c r="I37" s="174"/>
      <c r="J37" s="174"/>
      <c r="K37" s="174"/>
      <c r="L37" s="174"/>
      <c r="M37" s="174"/>
      <c r="N37" s="174"/>
      <c r="O37" s="174"/>
      <c r="P37" s="344"/>
      <c r="Q37" s="344"/>
      <c r="R37" s="344"/>
      <c r="S37" s="345"/>
      <c r="T37" s="346"/>
      <c r="U37" s="344"/>
      <c r="V37" s="344"/>
      <c r="W37" s="344"/>
      <c r="X37" s="344"/>
      <c r="Y37" s="344"/>
    </row>
    <row r="38" spans="1:25" ht="14.4">
      <c r="A38" s="99">
        <v>544532</v>
      </c>
      <c r="B38" s="98" t="s">
        <v>5964</v>
      </c>
      <c r="C38" s="360"/>
      <c r="D38" s="360"/>
      <c r="E38" s="101">
        <f ca="1">IFERROR(__xludf.DUMMYFUNCTION("GOOGLEFINANCE(""BOM:""&amp;A38,""PRICE"")"),173.85)</f>
        <v>173.85</v>
      </c>
      <c r="F38" s="112">
        <f ca="1">IFERROR(__xludf.DUMMYFUNCTION("GOOGLEFINANCE(""BOM:""&amp;A38,""MARKETCAP"")/10000000"),1508.6246469)</f>
        <v>1508.6246469</v>
      </c>
      <c r="G38" s="95">
        <f t="shared" ca="1" si="0"/>
        <v>1.8197733788260298E-3</v>
      </c>
      <c r="H38" s="174"/>
      <c r="I38" s="174"/>
      <c r="J38" s="174"/>
      <c r="K38" s="174"/>
      <c r="L38" s="174"/>
      <c r="M38" s="174"/>
      <c r="N38" s="174"/>
      <c r="O38" s="174"/>
      <c r="P38" s="344"/>
      <c r="Q38" s="344"/>
      <c r="R38" s="344"/>
      <c r="S38" s="345"/>
      <c r="T38" s="346"/>
      <c r="U38" s="344"/>
      <c r="V38" s="344"/>
      <c r="W38" s="344"/>
      <c r="X38" s="344"/>
      <c r="Y38" s="344"/>
    </row>
    <row r="39" spans="1:25" ht="14.4">
      <c r="A39" s="99">
        <v>540710</v>
      </c>
      <c r="B39" s="98" t="s">
        <v>5965</v>
      </c>
      <c r="C39" s="360"/>
      <c r="D39" s="360"/>
      <c r="E39" s="101">
        <f ca="1">IFERROR(__xludf.DUMMYFUNCTION("GOOGLEFINANCE(""BOM:""&amp;A39,""PRICE"")"),213.9)</f>
        <v>213.9</v>
      </c>
      <c r="F39" s="112">
        <f ca="1">IFERROR(__xludf.DUMMYFUNCTION("GOOGLEFINANCE(""BOM:""&amp;A39,""MARKETCAP"")/10000000"),1806.5500557)</f>
        <v>1806.5500557</v>
      </c>
      <c r="G39" s="95">
        <f t="shared" ca="1" si="0"/>
        <v>2.1791448957398981E-3</v>
      </c>
      <c r="H39" s="174"/>
      <c r="I39" s="174"/>
      <c r="J39" s="174"/>
      <c r="K39" s="174"/>
      <c r="L39" s="174"/>
      <c r="M39" s="174"/>
      <c r="N39" s="174"/>
      <c r="O39" s="174"/>
      <c r="P39" s="344"/>
      <c r="Q39" s="344"/>
      <c r="R39" s="344"/>
      <c r="S39" s="345"/>
      <c r="T39" s="346"/>
      <c r="U39" s="344"/>
      <c r="V39" s="344"/>
      <c r="W39" s="344"/>
      <c r="X39" s="344"/>
      <c r="Y39" s="344"/>
    </row>
    <row r="40" spans="1:25" ht="14.4">
      <c r="A40" s="99">
        <v>523838</v>
      </c>
      <c r="B40" s="98" t="s">
        <v>5966</v>
      </c>
      <c r="C40" s="360"/>
      <c r="D40" s="360"/>
      <c r="E40" s="101">
        <f ca="1">IFERROR(__xludf.DUMMYFUNCTION("GOOGLEFINANCE(""BOM:""&amp;A40,""PRICE"")"),167)</f>
        <v>167</v>
      </c>
      <c r="F40" s="112">
        <f ca="1">IFERROR(__xludf.DUMMYFUNCTION("GOOGLEFINANCE(""BOM:""&amp;A40,""MARKETCAP"")/10000000"),1300.4063494)</f>
        <v>1300.4063494</v>
      </c>
      <c r="G40" s="95">
        <f t="shared" ca="1" si="0"/>
        <v>1.5686107615682627E-3</v>
      </c>
      <c r="H40" s="174"/>
      <c r="I40" s="174"/>
      <c r="J40" s="174"/>
      <c r="K40" s="174"/>
      <c r="L40" s="174"/>
      <c r="M40" s="174"/>
      <c r="N40" s="174"/>
      <c r="O40" s="174"/>
      <c r="P40" s="344"/>
      <c r="Q40" s="344"/>
      <c r="R40" s="344"/>
      <c r="S40" s="345"/>
      <c r="T40" s="346"/>
      <c r="U40" s="344"/>
      <c r="V40" s="344"/>
      <c r="W40" s="344"/>
      <c r="X40" s="344"/>
      <c r="Y40" s="344"/>
    </row>
    <row r="41" spans="1:25" ht="14.4">
      <c r="A41" s="99">
        <v>544470</v>
      </c>
      <c r="B41" s="98" t="s">
        <v>5967</v>
      </c>
      <c r="C41" s="360"/>
      <c r="D41" s="360"/>
      <c r="E41" s="101">
        <f ca="1">IFERROR(__xludf.DUMMYFUNCTION("GOOGLEFINANCE(""BOM:""&amp;A41,""PRICE"")"),294)</f>
        <v>294</v>
      </c>
      <c r="F41" s="112">
        <f ca="1">IFERROR(__xludf.DUMMYFUNCTION("GOOGLEFINANCE(""BOM:""&amp;A41,""MARKETCAP"")/10000000"),1668.192162)</f>
        <v>1668.1921620000001</v>
      </c>
      <c r="G41" s="95">
        <f t="shared" ca="1" si="0"/>
        <v>2.0122511543290891E-3</v>
      </c>
      <c r="H41" s="174"/>
      <c r="I41" s="174"/>
      <c r="J41" s="174"/>
      <c r="K41" s="174"/>
      <c r="L41" s="174"/>
      <c r="M41" s="174"/>
      <c r="N41" s="174"/>
      <c r="O41" s="174"/>
      <c r="P41" s="344"/>
      <c r="Q41" s="344"/>
      <c r="R41" s="344"/>
      <c r="S41" s="345"/>
      <c r="T41" s="346"/>
      <c r="U41" s="344"/>
      <c r="V41" s="344"/>
      <c r="W41" s="344"/>
      <c r="X41" s="344"/>
      <c r="Y41" s="344"/>
    </row>
    <row r="42" spans="1:25" ht="14.4">
      <c r="A42" s="99">
        <v>505504</v>
      </c>
      <c r="B42" s="98" t="s">
        <v>5968</v>
      </c>
      <c r="C42" s="360"/>
      <c r="D42" s="360"/>
      <c r="E42" s="101">
        <f ca="1">IFERROR(__xludf.DUMMYFUNCTION("GOOGLEFINANCE(""BOM:""&amp;A42,""PRICE"")"),286.1)</f>
        <v>286.10000000000002</v>
      </c>
      <c r="F42" s="112">
        <f ca="1">IFERROR(__xludf.DUMMYFUNCTION("GOOGLEFINANCE(""BOM:""&amp;A42,""MARKETCAP"")/10000000"),2062.0657939)</f>
        <v>2062.0657938999998</v>
      </c>
      <c r="G42" s="95">
        <f t="shared" ca="1" si="0"/>
        <v>2.4873598909031466E-3</v>
      </c>
      <c r="H42" s="174"/>
      <c r="I42" s="174"/>
      <c r="J42" s="174"/>
      <c r="K42" s="174"/>
      <c r="L42" s="174"/>
      <c r="M42" s="174"/>
      <c r="N42" s="174"/>
      <c r="O42" s="174"/>
      <c r="P42" s="344"/>
      <c r="Q42" s="344"/>
      <c r="R42" s="344"/>
      <c r="S42" s="345"/>
      <c r="T42" s="346"/>
      <c r="U42" s="344"/>
      <c r="V42" s="344"/>
      <c r="W42" s="344"/>
      <c r="X42" s="344"/>
      <c r="Y42" s="344"/>
    </row>
    <row r="43" spans="1:25" ht="14.4">
      <c r="A43" s="99">
        <v>532945</v>
      </c>
      <c r="B43" s="98" t="s">
        <v>5969</v>
      </c>
      <c r="C43" s="360"/>
      <c r="D43" s="360"/>
      <c r="E43" s="101">
        <f ca="1">IFERROR(__xludf.DUMMYFUNCTION("GOOGLEFINANCE(""BOM:""&amp;A43,""PRICE"")"),5.81)</f>
        <v>5.81</v>
      </c>
      <c r="F43" s="112">
        <f ca="1">IFERROR(__xludf.DUMMYFUNCTION("GOOGLEFINANCE(""BOM:""&amp;A43,""MARKETCAP"")/10000000"),1124.9831169)</f>
        <v>1124.9831168999999</v>
      </c>
      <c r="G43" s="95">
        <f t="shared" ca="1" si="0"/>
        <v>1.3570070805684325E-3</v>
      </c>
      <c r="H43" s="174"/>
      <c r="I43" s="174"/>
      <c r="J43" s="174"/>
      <c r="K43" s="174"/>
      <c r="L43" s="174"/>
      <c r="M43" s="174"/>
      <c r="N43" s="174"/>
      <c r="O43" s="174"/>
      <c r="P43" s="344"/>
      <c r="Q43" s="344"/>
      <c r="R43" s="344"/>
      <c r="S43" s="345"/>
      <c r="T43" s="346"/>
      <c r="U43" s="344"/>
      <c r="V43" s="344"/>
      <c r="W43" s="344"/>
      <c r="X43" s="344"/>
      <c r="Y43" s="344"/>
    </row>
    <row r="44" spans="1:25" ht="14.4">
      <c r="A44" s="99">
        <v>544271</v>
      </c>
      <c r="B44" s="98" t="s">
        <v>5970</v>
      </c>
      <c r="C44" s="360"/>
      <c r="D44" s="360"/>
      <c r="E44" s="101">
        <f ca="1">IFERROR(__xludf.DUMMYFUNCTION("GOOGLEFINANCE(""BOM:""&amp;A44,""PRICE"")"),153.45)</f>
        <v>153.44999999999999</v>
      </c>
      <c r="F44" s="112">
        <f ca="1">IFERROR(__xludf.DUMMYFUNCTION("GOOGLEFINANCE(""BOM:""&amp;A44,""MARKETCAP"")/10000000"),1426.7017004)</f>
        <v>1426.7017003999999</v>
      </c>
      <c r="G44" s="95">
        <f t="shared" ca="1" si="0"/>
        <v>1.7209541016373472E-3</v>
      </c>
      <c r="H44" s="174"/>
      <c r="I44" s="174"/>
      <c r="J44" s="174"/>
      <c r="K44" s="174"/>
      <c r="L44" s="174"/>
      <c r="M44" s="174"/>
      <c r="N44" s="174"/>
      <c r="O44" s="174"/>
      <c r="P44" s="344"/>
      <c r="Q44" s="344"/>
      <c r="R44" s="344"/>
      <c r="S44" s="345"/>
      <c r="T44" s="346"/>
      <c r="U44" s="344"/>
      <c r="V44" s="344"/>
      <c r="W44" s="344"/>
      <c r="X44" s="344"/>
      <c r="Y44" s="344"/>
    </row>
    <row r="45" spans="1:25" ht="14.4">
      <c r="A45" s="99">
        <v>500402</v>
      </c>
      <c r="B45" s="98" t="s">
        <v>5971</v>
      </c>
      <c r="C45" s="360"/>
      <c r="D45" s="360"/>
      <c r="E45" s="101">
        <f ca="1">IFERROR(__xludf.DUMMYFUNCTION("GOOGLEFINANCE(""BOM:""&amp;A45,""PRICE"")"),175.15)</f>
        <v>175.15</v>
      </c>
      <c r="F45" s="112">
        <f ca="1">IFERROR(__xludf.DUMMYFUNCTION("GOOGLEFINANCE(""BOM:""&amp;A45,""MARKETCAP"")/10000000"),1373.1460944)</f>
        <v>1373.1460944</v>
      </c>
      <c r="G45" s="95">
        <f t="shared" ca="1" si="0"/>
        <v>1.6563528330010703E-3</v>
      </c>
      <c r="H45" s="174"/>
      <c r="I45" s="174"/>
      <c r="J45" s="174"/>
      <c r="K45" s="174"/>
      <c r="L45" s="174"/>
      <c r="M45" s="174"/>
      <c r="N45" s="174"/>
      <c r="O45" s="174"/>
      <c r="P45" s="344"/>
      <c r="Q45" s="344"/>
      <c r="R45" s="344"/>
      <c r="S45" s="345"/>
      <c r="T45" s="346"/>
      <c r="U45" s="344"/>
      <c r="V45" s="344"/>
      <c r="W45" s="344"/>
      <c r="X45" s="344"/>
      <c r="Y45" s="344"/>
    </row>
    <row r="46" spans="1:25" ht="14.4">
      <c r="A46" s="99">
        <v>533761</v>
      </c>
      <c r="B46" s="98" t="s">
        <v>5972</v>
      </c>
      <c r="C46" s="360"/>
      <c r="D46" s="360"/>
      <c r="E46" s="101">
        <f ca="1">IFERROR(__xludf.DUMMYFUNCTION("GOOGLEFINANCE(""BOM:""&amp;A46,""PRICE"")"),105)</f>
        <v>105</v>
      </c>
      <c r="F46" s="112">
        <f ca="1">IFERROR(__xludf.DUMMYFUNCTION("GOOGLEFINANCE(""BOM:""&amp;A46,""MARKETCAP"")/10000000"),1324.3010465)</f>
        <v>1324.3010465</v>
      </c>
      <c r="G46" s="95">
        <f t="shared" ca="1" si="0"/>
        <v>1.5974336591439073E-3</v>
      </c>
      <c r="H46" s="174"/>
      <c r="I46" s="174"/>
      <c r="J46" s="174"/>
      <c r="K46" s="174"/>
      <c r="L46" s="174"/>
      <c r="M46" s="174"/>
      <c r="N46" s="174"/>
      <c r="O46" s="174"/>
      <c r="P46" s="344"/>
      <c r="Q46" s="344"/>
      <c r="R46" s="344"/>
      <c r="S46" s="345"/>
      <c r="T46" s="346"/>
      <c r="U46" s="344"/>
      <c r="V46" s="344"/>
      <c r="W46" s="344"/>
      <c r="X46" s="344"/>
      <c r="Y46" s="344"/>
    </row>
    <row r="47" spans="1:25" ht="14.4">
      <c r="A47" s="99">
        <v>544281</v>
      </c>
      <c r="B47" s="98" t="s">
        <v>5973</v>
      </c>
      <c r="C47" s="360"/>
      <c r="D47" s="360"/>
      <c r="E47" s="101">
        <f ca="1">IFERROR(__xludf.DUMMYFUNCTION("GOOGLEFINANCE(""BOM:""&amp;A47,""PRICE"")"),15.97)</f>
        <v>15.97</v>
      </c>
      <c r="F47" s="112">
        <f ca="1">IFERROR(__xludf.DUMMYFUNCTION("GOOGLEFINANCE(""BOM:""&amp;A47,""MARKETCAP"")/10000000"),1022.7013637)</f>
        <v>1022.7013637</v>
      </c>
      <c r="G47" s="95">
        <f t="shared" ca="1" si="0"/>
        <v>1.2336300616422981E-3</v>
      </c>
      <c r="H47" s="174"/>
      <c r="I47" s="174"/>
      <c r="J47" s="174"/>
      <c r="K47" s="174"/>
      <c r="L47" s="174"/>
      <c r="M47" s="174"/>
      <c r="N47" s="174"/>
      <c r="O47" s="174"/>
      <c r="P47" s="344"/>
      <c r="Q47" s="344"/>
      <c r="R47" s="344"/>
      <c r="S47" s="345"/>
      <c r="T47" s="346"/>
      <c r="U47" s="344"/>
      <c r="V47" s="344"/>
      <c r="W47" s="344"/>
      <c r="X47" s="344"/>
      <c r="Y47" s="344"/>
    </row>
    <row r="48" spans="1:25" ht="14.4">
      <c r="A48" s="99">
        <v>532719</v>
      </c>
      <c r="B48" s="98" t="s">
        <v>5974</v>
      </c>
      <c r="C48" s="360"/>
      <c r="D48" s="360"/>
      <c r="E48" s="101">
        <f ca="1">IFERROR(__xludf.DUMMYFUNCTION("GOOGLEFINANCE(""BOM:""&amp;A48,""PRICE"")"),45.6)</f>
        <v>45.6</v>
      </c>
      <c r="F48" s="112">
        <f ca="1">IFERROR(__xludf.DUMMYFUNCTION("GOOGLEFINANCE(""BOM:""&amp;A48,""MARKETCAP"")/10000000"),1026.4282924)</f>
        <v>1026.4282923999999</v>
      </c>
      <c r="G48" s="95">
        <f t="shared" ca="1" si="0"/>
        <v>1.2381256567838589E-3</v>
      </c>
      <c r="H48" s="174"/>
      <c r="I48" s="174"/>
      <c r="J48" s="174"/>
      <c r="K48" s="174"/>
      <c r="L48" s="174"/>
      <c r="M48" s="174"/>
      <c r="N48" s="174"/>
      <c r="O48" s="174"/>
      <c r="P48" s="344"/>
      <c r="Q48" s="344"/>
      <c r="R48" s="344"/>
      <c r="S48" s="345"/>
      <c r="T48" s="346"/>
      <c r="U48" s="344"/>
      <c r="V48" s="344"/>
      <c r="W48" s="344"/>
      <c r="X48" s="344"/>
      <c r="Y48" s="344"/>
    </row>
    <row r="49" spans="1:25" ht="14.4">
      <c r="A49" s="99">
        <v>544158</v>
      </c>
      <c r="B49" s="98" t="s">
        <v>5975</v>
      </c>
      <c r="C49" s="360"/>
      <c r="D49" s="360"/>
      <c r="E49" s="101">
        <f ca="1">IFERROR(__xludf.DUMMYFUNCTION("GOOGLEFINANCE(""BOM:""&amp;A49,""PRICE"")"),422.55)</f>
        <v>422.55</v>
      </c>
      <c r="F49" s="112">
        <f ca="1">IFERROR(__xludf.DUMMYFUNCTION("GOOGLEFINANCE(""BOM:""&amp;A49,""MARKETCAP"")/10000000"),970.53966)</f>
        <v>970.53966000000003</v>
      </c>
      <c r="G49" s="95">
        <f t="shared" ca="1" si="0"/>
        <v>1.1707101829418389E-3</v>
      </c>
      <c r="H49" s="174"/>
      <c r="I49" s="174"/>
      <c r="J49" s="174"/>
      <c r="K49" s="174"/>
      <c r="L49" s="174"/>
      <c r="M49" s="174"/>
      <c r="N49" s="174"/>
      <c r="O49" s="174"/>
      <c r="P49" s="344"/>
      <c r="Q49" s="344"/>
      <c r="R49" s="344"/>
      <c r="S49" s="345"/>
      <c r="T49" s="346"/>
      <c r="U49" s="344"/>
      <c r="V49" s="344"/>
      <c r="W49" s="344"/>
      <c r="X49" s="344"/>
      <c r="Y49" s="344"/>
    </row>
    <row r="50" spans="1:25" ht="14.4">
      <c r="A50" s="99">
        <v>532904</v>
      </c>
      <c r="B50" s="98" t="s">
        <v>5976</v>
      </c>
      <c r="C50" s="360"/>
      <c r="D50" s="360"/>
      <c r="E50" s="101">
        <f ca="1">IFERROR(__xludf.DUMMYFUNCTION("GOOGLEFINANCE(""BOM:""&amp;A50,""PRICE"")"),64)</f>
        <v>64</v>
      </c>
      <c r="F50" s="112">
        <f ca="1">IFERROR(__xludf.DUMMYFUNCTION("GOOGLEFINANCE(""BOM:""&amp;A50,""MARKETCAP"")/10000000"),608.127808)</f>
        <v>608.12780799999996</v>
      </c>
      <c r="G50" s="95">
        <f t="shared" ca="1" si="0"/>
        <v>7.3355211198241959E-4</v>
      </c>
      <c r="H50" s="174"/>
      <c r="I50" s="174"/>
      <c r="J50" s="174"/>
      <c r="K50" s="174"/>
      <c r="L50" s="174"/>
      <c r="M50" s="174"/>
      <c r="N50" s="174"/>
      <c r="O50" s="174"/>
      <c r="P50" s="344"/>
      <c r="Q50" s="344"/>
      <c r="R50" s="344"/>
      <c r="S50" s="345"/>
      <c r="T50" s="346"/>
      <c r="U50" s="344"/>
      <c r="V50" s="344"/>
      <c r="W50" s="344"/>
      <c r="X50" s="344"/>
      <c r="Y50" s="344"/>
    </row>
    <row r="51" spans="1:25" ht="14.4">
      <c r="A51" s="99">
        <v>531092</v>
      </c>
      <c r="B51" s="98" t="s">
        <v>5977</v>
      </c>
      <c r="C51" s="360"/>
      <c r="D51" s="360"/>
      <c r="E51" s="101">
        <f ca="1">IFERROR(__xludf.DUMMYFUNCTION("GOOGLEFINANCE(""BOM:""&amp;A51,""PRICE"")"),87.56)</f>
        <v>87.56</v>
      </c>
      <c r="F51" s="112">
        <f ca="1">IFERROR(__xludf.DUMMYFUNCTION("GOOGLEFINANCE(""BOM:""&amp;A51,""MARKETCAP"")/10000000"),839.9617553)</f>
        <v>839.96175530000005</v>
      </c>
      <c r="G51" s="95">
        <f t="shared" ca="1" si="0"/>
        <v>1.0132010269538199E-3</v>
      </c>
      <c r="H51" s="174"/>
      <c r="I51" s="174"/>
      <c r="J51" s="174"/>
      <c r="K51" s="174"/>
      <c r="L51" s="174"/>
      <c r="M51" s="174"/>
      <c r="N51" s="174"/>
      <c r="O51" s="174"/>
      <c r="P51" s="344"/>
      <c r="Q51" s="344"/>
      <c r="R51" s="344"/>
      <c r="S51" s="345"/>
      <c r="T51" s="346"/>
      <c r="U51" s="344"/>
      <c r="V51" s="344"/>
      <c r="W51" s="344"/>
      <c r="X51" s="344"/>
      <c r="Y51" s="344"/>
    </row>
    <row r="52" spans="1:25" ht="14.4">
      <c r="A52" s="99">
        <v>543240</v>
      </c>
      <c r="B52" s="98" t="s">
        <v>5978</v>
      </c>
      <c r="C52" s="360"/>
      <c r="D52" s="360"/>
      <c r="E52" s="101">
        <f ca="1">IFERROR(__xludf.DUMMYFUNCTION("GOOGLEFINANCE(""BOM:""&amp;A52,""PRICE"")"),172.5)</f>
        <v>172.5</v>
      </c>
      <c r="F52" s="112">
        <f ca="1">IFERROR(__xludf.DUMMYFUNCTION("GOOGLEFINANCE(""BOM:""&amp;A52,""MARKETCAP"")/10000000"),681.4985772)</f>
        <v>681.4985772</v>
      </c>
      <c r="G52" s="95">
        <f t="shared" ca="1" si="0"/>
        <v>8.2205535422263411E-4</v>
      </c>
      <c r="H52" s="174"/>
      <c r="I52" s="174"/>
      <c r="J52" s="174"/>
      <c r="K52" s="174"/>
      <c r="L52" s="174"/>
      <c r="M52" s="174"/>
      <c r="N52" s="174"/>
      <c r="O52" s="174"/>
      <c r="P52" s="344"/>
      <c r="Q52" s="344"/>
      <c r="R52" s="344"/>
      <c r="S52" s="345"/>
      <c r="T52" s="346"/>
      <c r="U52" s="344"/>
      <c r="V52" s="344"/>
      <c r="W52" s="344"/>
      <c r="X52" s="344"/>
      <c r="Y52" s="344"/>
    </row>
    <row r="53" spans="1:25" ht="14.4">
      <c r="A53" s="99">
        <v>504220</v>
      </c>
      <c r="B53" s="98" t="s">
        <v>5979</v>
      </c>
      <c r="C53" s="360"/>
      <c r="D53" s="360"/>
      <c r="E53" s="101">
        <f ca="1">IFERROR(__xludf.DUMMYFUNCTION("GOOGLEFINANCE(""BOM:""&amp;A53,""PRICE"")"),79.7)</f>
        <v>79.7</v>
      </c>
      <c r="F53" s="112">
        <f ca="1">IFERROR(__xludf.DUMMYFUNCTION("GOOGLEFINANCE(""BOM:""&amp;A53,""MARKETCAP"")/10000000"),608.680363)</f>
        <v>608.68036300000006</v>
      </c>
      <c r="G53" s="95">
        <f t="shared" ca="1" si="0"/>
        <v>7.3421862958267465E-4</v>
      </c>
      <c r="H53" s="174"/>
      <c r="I53" s="174"/>
      <c r="J53" s="174"/>
      <c r="K53" s="174"/>
      <c r="L53" s="174"/>
      <c r="M53" s="174"/>
      <c r="N53" s="174"/>
      <c r="O53" s="174"/>
      <c r="P53" s="344"/>
      <c r="Q53" s="344"/>
      <c r="R53" s="344"/>
      <c r="S53" s="345"/>
      <c r="T53" s="346"/>
      <c r="U53" s="344"/>
      <c r="V53" s="344"/>
      <c r="W53" s="344"/>
      <c r="X53" s="344"/>
      <c r="Y53" s="344"/>
    </row>
    <row r="54" spans="1:25" ht="14.4">
      <c r="A54" s="99">
        <v>543974</v>
      </c>
      <c r="B54" s="98" t="s">
        <v>5980</v>
      </c>
      <c r="C54" s="360"/>
      <c r="D54" s="360"/>
      <c r="E54" s="101">
        <f ca="1">IFERROR(__xludf.DUMMYFUNCTION("GOOGLEFINANCE(""BOM:""&amp;A54,""PRICE"")"),35.22)</f>
        <v>35.22</v>
      </c>
      <c r="F54" s="112">
        <f ca="1">IFERROR(__xludf.DUMMYFUNCTION("GOOGLEFINANCE(""BOM:""&amp;A54,""MARKETCAP"")/10000000"),439.8686874)</f>
        <v>439.8686874</v>
      </c>
      <c r="G54" s="95">
        <f t="shared" ca="1" si="0"/>
        <v>5.3059011673612646E-4</v>
      </c>
      <c r="H54" s="174"/>
      <c r="I54" s="174"/>
      <c r="J54" s="174"/>
      <c r="K54" s="174"/>
      <c r="L54" s="174"/>
      <c r="M54" s="174"/>
      <c r="N54" s="174"/>
      <c r="O54" s="174"/>
      <c r="P54" s="344"/>
      <c r="Q54" s="344"/>
      <c r="R54" s="344"/>
      <c r="S54" s="345"/>
      <c r="T54" s="346"/>
      <c r="U54" s="344"/>
      <c r="V54" s="344"/>
      <c r="W54" s="344"/>
      <c r="X54" s="344"/>
      <c r="Y54" s="344"/>
    </row>
    <row r="55" spans="1:25" ht="14.4">
      <c r="A55" s="99">
        <v>532708</v>
      </c>
      <c r="B55" s="98" t="s">
        <v>5981</v>
      </c>
      <c r="C55" s="360"/>
      <c r="D55" s="360"/>
      <c r="E55" s="101">
        <f ca="1">IFERROR(__xludf.DUMMYFUNCTION("GOOGLEFINANCE(""BOM:""&amp;A55,""PRICE"")"),2.42)</f>
        <v>2.42</v>
      </c>
      <c r="F55" s="112">
        <f ca="1">IFERROR(__xludf.DUMMYFUNCTION("GOOGLEFINANCE(""BOM:""&amp;A55,""MARKETCAP"")/10000000"),390.0648745)</f>
        <v>390.06487449999997</v>
      </c>
      <c r="G55" s="95">
        <f t="shared" ca="1" si="0"/>
        <v>4.7051443583982994E-4</v>
      </c>
      <c r="H55" s="174"/>
      <c r="I55" s="174"/>
      <c r="J55" s="174"/>
      <c r="K55" s="174"/>
      <c r="L55" s="174"/>
      <c r="M55" s="174"/>
      <c r="N55" s="174"/>
      <c r="O55" s="174"/>
      <c r="P55" s="344"/>
      <c r="Q55" s="344"/>
      <c r="R55" s="344"/>
      <c r="S55" s="345"/>
      <c r="T55" s="346"/>
      <c r="U55" s="344"/>
      <c r="V55" s="344"/>
      <c r="W55" s="344"/>
      <c r="X55" s="344"/>
      <c r="Y55" s="344"/>
    </row>
    <row r="56" spans="1:25" ht="14.4">
      <c r="A56" s="99">
        <v>544354</v>
      </c>
      <c r="B56" s="98" t="s">
        <v>5982</v>
      </c>
      <c r="C56" s="360"/>
      <c r="D56" s="360"/>
      <c r="E56" s="101">
        <f ca="1">IFERROR(__xludf.DUMMYFUNCTION("GOOGLEFINANCE(""BOM:""&amp;A56,""PRICE"")"),186)</f>
        <v>186</v>
      </c>
      <c r="F56" s="112">
        <f ca="1">IFERROR(__xludf.DUMMYFUNCTION("GOOGLEFINANCE(""BOM:""&amp;A56,""MARKETCAP"")/10000000"),388.182)</f>
        <v>388.18200000000002</v>
      </c>
      <c r="G56" s="95">
        <f t="shared" ca="1" si="0"/>
        <v>4.6824322484124856E-4</v>
      </c>
      <c r="H56" s="174"/>
      <c r="I56" s="174"/>
      <c r="J56" s="174"/>
      <c r="K56" s="174"/>
      <c r="L56" s="174"/>
      <c r="M56" s="174"/>
      <c r="N56" s="174"/>
      <c r="O56" s="174"/>
      <c r="P56" s="344"/>
      <c r="Q56" s="344"/>
      <c r="R56" s="344"/>
      <c r="S56" s="345"/>
      <c r="T56" s="346"/>
      <c r="U56" s="344"/>
      <c r="V56" s="344"/>
      <c r="W56" s="344"/>
      <c r="X56" s="344"/>
      <c r="Y56" s="344"/>
    </row>
    <row r="57" spans="1:25" ht="14.4">
      <c r="A57" s="99">
        <v>533284</v>
      </c>
      <c r="B57" s="98" t="s">
        <v>5983</v>
      </c>
      <c r="C57" s="360"/>
      <c r="D57" s="360"/>
      <c r="E57" s="101">
        <f ca="1">IFERROR(__xludf.DUMMYFUNCTION("GOOGLEFINANCE(""BOM:""&amp;A57,""PRICE"")"),67.07)</f>
        <v>67.069999999999993</v>
      </c>
      <c r="F57" s="112">
        <f ca="1">IFERROR(__xludf.DUMMYFUNCTION("GOOGLEFINANCE(""BOM:""&amp;A57,""MARKETCAP"")/10000000"),331.7297454)</f>
        <v>331.72974540000001</v>
      </c>
      <c r="G57" s="95">
        <f t="shared" ca="1" si="0"/>
        <v>4.0014788362639775E-4</v>
      </c>
      <c r="H57" s="174"/>
      <c r="I57" s="174"/>
      <c r="J57" s="174"/>
      <c r="K57" s="174"/>
      <c r="L57" s="174"/>
      <c r="M57" s="174"/>
      <c r="N57" s="174"/>
      <c r="O57" s="174"/>
      <c r="P57" s="344"/>
      <c r="Q57" s="344"/>
      <c r="R57" s="344"/>
      <c r="S57" s="345"/>
      <c r="T57" s="346"/>
      <c r="U57" s="344"/>
      <c r="V57" s="344"/>
      <c r="W57" s="344"/>
      <c r="X57" s="344"/>
      <c r="Y57" s="344"/>
    </row>
    <row r="58" spans="1:25" ht="14.4">
      <c r="A58" s="99">
        <v>544276</v>
      </c>
      <c r="B58" s="98" t="s">
        <v>5984</v>
      </c>
      <c r="C58" s="360"/>
      <c r="D58" s="360"/>
      <c r="E58" s="101">
        <f ca="1">IFERROR(__xludf.DUMMYFUNCTION("GOOGLEFINANCE(""BOM:""&amp;A58,""PRICE"")"),61.78)</f>
        <v>61.78</v>
      </c>
      <c r="F58" s="112">
        <f ca="1">IFERROR(__xludf.DUMMYFUNCTION("GOOGLEFINANCE(""BOM:""&amp;A58,""MARKETCAP"")/10000000"),287.921332)</f>
        <v>287.92133200000001</v>
      </c>
      <c r="G58" s="95">
        <f t="shared" ca="1" si="0"/>
        <v>3.4730413310320358E-4</v>
      </c>
      <c r="H58" s="174"/>
      <c r="I58" s="174"/>
      <c r="J58" s="174"/>
      <c r="K58" s="174"/>
      <c r="L58" s="174"/>
      <c r="M58" s="174"/>
      <c r="N58" s="174"/>
      <c r="O58" s="174"/>
      <c r="P58" s="344"/>
      <c r="Q58" s="344"/>
      <c r="R58" s="344"/>
      <c r="S58" s="345"/>
      <c r="T58" s="346"/>
      <c r="U58" s="344"/>
      <c r="V58" s="344"/>
      <c r="W58" s="344"/>
      <c r="X58" s="344"/>
      <c r="Y58" s="344"/>
    </row>
    <row r="59" spans="1:25" ht="14.4">
      <c r="A59" s="99">
        <v>533152</v>
      </c>
      <c r="B59" s="98" t="s">
        <v>5985</v>
      </c>
      <c r="C59" s="360"/>
      <c r="D59" s="360"/>
      <c r="E59" s="101">
        <f ca="1">IFERROR(__xludf.DUMMYFUNCTION("GOOGLEFINANCE(""BOM:""&amp;A59,""PRICE"")"),23.34)</f>
        <v>23.34</v>
      </c>
      <c r="F59" s="112">
        <f ca="1">IFERROR(__xludf.DUMMYFUNCTION("GOOGLEFINANCE(""BOM:""&amp;A59,""MARKETCAP"")/10000000"),360.5790194)</f>
        <v>360.57901939999999</v>
      </c>
      <c r="G59" s="95">
        <f t="shared" ca="1" si="0"/>
        <v>4.3494722283349334E-4</v>
      </c>
      <c r="H59" s="174"/>
      <c r="I59" s="174"/>
      <c r="J59" s="174"/>
      <c r="K59" s="174"/>
      <c r="L59" s="174"/>
      <c r="M59" s="174"/>
      <c r="N59" s="174"/>
      <c r="O59" s="174"/>
      <c r="P59" s="344"/>
      <c r="Q59" s="344"/>
      <c r="R59" s="344"/>
      <c r="S59" s="345"/>
      <c r="T59" s="346"/>
      <c r="U59" s="344"/>
      <c r="V59" s="344"/>
      <c r="W59" s="344"/>
      <c r="X59" s="344"/>
      <c r="Y59" s="344"/>
    </row>
    <row r="60" spans="1:25" ht="14.4">
      <c r="A60" s="99">
        <v>543416</v>
      </c>
      <c r="B60" s="98" t="s">
        <v>5986</v>
      </c>
      <c r="C60" s="360"/>
      <c r="D60" s="360"/>
      <c r="E60" s="101">
        <f ca="1">IFERROR(__xludf.DUMMYFUNCTION("GOOGLEFINANCE(""BOM:""&amp;A60,""PRICE"")"),246.35)</f>
        <v>246.35</v>
      </c>
      <c r="F60" s="112">
        <f ca="1">IFERROR(__xludf.DUMMYFUNCTION("GOOGLEFINANCE(""BOM:""&amp;A60,""MARKETCAP"")/10000000"),372.118151)</f>
        <v>372.11815100000001</v>
      </c>
      <c r="G60" s="95">
        <f t="shared" ca="1" si="0"/>
        <v>4.4886626130578611E-4</v>
      </c>
      <c r="H60" s="174"/>
      <c r="I60" s="174"/>
      <c r="J60" s="174"/>
      <c r="K60" s="174"/>
      <c r="L60" s="174"/>
      <c r="M60" s="174"/>
      <c r="N60" s="174"/>
      <c r="O60" s="174"/>
      <c r="P60" s="344"/>
      <c r="Q60" s="344"/>
      <c r="R60" s="344"/>
      <c r="S60" s="345"/>
      <c r="T60" s="346"/>
      <c r="U60" s="344"/>
      <c r="V60" s="344"/>
      <c r="W60" s="344"/>
      <c r="X60" s="344"/>
      <c r="Y60" s="344"/>
    </row>
    <row r="61" spans="1:25" ht="14.4">
      <c r="A61" s="99">
        <v>544504</v>
      </c>
      <c r="B61" s="98" t="s">
        <v>5987</v>
      </c>
      <c r="C61" s="360"/>
      <c r="D61" s="360"/>
      <c r="E61" s="101">
        <f ca="1">IFERROR(__xludf.DUMMYFUNCTION("GOOGLEFINANCE(""BOM:""&amp;A61,""PRICE"")"),287.05)</f>
        <v>287.05</v>
      </c>
      <c r="F61" s="112">
        <f ca="1">IFERROR(__xludf.DUMMYFUNCTION("GOOGLEFINANCE(""BOM:""&amp;A61,""MARKETCAP"")/10000000"),414.7757503)</f>
        <v>414.77575030000003</v>
      </c>
      <c r="G61" s="95">
        <f t="shared" ca="1" si="0"/>
        <v>5.0032184621239646E-4</v>
      </c>
      <c r="H61" s="174"/>
      <c r="I61" s="174"/>
      <c r="J61" s="174"/>
      <c r="K61" s="174"/>
      <c r="L61" s="174"/>
      <c r="M61" s="174"/>
      <c r="N61" s="174"/>
      <c r="O61" s="174"/>
      <c r="P61" s="344"/>
      <c r="Q61" s="344"/>
      <c r="R61" s="344"/>
      <c r="S61" s="345"/>
      <c r="T61" s="346"/>
      <c r="U61" s="344"/>
      <c r="V61" s="344"/>
      <c r="W61" s="344"/>
      <c r="X61" s="344"/>
      <c r="Y61" s="344"/>
    </row>
    <row r="62" spans="1:25" ht="14.4">
      <c r="A62" s="99">
        <v>526263</v>
      </c>
      <c r="B62" s="98" t="s">
        <v>5988</v>
      </c>
      <c r="C62" s="360"/>
      <c r="D62" s="360"/>
      <c r="E62" s="101">
        <f ca="1">IFERROR(__xludf.DUMMYFUNCTION("GOOGLEFINANCE(""BOM:""&amp;A62,""PRICE"")"),115.65)</f>
        <v>115.65</v>
      </c>
      <c r="F62" s="112">
        <f ca="1">IFERROR(__xludf.DUMMYFUNCTION("GOOGLEFINANCE(""BOM:""&amp;A62,""MARKETCAP"")/10000000"),336.9909757)</f>
        <v>336.99097569999998</v>
      </c>
      <c r="G62" s="95">
        <f t="shared" ca="1" si="0"/>
        <v>4.0649422488463351E-4</v>
      </c>
      <c r="H62" s="174"/>
      <c r="I62" s="174"/>
      <c r="J62" s="174"/>
      <c r="K62" s="174"/>
      <c r="L62" s="174"/>
      <c r="M62" s="174"/>
      <c r="N62" s="174"/>
      <c r="O62" s="174"/>
      <c r="P62" s="344"/>
      <c r="Q62" s="344"/>
      <c r="R62" s="344"/>
      <c r="S62" s="345"/>
      <c r="T62" s="346"/>
      <c r="U62" s="344"/>
      <c r="V62" s="344"/>
      <c r="W62" s="344"/>
      <c r="X62" s="344"/>
      <c r="Y62" s="344"/>
    </row>
    <row r="63" spans="1:25" ht="14.4">
      <c r="A63" s="99">
        <v>535693</v>
      </c>
      <c r="B63" s="98" t="s">
        <v>5989</v>
      </c>
      <c r="C63" s="360"/>
      <c r="D63" s="360"/>
      <c r="E63" s="101">
        <f ca="1">IFERROR(__xludf.DUMMYFUNCTION("GOOGLEFINANCE(""BOM:""&amp;A63,""PRICE"")"),148.95)</f>
        <v>148.94999999999999</v>
      </c>
      <c r="F63" s="112">
        <f ca="1">IFERROR(__xludf.DUMMYFUNCTION("GOOGLEFINANCE(""BOM:""&amp;A63,""MARKETCAP"")/10000000"),432.2289101)</f>
        <v>432.22891010000001</v>
      </c>
      <c r="G63" s="95">
        <f t="shared" ca="1" si="0"/>
        <v>5.2137466120232804E-4</v>
      </c>
      <c r="H63" s="174"/>
      <c r="I63" s="174"/>
      <c r="J63" s="174"/>
      <c r="K63" s="174"/>
      <c r="L63" s="174"/>
      <c r="M63" s="174"/>
      <c r="N63" s="174"/>
      <c r="O63" s="174"/>
      <c r="P63" s="344"/>
      <c r="Q63" s="344"/>
      <c r="R63" s="344"/>
      <c r="S63" s="345"/>
      <c r="T63" s="346"/>
      <c r="U63" s="344"/>
      <c r="V63" s="344"/>
      <c r="W63" s="344"/>
      <c r="X63" s="344"/>
      <c r="Y63" s="344"/>
    </row>
    <row r="64" spans="1:25" ht="14.4">
      <c r="A64" s="99">
        <v>532738</v>
      </c>
      <c r="B64" s="98" t="s">
        <v>5990</v>
      </c>
      <c r="C64" s="360"/>
      <c r="D64" s="360"/>
      <c r="E64" s="101">
        <f ca="1">IFERROR(__xludf.DUMMYFUNCTION("GOOGLEFINANCE(""BOM:""&amp;A64,""PRICE"")"),23.65)</f>
        <v>23.65</v>
      </c>
      <c r="F64" s="112">
        <f ca="1">IFERROR(__xludf.DUMMYFUNCTION("GOOGLEFINANCE(""BOM:""&amp;A64,""MARKETCAP"")/10000000"),368.5900106)</f>
        <v>368.59001060000003</v>
      </c>
      <c r="G64" s="95">
        <f t="shared" ca="1" si="0"/>
        <v>4.4461045387888669E-4</v>
      </c>
      <c r="H64" s="174"/>
      <c r="I64" s="174"/>
      <c r="J64" s="174"/>
      <c r="K64" s="174"/>
      <c r="L64" s="174"/>
      <c r="M64" s="174"/>
      <c r="N64" s="174"/>
      <c r="O64" s="174"/>
      <c r="P64" s="344"/>
      <c r="Q64" s="344"/>
      <c r="R64" s="344"/>
      <c r="S64" s="345"/>
      <c r="T64" s="346"/>
      <c r="U64" s="344"/>
      <c r="V64" s="344"/>
      <c r="W64" s="344"/>
      <c r="X64" s="344"/>
      <c r="Y64" s="344"/>
    </row>
    <row r="65" spans="1:25" ht="14.4">
      <c r="A65" s="99">
        <v>544424</v>
      </c>
      <c r="B65" s="98" t="s">
        <v>5991</v>
      </c>
      <c r="C65" s="360"/>
      <c r="D65" s="360"/>
      <c r="E65" s="101">
        <f ca="1">IFERROR(__xludf.DUMMYFUNCTION("GOOGLEFINANCE(""BOM:""&amp;A65,""PRICE"")"),41.3)</f>
        <v>41.3</v>
      </c>
      <c r="F65" s="112">
        <f ca="1">IFERROR(__xludf.DUMMYFUNCTION("GOOGLEFINANCE(""BOM:""&amp;A65,""MARKETCAP"")/10000000"),246.2638006)</f>
        <v>246.2638006</v>
      </c>
      <c r="G65" s="95">
        <f t="shared" ca="1" si="0"/>
        <v>2.9705487671918373E-4</v>
      </c>
      <c r="H65" s="174"/>
      <c r="I65" s="174"/>
      <c r="J65" s="174"/>
      <c r="K65" s="174"/>
      <c r="L65" s="174"/>
      <c r="M65" s="174"/>
      <c r="N65" s="174"/>
      <c r="O65" s="174"/>
      <c r="P65" s="344"/>
      <c r="Q65" s="344"/>
      <c r="R65" s="344"/>
      <c r="S65" s="345"/>
      <c r="T65" s="346"/>
      <c r="U65" s="344"/>
      <c r="V65" s="344"/>
      <c r="W65" s="344"/>
      <c r="X65" s="344"/>
      <c r="Y65" s="344"/>
    </row>
    <row r="66" spans="1:25" ht="14.4">
      <c r="A66" s="99">
        <v>543364</v>
      </c>
      <c r="B66" s="98" t="s">
        <v>5992</v>
      </c>
      <c r="C66" s="360"/>
      <c r="D66" s="360"/>
      <c r="E66" s="101">
        <f ca="1">IFERROR(__xludf.DUMMYFUNCTION("GOOGLEFINANCE(""BOM:""&amp;A66,""PRICE"")"),154.15)</f>
        <v>154.15</v>
      </c>
      <c r="F66" s="112">
        <f ca="1">IFERROR(__xludf.DUMMYFUNCTION("GOOGLEFINANCE(""BOM:""&amp;A66,""MARKETCAP"")/10000000"),340.5320595)</f>
        <v>340.5320595</v>
      </c>
      <c r="G66" s="95">
        <f t="shared" ca="1" si="0"/>
        <v>4.107656452440142E-4</v>
      </c>
      <c r="H66" s="174"/>
      <c r="I66" s="174"/>
      <c r="J66" s="174"/>
      <c r="K66" s="174"/>
      <c r="L66" s="174"/>
      <c r="M66" s="174"/>
      <c r="N66" s="174"/>
      <c r="O66" s="174"/>
      <c r="P66" s="344"/>
      <c r="Q66" s="344"/>
      <c r="R66" s="344"/>
      <c r="S66" s="345"/>
      <c r="T66" s="346"/>
      <c r="U66" s="344"/>
      <c r="V66" s="344"/>
      <c r="W66" s="344"/>
      <c r="X66" s="344"/>
      <c r="Y66" s="344"/>
    </row>
    <row r="67" spans="1:25" ht="14.4">
      <c r="A67" s="99">
        <v>532907</v>
      </c>
      <c r="B67" s="98" t="s">
        <v>5993</v>
      </c>
      <c r="C67" s="360"/>
      <c r="D67" s="360"/>
      <c r="E67" s="101">
        <f ca="1">IFERROR(__xludf.DUMMYFUNCTION("GOOGLEFINANCE(""BOM:""&amp;A67,""PRICE"")"),24.29)</f>
        <v>24.29</v>
      </c>
      <c r="F67" s="112">
        <f ca="1">IFERROR(__xludf.DUMMYFUNCTION("GOOGLEFINANCE(""BOM:""&amp;A67,""MARKETCAP"")/10000000"),315.4771189)</f>
        <v>315.47711889999999</v>
      </c>
      <c r="G67" s="95">
        <f t="shared" ca="1" si="0"/>
        <v>3.805432078699218E-4</v>
      </c>
      <c r="H67" s="174"/>
      <c r="I67" s="174"/>
      <c r="J67" s="174"/>
      <c r="K67" s="174"/>
      <c r="L67" s="174"/>
      <c r="M67" s="174"/>
      <c r="N67" s="174"/>
      <c r="O67" s="174"/>
      <c r="P67" s="344"/>
      <c r="Q67" s="344"/>
      <c r="R67" s="344"/>
      <c r="S67" s="345"/>
      <c r="T67" s="346"/>
      <c r="U67" s="344"/>
      <c r="V67" s="344"/>
      <c r="W67" s="344"/>
      <c r="X67" s="344"/>
      <c r="Y67" s="344"/>
    </row>
    <row r="68" spans="1:25" ht="14.4">
      <c r="A68" s="99">
        <v>543391</v>
      </c>
      <c r="B68" s="98" t="s">
        <v>5994</v>
      </c>
      <c r="C68" s="360"/>
      <c r="D68" s="360"/>
      <c r="E68" s="101">
        <f ca="1">IFERROR(__xludf.DUMMYFUNCTION("GOOGLEFINANCE(""BOM:""&amp;A68,""PRICE"")"),107.95)</f>
        <v>107.95</v>
      </c>
      <c r="F68" s="112">
        <f ca="1">IFERROR(__xludf.DUMMYFUNCTION("GOOGLEFINANCE(""BOM:""&amp;A68,""MARKETCAP"")/10000000"),268.3876573)</f>
        <v>268.3876573</v>
      </c>
      <c r="G68" s="95">
        <f t="shared" ca="1" si="0"/>
        <v>3.2374170405052231E-4</v>
      </c>
      <c r="H68" s="174"/>
      <c r="I68" s="174"/>
      <c r="J68" s="174"/>
      <c r="K68" s="174"/>
      <c r="L68" s="174"/>
      <c r="M68" s="174"/>
      <c r="N68" s="174"/>
      <c r="O68" s="174"/>
      <c r="P68" s="344"/>
      <c r="Q68" s="344"/>
      <c r="R68" s="344"/>
      <c r="S68" s="345"/>
      <c r="T68" s="346"/>
      <c r="U68" s="344"/>
      <c r="V68" s="344"/>
      <c r="W68" s="344"/>
      <c r="X68" s="344"/>
      <c r="Y68" s="344"/>
    </row>
    <row r="69" spans="1:25" ht="14.4">
      <c r="A69" s="99">
        <v>539894</v>
      </c>
      <c r="B69" s="98" t="s">
        <v>5995</v>
      </c>
      <c r="C69" s="360"/>
      <c r="D69" s="360"/>
      <c r="E69" s="101">
        <f ca="1">IFERROR(__xludf.DUMMYFUNCTION("GOOGLEFINANCE(""BOM:""&amp;A69,""PRICE"")"),7.98)</f>
        <v>7.98</v>
      </c>
      <c r="F69" s="112">
        <f ca="1">IFERROR(__xludf.DUMMYFUNCTION("GOOGLEFINANCE(""BOM:""&amp;A69,""MARKETCAP"")/10000000"),215.1260375)</f>
        <v>215.1260375</v>
      </c>
      <c r="G69" s="95">
        <f t="shared" ca="1" si="0"/>
        <v>2.5949505527386474E-4</v>
      </c>
      <c r="H69" s="174"/>
      <c r="I69" s="174"/>
      <c r="J69" s="174"/>
      <c r="K69" s="174"/>
      <c r="L69" s="174"/>
      <c r="M69" s="174"/>
      <c r="N69" s="174"/>
      <c r="O69" s="174"/>
      <c r="P69" s="344"/>
      <c r="Q69" s="344"/>
      <c r="R69" s="344"/>
      <c r="S69" s="345"/>
      <c r="T69" s="346"/>
      <c r="U69" s="344"/>
      <c r="V69" s="344"/>
      <c r="W69" s="344"/>
      <c r="X69" s="344"/>
      <c r="Y69" s="344"/>
    </row>
    <row r="70" spans="1:25" ht="14.4">
      <c r="A70" s="99">
        <v>544335</v>
      </c>
      <c r="B70" s="98" t="s">
        <v>5996</v>
      </c>
      <c r="C70" s="360"/>
      <c r="D70" s="360"/>
      <c r="E70" s="101">
        <f ca="1">IFERROR(__xludf.DUMMYFUNCTION("GOOGLEFINANCE(""BOM:""&amp;A70,""PRICE"")"),104.5)</f>
        <v>104.5</v>
      </c>
      <c r="F70" s="112">
        <f ca="1">IFERROR(__xludf.DUMMYFUNCTION("GOOGLEFINANCE(""BOM:""&amp;A70,""MARKETCAP"")/10000000"),248.968115)</f>
        <v>248.96811500000001</v>
      </c>
      <c r="G70" s="95">
        <f t="shared" ca="1" si="0"/>
        <v>3.0031694681939612E-4</v>
      </c>
      <c r="H70" s="174"/>
      <c r="I70" s="174"/>
      <c r="J70" s="174"/>
      <c r="K70" s="174"/>
      <c r="L70" s="174"/>
      <c r="M70" s="174"/>
      <c r="N70" s="174"/>
      <c r="O70" s="174"/>
      <c r="P70" s="344"/>
      <c r="Q70" s="344"/>
      <c r="R70" s="344"/>
      <c r="S70" s="345"/>
      <c r="T70" s="346"/>
      <c r="U70" s="344"/>
      <c r="V70" s="344"/>
      <c r="W70" s="344"/>
      <c r="X70" s="344"/>
      <c r="Y70" s="344"/>
    </row>
    <row r="71" spans="1:25" ht="14.4">
      <c r="A71" s="99">
        <v>544511</v>
      </c>
      <c r="B71" s="98" t="s">
        <v>5997</v>
      </c>
      <c r="C71" s="360"/>
      <c r="D71" s="360"/>
      <c r="E71" s="101">
        <f ca="1">IFERROR(__xludf.DUMMYFUNCTION("GOOGLEFINANCE(""BOM:""&amp;A71,""PRICE"")"),121)</f>
        <v>121</v>
      </c>
      <c r="F71" s="112">
        <f ca="1">IFERROR(__xludf.DUMMYFUNCTION("GOOGLEFINANCE(""BOM:""&amp;A71,""MARKETCAP"")/10000000"),171.116)</f>
        <v>171.11600000000001</v>
      </c>
      <c r="G71" s="95">
        <f t="shared" ca="1" si="0"/>
        <v>2.0640809636184853E-4</v>
      </c>
      <c r="H71" s="174"/>
      <c r="I71" s="174"/>
      <c r="J71" s="174"/>
      <c r="K71" s="174"/>
      <c r="L71" s="174"/>
      <c r="M71" s="174"/>
      <c r="N71" s="174"/>
      <c r="O71" s="174"/>
      <c r="P71" s="344"/>
      <c r="Q71" s="344"/>
      <c r="R71" s="344"/>
      <c r="S71" s="345"/>
      <c r="T71" s="346"/>
      <c r="U71" s="344"/>
      <c r="V71" s="344"/>
      <c r="W71" s="344"/>
      <c r="X71" s="344"/>
      <c r="Y71" s="344"/>
    </row>
    <row r="72" spans="1:25" ht="14.4">
      <c r="A72" s="99">
        <v>532986</v>
      </c>
      <c r="B72" s="98" t="s">
        <v>5998</v>
      </c>
      <c r="C72" s="360"/>
      <c r="D72" s="360"/>
      <c r="E72" s="101">
        <f ca="1">IFERROR(__xludf.DUMMYFUNCTION("GOOGLEFINANCE(""BOM:""&amp;A72,""PRICE"")"),24.12)</f>
        <v>24.12</v>
      </c>
      <c r="F72" s="112">
        <f ca="1">IFERROR(__xludf.DUMMYFUNCTION("GOOGLEFINANCE(""BOM:""&amp;A72,""MARKETCAP"")/10000000"),142.3710031)</f>
        <v>142.3710031</v>
      </c>
      <c r="G72" s="95">
        <f t="shared" ca="1" si="0"/>
        <v>1.7173454105400918E-4</v>
      </c>
      <c r="H72" s="174"/>
      <c r="I72" s="174"/>
      <c r="J72" s="174"/>
      <c r="K72" s="174"/>
      <c r="L72" s="174"/>
      <c r="M72" s="174"/>
      <c r="N72" s="174"/>
      <c r="O72" s="174"/>
      <c r="P72" s="344"/>
      <c r="Q72" s="344"/>
      <c r="R72" s="344"/>
      <c r="S72" s="345"/>
      <c r="T72" s="346"/>
      <c r="U72" s="344"/>
      <c r="V72" s="344"/>
      <c r="W72" s="344"/>
      <c r="X72" s="344"/>
      <c r="Y72" s="344"/>
    </row>
    <row r="73" spans="1:25" ht="14.4">
      <c r="A73" s="99">
        <v>540700</v>
      </c>
      <c r="B73" s="98" t="s">
        <v>5999</v>
      </c>
      <c r="C73" s="360"/>
      <c r="D73" s="360"/>
      <c r="E73" s="101">
        <f ca="1">IFERROR(__xludf.DUMMYFUNCTION("GOOGLEFINANCE(""BOM:""&amp;A73,""PRICE"")"),18.96)</f>
        <v>18.96</v>
      </c>
      <c r="F73" s="112">
        <f ca="1">IFERROR(__xludf.DUMMYFUNCTION("GOOGLEFINANCE(""BOM:""&amp;A73,""MARKETCAP"")/10000000"),158.9978508)</f>
        <v>158.99785080000001</v>
      </c>
      <c r="G73" s="95">
        <f t="shared" ca="1" si="0"/>
        <v>1.9179061986753556E-4</v>
      </c>
      <c r="H73" s="174"/>
      <c r="I73" s="174"/>
      <c r="J73" s="174"/>
      <c r="K73" s="174"/>
      <c r="L73" s="174"/>
      <c r="M73" s="174"/>
      <c r="N73" s="174"/>
      <c r="O73" s="174"/>
      <c r="P73" s="344"/>
      <c r="Q73" s="344"/>
      <c r="R73" s="344"/>
      <c r="S73" s="345"/>
      <c r="T73" s="346"/>
      <c r="U73" s="344"/>
      <c r="V73" s="344"/>
      <c r="W73" s="344"/>
      <c r="X73" s="344"/>
      <c r="Y73" s="344"/>
    </row>
    <row r="74" spans="1:25" ht="14.4">
      <c r="A74" s="99">
        <v>539112</v>
      </c>
      <c r="B74" s="98" t="s">
        <v>6000</v>
      </c>
      <c r="C74" s="360"/>
      <c r="D74" s="360"/>
      <c r="E74" s="101">
        <f ca="1">IFERROR(__xludf.DUMMYFUNCTION("GOOGLEFINANCE(""BOM:""&amp;A74,""PRICE"")"),133.35)</f>
        <v>133.35</v>
      </c>
      <c r="F74" s="112">
        <f ca="1">IFERROR(__xludf.DUMMYFUNCTION("GOOGLEFINANCE(""BOM:""&amp;A74,""MARKETCAP"")/10000000"),202.8264)</f>
        <v>202.82640000000001</v>
      </c>
      <c r="G74" s="95">
        <f t="shared" ca="1" si="0"/>
        <v>2.4465865913138942E-4</v>
      </c>
      <c r="H74" s="174"/>
      <c r="I74" s="174"/>
      <c r="J74" s="174"/>
      <c r="K74" s="174"/>
      <c r="L74" s="174"/>
      <c r="M74" s="174"/>
      <c r="N74" s="174"/>
      <c r="O74" s="174"/>
      <c r="P74" s="344"/>
      <c r="Q74" s="344"/>
      <c r="R74" s="344"/>
      <c r="S74" s="345"/>
      <c r="T74" s="346"/>
      <c r="U74" s="344"/>
      <c r="V74" s="344"/>
      <c r="W74" s="344"/>
      <c r="X74" s="344"/>
      <c r="Y74" s="344"/>
    </row>
    <row r="75" spans="1:25" ht="14.4">
      <c r="A75" s="99">
        <v>531494</v>
      </c>
      <c r="B75" s="98" t="s">
        <v>6001</v>
      </c>
      <c r="C75" s="360"/>
      <c r="D75" s="360"/>
      <c r="E75" s="101">
        <f ca="1">IFERROR(__xludf.DUMMYFUNCTION("GOOGLEFINANCE(""BOM:""&amp;A75,""PRICE"")"),0.76)</f>
        <v>0.76</v>
      </c>
      <c r="F75" s="112">
        <f ca="1">IFERROR(__xludf.DUMMYFUNCTION("GOOGLEFINANCE(""BOM:""&amp;A75,""MARKETCAP"")/10000000"),84.15675)</f>
        <v>84.156750000000002</v>
      </c>
      <c r="G75" s="95">
        <f t="shared" ca="1" si="0"/>
        <v>1.0151379510682809E-4</v>
      </c>
      <c r="H75" s="174"/>
      <c r="I75" s="174"/>
      <c r="J75" s="174"/>
      <c r="K75" s="174"/>
      <c r="L75" s="174"/>
      <c r="M75" s="174"/>
      <c r="N75" s="174"/>
      <c r="O75" s="174"/>
      <c r="P75" s="344"/>
      <c r="Q75" s="344"/>
      <c r="R75" s="344"/>
      <c r="S75" s="345"/>
      <c r="T75" s="346"/>
      <c r="U75" s="344"/>
      <c r="V75" s="344"/>
      <c r="W75" s="344"/>
      <c r="X75" s="344"/>
      <c r="Y75" s="344"/>
    </row>
    <row r="76" spans="1:25" ht="14.4">
      <c r="A76" s="99">
        <v>504273</v>
      </c>
      <c r="B76" s="98" t="s">
        <v>6002</v>
      </c>
      <c r="C76" s="360"/>
      <c r="D76" s="360"/>
      <c r="E76" s="101">
        <f ca="1">IFERROR(__xludf.DUMMYFUNCTION("GOOGLEFINANCE(""BOM:""&amp;A76,""PRICE"")"),18.51)</f>
        <v>18.510000000000002</v>
      </c>
      <c r="F76" s="112">
        <f ca="1">IFERROR(__xludf.DUMMYFUNCTION("GOOGLEFINANCE(""BOM:""&amp;A76,""MARKETCAP"")/10000000"),131.5510713)</f>
        <v>131.55107129999999</v>
      </c>
      <c r="G76" s="95">
        <f t="shared" ca="1" si="0"/>
        <v>1.5868303490845277E-4</v>
      </c>
      <c r="H76" s="174"/>
      <c r="I76" s="174"/>
      <c r="J76" s="174"/>
      <c r="K76" s="174"/>
      <c r="L76" s="174"/>
      <c r="M76" s="174"/>
      <c r="N76" s="174"/>
      <c r="O76" s="174"/>
      <c r="P76" s="344"/>
      <c r="Q76" s="344"/>
      <c r="R76" s="344"/>
      <c r="S76" s="345"/>
      <c r="T76" s="346"/>
      <c r="U76" s="344"/>
      <c r="V76" s="344"/>
      <c r="W76" s="344"/>
      <c r="X76" s="344"/>
      <c r="Y76" s="344"/>
    </row>
    <row r="77" spans="1:25" ht="14.4">
      <c r="A77" s="99">
        <v>514360</v>
      </c>
      <c r="B77" s="98" t="s">
        <v>6003</v>
      </c>
      <c r="C77" s="360"/>
      <c r="D77" s="360"/>
      <c r="E77" s="101">
        <f ca="1">IFERROR(__xludf.DUMMYFUNCTION("GOOGLEFINANCE(""BOM:""&amp;A77,""PRICE"")"),23.04)</f>
        <v>23.04</v>
      </c>
      <c r="F77" s="112">
        <f ca="1">IFERROR(__xludf.DUMMYFUNCTION("GOOGLEFINANCE(""BOM:""&amp;A77,""MARKETCAP"")/10000000"),96.325198)</f>
        <v>96.325198</v>
      </c>
      <c r="G77" s="95">
        <f t="shared" ca="1" si="0"/>
        <v>1.161919443585529E-4</v>
      </c>
      <c r="H77" s="174"/>
      <c r="I77" s="174"/>
      <c r="J77" s="174"/>
      <c r="K77" s="174"/>
      <c r="L77" s="174"/>
      <c r="M77" s="174"/>
      <c r="N77" s="174"/>
      <c r="O77" s="174"/>
      <c r="P77" s="344"/>
      <c r="Q77" s="344"/>
      <c r="R77" s="344"/>
      <c r="S77" s="345"/>
      <c r="T77" s="346"/>
      <c r="U77" s="344"/>
      <c r="V77" s="344"/>
      <c r="W77" s="344"/>
      <c r="X77" s="344"/>
      <c r="Y77" s="344"/>
    </row>
    <row r="78" spans="1:25" ht="14.4">
      <c r="A78" s="99">
        <v>544682</v>
      </c>
      <c r="B78" s="98" t="s">
        <v>6004</v>
      </c>
      <c r="C78" s="360"/>
      <c r="D78" s="360"/>
      <c r="E78" s="101">
        <f ca="1">IFERROR(__xludf.DUMMYFUNCTION("GOOGLEFINANCE(""BOM:""&amp;A78,""PRICE"")"),98.5)</f>
        <v>98.5</v>
      </c>
      <c r="F78" s="112">
        <f ca="1">IFERROR(__xludf.DUMMYFUNCTION("GOOGLEFINANCE(""BOM:""&amp;A78,""MARKETCAP"")/10000000"),140.7368)</f>
        <v>140.73679999999999</v>
      </c>
      <c r="G78" s="95">
        <f t="shared" ca="1" si="0"/>
        <v>1.6976328909078169E-4</v>
      </c>
      <c r="H78" s="174"/>
      <c r="I78" s="174"/>
      <c r="J78" s="174"/>
      <c r="K78" s="174"/>
      <c r="L78" s="174"/>
      <c r="M78" s="174"/>
      <c r="N78" s="174"/>
      <c r="O78" s="174"/>
      <c r="P78" s="344"/>
      <c r="Q78" s="344"/>
      <c r="R78" s="344"/>
      <c r="S78" s="345"/>
      <c r="T78" s="346"/>
      <c r="U78" s="344"/>
      <c r="V78" s="344"/>
      <c r="W78" s="344"/>
      <c r="X78" s="344"/>
      <c r="Y78" s="344"/>
    </row>
    <row r="79" spans="1:25" ht="14.4">
      <c r="A79" s="99">
        <v>544498</v>
      </c>
      <c r="B79" s="98" t="s">
        <v>6005</v>
      </c>
      <c r="C79" s="360"/>
      <c r="D79" s="360"/>
      <c r="E79" s="101">
        <f ca="1">IFERROR(__xludf.DUMMYFUNCTION("GOOGLEFINANCE(""BOM:""&amp;A79,""PRICE"")"),47.5)</f>
        <v>47.5</v>
      </c>
      <c r="F79" s="112">
        <f ca="1">IFERROR(__xludf.DUMMYFUNCTION("GOOGLEFINANCE(""BOM:""&amp;A79,""MARKETCAP"")/10000000"),98.653985)</f>
        <v>98.653985000000006</v>
      </c>
      <c r="G79" s="95">
        <f t="shared" ca="1" si="0"/>
        <v>1.1900103580238178E-4</v>
      </c>
      <c r="H79" s="174"/>
      <c r="I79" s="174"/>
      <c r="J79" s="174"/>
      <c r="K79" s="174"/>
      <c r="L79" s="174"/>
      <c r="M79" s="174"/>
      <c r="N79" s="174"/>
      <c r="O79" s="174"/>
      <c r="P79" s="344"/>
      <c r="Q79" s="344"/>
      <c r="R79" s="344"/>
      <c r="S79" s="345"/>
      <c r="T79" s="346"/>
      <c r="U79" s="344"/>
      <c r="V79" s="344"/>
      <c r="W79" s="344"/>
      <c r="X79" s="344"/>
      <c r="Y79" s="344"/>
    </row>
    <row r="80" spans="1:25" ht="14.4">
      <c r="A80" s="99">
        <v>532869</v>
      </c>
      <c r="B80" s="98" t="s">
        <v>6006</v>
      </c>
      <c r="C80" s="360"/>
      <c r="D80" s="360"/>
      <c r="E80" s="101">
        <f ca="1">IFERROR(__xludf.DUMMYFUNCTION("GOOGLEFINANCE(""BOM:""&amp;A80,""PRICE"")"),53.61)</f>
        <v>53.61</v>
      </c>
      <c r="F80" s="112">
        <f ca="1">IFERROR(__xludf.DUMMYFUNCTION("GOOGLEFINANCE(""BOM:""&amp;A80,""MARKETCAP"")/10000000"),133.689939)</f>
        <v>133.68993900000001</v>
      </c>
      <c r="G80" s="95">
        <f t="shared" ca="1" si="0"/>
        <v>1.612630368388792E-4</v>
      </c>
      <c r="H80" s="174"/>
      <c r="I80" s="174"/>
      <c r="J80" s="174"/>
      <c r="K80" s="174"/>
      <c r="L80" s="174"/>
      <c r="M80" s="174"/>
      <c r="N80" s="174"/>
      <c r="O80" s="174"/>
      <c r="P80" s="344"/>
      <c r="Q80" s="344"/>
      <c r="R80" s="344"/>
      <c r="S80" s="345"/>
      <c r="T80" s="346"/>
      <c r="U80" s="344"/>
      <c r="V80" s="344"/>
      <c r="W80" s="344"/>
      <c r="X80" s="344"/>
      <c r="Y80" s="344"/>
    </row>
    <row r="81" spans="1:25" ht="14.4">
      <c r="A81" s="99">
        <v>531260</v>
      </c>
      <c r="B81" s="98" t="s">
        <v>6007</v>
      </c>
      <c r="C81" s="360"/>
      <c r="D81" s="360"/>
      <c r="E81" s="101">
        <f ca="1">IFERROR(__xludf.DUMMYFUNCTION("GOOGLEFINANCE(""BOM:""&amp;A81,""PRICE"")"),241)</f>
        <v>241</v>
      </c>
      <c r="F81" s="112">
        <f ca="1">IFERROR(__xludf.DUMMYFUNCTION("GOOGLEFINANCE(""BOM:""&amp;A81,""MARKETCAP"")/10000000"),108.4002094)</f>
        <v>108.40020939999999</v>
      </c>
      <c r="G81" s="95">
        <f t="shared" ca="1" si="0"/>
        <v>1.3075738602748871E-4</v>
      </c>
      <c r="H81" s="174"/>
      <c r="I81" s="174"/>
      <c r="J81" s="174"/>
      <c r="K81" s="174"/>
      <c r="L81" s="174"/>
      <c r="M81" s="174"/>
      <c r="N81" s="174"/>
      <c r="O81" s="174"/>
      <c r="P81" s="344"/>
      <c r="Q81" s="344"/>
      <c r="R81" s="344"/>
      <c r="S81" s="345"/>
      <c r="T81" s="346"/>
      <c r="U81" s="344"/>
      <c r="V81" s="344"/>
      <c r="W81" s="344"/>
      <c r="X81" s="344"/>
      <c r="Y81" s="344"/>
    </row>
    <row r="82" spans="1:25" ht="14.4">
      <c r="A82" s="99">
        <v>542057</v>
      </c>
      <c r="B82" s="98" t="s">
        <v>6008</v>
      </c>
      <c r="C82" s="360"/>
      <c r="D82" s="360"/>
      <c r="E82" s="101" t="str">
        <f ca="1">IFERROR(__xludf.DUMMYFUNCTION("GOOGLEFINANCE(""BOM:""&amp;A82,""PRICE"")"),"#N/A")</f>
        <v>#N/A</v>
      </c>
      <c r="F82" s="112"/>
      <c r="G82" s="95">
        <f t="shared" ca="1" si="0"/>
        <v>0</v>
      </c>
      <c r="H82" s="174"/>
      <c r="I82" s="174"/>
      <c r="J82" s="174"/>
      <c r="K82" s="174"/>
      <c r="L82" s="174"/>
      <c r="M82" s="174"/>
      <c r="N82" s="174"/>
      <c r="O82" s="174"/>
      <c r="P82" s="344"/>
      <c r="Q82" s="344"/>
      <c r="R82" s="344"/>
      <c r="S82" s="345"/>
      <c r="T82" s="346"/>
      <c r="U82" s="344"/>
      <c r="V82" s="344"/>
      <c r="W82" s="344"/>
      <c r="X82" s="344"/>
      <c r="Y82" s="344"/>
    </row>
    <row r="83" spans="1:25" ht="14.4">
      <c r="A83" s="99">
        <v>543861</v>
      </c>
      <c r="B83" s="98" t="s">
        <v>6009</v>
      </c>
      <c r="C83" s="360"/>
      <c r="D83" s="360"/>
      <c r="E83" s="101">
        <f ca="1">IFERROR(__xludf.DUMMYFUNCTION("GOOGLEFINANCE(""BOM:""&amp;A83,""PRICE"")"),20.17)</f>
        <v>20.170000000000002</v>
      </c>
      <c r="F83" s="112">
        <f ca="1">IFERROR(__xludf.DUMMYFUNCTION("GOOGLEFINANCE(""BOM:""&amp;A83,""MARKETCAP"")/10000000"),110.1607263)</f>
        <v>110.16072629999999</v>
      </c>
      <c r="G83" s="95">
        <f t="shared" ca="1" si="0"/>
        <v>1.3288100358482911E-4</v>
      </c>
      <c r="H83" s="174"/>
      <c r="I83" s="174"/>
      <c r="J83" s="174"/>
      <c r="K83" s="174"/>
      <c r="L83" s="174"/>
      <c r="M83" s="174"/>
      <c r="N83" s="174"/>
      <c r="O83" s="174"/>
      <c r="P83" s="344"/>
      <c r="Q83" s="344"/>
      <c r="R83" s="344"/>
      <c r="S83" s="345"/>
      <c r="T83" s="346"/>
      <c r="U83" s="344"/>
      <c r="V83" s="344"/>
      <c r="W83" s="344"/>
      <c r="X83" s="344"/>
      <c r="Y83" s="344"/>
    </row>
    <row r="84" spans="1:25" ht="14.4">
      <c r="A84" s="99">
        <v>539346</v>
      </c>
      <c r="B84" s="98" t="s">
        <v>6010</v>
      </c>
      <c r="C84" s="360"/>
      <c r="D84" s="360"/>
      <c r="E84" s="101">
        <f ca="1">IFERROR(__xludf.DUMMYFUNCTION("GOOGLEFINANCE(""BOM:""&amp;A84,""PRICE"")"),2.31)</f>
        <v>2.31</v>
      </c>
      <c r="F84" s="112">
        <f ca="1">IFERROR(__xludf.DUMMYFUNCTION("GOOGLEFINANCE(""BOM:""&amp;A84,""MARKETCAP"")/10000000"),80.6243341)</f>
        <v>80.624334099999999</v>
      </c>
      <c r="G84" s="95">
        <f t="shared" ca="1" si="0"/>
        <v>9.7252830372511443E-5</v>
      </c>
      <c r="H84" s="174"/>
      <c r="I84" s="174"/>
      <c r="J84" s="174"/>
      <c r="K84" s="174"/>
      <c r="L84" s="174"/>
      <c r="M84" s="174"/>
      <c r="N84" s="174"/>
      <c r="O84" s="174"/>
      <c r="P84" s="344"/>
      <c r="Q84" s="344"/>
      <c r="R84" s="344"/>
      <c r="S84" s="345"/>
      <c r="T84" s="346"/>
      <c r="U84" s="344"/>
      <c r="V84" s="344"/>
      <c r="W84" s="344"/>
      <c r="X84" s="344"/>
      <c r="Y84" s="344"/>
    </row>
    <row r="85" spans="1:25" ht="14.4">
      <c r="A85" s="99">
        <v>532710</v>
      </c>
      <c r="B85" s="98" t="s">
        <v>6011</v>
      </c>
      <c r="C85" s="360"/>
      <c r="D85" s="360"/>
      <c r="E85" s="101">
        <f ca="1">IFERROR(__xludf.DUMMYFUNCTION("GOOGLEFINANCE(""BOM:""&amp;A85,""PRICE"")"),8.33)</f>
        <v>8.33</v>
      </c>
      <c r="F85" s="112">
        <f ca="1">IFERROR(__xludf.DUMMYFUNCTION("GOOGLEFINANCE(""BOM:""&amp;A85,""MARKETCAP"")/10000000"),144.8056636)</f>
        <v>144.8056636</v>
      </c>
      <c r="G85" s="95">
        <f t="shared" ca="1" si="0"/>
        <v>1.7467134204919598E-4</v>
      </c>
      <c r="H85" s="174"/>
      <c r="I85" s="174"/>
      <c r="J85" s="174"/>
      <c r="K85" s="174"/>
      <c r="L85" s="174"/>
      <c r="M85" s="174"/>
      <c r="N85" s="174"/>
      <c r="O85" s="174"/>
      <c r="P85" s="344"/>
      <c r="Q85" s="344"/>
      <c r="R85" s="344"/>
      <c r="S85" s="345"/>
      <c r="T85" s="346"/>
      <c r="U85" s="344"/>
      <c r="V85" s="344"/>
      <c r="W85" s="344"/>
      <c r="X85" s="344"/>
      <c r="Y85" s="344"/>
    </row>
    <row r="86" spans="1:25" ht="14.4">
      <c r="A86" s="99">
        <v>544387</v>
      </c>
      <c r="B86" s="98" t="s">
        <v>6012</v>
      </c>
      <c r="C86" s="360"/>
      <c r="D86" s="360"/>
      <c r="E86" s="101">
        <f ca="1">IFERROR(__xludf.DUMMYFUNCTION("GOOGLEFINANCE(""BOM:""&amp;A86,""PRICE"")"),145)</f>
        <v>145</v>
      </c>
      <c r="F86" s="112">
        <f ca="1">IFERROR(__xludf.DUMMYFUNCTION("GOOGLEFINANCE(""BOM:""&amp;A86,""MARKETCAP"")/10000000"),111.302145)</f>
        <v>111.302145</v>
      </c>
      <c r="G86" s="95">
        <f t="shared" ca="1" si="0"/>
        <v>1.342578360319341E-4</v>
      </c>
      <c r="H86" s="174"/>
      <c r="I86" s="174"/>
      <c r="J86" s="174"/>
      <c r="K86" s="174"/>
      <c r="L86" s="174"/>
      <c r="M86" s="174"/>
      <c r="N86" s="174"/>
      <c r="O86" s="174"/>
      <c r="P86" s="344"/>
      <c r="Q86" s="344"/>
      <c r="R86" s="344"/>
      <c r="S86" s="345"/>
      <c r="T86" s="346"/>
      <c r="U86" s="344"/>
      <c r="V86" s="344"/>
      <c r="W86" s="344"/>
      <c r="X86" s="344"/>
      <c r="Y86" s="344"/>
    </row>
    <row r="87" spans="1:25" ht="14.4">
      <c r="A87" s="99">
        <v>544565</v>
      </c>
      <c r="B87" s="98" t="s">
        <v>6013</v>
      </c>
      <c r="C87" s="360"/>
      <c r="D87" s="360"/>
      <c r="E87" s="101">
        <f ca="1">IFERROR(__xludf.DUMMYFUNCTION("GOOGLEFINANCE(""BOM:""&amp;A87,""PRICE"")"),40)</f>
        <v>40</v>
      </c>
      <c r="F87" s="112">
        <f ca="1">IFERROR(__xludf.DUMMYFUNCTION("GOOGLEFINANCE(""BOM:""&amp;A87,""MARKETCAP"")/10000000"),78.51176)</f>
        <v>78.511759999999995</v>
      </c>
      <c r="G87" s="95">
        <f t="shared" ca="1" si="0"/>
        <v>9.4704545008171778E-5</v>
      </c>
      <c r="H87" s="174"/>
      <c r="I87" s="174"/>
      <c r="J87" s="174"/>
      <c r="K87" s="174"/>
      <c r="L87" s="174"/>
      <c r="M87" s="174"/>
      <c r="N87" s="174"/>
      <c r="O87" s="174"/>
      <c r="P87" s="344"/>
      <c r="Q87" s="344"/>
      <c r="R87" s="344"/>
      <c r="S87" s="345"/>
      <c r="T87" s="346"/>
      <c r="U87" s="344"/>
      <c r="V87" s="344"/>
      <c r="W87" s="344"/>
      <c r="X87" s="344"/>
      <c r="Y87" s="344"/>
    </row>
    <row r="88" spans="1:25" ht="14.4">
      <c r="A88" s="99">
        <v>531540</v>
      </c>
      <c r="B88" s="98" t="s">
        <v>6014</v>
      </c>
      <c r="C88" s="360"/>
      <c r="D88" s="360"/>
      <c r="E88" s="101">
        <f ca="1">IFERROR(__xludf.DUMMYFUNCTION("GOOGLEFINANCE(""BOM:""&amp;A88,""PRICE"")"),12)</f>
        <v>12</v>
      </c>
      <c r="F88" s="112">
        <f ca="1">IFERROR(__xludf.DUMMYFUNCTION("GOOGLEFINANCE(""BOM:""&amp;A88,""MARKETCAP"")/10000000"),112.500048)</f>
        <v>112.50004800000001</v>
      </c>
      <c r="G88" s="95">
        <f t="shared" ca="1" si="0"/>
        <v>1.3570280247490933E-4</v>
      </c>
      <c r="H88" s="174"/>
      <c r="I88" s="174"/>
      <c r="J88" s="174"/>
      <c r="K88" s="174"/>
      <c r="L88" s="174"/>
      <c r="M88" s="174"/>
      <c r="N88" s="174"/>
      <c r="O88" s="174"/>
      <c r="P88" s="344"/>
      <c r="Q88" s="344"/>
      <c r="R88" s="344"/>
      <c r="S88" s="345"/>
      <c r="T88" s="346"/>
      <c r="U88" s="344"/>
      <c r="V88" s="344"/>
      <c r="W88" s="344"/>
      <c r="X88" s="344"/>
      <c r="Y88" s="344"/>
    </row>
    <row r="89" spans="1:25" ht="14.4">
      <c r="A89" s="99">
        <v>544544</v>
      </c>
      <c r="B89" s="98" t="s">
        <v>6015</v>
      </c>
      <c r="C89" s="360"/>
      <c r="D89" s="360"/>
      <c r="E89" s="101">
        <f ca="1">IFERROR(__xludf.DUMMYFUNCTION("GOOGLEFINANCE(""BOM:""&amp;A89,""PRICE"")"),101)</f>
        <v>101</v>
      </c>
      <c r="F89" s="112">
        <f ca="1">IFERROR(__xludf.DUMMYFUNCTION("GOOGLEFINANCE(""BOM:""&amp;A89,""MARKETCAP"")/10000000"),98.8804948)</f>
        <v>98.880494799999994</v>
      </c>
      <c r="G89" s="95">
        <f t="shared" ca="1" si="0"/>
        <v>1.1927426248267643E-4</v>
      </c>
      <c r="H89" s="174"/>
      <c r="I89" s="174"/>
      <c r="J89" s="174"/>
      <c r="K89" s="174"/>
      <c r="L89" s="174"/>
      <c r="M89" s="174"/>
      <c r="N89" s="174"/>
      <c r="O89" s="174"/>
      <c r="P89" s="344"/>
      <c r="Q89" s="344"/>
      <c r="R89" s="344"/>
      <c r="S89" s="345"/>
      <c r="T89" s="346"/>
      <c r="U89" s="344"/>
      <c r="V89" s="344"/>
      <c r="W89" s="344"/>
      <c r="X89" s="344"/>
      <c r="Y89" s="344"/>
    </row>
    <row r="90" spans="1:25" ht="14.4">
      <c r="A90" s="99">
        <v>533177</v>
      </c>
      <c r="B90" s="98" t="s">
        <v>6016</v>
      </c>
      <c r="C90" s="360"/>
      <c r="D90" s="360"/>
      <c r="E90" s="101">
        <f ca="1">IFERROR(__xludf.DUMMYFUNCTION("GOOGLEFINANCE(""BOM:""&amp;A90,""PRICE"")"),1.88)</f>
        <v>1.88</v>
      </c>
      <c r="F90" s="112">
        <f ca="1">IFERROR(__xludf.DUMMYFUNCTION("GOOGLEFINANCE(""BOM:""&amp;A90,""MARKETCAP"")/10000000"),61.8444798)</f>
        <v>61.844479800000002</v>
      </c>
      <c r="G90" s="95">
        <f t="shared" ca="1" si="0"/>
        <v>7.4599694628245137E-5</v>
      </c>
      <c r="H90" s="174"/>
      <c r="I90" s="174"/>
      <c r="J90" s="174"/>
      <c r="K90" s="174"/>
      <c r="L90" s="174"/>
      <c r="M90" s="174"/>
      <c r="N90" s="174"/>
      <c r="O90" s="174"/>
      <c r="P90" s="344"/>
      <c r="Q90" s="344"/>
      <c r="R90" s="344"/>
      <c r="S90" s="345"/>
      <c r="T90" s="346"/>
      <c r="U90" s="344"/>
      <c r="V90" s="344"/>
      <c r="W90" s="344"/>
      <c r="X90" s="344"/>
      <c r="Y90" s="344"/>
    </row>
    <row r="91" spans="1:25" ht="14.4">
      <c r="A91" s="99">
        <v>505368</v>
      </c>
      <c r="B91" s="98" t="s">
        <v>6017</v>
      </c>
      <c r="C91" s="360"/>
      <c r="D91" s="360"/>
      <c r="E91" s="101">
        <f ca="1">IFERROR(__xludf.DUMMYFUNCTION("GOOGLEFINANCE(""BOM:""&amp;A91,""PRICE"")"),274.1)</f>
        <v>274.10000000000002</v>
      </c>
      <c r="F91" s="112">
        <f ca="1">IFERROR(__xludf.DUMMYFUNCTION("GOOGLEFINANCE(""BOM:""&amp;A91,""MARKETCAP"")/10000000"),71.94747)</f>
        <v>71.947469999999996</v>
      </c>
      <c r="G91" s="95">
        <f t="shared" ca="1" si="0"/>
        <v>8.6786392393178923E-5</v>
      </c>
      <c r="H91" s="174"/>
      <c r="I91" s="174"/>
      <c r="J91" s="174"/>
      <c r="K91" s="174"/>
      <c r="L91" s="174"/>
      <c r="M91" s="174"/>
      <c r="N91" s="174"/>
      <c r="O91" s="174"/>
      <c r="P91" s="344"/>
      <c r="Q91" s="344"/>
      <c r="R91" s="344"/>
      <c r="S91" s="345"/>
      <c r="T91" s="346"/>
      <c r="U91" s="344"/>
      <c r="V91" s="344"/>
      <c r="W91" s="344"/>
      <c r="X91" s="344"/>
      <c r="Y91" s="344"/>
    </row>
    <row r="92" spans="1:25" ht="14.4">
      <c r="A92" s="99">
        <v>544259</v>
      </c>
      <c r="B92" s="98" t="s">
        <v>6018</v>
      </c>
      <c r="C92" s="360"/>
      <c r="D92" s="360"/>
      <c r="E92" s="101">
        <f ca="1">IFERROR(__xludf.DUMMYFUNCTION("GOOGLEFINANCE(""BOM:""&amp;A92,""PRICE"")"),31.4)</f>
        <v>31.4</v>
      </c>
      <c r="F92" s="112">
        <f ca="1">IFERROR(__xludf.DUMMYFUNCTION("GOOGLEFINANCE(""BOM:""&amp;A92,""MARKETCAP"")/10000000"),63.9869192)</f>
        <v>63.986919200000003</v>
      </c>
      <c r="G92" s="95">
        <f t="shared" ca="1" si="0"/>
        <v>7.718400490971864E-5</v>
      </c>
      <c r="H92" s="174"/>
      <c r="I92" s="174"/>
      <c r="J92" s="174"/>
      <c r="K92" s="174"/>
      <c r="L92" s="174"/>
      <c r="M92" s="174"/>
      <c r="N92" s="174"/>
      <c r="O92" s="174"/>
      <c r="P92" s="344"/>
      <c r="Q92" s="344"/>
      <c r="R92" s="344"/>
      <c r="S92" s="345"/>
      <c r="T92" s="346"/>
      <c r="U92" s="344"/>
      <c r="V92" s="344"/>
      <c r="W92" s="344"/>
      <c r="X92" s="344"/>
      <c r="Y92" s="344"/>
    </row>
    <row r="93" spans="1:25" ht="14.4">
      <c r="A93" s="99">
        <v>533048</v>
      </c>
      <c r="B93" s="98" t="s">
        <v>6019</v>
      </c>
      <c r="C93" s="360"/>
      <c r="D93" s="360"/>
      <c r="E93" s="101">
        <f ca="1">IFERROR(__xludf.DUMMYFUNCTION("GOOGLEFINANCE(""BOM:""&amp;A93,""PRICE"")"),0.5)</f>
        <v>0.5</v>
      </c>
      <c r="F93" s="112">
        <f ca="1">IFERROR(__xludf.DUMMYFUNCTION("GOOGLEFINANCE(""BOM:""&amp;A93,""MARKETCAP"")/10000000"),54.81095)</f>
        <v>54.810949999999998</v>
      </c>
      <c r="G93" s="95">
        <f t="shared" ca="1" si="0"/>
        <v>6.6115523091262417E-5</v>
      </c>
      <c r="H93" s="174"/>
      <c r="I93" s="174"/>
      <c r="J93" s="174"/>
      <c r="K93" s="174"/>
      <c r="L93" s="174"/>
      <c r="M93" s="174"/>
      <c r="N93" s="174"/>
      <c r="O93" s="174"/>
      <c r="P93" s="344"/>
      <c r="Q93" s="344"/>
      <c r="R93" s="344"/>
      <c r="S93" s="345"/>
      <c r="T93" s="346"/>
      <c r="U93" s="344"/>
      <c r="V93" s="344"/>
      <c r="W93" s="344"/>
      <c r="X93" s="344"/>
      <c r="Y93" s="344"/>
    </row>
    <row r="94" spans="1:25" ht="14.4">
      <c r="A94" s="99">
        <v>543544</v>
      </c>
      <c r="B94" s="98" t="s">
        <v>6020</v>
      </c>
      <c r="C94" s="360"/>
      <c r="D94" s="360"/>
      <c r="E94" s="101">
        <f ca="1">IFERROR(__xludf.DUMMYFUNCTION("GOOGLEFINANCE(""BOM:""&amp;A94,""PRICE"")"),52.01)</f>
        <v>52.01</v>
      </c>
      <c r="F94" s="112">
        <f ca="1">IFERROR(__xludf.DUMMYFUNCTION("GOOGLEFINANCE(""BOM:""&amp;A94,""MARKETCAP"")/10000000"),53.7610709)</f>
        <v>53.7610709</v>
      </c>
      <c r="G94" s="95">
        <f t="shared" ca="1" si="0"/>
        <v>6.4849109977111255E-5</v>
      </c>
      <c r="H94" s="174"/>
      <c r="I94" s="174"/>
      <c r="J94" s="174"/>
      <c r="K94" s="174"/>
      <c r="L94" s="174"/>
      <c r="M94" s="174"/>
      <c r="N94" s="174"/>
      <c r="O94" s="174"/>
      <c r="P94" s="344"/>
      <c r="Q94" s="344"/>
      <c r="R94" s="344"/>
      <c r="S94" s="345"/>
      <c r="T94" s="346"/>
      <c r="U94" s="344"/>
      <c r="V94" s="344"/>
      <c r="W94" s="344"/>
      <c r="X94" s="344"/>
      <c r="Y94" s="344"/>
    </row>
    <row r="95" spans="1:25" ht="14.4">
      <c r="A95" s="99">
        <v>519331</v>
      </c>
      <c r="B95" s="98" t="s">
        <v>6021</v>
      </c>
      <c r="C95" s="360"/>
      <c r="D95" s="360"/>
      <c r="E95" s="101">
        <f ca="1">IFERROR(__xludf.DUMMYFUNCTION("GOOGLEFINANCE(""BOM:""&amp;A95,""PRICE"")"),32.76)</f>
        <v>32.76</v>
      </c>
      <c r="F95" s="112">
        <f ca="1">IFERROR(__xludf.DUMMYFUNCTION("GOOGLEFINANCE(""BOM:""&amp;A95,""MARKETCAP"")/10000000"),53.8635306)</f>
        <v>53.863530599999997</v>
      </c>
      <c r="G95" s="95">
        <f t="shared" ca="1" si="0"/>
        <v>6.4972701643763151E-5</v>
      </c>
      <c r="H95" s="174"/>
      <c r="I95" s="174"/>
      <c r="J95" s="174"/>
      <c r="K95" s="174"/>
      <c r="L95" s="174"/>
      <c r="M95" s="174"/>
      <c r="N95" s="174"/>
      <c r="O95" s="174"/>
      <c r="P95" s="344"/>
      <c r="Q95" s="344"/>
      <c r="R95" s="344"/>
      <c r="S95" s="345"/>
      <c r="T95" s="346"/>
      <c r="U95" s="344"/>
      <c r="V95" s="344"/>
      <c r="W95" s="344"/>
      <c r="X95" s="344"/>
      <c r="Y95" s="344"/>
    </row>
    <row r="96" spans="1:25" ht="14.4">
      <c r="A96" s="99">
        <v>544349</v>
      </c>
      <c r="B96" s="98" t="s">
        <v>6022</v>
      </c>
      <c r="C96" s="360"/>
      <c r="D96" s="360"/>
      <c r="E96" s="101">
        <f ca="1">IFERROR(__xludf.DUMMYFUNCTION("GOOGLEFINANCE(""BOM:""&amp;A96,""PRICE"")"),42.18)</f>
        <v>42.18</v>
      </c>
      <c r="F96" s="112">
        <f ca="1">IFERROR(__xludf.DUMMYFUNCTION("GOOGLEFINANCE(""BOM:""&amp;A96,""MARKETCAP"")/10000000"),57.7831838)</f>
        <v>57.783183800000003</v>
      </c>
      <c r="G96" s="95">
        <f t="shared" ca="1" si="0"/>
        <v>6.9700770061740597E-5</v>
      </c>
      <c r="H96" s="174"/>
      <c r="I96" s="174"/>
      <c r="J96" s="174"/>
      <c r="K96" s="174"/>
      <c r="L96" s="174"/>
      <c r="M96" s="174"/>
      <c r="N96" s="174"/>
      <c r="O96" s="174"/>
      <c r="P96" s="344"/>
      <c r="Q96" s="344"/>
      <c r="R96" s="344"/>
      <c r="S96" s="345"/>
      <c r="T96" s="346"/>
      <c r="U96" s="344"/>
      <c r="V96" s="344"/>
      <c r="W96" s="344"/>
      <c r="X96" s="344"/>
      <c r="Y96" s="344"/>
    </row>
    <row r="97" spans="1:25" ht="14.4">
      <c r="A97" s="99">
        <v>538833</v>
      </c>
      <c r="B97" s="98" t="s">
        <v>6023</v>
      </c>
      <c r="C97" s="360"/>
      <c r="D97" s="360"/>
      <c r="E97" s="101">
        <f ca="1">IFERROR(__xludf.DUMMYFUNCTION("GOOGLEFINANCE(""BOM:""&amp;A97,""PRICE"")"),8.14)</f>
        <v>8.14</v>
      </c>
      <c r="F97" s="112">
        <f ca="1">IFERROR(__xludf.DUMMYFUNCTION("GOOGLEFINANCE(""BOM:""&amp;A97,""MARKETCAP"")/10000000"),40.72059)</f>
        <v>40.720590000000001</v>
      </c>
      <c r="G97" s="95">
        <f t="shared" ca="1" si="0"/>
        <v>4.9119073988588593E-5</v>
      </c>
      <c r="H97" s="174"/>
      <c r="I97" s="174"/>
      <c r="J97" s="174"/>
      <c r="K97" s="174"/>
      <c r="L97" s="174"/>
      <c r="M97" s="174"/>
      <c r="N97" s="174"/>
      <c r="O97" s="174"/>
      <c r="P97" s="344"/>
      <c r="Q97" s="344"/>
      <c r="R97" s="344"/>
      <c r="S97" s="345"/>
      <c r="T97" s="346"/>
      <c r="U97" s="344"/>
      <c r="V97" s="344"/>
      <c r="W97" s="344"/>
      <c r="X97" s="344"/>
      <c r="Y97" s="344"/>
    </row>
    <row r="98" spans="1:25" ht="14.4">
      <c r="A98" s="99">
        <v>536659</v>
      </c>
      <c r="B98" s="98" t="s">
        <v>6024</v>
      </c>
      <c r="C98" s="360"/>
      <c r="D98" s="360"/>
      <c r="E98" s="101">
        <f ca="1">IFERROR(__xludf.DUMMYFUNCTION("GOOGLEFINANCE(""BOM:""&amp;A98,""PRICE"")"),3.68)</f>
        <v>3.68</v>
      </c>
      <c r="F98" s="112">
        <f ca="1">IFERROR(__xludf.DUMMYFUNCTION("GOOGLEFINANCE(""BOM:""&amp;A98,""MARKETCAP"")/10000000"),52.9577401)</f>
        <v>52.957740100000002</v>
      </c>
      <c r="G98" s="95">
        <f t="shared" ca="1" si="0"/>
        <v>6.3880094916118481E-5</v>
      </c>
      <c r="H98" s="174"/>
      <c r="I98" s="174"/>
      <c r="J98" s="174"/>
      <c r="K98" s="174"/>
      <c r="L98" s="174"/>
      <c r="M98" s="174"/>
      <c r="N98" s="174"/>
      <c r="O98" s="174"/>
      <c r="P98" s="344"/>
      <c r="Q98" s="344"/>
      <c r="R98" s="344"/>
      <c r="S98" s="345"/>
      <c r="T98" s="346"/>
      <c r="U98" s="344"/>
      <c r="V98" s="344"/>
      <c r="W98" s="344"/>
      <c r="X98" s="344"/>
      <c r="Y98" s="344"/>
    </row>
    <row r="99" spans="1:25" ht="14.4">
      <c r="A99" s="99">
        <v>536846</v>
      </c>
      <c r="B99" s="98" t="s">
        <v>6025</v>
      </c>
      <c r="C99" s="360"/>
      <c r="D99" s="360"/>
      <c r="E99" s="101">
        <f ca="1">IFERROR(__xludf.DUMMYFUNCTION("GOOGLEFINANCE(""BOM:""&amp;A99,""PRICE"")"),152.15)</f>
        <v>152.15</v>
      </c>
      <c r="F99" s="112">
        <f ca="1">IFERROR(__xludf.DUMMYFUNCTION("GOOGLEFINANCE(""BOM:""&amp;A99,""MARKETCAP"")/10000000"),50.6873098)</f>
        <v>50.687309800000001</v>
      </c>
      <c r="G99" s="95">
        <f t="shared" ca="1" si="0"/>
        <v>6.1141396044328222E-5</v>
      </c>
      <c r="H99" s="174"/>
      <c r="I99" s="174"/>
      <c r="J99" s="174"/>
      <c r="K99" s="174"/>
      <c r="L99" s="174"/>
      <c r="M99" s="174"/>
      <c r="N99" s="174"/>
      <c r="O99" s="174"/>
      <c r="P99" s="344"/>
      <c r="Q99" s="344"/>
      <c r="R99" s="344"/>
      <c r="S99" s="345"/>
      <c r="T99" s="346"/>
      <c r="U99" s="344"/>
      <c r="V99" s="344"/>
      <c r="W99" s="344"/>
      <c r="X99" s="344"/>
      <c r="Y99" s="344"/>
    </row>
    <row r="100" spans="1:25" ht="14.4">
      <c r="A100" s="99">
        <v>544121</v>
      </c>
      <c r="B100" s="98" t="s">
        <v>6026</v>
      </c>
      <c r="C100" s="360"/>
      <c r="D100" s="360"/>
      <c r="E100" s="101">
        <f ca="1">IFERROR(__xludf.DUMMYFUNCTION("GOOGLEFINANCE(""BOM:""&amp;A100,""PRICE"")"),64.1)</f>
        <v>64.099999999999994</v>
      </c>
      <c r="F100" s="112">
        <f ca="1">IFERROR(__xludf.DUMMYFUNCTION("GOOGLEFINANCE(""BOM:""&amp;A100,""MARKETCAP"")/10000000"),53.4465787)</f>
        <v>53.446578700000003</v>
      </c>
      <c r="G100" s="95">
        <f t="shared" ca="1" si="0"/>
        <v>6.4469754824333906E-5</v>
      </c>
      <c r="H100" s="174"/>
      <c r="I100" s="174"/>
      <c r="J100" s="174"/>
      <c r="K100" s="174"/>
      <c r="L100" s="174"/>
      <c r="M100" s="174"/>
      <c r="N100" s="174"/>
      <c r="O100" s="174"/>
      <c r="P100" s="344"/>
      <c r="Q100" s="344"/>
      <c r="R100" s="344"/>
      <c r="S100" s="345"/>
      <c r="T100" s="346"/>
      <c r="U100" s="344"/>
      <c r="V100" s="344"/>
      <c r="W100" s="344"/>
      <c r="X100" s="344"/>
      <c r="Y100" s="344"/>
    </row>
    <row r="101" spans="1:25" ht="14.4">
      <c r="A101" s="99">
        <v>539762</v>
      </c>
      <c r="B101" s="98" t="s">
        <v>6027</v>
      </c>
      <c r="C101" s="360"/>
      <c r="D101" s="360"/>
      <c r="E101" s="101">
        <f ca="1">IFERROR(__xludf.DUMMYFUNCTION("GOOGLEFINANCE(""BOM:""&amp;A101,""PRICE"")"),35)</f>
        <v>35</v>
      </c>
      <c r="F101" s="112">
        <f ca="1">IFERROR(__xludf.DUMMYFUNCTION("GOOGLEFINANCE(""BOM:""&amp;A101,""MARKETCAP"")/10000000"),54.075)</f>
        <v>54.075000000000003</v>
      </c>
      <c r="G101" s="95">
        <f t="shared" ca="1" si="0"/>
        <v>6.522778589241777E-5</v>
      </c>
      <c r="H101" s="174"/>
      <c r="I101" s="174"/>
      <c r="J101" s="174"/>
      <c r="K101" s="174"/>
      <c r="L101" s="174"/>
      <c r="M101" s="174"/>
      <c r="N101" s="174"/>
      <c r="O101" s="174"/>
      <c r="P101" s="344"/>
      <c r="Q101" s="344"/>
      <c r="R101" s="344"/>
      <c r="S101" s="345"/>
      <c r="T101" s="346"/>
      <c r="U101" s="344"/>
      <c r="V101" s="344"/>
      <c r="W101" s="344"/>
      <c r="X101" s="344"/>
      <c r="Y101" s="344"/>
    </row>
    <row r="102" spans="1:25" ht="14.4">
      <c r="A102" s="99">
        <v>522231</v>
      </c>
      <c r="B102" s="98" t="s">
        <v>6028</v>
      </c>
      <c r="C102" s="360"/>
      <c r="D102" s="360"/>
      <c r="E102" s="101">
        <f ca="1">IFERROR(__xludf.DUMMYFUNCTION("GOOGLEFINANCE(""BOM:""&amp;A102,""PRICE"")"),79.1)</f>
        <v>79.099999999999994</v>
      </c>
      <c r="F102" s="112">
        <f ca="1">IFERROR(__xludf.DUMMYFUNCTION("GOOGLEFINANCE(""BOM:""&amp;A102,""MARKETCAP"")/10000000"),49.674799)</f>
        <v>49.674799</v>
      </c>
      <c r="G102" s="95">
        <f t="shared" ca="1" si="0"/>
        <v>5.9920058315689106E-5</v>
      </c>
      <c r="H102" s="174"/>
      <c r="I102" s="174"/>
      <c r="J102" s="174"/>
      <c r="K102" s="174"/>
      <c r="L102" s="174"/>
      <c r="M102" s="174"/>
      <c r="N102" s="174"/>
      <c r="O102" s="174"/>
      <c r="P102" s="344"/>
      <c r="Q102" s="344"/>
      <c r="R102" s="344"/>
      <c r="S102" s="345"/>
      <c r="T102" s="346"/>
      <c r="U102" s="344"/>
      <c r="V102" s="344"/>
      <c r="W102" s="344"/>
      <c r="X102" s="344"/>
      <c r="Y102" s="344"/>
    </row>
    <row r="103" spans="1:25" ht="14.4">
      <c r="A103" s="99">
        <v>531900</v>
      </c>
      <c r="B103" s="98" t="s">
        <v>6029</v>
      </c>
      <c r="C103" s="360"/>
      <c r="D103" s="360"/>
      <c r="E103" s="101">
        <f ca="1">IFERROR(__xludf.DUMMYFUNCTION("GOOGLEFINANCE(""BOM:""&amp;A103,""PRICE"")"),24.37)</f>
        <v>24.37</v>
      </c>
      <c r="F103" s="112">
        <f ca="1">IFERROR(__xludf.DUMMYFUNCTION("GOOGLEFINANCE(""BOM:""&amp;A103,""MARKETCAP"")/10000000"),46.7723678)</f>
        <v>46.772367799999998</v>
      </c>
      <c r="G103" s="95">
        <f t="shared" ca="1" si="0"/>
        <v>5.64190104954196E-5</v>
      </c>
      <c r="H103" s="174"/>
      <c r="I103" s="174"/>
      <c r="J103" s="174"/>
      <c r="K103" s="174"/>
      <c r="L103" s="174"/>
      <c r="M103" s="174"/>
      <c r="N103" s="174"/>
      <c r="O103" s="174"/>
      <c r="P103" s="344"/>
      <c r="Q103" s="344"/>
      <c r="R103" s="344"/>
      <c r="S103" s="345"/>
      <c r="T103" s="346"/>
      <c r="U103" s="344"/>
      <c r="V103" s="344"/>
      <c r="W103" s="344"/>
      <c r="X103" s="344"/>
      <c r="Y103" s="344"/>
    </row>
    <row r="104" spans="1:25" ht="14.4">
      <c r="A104" s="99">
        <v>544561</v>
      </c>
      <c r="B104" s="98" t="s">
        <v>6030</v>
      </c>
      <c r="C104" s="360"/>
      <c r="D104" s="360"/>
      <c r="E104" s="101">
        <f ca="1">IFERROR(__xludf.DUMMYFUNCTION("GOOGLEFINANCE(""BOM:""&amp;A104,""PRICE"")"),7.05)</f>
        <v>7.05</v>
      </c>
      <c r="F104" s="112">
        <f ca="1">IFERROR(__xludf.DUMMYFUNCTION("GOOGLEFINANCE(""BOM:""&amp;A104,""MARKETCAP"")/10000000"),38.631181)</f>
        <v>38.631180999999998</v>
      </c>
      <c r="G104" s="95">
        <f t="shared" ca="1" si="0"/>
        <v>4.6598731447789866E-5</v>
      </c>
      <c r="H104" s="174"/>
      <c r="I104" s="174"/>
      <c r="J104" s="174"/>
      <c r="K104" s="174"/>
      <c r="L104" s="174"/>
      <c r="M104" s="174"/>
      <c r="N104" s="174"/>
      <c r="O104" s="174"/>
      <c r="P104" s="344"/>
      <c r="Q104" s="344"/>
      <c r="R104" s="344"/>
      <c r="S104" s="345"/>
      <c r="T104" s="346"/>
      <c r="U104" s="344"/>
      <c r="V104" s="344"/>
      <c r="W104" s="344"/>
      <c r="X104" s="344"/>
      <c r="Y104" s="344"/>
    </row>
    <row r="105" spans="1:25" ht="14.4">
      <c r="A105" s="99">
        <v>543375</v>
      </c>
      <c r="B105" s="98" t="s">
        <v>6031</v>
      </c>
      <c r="C105" s="360"/>
      <c r="D105" s="360"/>
      <c r="E105" s="101">
        <f ca="1">IFERROR(__xludf.DUMMYFUNCTION("GOOGLEFINANCE(""BOM:""&amp;A105,""PRICE"")"),15.99)</f>
        <v>15.99</v>
      </c>
      <c r="F105" s="112">
        <f ca="1">IFERROR(__xludf.DUMMYFUNCTION("GOOGLEFINANCE(""BOM:""&amp;A105,""MARKETCAP"")/10000000"),39.9749994)</f>
        <v>39.974999400000002</v>
      </c>
      <c r="G105" s="95">
        <f t="shared" ca="1" si="0"/>
        <v>4.8219707848594152E-5</v>
      </c>
      <c r="H105" s="174"/>
      <c r="I105" s="174"/>
      <c r="J105" s="174"/>
      <c r="K105" s="174"/>
      <c r="L105" s="174"/>
      <c r="M105" s="174"/>
      <c r="N105" s="174"/>
      <c r="O105" s="174"/>
      <c r="P105" s="344"/>
      <c r="Q105" s="344"/>
      <c r="R105" s="344"/>
      <c r="S105" s="345"/>
      <c r="T105" s="346"/>
      <c r="U105" s="344"/>
      <c r="V105" s="344"/>
      <c r="W105" s="344"/>
      <c r="X105" s="344"/>
      <c r="Y105" s="344"/>
    </row>
    <row r="106" spans="1:25" ht="14.4">
      <c r="A106" s="99">
        <v>509762</v>
      </c>
      <c r="B106" s="98" t="s">
        <v>6032</v>
      </c>
      <c r="C106" s="360"/>
      <c r="D106" s="360"/>
      <c r="E106" s="101">
        <f ca="1">IFERROR(__xludf.DUMMYFUNCTION("GOOGLEFINANCE(""BOM:""&amp;A106,""PRICE"")"),49.98)</f>
        <v>49.98</v>
      </c>
      <c r="F106" s="112">
        <f ca="1">IFERROR(__xludf.DUMMYFUNCTION("GOOGLEFINANCE(""BOM:""&amp;A106,""MARKETCAP"")/10000000"),41.9278417)</f>
        <v>41.927841700000002</v>
      </c>
      <c r="G106" s="95">
        <f t="shared" ca="1" si="0"/>
        <v>5.0575317269325669E-5</v>
      </c>
      <c r="H106" s="174"/>
      <c r="I106" s="174"/>
      <c r="J106" s="174"/>
      <c r="K106" s="174"/>
      <c r="L106" s="174"/>
      <c r="M106" s="174"/>
      <c r="N106" s="174"/>
      <c r="O106" s="174"/>
      <c r="P106" s="344"/>
      <c r="Q106" s="344"/>
      <c r="R106" s="344"/>
      <c r="S106" s="345"/>
      <c r="T106" s="346"/>
      <c r="U106" s="344"/>
      <c r="V106" s="344"/>
      <c r="W106" s="344"/>
      <c r="X106" s="344"/>
      <c r="Y106" s="344"/>
    </row>
    <row r="107" spans="1:25" ht="14.4">
      <c r="A107" s="99">
        <v>531497</v>
      </c>
      <c r="B107" s="98" t="s">
        <v>6033</v>
      </c>
      <c r="C107" s="360"/>
      <c r="D107" s="360"/>
      <c r="E107" s="101">
        <f ca="1">IFERROR(__xludf.DUMMYFUNCTION("GOOGLEFINANCE(""BOM:""&amp;A107,""PRICE"")"),4.25)</f>
        <v>4.25</v>
      </c>
      <c r="F107" s="112">
        <f ca="1">IFERROR(__xludf.DUMMYFUNCTION("GOOGLEFINANCE(""BOM:""&amp;A107,""MARKETCAP"")/10000000"),31.5842315)</f>
        <v>31.584231500000001</v>
      </c>
      <c r="G107" s="95">
        <f t="shared" ca="1" si="0"/>
        <v>3.8098372443061614E-5</v>
      </c>
      <c r="H107" s="174"/>
      <c r="I107" s="174"/>
      <c r="J107" s="174"/>
      <c r="K107" s="174"/>
      <c r="L107" s="174"/>
      <c r="M107" s="174"/>
      <c r="N107" s="174"/>
      <c r="O107" s="174"/>
      <c r="P107" s="344"/>
      <c r="Q107" s="344"/>
      <c r="R107" s="344"/>
      <c r="S107" s="345"/>
      <c r="T107" s="346"/>
      <c r="U107" s="344"/>
      <c r="V107" s="344"/>
      <c r="W107" s="344"/>
      <c r="X107" s="344"/>
      <c r="Y107" s="344"/>
    </row>
    <row r="108" spans="1:25" ht="14.4">
      <c r="A108" s="99">
        <v>541112</v>
      </c>
      <c r="B108" s="98" t="s">
        <v>6034</v>
      </c>
      <c r="C108" s="360"/>
      <c r="D108" s="360"/>
      <c r="E108" s="101">
        <f ca="1">IFERROR(__xludf.DUMMYFUNCTION("GOOGLEFINANCE(""BOM:""&amp;A108,""PRICE"")"),23.5)</f>
        <v>23.5</v>
      </c>
      <c r="F108" s="112">
        <f ca="1">IFERROR(__xludf.DUMMYFUNCTION("GOOGLEFINANCE(""BOM:""&amp;A108,""MARKETCAP"")/10000000"),31.02798)</f>
        <v>31.027979999999999</v>
      </c>
      <c r="G108" s="95">
        <f t="shared" ca="1" si="0"/>
        <v>3.7427395952181611E-5</v>
      </c>
      <c r="H108" s="174"/>
      <c r="I108" s="174"/>
      <c r="J108" s="174"/>
      <c r="K108" s="174"/>
      <c r="L108" s="174"/>
      <c r="M108" s="174"/>
      <c r="N108" s="174"/>
      <c r="O108" s="174"/>
      <c r="P108" s="344"/>
      <c r="Q108" s="344"/>
      <c r="R108" s="344"/>
      <c r="S108" s="345"/>
      <c r="T108" s="346"/>
      <c r="U108" s="344"/>
      <c r="V108" s="344"/>
      <c r="W108" s="344"/>
      <c r="X108" s="344"/>
      <c r="Y108" s="344"/>
    </row>
    <row r="109" spans="1:25" ht="14.4">
      <c r="A109" s="99">
        <v>533482</v>
      </c>
      <c r="B109" s="98" t="s">
        <v>6035</v>
      </c>
      <c r="C109" s="360"/>
      <c r="D109" s="360"/>
      <c r="E109" s="101">
        <f ca="1">IFERROR(__xludf.DUMMYFUNCTION("GOOGLEFINANCE(""BOM:""&amp;A109,""PRICE"")"),2.2)</f>
        <v>2.2000000000000002</v>
      </c>
      <c r="F109" s="112">
        <f ca="1">IFERROR(__xludf.DUMMYFUNCTION("GOOGLEFINANCE(""BOM:""&amp;A109,""MARKETCAP"")/10000000"),21.409531)</f>
        <v>21.409531000000001</v>
      </c>
      <c r="G109" s="95">
        <f t="shared" ca="1" si="0"/>
        <v>2.5825174371245139E-5</v>
      </c>
      <c r="H109" s="174"/>
      <c r="I109" s="174"/>
      <c r="J109" s="174"/>
      <c r="K109" s="174"/>
      <c r="L109" s="174"/>
      <c r="M109" s="174"/>
      <c r="N109" s="174"/>
      <c r="O109" s="174"/>
      <c r="P109" s="344"/>
      <c r="Q109" s="344"/>
      <c r="R109" s="344"/>
      <c r="S109" s="345"/>
      <c r="T109" s="346"/>
      <c r="U109" s="344"/>
      <c r="V109" s="344"/>
      <c r="W109" s="344"/>
      <c r="X109" s="344"/>
      <c r="Y109" s="344"/>
    </row>
    <row r="110" spans="1:25" ht="14.4">
      <c r="A110" s="99">
        <v>544313</v>
      </c>
      <c r="B110" s="98" t="s">
        <v>6036</v>
      </c>
      <c r="C110" s="360"/>
      <c r="D110" s="360"/>
      <c r="E110" s="101">
        <f ca="1">IFERROR(__xludf.DUMMYFUNCTION("GOOGLEFINANCE(""BOM:""&amp;A110,""PRICE"")"),23.5)</f>
        <v>23.5</v>
      </c>
      <c r="F110" s="112">
        <f ca="1">IFERROR(__xludf.DUMMYFUNCTION("GOOGLEFINANCE(""BOM:""&amp;A110,""MARKETCAP"")/10000000"),24.7340555)</f>
        <v>24.7340555</v>
      </c>
      <c r="G110" s="95">
        <f t="shared" ca="1" si="0"/>
        <v>2.9835370807307963E-5</v>
      </c>
      <c r="H110" s="174"/>
      <c r="I110" s="174"/>
      <c r="J110" s="174"/>
      <c r="K110" s="174"/>
      <c r="L110" s="174"/>
      <c r="M110" s="174"/>
      <c r="N110" s="174"/>
      <c r="O110" s="174"/>
      <c r="P110" s="344"/>
      <c r="Q110" s="344"/>
      <c r="R110" s="344"/>
      <c r="S110" s="345"/>
      <c r="T110" s="346"/>
      <c r="U110" s="344"/>
      <c r="V110" s="344"/>
      <c r="W110" s="344"/>
      <c r="X110" s="344"/>
      <c r="Y110" s="344"/>
    </row>
    <row r="111" spans="1:25" ht="14.4">
      <c r="A111" s="99">
        <v>540150</v>
      </c>
      <c r="B111" s="98" t="s">
        <v>6037</v>
      </c>
      <c r="C111" s="360"/>
      <c r="D111" s="360"/>
      <c r="E111" s="101">
        <f ca="1">IFERROR(__xludf.DUMMYFUNCTION("GOOGLEFINANCE(""BOM:""&amp;A111,""PRICE"")"),55.15)</f>
        <v>55.15</v>
      </c>
      <c r="F111" s="112">
        <f ca="1">IFERROR(__xludf.DUMMYFUNCTION("GOOGLEFINANCE(""BOM:""&amp;A111,""MARKETCAP"")/10000000"),21.52835)</f>
        <v>21.52835</v>
      </c>
      <c r="G111" s="95">
        <f t="shared" ca="1" si="0"/>
        <v>2.5968499388202163E-5</v>
      </c>
      <c r="H111" s="174"/>
      <c r="I111" s="174"/>
      <c r="J111" s="174"/>
      <c r="K111" s="174"/>
      <c r="L111" s="174"/>
      <c r="M111" s="174"/>
      <c r="N111" s="174"/>
      <c r="O111" s="174"/>
      <c r="P111" s="344"/>
      <c r="Q111" s="344"/>
      <c r="R111" s="344"/>
      <c r="S111" s="345"/>
      <c r="T111" s="346"/>
      <c r="U111" s="344"/>
      <c r="V111" s="344"/>
      <c r="W111" s="344"/>
      <c r="X111" s="344"/>
      <c r="Y111" s="344"/>
    </row>
    <row r="112" spans="1:25" ht="14.4">
      <c r="A112" s="99">
        <v>531870</v>
      </c>
      <c r="B112" s="98" t="s">
        <v>6038</v>
      </c>
      <c r="C112" s="360"/>
      <c r="D112" s="360"/>
      <c r="E112" s="101">
        <f ca="1">IFERROR(__xludf.DUMMYFUNCTION("GOOGLEFINANCE(""BOM:""&amp;A112,""PRICE"")"),14.04)</f>
        <v>14.04</v>
      </c>
      <c r="F112" s="112">
        <f ca="1">IFERROR(__xludf.DUMMYFUNCTION("GOOGLEFINANCE(""BOM:""&amp;A112,""MARKETCAP"")/10000000"),19.6562667)</f>
        <v>19.6562667</v>
      </c>
      <c r="G112" s="95">
        <f t="shared" ca="1" si="0"/>
        <v>2.3710305238129655E-5</v>
      </c>
      <c r="H112" s="174"/>
      <c r="I112" s="174"/>
      <c r="J112" s="174"/>
      <c r="K112" s="174"/>
      <c r="L112" s="174"/>
      <c r="M112" s="174"/>
      <c r="N112" s="174"/>
      <c r="O112" s="174"/>
      <c r="P112" s="344"/>
      <c r="Q112" s="344"/>
      <c r="R112" s="344"/>
      <c r="S112" s="345"/>
      <c r="T112" s="346"/>
      <c r="U112" s="344"/>
      <c r="V112" s="344"/>
      <c r="W112" s="344"/>
      <c r="X112" s="344"/>
      <c r="Y112" s="344"/>
    </row>
    <row r="113" spans="1:25" ht="14.4">
      <c r="A113" s="99">
        <v>536073</v>
      </c>
      <c r="B113" s="98" t="s">
        <v>6039</v>
      </c>
      <c r="C113" s="360"/>
      <c r="D113" s="360"/>
      <c r="E113" s="101">
        <f ca="1">IFERROR(__xludf.DUMMYFUNCTION("GOOGLEFINANCE(""BOM:""&amp;A113,""PRICE"")"),1.95)</f>
        <v>1.95</v>
      </c>
      <c r="F113" s="112">
        <f ca="1">IFERROR(__xludf.DUMMYFUNCTION("GOOGLEFINANCE(""BOM:""&amp;A113,""MARKETCAP"")/10000000"),23.2354205)</f>
        <v>23.2354205</v>
      </c>
      <c r="G113" s="95">
        <f t="shared" ca="1" si="0"/>
        <v>2.8027647406274519E-5</v>
      </c>
      <c r="H113" s="174"/>
      <c r="I113" s="174"/>
      <c r="J113" s="174"/>
      <c r="K113" s="174"/>
      <c r="L113" s="174"/>
      <c r="M113" s="174"/>
      <c r="N113" s="174"/>
      <c r="O113" s="174"/>
      <c r="P113" s="344"/>
      <c r="Q113" s="344"/>
      <c r="R113" s="344"/>
      <c r="S113" s="345"/>
      <c r="T113" s="346"/>
      <c r="U113" s="344"/>
      <c r="V113" s="344"/>
      <c r="W113" s="344"/>
      <c r="X113" s="344"/>
      <c r="Y113" s="344"/>
    </row>
    <row r="114" spans="1:25" ht="14.4">
      <c r="A114" s="99">
        <v>541945</v>
      </c>
      <c r="B114" s="98" t="s">
        <v>6040</v>
      </c>
      <c r="C114" s="360"/>
      <c r="D114" s="360"/>
      <c r="E114" s="101">
        <f ca="1">IFERROR(__xludf.DUMMYFUNCTION("GOOGLEFINANCE(""BOM:""&amp;A114,""PRICE"")"),5.8)</f>
        <v>5.8</v>
      </c>
      <c r="F114" s="112">
        <f ca="1">IFERROR(__xludf.DUMMYFUNCTION("GOOGLEFINANCE(""BOM:""&amp;A114,""MARKETCAP"")/10000000"),23.2)</f>
        <v>23.2</v>
      </c>
      <c r="G114" s="95">
        <f t="shared" ca="1" si="0"/>
        <v>2.7984921547925882E-5</v>
      </c>
      <c r="H114" s="174"/>
      <c r="I114" s="174"/>
      <c r="J114" s="174"/>
      <c r="K114" s="174"/>
      <c r="L114" s="174"/>
      <c r="M114" s="174"/>
      <c r="N114" s="174"/>
      <c r="O114" s="174"/>
      <c r="P114" s="344"/>
      <c r="Q114" s="344"/>
      <c r="R114" s="344"/>
      <c r="S114" s="345"/>
      <c r="T114" s="346"/>
      <c r="U114" s="344"/>
      <c r="V114" s="344"/>
      <c r="W114" s="344"/>
      <c r="X114" s="344"/>
      <c r="Y114" s="344"/>
    </row>
    <row r="115" spans="1:25" ht="14.4">
      <c r="A115" s="99">
        <v>541735</v>
      </c>
      <c r="B115" s="98" t="s">
        <v>6041</v>
      </c>
      <c r="C115" s="360"/>
      <c r="D115" s="360"/>
      <c r="E115" s="101">
        <f ca="1">IFERROR(__xludf.DUMMYFUNCTION("GOOGLEFINANCE(""BOM:""&amp;A115,""PRICE"")"),1.68)</f>
        <v>1.68</v>
      </c>
      <c r="F115" s="112">
        <f ca="1">IFERROR(__xludf.DUMMYFUNCTION("GOOGLEFINANCE(""BOM:""&amp;A115,""MARKETCAP"")/10000000"),21.6425993)</f>
        <v>21.642599300000001</v>
      </c>
      <c r="G115" s="95">
        <f t="shared" ca="1" si="0"/>
        <v>2.6106312219986881E-5</v>
      </c>
      <c r="H115" s="174"/>
      <c r="I115" s="174"/>
      <c r="J115" s="174"/>
      <c r="K115" s="174"/>
      <c r="L115" s="174"/>
      <c r="M115" s="174"/>
      <c r="N115" s="174"/>
      <c r="O115" s="174"/>
      <c r="P115" s="344"/>
      <c r="Q115" s="344"/>
      <c r="R115" s="344"/>
      <c r="S115" s="345"/>
      <c r="T115" s="346"/>
      <c r="U115" s="344"/>
      <c r="V115" s="344"/>
      <c r="W115" s="344"/>
      <c r="X115" s="344"/>
      <c r="Y115" s="344"/>
    </row>
    <row r="116" spans="1:25" ht="14.4">
      <c r="A116" s="99">
        <v>531784</v>
      </c>
      <c r="B116" s="98" t="s">
        <v>6042</v>
      </c>
      <c r="C116" s="360"/>
      <c r="D116" s="360"/>
      <c r="E116" s="101">
        <f ca="1">IFERROR(__xludf.DUMMYFUNCTION("GOOGLEFINANCE(""BOM:""&amp;A116,""PRICE"")"),1.29)</f>
        <v>1.29</v>
      </c>
      <c r="F116" s="112">
        <f ca="1">IFERROR(__xludf.DUMMYFUNCTION("GOOGLEFINANCE(""BOM:""&amp;A116,""MARKETCAP"")/10000000"),21.7896215)</f>
        <v>21.789621499999999</v>
      </c>
      <c r="G116" s="95">
        <f t="shared" ca="1" si="0"/>
        <v>2.6283657251573237E-5</v>
      </c>
      <c r="H116" s="174"/>
      <c r="I116" s="174"/>
      <c r="J116" s="174"/>
      <c r="K116" s="174"/>
      <c r="L116" s="174"/>
      <c r="M116" s="174"/>
      <c r="N116" s="174"/>
      <c r="O116" s="174"/>
      <c r="P116" s="344"/>
      <c r="Q116" s="344"/>
      <c r="R116" s="344"/>
      <c r="S116" s="345"/>
      <c r="T116" s="346"/>
      <c r="U116" s="344"/>
      <c r="V116" s="344"/>
      <c r="W116" s="344"/>
      <c r="X116" s="344"/>
      <c r="Y116" s="344"/>
    </row>
    <row r="117" spans="1:25" ht="14.4">
      <c r="A117" s="99">
        <v>540147</v>
      </c>
      <c r="B117" s="98" t="s">
        <v>6043</v>
      </c>
      <c r="C117" s="360"/>
      <c r="D117" s="360"/>
      <c r="E117" s="101">
        <f ca="1">IFERROR(__xludf.DUMMYFUNCTION("GOOGLEFINANCE(""BOM:""&amp;A117,""PRICE"")"),2.59)</f>
        <v>2.59</v>
      </c>
      <c r="F117" s="112">
        <f ca="1">IFERROR(__xludf.DUMMYFUNCTION("GOOGLEFINANCE(""BOM:""&amp;A117,""MARKETCAP"")/10000000"),18.8220473)</f>
        <v>18.822047300000001</v>
      </c>
      <c r="G117" s="95">
        <f t="shared" ca="1" si="0"/>
        <v>2.2704030907838373E-5</v>
      </c>
      <c r="H117" s="174"/>
      <c r="I117" s="174"/>
      <c r="J117" s="174"/>
      <c r="K117" s="174"/>
      <c r="L117" s="174"/>
      <c r="M117" s="174"/>
      <c r="N117" s="174"/>
      <c r="O117" s="174"/>
      <c r="P117" s="344"/>
      <c r="Q117" s="344"/>
      <c r="R117" s="344"/>
      <c r="S117" s="345"/>
      <c r="T117" s="346"/>
      <c r="U117" s="344"/>
      <c r="V117" s="344"/>
      <c r="W117" s="344"/>
      <c r="X117" s="344"/>
      <c r="Y117" s="344"/>
    </row>
    <row r="118" spans="1:25" ht="14.4">
      <c r="A118" s="99">
        <v>537840</v>
      </c>
      <c r="B118" s="98" t="s">
        <v>6044</v>
      </c>
      <c r="C118" s="360"/>
      <c r="D118" s="360"/>
      <c r="E118" s="101">
        <f ca="1">IFERROR(__xludf.DUMMYFUNCTION("GOOGLEFINANCE(""BOM:""&amp;A118,""PRICE"")"),48.8)</f>
        <v>48.8</v>
      </c>
      <c r="F118" s="112">
        <f ca="1">IFERROR(__xludf.DUMMYFUNCTION("GOOGLEFINANCE(""BOM:""&amp;A118,""MARKETCAP"")/10000000"),16.3150207)</f>
        <v>16.315020700000002</v>
      </c>
      <c r="G118" s="95">
        <f t="shared" ca="1" si="0"/>
        <v>1.9679938549236504E-5</v>
      </c>
      <c r="H118" s="174"/>
      <c r="I118" s="174"/>
      <c r="J118" s="174"/>
      <c r="K118" s="174"/>
      <c r="L118" s="174"/>
      <c r="M118" s="174"/>
      <c r="N118" s="174"/>
      <c r="O118" s="174"/>
      <c r="P118" s="344"/>
      <c r="Q118" s="344"/>
      <c r="R118" s="344"/>
      <c r="S118" s="345"/>
      <c r="T118" s="346"/>
      <c r="U118" s="344"/>
      <c r="V118" s="344"/>
      <c r="W118" s="344"/>
      <c r="X118" s="344"/>
      <c r="Y118" s="344"/>
    </row>
    <row r="119" spans="1:25" ht="14.4">
      <c r="A119" s="99">
        <v>532676</v>
      </c>
      <c r="B119" s="98" t="s">
        <v>6045</v>
      </c>
      <c r="C119" s="360"/>
      <c r="D119" s="360"/>
      <c r="E119" s="101">
        <f ca="1">IFERROR(__xludf.DUMMYFUNCTION("GOOGLEFINANCE(""BOM:""&amp;A119,""PRICE"")"),7.65)</f>
        <v>7.65</v>
      </c>
      <c r="F119" s="112">
        <f ca="1">IFERROR(__xludf.DUMMYFUNCTION("GOOGLEFINANCE(""BOM:""&amp;A119,""MARKETCAP"")/10000000"),10.3279285)</f>
        <v>10.327928500000001</v>
      </c>
      <c r="G119" s="95">
        <f t="shared" ca="1" si="0"/>
        <v>1.245802882866758E-5</v>
      </c>
      <c r="H119" s="174"/>
      <c r="I119" s="174"/>
      <c r="J119" s="174"/>
      <c r="K119" s="174"/>
      <c r="L119" s="174"/>
      <c r="M119" s="174"/>
      <c r="N119" s="174"/>
      <c r="O119" s="174"/>
      <c r="P119" s="344"/>
      <c r="Q119" s="344"/>
      <c r="R119" s="344"/>
      <c r="S119" s="345"/>
      <c r="T119" s="346"/>
      <c r="U119" s="344"/>
      <c r="V119" s="344"/>
      <c r="W119" s="344"/>
      <c r="X119" s="344"/>
      <c r="Y119" s="344"/>
    </row>
    <row r="120" spans="1:25" ht="14.4">
      <c r="A120" s="99">
        <v>540134</v>
      </c>
      <c r="B120" s="98" t="s">
        <v>6046</v>
      </c>
      <c r="C120" s="360"/>
      <c r="D120" s="360"/>
      <c r="E120" s="101">
        <f ca="1">IFERROR(__xludf.DUMMYFUNCTION("GOOGLEFINANCE(""BOM:""&amp;A120,""PRICE"")"),11.17)</f>
        <v>11.17</v>
      </c>
      <c r="F120" s="112">
        <f ca="1">IFERROR(__xludf.DUMMYFUNCTION("GOOGLEFINANCE(""BOM:""&amp;A120,""MARKETCAP"")/10000000"),7.2321282)</f>
        <v>7.2321282</v>
      </c>
      <c r="G120" s="95">
        <f t="shared" ca="1" si="0"/>
        <v>8.7237301854113121E-6</v>
      </c>
      <c r="H120" s="174"/>
      <c r="I120" s="174"/>
      <c r="J120" s="174"/>
      <c r="K120" s="174"/>
      <c r="L120" s="174"/>
      <c r="M120" s="174"/>
      <c r="N120" s="174"/>
      <c r="O120" s="174"/>
      <c r="P120" s="344"/>
      <c r="Q120" s="344"/>
      <c r="R120" s="344"/>
      <c r="S120" s="345"/>
      <c r="T120" s="346"/>
      <c r="U120" s="344"/>
      <c r="V120" s="344"/>
      <c r="W120" s="344"/>
      <c r="X120" s="344"/>
      <c r="Y120" s="344"/>
    </row>
    <row r="121" spans="1:25" ht="14.4">
      <c r="A121" s="99">
        <v>526839</v>
      </c>
      <c r="B121" s="98" t="s">
        <v>6047</v>
      </c>
      <c r="C121" s="360"/>
      <c r="D121" s="360"/>
      <c r="E121" s="101">
        <f ca="1">IFERROR(__xludf.DUMMYFUNCTION("GOOGLEFINANCE(""BOM:""&amp;A121,""PRICE"")"),14.64)</f>
        <v>14.64</v>
      </c>
      <c r="F121" s="112">
        <f ca="1">IFERROR(__xludf.DUMMYFUNCTION("GOOGLEFINANCE(""BOM:""&amp;A121,""MARKETCAP"")/10000000"),5.2267158)</f>
        <v>5.2267158</v>
      </c>
      <c r="G121" s="95">
        <f t="shared" ca="1" si="0"/>
        <v>6.3047082593234772E-6</v>
      </c>
      <c r="H121" s="174"/>
      <c r="I121" s="174"/>
      <c r="J121" s="174"/>
      <c r="K121" s="174"/>
      <c r="L121" s="174"/>
      <c r="M121" s="174"/>
      <c r="N121" s="174"/>
      <c r="O121" s="174"/>
      <c r="P121" s="344"/>
      <c r="Q121" s="344"/>
      <c r="R121" s="344"/>
      <c r="S121" s="345"/>
      <c r="T121" s="346"/>
      <c r="U121" s="344"/>
      <c r="V121" s="344"/>
      <c r="W121" s="344"/>
      <c r="X121" s="344"/>
      <c r="Y121" s="344"/>
    </row>
    <row r="122" spans="1:25" ht="14.4">
      <c r="A122" s="99">
        <v>533605</v>
      </c>
      <c r="B122" s="98" t="s">
        <v>6048</v>
      </c>
      <c r="C122" s="360"/>
      <c r="D122" s="360"/>
      <c r="E122" s="101">
        <f ca="1">IFERROR(__xludf.DUMMYFUNCTION("GOOGLEFINANCE(""BOM:""&amp;A122,""PRICE"")"),0.42)</f>
        <v>0.42</v>
      </c>
      <c r="F122" s="112">
        <f ca="1">IFERROR(__xludf.DUMMYFUNCTION("GOOGLEFINANCE(""BOM:""&amp;A122,""MARKETCAP"")/10000000"),4.901452)</f>
        <v>4.9014519999999999</v>
      </c>
      <c r="G122" s="95">
        <f t="shared" ca="1" si="0"/>
        <v>5.9123599004708802E-6</v>
      </c>
      <c r="H122" s="174"/>
      <c r="I122" s="174"/>
      <c r="J122" s="174"/>
      <c r="K122" s="174"/>
      <c r="L122" s="174"/>
      <c r="M122" s="174"/>
      <c r="N122" s="174"/>
      <c r="O122" s="174"/>
      <c r="P122" s="344"/>
      <c r="Q122" s="344"/>
      <c r="R122" s="344"/>
      <c r="S122" s="345"/>
      <c r="T122" s="346"/>
      <c r="U122" s="344"/>
      <c r="V122" s="344"/>
      <c r="W122" s="344"/>
      <c r="X122" s="344"/>
      <c r="Y122" s="344"/>
    </row>
    <row r="123" spans="1:25" ht="14.4">
      <c r="A123" s="99">
        <v>501630</v>
      </c>
      <c r="B123" s="98" t="s">
        <v>6049</v>
      </c>
      <c r="C123" s="360"/>
      <c r="D123" s="360"/>
      <c r="E123" s="101">
        <f ca="1">IFERROR(__xludf.DUMMYFUNCTION("GOOGLEFINANCE(""BOM:""&amp;A123,""PRICE"")"),24.48)</f>
        <v>24.48</v>
      </c>
      <c r="F123" s="112">
        <f ca="1">IFERROR(__xludf.DUMMYFUNCTION("GOOGLEFINANCE(""BOM:""&amp;A123,""MARKETCAP"")/10000000"),2.2871413)</f>
        <v>2.2871413</v>
      </c>
      <c r="G123" s="95">
        <f t="shared" ca="1" si="0"/>
        <v>2.7588564590310871E-6</v>
      </c>
      <c r="H123" s="174"/>
      <c r="I123" s="174"/>
      <c r="J123" s="174"/>
      <c r="K123" s="174"/>
      <c r="L123" s="174"/>
      <c r="M123" s="174"/>
      <c r="N123" s="174"/>
      <c r="O123" s="174"/>
      <c r="P123" s="344"/>
      <c r="Q123" s="344"/>
      <c r="R123" s="344"/>
      <c r="S123" s="345"/>
      <c r="T123" s="346"/>
      <c r="U123" s="344"/>
      <c r="V123" s="344"/>
      <c r="W123" s="344"/>
      <c r="X123" s="344"/>
      <c r="Y123" s="344"/>
    </row>
    <row r="124" spans="1:25" ht="13.2">
      <c r="A124" s="101"/>
      <c r="B124" s="101"/>
      <c r="C124" s="101"/>
      <c r="D124" s="101"/>
      <c r="E124" s="101"/>
      <c r="F124" s="112"/>
      <c r="G124" s="95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</row>
    <row r="125" spans="1:25" ht="13.2">
      <c r="A125" s="101"/>
      <c r="B125" s="101"/>
      <c r="C125" s="101"/>
      <c r="D125" s="101"/>
      <c r="E125" s="101"/>
      <c r="F125" s="148">
        <f t="shared" ref="F125:G125" ca="1" si="1">SUM(F2:F123)</f>
        <v>829017.86807830015</v>
      </c>
      <c r="G125" s="149">
        <f t="shared" ca="1" si="1"/>
        <v>0.99999999999999967</v>
      </c>
      <c r="H125" s="148">
        <f t="shared" ref="H125:O125" si="2">SUM(H2:H123)</f>
        <v>404508</v>
      </c>
      <c r="I125" s="148">
        <f t="shared" si="2"/>
        <v>352484</v>
      </c>
      <c r="J125" s="148">
        <f t="shared" si="2"/>
        <v>27154</v>
      </c>
      <c r="K125" s="148">
        <f t="shared" si="2"/>
        <v>28915</v>
      </c>
      <c r="L125" s="148">
        <f t="shared" si="2"/>
        <v>131838</v>
      </c>
      <c r="M125" s="148">
        <f t="shared" si="2"/>
        <v>123555</v>
      </c>
      <c r="N125" s="148">
        <f t="shared" si="2"/>
        <v>11351</v>
      </c>
      <c r="O125" s="148">
        <f t="shared" si="2"/>
        <v>13790</v>
      </c>
      <c r="P125" s="347">
        <f t="shared" ref="P125:Q125" si="3">J125/H125</f>
        <v>6.7128462230660463E-2</v>
      </c>
      <c r="Q125" s="347">
        <f t="shared" si="3"/>
        <v>8.2032092236810752E-2</v>
      </c>
      <c r="R125" s="348">
        <f>P125-Q125</f>
        <v>-1.490363000615029E-2</v>
      </c>
      <c r="S125" s="347">
        <f t="shared" ref="S125:T125" si="4">N125/L125</f>
        <v>8.6098090080250003E-2</v>
      </c>
      <c r="T125" s="347">
        <f t="shared" si="4"/>
        <v>0.11161021407470358</v>
      </c>
      <c r="U125" s="347">
        <f>S125-T125</f>
        <v>-2.5512123994453573E-2</v>
      </c>
      <c r="V125" s="347">
        <f>(H125/I125)-1</f>
        <v>0.14759251483755298</v>
      </c>
      <c r="W125" s="347">
        <f>(J125/K125)-1</f>
        <v>-6.0902645685630308E-2</v>
      </c>
      <c r="X125" s="347">
        <f>(L125/M125)-1</f>
        <v>6.7038970498968009E-2</v>
      </c>
      <c r="Y125" s="347">
        <f>(N125/O125)-1</f>
        <v>-0.17686729514140687</v>
      </c>
    </row>
    <row r="126" spans="1:25" ht="13.2">
      <c r="F126" s="94"/>
    </row>
    <row r="127" spans="1:25" ht="13.2">
      <c r="F127" s="94"/>
    </row>
    <row r="128" spans="1:25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23" xr:uid="{00000000-0009-0000-0000-0000C3000000}"/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351">
        <v>533278</v>
      </c>
      <c r="B2" s="361" t="s">
        <v>6050</v>
      </c>
      <c r="C2" s="360" t="str">
        <f>VLOOKUP(A2,'BSE ALL CAP'!$B$4:$Y$1034,2,)</f>
        <v>Energy</v>
      </c>
      <c r="D2" s="360" t="str">
        <f>VLOOKUP(A2,'BSE ALL CAP'!$B$4:$Y$1034,3,)</f>
        <v>Coal</v>
      </c>
      <c r="E2" s="341">
        <f ca="1">IFERROR(__xludf.DUMMYFUNCTION("GOOGLEFINANCE(""BOM:""&amp;A2,""PRICE"")"),458.75)</f>
        <v>458.75</v>
      </c>
      <c r="F2" s="112">
        <f ca="1">IFERROR(__xludf.DUMMYFUNCTION("GOOGLEFINANCE(""BOM:""&amp;A2,""MARKETCAP"")/10000000"),282684.3408828)</f>
        <v>282684.3408828</v>
      </c>
      <c r="G2" s="95">
        <f t="shared" ref="G2:G5" ca="1" si="0">F2/$F$7</f>
        <v>0.92100805410871733</v>
      </c>
      <c r="H2" s="174">
        <f>VLOOKUP(A2,'BSE ALL CAP'!$B$4:$Y$1034,7,)</f>
        <v>100953</v>
      </c>
      <c r="I2" s="174">
        <f>VLOOKUP(A2,'BSE ALL CAP'!$B$4:$Y$1034,8,)</f>
        <v>105544</v>
      </c>
      <c r="J2" s="174">
        <f>VLOOKUP(A2,'BSE ALL CAP'!$B$4:$Y$1034,9,)</f>
        <v>20163</v>
      </c>
      <c r="K2" s="174">
        <f>VLOOKUP(A2,'BSE ALL CAP'!$B$4:$Y$1034,10,)</f>
        <v>25710</v>
      </c>
      <c r="L2" s="174">
        <f>VLOOKUP(A2,'BSE ALL CAP'!$B$4:$Y$1034,11,)</f>
        <v>34924</v>
      </c>
      <c r="M2" s="174">
        <f>VLOOKUP(A2,'BSE ALL CAP'!$B$4:$Y$1034,12,)</f>
        <v>36857</v>
      </c>
      <c r="N2" s="174">
        <f>VLOOKUP(A2,'BSE ALL CAP'!$B$4:$Y$1034,13,)</f>
        <v>7166</v>
      </c>
      <c r="O2" s="174">
        <f>VLOOKUP(A2,'BSE ALL CAP'!$B$4:$Y$1034,14,)</f>
        <v>8491</v>
      </c>
      <c r="P2" s="344">
        <f>VLOOKUP(A2,'BSE ALL CAP'!$B$4:$Y$1034,15,)</f>
        <v>0.19972660545006091</v>
      </c>
      <c r="Q2" s="344">
        <f>VLOOKUP(A2,'BSE ALL CAP'!$B$4:$Y$1034,16,)</f>
        <v>0.24359508830440385</v>
      </c>
      <c r="R2" s="344">
        <f>VLOOKUP(A2,'BSE ALL CAP'!$B$4:$Y$1034,17,)</f>
        <v>-4.3868482854342944E-2</v>
      </c>
      <c r="S2" s="345">
        <f>VLOOKUP(A2,'BSE ALL CAP'!$B$4:$Y$1034,18,)</f>
        <v>0.20518840911693964</v>
      </c>
      <c r="T2" s="346">
        <f>VLOOKUP(A2,'BSE ALL CAP'!$B$4:$Y$1034,19,)</f>
        <v>0.23037686192582141</v>
      </c>
      <c r="U2" s="344">
        <f>VLOOKUP(A2,'BSE ALL CAP'!$B$4:$Y$1034,20,)</f>
        <v>-2.5188452808881767E-2</v>
      </c>
      <c r="V2" s="344">
        <f>VLOOKUP(A2,'BSE ALL CAP'!$B$4:$Y$1034,21,)</f>
        <v>-4.3498446145683323E-2</v>
      </c>
      <c r="W2" s="344">
        <f>VLOOKUP(A2,'BSE ALL CAP'!$B$4:$Y$1034,22,)</f>
        <v>-0.2157526254375729</v>
      </c>
      <c r="X2" s="344">
        <f>VLOOKUP(A2,'BSE ALL CAP'!$B$4:$Y$1034,23,)</f>
        <v>-5.2445939712944645E-2</v>
      </c>
      <c r="Y2" s="344">
        <f>VLOOKUP(A2,'BSE ALL CAP'!$B$4:$Y$1034,24,)</f>
        <v>-0.15604757979036632</v>
      </c>
    </row>
    <row r="3" spans="1:25" ht="15.75" customHeight="1">
      <c r="A3" s="334">
        <v>544678</v>
      </c>
      <c r="B3" s="361" t="s">
        <v>6051</v>
      </c>
      <c r="C3" s="360" t="str">
        <f>VLOOKUP(A3,'BSE ALL CAP'!$B$4:$Y$1034,2,)</f>
        <v>Energy</v>
      </c>
      <c r="D3" s="360" t="str">
        <f>VLOOKUP(A3,'BSE ALL CAP'!$B$4:$Y$1034,3,)</f>
        <v>Coal</v>
      </c>
      <c r="E3" s="341">
        <f ca="1">IFERROR(__xludf.DUMMYFUNCTION("GOOGLEFINANCE(""BOM:""&amp;A3,""PRICE"")"),32.55)</f>
        <v>32.549999999999997</v>
      </c>
      <c r="F3" s="112">
        <f ca="1">IFERROR(__xludf.DUMMYFUNCTION("GOOGLEFINANCE(""BOM:""&amp;A3,""MARKETCAP"")/10000000"),15181.8127693)</f>
        <v>15181.812769300001</v>
      </c>
      <c r="G3" s="95">
        <f t="shared" ca="1" si="0"/>
        <v>4.9463552854853744E-2</v>
      </c>
      <c r="H3" s="174">
        <f>VLOOKUP(A3,'BSE ALL CAP'!$B$4:$Y$1034,7,)</f>
        <v>8442</v>
      </c>
      <c r="I3" s="174">
        <f>VLOOKUP(A3,'BSE ALL CAP'!$B$4:$Y$1034,8,)</f>
        <v>10534</v>
      </c>
      <c r="J3" s="174">
        <f>VLOOKUP(A3,'BSE ALL CAP'!$B$4:$Y$1034,9,)</f>
        <v>101</v>
      </c>
      <c r="K3" s="174">
        <f>VLOOKUP(A3,'BSE ALL CAP'!$B$4:$Y$1034,10,)</f>
        <v>1174</v>
      </c>
      <c r="L3" s="174">
        <f>VLOOKUP(A3,'BSE ALL CAP'!$B$4:$Y$1034,11,)</f>
        <v>2783</v>
      </c>
      <c r="M3" s="174">
        <f>VLOOKUP(A3,'BSE ALL CAP'!$B$4:$Y$1034,12,)</f>
        <v>3688</v>
      </c>
      <c r="N3" s="174">
        <f>VLOOKUP(A3,'BSE ALL CAP'!$B$4:$Y$1034,13,)</f>
        <v>-23</v>
      </c>
      <c r="O3" s="174">
        <f>VLOOKUP(A3,'BSE ALL CAP'!$B$4:$Y$1034,14,)</f>
        <v>425</v>
      </c>
      <c r="P3" s="344">
        <f>VLOOKUP(A3,'BSE ALL CAP'!$B$4:$Y$1034,15,)</f>
        <v>1.1963989575929874E-2</v>
      </c>
      <c r="Q3" s="344">
        <f>VLOOKUP(A3,'BSE ALL CAP'!$B$4:$Y$1034,16,)</f>
        <v>0.11144864249098159</v>
      </c>
      <c r="R3" s="344">
        <f>VLOOKUP(A3,'BSE ALL CAP'!$B$4:$Y$1034,17,)</f>
        <v>-9.9484652915051708E-2</v>
      </c>
      <c r="S3" s="345">
        <f>VLOOKUP(A3,'BSE ALL CAP'!$B$4:$Y$1034,18,)</f>
        <v>-8.2644628099173556E-3</v>
      </c>
      <c r="T3" s="346">
        <f>VLOOKUP(A3,'BSE ALL CAP'!$B$4:$Y$1034,19,)</f>
        <v>0.11523861171366595</v>
      </c>
      <c r="U3" s="344">
        <f>VLOOKUP(A3,'BSE ALL CAP'!$B$4:$Y$1034,20,)</f>
        <v>-0.12350307452358331</v>
      </c>
      <c r="V3" s="344">
        <f>VLOOKUP(A3,'BSE ALL CAP'!$B$4:$Y$1034,21,)</f>
        <v>-0.19859502563128917</v>
      </c>
      <c r="W3" s="344">
        <f>VLOOKUP(A3,'BSE ALL CAP'!$B$4:$Y$1034,22,)</f>
        <v>-0.91396933560477001</v>
      </c>
      <c r="X3" s="344">
        <f>VLOOKUP(A3,'BSE ALL CAP'!$B$4:$Y$1034,23,)</f>
        <v>-0.24539045553145333</v>
      </c>
      <c r="Y3" s="344">
        <f>VLOOKUP(A3,'BSE ALL CAP'!$B$4:$Y$1034,24,)</f>
        <v>-1.0541176470588236</v>
      </c>
    </row>
    <row r="4" spans="1:25" ht="15.75" customHeight="1">
      <c r="A4" s="351">
        <v>504918</v>
      </c>
      <c r="B4" s="361" t="s">
        <v>6052</v>
      </c>
      <c r="C4" s="360" t="str">
        <f>VLOOKUP(A4,'BSE ALL CAP'!$B$4:$Y$1034,2,)</f>
        <v>Energy</v>
      </c>
      <c r="D4" s="360" t="str">
        <f>VLOOKUP(A4,'BSE ALL CAP'!$B$4:$Y$1034,3,)</f>
        <v>Coal</v>
      </c>
      <c r="E4" s="341">
        <f ca="1">IFERROR(__xludf.DUMMYFUNCTION("GOOGLEFINANCE(""BOM:""&amp;A4,""PRICE"")"),186.3)</f>
        <v>186.3</v>
      </c>
      <c r="F4" s="112">
        <f ca="1">IFERROR(__xludf.DUMMYFUNCTION("GOOGLEFINANCE(""BOM:""&amp;A4,""MARKETCAP"")/10000000"),9058.0766651)</f>
        <v>9058.0766650999994</v>
      </c>
      <c r="G4" s="95">
        <f t="shared" ca="1" si="0"/>
        <v>2.9511933831347696E-2</v>
      </c>
      <c r="H4" s="174">
        <f>VLOOKUP(A4,'BSE ALL CAP'!$B$4:$Y$1034,7,)</f>
        <v>3577</v>
      </c>
      <c r="I4" s="174">
        <f>VLOOKUP(A4,'BSE ALL CAP'!$B$4:$Y$1034,8,)</f>
        <v>1813</v>
      </c>
      <c r="J4" s="174">
        <f>VLOOKUP(A4,'BSE ALL CAP'!$B$4:$Y$1034,9,)</f>
        <v>420</v>
      </c>
      <c r="K4" s="174">
        <f>VLOOKUP(A4,'BSE ALL CAP'!$B$4:$Y$1034,10,)</f>
        <v>313</v>
      </c>
      <c r="L4" s="174">
        <f>VLOOKUP(A4,'BSE ALL CAP'!$B$4:$Y$1034,11,)</f>
        <v>1209</v>
      </c>
      <c r="M4" s="174">
        <f>VLOOKUP(A4,'BSE ALL CAP'!$B$4:$Y$1034,12,)</f>
        <v>951</v>
      </c>
      <c r="N4" s="174">
        <f>VLOOKUP(A4,'BSE ALL CAP'!$B$4:$Y$1034,13,)</f>
        <v>113</v>
      </c>
      <c r="O4" s="174">
        <f>VLOOKUP(A4,'BSE ALL CAP'!$B$4:$Y$1034,14,)</f>
        <v>137</v>
      </c>
      <c r="P4" s="344">
        <f>VLOOKUP(A4,'BSE ALL CAP'!$B$4:$Y$1034,15,)</f>
        <v>0.11741682974559686</v>
      </c>
      <c r="Q4" s="344">
        <f>VLOOKUP(A4,'BSE ALL CAP'!$B$4:$Y$1034,16,)</f>
        <v>0.17264202978488694</v>
      </c>
      <c r="R4" s="344">
        <f>VLOOKUP(A4,'BSE ALL CAP'!$B$4:$Y$1034,17,)</f>
        <v>-5.5225200039290073E-2</v>
      </c>
      <c r="S4" s="345">
        <f>VLOOKUP(A4,'BSE ALL CAP'!$B$4:$Y$1034,18,)</f>
        <v>9.3465674110835395E-2</v>
      </c>
      <c r="T4" s="346">
        <f>VLOOKUP(A4,'BSE ALL CAP'!$B$4:$Y$1034,19,)</f>
        <v>0.14405888538380651</v>
      </c>
      <c r="U4" s="344">
        <f>VLOOKUP(A4,'BSE ALL CAP'!$B$4:$Y$1034,20,)</f>
        <v>-5.0593211272971117E-2</v>
      </c>
      <c r="V4" s="344">
        <f>VLOOKUP(A4,'BSE ALL CAP'!$B$4:$Y$1034,21,)</f>
        <v>0.97297297297297303</v>
      </c>
      <c r="W4" s="344">
        <f>VLOOKUP(A4,'BSE ALL CAP'!$B$4:$Y$1034,22,)</f>
        <v>0.34185303514377008</v>
      </c>
      <c r="X4" s="344">
        <f>VLOOKUP(A4,'BSE ALL CAP'!$B$4:$Y$1034,23,)</f>
        <v>0.27129337539432186</v>
      </c>
      <c r="Y4" s="344">
        <f>VLOOKUP(A4,'BSE ALL CAP'!$B$4:$Y$1034,24,)</f>
        <v>-0.17518248175182483</v>
      </c>
    </row>
    <row r="5" spans="1:25" ht="15.75" customHeight="1">
      <c r="A5" s="351">
        <v>513579</v>
      </c>
      <c r="B5" s="361" t="s">
        <v>6053</v>
      </c>
      <c r="C5" s="360"/>
      <c r="D5" s="360"/>
      <c r="E5" s="341">
        <f ca="1">IFERROR(__xludf.DUMMYFUNCTION("GOOGLEFINANCE(""BOM:""&amp;A5,""PRICE"")"),6.3)</f>
        <v>6.3</v>
      </c>
      <c r="F5" s="112">
        <f ca="1">IFERROR(__xludf.DUMMYFUNCTION("GOOGLEFINANCE(""BOM:""&amp;A5,""MARKETCAP"")/10000000"),5.051812)</f>
        <v>5.051812</v>
      </c>
      <c r="G5" s="95">
        <f t="shared" ca="1" si="0"/>
        <v>1.6459205081232591E-5</v>
      </c>
      <c r="H5" s="174"/>
      <c r="I5" s="174"/>
      <c r="J5" s="174"/>
      <c r="K5" s="174"/>
      <c r="L5" s="174"/>
      <c r="M5" s="174"/>
      <c r="N5" s="174"/>
      <c r="O5" s="174"/>
      <c r="P5" s="344" t="e">
        <f>VLOOKUP(A5,'BSE ALL CAP'!$B$4:$Y$1034,15,)</f>
        <v>#N/A</v>
      </c>
      <c r="Q5" s="344" t="e">
        <f>VLOOKUP(A5,'BSE ALL CAP'!$B$4:$Y$1034,16,)</f>
        <v>#N/A</v>
      </c>
      <c r="R5" s="344" t="e">
        <f>VLOOKUP(A5,'BSE ALL CAP'!$B$4:$Y$1034,17,)</f>
        <v>#N/A</v>
      </c>
      <c r="S5" s="345" t="e">
        <f>VLOOKUP(A5,'BSE ALL CAP'!$B$4:$Y$1034,18,)</f>
        <v>#N/A</v>
      </c>
      <c r="T5" s="346" t="e">
        <f>VLOOKUP(A5,'BSE ALL CAP'!$B$4:$Y$1034,19,)</f>
        <v>#N/A</v>
      </c>
      <c r="U5" s="344" t="e">
        <f>VLOOKUP(A5,'BSE ALL CAP'!$B$4:$Y$1034,20,)</f>
        <v>#N/A</v>
      </c>
      <c r="V5" s="344" t="e">
        <f>VLOOKUP(A5,'BSE ALL CAP'!$B$4:$Y$1034,21,)</f>
        <v>#N/A</v>
      </c>
      <c r="W5" s="344" t="e">
        <f>VLOOKUP(A5,'BSE ALL CAP'!$B$4:$Y$1034,22,)</f>
        <v>#N/A</v>
      </c>
      <c r="X5" s="344" t="e">
        <f>VLOOKUP(A5,'BSE ALL CAP'!$B$4:$Y$1034,23,)</f>
        <v>#N/A</v>
      </c>
      <c r="Y5" s="344" t="e">
        <f>VLOOKUP(A5,'BSE ALL CAP'!$B$4:$Y$1034,24,)</f>
        <v>#N/A</v>
      </c>
    </row>
    <row r="6" spans="1:25">
      <c r="A6" s="101"/>
      <c r="B6" s="101"/>
      <c r="C6" s="101"/>
      <c r="D6" s="101"/>
      <c r="E6" s="101"/>
      <c r="F6" s="112"/>
      <c r="G6" s="95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101"/>
      <c r="B7" s="101"/>
      <c r="C7" s="101"/>
      <c r="D7" s="101"/>
      <c r="E7" s="101"/>
      <c r="F7" s="112">
        <f ca="1">SUM(F2:F5)</f>
        <v>306929.2821292</v>
      </c>
      <c r="G7" s="95">
        <f ca="1">F7/$F$7</f>
        <v>1</v>
      </c>
      <c r="H7" s="112">
        <f t="shared" ref="H7:O7" si="1">SUM(H2:H5)</f>
        <v>112972</v>
      </c>
      <c r="I7" s="112">
        <f t="shared" si="1"/>
        <v>117891</v>
      </c>
      <c r="J7" s="112">
        <f t="shared" si="1"/>
        <v>20684</v>
      </c>
      <c r="K7" s="112">
        <f t="shared" si="1"/>
        <v>27197</v>
      </c>
      <c r="L7" s="112">
        <f t="shared" si="1"/>
        <v>38916</v>
      </c>
      <c r="M7" s="112">
        <f t="shared" si="1"/>
        <v>41496</v>
      </c>
      <c r="N7" s="112">
        <f t="shared" si="1"/>
        <v>7256</v>
      </c>
      <c r="O7" s="112">
        <f t="shared" si="1"/>
        <v>9053</v>
      </c>
      <c r="P7" s="347">
        <f t="shared" ref="P7:Q7" si="2">J7/H7</f>
        <v>0.18308961512587191</v>
      </c>
      <c r="Q7" s="347">
        <f t="shared" si="2"/>
        <v>0.23069615152980294</v>
      </c>
      <c r="R7" s="348">
        <f>P7-Q7</f>
        <v>-4.7606536403931032E-2</v>
      </c>
      <c r="S7" s="347">
        <f t="shared" ref="S7:T7" si="3">N7/L7</f>
        <v>0.18645287285435297</v>
      </c>
      <c r="T7" s="347">
        <f t="shared" si="3"/>
        <v>0.21816560632350107</v>
      </c>
      <c r="U7" s="347">
        <f>S7-T7</f>
        <v>-3.1712733469148102E-2</v>
      </c>
      <c r="V7" s="347">
        <f>(H7/I7)-1</f>
        <v>-4.1724983247236835E-2</v>
      </c>
      <c r="W7" s="347">
        <f>(J7/K7)-1</f>
        <v>-0.23947494208920106</v>
      </c>
      <c r="X7" s="347">
        <f>(L7/M7)-1</f>
        <v>-6.2174667437825293E-2</v>
      </c>
      <c r="Y7" s="347">
        <f>(N7/O7)-1</f>
        <v>-0.19849773555727379</v>
      </c>
    </row>
    <row r="8" spans="1:25">
      <c r="F8" s="94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5" xr:uid="{00000000-0009-0000-0000-0000C4000000}"/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544569</v>
      </c>
      <c r="B2" s="98" t="s">
        <v>6054</v>
      </c>
      <c r="C2" s="360" t="str">
        <f>VLOOKUP(A2,'BSE ALL CAP'!$B$4:$Y$1034,2,)</f>
        <v>Industrials</v>
      </c>
      <c r="D2" s="360" t="str">
        <f>VLOOKUP(A2,'BSE ALL CAP'!$B$4:$Y$1034,3,)</f>
        <v>Commercial Vehicles</v>
      </c>
      <c r="E2" s="101">
        <f ca="1">IFERROR(__xludf.DUMMYFUNCTION("GOOGLEFINANCE(""BOM:""&amp;A2,""PRICE"")"),393.45)</f>
        <v>393.45</v>
      </c>
      <c r="F2" s="112">
        <f ca="1">IFERROR(__xludf.DUMMYFUNCTION("GOOGLEFINANCE(""BOM:""&amp;A2,""MARKETCAP"")/10000000"),144844.4921325)</f>
        <v>144844.49213249999</v>
      </c>
      <c r="G2" s="95">
        <f t="shared" ref="G2:G5" ca="1" si="0">F2/$F$7</f>
        <v>0.60352821168945181</v>
      </c>
      <c r="H2" s="174">
        <f>VLOOKUP(A2,'BSE ALL CAP'!$B$4:$Y$1034,7,)</f>
        <v>57757</v>
      </c>
      <c r="I2" s="174">
        <f>VLOOKUP(A2,'BSE ALL CAP'!$B$4:$Y$1034,8,)</f>
        <v>36354</v>
      </c>
      <c r="J2" s="174">
        <f>VLOOKUP(A2,'BSE ALL CAP'!$B$4:$Y$1034,9,)</f>
        <v>1236</v>
      </c>
      <c r="K2" s="174">
        <f>VLOOKUP(A2,'BSE ALL CAP'!$B$4:$Y$1034,10,)</f>
        <v>1855</v>
      </c>
      <c r="L2" s="174">
        <f>VLOOKUP(A2,'BSE ALL CAP'!$B$4:$Y$1034,11,)</f>
        <v>21847</v>
      </c>
      <c r="M2" s="174">
        <f>VLOOKUP(A2,'BSE ALL CAP'!$B$4:$Y$1034,12,)</f>
        <v>18819</v>
      </c>
      <c r="N2" s="174">
        <f>VLOOKUP(A2,'BSE ALL CAP'!$B$4:$Y$1034,13,)</f>
        <v>705</v>
      </c>
      <c r="O2" s="174">
        <f>VLOOKUP(A2,'BSE ALL CAP'!$B$4:$Y$1034,14,)</f>
        <v>1355</v>
      </c>
      <c r="P2" s="344">
        <f>VLOOKUP(A2,'BSE ALL CAP'!$B$4:$Y$1034,15,)</f>
        <v>2.1400003462783732E-2</v>
      </c>
      <c r="Q2" s="344">
        <f>VLOOKUP(A2,'BSE ALL CAP'!$B$4:$Y$1034,16,)</f>
        <v>5.1026021895802388E-2</v>
      </c>
      <c r="R2" s="344">
        <f>VLOOKUP(A2,'BSE ALL CAP'!$B$4:$Y$1034,17,)</f>
        <v>-2.9626018433018656E-2</v>
      </c>
      <c r="S2" s="345">
        <f>VLOOKUP(A2,'BSE ALL CAP'!$B$4:$Y$1034,18,)</f>
        <v>3.2269876870966267E-2</v>
      </c>
      <c r="T2" s="346">
        <f>VLOOKUP(A2,'BSE ALL CAP'!$B$4:$Y$1034,19,)</f>
        <v>7.2001700409160957E-2</v>
      </c>
      <c r="U2" s="344">
        <f>VLOOKUP(A2,'BSE ALL CAP'!$B$4:$Y$1034,20,)</f>
        <v>-3.973182353819469E-2</v>
      </c>
      <c r="V2" s="344">
        <f>VLOOKUP(A2,'BSE ALL CAP'!$B$4:$Y$1034,21,)</f>
        <v>0.58873851570666225</v>
      </c>
      <c r="W2" s="344">
        <f>VLOOKUP(A2,'BSE ALL CAP'!$B$4:$Y$1034,22,)</f>
        <v>-0.33369272237196768</v>
      </c>
      <c r="X2" s="344">
        <f>VLOOKUP(A2,'BSE ALL CAP'!$B$4:$Y$1034,23,)</f>
        <v>0.1609012168553059</v>
      </c>
      <c r="Y2" s="344">
        <f>VLOOKUP(A2,'BSE ALL CAP'!$B$4:$Y$1034,24,)</f>
        <v>-0.47970479704797053</v>
      </c>
    </row>
    <row r="3" spans="1:25" ht="15.75" customHeight="1">
      <c r="A3" s="99">
        <v>500477</v>
      </c>
      <c r="B3" s="98" t="s">
        <v>6055</v>
      </c>
      <c r="C3" s="360" t="str">
        <f>VLOOKUP(A3,'BSE ALL CAP'!$B$4:$Y$1034,2,)</f>
        <v>Industrials</v>
      </c>
      <c r="D3" s="360" t="str">
        <f>VLOOKUP(A3,'BSE ALL CAP'!$B$4:$Y$1034,3,)</f>
        <v>Commercial Vehicles</v>
      </c>
      <c r="E3" s="101">
        <f ca="1">IFERROR(__xludf.DUMMYFUNCTION("GOOGLEFINANCE(""BOM:""&amp;A3,""PRICE"")"),150.1)</f>
        <v>150.1</v>
      </c>
      <c r="F3" s="112">
        <f ca="1">IFERROR(__xludf.DUMMYFUNCTION("GOOGLEFINANCE(""BOM:""&amp;A3,""MARKETCAP"")/10000000"),88124.9219773)</f>
        <v>88124.921977299993</v>
      </c>
      <c r="G3" s="95">
        <f t="shared" ca="1" si="0"/>
        <v>0.36719295144187653</v>
      </c>
      <c r="H3" s="174">
        <f>VLOOKUP(A3,'BSE ALL CAP'!$B$4:$Y$1034,7,)</f>
        <v>39116</v>
      </c>
      <c r="I3" s="174">
        <f>VLOOKUP(A3,'BSE ALL CAP'!$B$4:$Y$1034,8,)</f>
        <v>33840</v>
      </c>
      <c r="J3" s="174">
        <f>VLOOKUP(A3,'BSE ALL CAP'!$B$4:$Y$1034,9,)</f>
        <v>2340</v>
      </c>
      <c r="K3" s="174">
        <f>VLOOKUP(A3,'BSE ALL CAP'!$B$4:$Y$1034,10,)</f>
        <v>2137</v>
      </c>
      <c r="L3" s="174">
        <f>VLOOKUP(A3,'BSE ALL CAP'!$B$4:$Y$1034,11,)</f>
        <v>14830</v>
      </c>
      <c r="M3" s="174">
        <f>VLOOKUP(A3,'BSE ALL CAP'!$B$4:$Y$1034,12,)</f>
        <v>11995</v>
      </c>
      <c r="N3" s="174">
        <f>VLOOKUP(A3,'BSE ALL CAP'!$B$4:$Y$1034,13,)</f>
        <v>862</v>
      </c>
      <c r="O3" s="174">
        <f>VLOOKUP(A3,'BSE ALL CAP'!$B$4:$Y$1034,14,)</f>
        <v>820</v>
      </c>
      <c r="P3" s="344">
        <f>VLOOKUP(A3,'BSE ALL CAP'!$B$4:$Y$1034,15,)</f>
        <v>5.9822067696083447E-2</v>
      </c>
      <c r="Q3" s="344">
        <f>VLOOKUP(A3,'BSE ALL CAP'!$B$4:$Y$1034,16,)</f>
        <v>6.3150118203309694E-2</v>
      </c>
      <c r="R3" s="344">
        <f>VLOOKUP(A3,'BSE ALL CAP'!$B$4:$Y$1034,17,)</f>
        <v>-3.3280505072262462E-3</v>
      </c>
      <c r="S3" s="345">
        <f>VLOOKUP(A3,'BSE ALL CAP'!$B$4:$Y$1034,18,)</f>
        <v>5.8125421443020901E-2</v>
      </c>
      <c r="T3" s="346">
        <f>VLOOKUP(A3,'BSE ALL CAP'!$B$4:$Y$1034,19,)</f>
        <v>6.8361817423926635E-2</v>
      </c>
      <c r="U3" s="344">
        <f>VLOOKUP(A3,'BSE ALL CAP'!$B$4:$Y$1034,20,)</f>
        <v>-1.0236395980905734E-2</v>
      </c>
      <c r="V3" s="344">
        <f>VLOOKUP(A3,'BSE ALL CAP'!$B$4:$Y$1034,21,)</f>
        <v>0.15591016548463354</v>
      </c>
      <c r="W3" s="344">
        <f>VLOOKUP(A3,'BSE ALL CAP'!$B$4:$Y$1034,22,)</f>
        <v>9.499298081422558E-2</v>
      </c>
      <c r="X3" s="344">
        <f>VLOOKUP(A3,'BSE ALL CAP'!$B$4:$Y$1034,23,)</f>
        <v>0.2363484785327219</v>
      </c>
      <c r="Y3" s="344">
        <f>VLOOKUP(A3,'BSE ALL CAP'!$B$4:$Y$1034,24,)</f>
        <v>5.1219512195121997E-2</v>
      </c>
    </row>
    <row r="4" spans="1:25" ht="15.75" customHeight="1">
      <c r="A4" s="99">
        <v>505192</v>
      </c>
      <c r="B4" s="98" t="s">
        <v>6056</v>
      </c>
      <c r="C4" s="360" t="str">
        <f>VLOOKUP(A4,'BSE ALL CAP'!$B$4:$Y$1034,2,)</f>
        <v>Industrials</v>
      </c>
      <c r="D4" s="360" t="str">
        <f>VLOOKUP(A4,'BSE ALL CAP'!$B$4:$Y$1034,3,)</f>
        <v>Commercial Vehicles</v>
      </c>
      <c r="E4" s="101">
        <f ca="1">IFERROR(__xludf.DUMMYFUNCTION("GOOGLEFINANCE(""BOM:""&amp;A4,""PRICE"")"),4076.3)</f>
        <v>4076.3</v>
      </c>
      <c r="F4" s="112">
        <f ca="1">IFERROR(__xludf.DUMMYFUNCTION("GOOGLEFINANCE(""BOM:""&amp;A4,""MARKETCAP"")/10000000"),5876.936)</f>
        <v>5876.9359999999997</v>
      </c>
      <c r="G4" s="95">
        <f t="shared" ca="1" si="0"/>
        <v>2.4487618563008601E-2</v>
      </c>
      <c r="H4" s="174">
        <f>VLOOKUP(A4,'BSE ALL CAP'!$B$4:$Y$1034,7,)</f>
        <v>1940</v>
      </c>
      <c r="I4" s="174">
        <f>VLOOKUP(A4,'BSE ALL CAP'!$B$4:$Y$1034,8,)</f>
        <v>1627</v>
      </c>
      <c r="J4" s="174">
        <f>VLOOKUP(A4,'BSE ALL CAP'!$B$4:$Y$1034,9,)</f>
        <v>106</v>
      </c>
      <c r="K4" s="174">
        <f>VLOOKUP(A4,'BSE ALL CAP'!$B$4:$Y$1034,10,)</f>
        <v>69</v>
      </c>
      <c r="L4" s="174">
        <f>VLOOKUP(A4,'BSE ALL CAP'!$B$4:$Y$1034,11,)</f>
        <v>539</v>
      </c>
      <c r="M4" s="174">
        <f>VLOOKUP(A4,'BSE ALL CAP'!$B$4:$Y$1034,12,)</f>
        <v>331</v>
      </c>
      <c r="N4" s="174">
        <f>VLOOKUP(A4,'BSE ALL CAP'!$B$4:$Y$1034,13,)</f>
        <v>18</v>
      </c>
      <c r="O4" s="174">
        <f>VLOOKUP(A4,'BSE ALL CAP'!$B$4:$Y$1034,14,)</f>
        <v>0.53</v>
      </c>
      <c r="P4" s="344">
        <f>VLOOKUP(A4,'BSE ALL CAP'!$B$4:$Y$1034,15,)</f>
        <v>5.4639175257731959E-2</v>
      </c>
      <c r="Q4" s="344">
        <f>VLOOKUP(A4,'BSE ALL CAP'!$B$4:$Y$1034,16,)</f>
        <v>4.2409342347879533E-2</v>
      </c>
      <c r="R4" s="344">
        <f>VLOOKUP(A4,'BSE ALL CAP'!$B$4:$Y$1034,17,)</f>
        <v>1.2229832909852426E-2</v>
      </c>
      <c r="S4" s="345">
        <f>VLOOKUP(A4,'BSE ALL CAP'!$B$4:$Y$1034,18,)</f>
        <v>3.3395176252319109E-2</v>
      </c>
      <c r="T4" s="346">
        <f>VLOOKUP(A4,'BSE ALL CAP'!$B$4:$Y$1034,19,)</f>
        <v>1.6012084592145015E-3</v>
      </c>
      <c r="U4" s="344">
        <f>VLOOKUP(A4,'BSE ALL CAP'!$B$4:$Y$1034,20,)</f>
        <v>3.1793967793104609E-2</v>
      </c>
      <c r="V4" s="344">
        <f>VLOOKUP(A4,'BSE ALL CAP'!$B$4:$Y$1034,21,)</f>
        <v>0.19237861094038111</v>
      </c>
      <c r="W4" s="344">
        <f>VLOOKUP(A4,'BSE ALL CAP'!$B$4:$Y$1034,22,)</f>
        <v>0.53623188405797095</v>
      </c>
      <c r="X4" s="344">
        <f>VLOOKUP(A4,'BSE ALL CAP'!$B$4:$Y$1034,23,)</f>
        <v>0.6283987915407856</v>
      </c>
      <c r="Y4" s="344">
        <f>VLOOKUP(A4,'BSE ALL CAP'!$B$4:$Y$1034,24,)</f>
        <v>32.962264150943398</v>
      </c>
    </row>
    <row r="5" spans="1:25" ht="15.75" customHeight="1">
      <c r="A5" s="99">
        <v>531795</v>
      </c>
      <c r="B5" s="98" t="s">
        <v>6057</v>
      </c>
      <c r="C5" s="360"/>
      <c r="D5" s="360"/>
      <c r="E5" s="101">
        <f ca="1">IFERROR(__xludf.DUMMYFUNCTION("GOOGLEFINANCE(""BOM:""&amp;A5,""PRICE"")"),413.2)</f>
        <v>413.2</v>
      </c>
      <c r="F5" s="112">
        <f ca="1">IFERROR(__xludf.DUMMYFUNCTION("GOOGLEFINANCE(""BOM:""&amp;A5,""MARKETCAP"")/10000000"),1149.8743037)</f>
        <v>1149.8743036999999</v>
      </c>
      <c r="G5" s="95">
        <f t="shared" ca="1" si="0"/>
        <v>4.7912183056631396E-3</v>
      </c>
      <c r="H5" s="174"/>
      <c r="I5" s="174"/>
      <c r="J5" s="174"/>
      <c r="K5" s="174"/>
      <c r="L5" s="174"/>
      <c r="M5" s="174"/>
      <c r="N5" s="174"/>
      <c r="O5" s="174"/>
      <c r="P5" s="344" t="e">
        <f>VLOOKUP(A5,'BSE ALL CAP'!$B$4:$Y$1034,15,)</f>
        <v>#N/A</v>
      </c>
      <c r="Q5" s="344" t="e">
        <f>VLOOKUP(A5,'BSE ALL CAP'!$B$4:$Y$1034,16,)</f>
        <v>#N/A</v>
      </c>
      <c r="R5" s="344" t="e">
        <f>VLOOKUP(A5,'BSE ALL CAP'!$B$4:$Y$1034,17,)</f>
        <v>#N/A</v>
      </c>
      <c r="S5" s="345" t="e">
        <f>VLOOKUP(A5,'BSE ALL CAP'!$B$4:$Y$1034,18,)</f>
        <v>#N/A</v>
      </c>
      <c r="T5" s="346" t="e">
        <f>VLOOKUP(A5,'BSE ALL CAP'!$B$4:$Y$1034,19,)</f>
        <v>#N/A</v>
      </c>
      <c r="U5" s="344" t="e">
        <f>VLOOKUP(A5,'BSE ALL CAP'!$B$4:$Y$1034,20,)</f>
        <v>#N/A</v>
      </c>
      <c r="V5" s="344" t="e">
        <f>VLOOKUP(A5,'BSE ALL CAP'!$B$4:$Y$1034,21,)</f>
        <v>#N/A</v>
      </c>
      <c r="W5" s="344" t="e">
        <f>VLOOKUP(A5,'BSE ALL CAP'!$B$4:$Y$1034,22,)</f>
        <v>#N/A</v>
      </c>
      <c r="X5" s="344" t="e">
        <f>VLOOKUP(A5,'BSE ALL CAP'!$B$4:$Y$1034,23,)</f>
        <v>#N/A</v>
      </c>
      <c r="Y5" s="344" t="e">
        <f>VLOOKUP(A5,'BSE ALL CAP'!$B$4:$Y$1034,24,)</f>
        <v>#N/A</v>
      </c>
    </row>
    <row r="6" spans="1:25">
      <c r="A6" s="101"/>
      <c r="B6" s="101"/>
      <c r="C6" s="101"/>
      <c r="D6" s="101"/>
      <c r="E6" s="101"/>
      <c r="F6" s="112"/>
      <c r="G6" s="95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101"/>
      <c r="B7" s="101"/>
      <c r="C7" s="101"/>
      <c r="D7" s="101"/>
      <c r="E7" s="101"/>
      <c r="F7" s="112">
        <f ca="1">SUM(F2:F5)</f>
        <v>239996.22441349996</v>
      </c>
      <c r="G7" s="95">
        <f ca="1">F7/$F$7</f>
        <v>1</v>
      </c>
      <c r="H7" s="112">
        <f t="shared" ref="H7:O7" si="1">SUM(H2:H5)</f>
        <v>98813</v>
      </c>
      <c r="I7" s="112">
        <f t="shared" si="1"/>
        <v>71821</v>
      </c>
      <c r="J7" s="112">
        <f t="shared" si="1"/>
        <v>3682</v>
      </c>
      <c r="K7" s="112">
        <f t="shared" si="1"/>
        <v>4061</v>
      </c>
      <c r="L7" s="112">
        <f t="shared" si="1"/>
        <v>37216</v>
      </c>
      <c r="M7" s="112">
        <f t="shared" si="1"/>
        <v>31145</v>
      </c>
      <c r="N7" s="112">
        <f t="shared" si="1"/>
        <v>1585</v>
      </c>
      <c r="O7" s="112">
        <f t="shared" si="1"/>
        <v>2175.5300000000002</v>
      </c>
      <c r="P7" s="347">
        <f t="shared" ref="P7:Q7" si="2">J7/H7</f>
        <v>3.7262303543056076E-2</v>
      </c>
      <c r="Q7" s="347">
        <f t="shared" si="2"/>
        <v>5.6543350830537027E-2</v>
      </c>
      <c r="R7" s="348">
        <f>P7-Q7</f>
        <v>-1.9281047287480951E-2</v>
      </c>
      <c r="S7" s="347">
        <f t="shared" ref="S7:T7" si="3">N7/L7</f>
        <v>4.2589208942390371E-2</v>
      </c>
      <c r="T7" s="347">
        <f t="shared" si="3"/>
        <v>6.9851661582918612E-2</v>
      </c>
      <c r="U7" s="347">
        <f>S7-T7</f>
        <v>-2.7262452640528241E-2</v>
      </c>
      <c r="V7" s="347">
        <f>(H7/I7)-1</f>
        <v>0.3758232271898192</v>
      </c>
      <c r="W7" s="347">
        <f>(J7/K7)-1</f>
        <v>-9.332676680620533E-2</v>
      </c>
      <c r="X7" s="347">
        <f>(L7/M7)-1</f>
        <v>0.19492695456734621</v>
      </c>
      <c r="Y7" s="347">
        <f>(N7/O7)-1</f>
        <v>-0.27144190151365422</v>
      </c>
    </row>
    <row r="8" spans="1:25">
      <c r="F8" s="94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5" xr:uid="{00000000-0009-0000-0000-0000C5000000}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outlinePr summaryBelow="0" summaryRight="0"/>
  </sheetPr>
  <dimension ref="A1:Y14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3">
        <v>542012</v>
      </c>
      <c r="B2" s="90" t="s">
        <v>1603</v>
      </c>
      <c r="C2" s="6" t="e">
        <f>VLOOKUP(A2,'BSE ALL CAP'!$B$4:$Y$1038,2,)</f>
        <v>#N/A</v>
      </c>
      <c r="D2" s="6" t="e">
        <f>VLOOKUP(A2,'BSE ALL CAP'!$B$4:$Y$1038,3,)</f>
        <v>#N/A</v>
      </c>
      <c r="E2" s="11">
        <f ca="1">IFERROR(__xludf.DUMMYFUNCTION("GOOGLEFINANCE(""BOM:""&amp;A2,""PRICE"")"),16.64)</f>
        <v>16.64</v>
      </c>
      <c r="F2" s="20">
        <f ca="1">IFERROR(__xludf.DUMMYFUNCTION("GOOGLEFINANCE(""BOM:""&amp;A2,""MARKETCAP"")/10000000"),765.4399719)</f>
        <v>765.43997190000005</v>
      </c>
    </row>
    <row r="3" spans="1:25" ht="15.75" customHeight="1">
      <c r="A3" s="93">
        <v>544551</v>
      </c>
      <c r="B3" s="90" t="s">
        <v>1604</v>
      </c>
      <c r="C3" s="6" t="e">
        <f>VLOOKUP(A3,'BSE ALL CAP'!$B$4:$Y$1038,2,)</f>
        <v>#N/A</v>
      </c>
      <c r="D3" s="6" t="e">
        <f>VLOOKUP(A3,'BSE ALL CAP'!$B$4:$Y$1038,3,)</f>
        <v>#N/A</v>
      </c>
      <c r="E3" s="11">
        <f ca="1">IFERROR(__xludf.DUMMYFUNCTION("GOOGLEFINANCE(""BOM:""&amp;A3,""PRICE"")"),163)</f>
        <v>163</v>
      </c>
      <c r="F3" s="20">
        <f ca="1">IFERROR(__xludf.DUMMYFUNCTION("GOOGLEFINANCE(""BOM:""&amp;A3,""MARKETCAP"")/10000000"),331.8355)</f>
        <v>331.83550000000002</v>
      </c>
    </row>
    <row r="4" spans="1:25" ht="15.75" customHeight="1">
      <c r="A4" s="93">
        <v>539800</v>
      </c>
      <c r="B4" s="90" t="s">
        <v>1605</v>
      </c>
      <c r="C4" s="6" t="e">
        <f>VLOOKUP(A4,'BSE ALL CAP'!$B$4:$Y$1038,2,)</f>
        <v>#N/A</v>
      </c>
      <c r="D4" s="6" t="e">
        <f>VLOOKUP(A4,'BSE ALL CAP'!$B$4:$Y$1038,3,)</f>
        <v>#N/A</v>
      </c>
      <c r="E4" s="11">
        <f ca="1">IFERROR(__xludf.DUMMYFUNCTION("GOOGLEFINANCE(""BOM:""&amp;A4,""PRICE"")"),5.35)</f>
        <v>5.35</v>
      </c>
      <c r="F4" s="20">
        <f ca="1">IFERROR(__xludf.DUMMYFUNCTION("GOOGLEFINANCE(""BOM:""&amp;A4,""MARKETCAP"")/10000000"),5.4083577)</f>
        <v>5.4083576999999998</v>
      </c>
    </row>
    <row r="5" spans="1:25" ht="15.75" customHeight="1">
      <c r="A5" s="93">
        <v>544324</v>
      </c>
      <c r="B5" s="90" t="s">
        <v>1606</v>
      </c>
      <c r="C5" s="6" t="e">
        <f>VLOOKUP(A5,'BSE ALL CAP'!$B$4:$Y$1038,2,)</f>
        <v>#N/A</v>
      </c>
      <c r="D5" s="6" t="e">
        <f>VLOOKUP(A5,'BSE ALL CAP'!$B$4:$Y$1038,3,)</f>
        <v>#N/A</v>
      </c>
      <c r="E5" s="11">
        <f ca="1">IFERROR(__xludf.DUMMYFUNCTION("GOOGLEFINANCE(""BOM:""&amp;A5,""PRICE"")"),13)</f>
        <v>13</v>
      </c>
      <c r="F5" s="20">
        <f ca="1">IFERROR(__xludf.DUMMYFUNCTION("GOOGLEFINANCE(""BOM:""&amp;A5,""MARKETCAP"")/10000000"),8.84)</f>
        <v>8.84</v>
      </c>
    </row>
    <row r="6" spans="1:25" ht="15.75" customHeight="1">
      <c r="A6" s="93">
        <v>524444</v>
      </c>
      <c r="B6" s="90" t="s">
        <v>1607</v>
      </c>
      <c r="C6" s="6" t="e">
        <f>VLOOKUP(A6,'BSE ALL CAP'!$B$4:$Y$1038,2,)</f>
        <v>#N/A</v>
      </c>
      <c r="D6" s="6" t="e">
        <f>VLOOKUP(A6,'BSE ALL CAP'!$B$4:$Y$1038,3,)</f>
        <v>#N/A</v>
      </c>
      <c r="E6" s="11">
        <f ca="1">IFERROR(__xludf.DUMMYFUNCTION("GOOGLEFINANCE(""BOM:""&amp;A6,""PRICE"")"),0.51)</f>
        <v>0.51</v>
      </c>
      <c r="F6" s="20">
        <f ca="1">IFERROR(__xludf.DUMMYFUNCTION("GOOGLEFINANCE(""BOM:""&amp;A6,""MARKETCAP"")/10000000"),95.7437262)</f>
        <v>95.743726199999998</v>
      </c>
    </row>
    <row r="7" spans="1:25" ht="15.75" customHeight="1">
      <c r="A7" s="93">
        <v>524522</v>
      </c>
      <c r="B7" s="90" t="s">
        <v>1608</v>
      </c>
      <c r="C7" s="6" t="e">
        <f>VLOOKUP(A7,'BSE ALL CAP'!$B$4:$Y$1038,2,)</f>
        <v>#N/A</v>
      </c>
      <c r="D7" s="6" t="e">
        <f>VLOOKUP(A7,'BSE ALL CAP'!$B$4:$Y$1038,3,)</f>
        <v>#N/A</v>
      </c>
      <c r="E7" s="11">
        <f ca="1">IFERROR(__xludf.DUMMYFUNCTION("GOOGLEFINANCE(""BOM:""&amp;A7,""PRICE"")"),29.71)</f>
        <v>29.71</v>
      </c>
      <c r="F7" s="20">
        <f ca="1">IFERROR(__xludf.DUMMYFUNCTION("GOOGLEFINANCE(""BOM:""&amp;A7,""MARKETCAP"")/10000000"),23.7679992)</f>
        <v>23.767999199999998</v>
      </c>
    </row>
    <row r="8" spans="1:25" ht="15.75" customHeight="1">
      <c r="A8" s="93">
        <v>506734</v>
      </c>
      <c r="B8" s="90" t="s">
        <v>1609</v>
      </c>
      <c r="C8" s="6" t="e">
        <f>VLOOKUP(A8,'BSE ALL CAP'!$B$4:$Y$1038,2,)</f>
        <v>#N/A</v>
      </c>
      <c r="D8" s="6" t="e">
        <f>VLOOKUP(A8,'BSE ALL CAP'!$B$4:$Y$1038,3,)</f>
        <v>#N/A</v>
      </c>
      <c r="E8" s="11">
        <f ca="1">IFERROR(__xludf.DUMMYFUNCTION("GOOGLEFINANCE(""BOM:""&amp;A8,""PRICE"")"),87.98)</f>
        <v>87.98</v>
      </c>
      <c r="F8" s="20">
        <f ca="1">IFERROR(__xludf.DUMMYFUNCTION("GOOGLEFINANCE(""BOM:""&amp;A8,""MARKETCAP"")/10000000"),57.9215208)</f>
        <v>57.921520800000003</v>
      </c>
    </row>
    <row r="9" spans="1:25" ht="15.75" customHeight="1">
      <c r="A9" s="93">
        <v>543798</v>
      </c>
      <c r="B9" s="90" t="s">
        <v>1610</v>
      </c>
      <c r="C9" s="6" t="e">
        <f>VLOOKUP(A9,'BSE ALL CAP'!$B$4:$Y$1038,2,)</f>
        <v>#N/A</v>
      </c>
      <c r="D9" s="6" t="e">
        <f>VLOOKUP(A9,'BSE ALL CAP'!$B$4:$Y$1038,3,)</f>
        <v>#N/A</v>
      </c>
      <c r="E9" s="11">
        <f ca="1">IFERROR(__xludf.DUMMYFUNCTION("GOOGLEFINANCE(""BOM:""&amp;A9,""PRICE"")"),2.06)</f>
        <v>2.06</v>
      </c>
      <c r="F9" s="20">
        <f ca="1">IFERROR(__xludf.DUMMYFUNCTION("GOOGLEFINANCE(""BOM:""&amp;A9,""MARKETCAP"")/10000000"),4.7750798)</f>
        <v>4.7750798000000003</v>
      </c>
    </row>
    <row r="10" spans="1:25" ht="15.75" customHeight="1">
      <c r="A10" s="93">
        <v>544272</v>
      </c>
      <c r="B10" s="90" t="s">
        <v>1611</v>
      </c>
      <c r="C10" s="6" t="e">
        <f>VLOOKUP(A10,'BSE ALL CAP'!$B$4:$Y$1038,2,)</f>
        <v>#N/A</v>
      </c>
      <c r="D10" s="6" t="e">
        <f>VLOOKUP(A10,'BSE ALL CAP'!$B$4:$Y$1038,3,)</f>
        <v>#N/A</v>
      </c>
      <c r="E10" s="11">
        <f ca="1">IFERROR(__xludf.DUMMYFUNCTION("GOOGLEFINANCE(""BOM:""&amp;A10,""PRICE"")"),117.2)</f>
        <v>117.2</v>
      </c>
      <c r="F10" s="20">
        <f ca="1">IFERROR(__xludf.DUMMYFUNCTION("GOOGLEFINANCE(""BOM:""&amp;A10,""MARKETCAP"")/10000000"),271.5789973)</f>
        <v>271.57899730000003</v>
      </c>
    </row>
    <row r="11" spans="1:25" ht="15.75" customHeight="1">
      <c r="A11" s="93">
        <v>542232</v>
      </c>
      <c r="B11" s="90" t="s">
        <v>1612</v>
      </c>
      <c r="C11" s="6" t="e">
        <f>VLOOKUP(A11,'BSE ALL CAP'!$B$4:$Y$1038,2,)</f>
        <v>#N/A</v>
      </c>
      <c r="D11" s="6" t="e">
        <f>VLOOKUP(A11,'BSE ALL CAP'!$B$4:$Y$1038,3,)</f>
        <v>#N/A</v>
      </c>
      <c r="E11" s="11">
        <f ca="1">IFERROR(__xludf.DUMMYFUNCTION("GOOGLEFINANCE(""BOM:""&amp;A11,""PRICE"")"),45.13)</f>
        <v>45.13</v>
      </c>
      <c r="F11" s="20">
        <f ca="1">IFERROR(__xludf.DUMMYFUNCTION("GOOGLEFINANCE(""BOM:""&amp;A11,""MARKETCAP"")/10000000"),286.2512957)</f>
        <v>286.25129570000001</v>
      </c>
    </row>
    <row r="12" spans="1:25" ht="15.75" customHeight="1">
      <c r="A12" s="93">
        <v>500429</v>
      </c>
      <c r="B12" s="90" t="s">
        <v>1613</v>
      </c>
      <c r="C12" s="6" t="e">
        <f>VLOOKUP(A12,'BSE ALL CAP'!$B$4:$Y$1038,2,)</f>
        <v>#N/A</v>
      </c>
      <c r="D12" s="6" t="e">
        <f>VLOOKUP(A12,'BSE ALL CAP'!$B$4:$Y$1038,3,)</f>
        <v>#N/A</v>
      </c>
      <c r="E12" s="11">
        <f ca="1">IFERROR(__xludf.DUMMYFUNCTION("GOOGLEFINANCE(""BOM:""&amp;A12,""PRICE"")"),97)</f>
        <v>97</v>
      </c>
      <c r="F12" s="20">
        <f ca="1">IFERROR(__xludf.DUMMYFUNCTION("GOOGLEFINANCE(""BOM:""&amp;A12,""MARKETCAP"")/10000000"),667.64016)</f>
        <v>667.64016000000004</v>
      </c>
    </row>
    <row r="13" spans="1:25" ht="15.75" customHeight="1">
      <c r="A13" s="93">
        <v>524129</v>
      </c>
      <c r="B13" s="90" t="s">
        <v>1614</v>
      </c>
      <c r="C13" s="6" t="e">
        <f>VLOOKUP(A13,'BSE ALL CAP'!$B$4:$Y$1038,2,)</f>
        <v>#N/A</v>
      </c>
      <c r="D13" s="6" t="e">
        <f>VLOOKUP(A13,'BSE ALL CAP'!$B$4:$Y$1038,3,)</f>
        <v>#N/A</v>
      </c>
      <c r="E13" s="11">
        <f ca="1">IFERROR(__xludf.DUMMYFUNCTION("GOOGLEFINANCE(""BOM:""&amp;A13,""PRICE"")"),192.15)</f>
        <v>192.15</v>
      </c>
      <c r="F13" s="20">
        <f ca="1">IFERROR(__xludf.DUMMYFUNCTION("GOOGLEFINANCE(""BOM:""&amp;A13,""MARKETCAP"")/10000000"),351.9441387)</f>
        <v>351.9441387</v>
      </c>
    </row>
    <row r="14" spans="1:25" ht="15.75" customHeight="1">
      <c r="A14" s="93">
        <v>539939</v>
      </c>
      <c r="B14" s="90" t="s">
        <v>1615</v>
      </c>
      <c r="C14" s="6" t="e">
        <f>VLOOKUP(A14,'BSE ALL CAP'!$B$4:$Y$1038,2,)</f>
        <v>#N/A</v>
      </c>
      <c r="D14" s="6" t="e">
        <f>VLOOKUP(A14,'BSE ALL CAP'!$B$4:$Y$1038,3,)</f>
        <v>#N/A</v>
      </c>
      <c r="E14" s="11">
        <f ca="1">IFERROR(__xludf.DUMMYFUNCTION("GOOGLEFINANCE(""BOM:""&amp;A14,""PRICE"")"),56)</f>
        <v>56</v>
      </c>
      <c r="F14" s="20">
        <f ca="1">IFERROR(__xludf.DUMMYFUNCTION("GOOGLEFINANCE(""BOM:""&amp;A14,""MARKETCAP"")/10000000"),57.363152)</f>
        <v>57.363151999999999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A77DC-DE98-47DA-91A4-DD7FF9743018}">
  <dimension ref="A3:C1213"/>
  <sheetViews>
    <sheetView topLeftCell="A82" workbookViewId="0">
      <selection activeCell="E20" sqref="E20"/>
    </sheetView>
  </sheetViews>
  <sheetFormatPr defaultRowHeight="13.2"/>
  <cols>
    <col min="1" max="1" width="70.33203125" bestFit="1" customWidth="1"/>
    <col min="2" max="2" width="26" bestFit="1" customWidth="1"/>
    <col min="3" max="3" width="25.88671875" bestFit="1" customWidth="1"/>
  </cols>
  <sheetData>
    <row r="3" spans="1:3">
      <c r="A3" s="363" t="s">
        <v>6059</v>
      </c>
      <c r="B3" s="362" t="s">
        <v>6061</v>
      </c>
      <c r="C3" s="367" t="s">
        <v>6062</v>
      </c>
    </row>
    <row r="4" spans="1:3">
      <c r="A4" s="381" t="s">
        <v>196</v>
      </c>
      <c r="B4" s="386">
        <v>0.12750054450474099</v>
      </c>
      <c r="C4" s="387">
        <v>-4.4982248095561097</v>
      </c>
    </row>
    <row r="5" spans="1:3">
      <c r="A5" s="382" t="s">
        <v>232</v>
      </c>
      <c r="B5" s="388">
        <v>7.7026905798955769E-2</v>
      </c>
      <c r="C5" s="389">
        <v>-0.21644355198572063</v>
      </c>
    </row>
    <row r="6" spans="1:3">
      <c r="A6" s="383" t="s">
        <v>231</v>
      </c>
      <c r="B6" s="388">
        <v>0.13925329679739673</v>
      </c>
      <c r="C6" s="389">
        <v>-0.45140562248995986</v>
      </c>
    </row>
    <row r="7" spans="1:3">
      <c r="A7" s="383" t="s">
        <v>370</v>
      </c>
      <c r="B7" s="388">
        <v>1.4800514800514808E-2</v>
      </c>
      <c r="C7" s="389">
        <v>1.8518518518518601E-2</v>
      </c>
    </row>
    <row r="8" spans="1:3">
      <c r="A8" s="382" t="s">
        <v>544</v>
      </c>
      <c r="B8" s="388">
        <v>-2.1936370777690506E-2</v>
      </c>
      <c r="C8" s="389">
        <v>-0.30839624799816978</v>
      </c>
    </row>
    <row r="9" spans="1:3">
      <c r="A9" s="383" t="s">
        <v>543</v>
      </c>
      <c r="B9" s="388">
        <v>3.7719298245614041E-2</v>
      </c>
      <c r="C9" s="389">
        <v>0.36170212765957444</v>
      </c>
    </row>
    <row r="10" spans="1:3">
      <c r="A10" s="383" t="s">
        <v>746</v>
      </c>
      <c r="B10" s="388">
        <v>-8.1592039800995053E-2</v>
      </c>
      <c r="C10" s="389">
        <v>-0.978494623655914</v>
      </c>
    </row>
    <row r="11" spans="1:3">
      <c r="A11" s="382" t="s">
        <v>109</v>
      </c>
      <c r="B11" s="388">
        <v>0.11719350280430103</v>
      </c>
      <c r="C11" s="389">
        <v>0.42317713841895005</v>
      </c>
    </row>
    <row r="12" spans="1:3">
      <c r="A12" s="383" t="s">
        <v>495</v>
      </c>
      <c r="B12" s="388">
        <v>0.21710150447533794</v>
      </c>
      <c r="C12" s="389">
        <v>-0.62969752520623279</v>
      </c>
    </row>
    <row r="13" spans="1:3">
      <c r="A13" s="383" t="s">
        <v>301</v>
      </c>
      <c r="B13" s="388">
        <v>0.19804659919981171</v>
      </c>
      <c r="C13" s="389">
        <v>-0.86218550506947056</v>
      </c>
    </row>
    <row r="14" spans="1:3">
      <c r="A14" s="383" t="s">
        <v>873</v>
      </c>
      <c r="B14" s="388">
        <v>-4.3420469649977811E-2</v>
      </c>
      <c r="C14" s="389">
        <v>0.70967741935483875</v>
      </c>
    </row>
    <row r="15" spans="1:3">
      <c r="A15" s="383" t="s">
        <v>456</v>
      </c>
      <c r="B15" s="388">
        <v>0.10216912920465271</v>
      </c>
      <c r="C15" s="389">
        <v>0.93939393939393945</v>
      </c>
    </row>
    <row r="16" spans="1:3">
      <c r="A16" s="383" t="s">
        <v>236</v>
      </c>
      <c r="B16" s="388">
        <v>0.25252982079258302</v>
      </c>
      <c r="C16" s="389">
        <v>0.28777393310265276</v>
      </c>
    </row>
    <row r="17" spans="1:3">
      <c r="A17" s="383" t="s">
        <v>1077</v>
      </c>
      <c r="B17" s="388">
        <v>5.9040590405904148E-2</v>
      </c>
      <c r="C17" s="389">
        <v>2</v>
      </c>
    </row>
    <row r="18" spans="1:3">
      <c r="A18" s="383" t="s">
        <v>711</v>
      </c>
      <c r="B18" s="388">
        <v>0.19432773109243695</v>
      </c>
      <c r="C18" s="389">
        <v>-1.0172413793103448</v>
      </c>
    </row>
    <row r="19" spans="1:3">
      <c r="A19" s="383" t="s">
        <v>431</v>
      </c>
      <c r="B19" s="388">
        <v>0.18191126279863479</v>
      </c>
      <c r="C19" s="389">
        <v>-8.4656084656084651E-2</v>
      </c>
    </row>
    <row r="20" spans="1:3">
      <c r="A20" s="383" t="s">
        <v>821</v>
      </c>
      <c r="B20" s="388">
        <v>6.078824315297271E-2</v>
      </c>
      <c r="C20" s="389">
        <v>-0.24</v>
      </c>
    </row>
    <row r="21" spans="1:3">
      <c r="A21" s="383" t="s">
        <v>620</v>
      </c>
      <c r="B21" s="388">
        <v>0.13119330076762048</v>
      </c>
      <c r="C21" s="389">
        <v>-2.6375000000000002</v>
      </c>
    </row>
    <row r="22" spans="1:3">
      <c r="A22" s="383" t="s">
        <v>742</v>
      </c>
      <c r="B22" s="388">
        <v>0.1212121212121211</v>
      </c>
      <c r="C22" s="389">
        <v>-1.8032786885245902</v>
      </c>
    </row>
    <row r="23" spans="1:3">
      <c r="A23" s="383" t="s">
        <v>1137</v>
      </c>
      <c r="B23" s="388">
        <v>-1.0886469673405896E-2</v>
      </c>
      <c r="C23" s="389">
        <v>1.7000000000000002</v>
      </c>
    </row>
    <row r="24" spans="1:3">
      <c r="A24" s="383" t="s">
        <v>917</v>
      </c>
      <c r="B24" s="388">
        <v>3.2366071428571397E-2</v>
      </c>
      <c r="C24" s="389">
        <v>8.6956521739130377E-2</v>
      </c>
    </row>
    <row r="25" spans="1:3">
      <c r="A25" s="383" t="s">
        <v>1219</v>
      </c>
      <c r="B25" s="388">
        <v>4.7957371225577194E-2</v>
      </c>
      <c r="C25" s="389">
        <v>0.18518518518518512</v>
      </c>
    </row>
    <row r="26" spans="1:3">
      <c r="A26" s="383" t="s">
        <v>322</v>
      </c>
      <c r="B26" s="388">
        <v>4.9639186529630397E-2</v>
      </c>
      <c r="C26" s="389">
        <v>0.37113402061855671</v>
      </c>
    </row>
    <row r="27" spans="1:3">
      <c r="A27" s="383" t="s">
        <v>824</v>
      </c>
      <c r="B27" s="388">
        <v>0.22562674094707513</v>
      </c>
      <c r="C27" s="389">
        <v>7.2222222222222214</v>
      </c>
    </row>
    <row r="28" spans="1:3">
      <c r="A28" s="383" t="s">
        <v>519</v>
      </c>
      <c r="B28" s="388">
        <v>6.2027231467473465E-2</v>
      </c>
      <c r="C28" s="389">
        <v>1.1208791208791209</v>
      </c>
    </row>
    <row r="29" spans="1:3">
      <c r="A29" s="383" t="s">
        <v>195</v>
      </c>
      <c r="B29" s="388">
        <v>0.22785308510039926</v>
      </c>
      <c r="C29" s="389">
        <v>0.26852531181217909</v>
      </c>
    </row>
    <row r="30" spans="1:3">
      <c r="A30" s="382" t="s">
        <v>346</v>
      </c>
      <c r="B30" s="388">
        <v>-4.0389522120584222E-3</v>
      </c>
      <c r="C30" s="389">
        <v>0.34575767542805813</v>
      </c>
    </row>
    <row r="31" spans="1:3">
      <c r="A31" s="383" t="s">
        <v>1065</v>
      </c>
      <c r="B31" s="388">
        <v>-0.21077504725897922</v>
      </c>
      <c r="C31" s="389">
        <v>1.4285714285714284</v>
      </c>
    </row>
    <row r="32" spans="1:3">
      <c r="A32" s="383" t="s">
        <v>709</v>
      </c>
      <c r="B32" s="388">
        <v>9.7324544397053181E-2</v>
      </c>
      <c r="C32" s="389">
        <v>-0.44268774703557312</v>
      </c>
    </row>
    <row r="33" spans="1:3">
      <c r="A33" s="383" t="s">
        <v>1029</v>
      </c>
      <c r="B33" s="388">
        <v>-2.8241335044929428E-2</v>
      </c>
      <c r="C33" s="389">
        <v>-0.36904761904761907</v>
      </c>
    </row>
    <row r="34" spans="1:3">
      <c r="A34" s="383" t="s">
        <v>1181</v>
      </c>
      <c r="B34" s="388">
        <v>5.8394160583941535E-2</v>
      </c>
      <c r="C34" s="389">
        <v>-0.2558139534883721</v>
      </c>
    </row>
    <row r="35" spans="1:3">
      <c r="A35" s="383" t="s">
        <v>1099</v>
      </c>
      <c r="B35" s="388">
        <v>1.4577259475218707E-2</v>
      </c>
      <c r="C35" s="389">
        <v>0.72727272727272729</v>
      </c>
    </row>
    <row r="36" spans="1:3">
      <c r="A36" s="383" t="s">
        <v>907</v>
      </c>
      <c r="B36" s="388">
        <v>5.1079515534491859E-2</v>
      </c>
      <c r="C36" s="389">
        <v>-5.0632911392405111E-2</v>
      </c>
    </row>
    <row r="37" spans="1:3">
      <c r="A37" s="383" t="s">
        <v>345</v>
      </c>
      <c r="B37" s="388">
        <v>8.5990055571804724E-2</v>
      </c>
      <c r="C37" s="389">
        <v>0.59778597785977849</v>
      </c>
    </row>
    <row r="38" spans="1:3">
      <c r="A38" s="383" t="s">
        <v>1042</v>
      </c>
      <c r="B38" s="388">
        <v>-2.8089887640449396E-2</v>
      </c>
      <c r="C38" s="389">
        <v>-0.55882352941176472</v>
      </c>
    </row>
    <row r="39" spans="1:3">
      <c r="A39" s="383" t="s">
        <v>597</v>
      </c>
      <c r="B39" s="388">
        <v>-1.1142061281337101E-2</v>
      </c>
      <c r="C39" s="389">
        <v>2.2857142857142856</v>
      </c>
    </row>
    <row r="40" spans="1:3">
      <c r="A40" s="383" t="s">
        <v>1258</v>
      </c>
      <c r="B40" s="388">
        <v>-6.9506726457399082E-2</v>
      </c>
      <c r="C40" s="389">
        <v>9.5238095238095344E-2</v>
      </c>
    </row>
    <row r="41" spans="1:3">
      <c r="A41" s="382" t="s">
        <v>403</v>
      </c>
      <c r="B41" s="388">
        <v>1.0945121951219514</v>
      </c>
      <c r="C41" s="389">
        <v>1.4761904761904763</v>
      </c>
    </row>
    <row r="42" spans="1:3">
      <c r="A42" s="383" t="s">
        <v>402</v>
      </c>
      <c r="B42" s="388">
        <v>1.0945121951219514</v>
      </c>
      <c r="C42" s="389">
        <v>1.4761904761904763</v>
      </c>
    </row>
    <row r="43" spans="1:3">
      <c r="A43" s="382" t="s">
        <v>216</v>
      </c>
      <c r="B43" s="388">
        <v>0.45001172702524916</v>
      </c>
      <c r="C43" s="389">
        <v>1.1467075787215246</v>
      </c>
    </row>
    <row r="44" spans="1:3">
      <c r="A44" s="383" t="s">
        <v>1107</v>
      </c>
      <c r="B44" s="388">
        <v>0.53045186640471509</v>
      </c>
      <c r="C44" s="389">
        <v>1.6923076923076925</v>
      </c>
    </row>
    <row r="45" spans="1:3">
      <c r="A45" s="383" t="s">
        <v>215</v>
      </c>
      <c r="B45" s="388">
        <v>0.36957158764578324</v>
      </c>
      <c r="C45" s="389">
        <v>0.60110746513535696</v>
      </c>
    </row>
    <row r="46" spans="1:3">
      <c r="A46" s="382" t="s">
        <v>898</v>
      </c>
      <c r="B46" s="388">
        <v>1.064783885008604</v>
      </c>
      <c r="C46" s="389">
        <v>-309.73076923076923</v>
      </c>
    </row>
    <row r="47" spans="1:3">
      <c r="A47" s="383" t="s">
        <v>1198</v>
      </c>
      <c r="B47" s="388">
        <v>-2.8089887640449396E-2</v>
      </c>
      <c r="C47" s="389">
        <v>-386.46153846153845</v>
      </c>
    </row>
    <row r="48" spans="1:3">
      <c r="A48" s="383" t="s">
        <v>897</v>
      </c>
      <c r="B48" s="388">
        <v>2.1576576576576576</v>
      </c>
      <c r="C48" s="389">
        <v>-233</v>
      </c>
    </row>
    <row r="49" spans="1:3">
      <c r="A49" s="382" t="s">
        <v>277</v>
      </c>
      <c r="B49" s="388">
        <v>-0.10882827258904293</v>
      </c>
      <c r="C49" s="389">
        <v>2.6211671612265064E-2</v>
      </c>
    </row>
    <row r="50" spans="1:3">
      <c r="A50" s="383" t="s">
        <v>1169</v>
      </c>
      <c r="B50" s="388">
        <v>-0.50909090909090904</v>
      </c>
      <c r="C50" s="389">
        <v>-0.33333333333333337</v>
      </c>
    </row>
    <row r="51" spans="1:3">
      <c r="A51" s="383" t="s">
        <v>276</v>
      </c>
      <c r="B51" s="388">
        <v>0.29143436391282318</v>
      </c>
      <c r="C51" s="389">
        <v>0.3857566765578635</v>
      </c>
    </row>
    <row r="52" spans="1:3">
      <c r="A52" s="382" t="s">
        <v>887</v>
      </c>
      <c r="B52" s="388">
        <v>9.3312597200622127E-2</v>
      </c>
      <c r="C52" s="389">
        <v>0.40860215053763449</v>
      </c>
    </row>
    <row r="53" spans="1:3">
      <c r="A53" s="383" t="s">
        <v>886</v>
      </c>
      <c r="B53" s="388">
        <v>9.3312597200622127E-2</v>
      </c>
      <c r="C53" s="389">
        <v>0.40860215053763449</v>
      </c>
    </row>
    <row r="54" spans="1:3">
      <c r="A54" s="382" t="s">
        <v>376</v>
      </c>
      <c r="B54" s="388">
        <v>0.12720616849408459</v>
      </c>
      <c r="C54" s="389">
        <v>0.37007101219242128</v>
      </c>
    </row>
    <row r="55" spans="1:3">
      <c r="A55" s="383" t="s">
        <v>599</v>
      </c>
      <c r="B55" s="388">
        <v>0.1992679951199674</v>
      </c>
      <c r="C55" s="389">
        <v>9.7378277153558068E-2</v>
      </c>
    </row>
    <row r="56" spans="1:3">
      <c r="A56" s="383" t="s">
        <v>375</v>
      </c>
      <c r="B56" s="388">
        <v>0.2658976207642394</v>
      </c>
      <c r="C56" s="389">
        <v>-3.9370078740157521E-2</v>
      </c>
    </row>
    <row r="57" spans="1:3">
      <c r="A57" s="383" t="s">
        <v>906</v>
      </c>
      <c r="B57" s="388">
        <v>3.5198873636043571E-2</v>
      </c>
      <c r="C57" s="389">
        <v>0.17910447761194037</v>
      </c>
    </row>
    <row r="58" spans="1:3">
      <c r="A58" s="383" t="s">
        <v>1083</v>
      </c>
      <c r="B58" s="388">
        <v>0.17318531169940221</v>
      </c>
      <c r="C58" s="389">
        <v>2.1</v>
      </c>
    </row>
    <row r="59" spans="1:3">
      <c r="A59" s="383" t="s">
        <v>727</v>
      </c>
      <c r="B59" s="388">
        <v>0.15210420841683359</v>
      </c>
      <c r="C59" s="389">
        <v>-0.12918660287081341</v>
      </c>
    </row>
    <row r="60" spans="1:3">
      <c r="A60" s="383" t="s">
        <v>899</v>
      </c>
      <c r="B60" s="388">
        <v>-6.2416998671978696E-2</v>
      </c>
      <c r="C60" s="389">
        <v>1.2499999999999956E-2</v>
      </c>
    </row>
    <row r="61" spans="1:3">
      <c r="A61" s="382" t="s">
        <v>399</v>
      </c>
      <c r="B61" s="388">
        <v>-8.3608413849595165E-4</v>
      </c>
      <c r="C61" s="389">
        <v>0.36796733212341193</v>
      </c>
    </row>
    <row r="62" spans="1:3">
      <c r="A62" s="383" t="s">
        <v>398</v>
      </c>
      <c r="B62" s="388">
        <v>0.15867768595041332</v>
      </c>
      <c r="C62" s="389">
        <v>0.68421052631578938</v>
      </c>
    </row>
    <row r="63" spans="1:3">
      <c r="A63" s="383" t="s">
        <v>1160</v>
      </c>
      <c r="B63" s="388">
        <v>-0.16034985422740522</v>
      </c>
      <c r="C63" s="389">
        <v>5.1724137931034475E-2</v>
      </c>
    </row>
    <row r="64" spans="1:3">
      <c r="A64" s="382" t="s">
        <v>357</v>
      </c>
      <c r="B64" s="388">
        <v>0.39703951862433334</v>
      </c>
      <c r="C64" s="389">
        <v>0.3381239107223038</v>
      </c>
    </row>
    <row r="65" spans="1:3">
      <c r="A65" s="383" t="s">
        <v>740</v>
      </c>
      <c r="B65" s="388">
        <v>2.108433734939763E-2</v>
      </c>
      <c r="C65" s="389">
        <v>0.24358974358974361</v>
      </c>
    </row>
    <row r="66" spans="1:3">
      <c r="A66" s="383" t="s">
        <v>605</v>
      </c>
      <c r="B66" s="388">
        <v>-0.11332312404287903</v>
      </c>
      <c r="C66" s="389">
        <v>-0.10135135135135132</v>
      </c>
    </row>
    <row r="67" spans="1:3">
      <c r="A67" s="383" t="s">
        <v>372</v>
      </c>
      <c r="B67" s="388">
        <v>1.9377618192698982</v>
      </c>
      <c r="C67" s="389">
        <v>1.8020565552699228</v>
      </c>
    </row>
    <row r="68" spans="1:3">
      <c r="A68" s="383" t="s">
        <v>934</v>
      </c>
      <c r="B68" s="388">
        <v>-1.9125683060109311E-2</v>
      </c>
      <c r="C68" s="389">
        <v>-0.17460317460317465</v>
      </c>
    </row>
    <row r="69" spans="1:3">
      <c r="A69" s="383" t="s">
        <v>356</v>
      </c>
      <c r="B69" s="388">
        <v>0.15880024360535927</v>
      </c>
      <c r="C69" s="389">
        <v>-7.9072219293621515E-2</v>
      </c>
    </row>
    <row r="70" spans="1:3">
      <c r="A70" s="382" t="s">
        <v>211</v>
      </c>
      <c r="B70" s="388">
        <v>6.71607167928156E-2</v>
      </c>
      <c r="C70" s="389">
        <v>1.1266610661969692</v>
      </c>
    </row>
    <row r="71" spans="1:3">
      <c r="A71" s="383" t="s">
        <v>936</v>
      </c>
      <c r="B71" s="388">
        <v>-0.10632570659488561</v>
      </c>
      <c r="C71" s="389">
        <v>-0.9</v>
      </c>
    </row>
    <row r="72" spans="1:3">
      <c r="A72" s="383" t="s">
        <v>377</v>
      </c>
      <c r="B72" s="388">
        <v>6.1572625416372206E-2</v>
      </c>
      <c r="C72" s="389">
        <v>0.26452599388379205</v>
      </c>
    </row>
    <row r="73" spans="1:3">
      <c r="A73" s="383" t="s">
        <v>273</v>
      </c>
      <c r="B73" s="388">
        <v>0.10858650327631691</v>
      </c>
      <c r="C73" s="389">
        <v>-0.80126182965299686</v>
      </c>
    </row>
    <row r="74" spans="1:3">
      <c r="A74" s="383" t="s">
        <v>210</v>
      </c>
      <c r="B74" s="388">
        <v>0.11148436367151637</v>
      </c>
      <c r="C74" s="389">
        <v>2.3518776077885954</v>
      </c>
    </row>
    <row r="75" spans="1:3">
      <c r="A75" s="383" t="s">
        <v>728</v>
      </c>
      <c r="B75" s="388">
        <v>0.41886792452830179</v>
      </c>
      <c r="C75" s="389">
        <v>-0.67810026385224276</v>
      </c>
    </row>
    <row r="76" spans="1:3">
      <c r="A76" s="383" t="s">
        <v>1244</v>
      </c>
      <c r="B76" s="388">
        <v>-0.13729729729729734</v>
      </c>
      <c r="C76" s="389">
        <v>3.6144578313253017E-2</v>
      </c>
    </row>
    <row r="77" spans="1:3">
      <c r="A77" s="383" t="s">
        <v>582</v>
      </c>
      <c r="B77" s="388">
        <v>-3.2600454890068242E-2</v>
      </c>
      <c r="C77" s="389">
        <v>-2.1276595744680882E-2</v>
      </c>
    </row>
    <row r="78" spans="1:3">
      <c r="A78" s="383" t="s">
        <v>363</v>
      </c>
      <c r="B78" s="388">
        <v>0.11763985300122504</v>
      </c>
      <c r="C78" s="389">
        <v>1.6338028169014085</v>
      </c>
    </row>
    <row r="79" spans="1:3">
      <c r="A79" s="383" t="s">
        <v>220</v>
      </c>
      <c r="B79" s="388">
        <v>6.2518640023859318E-2</v>
      </c>
      <c r="C79" s="389">
        <v>8.2542372881355934</v>
      </c>
    </row>
    <row r="80" spans="1:3">
      <c r="A80" s="382" t="s">
        <v>1226</v>
      </c>
      <c r="B80" s="388">
        <v>0.11721611721611724</v>
      </c>
      <c r="C80" s="389">
        <v>0.30769230769230771</v>
      </c>
    </row>
    <row r="81" spans="1:3">
      <c r="A81" s="383" t="s">
        <v>1225</v>
      </c>
      <c r="B81" s="388">
        <v>0.11721611721611724</v>
      </c>
      <c r="C81" s="389">
        <v>0.30769230769230771</v>
      </c>
    </row>
    <row r="82" spans="1:3">
      <c r="A82" s="382" t="s">
        <v>672</v>
      </c>
      <c r="B82" s="388">
        <v>-0.15004673961187484</v>
      </c>
      <c r="C82" s="389">
        <v>0.47675723944380666</v>
      </c>
    </row>
    <row r="83" spans="1:3">
      <c r="A83" s="383" t="s">
        <v>671</v>
      </c>
      <c r="B83" s="388">
        <v>-0.56730769230769229</v>
      </c>
      <c r="C83" s="389">
        <v>2.5666666666666669</v>
      </c>
    </row>
    <row r="84" spans="1:3">
      <c r="A84" s="383" t="s">
        <v>945</v>
      </c>
      <c r="B84" s="388">
        <v>8.3669936526254984E-2</v>
      </c>
      <c r="C84" s="389">
        <v>-0.56923076923076921</v>
      </c>
    </row>
    <row r="85" spans="1:3">
      <c r="A85" s="383" t="s">
        <v>1190</v>
      </c>
      <c r="B85" s="388">
        <v>3.3497536945812811E-2</v>
      </c>
      <c r="C85" s="389">
        <v>-0.56716417910447769</v>
      </c>
    </row>
    <row r="86" spans="1:3">
      <c r="A86" s="382" t="s">
        <v>414</v>
      </c>
      <c r="B86" s="388">
        <v>6.4150028745960833E-2</v>
      </c>
      <c r="C86" s="389">
        <v>0.36067675740706739</v>
      </c>
    </row>
    <row r="87" spans="1:3">
      <c r="A87" s="383" t="s">
        <v>565</v>
      </c>
      <c r="B87" s="388">
        <v>4.635761589403975E-2</v>
      </c>
      <c r="C87" s="389">
        <v>1.7941176470588234</v>
      </c>
    </row>
    <row r="88" spans="1:3">
      <c r="A88" s="383" t="s">
        <v>1199</v>
      </c>
      <c r="B88" s="388">
        <v>0.10784313725490202</v>
      </c>
      <c r="C88" s="389">
        <v>0.33333333333333326</v>
      </c>
    </row>
    <row r="89" spans="1:3">
      <c r="A89" s="383" t="s">
        <v>1010</v>
      </c>
      <c r="B89" s="388">
        <v>-8.0898876404494335E-2</v>
      </c>
      <c r="C89" s="389">
        <v>-0.29090909090909089</v>
      </c>
    </row>
    <row r="90" spans="1:3">
      <c r="A90" s="383" t="s">
        <v>1151</v>
      </c>
      <c r="B90" s="388">
        <v>0.1910112359550562</v>
      </c>
      <c r="C90" s="389">
        <v>-0.72222222222222221</v>
      </c>
    </row>
    <row r="91" spans="1:3">
      <c r="A91" s="383" t="s">
        <v>423</v>
      </c>
      <c r="B91" s="388">
        <v>-0.27631578947368418</v>
      </c>
      <c r="C91" s="389">
        <v>-0.16397849462365588</v>
      </c>
    </row>
    <row r="92" spans="1:3">
      <c r="A92" s="383" t="s">
        <v>982</v>
      </c>
      <c r="B92" s="388">
        <v>0.19348659003831425</v>
      </c>
      <c r="C92" s="389">
        <v>-0.81818181818181812</v>
      </c>
    </row>
    <row r="93" spans="1:3">
      <c r="A93" s="383" t="s">
        <v>766</v>
      </c>
      <c r="B93" s="388">
        <v>0.38643702906350907</v>
      </c>
      <c r="C93" s="389">
        <v>3.67741935483871</v>
      </c>
    </row>
    <row r="94" spans="1:3">
      <c r="A94" s="383" t="s">
        <v>570</v>
      </c>
      <c r="B94" s="388">
        <v>-0.11544461778471138</v>
      </c>
      <c r="C94" s="389">
        <v>-0.13793103448275867</v>
      </c>
    </row>
    <row r="95" spans="1:3">
      <c r="A95" s="383" t="s">
        <v>413</v>
      </c>
      <c r="B95" s="388">
        <v>0.12487393417071613</v>
      </c>
      <c r="C95" s="389">
        <v>-0.42555685814771393</v>
      </c>
    </row>
    <row r="96" spans="1:3">
      <c r="A96" s="382" t="s">
        <v>695</v>
      </c>
      <c r="B96" s="388">
        <v>-0.10540694728943407</v>
      </c>
      <c r="C96" s="389">
        <v>-0.95498720188032526</v>
      </c>
    </row>
    <row r="97" spans="1:3">
      <c r="A97" s="383" t="s">
        <v>995</v>
      </c>
      <c r="B97" s="388">
        <v>0.17002176278563663</v>
      </c>
      <c r="C97" s="389">
        <v>-1.2857142857142856</v>
      </c>
    </row>
    <row r="98" spans="1:3">
      <c r="A98" s="383" t="s">
        <v>694</v>
      </c>
      <c r="B98" s="388">
        <v>-8.8967971530249157E-2</v>
      </c>
      <c r="C98" s="389">
        <v>-0.57746478873239437</v>
      </c>
    </row>
    <row r="99" spans="1:3">
      <c r="A99" s="383" t="s">
        <v>741</v>
      </c>
      <c r="B99" s="388">
        <v>-0.39727463312368971</v>
      </c>
      <c r="C99" s="389">
        <v>-1.0017825311942958</v>
      </c>
    </row>
    <row r="100" spans="1:3">
      <c r="A100" s="382" t="s">
        <v>922</v>
      </c>
      <c r="B100" s="388">
        <v>-1.1808576755748867E-2</v>
      </c>
      <c r="C100" s="389">
        <v>-6.557377049180324E-2</v>
      </c>
    </row>
    <row r="101" spans="1:3">
      <c r="A101" s="383" t="s">
        <v>921</v>
      </c>
      <c r="B101" s="388">
        <v>-1.1808576755748867E-2</v>
      </c>
      <c r="C101" s="389">
        <v>-6.557377049180324E-2</v>
      </c>
    </row>
    <row r="102" spans="1:3">
      <c r="A102" s="382" t="s">
        <v>251</v>
      </c>
      <c r="B102" s="388">
        <v>0.1487783427460192</v>
      </c>
      <c r="C102" s="389">
        <v>0.72795507983892993</v>
      </c>
    </row>
    <row r="103" spans="1:3">
      <c r="A103" s="383" t="s">
        <v>631</v>
      </c>
      <c r="B103" s="388">
        <v>0.29726651480637822</v>
      </c>
      <c r="C103" s="389">
        <v>1.7872340425531914</v>
      </c>
    </row>
    <row r="104" spans="1:3">
      <c r="A104" s="383" t="s">
        <v>708</v>
      </c>
      <c r="B104" s="388">
        <v>0.44748858447488593</v>
      </c>
      <c r="C104" s="389">
        <v>0.48837209302325579</v>
      </c>
    </row>
    <row r="105" spans="1:3">
      <c r="A105" s="383" t="s">
        <v>864</v>
      </c>
      <c r="B105" s="388">
        <v>-4.5822102425876032E-2</v>
      </c>
      <c r="C105" s="389">
        <v>-4.5454545454545414E-2</v>
      </c>
    </row>
    <row r="106" spans="1:3">
      <c r="A106" s="383" t="s">
        <v>1321</v>
      </c>
      <c r="B106" s="388">
        <v>0.31282051282051282</v>
      </c>
      <c r="C106" s="389">
        <v>0.12962962962962954</v>
      </c>
    </row>
    <row r="107" spans="1:3">
      <c r="A107" s="383" t="s">
        <v>893</v>
      </c>
      <c r="B107" s="388">
        <v>4.9586776859504189E-2</v>
      </c>
      <c r="C107" s="389">
        <v>-0.5106382978723405</v>
      </c>
    </row>
    <row r="108" spans="1:3">
      <c r="A108" s="383" t="s">
        <v>577</v>
      </c>
      <c r="B108" s="388">
        <v>0.12569832402234637</v>
      </c>
      <c r="C108" s="389">
        <v>0.3931623931623931</v>
      </c>
    </row>
    <row r="109" spans="1:3">
      <c r="A109" s="383" t="s">
        <v>1096</v>
      </c>
      <c r="B109" s="388">
        <v>6.0897435897435903E-2</v>
      </c>
      <c r="C109" s="389">
        <v>-3.2258064516129004E-2</v>
      </c>
    </row>
    <row r="110" spans="1:3">
      <c r="A110" s="383" t="s">
        <v>635</v>
      </c>
      <c r="B110" s="388">
        <v>6.2723521320495079E-2</v>
      </c>
      <c r="C110" s="389">
        <v>0</v>
      </c>
    </row>
    <row r="111" spans="1:3">
      <c r="A111" s="383" t="s">
        <v>1291</v>
      </c>
      <c r="B111" s="388">
        <v>-0.12753623188405794</v>
      </c>
      <c r="C111" s="389">
        <v>5.0000000000000044E-2</v>
      </c>
    </row>
    <row r="112" spans="1:3">
      <c r="A112" s="383" t="s">
        <v>1182</v>
      </c>
      <c r="B112" s="388">
        <v>6.0324825986078912E-2</v>
      </c>
      <c r="C112" s="389">
        <v>4.2857142857142856</v>
      </c>
    </row>
    <row r="113" spans="1:3">
      <c r="A113" s="383" t="s">
        <v>849</v>
      </c>
      <c r="B113" s="388">
        <v>-8.7500000000000022E-2</v>
      </c>
      <c r="C113" s="389">
        <v>-0.30769230769230771</v>
      </c>
    </row>
    <row r="114" spans="1:3">
      <c r="A114" s="383" t="s">
        <v>1179</v>
      </c>
      <c r="B114" s="388">
        <v>0.10909090909090913</v>
      </c>
      <c r="C114" s="389">
        <v>4.3478260869565188E-2</v>
      </c>
    </row>
    <row r="115" spans="1:3">
      <c r="A115" s="383" t="s">
        <v>556</v>
      </c>
      <c r="B115" s="388">
        <v>3.7834997372569568E-2</v>
      </c>
      <c r="C115" s="389">
        <v>2.0408163265306145E-2</v>
      </c>
    </row>
    <row r="116" spans="1:3">
      <c r="A116" s="383" t="s">
        <v>896</v>
      </c>
      <c r="B116" s="388">
        <v>9.137055837563457E-2</v>
      </c>
      <c r="C116" s="389">
        <v>0.30000000000000004</v>
      </c>
    </row>
    <row r="117" spans="1:3">
      <c r="A117" s="383" t="s">
        <v>1070</v>
      </c>
      <c r="B117" s="388">
        <v>-7.441860465116279E-2</v>
      </c>
      <c r="C117" s="389">
        <v>-0.625</v>
      </c>
    </row>
    <row r="118" spans="1:3">
      <c r="A118" s="383" t="s">
        <v>676</v>
      </c>
      <c r="B118" s="388">
        <v>7.3643410852713087E-2</v>
      </c>
      <c r="C118" s="389">
        <v>-0.1097560975609756</v>
      </c>
    </row>
    <row r="119" spans="1:3">
      <c r="A119" s="383" t="s">
        <v>1194</v>
      </c>
      <c r="B119" s="388">
        <v>0.46399999999999997</v>
      </c>
      <c r="C119" s="389">
        <v>0.11111111111111116</v>
      </c>
    </row>
    <row r="120" spans="1:3">
      <c r="A120" s="383" t="s">
        <v>1041</v>
      </c>
      <c r="B120" s="388">
        <v>0.375</v>
      </c>
      <c r="C120" s="389">
        <v>-0.21052631578947367</v>
      </c>
    </row>
    <row r="121" spans="1:3">
      <c r="A121" s="383" t="s">
        <v>889</v>
      </c>
      <c r="B121" s="388">
        <v>0.27665706051873196</v>
      </c>
      <c r="C121" s="389">
        <v>-9.2307692307692313E-2</v>
      </c>
    </row>
    <row r="122" spans="1:3">
      <c r="A122" s="383" t="s">
        <v>453</v>
      </c>
      <c r="B122" s="388">
        <v>-1.0452961672473893E-2</v>
      </c>
      <c r="C122" s="389">
        <v>-0.19047619047619047</v>
      </c>
    </row>
    <row r="123" spans="1:3">
      <c r="A123" s="383" t="s">
        <v>1184</v>
      </c>
      <c r="B123" s="388">
        <v>0.13383838383838387</v>
      </c>
      <c r="C123" s="389">
        <v>0</v>
      </c>
    </row>
    <row r="124" spans="1:3">
      <c r="A124" s="383" t="s">
        <v>810</v>
      </c>
      <c r="B124" s="388">
        <v>-6.6921606118547361E-3</v>
      </c>
      <c r="C124" s="389">
        <v>-0.33333333333333337</v>
      </c>
    </row>
    <row r="125" spans="1:3">
      <c r="A125" s="383" t="s">
        <v>1109</v>
      </c>
      <c r="B125" s="388">
        <v>-8.6513994910941472E-2</v>
      </c>
      <c r="C125" s="389">
        <v>-0.13793103448275867</v>
      </c>
    </row>
    <row r="126" spans="1:3">
      <c r="A126" s="383" t="s">
        <v>485</v>
      </c>
      <c r="B126" s="388">
        <v>0.471947194719472</v>
      </c>
      <c r="C126" s="389">
        <v>1.2023809523809526</v>
      </c>
    </row>
    <row r="127" spans="1:3">
      <c r="A127" s="383" t="s">
        <v>1079</v>
      </c>
      <c r="B127" s="388">
        <v>9.4527363184079505E-2</v>
      </c>
      <c r="C127" s="389">
        <v>-0.6</v>
      </c>
    </row>
    <row r="128" spans="1:3">
      <c r="A128" s="383" t="s">
        <v>1248</v>
      </c>
      <c r="B128" s="388">
        <v>-6.2893081761006275E-3</v>
      </c>
      <c r="C128" s="389">
        <v>-0.30769230769230771</v>
      </c>
    </row>
    <row r="129" spans="1:3">
      <c r="A129" s="383" t="s">
        <v>250</v>
      </c>
      <c r="B129" s="388">
        <v>0.10121697833184928</v>
      </c>
      <c r="C129" s="389">
        <v>0.12028725314183131</v>
      </c>
    </row>
    <row r="130" spans="1:3">
      <c r="A130" s="383" t="s">
        <v>730</v>
      </c>
      <c r="B130" s="388">
        <v>0.2326530612244897</v>
      </c>
      <c r="C130" s="389">
        <v>0.68181818181818188</v>
      </c>
    </row>
    <row r="131" spans="1:3">
      <c r="A131" s="383" t="s">
        <v>1188</v>
      </c>
      <c r="B131" s="388">
        <v>0.134765625</v>
      </c>
      <c r="C131" s="389">
        <v>3.2258064516129004E-2</v>
      </c>
    </row>
    <row r="132" spans="1:3">
      <c r="A132" s="383" t="s">
        <v>1292</v>
      </c>
      <c r="B132" s="388">
        <v>7.3529411764705843E-2</v>
      </c>
      <c r="C132" s="389">
        <v>0.94117647058823528</v>
      </c>
    </row>
    <row r="133" spans="1:3">
      <c r="A133" s="383" t="s">
        <v>1106</v>
      </c>
      <c r="B133" s="388">
        <v>0.25759768451519527</v>
      </c>
      <c r="C133" s="389">
        <v>-0.67346938775510212</v>
      </c>
    </row>
    <row r="134" spans="1:3">
      <c r="A134" s="383" t="s">
        <v>1322</v>
      </c>
      <c r="B134" s="388">
        <v>0.4956521739130435</v>
      </c>
      <c r="C134" s="389">
        <v>0.65517241379310343</v>
      </c>
    </row>
    <row r="135" spans="1:3">
      <c r="A135" s="383" t="s">
        <v>1180</v>
      </c>
      <c r="B135" s="388">
        <v>0.54117647058823537</v>
      </c>
      <c r="C135" s="389">
        <v>38.473684210526315</v>
      </c>
    </row>
    <row r="136" spans="1:3">
      <c r="A136" s="383" t="s">
        <v>653</v>
      </c>
      <c r="B136" s="388">
        <v>-3.4545454545454546E-2</v>
      </c>
      <c r="C136" s="389">
        <v>-0.12173913043478257</v>
      </c>
    </row>
    <row r="137" spans="1:3">
      <c r="A137" s="383" t="s">
        <v>1114</v>
      </c>
      <c r="B137" s="388">
        <v>0.1078167115902966</v>
      </c>
      <c r="C137" s="389">
        <v>-2.9411764705882359E-2</v>
      </c>
    </row>
    <row r="138" spans="1:3">
      <c r="A138" s="383" t="s">
        <v>1320</v>
      </c>
      <c r="B138" s="388">
        <v>0.34666666666666668</v>
      </c>
      <c r="C138" s="389">
        <v>-19.181818181818183</v>
      </c>
    </row>
    <row r="139" spans="1:3">
      <c r="A139" s="382" t="s">
        <v>574</v>
      </c>
      <c r="B139" s="388">
        <v>-0.1166666666666667</v>
      </c>
      <c r="C139" s="389">
        <v>-1.3829787234042552</v>
      </c>
    </row>
    <row r="140" spans="1:3">
      <c r="A140" s="383" t="s">
        <v>573</v>
      </c>
      <c r="B140" s="388">
        <v>-0.1166666666666667</v>
      </c>
      <c r="C140" s="389">
        <v>-1.3829787234042552</v>
      </c>
    </row>
    <row r="141" spans="1:3">
      <c r="A141" s="382" t="s">
        <v>867</v>
      </c>
      <c r="B141" s="388">
        <v>0.12654665314401625</v>
      </c>
      <c r="C141" s="389">
        <v>-0.35801393728222991</v>
      </c>
    </row>
    <row r="142" spans="1:3">
      <c r="A142" s="383" t="s">
        <v>866</v>
      </c>
      <c r="B142" s="388">
        <v>3.1034482758620641E-2</v>
      </c>
      <c r="C142" s="389">
        <v>-7.3170731707317027E-2</v>
      </c>
    </row>
    <row r="143" spans="1:3">
      <c r="A143" s="383" t="s">
        <v>941</v>
      </c>
      <c r="B143" s="388">
        <v>0.22205882352941186</v>
      </c>
      <c r="C143" s="389">
        <v>-0.64285714285714279</v>
      </c>
    </row>
    <row r="144" spans="1:3">
      <c r="A144" s="382" t="s">
        <v>218</v>
      </c>
      <c r="B144" s="388">
        <v>8.6309523809523725E-2</v>
      </c>
      <c r="C144" s="389">
        <v>24.008733624454148</v>
      </c>
    </row>
    <row r="145" spans="1:3">
      <c r="A145" s="383" t="s">
        <v>217</v>
      </c>
      <c r="B145" s="388">
        <v>8.6309523809523725E-2</v>
      </c>
      <c r="C145" s="389">
        <v>24.008733624454148</v>
      </c>
    </row>
    <row r="146" spans="1:3">
      <c r="A146" s="382" t="s">
        <v>224</v>
      </c>
      <c r="B146" s="388">
        <v>0.274669143255166</v>
      </c>
      <c r="C146" s="389">
        <v>0.46228528752800591</v>
      </c>
    </row>
    <row r="147" spans="1:3">
      <c r="A147" s="383" t="s">
        <v>223</v>
      </c>
      <c r="B147" s="388">
        <v>0.274669143255166</v>
      </c>
      <c r="C147" s="389">
        <v>0.46228528752800591</v>
      </c>
    </row>
    <row r="148" spans="1:3">
      <c r="A148" s="384" t="s">
        <v>187</v>
      </c>
      <c r="B148" s="388">
        <v>0.16212291158085151</v>
      </c>
      <c r="C148" s="389">
        <v>0.69546986873693273</v>
      </c>
    </row>
    <row r="149" spans="1:3">
      <c r="A149" s="382" t="s">
        <v>82</v>
      </c>
      <c r="B149" s="388">
        <v>0.15970911764079601</v>
      </c>
      <c r="C149" s="389">
        <v>6.1742351134151142E-2</v>
      </c>
    </row>
    <row r="150" spans="1:3">
      <c r="A150" s="383" t="s">
        <v>520</v>
      </c>
      <c r="B150" s="388">
        <v>0.50315457413249209</v>
      </c>
      <c r="C150" s="389">
        <v>-0.57360406091370564</v>
      </c>
    </row>
    <row r="151" spans="1:3">
      <c r="A151" s="383" t="s">
        <v>214</v>
      </c>
      <c r="B151" s="388">
        <v>0.23046548712886317</v>
      </c>
      <c r="C151" s="389">
        <v>0.25227686703096541</v>
      </c>
    </row>
    <row r="152" spans="1:3">
      <c r="A152" s="383" t="s">
        <v>230</v>
      </c>
      <c r="B152" s="388">
        <v>0.22943897044037809</v>
      </c>
      <c r="C152" s="389">
        <v>0.21452991452991443</v>
      </c>
    </row>
    <row r="153" spans="1:3">
      <c r="A153" s="383" t="s">
        <v>293</v>
      </c>
      <c r="B153" s="388">
        <v>0.21705653021442495</v>
      </c>
      <c r="C153" s="389">
        <v>0.15072202166064974</v>
      </c>
    </row>
    <row r="154" spans="1:3">
      <c r="A154" s="383" t="s">
        <v>770</v>
      </c>
      <c r="B154" s="388">
        <v>-0.55023923444976075</v>
      </c>
      <c r="C154" s="389">
        <v>-0.13652482269503541</v>
      </c>
    </row>
    <row r="155" spans="1:3">
      <c r="A155" s="383" t="s">
        <v>237</v>
      </c>
      <c r="B155" s="388">
        <v>0.32837837837837847</v>
      </c>
      <c r="C155" s="389">
        <v>0.46305418719211833</v>
      </c>
    </row>
    <row r="156" spans="1:3">
      <c r="A156" s="382" t="s">
        <v>104</v>
      </c>
      <c r="B156" s="388">
        <v>5.8992447881336729E-2</v>
      </c>
      <c r="C156" s="389">
        <v>-1.4833333333333334</v>
      </c>
    </row>
    <row r="157" spans="1:3">
      <c r="A157" s="383" t="s">
        <v>1224</v>
      </c>
      <c r="B157" s="388">
        <v>1.098901098901095E-2</v>
      </c>
      <c r="C157" s="389">
        <v>-2.666666666666667</v>
      </c>
    </row>
    <row r="158" spans="1:3">
      <c r="A158" s="383" t="s">
        <v>1150</v>
      </c>
      <c r="B158" s="388">
        <v>0.10699588477366251</v>
      </c>
      <c r="C158" s="389">
        <v>-0.30000000000000004</v>
      </c>
    </row>
    <row r="159" spans="1:3">
      <c r="A159" s="382" t="s">
        <v>312</v>
      </c>
      <c r="B159" s="388">
        <v>0.17988458245179215</v>
      </c>
      <c r="C159" s="389">
        <v>2.0486021298929122</v>
      </c>
    </row>
    <row r="160" spans="1:3">
      <c r="A160" s="383" t="s">
        <v>634</v>
      </c>
      <c r="B160" s="388">
        <v>4.2176039119804498E-2</v>
      </c>
      <c r="C160" s="389">
        <v>-0.53020134228187921</v>
      </c>
    </row>
    <row r="161" spans="1:3">
      <c r="A161" s="383" t="s">
        <v>549</v>
      </c>
      <c r="B161" s="388">
        <v>0.11654804270462638</v>
      </c>
      <c r="C161" s="389">
        <v>-4.8076923076923128E-2</v>
      </c>
    </row>
    <row r="162" spans="1:3">
      <c r="A162" s="383" t="s">
        <v>842</v>
      </c>
      <c r="B162" s="388">
        <v>0.18389553862894448</v>
      </c>
      <c r="C162" s="389">
        <v>0.21212121212121215</v>
      </c>
    </row>
    <row r="163" spans="1:3">
      <c r="A163" s="383" t="s">
        <v>1148</v>
      </c>
      <c r="B163" s="388">
        <v>6.0377358490566024E-2</v>
      </c>
      <c r="C163" s="389">
        <v>-2.5641025641025661E-2</v>
      </c>
    </row>
    <row r="164" spans="1:3">
      <c r="A164" s="383" t="s">
        <v>822</v>
      </c>
      <c r="B164" s="388">
        <v>0.235759493670886</v>
      </c>
      <c r="C164" s="389">
        <v>1.8333333333333335</v>
      </c>
    </row>
    <row r="165" spans="1:3">
      <c r="A165" s="383" t="s">
        <v>616</v>
      </c>
      <c r="B165" s="388">
        <v>8.0332409972299068E-2</v>
      </c>
      <c r="C165" s="389">
        <v>0.20999999999999996</v>
      </c>
    </row>
    <row r="166" spans="1:3">
      <c r="A166" s="383" t="s">
        <v>329</v>
      </c>
      <c r="B166" s="388">
        <v>0.24949640287769781</v>
      </c>
      <c r="C166" s="389">
        <v>0.28301886792452824</v>
      </c>
    </row>
    <row r="167" spans="1:3">
      <c r="A167" s="383" t="s">
        <v>311</v>
      </c>
      <c r="B167" s="388">
        <v>9.4170403587443996E-2</v>
      </c>
      <c r="C167" s="389">
        <v>0.17777777777777781</v>
      </c>
    </row>
    <row r="168" spans="1:3">
      <c r="A168" s="383" t="s">
        <v>1163</v>
      </c>
      <c r="B168" s="388">
        <v>0.27008928571428581</v>
      </c>
      <c r="C168" s="389">
        <v>1</v>
      </c>
    </row>
    <row r="169" spans="1:3">
      <c r="A169" s="383" t="s">
        <v>600</v>
      </c>
      <c r="B169" s="388">
        <v>0.1341868183973447</v>
      </c>
      <c r="C169" s="389">
        <v>0.10869565217391308</v>
      </c>
    </row>
    <row r="170" spans="1:3">
      <c r="A170" s="383" t="s">
        <v>591</v>
      </c>
      <c r="B170" s="388">
        <v>0.30520304568527923</v>
      </c>
      <c r="C170" s="389">
        <v>7.9166666666666661</v>
      </c>
    </row>
    <row r="171" spans="1:3">
      <c r="A171" s="383" t="s">
        <v>451</v>
      </c>
      <c r="B171" s="388">
        <v>0.26197971318642876</v>
      </c>
      <c r="C171" s="389">
        <v>0.20652173913043481</v>
      </c>
    </row>
    <row r="172" spans="1:3">
      <c r="A172" s="383" t="s">
        <v>504</v>
      </c>
      <c r="B172" s="388">
        <v>4.5805327358725334E-2</v>
      </c>
      <c r="C172" s="389">
        <v>0.23417721518987333</v>
      </c>
    </row>
    <row r="173" spans="1:3">
      <c r="A173" s="383" t="s">
        <v>1262</v>
      </c>
      <c r="B173" s="388">
        <v>0.14318706697459582</v>
      </c>
      <c r="C173" s="389">
        <v>0</v>
      </c>
    </row>
    <row r="174" spans="1:3">
      <c r="A174" s="383" t="s">
        <v>953</v>
      </c>
      <c r="B174" s="388">
        <v>0.16101694915254239</v>
      </c>
      <c r="C174" s="389">
        <v>0.34042553191489366</v>
      </c>
    </row>
    <row r="175" spans="1:3">
      <c r="A175" s="383" t="s">
        <v>667</v>
      </c>
      <c r="B175" s="388">
        <v>0.15944881889763773</v>
      </c>
      <c r="C175" s="389">
        <v>-9.9999999999999978E-2</v>
      </c>
    </row>
    <row r="176" spans="1:3">
      <c r="A176" s="383" t="s">
        <v>955</v>
      </c>
      <c r="B176" s="388">
        <v>0.18683274021352303</v>
      </c>
      <c r="C176" s="389">
        <v>0.34883720930232553</v>
      </c>
    </row>
    <row r="177" spans="1:3">
      <c r="A177" s="383" t="s">
        <v>706</v>
      </c>
      <c r="B177" s="388">
        <v>0.15616045845272208</v>
      </c>
      <c r="C177" s="389">
        <v>7.1428571428571397E-2</v>
      </c>
    </row>
    <row r="178" spans="1:3">
      <c r="A178" s="383" t="s">
        <v>1059</v>
      </c>
      <c r="B178" s="388">
        <v>0.15059221658206434</v>
      </c>
      <c r="C178" s="389">
        <v>0.25</v>
      </c>
    </row>
    <row r="179" spans="1:3">
      <c r="A179" s="383" t="s">
        <v>933</v>
      </c>
      <c r="B179" s="388">
        <v>0.20710059171597628</v>
      </c>
      <c r="C179" s="389">
        <v>0.17333333333333334</v>
      </c>
    </row>
    <row r="180" spans="1:3">
      <c r="A180" s="383" t="s">
        <v>738</v>
      </c>
      <c r="B180" s="388">
        <v>0.40331491712707179</v>
      </c>
      <c r="C180" s="389">
        <v>0.9285714285714286</v>
      </c>
    </row>
    <row r="181" spans="1:3">
      <c r="A181" s="383" t="s">
        <v>961</v>
      </c>
      <c r="B181" s="388">
        <v>0.18602029312288604</v>
      </c>
      <c r="C181" s="389">
        <v>0.39393939393939403</v>
      </c>
    </row>
    <row r="182" spans="1:3">
      <c r="A182" s="383" t="s">
        <v>701</v>
      </c>
      <c r="B182" s="388">
        <v>0.2460063897763578</v>
      </c>
      <c r="C182" s="389">
        <v>0.3125</v>
      </c>
    </row>
    <row r="183" spans="1:3">
      <c r="A183" s="383" t="s">
        <v>586</v>
      </c>
      <c r="B183" s="388">
        <v>0.25521739130434784</v>
      </c>
      <c r="C183" s="389">
        <v>6.4285714285714279E-2</v>
      </c>
    </row>
    <row r="184" spans="1:3">
      <c r="A184" s="383" t="s">
        <v>1201</v>
      </c>
      <c r="B184" s="388">
        <v>0.18478260869565211</v>
      </c>
      <c r="C184" s="389">
        <v>0.31818181818181812</v>
      </c>
    </row>
    <row r="185" spans="1:3">
      <c r="A185" s="383" t="s">
        <v>874</v>
      </c>
      <c r="B185" s="388">
        <v>0.6558441558441559</v>
      </c>
      <c r="C185" s="389">
        <v>0.56097560975609762</v>
      </c>
    </row>
    <row r="186" spans="1:3">
      <c r="A186" s="383" t="s">
        <v>1275</v>
      </c>
      <c r="B186" s="388">
        <v>0.3853211009174311</v>
      </c>
      <c r="C186" s="389">
        <v>1.2222222222222223</v>
      </c>
    </row>
    <row r="187" spans="1:3">
      <c r="A187" s="383" t="s">
        <v>775</v>
      </c>
      <c r="B187" s="388">
        <v>2.329916123019582E-2</v>
      </c>
      <c r="C187" s="389">
        <v>-0.35</v>
      </c>
    </row>
    <row r="188" spans="1:3">
      <c r="A188" s="383" t="s">
        <v>1255</v>
      </c>
      <c r="B188" s="388">
        <v>0.21266427718040615</v>
      </c>
      <c r="C188" s="389">
        <v>78.487179487179489</v>
      </c>
    </row>
    <row r="189" spans="1:3">
      <c r="A189" s="383" t="s">
        <v>1086</v>
      </c>
      <c r="B189" s="388">
        <v>5.7915057915058021E-2</v>
      </c>
      <c r="C189" s="389">
        <v>1.35</v>
      </c>
    </row>
    <row r="190" spans="1:3">
      <c r="A190" s="383" t="s">
        <v>334</v>
      </c>
      <c r="B190" s="388">
        <v>0.13529241668473935</v>
      </c>
      <c r="C190" s="389">
        <v>8.9430894308943021E-2</v>
      </c>
    </row>
    <row r="191" spans="1:3">
      <c r="A191" s="383" t="s">
        <v>1149</v>
      </c>
      <c r="B191" s="388">
        <v>0.21685508735868453</v>
      </c>
      <c r="C191" s="389">
        <v>0.13793103448275867</v>
      </c>
    </row>
    <row r="192" spans="1:3">
      <c r="A192" s="383" t="s">
        <v>666</v>
      </c>
      <c r="B192" s="388">
        <v>0.24759284731774422</v>
      </c>
      <c r="C192" s="389">
        <v>0.25454545454545463</v>
      </c>
    </row>
    <row r="193" spans="1:3">
      <c r="A193" s="383" t="s">
        <v>367</v>
      </c>
      <c r="B193" s="388">
        <v>0.27528089887640439</v>
      </c>
      <c r="C193" s="389">
        <v>0.35864978902953593</v>
      </c>
    </row>
    <row r="194" spans="1:3">
      <c r="A194" s="383" t="s">
        <v>979</v>
      </c>
      <c r="B194" s="388">
        <v>0.27866473149492021</v>
      </c>
      <c r="C194" s="389">
        <v>8.0000000000000071E-2</v>
      </c>
    </row>
    <row r="195" spans="1:3">
      <c r="A195" s="383" t="s">
        <v>680</v>
      </c>
      <c r="B195" s="388">
        <v>0.20779220779220786</v>
      </c>
      <c r="C195" s="389">
        <v>4.1666666666666741E-2</v>
      </c>
    </row>
    <row r="196" spans="1:3">
      <c r="A196" s="383" t="s">
        <v>823</v>
      </c>
      <c r="B196" s="388">
        <v>-0.54140127388535031</v>
      </c>
      <c r="C196" s="389">
        <v>-0.43119266055045868</v>
      </c>
    </row>
    <row r="197" spans="1:3">
      <c r="A197" s="383" t="s">
        <v>477</v>
      </c>
      <c r="B197" s="388">
        <v>0.38292964244521333</v>
      </c>
      <c r="C197" s="389">
        <v>0</v>
      </c>
    </row>
    <row r="198" spans="1:3">
      <c r="A198" s="383" t="s">
        <v>1123</v>
      </c>
      <c r="B198" s="388">
        <v>0.22905027932960897</v>
      </c>
      <c r="C198" s="389">
        <v>-2.1276595744680882E-2</v>
      </c>
    </row>
    <row r="199" spans="1:3">
      <c r="A199" s="383" t="s">
        <v>1140</v>
      </c>
      <c r="B199" s="388">
        <v>-5.2930056710774998E-2</v>
      </c>
      <c r="C199" s="389">
        <v>0.18181818181818188</v>
      </c>
    </row>
    <row r="200" spans="1:3">
      <c r="A200" s="383" t="s">
        <v>601</v>
      </c>
      <c r="B200" s="388">
        <v>6.9396252602359487E-2</v>
      </c>
      <c r="C200" s="389">
        <v>0</v>
      </c>
    </row>
    <row r="201" spans="1:3">
      <c r="A201" s="383" t="s">
        <v>942</v>
      </c>
      <c r="B201" s="388">
        <v>0.17689530685920585</v>
      </c>
      <c r="C201" s="389">
        <v>-0.63636363636363635</v>
      </c>
    </row>
    <row r="202" spans="1:3">
      <c r="A202" s="383" t="s">
        <v>408</v>
      </c>
      <c r="B202" s="388">
        <v>0.20552784704904403</v>
      </c>
      <c r="C202" s="389">
        <v>-3.5714285714285587E-3</v>
      </c>
    </row>
    <row r="203" spans="1:3">
      <c r="A203" s="383" t="s">
        <v>1285</v>
      </c>
      <c r="B203" s="388">
        <v>0.35096153846153855</v>
      </c>
      <c r="C203" s="389">
        <v>0.73684210526315796</v>
      </c>
    </row>
    <row r="204" spans="1:3">
      <c r="A204" s="383" t="s">
        <v>362</v>
      </c>
      <c r="B204" s="388">
        <v>0.19933078393881454</v>
      </c>
      <c r="C204" s="389">
        <v>0.18110236220472431</v>
      </c>
    </row>
    <row r="205" spans="1:3">
      <c r="A205" s="383" t="s">
        <v>838</v>
      </c>
      <c r="B205" s="388">
        <v>0.10216867469879509</v>
      </c>
      <c r="C205" s="389">
        <v>-0.75555555555555554</v>
      </c>
    </row>
    <row r="206" spans="1:3">
      <c r="A206" s="383" t="s">
        <v>501</v>
      </c>
      <c r="B206" s="388">
        <v>0.11642411642411643</v>
      </c>
      <c r="C206" s="389">
        <v>0.12000000000000011</v>
      </c>
    </row>
    <row r="207" spans="1:3">
      <c r="A207" s="382" t="s">
        <v>115</v>
      </c>
      <c r="B207" s="388">
        <v>0.27523809523809528</v>
      </c>
      <c r="C207" s="389">
        <v>-0.4104166666666666</v>
      </c>
    </row>
    <row r="208" spans="1:3">
      <c r="A208" s="383" t="s">
        <v>645</v>
      </c>
      <c r="B208" s="388">
        <v>2.8571428571428914E-3</v>
      </c>
      <c r="C208" s="389">
        <v>0.16250000000000009</v>
      </c>
    </row>
    <row r="209" spans="1:3">
      <c r="A209" s="383" t="s">
        <v>1308</v>
      </c>
      <c r="B209" s="388">
        <v>0.54761904761904767</v>
      </c>
      <c r="C209" s="389">
        <v>-0.98333333333333328</v>
      </c>
    </row>
    <row r="210" spans="1:3">
      <c r="A210" s="382" t="s">
        <v>111</v>
      </c>
      <c r="B210" s="388">
        <v>0.20800514096370684</v>
      </c>
      <c r="C210" s="389">
        <v>0.35353939070965446</v>
      </c>
    </row>
    <row r="211" spans="1:3">
      <c r="A211" s="383" t="s">
        <v>385</v>
      </c>
      <c r="B211" s="388">
        <v>2.0855256864058092E-2</v>
      </c>
      <c r="C211" s="389">
        <v>0.4814814814814814</v>
      </c>
    </row>
    <row r="212" spans="1:3">
      <c r="A212" s="383" t="s">
        <v>336</v>
      </c>
      <c r="B212" s="388">
        <v>0.14297402331765197</v>
      </c>
      <c r="C212" s="389">
        <v>7.9136690647481966E-2</v>
      </c>
    </row>
    <row r="213" spans="1:3">
      <c r="A213" s="383" t="s">
        <v>608</v>
      </c>
      <c r="B213" s="388">
        <v>0.4601861427094105</v>
      </c>
      <c r="C213" s="389">
        <v>0.5</v>
      </c>
    </row>
    <row r="214" spans="1:3">
      <c r="A214" s="382" t="s">
        <v>785</v>
      </c>
      <c r="B214" s="388">
        <v>-0.2415730337078652</v>
      </c>
      <c r="C214" s="389">
        <v>-0.38461538461538458</v>
      </c>
    </row>
    <row r="215" spans="1:3">
      <c r="A215" s="383" t="s">
        <v>784</v>
      </c>
      <c r="B215" s="388">
        <v>-0.2415730337078652</v>
      </c>
      <c r="C215" s="389">
        <v>-0.38461538461538458</v>
      </c>
    </row>
    <row r="216" spans="1:3">
      <c r="A216" s="382" t="s">
        <v>84</v>
      </c>
      <c r="B216" s="388">
        <v>0.10060353846558705</v>
      </c>
      <c r="C216" s="389">
        <v>-4.2674453242986243E-2</v>
      </c>
    </row>
    <row r="217" spans="1:3">
      <c r="A217" s="383" t="s">
        <v>227</v>
      </c>
      <c r="B217" s="388">
        <v>0.13323315802654645</v>
      </c>
      <c r="C217" s="389">
        <v>0.1839557399723375</v>
      </c>
    </row>
    <row r="218" spans="1:3">
      <c r="A218" s="383" t="s">
        <v>1072</v>
      </c>
      <c r="B218" s="388">
        <v>7.4833702882483477E-2</v>
      </c>
      <c r="C218" s="389">
        <v>-0.12121212121212122</v>
      </c>
    </row>
    <row r="219" spans="1:3">
      <c r="A219" s="383" t="s">
        <v>1112</v>
      </c>
      <c r="B219" s="388">
        <v>2.6831036983321344E-2</v>
      </c>
      <c r="C219" s="389">
        <v>-0.69230769230769229</v>
      </c>
    </row>
    <row r="220" spans="1:3">
      <c r="A220" s="383" t="s">
        <v>407</v>
      </c>
      <c r="B220" s="388">
        <v>0.17065390749601272</v>
      </c>
      <c r="C220" s="389">
        <v>0.19083969465648853</v>
      </c>
    </row>
    <row r="221" spans="1:3">
      <c r="A221" s="383" t="s">
        <v>1022</v>
      </c>
      <c r="B221" s="388">
        <v>9.7465886939571256E-2</v>
      </c>
      <c r="C221" s="389">
        <v>0.22535211267605626</v>
      </c>
    </row>
    <row r="222" spans="1:3">
      <c r="A222" s="382" t="s">
        <v>133</v>
      </c>
      <c r="B222" s="388">
        <v>0.19377990430622005</v>
      </c>
      <c r="C222" s="389">
        <v>0.21311475409836067</v>
      </c>
    </row>
    <row r="223" spans="1:3">
      <c r="A223" s="383" t="s">
        <v>1009</v>
      </c>
      <c r="B223" s="388">
        <v>0.19377990430622005</v>
      </c>
      <c r="C223" s="389">
        <v>0.21311475409836067</v>
      </c>
    </row>
    <row r="224" spans="1:3">
      <c r="A224" s="382" t="s">
        <v>1218</v>
      </c>
      <c r="B224" s="388">
        <v>0.15714854639585818</v>
      </c>
      <c r="C224" s="389">
        <v>9.9837662337662336E-2</v>
      </c>
    </row>
    <row r="225" spans="1:3">
      <c r="A225" s="383" t="s">
        <v>1217</v>
      </c>
      <c r="B225" s="388">
        <v>-2.1505376344086002E-2</v>
      </c>
      <c r="C225" s="389">
        <v>-0.125</v>
      </c>
    </row>
    <row r="226" spans="1:3">
      <c r="A226" s="383" t="s">
        <v>1330</v>
      </c>
      <c r="B226" s="388">
        <v>0.33580246913580236</v>
      </c>
      <c r="C226" s="389">
        <v>0.32467532467532467</v>
      </c>
    </row>
    <row r="227" spans="1:3">
      <c r="A227" s="382" t="s">
        <v>120</v>
      </c>
      <c r="B227" s="388">
        <v>0.532871177326118</v>
      </c>
      <c r="C227" s="389">
        <v>0.79925867493165603</v>
      </c>
    </row>
    <row r="228" spans="1:3">
      <c r="A228" s="383" t="s">
        <v>761</v>
      </c>
      <c r="B228" s="388">
        <v>0.11556169429097607</v>
      </c>
      <c r="C228" s="389">
        <v>1.7142857142857144</v>
      </c>
    </row>
    <row r="229" spans="1:3">
      <c r="A229" s="383" t="s">
        <v>820</v>
      </c>
      <c r="B229" s="388">
        <v>0.1875</v>
      </c>
      <c r="C229" s="389">
        <v>0.35555555555555562</v>
      </c>
    </row>
    <row r="230" spans="1:3">
      <c r="A230" s="383" t="s">
        <v>229</v>
      </c>
      <c r="B230" s="388">
        <v>2.0185013876040703</v>
      </c>
      <c r="C230" s="389">
        <v>0.72881355932203395</v>
      </c>
    </row>
    <row r="231" spans="1:3">
      <c r="A231" s="383" t="s">
        <v>348</v>
      </c>
      <c r="B231" s="388">
        <v>0.26731363034847822</v>
      </c>
      <c r="C231" s="389">
        <v>1.6153846153846154</v>
      </c>
    </row>
    <row r="232" spans="1:3">
      <c r="A232" s="383" t="s">
        <v>1067</v>
      </c>
      <c r="B232" s="388">
        <v>4.4247787610619538E-2</v>
      </c>
      <c r="C232" s="389">
        <v>-4.705882352941182E-2</v>
      </c>
    </row>
    <row r="233" spans="1:3">
      <c r="A233" s="383" t="s">
        <v>371</v>
      </c>
      <c r="B233" s="388">
        <v>0.5641025641025641</v>
      </c>
      <c r="C233" s="389">
        <v>0.4285714285714286</v>
      </c>
    </row>
    <row r="234" spans="1:3">
      <c r="A234" s="382" t="s">
        <v>772</v>
      </c>
      <c r="B234" s="388">
        <v>8.3205789799226174E-2</v>
      </c>
      <c r="C234" s="389">
        <v>-9.5238095238095191E-2</v>
      </c>
    </row>
    <row r="235" spans="1:3">
      <c r="A235" s="383" t="s">
        <v>1332</v>
      </c>
      <c r="B235" s="388">
        <v>0.30232558139534893</v>
      </c>
      <c r="C235" s="389">
        <v>1</v>
      </c>
    </row>
    <row r="236" spans="1:3">
      <c r="A236" s="383" t="s">
        <v>1331</v>
      </c>
      <c r="B236" s="388">
        <v>-0.1470588235294118</v>
      </c>
      <c r="C236" s="389">
        <v>-3</v>
      </c>
    </row>
    <row r="237" spans="1:3">
      <c r="A237" s="383" t="s">
        <v>771</v>
      </c>
      <c r="B237" s="388">
        <v>9.4350611531741402E-2</v>
      </c>
      <c r="C237" s="389">
        <v>1.7142857142857144</v>
      </c>
    </row>
    <row r="238" spans="1:3">
      <c r="A238" s="382" t="s">
        <v>506</v>
      </c>
      <c r="B238" s="388">
        <v>0.10324914707658932</v>
      </c>
      <c r="C238" s="389">
        <v>0.21704120957371043</v>
      </c>
    </row>
    <row r="239" spans="1:3">
      <c r="A239" s="383" t="s">
        <v>779</v>
      </c>
      <c r="B239" s="388">
        <v>2.8322440087146017E-2</v>
      </c>
      <c r="C239" s="389">
        <v>0.13793103448275867</v>
      </c>
    </row>
    <row r="240" spans="1:3">
      <c r="A240" s="383" t="s">
        <v>853</v>
      </c>
      <c r="B240" s="388">
        <v>0.14368932038834958</v>
      </c>
      <c r="C240" s="389">
        <v>0.39130434782608692</v>
      </c>
    </row>
    <row r="241" spans="1:3">
      <c r="A241" s="383" t="s">
        <v>505</v>
      </c>
      <c r="B241" s="388">
        <v>0.15362731152204834</v>
      </c>
      <c r="C241" s="389">
        <v>0.31313131313131315</v>
      </c>
    </row>
    <row r="242" spans="1:3">
      <c r="A242" s="383" t="s">
        <v>915</v>
      </c>
      <c r="B242" s="388">
        <v>0.18910741301059009</v>
      </c>
      <c r="C242" s="389">
        <v>0.42465753424657526</v>
      </c>
    </row>
    <row r="243" spans="1:3">
      <c r="A243" s="383" t="s">
        <v>836</v>
      </c>
      <c r="B243" s="388">
        <v>1.4992503748125774E-3</v>
      </c>
      <c r="C243" s="389">
        <v>-0.18181818181818177</v>
      </c>
    </row>
    <row r="244" spans="1:3">
      <c r="A244" s="382" t="s">
        <v>938</v>
      </c>
      <c r="B244" s="388">
        <v>-2.0968528187686908E-2</v>
      </c>
      <c r="C244" s="389">
        <v>0.79795396419437337</v>
      </c>
    </row>
    <row r="245" spans="1:3">
      <c r="A245" s="383" t="s">
        <v>1012</v>
      </c>
      <c r="B245" s="388">
        <v>-0.15258855585831066</v>
      </c>
      <c r="C245" s="389">
        <v>-0.52173913043478259</v>
      </c>
    </row>
    <row r="246" spans="1:3">
      <c r="A246" s="383" t="s">
        <v>937</v>
      </c>
      <c r="B246" s="388">
        <v>0.11065149948293684</v>
      </c>
      <c r="C246" s="389">
        <v>2.1176470588235294</v>
      </c>
    </row>
    <row r="247" spans="1:3">
      <c r="A247" s="382" t="s">
        <v>96</v>
      </c>
      <c r="B247" s="388">
        <v>5.037458276863914E-2</v>
      </c>
      <c r="C247" s="389">
        <v>-0.20808469832054738</v>
      </c>
    </row>
    <row r="248" spans="1:3">
      <c r="A248" s="383" t="s">
        <v>807</v>
      </c>
      <c r="B248" s="388">
        <v>0.13595021541407371</v>
      </c>
      <c r="C248" s="389">
        <v>-4.7169811320754707E-2</v>
      </c>
    </row>
    <row r="249" spans="1:3">
      <c r="A249" s="383" t="s">
        <v>1271</v>
      </c>
      <c r="B249" s="388">
        <v>0.18918918918918926</v>
      </c>
      <c r="C249" s="389">
        <v>0.32352941176470584</v>
      </c>
    </row>
    <row r="250" spans="1:3">
      <c r="A250" s="383" t="s">
        <v>1005</v>
      </c>
      <c r="B250" s="388">
        <v>-9.1185410334346795E-3</v>
      </c>
      <c r="C250" s="389">
        <v>-0.72</v>
      </c>
    </row>
    <row r="251" spans="1:3">
      <c r="A251" s="383" t="s">
        <v>1145</v>
      </c>
      <c r="B251" s="388">
        <v>0.18039215686274512</v>
      </c>
      <c r="C251" s="389">
        <v>0.42307692307692313</v>
      </c>
    </row>
    <row r="252" spans="1:3">
      <c r="A252" s="383" t="s">
        <v>1105</v>
      </c>
      <c r="B252" s="388">
        <v>-0.34420289855072461</v>
      </c>
      <c r="C252" s="389">
        <v>-1.425</v>
      </c>
    </row>
    <row r="253" spans="1:3">
      <c r="A253" s="383" t="s">
        <v>467</v>
      </c>
      <c r="B253" s="388">
        <v>5.5597867479055596E-2</v>
      </c>
      <c r="C253" s="389">
        <v>-7.3529411764705843E-2</v>
      </c>
    </row>
    <row r="254" spans="1:3">
      <c r="A254" s="383" t="s">
        <v>884</v>
      </c>
      <c r="B254" s="388">
        <v>0.14481409001956957</v>
      </c>
      <c r="C254" s="389">
        <v>6.25E-2</v>
      </c>
    </row>
    <row r="255" spans="1:3">
      <c r="A255" s="382" t="s">
        <v>70</v>
      </c>
      <c r="B255" s="388">
        <v>0.46782400184409578</v>
      </c>
      <c r="C255" s="389">
        <v>1.2014145173032438</v>
      </c>
    </row>
    <row r="256" spans="1:3">
      <c r="A256" s="383" t="s">
        <v>1196</v>
      </c>
      <c r="B256" s="388">
        <v>0.12626728110599084</v>
      </c>
      <c r="C256" s="389">
        <v>0.97297297297297303</v>
      </c>
    </row>
    <row r="257" spans="1:3">
      <c r="A257" s="383" t="s">
        <v>924</v>
      </c>
      <c r="B257" s="388">
        <v>0.26829268292682928</v>
      </c>
      <c r="C257" s="389">
        <v>3.4482758620689724E-2</v>
      </c>
    </row>
    <row r="258" spans="1:3">
      <c r="A258" s="383" t="s">
        <v>1066</v>
      </c>
      <c r="B258" s="388">
        <v>0.14336917562724016</v>
      </c>
      <c r="C258" s="389">
        <v>0.38775510204081631</v>
      </c>
    </row>
    <row r="259" spans="1:3">
      <c r="A259" s="383" t="s">
        <v>439</v>
      </c>
      <c r="B259" s="388">
        <v>0.42113217917010171</v>
      </c>
      <c r="C259" s="389">
        <v>0.90825688073394506</v>
      </c>
    </row>
    <row r="260" spans="1:3">
      <c r="A260" s="383" t="s">
        <v>1154</v>
      </c>
      <c r="B260" s="388">
        <v>0.26271186440677963</v>
      </c>
      <c r="C260" s="389">
        <v>-0.19148936170212771</v>
      </c>
    </row>
    <row r="261" spans="1:3">
      <c r="A261" s="383" t="s">
        <v>875</v>
      </c>
      <c r="B261" s="388">
        <v>0.35605749486652982</v>
      </c>
      <c r="C261" s="389">
        <v>0.97674418604651159</v>
      </c>
    </row>
    <row r="262" spans="1:3">
      <c r="A262" s="383" t="s">
        <v>859</v>
      </c>
      <c r="B262" s="388">
        <v>0.36932707355242567</v>
      </c>
      <c r="C262" s="389">
        <v>0.29251700680272119</v>
      </c>
    </row>
    <row r="263" spans="1:3">
      <c r="A263" s="383" t="s">
        <v>1040</v>
      </c>
      <c r="B263" s="388">
        <v>1.4346812303100647</v>
      </c>
      <c r="C263" s="389">
        <v>1.0285714285714285</v>
      </c>
    </row>
    <row r="264" spans="1:3">
      <c r="A264" s="383" t="s">
        <v>985</v>
      </c>
      <c r="B264" s="388">
        <v>0.50122249388753048</v>
      </c>
      <c r="C264" s="389">
        <v>7</v>
      </c>
    </row>
    <row r="265" spans="1:3">
      <c r="A265" s="383" t="s">
        <v>970</v>
      </c>
      <c r="B265" s="388">
        <v>0.77231695085255758</v>
      </c>
      <c r="C265" s="389">
        <v>1.2222222222222223</v>
      </c>
    </row>
    <row r="266" spans="1:3">
      <c r="A266" s="383" t="s">
        <v>721</v>
      </c>
      <c r="B266" s="388">
        <v>1.1229000884173299</v>
      </c>
      <c r="C266" s="389">
        <v>1.1666666666666665</v>
      </c>
    </row>
    <row r="267" spans="1:3">
      <c r="A267" s="383" t="s">
        <v>1168</v>
      </c>
      <c r="B267" s="388">
        <v>0.26050420168067223</v>
      </c>
      <c r="C267" s="389">
        <v>2</v>
      </c>
    </row>
    <row r="268" spans="1:3">
      <c r="A268" s="383" t="s">
        <v>193</v>
      </c>
      <c r="B268" s="388">
        <v>0.41965811965811972</v>
      </c>
      <c r="C268" s="389">
        <v>0.60840496657115573</v>
      </c>
    </row>
    <row r="269" spans="1:3">
      <c r="A269" s="383" t="s">
        <v>1075</v>
      </c>
      <c r="B269" s="388">
        <v>9.1095189355168804E-2</v>
      </c>
      <c r="C269" s="389">
        <v>0.41269841269841279</v>
      </c>
    </row>
    <row r="270" spans="1:3">
      <c r="A270" s="382" t="s">
        <v>1261</v>
      </c>
      <c r="B270" s="388">
        <v>-7.6923076923076872E-2</v>
      </c>
      <c r="C270" s="389">
        <v>4.3478260869565188E-2</v>
      </c>
    </row>
    <row r="271" spans="1:3">
      <c r="A271" s="383" t="s">
        <v>1260</v>
      </c>
      <c r="B271" s="388">
        <v>-7.6923076923076872E-2</v>
      </c>
      <c r="C271" s="389">
        <v>4.3478260869565188E-2</v>
      </c>
    </row>
    <row r="272" spans="1:3">
      <c r="A272" s="382" t="s">
        <v>1176</v>
      </c>
      <c r="B272" s="388">
        <v>-0.14826951822467516</v>
      </c>
      <c r="C272" s="389">
        <v>-0.19285714285714289</v>
      </c>
    </row>
    <row r="273" spans="1:3">
      <c r="A273" s="383" t="s">
        <v>1333</v>
      </c>
      <c r="B273" s="388">
        <v>0.10256410256410264</v>
      </c>
      <c r="C273" s="389">
        <v>0.21428571428571419</v>
      </c>
    </row>
    <row r="274" spans="1:3">
      <c r="A274" s="383" t="s">
        <v>1175</v>
      </c>
      <c r="B274" s="388">
        <v>-0.39910313901345296</v>
      </c>
      <c r="C274" s="389">
        <v>-0.6</v>
      </c>
    </row>
    <row r="275" spans="1:3">
      <c r="A275" s="382" t="s">
        <v>78</v>
      </c>
      <c r="B275" s="388">
        <v>0.17169395788994607</v>
      </c>
      <c r="C275" s="389">
        <v>0.52698092754583392</v>
      </c>
    </row>
    <row r="276" spans="1:3">
      <c r="A276" s="383" t="s">
        <v>1206</v>
      </c>
      <c r="B276" s="388">
        <v>0.12290502793296088</v>
      </c>
      <c r="C276" s="389">
        <v>-0.25</v>
      </c>
    </row>
    <row r="277" spans="1:3">
      <c r="A277" s="383" t="s">
        <v>609</v>
      </c>
      <c r="B277" s="388">
        <v>0.27133479212253819</v>
      </c>
      <c r="C277" s="389">
        <v>0.29166666666666674</v>
      </c>
    </row>
    <row r="278" spans="1:3">
      <c r="A278" s="383" t="s">
        <v>576</v>
      </c>
      <c r="B278" s="388">
        <v>9.1250000000000053E-2</v>
      </c>
      <c r="C278" s="389">
        <v>-8.6021505376344121E-2</v>
      </c>
    </row>
    <row r="279" spans="1:3">
      <c r="A279" s="383" t="s">
        <v>1028</v>
      </c>
      <c r="B279" s="388">
        <v>0.2348993288590604</v>
      </c>
      <c r="C279" s="389">
        <v>0.39999999999999991</v>
      </c>
    </row>
    <row r="280" spans="1:3">
      <c r="A280" s="383" t="s">
        <v>323</v>
      </c>
      <c r="B280" s="388">
        <v>0.12159494670351356</v>
      </c>
      <c r="C280" s="389">
        <v>0.509493670886076</v>
      </c>
    </row>
    <row r="281" spans="1:3">
      <c r="A281" s="383" t="s">
        <v>460</v>
      </c>
      <c r="B281" s="388">
        <v>0.21280788177339893</v>
      </c>
      <c r="C281" s="389">
        <v>9.7222222222222321E-2</v>
      </c>
    </row>
    <row r="282" spans="1:3">
      <c r="A282" s="383" t="s">
        <v>1006</v>
      </c>
      <c r="B282" s="388">
        <v>0.17063492063492069</v>
      </c>
      <c r="C282" s="389">
        <v>1.03125</v>
      </c>
    </row>
    <row r="283" spans="1:3">
      <c r="A283" s="383" t="s">
        <v>650</v>
      </c>
      <c r="B283" s="388">
        <v>0.23513513513513518</v>
      </c>
      <c r="C283" s="389">
        <v>1.625</v>
      </c>
    </row>
    <row r="284" spans="1:3">
      <c r="A284" s="383" t="s">
        <v>811</v>
      </c>
      <c r="B284" s="388">
        <v>0.14366197183098595</v>
      </c>
      <c r="C284" s="389">
        <v>2.5316455696202445E-2</v>
      </c>
    </row>
    <row r="285" spans="1:3">
      <c r="A285" s="383" t="s">
        <v>958</v>
      </c>
      <c r="B285" s="388">
        <v>0.10914454277286145</v>
      </c>
      <c r="C285" s="389">
        <v>-0.97142857142857142</v>
      </c>
    </row>
    <row r="286" spans="1:3">
      <c r="A286" s="383" t="s">
        <v>1093</v>
      </c>
      <c r="B286" s="388">
        <v>0.15410958904109595</v>
      </c>
      <c r="C286" s="389">
        <v>1.1818181818181817</v>
      </c>
    </row>
    <row r="287" spans="1:3">
      <c r="A287" s="383" t="s">
        <v>1272</v>
      </c>
      <c r="B287" s="388">
        <v>7.9365079365079305E-2</v>
      </c>
      <c r="C287" s="389">
        <v>-0.12121212121212122</v>
      </c>
    </row>
    <row r="288" spans="1:3">
      <c r="A288" s="383" t="s">
        <v>619</v>
      </c>
      <c r="B288" s="388">
        <v>0.28517823639774864</v>
      </c>
      <c r="C288" s="389">
        <v>3.117647058823529</v>
      </c>
    </row>
    <row r="289" spans="1:3">
      <c r="A289" s="382" t="s">
        <v>93</v>
      </c>
      <c r="B289" s="388">
        <v>5.7412960752384182E-2</v>
      </c>
      <c r="C289" s="389">
        <v>-0.33263110206287261</v>
      </c>
    </row>
    <row r="290" spans="1:3">
      <c r="A290" s="383" t="s">
        <v>515</v>
      </c>
      <c r="B290" s="388">
        <v>0.3792780121894046</v>
      </c>
      <c r="C290" s="389">
        <v>-1.2432432432432432</v>
      </c>
    </row>
    <row r="291" spans="1:3">
      <c r="A291" s="383" t="s">
        <v>1036</v>
      </c>
      <c r="B291" s="388">
        <v>-0.18506998444790046</v>
      </c>
      <c r="C291" s="389">
        <v>-2.0303030303030303</v>
      </c>
    </row>
    <row r="292" spans="1:3">
      <c r="A292" s="383" t="s">
        <v>444</v>
      </c>
      <c r="B292" s="388">
        <v>4.2037762736017115E-2</v>
      </c>
      <c r="C292" s="389">
        <v>-0.38636363636363635</v>
      </c>
    </row>
    <row r="293" spans="1:3">
      <c r="A293" s="383" t="s">
        <v>1071</v>
      </c>
      <c r="B293" s="388">
        <v>9.4036697247706469E-2</v>
      </c>
      <c r="C293" s="389">
        <v>5.333333333333333</v>
      </c>
    </row>
    <row r="294" spans="1:3">
      <c r="A294" s="383" t="s">
        <v>1216</v>
      </c>
      <c r="B294" s="388">
        <v>9.661835748792269E-2</v>
      </c>
      <c r="C294" s="389">
        <v>-0.60377358490566035</v>
      </c>
    </row>
    <row r="295" spans="1:3">
      <c r="A295" s="383" t="s">
        <v>622</v>
      </c>
      <c r="B295" s="388">
        <v>7.2922555115884746E-2</v>
      </c>
      <c r="C295" s="389">
        <v>-9.8214285714285698E-2</v>
      </c>
    </row>
    <row r="296" spans="1:3">
      <c r="A296" s="383" t="s">
        <v>1247</v>
      </c>
      <c r="B296" s="388">
        <v>0.1356382978723405</v>
      </c>
      <c r="C296" s="389">
        <v>0</v>
      </c>
    </row>
    <row r="297" spans="1:3">
      <c r="A297" s="383" t="s">
        <v>813</v>
      </c>
      <c r="B297" s="388">
        <v>8.040201005025116E-2</v>
      </c>
      <c r="C297" s="389">
        <v>-0.74285714285714288</v>
      </c>
    </row>
    <row r="298" spans="1:3">
      <c r="A298" s="383" t="s">
        <v>1024</v>
      </c>
      <c r="B298" s="388">
        <v>0.11468970934799683</v>
      </c>
      <c r="C298" s="389">
        <v>-0.22580645161290325</v>
      </c>
    </row>
    <row r="299" spans="1:3">
      <c r="A299" s="383" t="s">
        <v>305</v>
      </c>
      <c r="B299" s="388">
        <v>-6.3936291240045517E-2</v>
      </c>
      <c r="C299" s="389">
        <v>-0.61802575107296143</v>
      </c>
    </row>
    <row r="300" spans="1:3">
      <c r="A300" s="383" t="s">
        <v>306</v>
      </c>
      <c r="B300" s="388">
        <v>-6.3936291240045517E-2</v>
      </c>
      <c r="C300" s="389">
        <v>-0.61802575107296143</v>
      </c>
    </row>
    <row r="301" spans="1:3">
      <c r="A301" s="383" t="s">
        <v>1061</v>
      </c>
      <c r="B301" s="388">
        <v>0.11029411764705888</v>
      </c>
      <c r="C301" s="389">
        <v>-7.407407407407407E-2</v>
      </c>
    </row>
    <row r="302" spans="1:3">
      <c r="A302" s="383" t="s">
        <v>967</v>
      </c>
      <c r="B302" s="388">
        <v>-7.2538860103626979E-2</v>
      </c>
      <c r="C302" s="389">
        <v>-3</v>
      </c>
    </row>
    <row r="303" spans="1:3">
      <c r="A303" s="383" t="s">
        <v>882</v>
      </c>
      <c r="B303" s="388">
        <v>0.10178817056396139</v>
      </c>
      <c r="C303" s="389">
        <v>-0.43859649122807021</v>
      </c>
    </row>
    <row r="304" spans="1:3">
      <c r="A304" s="383" t="s">
        <v>682</v>
      </c>
      <c r="B304" s="388">
        <v>0.1063829787234043</v>
      </c>
      <c r="C304" s="389">
        <v>-5.0000000000000044E-2</v>
      </c>
    </row>
    <row r="305" spans="1:3">
      <c r="A305" s="383" t="s">
        <v>421</v>
      </c>
      <c r="B305" s="388">
        <v>-1.0950080515297889E-2</v>
      </c>
      <c r="C305" s="389">
        <v>-0.35877862595419852</v>
      </c>
    </row>
    <row r="306" spans="1:3">
      <c r="A306" s="383" t="s">
        <v>731</v>
      </c>
      <c r="B306" s="388">
        <v>3.8363171355498826E-2</v>
      </c>
      <c r="C306" s="389">
        <v>-0.5</v>
      </c>
    </row>
    <row r="307" spans="1:3">
      <c r="A307" s="382" t="s">
        <v>800</v>
      </c>
      <c r="B307" s="388">
        <v>5.1814492461974483E-2</v>
      </c>
      <c r="C307" s="389">
        <v>8.7301587301587356E-3</v>
      </c>
    </row>
    <row r="308" spans="1:3">
      <c r="A308" s="383" t="s">
        <v>1186</v>
      </c>
      <c r="B308" s="388">
        <v>0</v>
      </c>
      <c r="C308" s="389">
        <v>-0.34285714285714286</v>
      </c>
    </row>
    <row r="309" spans="1:3">
      <c r="A309" s="383" t="s">
        <v>799</v>
      </c>
      <c r="B309" s="388">
        <v>-5.3956834532373765E-3</v>
      </c>
      <c r="C309" s="389">
        <v>-0.25</v>
      </c>
    </row>
    <row r="310" spans="1:3">
      <c r="A310" s="383" t="s">
        <v>1058</v>
      </c>
      <c r="B310" s="388">
        <v>0.16083916083916083</v>
      </c>
      <c r="C310" s="389">
        <v>0.61904761904761907</v>
      </c>
    </row>
    <row r="311" spans="1:3">
      <c r="A311" s="382" t="s">
        <v>122</v>
      </c>
      <c r="B311" s="388">
        <v>0.10994505402922601</v>
      </c>
      <c r="C311" s="389">
        <v>0.18135700049301717</v>
      </c>
    </row>
    <row r="312" spans="1:3">
      <c r="A312" s="383" t="s">
        <v>702</v>
      </c>
      <c r="B312" s="388">
        <v>0.13276836158192085</v>
      </c>
      <c r="C312" s="389">
        <v>0.55371900826446274</v>
      </c>
    </row>
    <row r="313" spans="1:3">
      <c r="A313" s="383" t="s">
        <v>373</v>
      </c>
      <c r="B313" s="388">
        <v>0.13434903047091407</v>
      </c>
      <c r="C313" s="389">
        <v>9.7222222222222321E-2</v>
      </c>
    </row>
    <row r="314" spans="1:3">
      <c r="A314" s="383" t="s">
        <v>1008</v>
      </c>
      <c r="B314" s="388">
        <v>6.2717770034843134E-2</v>
      </c>
      <c r="C314" s="389">
        <v>-0.10687022900763354</v>
      </c>
    </row>
    <row r="315" spans="1:3">
      <c r="A315" s="382" t="s">
        <v>558</v>
      </c>
      <c r="B315" s="388">
        <v>-0.12594064410644906</v>
      </c>
      <c r="C315" s="389">
        <v>-0.63993629697366394</v>
      </c>
    </row>
    <row r="316" spans="1:3">
      <c r="A316" s="383" t="s">
        <v>983</v>
      </c>
      <c r="B316" s="388">
        <v>-0.60367647058823537</v>
      </c>
      <c r="C316" s="389">
        <v>-0.99642601858470337</v>
      </c>
    </row>
    <row r="317" spans="1:3">
      <c r="A317" s="383" t="s">
        <v>557</v>
      </c>
      <c r="B317" s="388">
        <v>0.34083239595050618</v>
      </c>
      <c r="C317" s="389">
        <v>-1.7040816326530612</v>
      </c>
    </row>
    <row r="318" spans="1:3">
      <c r="A318" s="383" t="s">
        <v>919</v>
      </c>
      <c r="B318" s="388">
        <v>-0.4616977225672878</v>
      </c>
      <c r="C318" s="389">
        <v>-0.17741935483870963</v>
      </c>
    </row>
    <row r="319" spans="1:3">
      <c r="A319" s="383" t="s">
        <v>891</v>
      </c>
      <c r="B319" s="388">
        <v>0.22077922077922074</v>
      </c>
      <c r="C319" s="389">
        <v>0.31818181818181812</v>
      </c>
    </row>
    <row r="320" spans="1:3">
      <c r="A320" s="382" t="s">
        <v>1026</v>
      </c>
      <c r="B320" s="388">
        <v>0.24479476502082087</v>
      </c>
      <c r="C320" s="389">
        <v>-2.3529411764705883</v>
      </c>
    </row>
    <row r="321" spans="1:3">
      <c r="A321" s="383" t="s">
        <v>1025</v>
      </c>
      <c r="B321" s="388">
        <v>0.24479476502082087</v>
      </c>
      <c r="C321" s="389">
        <v>-2.3529411764705883</v>
      </c>
    </row>
    <row r="322" spans="1:3">
      <c r="A322" s="382" t="s">
        <v>492</v>
      </c>
      <c r="B322" s="388">
        <v>-1.5918586484792149E-2</v>
      </c>
      <c r="C322" s="389">
        <v>0.32837308827977191</v>
      </c>
    </row>
    <row r="323" spans="1:3">
      <c r="A323" s="383" t="s">
        <v>890</v>
      </c>
      <c r="B323" s="388">
        <v>-5.7937427578215184E-3</v>
      </c>
      <c r="C323" s="389">
        <v>-0.20220588235294112</v>
      </c>
    </row>
    <row r="324" spans="1:3">
      <c r="A324" s="383" t="s">
        <v>1236</v>
      </c>
      <c r="B324" s="388">
        <v>-0.21927710843373494</v>
      </c>
      <c r="C324" s="389">
        <v>-1.1428571428571428</v>
      </c>
    </row>
    <row r="325" spans="1:3">
      <c r="A325" s="383" t="s">
        <v>1287</v>
      </c>
      <c r="B325" s="388">
        <v>-0.10075566750629728</v>
      </c>
      <c r="C325" s="389">
        <v>-0.86206896551724133</v>
      </c>
    </row>
    <row r="326" spans="1:3">
      <c r="A326" s="383" t="s">
        <v>923</v>
      </c>
      <c r="B326" s="388">
        <v>0.10571428571428565</v>
      </c>
      <c r="C326" s="389">
        <v>0.1914893617021276</v>
      </c>
    </row>
    <row r="327" spans="1:3">
      <c r="A327" s="383" t="s">
        <v>978</v>
      </c>
      <c r="B327" s="388">
        <v>-7.7324066029539562E-2</v>
      </c>
      <c r="C327" s="389">
        <v>-0.65714285714285714</v>
      </c>
    </row>
    <row r="328" spans="1:3">
      <c r="A328" s="383" t="s">
        <v>1231</v>
      </c>
      <c r="B328" s="388">
        <v>-0.14743589743589747</v>
      </c>
      <c r="C328" s="389">
        <v>-0.22222222222222221</v>
      </c>
    </row>
    <row r="329" spans="1:3">
      <c r="A329" s="383" t="s">
        <v>491</v>
      </c>
      <c r="B329" s="388">
        <v>-4.1581458759372913E-2</v>
      </c>
      <c r="C329" s="389">
        <v>2.9702970297029729E-2</v>
      </c>
    </row>
    <row r="330" spans="1:3">
      <c r="A330" s="383" t="s">
        <v>974</v>
      </c>
      <c r="B330" s="388">
        <v>5.3591790193842748E-2</v>
      </c>
      <c r="C330" s="389">
        <v>-0.34375</v>
      </c>
    </row>
    <row r="331" spans="1:3">
      <c r="A331" s="383" t="s">
        <v>962</v>
      </c>
      <c r="B331" s="388">
        <v>-0.25</v>
      </c>
      <c r="C331" s="389">
        <v>0</v>
      </c>
    </row>
    <row r="332" spans="1:3">
      <c r="A332" s="383" t="s">
        <v>1103</v>
      </c>
      <c r="B332" s="388">
        <v>0.45222072678331093</v>
      </c>
      <c r="C332" s="389">
        <v>-1.1470588235294117</v>
      </c>
    </row>
    <row r="333" spans="1:3">
      <c r="A333" s="383" t="s">
        <v>1264</v>
      </c>
      <c r="B333" s="388">
        <v>2.7888446215139417E-2</v>
      </c>
      <c r="C333" s="389">
        <v>11</v>
      </c>
    </row>
    <row r="334" spans="1:3">
      <c r="A334" s="383" t="s">
        <v>1240</v>
      </c>
      <c r="B334" s="388">
        <v>9.473684210526323E-2</v>
      </c>
      <c r="C334" s="389">
        <v>-8.8888888888888906E-2</v>
      </c>
    </row>
    <row r="335" spans="1:3">
      <c r="A335" s="383" t="s">
        <v>705</v>
      </c>
      <c r="B335" s="388">
        <v>-5.578884223155367E-2</v>
      </c>
      <c r="C335" s="389">
        <v>-0.44999999999999996</v>
      </c>
    </row>
    <row r="336" spans="1:3">
      <c r="A336" s="383" t="s">
        <v>632</v>
      </c>
      <c r="B336" s="388">
        <v>1.6227180527383478E-2</v>
      </c>
      <c r="C336" s="389">
        <v>-0.20379146919431279</v>
      </c>
    </row>
    <row r="337" spans="1:3">
      <c r="A337" s="383" t="s">
        <v>720</v>
      </c>
      <c r="B337" s="388">
        <v>-9.1201285656890341E-2</v>
      </c>
      <c r="C337" s="389">
        <v>-0.97560975609756095</v>
      </c>
    </row>
    <row r="338" spans="1:3">
      <c r="A338" s="382" t="s">
        <v>102</v>
      </c>
      <c r="B338" s="388">
        <v>4.2695600977991632E-2</v>
      </c>
      <c r="C338" s="389">
        <v>-0.14160503896662324</v>
      </c>
    </row>
    <row r="339" spans="1:3">
      <c r="A339" s="383" t="s">
        <v>686</v>
      </c>
      <c r="B339" s="388">
        <v>-0.1361904761904762</v>
      </c>
      <c r="C339" s="389">
        <v>-0.31481481481481477</v>
      </c>
    </row>
    <row r="340" spans="1:3">
      <c r="A340" s="383" t="s">
        <v>228</v>
      </c>
      <c r="B340" s="388">
        <v>3.8610491726323248E-2</v>
      </c>
      <c r="C340" s="389">
        <v>-4.7872340425531901E-2</v>
      </c>
    </row>
    <row r="341" spans="1:3">
      <c r="A341" s="383" t="s">
        <v>417</v>
      </c>
      <c r="B341" s="388">
        <v>3.0252100840335583E-3</v>
      </c>
      <c r="C341" s="389">
        <v>-8.4459459459459429E-2</v>
      </c>
    </row>
    <row r="342" spans="1:3">
      <c r="A342" s="383" t="s">
        <v>1023</v>
      </c>
      <c r="B342" s="388">
        <v>4.6783625730994149E-2</v>
      </c>
      <c r="C342" s="389">
        <v>5.7142857142857162E-2</v>
      </c>
    </row>
    <row r="343" spans="1:3">
      <c r="A343" s="383" t="s">
        <v>630</v>
      </c>
      <c r="B343" s="388">
        <v>3.1217481789802326E-2</v>
      </c>
      <c r="C343" s="389">
        <v>-0.82326283987915405</v>
      </c>
    </row>
    <row r="344" spans="1:3">
      <c r="A344" s="383" t="s">
        <v>1207</v>
      </c>
      <c r="B344" s="388">
        <v>0.27272727272727271</v>
      </c>
      <c r="C344" s="389">
        <v>0.36363636363636354</v>
      </c>
    </row>
    <row r="345" spans="1:3">
      <c r="A345" s="382" t="s">
        <v>76</v>
      </c>
      <c r="B345" s="388">
        <v>0.13073117042997937</v>
      </c>
      <c r="C345" s="389">
        <v>0.23087080585022837</v>
      </c>
    </row>
    <row r="346" spans="1:3">
      <c r="A346" s="383" t="s">
        <v>484</v>
      </c>
      <c r="B346" s="388">
        <v>0.12652196929592385</v>
      </c>
      <c r="C346" s="389">
        <v>2.5304347826086957</v>
      </c>
    </row>
    <row r="347" spans="1:3">
      <c r="A347" s="383" t="s">
        <v>239</v>
      </c>
      <c r="B347" s="388">
        <v>7.9653991710218142E-2</v>
      </c>
      <c r="C347" s="389">
        <v>6.3793103448275934E-2</v>
      </c>
    </row>
    <row r="348" spans="1:3">
      <c r="A348" s="383" t="s">
        <v>191</v>
      </c>
      <c r="B348" s="388">
        <v>0.25632987701953214</v>
      </c>
      <c r="C348" s="389">
        <v>0.38548565121412803</v>
      </c>
    </row>
    <row r="349" spans="1:3">
      <c r="A349" s="383" t="s">
        <v>186</v>
      </c>
      <c r="B349" s="388">
        <v>0.28738004333918066</v>
      </c>
      <c r="C349" s="389">
        <v>4.106280193236711E-2</v>
      </c>
    </row>
    <row r="350" spans="1:3">
      <c r="A350" s="383" t="s">
        <v>845</v>
      </c>
      <c r="B350" s="388">
        <v>0.29239766081871355</v>
      </c>
      <c r="C350" s="389">
        <v>0</v>
      </c>
    </row>
    <row r="351" spans="1:3">
      <c r="A351" s="383" t="s">
        <v>258</v>
      </c>
      <c r="B351" s="388">
        <v>-0.25789651960369209</v>
      </c>
      <c r="C351" s="389">
        <v>-1.6355515041020965</v>
      </c>
    </row>
    <row r="352" spans="1:3">
      <c r="A352" s="382" t="s">
        <v>769</v>
      </c>
      <c r="B352" s="388">
        <v>0.20660493867927643</v>
      </c>
      <c r="C352" s="389">
        <v>0.20229885057471264</v>
      </c>
    </row>
    <row r="353" spans="1:3">
      <c r="A353" s="383" t="s">
        <v>1016</v>
      </c>
      <c r="B353" s="388">
        <v>0.25625920471281294</v>
      </c>
      <c r="C353" s="389">
        <v>0.13793103448275867</v>
      </c>
    </row>
    <row r="354" spans="1:3">
      <c r="A354" s="383" t="s">
        <v>768</v>
      </c>
      <c r="B354" s="388">
        <v>0.15695067264573992</v>
      </c>
      <c r="C354" s="389">
        <v>0.26666666666666661</v>
      </c>
    </row>
    <row r="355" spans="1:3">
      <c r="A355" s="382" t="s">
        <v>827</v>
      </c>
      <c r="B355" s="388">
        <v>3.0971916212721218E-2</v>
      </c>
      <c r="C355" s="389">
        <v>1.7405913978494625</v>
      </c>
    </row>
    <row r="356" spans="1:3">
      <c r="A356" s="383" t="s">
        <v>826</v>
      </c>
      <c r="B356" s="388">
        <v>0.15575620767494347</v>
      </c>
      <c r="C356" s="389">
        <v>6.4516129032258007E-2</v>
      </c>
    </row>
    <row r="357" spans="1:3">
      <c r="A357" s="383" t="s">
        <v>987</v>
      </c>
      <c r="B357" s="388">
        <v>-9.3812375249501034E-2</v>
      </c>
      <c r="C357" s="389">
        <v>3.416666666666667</v>
      </c>
    </row>
    <row r="358" spans="1:3">
      <c r="A358" s="382" t="s">
        <v>624</v>
      </c>
      <c r="B358" s="388">
        <v>0.13486671597392505</v>
      </c>
      <c r="C358" s="389">
        <v>-0.10103094606542884</v>
      </c>
    </row>
    <row r="359" spans="1:3">
      <c r="A359" s="383" t="s">
        <v>623</v>
      </c>
      <c r="B359" s="388">
        <v>0.18421052631578938</v>
      </c>
      <c r="C359" s="389">
        <v>0.1206896551724137</v>
      </c>
    </row>
    <row r="360" spans="1:3">
      <c r="A360" s="383" t="s">
        <v>940</v>
      </c>
      <c r="B360" s="388">
        <v>0.1727574750830565</v>
      </c>
      <c r="C360" s="389">
        <v>-1.0453846153846154</v>
      </c>
    </row>
    <row r="361" spans="1:3">
      <c r="A361" s="383" t="s">
        <v>1215</v>
      </c>
      <c r="B361" s="388">
        <v>0.15877437325905297</v>
      </c>
      <c r="C361" s="389">
        <v>0.25</v>
      </c>
    </row>
    <row r="362" spans="1:3">
      <c r="A362" s="383" t="s">
        <v>1197</v>
      </c>
      <c r="B362" s="388">
        <v>9.6091205211726427E-2</v>
      </c>
      <c r="C362" s="389">
        <v>-0.41666666666666663</v>
      </c>
    </row>
    <row r="363" spans="1:3">
      <c r="A363" s="383" t="s">
        <v>1069</v>
      </c>
      <c r="B363" s="388">
        <v>6.25E-2</v>
      </c>
      <c r="C363" s="389">
        <v>0.5862068965517242</v>
      </c>
    </row>
    <row r="364" spans="1:3">
      <c r="A364" s="382" t="s">
        <v>1055</v>
      </c>
      <c r="B364" s="388">
        <v>-5.7632398753894032E-2</v>
      </c>
      <c r="C364" s="389">
        <v>-0.19491525423728817</v>
      </c>
    </row>
    <row r="365" spans="1:3">
      <c r="A365" s="383" t="s">
        <v>1054</v>
      </c>
      <c r="B365" s="388">
        <v>-5.7632398753894032E-2</v>
      </c>
      <c r="C365" s="389">
        <v>-0.19491525423728817</v>
      </c>
    </row>
    <row r="366" spans="1:3">
      <c r="A366" s="382" t="s">
        <v>1133</v>
      </c>
      <c r="B366" s="388">
        <v>1.2145748987854255E-2</v>
      </c>
      <c r="C366" s="389">
        <v>-13.533333333333333</v>
      </c>
    </row>
    <row r="367" spans="1:3">
      <c r="A367" s="383" t="s">
        <v>1132</v>
      </c>
      <c r="B367" s="388">
        <v>1.2145748987854255E-2</v>
      </c>
      <c r="C367" s="389">
        <v>-13.533333333333333</v>
      </c>
    </row>
    <row r="368" spans="1:3">
      <c r="A368" s="382" t="s">
        <v>131</v>
      </c>
      <c r="B368" s="388">
        <v>0.27521102089708765</v>
      </c>
      <c r="C368" s="389">
        <v>8.1283443653529311E-2</v>
      </c>
    </row>
    <row r="369" spans="1:3">
      <c r="A369" s="383" t="s">
        <v>1074</v>
      </c>
      <c r="B369" s="388">
        <v>-4.3956043956043911E-2</v>
      </c>
      <c r="C369" s="389">
        <v>0.36842105263157898</v>
      </c>
    </row>
    <row r="370" spans="1:3">
      <c r="A370" s="383" t="s">
        <v>1208</v>
      </c>
      <c r="B370" s="388">
        <v>-8.0402010050251271E-2</v>
      </c>
      <c r="C370" s="389">
        <v>-0.24242424242424243</v>
      </c>
    </row>
    <row r="371" spans="1:3">
      <c r="A371" s="383" t="s">
        <v>1253</v>
      </c>
      <c r="B371" s="388">
        <v>0.29824561403508776</v>
      </c>
      <c r="C371" s="389">
        <v>-0.15384615384615385</v>
      </c>
    </row>
    <row r="372" spans="1:3">
      <c r="A372" s="383" t="s">
        <v>590</v>
      </c>
      <c r="B372" s="388">
        <v>0.20037453183520593</v>
      </c>
      <c r="C372" s="389">
        <v>0.33333333333333326</v>
      </c>
    </row>
    <row r="373" spans="1:3">
      <c r="A373" s="383" t="s">
        <v>1280</v>
      </c>
      <c r="B373" s="388">
        <v>-0.24621212121212122</v>
      </c>
      <c r="C373" s="389">
        <v>-0.11111111111111116</v>
      </c>
    </row>
    <row r="374" spans="1:3">
      <c r="A374" s="383" t="s">
        <v>1232</v>
      </c>
      <c r="B374" s="388">
        <v>-0.20952380952380956</v>
      </c>
      <c r="C374" s="389">
        <v>-0.42000000000000004</v>
      </c>
    </row>
    <row r="375" spans="1:3">
      <c r="A375" s="383" t="s">
        <v>1125</v>
      </c>
      <c r="B375" s="388">
        <v>1.973913043478261</v>
      </c>
      <c r="C375" s="389">
        <v>4.0909090909090908</v>
      </c>
    </row>
    <row r="376" spans="1:3">
      <c r="A376" s="383" t="s">
        <v>613</v>
      </c>
      <c r="B376" s="388">
        <v>7.6555023923444931E-2</v>
      </c>
      <c r="C376" s="389">
        <v>-0.12765957446808507</v>
      </c>
    </row>
    <row r="377" spans="1:3">
      <c r="A377" s="383" t="s">
        <v>254</v>
      </c>
      <c r="B377" s="388">
        <v>0.32112491824722045</v>
      </c>
      <c r="C377" s="389">
        <v>0.13705103969754262</v>
      </c>
    </row>
    <row r="378" spans="1:3">
      <c r="A378" s="383" t="s">
        <v>834</v>
      </c>
      <c r="B378" s="388">
        <v>-0.34769230769230774</v>
      </c>
      <c r="C378" s="389">
        <v>1.4489795918367347</v>
      </c>
    </row>
    <row r="379" spans="1:3">
      <c r="A379" s="383" t="s">
        <v>969</v>
      </c>
      <c r="B379" s="388">
        <v>-0.64591439688715946</v>
      </c>
      <c r="C379" s="389">
        <v>-0.60624999999999996</v>
      </c>
    </row>
    <row r="380" spans="1:3">
      <c r="A380" s="383" t="s">
        <v>418</v>
      </c>
      <c r="B380" s="388">
        <v>-0.48606811145510831</v>
      </c>
      <c r="C380" s="389">
        <v>0.22784810126582289</v>
      </c>
    </row>
    <row r="381" spans="1:3">
      <c r="A381" s="383" t="s">
        <v>1164</v>
      </c>
      <c r="B381" s="388">
        <v>-5.4347826086956541E-2</v>
      </c>
      <c r="C381" s="389">
        <v>0.60000000000000009</v>
      </c>
    </row>
    <row r="382" spans="1:3">
      <c r="A382" s="383" t="s">
        <v>972</v>
      </c>
      <c r="B382" s="388">
        <v>-0.42672413793103448</v>
      </c>
      <c r="C382" s="389">
        <v>-0.82758620689655171</v>
      </c>
    </row>
    <row r="383" spans="1:3">
      <c r="A383" s="383" t="s">
        <v>1146</v>
      </c>
      <c r="B383" s="388">
        <v>-0.24068767908309452</v>
      </c>
      <c r="C383" s="389">
        <v>-0.84615384615384615</v>
      </c>
    </row>
    <row r="384" spans="1:3">
      <c r="A384" s="383" t="s">
        <v>319</v>
      </c>
      <c r="B384" s="388">
        <v>0.14425667401420528</v>
      </c>
      <c r="C384" s="389">
        <v>1.3771186440677985E-2</v>
      </c>
    </row>
    <row r="385" spans="1:3">
      <c r="A385" s="383" t="s">
        <v>861</v>
      </c>
      <c r="B385" s="388">
        <v>1.7485029940119761</v>
      </c>
      <c r="C385" s="389">
        <v>-5.9090909090909092</v>
      </c>
    </row>
    <row r="386" spans="1:3">
      <c r="A386" s="383" t="s">
        <v>1170</v>
      </c>
      <c r="B386" s="388">
        <v>8.1300813008129413E-3</v>
      </c>
      <c r="C386" s="389">
        <v>-0.3571428571428571</v>
      </c>
    </row>
    <row r="387" spans="1:3">
      <c r="A387" s="383" t="s">
        <v>905</v>
      </c>
      <c r="B387" s="388">
        <v>0.22500000000000009</v>
      </c>
      <c r="C387" s="389">
        <v>-0.8</v>
      </c>
    </row>
    <row r="388" spans="1:3">
      <c r="A388" s="383" t="s">
        <v>411</v>
      </c>
      <c r="B388" s="388">
        <v>5.7406094968107668E-2</v>
      </c>
      <c r="C388" s="389">
        <v>6.4724919093850364E-3</v>
      </c>
    </row>
    <row r="389" spans="1:3">
      <c r="A389" s="383" t="s">
        <v>390</v>
      </c>
      <c r="B389" s="388">
        <v>1.3409915356711002</v>
      </c>
      <c r="C389" s="389">
        <v>6.625</v>
      </c>
    </row>
    <row r="390" spans="1:3">
      <c r="A390" s="383" t="s">
        <v>1203</v>
      </c>
      <c r="B390" s="388">
        <v>0.19527896995708161</v>
      </c>
      <c r="C390" s="389">
        <v>1.3333333333333335</v>
      </c>
    </row>
    <row r="391" spans="1:3">
      <c r="A391" s="383" t="s">
        <v>681</v>
      </c>
      <c r="B391" s="388">
        <v>-0.65659008464328905</v>
      </c>
      <c r="C391" s="389">
        <v>-2.5517241379310347</v>
      </c>
    </row>
    <row r="392" spans="1:3">
      <c r="A392" s="383" t="s">
        <v>652</v>
      </c>
      <c r="B392" s="388">
        <v>-0.22957516339869277</v>
      </c>
      <c r="C392" s="389">
        <v>-0.2857142857142857</v>
      </c>
    </row>
    <row r="393" spans="1:3">
      <c r="A393" s="383" t="s">
        <v>956</v>
      </c>
      <c r="B393" s="388">
        <v>1.1366459627329193</v>
      </c>
      <c r="C393" s="389">
        <v>0.44680851063829796</v>
      </c>
    </row>
    <row r="394" spans="1:3">
      <c r="A394" s="383" t="s">
        <v>1035</v>
      </c>
      <c r="B394" s="388">
        <v>3.2222222222222223</v>
      </c>
      <c r="C394" s="389">
        <v>-0.25</v>
      </c>
    </row>
    <row r="395" spans="1:3">
      <c r="A395" s="383" t="s">
        <v>393</v>
      </c>
      <c r="B395" s="388">
        <v>0.1497435897435897</v>
      </c>
      <c r="C395" s="389">
        <v>5.1428571428571379E-2</v>
      </c>
    </row>
    <row r="396" spans="1:3">
      <c r="A396" s="382" t="s">
        <v>124</v>
      </c>
      <c r="B396" s="388">
        <v>9.4524222764695368E-2</v>
      </c>
      <c r="C396" s="389">
        <v>-0.24342315737664572</v>
      </c>
    </row>
    <row r="397" spans="1:3">
      <c r="A397" s="383" t="s">
        <v>642</v>
      </c>
      <c r="B397" s="388">
        <v>0.1128284389489953</v>
      </c>
      <c r="C397" s="389">
        <v>0.4285714285714286</v>
      </c>
    </row>
    <row r="398" spans="1:3">
      <c r="A398" s="383" t="s">
        <v>472</v>
      </c>
      <c r="B398" s="388">
        <v>0.13348837209302333</v>
      </c>
      <c r="C398" s="389">
        <v>0.67441860465116288</v>
      </c>
    </row>
    <row r="399" spans="1:3">
      <c r="A399" s="383" t="s">
        <v>1073</v>
      </c>
      <c r="B399" s="388">
        <v>0.11737089201877926</v>
      </c>
      <c r="C399" s="389">
        <v>-0.12962962962962965</v>
      </c>
    </row>
    <row r="400" spans="1:3">
      <c r="A400" s="383" t="s">
        <v>916</v>
      </c>
      <c r="B400" s="388">
        <v>7.5396825396825351E-2</v>
      </c>
      <c r="C400" s="389">
        <v>-1.3333333333333333</v>
      </c>
    </row>
    <row r="401" spans="1:3">
      <c r="A401" s="383" t="s">
        <v>854</v>
      </c>
      <c r="B401" s="388">
        <v>3.3536585365853577E-2</v>
      </c>
      <c r="C401" s="389">
        <v>-0.85714285714285721</v>
      </c>
    </row>
    <row r="402" spans="1:3">
      <c r="A402" s="382" t="s">
        <v>926</v>
      </c>
      <c r="B402" s="388">
        <v>9.3286240279558785E-2</v>
      </c>
      <c r="C402" s="389">
        <v>-0.95277777777777783</v>
      </c>
    </row>
    <row r="403" spans="1:3">
      <c r="A403" s="383" t="s">
        <v>925</v>
      </c>
      <c r="B403" s="388">
        <v>0.10913140311804015</v>
      </c>
      <c r="C403" s="389">
        <v>-0.48888888888888893</v>
      </c>
    </row>
    <row r="404" spans="1:3">
      <c r="A404" s="383" t="s">
        <v>1300</v>
      </c>
      <c r="B404" s="388">
        <v>7.7441077441077422E-2</v>
      </c>
      <c r="C404" s="389">
        <v>-1.4166666666666667</v>
      </c>
    </row>
    <row r="405" spans="1:3">
      <c r="A405" s="382" t="s">
        <v>90</v>
      </c>
      <c r="B405" s="388">
        <v>9.7304342828240617E-2</v>
      </c>
      <c r="C405" s="389">
        <v>5.4385971044529837</v>
      </c>
    </row>
    <row r="406" spans="1:3">
      <c r="A406" s="383" t="s">
        <v>839</v>
      </c>
      <c r="B406" s="388">
        <v>7.9090909090909101E-2</v>
      </c>
      <c r="C406" s="389">
        <v>0.33009708737864085</v>
      </c>
    </row>
    <row r="407" spans="1:3">
      <c r="A407" s="383" t="s">
        <v>718</v>
      </c>
      <c r="B407" s="388">
        <v>0.14715881495871774</v>
      </c>
      <c r="C407" s="389">
        <v>0.14999999999999991</v>
      </c>
    </row>
    <row r="408" spans="1:3">
      <c r="A408" s="383" t="s">
        <v>935</v>
      </c>
      <c r="B408" s="388">
        <v>0.27843137254901951</v>
      </c>
      <c r="C408" s="389">
        <v>0.125</v>
      </c>
    </row>
    <row r="409" spans="1:3">
      <c r="A409" s="383" t="s">
        <v>951</v>
      </c>
      <c r="B409" s="388">
        <v>0.14120561519405439</v>
      </c>
      <c r="C409" s="389">
        <v>-0.23404255319148937</v>
      </c>
    </row>
    <row r="410" spans="1:3">
      <c r="A410" s="383" t="s">
        <v>1318</v>
      </c>
      <c r="B410" s="388">
        <v>0.13381995133819946</v>
      </c>
      <c r="C410" s="389">
        <v>-0.3666666666666667</v>
      </c>
    </row>
    <row r="411" spans="1:3">
      <c r="A411" s="383" t="s">
        <v>1317</v>
      </c>
      <c r="B411" s="388">
        <v>-0.5</v>
      </c>
      <c r="C411" s="389">
        <v>-0.23863636363636365</v>
      </c>
    </row>
    <row r="412" spans="1:3">
      <c r="A412" s="383" t="s">
        <v>1310</v>
      </c>
      <c r="B412" s="388">
        <v>-9.3457943925233655E-2</v>
      </c>
      <c r="C412" s="389">
        <v>-0.70833333333333326</v>
      </c>
    </row>
    <row r="413" spans="1:3">
      <c r="A413" s="383" t="s">
        <v>1316</v>
      </c>
      <c r="B413" s="388">
        <v>0.38286399041342123</v>
      </c>
      <c r="C413" s="389">
        <v>65.5</v>
      </c>
    </row>
    <row r="414" spans="1:3">
      <c r="A414" s="383" t="s">
        <v>1319</v>
      </c>
      <c r="B414" s="388">
        <v>-8.4632516703786242E-2</v>
      </c>
      <c r="C414" s="389">
        <v>-0.17391304347826086</v>
      </c>
    </row>
    <row r="415" spans="1:3">
      <c r="A415" s="383" t="s">
        <v>262</v>
      </c>
      <c r="B415" s="388">
        <v>0.14773459308567749</v>
      </c>
      <c r="C415" s="389">
        <v>2.6156941649899457E-2</v>
      </c>
    </row>
    <row r="416" spans="1:3">
      <c r="A416" s="383" t="s">
        <v>880</v>
      </c>
      <c r="B416" s="388">
        <v>0.57457627118644061</v>
      </c>
      <c r="C416" s="389">
        <v>1</v>
      </c>
    </row>
    <row r="417" spans="1:3">
      <c r="A417" s="383" t="s">
        <v>801</v>
      </c>
      <c r="B417" s="388">
        <v>-3.9138943248532287E-2</v>
      </c>
      <c r="C417" s="389">
        <v>-0.14649681528662417</v>
      </c>
    </row>
    <row r="418" spans="1:3">
      <c r="A418" s="382" t="s">
        <v>88</v>
      </c>
      <c r="B418" s="388">
        <v>0.32076912466124829</v>
      </c>
      <c r="C418" s="389">
        <v>0.14417352715404422</v>
      </c>
    </row>
    <row r="419" spans="1:3">
      <c r="A419" s="383" t="s">
        <v>750</v>
      </c>
      <c r="B419" s="388">
        <v>0.4375</v>
      </c>
      <c r="C419" s="389">
        <v>0.3385826771653544</v>
      </c>
    </row>
    <row r="420" spans="1:3">
      <c r="A420" s="383" t="s">
        <v>426</v>
      </c>
      <c r="B420" s="388">
        <v>0.18382352941176472</v>
      </c>
      <c r="C420" s="389">
        <v>0.15497076023391809</v>
      </c>
    </row>
    <row r="421" spans="1:3">
      <c r="A421" s="383" t="s">
        <v>869</v>
      </c>
      <c r="B421" s="388">
        <v>0.31535269709543567</v>
      </c>
      <c r="C421" s="389">
        <v>0.53333333333333344</v>
      </c>
    </row>
    <row r="422" spans="1:3">
      <c r="A422" s="383" t="s">
        <v>707</v>
      </c>
      <c r="B422" s="388">
        <v>0.85781990521327023</v>
      </c>
      <c r="C422" s="389">
        <v>8.163265306122458E-2</v>
      </c>
    </row>
    <row r="423" spans="1:3">
      <c r="A423" s="383" t="s">
        <v>1007</v>
      </c>
      <c r="B423" s="388">
        <v>4.0756914119359555E-2</v>
      </c>
      <c r="C423" s="389">
        <v>-4.3478260869565188E-2</v>
      </c>
    </row>
    <row r="424" spans="1:3">
      <c r="A424" s="383" t="s">
        <v>1305</v>
      </c>
      <c r="B424" s="388">
        <v>8.9361702127659592E-2</v>
      </c>
      <c r="C424" s="389">
        <v>-0.19999999999999996</v>
      </c>
    </row>
    <row r="425" spans="1:3">
      <c r="A425" s="382" t="s">
        <v>1033</v>
      </c>
      <c r="B425" s="388">
        <v>1.5364916773367376E-2</v>
      </c>
      <c r="C425" s="389">
        <v>-0.17777777777777781</v>
      </c>
    </row>
    <row r="426" spans="1:3">
      <c r="A426" s="383" t="s">
        <v>1032</v>
      </c>
      <c r="B426" s="388">
        <v>1.5364916773367376E-2</v>
      </c>
      <c r="C426" s="389">
        <v>-0.17777777777777781</v>
      </c>
    </row>
    <row r="427" spans="1:3">
      <c r="A427" s="382" t="s">
        <v>528</v>
      </c>
      <c r="B427" s="388">
        <v>0.39379557604161614</v>
      </c>
      <c r="C427" s="389">
        <v>-0.40270242863661715</v>
      </c>
    </row>
    <row r="428" spans="1:3">
      <c r="A428" s="383" t="s">
        <v>1161</v>
      </c>
      <c r="B428" s="388">
        <v>1</v>
      </c>
      <c r="C428" s="389">
        <v>-1.0454545454545454</v>
      </c>
    </row>
    <row r="429" spans="1:3">
      <c r="A429" s="383" t="s">
        <v>527</v>
      </c>
      <c r="B429" s="388">
        <v>3.9806996381182236E-2</v>
      </c>
      <c r="C429" s="389">
        <v>-0.1074380165289256</v>
      </c>
    </row>
    <row r="430" spans="1:3">
      <c r="A430" s="383" t="s">
        <v>837</v>
      </c>
      <c r="B430" s="388">
        <v>0.14157973174366623</v>
      </c>
      <c r="C430" s="389">
        <v>-5.5214723926380382E-2</v>
      </c>
    </row>
    <row r="431" spans="1:3">
      <c r="A431" s="382" t="s">
        <v>392</v>
      </c>
      <c r="B431" s="388">
        <v>0.14783429919966842</v>
      </c>
      <c r="C431" s="389">
        <v>0.35523279557337056</v>
      </c>
    </row>
    <row r="432" spans="1:3">
      <c r="A432" s="383" t="s">
        <v>500</v>
      </c>
      <c r="B432" s="388">
        <v>0.11779991338241658</v>
      </c>
      <c r="C432" s="389">
        <v>0.39465875370919878</v>
      </c>
    </row>
    <row r="433" spans="1:3">
      <c r="A433" s="383" t="s">
        <v>428</v>
      </c>
      <c r="B433" s="388">
        <v>6.9140624999999956E-2</v>
      </c>
      <c r="C433" s="389">
        <v>-0.1492204899777283</v>
      </c>
    </row>
    <row r="434" spans="1:3">
      <c r="A434" s="383" t="s">
        <v>665</v>
      </c>
      <c r="B434" s="388">
        <v>0.26007881176113967</v>
      </c>
      <c r="C434" s="389">
        <v>0.597938144329897</v>
      </c>
    </row>
    <row r="435" spans="1:3">
      <c r="A435" s="383" t="s">
        <v>693</v>
      </c>
      <c r="B435" s="388">
        <v>0.14942841589548173</v>
      </c>
      <c r="C435" s="389">
        <v>2.9245283018867925</v>
      </c>
    </row>
    <row r="436" spans="1:3">
      <c r="A436" s="383" t="s">
        <v>391</v>
      </c>
      <c r="B436" s="388">
        <v>0.14983573775174985</v>
      </c>
      <c r="C436" s="389">
        <v>1.196825396825397</v>
      </c>
    </row>
    <row r="437" spans="1:3">
      <c r="A437" s="383" t="s">
        <v>1158</v>
      </c>
      <c r="B437" s="388">
        <v>0.14072229140722281</v>
      </c>
      <c r="C437" s="389">
        <v>-2.833333333333333</v>
      </c>
    </row>
    <row r="438" spans="1:3">
      <c r="A438" s="384" t="s">
        <v>441</v>
      </c>
      <c r="B438" s="388">
        <v>8.840291951742868E-2</v>
      </c>
      <c r="C438" s="389">
        <v>-0.38877622071398282</v>
      </c>
    </row>
    <row r="439" spans="1:3">
      <c r="A439" s="382" t="s">
        <v>441</v>
      </c>
      <c r="B439" s="388">
        <v>8.840291951742868E-2</v>
      </c>
      <c r="C439" s="389">
        <v>-0.38877622071398282</v>
      </c>
    </row>
    <row r="440" spans="1:3">
      <c r="A440" s="383" t="s">
        <v>440</v>
      </c>
      <c r="B440" s="388">
        <v>0.12764003673094582</v>
      </c>
      <c r="C440" s="389">
        <v>-1.5486725663716814</v>
      </c>
    </row>
    <row r="441" spans="1:3">
      <c r="A441" s="383" t="s">
        <v>1147</v>
      </c>
      <c r="B441" s="388">
        <v>4.1269841269841345E-2</v>
      </c>
      <c r="C441" s="389">
        <v>4.9180327868852514E-2</v>
      </c>
    </row>
    <row r="442" spans="1:3">
      <c r="A442" s="383" t="s">
        <v>633</v>
      </c>
      <c r="B442" s="388">
        <v>0.1378624218305855</v>
      </c>
      <c r="C442" s="389">
        <v>-0.18702290076335881</v>
      </c>
    </row>
    <row r="443" spans="1:3">
      <c r="A443" s="383" t="s">
        <v>474</v>
      </c>
      <c r="B443" s="388">
        <v>4.6839378238342055E-2</v>
      </c>
      <c r="C443" s="389">
        <v>0.13141025641025639</v>
      </c>
    </row>
    <row r="444" spans="1:3">
      <c r="A444" s="384" t="s">
        <v>91</v>
      </c>
      <c r="B444" s="388">
        <v>6.575496575382174E-2</v>
      </c>
      <c r="C444" s="389">
        <v>2.3324713299534041</v>
      </c>
    </row>
    <row r="445" spans="1:3">
      <c r="A445" s="382" t="s">
        <v>222</v>
      </c>
      <c r="B445" s="388">
        <v>-8.8476732833587066E-3</v>
      </c>
      <c r="C445" s="389">
        <v>-0.46178256953367164</v>
      </c>
    </row>
    <row r="446" spans="1:3">
      <c r="A446" s="383" t="s">
        <v>1327</v>
      </c>
      <c r="B446" s="388">
        <v>-0.24539045553145333</v>
      </c>
      <c r="C446" s="389">
        <v>-1.0541176470588236</v>
      </c>
    </row>
    <row r="447" spans="1:3">
      <c r="A447" s="383" t="s">
        <v>221</v>
      </c>
      <c r="B447" s="388">
        <v>-5.2445939712944645E-2</v>
      </c>
      <c r="C447" s="389">
        <v>-0.15604757979036632</v>
      </c>
    </row>
    <row r="448" spans="1:3">
      <c r="A448" s="383" t="s">
        <v>773</v>
      </c>
      <c r="B448" s="388">
        <v>0.27129337539432186</v>
      </c>
      <c r="C448" s="389">
        <v>-0.17518248175182483</v>
      </c>
    </row>
    <row r="449" spans="1:3">
      <c r="A449" s="382" t="s">
        <v>300</v>
      </c>
      <c r="B449" s="388">
        <v>-7.1568081931146277E-2</v>
      </c>
      <c r="C449" s="389">
        <v>-0.22264863244989547</v>
      </c>
    </row>
    <row r="450" spans="1:3">
      <c r="A450" s="383" t="s">
        <v>299</v>
      </c>
      <c r="B450" s="388">
        <v>-4.4237485448195613E-2</v>
      </c>
      <c r="C450" s="389">
        <v>-0.57664054848188051</v>
      </c>
    </row>
    <row r="451" spans="1:3">
      <c r="A451" s="383" t="s">
        <v>611</v>
      </c>
      <c r="B451" s="388">
        <v>-9.8898678414096941E-2</v>
      </c>
      <c r="C451" s="389">
        <v>0.13134328358208958</v>
      </c>
    </row>
    <row r="452" spans="1:3">
      <c r="A452" s="382" t="s">
        <v>410</v>
      </c>
      <c r="B452" s="388">
        <v>3.5402504175564967E-2</v>
      </c>
      <c r="C452" s="389">
        <v>8.0589026905420538E-2</v>
      </c>
    </row>
    <row r="453" spans="1:3">
      <c r="A453" s="383" t="s">
        <v>409</v>
      </c>
      <c r="B453" s="388">
        <v>0.17128642501776836</v>
      </c>
      <c r="C453" s="389">
        <v>0.11267605633802824</v>
      </c>
    </row>
    <row r="454" spans="1:3">
      <c r="A454" s="383" t="s">
        <v>507</v>
      </c>
      <c r="B454" s="388">
        <v>-0.10780240073868885</v>
      </c>
      <c r="C454" s="389">
        <v>0.20814479638009042</v>
      </c>
    </row>
    <row r="455" spans="1:3">
      <c r="A455" s="383" t="s">
        <v>540</v>
      </c>
      <c r="B455" s="388">
        <v>8.3775953645581769E-2</v>
      </c>
      <c r="C455" s="389">
        <v>0.20615384615384613</v>
      </c>
    </row>
    <row r="456" spans="1:3">
      <c r="A456" s="383" t="s">
        <v>725</v>
      </c>
      <c r="B456" s="388">
        <v>0.11669128508124071</v>
      </c>
      <c r="C456" s="389">
        <v>-9.8654708520179324E-2</v>
      </c>
    </row>
    <row r="457" spans="1:3">
      <c r="A457" s="383" t="s">
        <v>425</v>
      </c>
      <c r="B457" s="388">
        <v>-8.6938742128077173E-2</v>
      </c>
      <c r="C457" s="389">
        <v>-2.5374855824682796E-2</v>
      </c>
    </row>
    <row r="458" spans="1:3">
      <c r="A458" s="382" t="s">
        <v>589</v>
      </c>
      <c r="B458" s="388">
        <v>0.10033522342388175</v>
      </c>
      <c r="C458" s="389">
        <v>0.59029917618763816</v>
      </c>
    </row>
    <row r="459" spans="1:3">
      <c r="A459" s="383" t="s">
        <v>588</v>
      </c>
      <c r="B459" s="388">
        <v>6.3515509601181686E-2</v>
      </c>
      <c r="C459" s="389">
        <v>-9.5940959409594129E-2</v>
      </c>
    </row>
    <row r="460" spans="1:3">
      <c r="A460" s="383" t="s">
        <v>971</v>
      </c>
      <c r="B460" s="388">
        <v>0.10543478260869565</v>
      </c>
      <c r="C460" s="389">
        <v>-0.21649484536082475</v>
      </c>
    </row>
    <row r="461" spans="1:3">
      <c r="A461" s="383" t="s">
        <v>1213</v>
      </c>
      <c r="B461" s="388">
        <v>0.13205537806176793</v>
      </c>
      <c r="C461" s="389">
        <v>2.0833333333333335</v>
      </c>
    </row>
    <row r="462" spans="1:3">
      <c r="A462" s="382" t="s">
        <v>1239</v>
      </c>
      <c r="B462" s="388">
        <v>0.43506493506493515</v>
      </c>
      <c r="C462" s="389">
        <v>0.5106382978723405</v>
      </c>
    </row>
    <row r="463" spans="1:3">
      <c r="A463" s="383" t="s">
        <v>1238</v>
      </c>
      <c r="B463" s="388">
        <v>0.43506493506493515</v>
      </c>
      <c r="C463" s="389">
        <v>0.5106382978723405</v>
      </c>
    </row>
    <row r="464" spans="1:3">
      <c r="A464" s="382" t="s">
        <v>202</v>
      </c>
      <c r="B464" s="388">
        <v>1.2254663440967779E-3</v>
      </c>
      <c r="C464" s="389">
        <v>-1.0777079959651525</v>
      </c>
    </row>
    <row r="465" spans="1:3">
      <c r="A465" s="383" t="s">
        <v>201</v>
      </c>
      <c r="B465" s="388">
        <v>1.2558907255459939E-3</v>
      </c>
      <c r="C465" s="389">
        <v>0.22573363431151239</v>
      </c>
    </row>
    <row r="466" spans="1:3">
      <c r="A466" s="383" t="s">
        <v>339</v>
      </c>
      <c r="B466" s="388">
        <v>2.42050830674434E-3</v>
      </c>
      <c r="C466" s="389">
        <v>-1.4413177762525708E-2</v>
      </c>
    </row>
    <row r="467" spans="1:3">
      <c r="A467" s="383" t="s">
        <v>1246</v>
      </c>
      <c r="B467" s="388">
        <v>0</v>
      </c>
      <c r="C467" s="389">
        <v>-3.4444444444444446</v>
      </c>
    </row>
    <row r="468" spans="1:3">
      <c r="A468" s="382" t="s">
        <v>537</v>
      </c>
      <c r="B468" s="388">
        <v>0.18343195266272194</v>
      </c>
      <c r="C468" s="389">
        <v>0.64864864864864868</v>
      </c>
    </row>
    <row r="469" spans="1:3">
      <c r="A469" s="383" t="s">
        <v>536</v>
      </c>
      <c r="B469" s="388">
        <v>0.18343195266272194</v>
      </c>
      <c r="C469" s="389">
        <v>0.64864864864864868</v>
      </c>
    </row>
    <row r="470" spans="1:3">
      <c r="A470" s="382" t="s">
        <v>168</v>
      </c>
      <c r="B470" s="388">
        <v>0.11703744778236931</v>
      </c>
      <c r="C470" s="389">
        <v>9.9305505172941704</v>
      </c>
    </row>
    <row r="471" spans="1:3">
      <c r="A471" s="383" t="s">
        <v>338</v>
      </c>
      <c r="B471" s="388">
        <v>7.1318216576413462E-2</v>
      </c>
      <c r="C471" s="389">
        <v>0.88909329829172146</v>
      </c>
    </row>
    <row r="472" spans="1:3">
      <c r="A472" s="383" t="s">
        <v>662</v>
      </c>
      <c r="B472" s="388">
        <v>0.24096385542168686</v>
      </c>
      <c r="C472" s="389">
        <v>49.05</v>
      </c>
    </row>
    <row r="473" spans="1:3">
      <c r="A473" s="383" t="s">
        <v>328</v>
      </c>
      <c r="B473" s="388">
        <v>4.7668064238072461E-2</v>
      </c>
      <c r="C473" s="389">
        <v>0.57727093983484079</v>
      </c>
    </row>
    <row r="474" spans="1:3">
      <c r="A474" s="383" t="s">
        <v>225</v>
      </c>
      <c r="B474" s="388">
        <v>7.62338171117245E-2</v>
      </c>
      <c r="C474" s="389">
        <v>5.2887750349324643</v>
      </c>
    </row>
    <row r="475" spans="1:3">
      <c r="A475" s="383" t="s">
        <v>473</v>
      </c>
      <c r="B475" s="388">
        <v>0.16093749999999996</v>
      </c>
      <c r="C475" s="389">
        <v>3.6925566343042071</v>
      </c>
    </row>
    <row r="476" spans="1:3">
      <c r="A476" s="383" t="s">
        <v>167</v>
      </c>
      <c r="B476" s="388">
        <v>0.10510323334631866</v>
      </c>
      <c r="C476" s="389">
        <v>8.5607196401799035E-2</v>
      </c>
    </row>
    <row r="477" spans="1:3">
      <c r="A477" s="382" t="s">
        <v>535</v>
      </c>
      <c r="B477" s="388">
        <v>1.1137162954278912E-2</v>
      </c>
      <c r="C477" s="389">
        <v>0.45911949685534581</v>
      </c>
    </row>
    <row r="478" spans="1:3">
      <c r="A478" s="383" t="s">
        <v>534</v>
      </c>
      <c r="B478" s="388">
        <v>1.1137162954278912E-2</v>
      </c>
      <c r="C478" s="389">
        <v>0.45911949685534581</v>
      </c>
    </row>
    <row r="479" spans="1:3">
      <c r="A479" s="384" t="s">
        <v>183</v>
      </c>
      <c r="B479" s="388">
        <v>0.4664775744324714</v>
      </c>
      <c r="C479" s="389">
        <v>0.91802311263911773</v>
      </c>
    </row>
    <row r="480" spans="1:3">
      <c r="A480" s="382" t="s">
        <v>406</v>
      </c>
      <c r="B480" s="388">
        <v>0.16529568697198749</v>
      </c>
      <c r="C480" s="389">
        <v>0.59459459459459452</v>
      </c>
    </row>
    <row r="481" spans="1:3">
      <c r="A481" s="383" t="s">
        <v>405</v>
      </c>
      <c r="B481" s="388">
        <v>0.16529568697198749</v>
      </c>
      <c r="C481" s="389">
        <v>0.59459459459459452</v>
      </c>
    </row>
    <row r="482" spans="1:3">
      <c r="A482" s="382" t="s">
        <v>604</v>
      </c>
      <c r="B482" s="388">
        <v>6.1287284144426968E-2</v>
      </c>
      <c r="C482" s="389">
        <v>7.8014184397163122E-2</v>
      </c>
    </row>
    <row r="483" spans="1:3">
      <c r="A483" s="383" t="s">
        <v>603</v>
      </c>
      <c r="B483" s="388">
        <v>1.318681318681314E-2</v>
      </c>
      <c r="C483" s="389">
        <v>0.15602836879432624</v>
      </c>
    </row>
    <row r="484" spans="1:3">
      <c r="A484" s="383" t="s">
        <v>732</v>
      </c>
      <c r="B484" s="388">
        <v>0.1093877551020408</v>
      </c>
      <c r="C484" s="389">
        <v>0</v>
      </c>
    </row>
    <row r="485" spans="1:3">
      <c r="A485" s="382" t="s">
        <v>317</v>
      </c>
      <c r="B485" s="388">
        <v>0.18618529886410795</v>
      </c>
      <c r="C485" s="389">
        <v>4.660278479060068</v>
      </c>
    </row>
    <row r="486" spans="1:3">
      <c r="A486" s="383" t="s">
        <v>692</v>
      </c>
      <c r="B486" s="388">
        <v>-0.17463706233988041</v>
      </c>
      <c r="C486" s="389">
        <v>0.10526315789473695</v>
      </c>
    </row>
    <row r="487" spans="1:3">
      <c r="A487" s="383" t="s">
        <v>1256</v>
      </c>
      <c r="B487" s="388">
        <v>0.25465838509316763</v>
      </c>
      <c r="C487" s="389">
        <v>1</v>
      </c>
    </row>
    <row r="488" spans="1:3">
      <c r="A488" s="383" t="s">
        <v>1212</v>
      </c>
      <c r="B488" s="388">
        <v>6.3492063492063489E-2</v>
      </c>
      <c r="C488" s="389">
        <v>40.666666666666671</v>
      </c>
    </row>
    <row r="489" spans="1:3">
      <c r="A489" s="383" t="s">
        <v>931</v>
      </c>
      <c r="B489" s="388">
        <v>5.2392739273927402E-2</v>
      </c>
      <c r="C489" s="389">
        <v>0.19298245614035081</v>
      </c>
    </row>
    <row r="490" spans="1:3">
      <c r="A490" s="383" t="s">
        <v>973</v>
      </c>
      <c r="B490" s="388">
        <v>0.53694581280788167</v>
      </c>
      <c r="C490" s="389">
        <v>0.95833333333333326</v>
      </c>
    </row>
    <row r="491" spans="1:3">
      <c r="A491" s="383" t="s">
        <v>465</v>
      </c>
      <c r="B491" s="388">
        <v>0.2213963963963963</v>
      </c>
      <c r="C491" s="389">
        <v>0.6210526315789473</v>
      </c>
    </row>
    <row r="492" spans="1:3">
      <c r="A492" s="383" t="s">
        <v>752</v>
      </c>
      <c r="B492" s="388">
        <v>0.8049689440993788</v>
      </c>
      <c r="C492" s="389">
        <v>-2.9811320754716979</v>
      </c>
    </row>
    <row r="493" spans="1:3">
      <c r="A493" s="383" t="s">
        <v>437</v>
      </c>
      <c r="B493" s="388">
        <v>-0.11070944419340267</v>
      </c>
      <c r="C493" s="389">
        <v>1.1315789473684212</v>
      </c>
    </row>
    <row r="494" spans="1:3">
      <c r="A494" s="383" t="s">
        <v>316</v>
      </c>
      <c r="B494" s="388">
        <v>2.7159855147439238E-2</v>
      </c>
      <c r="C494" s="389">
        <v>0.24776119402985075</v>
      </c>
    </row>
    <row r="495" spans="1:3">
      <c r="A495" s="382" t="s">
        <v>480</v>
      </c>
      <c r="B495" s="388">
        <v>5.9074410013749805</v>
      </c>
      <c r="C495" s="389">
        <v>2.1766884531590414</v>
      </c>
    </row>
    <row r="496" spans="1:3">
      <c r="A496" s="383" t="s">
        <v>1326</v>
      </c>
      <c r="B496" s="388">
        <v>17.521276595744681</v>
      </c>
      <c r="C496" s="389">
        <v>7</v>
      </c>
    </row>
    <row r="497" spans="1:3">
      <c r="A497" s="383" t="s">
        <v>479</v>
      </c>
      <c r="B497" s="388">
        <v>0.15636555731642887</v>
      </c>
      <c r="C497" s="389">
        <v>8.8888888888888795E-2</v>
      </c>
    </row>
    <row r="498" spans="1:3">
      <c r="A498" s="383" t="s">
        <v>1053</v>
      </c>
      <c r="B498" s="388">
        <v>4.4680851063829685E-2</v>
      </c>
      <c r="C498" s="389">
        <v>-0.55882352941176472</v>
      </c>
    </row>
    <row r="499" spans="1:3">
      <c r="A499" s="382" t="s">
        <v>569</v>
      </c>
      <c r="B499" s="388">
        <v>0.14165927228553291</v>
      </c>
      <c r="C499" s="389">
        <v>-0.16425980696684045</v>
      </c>
    </row>
    <row r="500" spans="1:3">
      <c r="A500" s="383" t="s">
        <v>892</v>
      </c>
      <c r="B500" s="388">
        <v>0.13762486126526086</v>
      </c>
      <c r="C500" s="389">
        <v>7.9365079365079305E-2</v>
      </c>
    </row>
    <row r="501" spans="1:3">
      <c r="A501" s="383" t="s">
        <v>568</v>
      </c>
      <c r="B501" s="388">
        <v>0.17611940298507456</v>
      </c>
      <c r="C501" s="389">
        <v>0.48780487804878048</v>
      </c>
    </row>
    <row r="502" spans="1:3">
      <c r="A502" s="383" t="s">
        <v>1162</v>
      </c>
      <c r="B502" s="388">
        <v>8.3252662149080336E-2</v>
      </c>
      <c r="C502" s="389">
        <v>-0.20930232558139539</v>
      </c>
    </row>
    <row r="503" spans="1:3">
      <c r="A503" s="383" t="s">
        <v>1205</v>
      </c>
      <c r="B503" s="388">
        <v>0.14463276836158201</v>
      </c>
      <c r="C503" s="389">
        <v>-0.16666666666666663</v>
      </c>
    </row>
    <row r="504" spans="1:3">
      <c r="A504" s="383" t="s">
        <v>1081</v>
      </c>
      <c r="B504" s="388">
        <v>0.16666666666666674</v>
      </c>
      <c r="C504" s="389">
        <v>-1.0125</v>
      </c>
    </row>
    <row r="505" spans="1:3">
      <c r="A505" s="382" t="s">
        <v>117</v>
      </c>
      <c r="B505" s="388">
        <v>7.7148429631725815E-2</v>
      </c>
      <c r="C505" s="389">
        <v>0.56445964808626314</v>
      </c>
    </row>
    <row r="506" spans="1:3">
      <c r="A506" s="383" t="s">
        <v>957</v>
      </c>
      <c r="B506" s="388">
        <v>0.13409090909090904</v>
      </c>
      <c r="C506" s="389">
        <v>0.24137931034482762</v>
      </c>
    </row>
    <row r="507" spans="1:3">
      <c r="A507" s="383" t="s">
        <v>182</v>
      </c>
      <c r="B507" s="388">
        <v>3.0671333121221833E-2</v>
      </c>
      <c r="C507" s="389">
        <v>1.4510022271714922</v>
      </c>
    </row>
    <row r="508" spans="1:3">
      <c r="A508" s="383" t="s">
        <v>192</v>
      </c>
      <c r="B508" s="388">
        <v>6.6683046683046587E-2</v>
      </c>
      <c r="C508" s="389">
        <v>9.974067424696198E-4</v>
      </c>
    </row>
    <row r="509" spans="1:3">
      <c r="A509" s="382" t="s">
        <v>130</v>
      </c>
      <c r="B509" s="388">
        <v>0.39831314534870543</v>
      </c>
      <c r="C509" s="389">
        <v>0.21423764677445772</v>
      </c>
    </row>
    <row r="510" spans="1:3">
      <c r="A510" s="383" t="s">
        <v>541</v>
      </c>
      <c r="B510" s="388">
        <v>0.10475681453768049</v>
      </c>
      <c r="C510" s="389">
        <v>-0.34549878345498786</v>
      </c>
    </row>
    <row r="511" spans="1:3">
      <c r="A511" s="383" t="s">
        <v>1000</v>
      </c>
      <c r="B511" s="388">
        <v>0.26583801122694473</v>
      </c>
      <c r="C511" s="389">
        <v>6.944444444444442E-2</v>
      </c>
    </row>
    <row r="512" spans="1:3">
      <c r="A512" s="383" t="s">
        <v>315</v>
      </c>
      <c r="B512" s="388">
        <v>0.26592698639942736</v>
      </c>
      <c r="C512" s="389">
        <v>0.13300492610837433</v>
      </c>
    </row>
    <row r="513" spans="1:3">
      <c r="A513" s="383" t="s">
        <v>1223</v>
      </c>
      <c r="B513" s="388">
        <v>0.95673076923076916</v>
      </c>
      <c r="C513" s="389">
        <v>1</v>
      </c>
    </row>
    <row r="514" spans="1:3">
      <c r="A514" s="382" t="s">
        <v>804</v>
      </c>
      <c r="B514" s="388">
        <v>7.66556029713924E-2</v>
      </c>
      <c r="C514" s="389">
        <v>-0.26525198938992045</v>
      </c>
    </row>
    <row r="515" spans="1:3">
      <c r="A515" s="383" t="s">
        <v>1235</v>
      </c>
      <c r="B515" s="388">
        <v>0.10210210210210202</v>
      </c>
      <c r="C515" s="389">
        <v>-0.46153846153846156</v>
      </c>
    </row>
    <row r="516" spans="1:3">
      <c r="A516" s="383" t="s">
        <v>803</v>
      </c>
      <c r="B516" s="388">
        <v>5.1209103840682779E-2</v>
      </c>
      <c r="C516" s="389">
        <v>-6.8965517241379337E-2</v>
      </c>
    </row>
    <row r="517" spans="1:3">
      <c r="A517" s="382" t="s">
        <v>1302</v>
      </c>
      <c r="B517" s="388">
        <v>0.33863407154301989</v>
      </c>
      <c r="C517" s="389">
        <v>2.1134920634920635</v>
      </c>
    </row>
    <row r="518" spans="1:3">
      <c r="A518" s="383" t="s">
        <v>1334</v>
      </c>
      <c r="B518" s="388">
        <v>0.41512027491408943</v>
      </c>
      <c r="C518" s="389">
        <v>2.1904761904761907</v>
      </c>
    </row>
    <row r="519" spans="1:3">
      <c r="A519" s="383" t="s">
        <v>1335</v>
      </c>
      <c r="B519" s="388">
        <v>0.51111111111111107</v>
      </c>
      <c r="C519" s="389">
        <v>2.75</v>
      </c>
    </row>
    <row r="520" spans="1:3">
      <c r="A520" s="383" t="s">
        <v>1301</v>
      </c>
      <c r="B520" s="388">
        <v>8.9670828603859221E-2</v>
      </c>
      <c r="C520" s="389">
        <v>1.4</v>
      </c>
    </row>
    <row r="521" spans="1:3">
      <c r="A521" s="382" t="s">
        <v>664</v>
      </c>
      <c r="B521" s="388">
        <v>0.18577312218867584</v>
      </c>
      <c r="C521" s="389">
        <v>0.12226408689254727</v>
      </c>
    </row>
    <row r="522" spans="1:3">
      <c r="A522" s="383" t="s">
        <v>1120</v>
      </c>
      <c r="B522" s="388">
        <v>0.29919137466307277</v>
      </c>
      <c r="C522" s="389">
        <v>0.46153846153846145</v>
      </c>
    </row>
    <row r="523" spans="1:3">
      <c r="A523" s="383" t="s">
        <v>911</v>
      </c>
      <c r="B523" s="388">
        <v>0.30946065428824054</v>
      </c>
      <c r="C523" s="389">
        <v>-7.0422535211267623E-2</v>
      </c>
    </row>
    <row r="524" spans="1:3">
      <c r="A524" s="383" t="s">
        <v>1062</v>
      </c>
      <c r="B524" s="388">
        <v>0.2068965517241379</v>
      </c>
      <c r="C524" s="389">
        <v>-0.1428571428571429</v>
      </c>
    </row>
    <row r="525" spans="1:3">
      <c r="A525" s="383" t="s">
        <v>857</v>
      </c>
      <c r="B525" s="388">
        <v>-0.12195121951219512</v>
      </c>
      <c r="C525" s="389">
        <v>0.28030303030303028</v>
      </c>
    </row>
    <row r="526" spans="1:3">
      <c r="A526" s="383" t="s">
        <v>663</v>
      </c>
      <c r="B526" s="388">
        <v>0.23526824978012306</v>
      </c>
      <c r="C526" s="389">
        <v>8.2758620689655116E-2</v>
      </c>
    </row>
    <row r="527" spans="1:3">
      <c r="A527" s="382" t="s">
        <v>249</v>
      </c>
      <c r="B527" s="388">
        <v>0.13544668587896247</v>
      </c>
      <c r="C527" s="389">
        <v>0.33333333333333326</v>
      </c>
    </row>
    <row r="528" spans="1:3">
      <c r="A528" s="383" t="s">
        <v>248</v>
      </c>
      <c r="B528" s="388">
        <v>0.13544668587896247</v>
      </c>
      <c r="C528" s="389">
        <v>0.33333333333333326</v>
      </c>
    </row>
    <row r="529" spans="1:3">
      <c r="A529" s="382" t="s">
        <v>638</v>
      </c>
      <c r="B529" s="388">
        <v>0.46939069431881808</v>
      </c>
      <c r="C529" s="389">
        <v>0.72650602409638554</v>
      </c>
    </row>
    <row r="530" spans="1:3">
      <c r="A530" s="383" t="s">
        <v>637</v>
      </c>
      <c r="B530" s="388">
        <v>0.18291284403669716</v>
      </c>
      <c r="C530" s="389">
        <v>5.3012048192771166E-2</v>
      </c>
    </row>
    <row r="531" spans="1:3">
      <c r="A531" s="383" t="s">
        <v>833</v>
      </c>
      <c r="B531" s="388">
        <v>0.755868544600939</v>
      </c>
      <c r="C531" s="389">
        <v>1.4</v>
      </c>
    </row>
    <row r="532" spans="1:3">
      <c r="A532" s="382" t="s">
        <v>105</v>
      </c>
      <c r="B532" s="388">
        <v>0.23266261269776869</v>
      </c>
      <c r="C532" s="389">
        <v>-0.54290757957070002</v>
      </c>
    </row>
    <row r="533" spans="1:3">
      <c r="A533" s="383" t="s">
        <v>1273</v>
      </c>
      <c r="B533" s="388">
        <v>0.29931972789115657</v>
      </c>
      <c r="C533" s="389">
        <v>0.22222222222222232</v>
      </c>
    </row>
    <row r="534" spans="1:3">
      <c r="A534" s="383" t="s">
        <v>628</v>
      </c>
      <c r="B534" s="388">
        <v>0.1079943899018232</v>
      </c>
      <c r="C534" s="389">
        <v>1.2962962962962963</v>
      </c>
    </row>
    <row r="535" spans="1:3">
      <c r="A535" s="383" t="s">
        <v>257</v>
      </c>
      <c r="B535" s="388">
        <v>8.2081428260396327E-2</v>
      </c>
      <c r="C535" s="389">
        <v>0.17182130584192445</v>
      </c>
    </row>
    <row r="536" spans="1:3">
      <c r="A536" s="383" t="s">
        <v>1080</v>
      </c>
      <c r="B536" s="388">
        <v>1.8297331639135939E-2</v>
      </c>
      <c r="C536" s="389">
        <v>2</v>
      </c>
    </row>
    <row r="537" spans="1:3">
      <c r="A537" s="383" t="s">
        <v>226</v>
      </c>
      <c r="B537" s="388">
        <v>0.18581293157564338</v>
      </c>
      <c r="C537" s="389">
        <v>0.45058139534883712</v>
      </c>
    </row>
    <row r="538" spans="1:3">
      <c r="A538" s="383" t="s">
        <v>1220</v>
      </c>
      <c r="B538" s="388">
        <v>3.8461538461538547E-2</v>
      </c>
      <c r="C538" s="389">
        <v>-1.0810810810810811</v>
      </c>
    </row>
    <row r="539" spans="1:3">
      <c r="A539" s="383" t="s">
        <v>735</v>
      </c>
      <c r="B539" s="388">
        <v>3.8227263180004245E-2</v>
      </c>
      <c r="C539" s="389">
        <v>9.68992248062015E-2</v>
      </c>
    </row>
    <row r="540" spans="1:3">
      <c r="A540" s="383" t="s">
        <v>712</v>
      </c>
      <c r="B540" s="388">
        <v>1.0911062906724514</v>
      </c>
      <c r="C540" s="389">
        <v>-7.5</v>
      </c>
    </row>
    <row r="541" spans="1:3">
      <c r="A541" s="382" t="s">
        <v>282</v>
      </c>
      <c r="B541" s="388">
        <v>0.21369996855035345</v>
      </c>
      <c r="C541" s="389">
        <v>0.48816946041120463</v>
      </c>
    </row>
    <row r="542" spans="1:3">
      <c r="A542" s="383" t="s">
        <v>986</v>
      </c>
      <c r="B542" s="388">
        <v>0.30769230769230771</v>
      </c>
      <c r="C542" s="389">
        <v>0.84000000000000008</v>
      </c>
    </row>
    <row r="543" spans="1:3">
      <c r="A543" s="383" t="s">
        <v>386</v>
      </c>
      <c r="B543" s="388">
        <v>2.9014844804318596E-2</v>
      </c>
      <c r="C543" s="389">
        <v>3.1055900621117516E-3</v>
      </c>
    </row>
    <row r="544" spans="1:3">
      <c r="A544" s="383" t="s">
        <v>763</v>
      </c>
      <c r="B544" s="388">
        <v>1.0217391304347827</v>
      </c>
      <c r="C544" s="389">
        <v>1.9090909090909092</v>
      </c>
    </row>
    <row r="545" spans="1:3">
      <c r="A545" s="383" t="s">
        <v>327</v>
      </c>
      <c r="B545" s="388">
        <v>6.0804769001490344E-2</v>
      </c>
      <c r="C545" s="389">
        <v>7.3643410852713087E-2</v>
      </c>
    </row>
    <row r="546" spans="1:3">
      <c r="A546" s="383" t="s">
        <v>571</v>
      </c>
      <c r="B546" s="388">
        <v>9.7235462345090617E-2</v>
      </c>
      <c r="C546" s="389">
        <v>0.14748201438848918</v>
      </c>
    </row>
    <row r="547" spans="1:3">
      <c r="A547" s="383" t="s">
        <v>516</v>
      </c>
      <c r="B547" s="388">
        <v>0.15328467153284664</v>
      </c>
      <c r="C547" s="389">
        <v>0.37599999999999989</v>
      </c>
    </row>
    <row r="548" spans="1:3">
      <c r="A548" s="383" t="s">
        <v>281</v>
      </c>
      <c r="B548" s="388">
        <v>8.784501061571115E-2</v>
      </c>
      <c r="C548" s="389">
        <v>-2.0080321285140812E-3</v>
      </c>
    </row>
    <row r="549" spans="1:3">
      <c r="A549" s="383" t="s">
        <v>786</v>
      </c>
      <c r="B549" s="388">
        <v>0.16247582205029021</v>
      </c>
      <c r="C549" s="389">
        <v>0.92307692307692313</v>
      </c>
    </row>
    <row r="550" spans="1:3">
      <c r="A550" s="383" t="s">
        <v>457</v>
      </c>
      <c r="B550" s="388">
        <v>3.2076984763431682E-3</v>
      </c>
      <c r="C550" s="389">
        <v>0.12313432835820892</v>
      </c>
    </row>
    <row r="551" spans="1:3">
      <c r="A551" s="382" t="s">
        <v>674</v>
      </c>
      <c r="B551" s="388">
        <v>0.1911971511522409</v>
      </c>
      <c r="C551" s="389">
        <v>0.13378033205619411</v>
      </c>
    </row>
    <row r="552" spans="1:3">
      <c r="A552" s="383" t="s">
        <v>673</v>
      </c>
      <c r="B552" s="388">
        <v>0.1816367265469061</v>
      </c>
      <c r="C552" s="389">
        <v>0.12962962962962954</v>
      </c>
    </row>
    <row r="553" spans="1:3">
      <c r="A553" s="383" t="s">
        <v>1118</v>
      </c>
      <c r="B553" s="388">
        <v>0.20075757575757569</v>
      </c>
      <c r="C553" s="389">
        <v>0.13793103448275867</v>
      </c>
    </row>
    <row r="554" spans="1:3">
      <c r="A554" s="382" t="s">
        <v>797</v>
      </c>
      <c r="B554" s="388">
        <v>0.13871289877107137</v>
      </c>
      <c r="C554" s="389">
        <v>3.6240436736994799E-2</v>
      </c>
    </row>
    <row r="555" spans="1:3">
      <c r="A555" s="383" t="s">
        <v>1290</v>
      </c>
      <c r="B555" s="388">
        <v>-6.5040650406504086E-2</v>
      </c>
      <c r="C555" s="389">
        <v>-1.1485148514851484</v>
      </c>
    </row>
    <row r="556" spans="1:3">
      <c r="A556" s="383" t="s">
        <v>796</v>
      </c>
      <c r="B556" s="388">
        <v>0.21979865771812079</v>
      </c>
      <c r="C556" s="389">
        <v>0.61428571428571432</v>
      </c>
    </row>
    <row r="557" spans="1:3">
      <c r="A557" s="383" t="s">
        <v>1013</v>
      </c>
      <c r="B557" s="388">
        <v>0.52969121140142517</v>
      </c>
      <c r="C557" s="389">
        <v>0.71428571428571419</v>
      </c>
    </row>
    <row r="558" spans="1:3">
      <c r="A558" s="383" t="s">
        <v>988</v>
      </c>
      <c r="B558" s="388">
        <v>-0.12713472485768496</v>
      </c>
      <c r="C558" s="389">
        <v>-0.81280788177339902</v>
      </c>
    </row>
    <row r="559" spans="1:3">
      <c r="A559" s="383" t="s">
        <v>818</v>
      </c>
      <c r="B559" s="388">
        <v>0.13624999999999998</v>
      </c>
      <c r="C559" s="389">
        <v>0.81395348837209291</v>
      </c>
    </row>
    <row r="560" spans="1:3">
      <c r="A560" s="382" t="s">
        <v>126</v>
      </c>
      <c r="B560" s="388">
        <v>0.26789910546785234</v>
      </c>
      <c r="C560" s="389">
        <v>0.46531746031746024</v>
      </c>
    </row>
    <row r="561" spans="1:3">
      <c r="A561" s="383" t="s">
        <v>683</v>
      </c>
      <c r="B561" s="388">
        <v>0.38522427440633256</v>
      </c>
      <c r="C561" s="389">
        <v>0.58730158730158721</v>
      </c>
    </row>
    <row r="562" spans="1:3">
      <c r="A562" s="383" t="s">
        <v>297</v>
      </c>
      <c r="B562" s="388">
        <v>0.15057393652937212</v>
      </c>
      <c r="C562" s="389">
        <v>0.34333333333333327</v>
      </c>
    </row>
    <row r="563" spans="1:3">
      <c r="A563" s="384" t="s">
        <v>172</v>
      </c>
      <c r="B563" s="388">
        <v>0.34304287420761703</v>
      </c>
      <c r="C563" s="389">
        <v>0.60443700826258995</v>
      </c>
    </row>
    <row r="564" spans="1:3">
      <c r="A564" s="382" t="s">
        <v>246</v>
      </c>
      <c r="B564" s="388">
        <v>0.2251961865598231</v>
      </c>
      <c r="C564" s="389">
        <v>0.20258585032511228</v>
      </c>
    </row>
    <row r="565" spans="1:3">
      <c r="A565" s="383" t="s">
        <v>522</v>
      </c>
      <c r="B565" s="388">
        <v>0.16356107660455477</v>
      </c>
      <c r="C565" s="389">
        <v>0.20089285714285721</v>
      </c>
    </row>
    <row r="566" spans="1:3">
      <c r="A566" s="383" t="s">
        <v>291</v>
      </c>
      <c r="B566" s="388">
        <v>0.20155793573515091</v>
      </c>
      <c r="C566" s="389">
        <v>0.19968798751950079</v>
      </c>
    </row>
    <row r="567" spans="1:3">
      <c r="A567" s="383" t="s">
        <v>245</v>
      </c>
      <c r="B567" s="388">
        <v>0.23471882640586794</v>
      </c>
      <c r="C567" s="389">
        <v>0.45094936708860756</v>
      </c>
    </row>
    <row r="568" spans="1:3">
      <c r="A568" s="383" t="s">
        <v>395</v>
      </c>
      <c r="B568" s="388">
        <v>0.29519071310116085</v>
      </c>
      <c r="C568" s="389">
        <v>0.36949152542372876</v>
      </c>
    </row>
    <row r="569" spans="1:3">
      <c r="A569" s="383" t="s">
        <v>704</v>
      </c>
      <c r="B569" s="388">
        <v>0.23095238095238102</v>
      </c>
      <c r="C569" s="389">
        <v>-0.20809248554913296</v>
      </c>
    </row>
    <row r="570" spans="1:3">
      <c r="A570" s="382" t="s">
        <v>521</v>
      </c>
      <c r="B570" s="388">
        <v>0.12080536912751683</v>
      </c>
      <c r="C570" s="389">
        <v>2.3076923076922995E-2</v>
      </c>
    </row>
    <row r="571" spans="1:3">
      <c r="A571" s="383" t="s">
        <v>139</v>
      </c>
      <c r="B571" s="388">
        <v>0.12080536912751683</v>
      </c>
      <c r="C571" s="389">
        <v>2.3076923076922995E-2</v>
      </c>
    </row>
    <row r="572" spans="1:3">
      <c r="A572" s="382" t="s">
        <v>626</v>
      </c>
      <c r="B572" s="388">
        <v>0.10069475635804692</v>
      </c>
      <c r="C572" s="389">
        <v>1.9207579672695967E-2</v>
      </c>
    </row>
    <row r="573" spans="1:3">
      <c r="A573" s="383" t="s">
        <v>625</v>
      </c>
      <c r="B573" s="388">
        <v>4.9479166666666741E-2</v>
      </c>
      <c r="C573" s="389">
        <v>0</v>
      </c>
    </row>
    <row r="574" spans="1:3">
      <c r="A574" s="383" t="s">
        <v>627</v>
      </c>
      <c r="B574" s="388">
        <v>0.26086956521739135</v>
      </c>
      <c r="C574" s="389">
        <v>1.1111111111111072E-2</v>
      </c>
    </row>
    <row r="575" spans="1:3">
      <c r="A575" s="383" t="s">
        <v>1329</v>
      </c>
      <c r="B575" s="388">
        <v>-8.2644628099173278E-3</v>
      </c>
      <c r="C575" s="389">
        <v>4.6511627906976827E-2</v>
      </c>
    </row>
    <row r="576" spans="1:3">
      <c r="A576" s="382" t="s">
        <v>304</v>
      </c>
      <c r="B576" s="388">
        <v>0.62317036101758327</v>
      </c>
      <c r="C576" s="389">
        <v>1.1216477705040413</v>
      </c>
    </row>
    <row r="577" spans="1:3">
      <c r="A577" s="383" t="s">
        <v>302</v>
      </c>
      <c r="B577" s="388">
        <v>0.61979166666666674</v>
      </c>
      <c r="C577" s="389">
        <v>1.7465437788018434</v>
      </c>
    </row>
    <row r="578" spans="1:3">
      <c r="A578" s="383" t="s">
        <v>751</v>
      </c>
      <c r="B578" s="388">
        <v>9.8484848484848397E-2</v>
      </c>
      <c r="C578" s="389">
        <v>0.11214953271028039</v>
      </c>
    </row>
    <row r="579" spans="1:3">
      <c r="A579" s="383" t="s">
        <v>378</v>
      </c>
      <c r="B579" s="388">
        <v>1.1512345679012346</v>
      </c>
      <c r="C579" s="389">
        <v>1.5062500000000001</v>
      </c>
    </row>
    <row r="580" spans="1:3">
      <c r="A580" s="382" t="s">
        <v>266</v>
      </c>
      <c r="B580" s="388">
        <v>0.11151780577534653</v>
      </c>
      <c r="C580" s="389">
        <v>-0.34578583678990038</v>
      </c>
    </row>
    <row r="581" spans="1:3">
      <c r="A581" s="383" t="s">
        <v>459</v>
      </c>
      <c r="B581" s="388">
        <v>0.26570397111913358</v>
      </c>
      <c r="C581" s="389">
        <v>-2.9931972789115635E-2</v>
      </c>
    </row>
    <row r="582" spans="1:3">
      <c r="A582" s="383" t="s">
        <v>641</v>
      </c>
      <c r="B582" s="388">
        <v>2.1881838074398141E-2</v>
      </c>
      <c r="C582" s="389">
        <v>-3.3333333333333335</v>
      </c>
    </row>
    <row r="583" spans="1:3">
      <c r="A583" s="383" t="s">
        <v>272</v>
      </c>
      <c r="B583" s="388">
        <v>-6.9464971918415941E-3</v>
      </c>
      <c r="C583" s="389">
        <v>0.1048436541998774</v>
      </c>
    </row>
    <row r="584" spans="1:3">
      <c r="A584" s="383" t="s">
        <v>483</v>
      </c>
      <c r="B584" s="388">
        <v>0.25971731448763258</v>
      </c>
      <c r="C584" s="389">
        <v>0.37647058823529411</v>
      </c>
    </row>
    <row r="585" spans="1:3">
      <c r="A585" s="383" t="s">
        <v>265</v>
      </c>
      <c r="B585" s="388">
        <v>8.6458877041234894E-2</v>
      </c>
      <c r="C585" s="389">
        <v>5.8247422680412386E-2</v>
      </c>
    </row>
    <row r="586" spans="1:3">
      <c r="A586" s="383" t="s">
        <v>332</v>
      </c>
      <c r="B586" s="388">
        <v>5.3965143137117755E-2</v>
      </c>
      <c r="C586" s="389">
        <v>-5.8881256133463955E-3</v>
      </c>
    </row>
    <row r="587" spans="1:3">
      <c r="A587" s="383" t="s">
        <v>1128</v>
      </c>
      <c r="B587" s="388">
        <v>9.9843993759750393E-2</v>
      </c>
      <c r="C587" s="389">
        <v>0.40909090909090917</v>
      </c>
    </row>
    <row r="588" spans="1:3">
      <c r="A588" s="382" t="s">
        <v>518</v>
      </c>
      <c r="B588" s="388">
        <v>0.27692307692307694</v>
      </c>
      <c r="C588" s="389">
        <v>0.33685064935064934</v>
      </c>
    </row>
    <row r="589" spans="1:3">
      <c r="A589" s="383" t="s">
        <v>517</v>
      </c>
      <c r="B589" s="388">
        <v>0.25</v>
      </c>
      <c r="C589" s="389">
        <v>0.29870129870129869</v>
      </c>
    </row>
    <row r="590" spans="1:3">
      <c r="A590" s="383" t="s">
        <v>787</v>
      </c>
      <c r="B590" s="388">
        <v>0.30384615384615388</v>
      </c>
      <c r="C590" s="389">
        <v>0.375</v>
      </c>
    </row>
    <row r="591" spans="1:3">
      <c r="A591" s="382" t="s">
        <v>365</v>
      </c>
      <c r="B591" s="388">
        <v>0.26309700875888276</v>
      </c>
      <c r="C591" s="389">
        <v>-0.20987946912242683</v>
      </c>
    </row>
    <row r="592" spans="1:3">
      <c r="A592" s="383" t="s">
        <v>368</v>
      </c>
      <c r="B592" s="388">
        <v>0.19286068418443225</v>
      </c>
      <c r="C592" s="389">
        <v>-2.0817307692307692</v>
      </c>
    </row>
    <row r="593" spans="1:3">
      <c r="A593" s="383" t="s">
        <v>364</v>
      </c>
      <c r="B593" s="388">
        <v>0.33333333333333326</v>
      </c>
      <c r="C593" s="389">
        <v>1.6619718309859155</v>
      </c>
    </row>
    <row r="594" spans="1:3">
      <c r="A594" s="382" t="s">
        <v>86</v>
      </c>
      <c r="B594" s="388">
        <v>0.12813674295384403</v>
      </c>
      <c r="C594" s="389">
        <v>-1.3049648075553184</v>
      </c>
    </row>
    <row r="595" spans="1:3">
      <c r="A595" s="383" t="s">
        <v>374</v>
      </c>
      <c r="B595" s="388">
        <v>0.11477927063339721</v>
      </c>
      <c r="C595" s="389">
        <v>7.8866296980899531E-2</v>
      </c>
    </row>
    <row r="596" spans="1:3">
      <c r="A596" s="383" t="s">
        <v>486</v>
      </c>
      <c r="B596" s="388">
        <v>5.3142134120624185E-2</v>
      </c>
      <c r="C596" s="389">
        <v>0.18644067796610164</v>
      </c>
    </row>
    <row r="597" spans="1:3">
      <c r="A597" s="383" t="s">
        <v>321</v>
      </c>
      <c r="B597" s="388">
        <v>0.12376742604556279</v>
      </c>
      <c r="C597" s="389">
        <v>-9.1160220994475183E-2</v>
      </c>
    </row>
    <row r="598" spans="1:3">
      <c r="A598" s="383" t="s">
        <v>679</v>
      </c>
      <c r="B598" s="388">
        <v>0.24919354838709684</v>
      </c>
      <c r="C598" s="389">
        <v>-7.6923076923076925</v>
      </c>
    </row>
    <row r="599" spans="1:3">
      <c r="A599" s="383" t="s">
        <v>509</v>
      </c>
      <c r="B599" s="388">
        <v>0.11072231942014499</v>
      </c>
      <c r="C599" s="389">
        <v>-0.40465116279069768</v>
      </c>
    </row>
    <row r="600" spans="1:3">
      <c r="A600" s="383" t="s">
        <v>539</v>
      </c>
      <c r="B600" s="388">
        <v>0.11721575911623816</v>
      </c>
      <c r="C600" s="389">
        <v>9.3023255813953432E-2</v>
      </c>
    </row>
    <row r="601" spans="1:3">
      <c r="A601" s="382" t="s">
        <v>209</v>
      </c>
      <c r="B601" s="388">
        <v>0.49573081685140591</v>
      </c>
      <c r="C601" s="389">
        <v>0.52115849650595736</v>
      </c>
    </row>
    <row r="602" spans="1:3">
      <c r="A602" s="383" t="s">
        <v>208</v>
      </c>
      <c r="B602" s="388">
        <v>0.23924848636165041</v>
      </c>
      <c r="C602" s="389">
        <v>-9.9728014505893192E-3</v>
      </c>
    </row>
    <row r="603" spans="1:3">
      <c r="A603" s="383" t="s">
        <v>286</v>
      </c>
      <c r="B603" s="388">
        <v>0.89873417721518978</v>
      </c>
      <c r="C603" s="389">
        <v>0.15331807780320372</v>
      </c>
    </row>
    <row r="604" spans="1:3">
      <c r="A604" s="383" t="s">
        <v>629</v>
      </c>
      <c r="B604" s="388">
        <v>0.44976076555023914</v>
      </c>
      <c r="C604" s="389">
        <v>1.1666666666666665</v>
      </c>
    </row>
    <row r="605" spans="1:3">
      <c r="A605" s="383" t="s">
        <v>753</v>
      </c>
      <c r="B605" s="388">
        <v>1.3203371970495259</v>
      </c>
      <c r="C605" s="389">
        <v>0.74193548387096775</v>
      </c>
    </row>
    <row r="606" spans="1:3">
      <c r="A606" s="383" t="s">
        <v>724</v>
      </c>
      <c r="B606" s="388">
        <v>4.4603033006245241E-3</v>
      </c>
      <c r="C606" s="389">
        <v>0.48309178743961345</v>
      </c>
    </row>
    <row r="607" spans="1:3">
      <c r="A607" s="383" t="s">
        <v>831</v>
      </c>
      <c r="B607" s="388">
        <v>6.1843971631205585E-2</v>
      </c>
      <c r="C607" s="389">
        <v>0.59191176470588225</v>
      </c>
    </row>
    <row r="608" spans="1:3">
      <c r="A608" s="382" t="s">
        <v>80</v>
      </c>
      <c r="B608" s="388">
        <v>0.13533215301867474</v>
      </c>
      <c r="C608" s="389">
        <v>0.16955887497989078</v>
      </c>
    </row>
    <row r="609" spans="1:3">
      <c r="A609" s="383" t="s">
        <v>575</v>
      </c>
      <c r="B609" s="388">
        <v>0.1831869510664994</v>
      </c>
      <c r="C609" s="389">
        <v>0.17573221757322166</v>
      </c>
    </row>
    <row r="610" spans="1:3">
      <c r="A610" s="383" t="s">
        <v>781</v>
      </c>
      <c r="B610" s="388">
        <v>0.12897822445561147</v>
      </c>
      <c r="C610" s="389">
        <v>0.16438356164383561</v>
      </c>
    </row>
    <row r="611" spans="1:3">
      <c r="A611" s="383" t="s">
        <v>723</v>
      </c>
      <c r="B611" s="388">
        <v>0.22413793103448265</v>
      </c>
      <c r="C611" s="389">
        <v>0.24210526315789482</v>
      </c>
    </row>
    <row r="612" spans="1:3">
      <c r="A612" s="383" t="s">
        <v>360</v>
      </c>
      <c r="B612" s="388">
        <v>0.17844017966516956</v>
      </c>
      <c r="C612" s="389">
        <v>0.1934306569343065</v>
      </c>
    </row>
    <row r="613" spans="1:3">
      <c r="A613" s="383" t="s">
        <v>748</v>
      </c>
      <c r="B613" s="388">
        <v>8.8235294117646967E-2</v>
      </c>
      <c r="C613" s="389">
        <v>0.24528301886792447</v>
      </c>
    </row>
    <row r="614" spans="1:3">
      <c r="A614" s="383" t="s">
        <v>739</v>
      </c>
      <c r="B614" s="388">
        <v>0.18673218673218672</v>
      </c>
      <c r="C614" s="389">
        <v>0.44329896907216493</v>
      </c>
    </row>
    <row r="615" spans="1:3">
      <c r="A615" s="383" t="s">
        <v>841</v>
      </c>
      <c r="B615" s="388">
        <v>0.29166666666666674</v>
      </c>
      <c r="C615" s="389">
        <v>0.29166666666666674</v>
      </c>
    </row>
    <row r="616" spans="1:3">
      <c r="A616" s="383" t="s">
        <v>496</v>
      </c>
      <c r="B616" s="388">
        <v>2.0367751060820449E-2</v>
      </c>
      <c r="C616" s="389">
        <v>-2.5783972125435595E-2</v>
      </c>
    </row>
    <row r="617" spans="1:3">
      <c r="A617" s="383" t="s">
        <v>553</v>
      </c>
      <c r="B617" s="388">
        <v>9.1096242923314419E-2</v>
      </c>
      <c r="C617" s="389">
        <v>7.660455486542439E-2</v>
      </c>
    </row>
    <row r="618" spans="1:3">
      <c r="A618" s="383" t="s">
        <v>1245</v>
      </c>
      <c r="B618" s="388">
        <v>2.6966292134831482E-2</v>
      </c>
      <c r="C618" s="389">
        <v>1.8691588785046731E-2</v>
      </c>
    </row>
    <row r="619" spans="1:3">
      <c r="A619" s="383" t="s">
        <v>713</v>
      </c>
      <c r="B619" s="388">
        <v>6.8845963348192152E-2</v>
      </c>
      <c r="C619" s="389">
        <v>3.9735099337748325E-2</v>
      </c>
    </row>
    <row r="620" spans="1:3">
      <c r="A620" s="382" t="s">
        <v>1193</v>
      </c>
      <c r="B620" s="388">
        <v>0.2918918918918918</v>
      </c>
      <c r="C620" s="389">
        <v>-0.86206896551724133</v>
      </c>
    </row>
    <row r="621" spans="1:3">
      <c r="A621" s="383" t="s">
        <v>1192</v>
      </c>
      <c r="B621" s="388">
        <v>0.2918918918918918</v>
      </c>
      <c r="C621" s="389">
        <v>-0.86206896551724133</v>
      </c>
    </row>
    <row r="622" spans="1:3">
      <c r="A622" s="382" t="s">
        <v>243</v>
      </c>
      <c r="B622" s="388">
        <v>1.8212417853733112</v>
      </c>
      <c r="C622" s="389">
        <v>0.63205649024047972</v>
      </c>
    </row>
    <row r="623" spans="1:3">
      <c r="A623" s="383" t="s">
        <v>333</v>
      </c>
      <c r="B623" s="388">
        <v>0.27615908124202471</v>
      </c>
      <c r="C623" s="389">
        <v>0.3347457627118644</v>
      </c>
    </row>
    <row r="624" spans="1:3">
      <c r="A624" s="383" t="s">
        <v>490</v>
      </c>
      <c r="B624" s="388">
        <v>0.16865602232212051</v>
      </c>
      <c r="C624" s="389">
        <v>0.26806953339432749</v>
      </c>
    </row>
    <row r="625" spans="1:3">
      <c r="A625" s="383" t="s">
        <v>242</v>
      </c>
      <c r="B625" s="388">
        <v>1.0111607142857144</v>
      </c>
      <c r="C625" s="389">
        <v>-8.8435374149659851E-2</v>
      </c>
    </row>
    <row r="626" spans="1:3">
      <c r="A626" s="383" t="s">
        <v>594</v>
      </c>
      <c r="B626" s="388">
        <v>0.10344827586206895</v>
      </c>
      <c r="C626" s="389">
        <v>1.4615384615384617</v>
      </c>
    </row>
    <row r="627" spans="1:3">
      <c r="A627" s="383" t="s">
        <v>646</v>
      </c>
      <c r="B627" s="388">
        <v>0</v>
      </c>
      <c r="C627" s="389">
        <v>0.33333333333333326</v>
      </c>
    </row>
    <row r="628" spans="1:3">
      <c r="A628" s="383" t="s">
        <v>1152</v>
      </c>
      <c r="B628" s="388">
        <v>0</v>
      </c>
      <c r="C628" s="389">
        <v>0</v>
      </c>
    </row>
    <row r="629" spans="1:3">
      <c r="A629" s="383" t="s">
        <v>881</v>
      </c>
      <c r="B629" s="388">
        <v>0.23772455089820355</v>
      </c>
      <c r="C629" s="389">
        <v>0.20634920634920628</v>
      </c>
    </row>
    <row r="630" spans="1:3">
      <c r="A630" s="383" t="s">
        <v>1124</v>
      </c>
      <c r="B630" s="388">
        <v>14.25</v>
      </c>
      <c r="C630" s="389">
        <v>2.75</v>
      </c>
    </row>
    <row r="631" spans="1:3">
      <c r="A631" s="383" t="s">
        <v>488</v>
      </c>
      <c r="B631" s="388">
        <v>0.34402742374967032</v>
      </c>
      <c r="C631" s="389">
        <v>0.4229074889867841</v>
      </c>
    </row>
    <row r="632" spans="1:3">
      <c r="A632" s="382" t="s">
        <v>137</v>
      </c>
      <c r="B632" s="388">
        <v>1.3760429689884071</v>
      </c>
      <c r="C632" s="389">
        <v>1.0388403997315642E-2</v>
      </c>
    </row>
    <row r="633" spans="1:3">
      <c r="A633" s="383" t="s">
        <v>244</v>
      </c>
      <c r="B633" s="388">
        <v>0.71723894222274565</v>
      </c>
      <c r="C633" s="389">
        <v>-7.1258907363420665E-3</v>
      </c>
    </row>
    <row r="634" spans="1:3">
      <c r="A634" s="383" t="s">
        <v>320</v>
      </c>
      <c r="B634" s="388">
        <v>3.938441098317095</v>
      </c>
      <c r="C634" s="389">
        <v>0.19444444444444442</v>
      </c>
    </row>
    <row r="635" spans="1:3">
      <c r="A635" s="383" t="s">
        <v>185</v>
      </c>
      <c r="B635" s="388">
        <v>0.15540334105356535</v>
      </c>
      <c r="C635" s="389">
        <v>0.1744935961486056</v>
      </c>
    </row>
    <row r="636" spans="1:3">
      <c r="A636" s="383" t="s">
        <v>382</v>
      </c>
      <c r="B636" s="388">
        <v>0.59890171466995401</v>
      </c>
      <c r="C636" s="389">
        <v>-0.3571428571428571</v>
      </c>
    </row>
    <row r="637" spans="1:3">
      <c r="A637" s="383" t="s">
        <v>234</v>
      </c>
      <c r="B637" s="388">
        <v>1.4702297486786753</v>
      </c>
      <c r="C637" s="389">
        <v>4.7272727272727355E-2</v>
      </c>
    </row>
    <row r="638" spans="1:3">
      <c r="A638" s="382" t="s">
        <v>579</v>
      </c>
      <c r="B638" s="388">
        <v>-5.535423984903446E-2</v>
      </c>
      <c r="C638" s="389">
        <v>5.0339135443446992</v>
      </c>
    </row>
    <row r="639" spans="1:3">
      <c r="A639" s="383" t="s">
        <v>578</v>
      </c>
      <c r="B639" s="388">
        <v>7.8871201157742377E-2</v>
      </c>
      <c r="C639" s="389">
        <v>-3.5454545454545454</v>
      </c>
    </row>
    <row r="640" spans="1:3">
      <c r="A640" s="383" t="s">
        <v>1159</v>
      </c>
      <c r="B640" s="388">
        <v>-0.1333333333333333</v>
      </c>
      <c r="C640" s="389">
        <v>-1.0194714881780251</v>
      </c>
    </row>
    <row r="641" spans="1:3">
      <c r="A641" s="383" t="s">
        <v>1183</v>
      </c>
      <c r="B641" s="388">
        <v>-0.11160058737151246</v>
      </c>
      <c r="C641" s="389">
        <v>19.666666666666668</v>
      </c>
    </row>
    <row r="642" spans="1:3">
      <c r="A642" s="382" t="s">
        <v>178</v>
      </c>
      <c r="B642" s="388">
        <v>0.20589055727187322</v>
      </c>
      <c r="C642" s="389">
        <v>1.005915667839292</v>
      </c>
    </row>
    <row r="643" spans="1:3">
      <c r="A643" s="383" t="s">
        <v>844</v>
      </c>
      <c r="B643" s="388">
        <v>-0.22528363047001621</v>
      </c>
      <c r="C643" s="389">
        <v>-1.5943562610229276</v>
      </c>
    </row>
    <row r="644" spans="1:3">
      <c r="A644" s="383" t="s">
        <v>177</v>
      </c>
      <c r="B644" s="388">
        <v>0.17482556207774946</v>
      </c>
      <c r="C644" s="389">
        <v>-5.6174558960074283E-2</v>
      </c>
    </row>
    <row r="645" spans="1:3">
      <c r="A645" s="383" t="s">
        <v>879</v>
      </c>
      <c r="B645" s="388">
        <v>-0.17327459618208518</v>
      </c>
      <c r="C645" s="389">
        <v>-0.31111111111111112</v>
      </c>
    </row>
    <row r="646" spans="1:3">
      <c r="A646" s="383" t="s">
        <v>639</v>
      </c>
      <c r="B646" s="388">
        <v>0.49208282582216811</v>
      </c>
      <c r="C646" s="389">
        <v>0.9921875</v>
      </c>
    </row>
    <row r="647" spans="1:3">
      <c r="A647" s="383" t="s">
        <v>255</v>
      </c>
      <c r="B647" s="388">
        <v>0.17142021354395198</v>
      </c>
      <c r="C647" s="389">
        <v>0.18566176470588225</v>
      </c>
    </row>
    <row r="648" spans="1:3">
      <c r="A648" s="383" t="s">
        <v>1003</v>
      </c>
      <c r="B648" s="388">
        <v>4.3233082706766846E-2</v>
      </c>
      <c r="C648" s="389">
        <v>3.833333333333333</v>
      </c>
    </row>
    <row r="649" spans="1:3">
      <c r="A649" s="383" t="s">
        <v>722</v>
      </c>
      <c r="B649" s="388">
        <v>0.12448700410396718</v>
      </c>
      <c r="C649" s="389">
        <v>1.46520146520146E-2</v>
      </c>
    </row>
    <row r="650" spans="1:3">
      <c r="A650" s="383" t="s">
        <v>394</v>
      </c>
      <c r="B650" s="388">
        <v>0.12792662321988901</v>
      </c>
      <c r="C650" s="389">
        <v>0.36228813559322037</v>
      </c>
    </row>
    <row r="651" spans="1:3">
      <c r="A651" s="383" t="s">
        <v>555</v>
      </c>
      <c r="B651" s="388">
        <v>0.40196078431372539</v>
      </c>
      <c r="C651" s="389">
        <v>5.1851851851851851</v>
      </c>
    </row>
    <row r="652" spans="1:3">
      <c r="A652" s="383" t="s">
        <v>1104</v>
      </c>
      <c r="B652" s="388">
        <v>-7.2386058981233292E-2</v>
      </c>
      <c r="C652" s="389">
        <v>-0.70370370370370372</v>
      </c>
    </row>
    <row r="653" spans="1:3">
      <c r="A653" s="383" t="s">
        <v>358</v>
      </c>
      <c r="B653" s="388">
        <v>0.11595615103532286</v>
      </c>
      <c r="C653" s="389">
        <v>0.17891373801916943</v>
      </c>
    </row>
    <row r="654" spans="1:3">
      <c r="A654" s="383" t="s">
        <v>427</v>
      </c>
      <c r="B654" s="388">
        <v>0.13857053552823495</v>
      </c>
      <c r="C654" s="389">
        <v>-9.9128540305010948E-2</v>
      </c>
    </row>
    <row r="655" spans="1:3">
      <c r="A655" s="383" t="s">
        <v>531</v>
      </c>
      <c r="B655" s="388">
        <v>-7.9594225516972261E-2</v>
      </c>
      <c r="C655" s="389">
        <v>-0.14028776978417268</v>
      </c>
    </row>
    <row r="656" spans="1:3">
      <c r="A656" s="383" t="s">
        <v>954</v>
      </c>
      <c r="B656" s="388">
        <v>0.23658536585365852</v>
      </c>
      <c r="C656" s="389">
        <v>0.16250000000000009</v>
      </c>
    </row>
    <row r="657" spans="1:3">
      <c r="A657" s="383" t="s">
        <v>259</v>
      </c>
      <c r="B657" s="388">
        <v>0.57805018195747948</v>
      </c>
      <c r="C657" s="389">
        <v>1.0294751976994969</v>
      </c>
    </row>
    <row r="658" spans="1:3">
      <c r="A658" s="383" t="s">
        <v>1044</v>
      </c>
      <c r="B658" s="388">
        <v>0.24827586206896557</v>
      </c>
      <c r="C658" s="389">
        <v>0.38356164383561642</v>
      </c>
    </row>
    <row r="659" spans="1:3">
      <c r="A659" s="383" t="s">
        <v>1144</v>
      </c>
      <c r="B659" s="388">
        <v>0.34254143646408841</v>
      </c>
      <c r="C659" s="389">
        <v>6.4516129032258007E-2</v>
      </c>
    </row>
    <row r="660" spans="1:3">
      <c r="A660" s="383" t="s">
        <v>443</v>
      </c>
      <c r="B660" s="388">
        <v>3.3703961084086131E-2</v>
      </c>
      <c r="C660" s="389">
        <v>9.2820512820512828</v>
      </c>
    </row>
    <row r="661" spans="1:3">
      <c r="A661" s="383" t="s">
        <v>469</v>
      </c>
      <c r="B661" s="388">
        <v>0.71996215704824973</v>
      </c>
      <c r="C661" s="389">
        <v>6.8947368421052628</v>
      </c>
    </row>
    <row r="662" spans="1:3">
      <c r="A662" s="383" t="s">
        <v>762</v>
      </c>
      <c r="B662" s="388">
        <v>0.27627627627627627</v>
      </c>
      <c r="C662" s="389">
        <v>0.34090909090909083</v>
      </c>
    </row>
    <row r="663" spans="1:3">
      <c r="A663" s="383" t="s">
        <v>353</v>
      </c>
      <c r="B663" s="388">
        <v>0.12292846654080125</v>
      </c>
      <c r="C663" s="389">
        <v>0.45430809399477812</v>
      </c>
    </row>
    <row r="664" spans="1:3">
      <c r="A664" s="383" t="s">
        <v>1269</v>
      </c>
      <c r="B664" s="388">
        <v>1.0476190476190474</v>
      </c>
      <c r="C664" s="389">
        <v>0.39130434782608692</v>
      </c>
    </row>
    <row r="665" spans="1:3">
      <c r="A665" s="383" t="s">
        <v>235</v>
      </c>
      <c r="B665" s="388">
        <v>0.13928070994862218</v>
      </c>
      <c r="C665" s="389">
        <v>-0.22136699507389157</v>
      </c>
    </row>
    <row r="666" spans="1:3">
      <c r="A666" s="383" t="s">
        <v>397</v>
      </c>
      <c r="B666" s="388">
        <v>0.14635251472587218</v>
      </c>
      <c r="C666" s="389">
        <v>0.15742793791574283</v>
      </c>
    </row>
    <row r="667" spans="1:3">
      <c r="A667" s="383" t="s">
        <v>261</v>
      </c>
      <c r="B667" s="388">
        <v>0.12192378005906335</v>
      </c>
      <c r="C667" s="389">
        <v>0.2047619047619047</v>
      </c>
    </row>
    <row r="668" spans="1:3">
      <c r="A668" s="383" t="s">
        <v>1309</v>
      </c>
      <c r="B668" s="388">
        <v>9.9730458221024332E-2</v>
      </c>
      <c r="C668" s="389">
        <v>-0.83783783783783783</v>
      </c>
    </row>
    <row r="669" spans="1:3">
      <c r="A669" s="382" t="s">
        <v>355</v>
      </c>
      <c r="B669" s="388">
        <v>8.5699266250791092E-2</v>
      </c>
      <c r="C669" s="389">
        <v>0.33175980723449078</v>
      </c>
    </row>
    <row r="670" spans="1:3">
      <c r="A670" s="383" t="s">
        <v>354</v>
      </c>
      <c r="B670" s="388">
        <v>0.15218769816106525</v>
      </c>
      <c r="C670" s="389">
        <v>0.26325757575757569</v>
      </c>
    </row>
    <row r="671" spans="1:3">
      <c r="A671" s="383" t="s">
        <v>877</v>
      </c>
      <c r="B671" s="388">
        <v>7.0810810810810754E-2</v>
      </c>
      <c r="C671" s="389">
        <v>0.36363636363636354</v>
      </c>
    </row>
    <row r="672" spans="1:3">
      <c r="A672" s="383" t="s">
        <v>1056</v>
      </c>
      <c r="B672" s="388">
        <v>0.17555631051469334</v>
      </c>
      <c r="C672" s="389">
        <v>-0.91320072332730562</v>
      </c>
    </row>
    <row r="673" spans="1:3">
      <c r="A673" s="383" t="s">
        <v>745</v>
      </c>
      <c r="B673" s="388">
        <v>0.16108905275099272</v>
      </c>
      <c r="C673" s="389">
        <v>0.71296296296296302</v>
      </c>
    </row>
    <row r="674" spans="1:3">
      <c r="A674" s="383" t="s">
        <v>1237</v>
      </c>
      <c r="B674" s="388">
        <v>-0.13114754098360659</v>
      </c>
      <c r="C674" s="389">
        <v>1.2321428571428572</v>
      </c>
    </row>
    <row r="675" spans="1:3">
      <c r="A675" s="382" t="s">
        <v>482</v>
      </c>
      <c r="B675" s="388">
        <v>0.176033934252386</v>
      </c>
      <c r="C675" s="389">
        <v>7.1111111111111125E-2</v>
      </c>
    </row>
    <row r="676" spans="1:3">
      <c r="A676" s="383" t="s">
        <v>481</v>
      </c>
      <c r="B676" s="388">
        <v>0.176033934252386</v>
      </c>
      <c r="C676" s="389">
        <v>7.1111111111111125E-2</v>
      </c>
    </row>
    <row r="677" spans="1:3">
      <c r="A677" s="382" t="s">
        <v>72</v>
      </c>
      <c r="B677" s="388">
        <v>6.1020566294577291E-2</v>
      </c>
      <c r="C677" s="389">
        <v>0.25642599861850385</v>
      </c>
    </row>
    <row r="678" spans="1:3">
      <c r="A678" s="383" t="s">
        <v>188</v>
      </c>
      <c r="B678" s="388">
        <v>4.97702713108652E-2</v>
      </c>
      <c r="C678" s="389">
        <v>4.1549608162058327E-2</v>
      </c>
    </row>
    <row r="679" spans="1:3">
      <c r="A679" s="383" t="s">
        <v>498</v>
      </c>
      <c r="B679" s="388">
        <v>-7.1016691957511369E-2</v>
      </c>
      <c r="C679" s="389">
        <v>-0.51877934272300474</v>
      </c>
    </row>
    <row r="680" spans="1:3">
      <c r="A680" s="383" t="s">
        <v>561</v>
      </c>
      <c r="B680" s="388">
        <v>0.17223198594024614</v>
      </c>
      <c r="C680" s="389">
        <v>0.16491228070175445</v>
      </c>
    </row>
    <row r="681" spans="1:3">
      <c r="A681" s="383" t="s">
        <v>908</v>
      </c>
      <c r="B681" s="388">
        <v>0.25659050966608077</v>
      </c>
      <c r="C681" s="389">
        <v>6.6225165562914245E-3</v>
      </c>
    </row>
    <row r="682" spans="1:3">
      <c r="A682" s="383" t="s">
        <v>946</v>
      </c>
      <c r="B682" s="388">
        <v>0.12237196765498659</v>
      </c>
      <c r="C682" s="389">
        <v>0.2185430463576159</v>
      </c>
    </row>
    <row r="683" spans="1:3">
      <c r="A683" s="383" t="s">
        <v>352</v>
      </c>
      <c r="B683" s="388">
        <v>3.7457296242069393E-2</v>
      </c>
      <c r="C683" s="389">
        <v>0.18459915611814348</v>
      </c>
    </row>
    <row r="684" spans="1:3">
      <c r="A684" s="383" t="s">
        <v>176</v>
      </c>
      <c r="B684" s="388">
        <v>0.1313272664069951</v>
      </c>
      <c r="C684" s="389">
        <v>0.12176473919691899</v>
      </c>
    </row>
    <row r="685" spans="1:3">
      <c r="A685" s="383" t="s">
        <v>171</v>
      </c>
      <c r="B685" s="388">
        <v>2.8890735132527601E-2</v>
      </c>
      <c r="C685" s="389">
        <v>-2.6701855157960086E-2</v>
      </c>
    </row>
    <row r="686" spans="1:3">
      <c r="A686" s="383" t="s">
        <v>280</v>
      </c>
      <c r="B686" s="388">
        <v>-3.2104775150672227E-2</v>
      </c>
      <c r="C686" s="389">
        <v>1.5552099533437058E-2</v>
      </c>
    </row>
    <row r="687" spans="1:3">
      <c r="A687" s="383" t="s">
        <v>415</v>
      </c>
      <c r="B687" s="388">
        <v>0.12758496673260211</v>
      </c>
      <c r="C687" s="389">
        <v>0.40588235294117636</v>
      </c>
    </row>
    <row r="688" spans="1:3">
      <c r="A688" s="383" t="s">
        <v>349</v>
      </c>
      <c r="B688" s="388">
        <v>-0.13691850874298916</v>
      </c>
      <c r="C688" s="389">
        <v>-0.90941512125534951</v>
      </c>
    </row>
    <row r="689" spans="1:3">
      <c r="A689" s="383" t="s">
        <v>690</v>
      </c>
      <c r="B689" s="388">
        <v>7.0477682067344727E-3</v>
      </c>
      <c r="C689" s="389">
        <v>9.8298676748582281E-2</v>
      </c>
    </row>
    <row r="690" spans="1:3">
      <c r="A690" s="383" t="s">
        <v>850</v>
      </c>
      <c r="B690" s="388">
        <v>-7.8678206136899576E-3</v>
      </c>
      <c r="C690" s="389">
        <v>2.8268551236749095E-2</v>
      </c>
    </row>
    <row r="691" spans="1:3">
      <c r="A691" s="383" t="s">
        <v>487</v>
      </c>
      <c r="B691" s="388">
        <v>0.11852353538774119</v>
      </c>
      <c r="C691" s="389">
        <v>0.38911290322580649</v>
      </c>
    </row>
    <row r="692" spans="1:3">
      <c r="A692" s="383" t="s">
        <v>337</v>
      </c>
      <c r="B692" s="388">
        <v>0.16308206306118178</v>
      </c>
      <c r="C692" s="389">
        <v>4.7436715592427126E-2</v>
      </c>
    </row>
    <row r="693" spans="1:3">
      <c r="A693" s="383" t="s">
        <v>580</v>
      </c>
      <c r="B693" s="388">
        <v>2.3427331887201808E-2</v>
      </c>
      <c r="C693" s="389">
        <v>3.8297872340425529</v>
      </c>
    </row>
    <row r="694" spans="1:3">
      <c r="A694" s="383" t="s">
        <v>755</v>
      </c>
      <c r="B694" s="388">
        <v>8.0604534005037864E-2</v>
      </c>
      <c r="C694" s="389">
        <v>9.3567251461988299E-2</v>
      </c>
    </row>
    <row r="695" spans="1:3">
      <c r="A695" s="383" t="s">
        <v>756</v>
      </c>
      <c r="B695" s="388">
        <v>0.10368144252441769</v>
      </c>
      <c r="C695" s="389">
        <v>0.13666666666666671</v>
      </c>
    </row>
    <row r="696" spans="1:3">
      <c r="A696" s="383" t="s">
        <v>379</v>
      </c>
      <c r="B696" s="388">
        <v>-1.5293118096856406E-2</v>
      </c>
      <c r="C696" s="389">
        <v>0.54442649434571888</v>
      </c>
    </row>
    <row r="697" spans="1:3">
      <c r="A697" s="382" t="s">
        <v>107</v>
      </c>
      <c r="B697" s="388">
        <v>6.7680966426371003E-2</v>
      </c>
      <c r="C697" s="389">
        <v>0.188948955840852</v>
      </c>
    </row>
    <row r="698" spans="1:3">
      <c r="A698" s="383" t="s">
        <v>241</v>
      </c>
      <c r="B698" s="388">
        <v>6.0081628326089209E-2</v>
      </c>
      <c r="C698" s="389">
        <v>4.3928639938614955E-2</v>
      </c>
    </row>
    <row r="699" spans="1:3">
      <c r="A699" s="383" t="s">
        <v>341</v>
      </c>
      <c r="B699" s="388">
        <v>3.0859732870437417E-2</v>
      </c>
      <c r="C699" s="389">
        <v>6.6767830045523446E-2</v>
      </c>
    </row>
    <row r="700" spans="1:3">
      <c r="A700" s="383" t="s">
        <v>404</v>
      </c>
      <c r="B700" s="388">
        <v>0.16380764904386957</v>
      </c>
      <c r="C700" s="389">
        <v>0.26529160739687052</v>
      </c>
    </row>
    <row r="701" spans="1:3">
      <c r="A701" s="383" t="s">
        <v>260</v>
      </c>
      <c r="B701" s="388">
        <v>-0.1159764894469677</v>
      </c>
      <c r="C701" s="389">
        <v>0.16991107906753178</v>
      </c>
    </row>
    <row r="702" spans="1:3">
      <c r="A702" s="383" t="s">
        <v>464</v>
      </c>
      <c r="B702" s="388">
        <v>0.12604870063433604</v>
      </c>
      <c r="C702" s="389">
        <v>0.31256490134994808</v>
      </c>
    </row>
    <row r="703" spans="1:3">
      <c r="A703" s="383" t="s">
        <v>269</v>
      </c>
      <c r="B703" s="388">
        <v>9.506247591787309E-2</v>
      </c>
      <c r="C703" s="389">
        <v>7.3018080667593965E-2</v>
      </c>
    </row>
    <row r="704" spans="1:3">
      <c r="A704" s="383" t="s">
        <v>366</v>
      </c>
      <c r="B704" s="388">
        <v>0.14953048852965645</v>
      </c>
      <c r="C704" s="389">
        <v>0.63085714285714278</v>
      </c>
    </row>
    <row r="705" spans="1:3">
      <c r="A705" s="383" t="s">
        <v>592</v>
      </c>
      <c r="B705" s="388">
        <v>8.5653104925053514E-2</v>
      </c>
      <c r="C705" s="389">
        <v>0.19572953736654797</v>
      </c>
    </row>
    <row r="706" spans="1:3">
      <c r="A706" s="383" t="s">
        <v>256</v>
      </c>
      <c r="B706" s="388">
        <v>7.4137051521850017E-2</v>
      </c>
      <c r="C706" s="389">
        <v>0.11639414802065406</v>
      </c>
    </row>
    <row r="707" spans="1:3">
      <c r="A707" s="383" t="s">
        <v>200</v>
      </c>
      <c r="B707" s="388">
        <v>0.10601538250731291</v>
      </c>
      <c r="C707" s="389">
        <v>0.14086049543676671</v>
      </c>
    </row>
    <row r="708" spans="1:3">
      <c r="A708" s="383" t="s">
        <v>461</v>
      </c>
      <c r="B708" s="388">
        <v>1.5665091154625221E-2</v>
      </c>
      <c r="C708" s="389">
        <v>0.15830721003134807</v>
      </c>
    </row>
    <row r="709" spans="1:3">
      <c r="A709" s="383" t="s">
        <v>247</v>
      </c>
      <c r="B709" s="388">
        <v>2.1286781132316301E-2</v>
      </c>
      <c r="C709" s="389">
        <v>9.3756797911681566E-2</v>
      </c>
    </row>
    <row r="710" spans="1:3">
      <c r="A710" s="382" t="s">
        <v>966</v>
      </c>
      <c r="B710" s="388">
        <v>0.2272182254196643</v>
      </c>
      <c r="C710" s="389">
        <v>0.10714285714285721</v>
      </c>
    </row>
    <row r="711" spans="1:3">
      <c r="A711" s="383" t="s">
        <v>994</v>
      </c>
      <c r="B711" s="388">
        <v>0.16666666666666674</v>
      </c>
      <c r="C711" s="389">
        <v>0.28571428571428581</v>
      </c>
    </row>
    <row r="712" spans="1:3">
      <c r="A712" s="383" t="s">
        <v>965</v>
      </c>
      <c r="B712" s="388">
        <v>0.28776978417266186</v>
      </c>
      <c r="C712" s="389">
        <v>-7.1428571428571397E-2</v>
      </c>
    </row>
    <row r="713" spans="1:3">
      <c r="A713" s="382" t="s">
        <v>436</v>
      </c>
      <c r="B713" s="388">
        <v>0.60265969382760542</v>
      </c>
      <c r="C713" s="389">
        <v>3.3331844496448078</v>
      </c>
    </row>
    <row r="714" spans="1:3">
      <c r="A714" s="383" t="s">
        <v>438</v>
      </c>
      <c r="B714" s="388">
        <v>0.30620985010706647</v>
      </c>
      <c r="C714" s="389">
        <v>0.18478260869565211</v>
      </c>
    </row>
    <row r="715" spans="1:3">
      <c r="A715" s="383" t="s">
        <v>1313</v>
      </c>
      <c r="B715" s="388">
        <v>5.8590657165479065E-2</v>
      </c>
      <c r="C715" s="389">
        <v>2.6819923371647514E-2</v>
      </c>
    </row>
    <row r="716" spans="1:3">
      <c r="A716" s="383" t="s">
        <v>1336</v>
      </c>
      <c r="B716" s="388">
        <v>0.25597609561752988</v>
      </c>
      <c r="C716" s="389">
        <v>-0.27741083223249674</v>
      </c>
    </row>
    <row r="717" spans="1:3">
      <c r="A717" s="383" t="s">
        <v>780</v>
      </c>
      <c r="B717" s="388">
        <v>6.8728522336769515E-3</v>
      </c>
      <c r="C717" s="389">
        <v>-5.0761421319796995E-2</v>
      </c>
    </row>
    <row r="718" spans="1:3">
      <c r="A718" s="383" t="s">
        <v>1108</v>
      </c>
      <c r="B718" s="388">
        <v>4.4000000000000004</v>
      </c>
      <c r="C718" s="389">
        <v>29.909090909090907</v>
      </c>
    </row>
    <row r="719" spans="1:3">
      <c r="A719" s="383" t="s">
        <v>1266</v>
      </c>
      <c r="B719" s="388">
        <v>0.19736842105263164</v>
      </c>
      <c r="C719" s="389">
        <v>0.125</v>
      </c>
    </row>
    <row r="720" spans="1:3">
      <c r="A720" s="383" t="s">
        <v>435</v>
      </c>
      <c r="B720" s="388">
        <v>5.002476473501738E-2</v>
      </c>
      <c r="C720" s="389">
        <v>0</v>
      </c>
    </row>
    <row r="721" spans="1:3">
      <c r="A721" s="383" t="s">
        <v>547</v>
      </c>
      <c r="B721" s="388">
        <v>6.8665377176015507E-2</v>
      </c>
      <c r="C721" s="389">
        <v>7.9681274900398336E-3</v>
      </c>
    </row>
    <row r="722" spans="1:3">
      <c r="A722" s="383" t="s">
        <v>1178</v>
      </c>
      <c r="B722" s="388">
        <v>8.022922636103158E-2</v>
      </c>
      <c r="C722" s="389">
        <v>7.3170731707317138E-2</v>
      </c>
    </row>
    <row r="723" spans="1:3">
      <c r="A723" s="382" t="s">
        <v>6060</v>
      </c>
      <c r="B723" s="388">
        <v>-3.2786885245901676E-2</v>
      </c>
      <c r="C723" s="389">
        <v>-0.65384615384615385</v>
      </c>
    </row>
    <row r="724" spans="1:3">
      <c r="A724" s="383" t="s">
        <v>991</v>
      </c>
      <c r="B724" s="388">
        <v>-3.2786885245901676E-2</v>
      </c>
      <c r="C724" s="389">
        <v>-0.65384615384615385</v>
      </c>
    </row>
    <row r="725" spans="1:3">
      <c r="A725" s="384" t="s">
        <v>190</v>
      </c>
      <c r="B725" s="388" t="e">
        <v>#DIV/0!</v>
      </c>
      <c r="C725" s="389" t="e">
        <v>#DIV/0!</v>
      </c>
    </row>
    <row r="726" spans="1:3">
      <c r="A726" s="382" t="s">
        <v>446</v>
      </c>
      <c r="B726" s="388">
        <v>-6.8529520317169246E-2</v>
      </c>
      <c r="C726" s="389">
        <v>-6.3242784380305617E-2</v>
      </c>
    </row>
    <row r="727" spans="1:3">
      <c r="A727" s="383" t="s">
        <v>1116</v>
      </c>
      <c r="B727" s="388">
        <v>1.1834319526627279E-2</v>
      </c>
      <c r="C727" s="389">
        <v>0.13157894736842102</v>
      </c>
    </row>
    <row r="728" spans="1:3">
      <c r="A728" s="383" t="s">
        <v>445</v>
      </c>
      <c r="B728" s="388">
        <v>-0.14889336016096577</v>
      </c>
      <c r="C728" s="389">
        <v>-0.25806451612903225</v>
      </c>
    </row>
    <row r="729" spans="1:3">
      <c r="A729" s="382" t="s">
        <v>618</v>
      </c>
      <c r="B729" s="388">
        <v>0.34547133719383116</v>
      </c>
      <c r="C729" s="389">
        <v>0.16000680576281115</v>
      </c>
    </row>
    <row r="730" spans="1:3">
      <c r="A730" s="383" t="s">
        <v>734</v>
      </c>
      <c r="B730" s="388">
        <v>0.30833333333333335</v>
      </c>
      <c r="C730" s="389">
        <v>-6.422018348623848E-2</v>
      </c>
    </row>
    <row r="731" spans="1:3">
      <c r="A731" s="383" t="s">
        <v>1117</v>
      </c>
      <c r="B731" s="388">
        <v>1</v>
      </c>
      <c r="C731" s="389">
        <v>1.5897435897435899</v>
      </c>
    </row>
    <row r="732" spans="1:3">
      <c r="A732" s="383" t="s">
        <v>617</v>
      </c>
      <c r="B732" s="388">
        <v>-2.7571580063626699E-2</v>
      </c>
      <c r="C732" s="389">
        <v>-0.8854961832061069</v>
      </c>
    </row>
    <row r="733" spans="1:3">
      <c r="A733" s="383" t="s">
        <v>1295</v>
      </c>
      <c r="B733" s="388">
        <v>0.101123595505618</v>
      </c>
      <c r="C733" s="389">
        <v>0</v>
      </c>
    </row>
    <row r="734" spans="1:3">
      <c r="A734" s="382" t="s">
        <v>98</v>
      </c>
      <c r="B734" s="388">
        <v>0.16093190900073767</v>
      </c>
      <c r="C734" s="389">
        <v>0.15502789231142372</v>
      </c>
    </row>
    <row r="735" spans="1:3">
      <c r="A735" s="383" t="s">
        <v>532</v>
      </c>
      <c r="B735" s="388">
        <v>0.10570469798657722</v>
      </c>
      <c r="C735" s="389">
        <v>-7.1428571428571397E-2</v>
      </c>
    </row>
    <row r="736" spans="1:3">
      <c r="A736" s="383" t="s">
        <v>1282</v>
      </c>
      <c r="B736" s="388">
        <v>4.022988505747116E-2</v>
      </c>
      <c r="C736" s="389">
        <v>-0.21052631578947367</v>
      </c>
    </row>
    <row r="737" spans="1:3">
      <c r="A737" s="383" t="s">
        <v>783</v>
      </c>
      <c r="B737" s="388">
        <v>0.2577639751552796</v>
      </c>
      <c r="C737" s="389">
        <v>0.35483870967741926</v>
      </c>
    </row>
    <row r="738" spans="1:3">
      <c r="A738" s="383" t="s">
        <v>928</v>
      </c>
      <c r="B738" s="388">
        <v>0.18072289156626509</v>
      </c>
      <c r="C738" s="389">
        <v>0.47368421052631571</v>
      </c>
    </row>
    <row r="739" spans="1:3">
      <c r="A739" s="383" t="s">
        <v>774</v>
      </c>
      <c r="B739" s="388">
        <v>0.22023809523809534</v>
      </c>
      <c r="C739" s="389">
        <v>0.22857142857142865</v>
      </c>
    </row>
    <row r="740" spans="1:3">
      <c r="A740" s="382" t="s">
        <v>113</v>
      </c>
      <c r="B740" s="388">
        <v>0.2126124655180332</v>
      </c>
      <c r="C740" s="389">
        <v>-4.5326224057222253E-2</v>
      </c>
    </row>
    <row r="741" spans="1:3">
      <c r="A741" s="383" t="s">
        <v>295</v>
      </c>
      <c r="B741" s="388">
        <v>0.17209554831704676</v>
      </c>
      <c r="C741" s="389">
        <v>0.36147757255936686</v>
      </c>
    </row>
    <row r="742" spans="1:3">
      <c r="A742" s="383" t="s">
        <v>1076</v>
      </c>
      <c r="B742" s="388">
        <v>0.17241379310344818</v>
      </c>
      <c r="C742" s="389">
        <v>0.10000000000000009</v>
      </c>
    </row>
    <row r="743" spans="1:3">
      <c r="A743" s="383" t="s">
        <v>471</v>
      </c>
      <c r="B743" s="388">
        <v>0.1295238095238096</v>
      </c>
      <c r="C743" s="389">
        <v>-7.8125E-2</v>
      </c>
    </row>
    <row r="744" spans="1:3">
      <c r="A744" s="383" t="s">
        <v>658</v>
      </c>
      <c r="B744" s="388">
        <v>0.22969837587006969</v>
      </c>
      <c r="C744" s="389">
        <v>0.5714285714285714</v>
      </c>
    </row>
    <row r="745" spans="1:3">
      <c r="A745" s="383" t="s">
        <v>1265</v>
      </c>
      <c r="B745" s="388">
        <v>0.22105263157894739</v>
      </c>
      <c r="C745" s="389">
        <v>0.7</v>
      </c>
    </row>
    <row r="746" spans="1:3">
      <c r="A746" s="383" t="s">
        <v>359</v>
      </c>
      <c r="B746" s="388">
        <v>0.174792531120332</v>
      </c>
      <c r="C746" s="389">
        <v>-0.22440944881889768</v>
      </c>
    </row>
    <row r="747" spans="1:3">
      <c r="A747" s="383" t="s">
        <v>489</v>
      </c>
      <c r="B747" s="388">
        <v>0.18875927889713684</v>
      </c>
      <c r="C747" s="389">
        <v>-0.33098591549295775</v>
      </c>
    </row>
    <row r="748" spans="1:3">
      <c r="A748" s="383" t="s">
        <v>840</v>
      </c>
      <c r="B748" s="388">
        <v>0.1328545780969479</v>
      </c>
      <c r="C748" s="389">
        <v>-2</v>
      </c>
    </row>
    <row r="749" spans="1:3">
      <c r="A749" s="383" t="s">
        <v>1085</v>
      </c>
      <c r="B749" s="388">
        <v>0.14461538461538459</v>
      </c>
      <c r="C749" s="389">
        <v>0.24242424242424243</v>
      </c>
    </row>
    <row r="750" spans="1:3">
      <c r="A750" s="383" t="s">
        <v>835</v>
      </c>
      <c r="B750" s="388">
        <v>9.9397590361445687E-2</v>
      </c>
      <c r="C750" s="389">
        <v>-0.19230769230769229</v>
      </c>
    </row>
    <row r="751" spans="1:3">
      <c r="A751" s="383" t="s">
        <v>949</v>
      </c>
      <c r="B751" s="388">
        <v>0.14689265536723162</v>
      </c>
      <c r="C751" s="389">
        <v>0.14035087719298245</v>
      </c>
    </row>
    <row r="752" spans="1:3">
      <c r="A752" s="383" t="s">
        <v>499</v>
      </c>
      <c r="B752" s="388">
        <v>0.29145077720207246</v>
      </c>
      <c r="C752" s="389">
        <v>-0.44565217391304346</v>
      </c>
    </row>
    <row r="753" spans="1:3">
      <c r="A753" s="383" t="s">
        <v>309</v>
      </c>
      <c r="B753" s="388">
        <v>0.10653104925053536</v>
      </c>
      <c r="C753" s="389">
        <v>0.26050420168067223</v>
      </c>
    </row>
    <row r="754" spans="1:3">
      <c r="A754" s="383" t="s">
        <v>458</v>
      </c>
      <c r="B754" s="388">
        <v>0.61244377811094464</v>
      </c>
      <c r="C754" s="389">
        <v>-0.33678756476683935</v>
      </c>
    </row>
    <row r="755" spans="1:3">
      <c r="A755" s="383" t="s">
        <v>715</v>
      </c>
      <c r="B755" s="388">
        <v>0.11809045226130643</v>
      </c>
      <c r="C755" s="389">
        <v>7.3529411764705843E-2</v>
      </c>
    </row>
    <row r="756" spans="1:3">
      <c r="A756" s="383" t="s">
        <v>904</v>
      </c>
      <c r="B756" s="388">
        <v>0.46118721461187207</v>
      </c>
      <c r="C756" s="389">
        <v>0.43333333333333335</v>
      </c>
    </row>
    <row r="757" spans="1:3">
      <c r="A757" s="382" t="s">
        <v>688</v>
      </c>
      <c r="B757" s="388">
        <v>4.1722770154373929</v>
      </c>
      <c r="C757" s="389">
        <v>-24.947209653092006</v>
      </c>
    </row>
    <row r="758" spans="1:3">
      <c r="A758" s="383" t="s">
        <v>1230</v>
      </c>
      <c r="B758" s="388">
        <v>8.1818181818181817</v>
      </c>
      <c r="C758" s="389">
        <v>-49.717948717948715</v>
      </c>
    </row>
    <row r="759" spans="1:3">
      <c r="A759" s="383" t="s">
        <v>687</v>
      </c>
      <c r="B759" s="388">
        <v>0.16273584905660377</v>
      </c>
      <c r="C759" s="389">
        <v>-0.17647058823529416</v>
      </c>
    </row>
    <row r="760" spans="1:3">
      <c r="A760" s="382" t="s">
        <v>105</v>
      </c>
      <c r="B760" s="388">
        <v>1.1400000000000001</v>
      </c>
      <c r="C760" s="389">
        <v>-7.5</v>
      </c>
    </row>
    <row r="761" spans="1:3">
      <c r="A761" s="383" t="s">
        <v>326</v>
      </c>
      <c r="B761" s="388">
        <v>1.1400000000000001</v>
      </c>
      <c r="C761" s="389">
        <v>-7.5</v>
      </c>
    </row>
    <row r="762" spans="1:3">
      <c r="A762" s="382" t="s">
        <v>100</v>
      </c>
      <c r="B762" s="388" t="e">
        <v>#DIV/0!</v>
      </c>
      <c r="C762" s="389" t="e">
        <v>#DIV/0!</v>
      </c>
    </row>
    <row r="763" spans="1:3">
      <c r="A763" s="383" t="s">
        <v>1122</v>
      </c>
      <c r="B763" s="388">
        <v>2.7237354085603016E-2</v>
      </c>
      <c r="C763" s="389">
        <v>-0.13157894736842102</v>
      </c>
    </row>
    <row r="764" spans="1:3">
      <c r="A764" s="383" t="s">
        <v>912</v>
      </c>
      <c r="B764" s="388">
        <v>-0.1955307262569832</v>
      </c>
      <c r="C764" s="389">
        <v>-0.35616438356164382</v>
      </c>
    </row>
    <row r="765" spans="1:3">
      <c r="A765" s="383" t="s">
        <v>400</v>
      </c>
      <c r="B765" s="388">
        <v>6.8153655514250344E-2</v>
      </c>
      <c r="C765" s="389">
        <v>4.1551246537396169E-2</v>
      </c>
    </row>
    <row r="766" spans="1:3">
      <c r="A766" s="383" t="s">
        <v>602</v>
      </c>
      <c r="B766" s="388">
        <v>0.43430656934306566</v>
      </c>
      <c r="C766" s="389">
        <v>1.3555555555555556</v>
      </c>
    </row>
    <row r="767" spans="1:3">
      <c r="A767" s="383" t="s">
        <v>452</v>
      </c>
      <c r="B767" s="388">
        <v>0.19982547993019195</v>
      </c>
      <c r="C767" s="389">
        <v>0.17596566523605151</v>
      </c>
    </row>
    <row r="768" spans="1:3">
      <c r="A768" s="383" t="s">
        <v>868</v>
      </c>
      <c r="B768" s="388">
        <v>0.14752475247524743</v>
      </c>
      <c r="C768" s="389">
        <v>1.5151515151515138E-2</v>
      </c>
    </row>
    <row r="769" spans="1:3">
      <c r="A769" s="383" t="s">
        <v>675</v>
      </c>
      <c r="B769" s="388">
        <v>0.10809214412285884</v>
      </c>
      <c r="C769" s="389">
        <v>-4.3478260869565188E-2</v>
      </c>
    </row>
    <row r="770" spans="1:3">
      <c r="A770" s="383" t="s">
        <v>744</v>
      </c>
      <c r="B770" s="388">
        <v>4.8361934477379132E-2</v>
      </c>
      <c r="C770" s="389">
        <v>0.10294117647058831</v>
      </c>
    </row>
    <row r="771" spans="1:3">
      <c r="A771" s="383" t="s">
        <v>369</v>
      </c>
      <c r="B771" s="388">
        <v>0.10729104919976296</v>
      </c>
      <c r="C771" s="389">
        <v>2.0312499999999956E-2</v>
      </c>
    </row>
    <row r="772" spans="1:3">
      <c r="A772" s="383" t="s">
        <v>548</v>
      </c>
      <c r="B772" s="388">
        <v>0.38863636363636367</v>
      </c>
      <c r="C772" s="389">
        <v>6.6666666666666652E-2</v>
      </c>
    </row>
    <row r="773" spans="1:3">
      <c r="A773" s="383" t="s">
        <v>361</v>
      </c>
      <c r="B773" s="388">
        <v>9.0079817559863162E-2</v>
      </c>
      <c r="C773" s="389">
        <v>7.5739644970414188E-2</v>
      </c>
    </row>
    <row r="774" spans="1:3">
      <c r="A774" s="383" t="s">
        <v>380</v>
      </c>
      <c r="B774" s="388">
        <v>9.2122481025909364E-2</v>
      </c>
      <c r="C774" s="389">
        <v>-1.6296296296296298</v>
      </c>
    </row>
    <row r="775" spans="1:3">
      <c r="A775" s="383" t="s">
        <v>900</v>
      </c>
      <c r="B775" s="388">
        <v>-0.39622641509433965</v>
      </c>
      <c r="C775" s="389">
        <v>-0.59183673469387754</v>
      </c>
    </row>
    <row r="776" spans="1:3">
      <c r="A776" s="383" t="s">
        <v>700</v>
      </c>
      <c r="B776" s="388">
        <v>0.10141987829614596</v>
      </c>
      <c r="C776" s="389">
        <v>0.18571428571428572</v>
      </c>
    </row>
    <row r="777" spans="1:3">
      <c r="A777" s="383" t="s">
        <v>298</v>
      </c>
      <c r="B777" s="388">
        <v>2.8280542986425239E-4</v>
      </c>
      <c r="C777" s="389">
        <v>-0.5717916137229988</v>
      </c>
    </row>
    <row r="778" spans="1:3">
      <c r="A778" s="383" t="s">
        <v>733</v>
      </c>
      <c r="B778" s="388">
        <v>-0.19526627218934911</v>
      </c>
      <c r="C778" s="389">
        <v>-0.81045751633986929</v>
      </c>
    </row>
    <row r="779" spans="1:3">
      <c r="A779" s="383" t="s">
        <v>703</v>
      </c>
      <c r="B779" s="388">
        <v>0.13524590163934436</v>
      </c>
      <c r="C779" s="389">
        <v>-0.16000000000000003</v>
      </c>
    </row>
    <row r="780" spans="1:3">
      <c r="A780" s="383" t="s">
        <v>1195</v>
      </c>
      <c r="B780" s="388">
        <v>5.5718475073313734E-2</v>
      </c>
      <c r="C780" s="389">
        <v>-3.6</v>
      </c>
    </row>
    <row r="781" spans="1:3">
      <c r="A781" s="383" t="s">
        <v>240</v>
      </c>
      <c r="B781" s="388">
        <v>0.12289780077619672</v>
      </c>
      <c r="C781" s="389">
        <v>-1.018675721561968E-2</v>
      </c>
    </row>
    <row r="782" spans="1:3">
      <c r="A782" s="383" t="s">
        <v>307</v>
      </c>
      <c r="B782" s="388">
        <v>4.4029672170375678E-2</v>
      </c>
      <c r="C782" s="389">
        <v>-0.15253029223093373</v>
      </c>
    </row>
    <row r="783" spans="1:3">
      <c r="A783" s="383" t="s">
        <v>508</v>
      </c>
      <c r="B783" s="388">
        <v>0.20438328236493364</v>
      </c>
      <c r="C783" s="389">
        <v>0.48076923076923084</v>
      </c>
    </row>
    <row r="784" spans="1:3">
      <c r="A784" s="383" t="s">
        <v>583</v>
      </c>
      <c r="B784" s="388">
        <v>0.11004126547455306</v>
      </c>
      <c r="C784" s="389">
        <v>0.25287356321839072</v>
      </c>
    </row>
    <row r="785" spans="1:3">
      <c r="A785" s="383" t="s">
        <v>939</v>
      </c>
      <c r="B785" s="388">
        <v>0</v>
      </c>
      <c r="C785" s="389">
        <v>-0.2432432432432432</v>
      </c>
    </row>
    <row r="786" spans="1:3">
      <c r="A786" s="383" t="s">
        <v>493</v>
      </c>
      <c r="B786" s="388">
        <v>0.2247109826589595</v>
      </c>
      <c r="C786" s="389">
        <v>0.27941176470588225</v>
      </c>
    </row>
    <row r="787" spans="1:3">
      <c r="A787" s="383" t="s">
        <v>433</v>
      </c>
      <c r="B787" s="388">
        <v>0.1452145214521452</v>
      </c>
      <c r="C787" s="389">
        <v>-0.68245425188374598</v>
      </c>
    </row>
    <row r="788" spans="1:3">
      <c r="A788" s="383" t="s">
        <v>387</v>
      </c>
      <c r="B788" s="388">
        <v>0.15146147032772372</v>
      </c>
      <c r="C788" s="389">
        <v>0.15804597701149414</v>
      </c>
    </row>
    <row r="789" spans="1:3">
      <c r="A789" s="383" t="s">
        <v>659</v>
      </c>
      <c r="B789" s="388">
        <v>0.2198768689533861</v>
      </c>
      <c r="C789" s="389">
        <v>0.28205128205128216</v>
      </c>
    </row>
    <row r="790" spans="1:3">
      <c r="A790" s="383" t="s">
        <v>1172</v>
      </c>
      <c r="B790" s="388">
        <v>0.11594202898550732</v>
      </c>
      <c r="C790" s="389">
        <v>-0.36842105263157898</v>
      </c>
    </row>
    <row r="791" spans="1:3">
      <c r="A791" s="383" t="s">
        <v>1126</v>
      </c>
      <c r="B791" s="388">
        <v>0.10256410256410264</v>
      </c>
      <c r="C791" s="389">
        <v>0</v>
      </c>
    </row>
    <row r="792" spans="1:3">
      <c r="A792" s="383" t="s">
        <v>1234</v>
      </c>
      <c r="B792" s="388">
        <v>0.10514541387024612</v>
      </c>
      <c r="C792" s="389">
        <v>-1.2941176470588236</v>
      </c>
    </row>
    <row r="793" spans="1:3">
      <c r="A793" s="383" t="s">
        <v>1063</v>
      </c>
      <c r="B793" s="388">
        <v>0.40937500000000004</v>
      </c>
      <c r="C793" s="389">
        <v>0.23529411764705888</v>
      </c>
    </row>
    <row r="794" spans="1:3">
      <c r="A794" s="383" t="s">
        <v>1278</v>
      </c>
      <c r="B794" s="388">
        <v>0.10898661567877621</v>
      </c>
      <c r="C794" s="389">
        <v>5.0000000000000044E-2</v>
      </c>
    </row>
    <row r="795" spans="1:3">
      <c r="A795" s="383" t="s">
        <v>447</v>
      </c>
      <c r="B795" s="388">
        <v>4.7661469933184764E-2</v>
      </c>
      <c r="C795" s="389">
        <v>0.375</v>
      </c>
    </row>
    <row r="796" spans="1:3">
      <c r="A796" s="383" t="s">
        <v>470</v>
      </c>
      <c r="B796" s="388">
        <v>0.10488058151609558</v>
      </c>
      <c r="C796" s="389">
        <v>0.21604938271604945</v>
      </c>
    </row>
    <row r="797" spans="1:3">
      <c r="A797" s="383" t="s">
        <v>684</v>
      </c>
      <c r="B797" s="388">
        <v>0.16712630998345279</v>
      </c>
      <c r="C797" s="389">
        <v>-0.5</v>
      </c>
    </row>
    <row r="798" spans="1:3">
      <c r="A798" s="383" t="s">
        <v>396</v>
      </c>
      <c r="B798" s="388">
        <v>0.25653710247349815</v>
      </c>
      <c r="C798" s="389">
        <v>1.8111111111111109</v>
      </c>
    </row>
    <row r="799" spans="1:3">
      <c r="A799" s="383" t="s">
        <v>310</v>
      </c>
      <c r="B799" s="388">
        <v>0.26379494482022081</v>
      </c>
      <c r="C799" s="389">
        <v>0.37529137529137535</v>
      </c>
    </row>
    <row r="800" spans="1:3">
      <c r="A800" s="383" t="s">
        <v>324</v>
      </c>
      <c r="B800" s="388">
        <v>0.11503594873397938</v>
      </c>
      <c r="C800" s="389">
        <v>7.2538860103626979E-2</v>
      </c>
    </row>
    <row r="801" spans="1:3">
      <c r="A801" s="383" t="s">
        <v>851</v>
      </c>
      <c r="B801" s="388">
        <v>7.9497907949790836E-2</v>
      </c>
      <c r="C801" s="389">
        <v>6.60377358490567E-2</v>
      </c>
    </row>
    <row r="802" spans="1:3">
      <c r="A802" s="383" t="s">
        <v>1252</v>
      </c>
      <c r="B802" s="388">
        <v>7.079646017699126E-2</v>
      </c>
      <c r="C802" s="389">
        <v>3.8461538461538547E-2</v>
      </c>
    </row>
    <row r="803" spans="1:3">
      <c r="A803" s="383" t="s">
        <v>610</v>
      </c>
      <c r="B803" s="388">
        <v>0.36497890295358659</v>
      </c>
      <c r="C803" s="389">
        <v>0.14393939393939403</v>
      </c>
    </row>
    <row r="804" spans="1:3">
      <c r="A804" s="383" t="s">
        <v>614</v>
      </c>
      <c r="B804" s="388">
        <v>0.10301507537688437</v>
      </c>
      <c r="C804" s="389">
        <v>-0.60396039603960394</v>
      </c>
    </row>
    <row r="805" spans="1:3">
      <c r="A805" s="383" t="s">
        <v>651</v>
      </c>
      <c r="B805" s="388">
        <v>-0.26020408163265307</v>
      </c>
      <c r="C805" s="389">
        <v>0.29411764705882359</v>
      </c>
    </row>
    <row r="806" spans="1:3">
      <c r="A806" s="383" t="s">
        <v>1143</v>
      </c>
      <c r="B806" s="388">
        <v>-4.6082949308755783E-2</v>
      </c>
      <c r="C806" s="389">
        <v>-1.5454545454545454</v>
      </c>
    </row>
    <row r="807" spans="1:3">
      <c r="A807" s="383" t="s">
        <v>1294</v>
      </c>
      <c r="B807" s="388">
        <v>1.2269938650306678E-2</v>
      </c>
      <c r="C807" s="389">
        <v>-0.25</v>
      </c>
    </row>
    <row r="808" spans="1:3">
      <c r="A808" s="383" t="s">
        <v>546</v>
      </c>
      <c r="B808" s="388">
        <v>0.1988847583643123</v>
      </c>
      <c r="C808" s="389">
        <v>0.109375</v>
      </c>
    </row>
    <row r="809" spans="1:3">
      <c r="A809" s="383" t="s">
        <v>567</v>
      </c>
      <c r="B809" s="388">
        <v>-2.9038112522686066E-2</v>
      </c>
      <c r="C809" s="389">
        <v>-35</v>
      </c>
    </row>
    <row r="810" spans="1:3">
      <c r="A810" s="383" t="s">
        <v>832</v>
      </c>
      <c r="B810" s="388">
        <v>0.20711974110032361</v>
      </c>
      <c r="C810" s="389">
        <v>-0.14444444444444449</v>
      </c>
    </row>
    <row r="811" spans="1:3">
      <c r="A811" s="383" t="s">
        <v>1153</v>
      </c>
      <c r="B811" s="388">
        <v>4.6511627906976827E-2</v>
      </c>
      <c r="C811" s="389">
        <v>-0.3529411764705882</v>
      </c>
    </row>
    <row r="812" spans="1:3">
      <c r="A812" s="383" t="s">
        <v>554</v>
      </c>
      <c r="B812" s="388">
        <v>0.26651480637813219</v>
      </c>
      <c r="C812" s="389">
        <v>0.8867924528301887</v>
      </c>
    </row>
    <row r="813" spans="1:3">
      <c r="A813" s="383" t="s">
        <v>814</v>
      </c>
      <c r="B813" s="388" t="e">
        <v>#DIV/0!</v>
      </c>
      <c r="C813" s="389" t="e">
        <v>#DIV/0!</v>
      </c>
    </row>
    <row r="814" spans="1:3">
      <c r="A814" s="383" t="s">
        <v>1094</v>
      </c>
      <c r="B814" s="388">
        <v>0.69902912621359214</v>
      </c>
      <c r="C814" s="389">
        <v>1.125</v>
      </c>
    </row>
    <row r="815" spans="1:3">
      <c r="A815" s="383" t="s">
        <v>795</v>
      </c>
      <c r="B815" s="388">
        <v>0.10852713178294571</v>
      </c>
      <c r="C815" s="389">
        <v>0.1707317073170731</v>
      </c>
    </row>
    <row r="816" spans="1:3">
      <c r="A816" s="383" t="s">
        <v>920</v>
      </c>
      <c r="B816" s="388">
        <v>0.28213166144200619</v>
      </c>
      <c r="C816" s="389">
        <v>0.41935483870967749</v>
      </c>
    </row>
    <row r="817" spans="1:3">
      <c r="A817" s="383" t="s">
        <v>1095</v>
      </c>
      <c r="B817" s="388">
        <v>0.21387283236994215</v>
      </c>
      <c r="C817" s="389">
        <v>0.35294117647058831</v>
      </c>
    </row>
    <row r="818" spans="1:3">
      <c r="A818" s="383" t="s">
        <v>1283</v>
      </c>
      <c r="B818" s="388">
        <v>0.16333333333333333</v>
      </c>
      <c r="C818" s="389">
        <v>-3.125</v>
      </c>
    </row>
    <row r="819" spans="1:3">
      <c r="A819" s="383" t="s">
        <v>847</v>
      </c>
      <c r="B819" s="388">
        <v>3.555941023417164E-2</v>
      </c>
      <c r="C819" s="389">
        <v>1.3111111111111109</v>
      </c>
    </row>
    <row r="820" spans="1:3">
      <c r="A820" s="383" t="s">
        <v>1039</v>
      </c>
      <c r="B820" s="388">
        <v>-0.4285714285714286</v>
      </c>
      <c r="C820" s="389">
        <v>1.2658227848101333E-2</v>
      </c>
    </row>
    <row r="821" spans="1:3">
      <c r="A821" s="383" t="s">
        <v>189</v>
      </c>
      <c r="B821" s="388">
        <v>0.13491773308957944</v>
      </c>
      <c r="C821" s="389">
        <v>0.16017912504305887</v>
      </c>
    </row>
    <row r="822" spans="1:3">
      <c r="A822" s="383" t="s">
        <v>981</v>
      </c>
      <c r="B822" s="388">
        <v>0.11351351351351346</v>
      </c>
      <c r="C822" s="389">
        <v>6.5217391304347894E-2</v>
      </c>
    </row>
    <row r="823" spans="1:3">
      <c r="A823" s="383" t="s">
        <v>252</v>
      </c>
      <c r="B823" s="388">
        <v>0.17586329654681387</v>
      </c>
      <c r="C823" s="389">
        <v>0.2624254473161034</v>
      </c>
    </row>
    <row r="824" spans="1:3">
      <c r="A824" s="383" t="s">
        <v>1243</v>
      </c>
      <c r="B824" s="388">
        <v>-2.2514071294559068E-2</v>
      </c>
      <c r="C824" s="389">
        <v>3.5517241379310347</v>
      </c>
    </row>
    <row r="825" spans="1:3">
      <c r="A825" s="383" t="s">
        <v>551</v>
      </c>
      <c r="B825" s="388">
        <v>0.23162274618585288</v>
      </c>
      <c r="C825" s="389">
        <v>2.0499999999999998</v>
      </c>
    </row>
    <row r="826" spans="1:3">
      <c r="A826" s="384" t="s">
        <v>180</v>
      </c>
      <c r="B826" s="388">
        <v>0.18196430687295176</v>
      </c>
      <c r="C826" s="389">
        <v>0.68841406941340832</v>
      </c>
    </row>
    <row r="827" spans="1:3">
      <c r="A827" s="382" t="s">
        <v>524</v>
      </c>
      <c r="B827" s="388">
        <v>7.9991857800548363E-2</v>
      </c>
      <c r="C827" s="389">
        <v>0.33788164822647587</v>
      </c>
    </row>
    <row r="828" spans="1:3">
      <c r="A828" s="383" t="s">
        <v>640</v>
      </c>
      <c r="B828" s="388">
        <v>2.7888446215139417E-2</v>
      </c>
      <c r="C828" s="389">
        <v>0.97297297297297303</v>
      </c>
    </row>
    <row r="829" spans="1:3">
      <c r="A829" s="383" t="s">
        <v>598</v>
      </c>
      <c r="B829" s="388">
        <v>7.1530758226037161E-2</v>
      </c>
      <c r="C829" s="389">
        <v>9.1954022988505857E-2</v>
      </c>
    </row>
    <row r="830" spans="1:3">
      <c r="A830" s="383" t="s">
        <v>523</v>
      </c>
      <c r="B830" s="388">
        <v>0.14055636896046853</v>
      </c>
      <c r="C830" s="389">
        <v>-5.1282051282051322E-2</v>
      </c>
    </row>
    <row r="831" spans="1:3">
      <c r="A831" s="382" t="s">
        <v>204</v>
      </c>
      <c r="B831" s="388">
        <v>0.31268204403779554</v>
      </c>
      <c r="C831" s="389">
        <v>0.15402167042708514</v>
      </c>
    </row>
    <row r="832" spans="1:3">
      <c r="A832" s="383" t="s">
        <v>852</v>
      </c>
      <c r="B832" s="388">
        <v>0.70270270270270263</v>
      </c>
      <c r="C832" s="389">
        <v>0.22222222222222232</v>
      </c>
    </row>
    <row r="833" spans="1:3">
      <c r="A833" s="383" t="s">
        <v>798</v>
      </c>
      <c r="B833" s="388">
        <v>7.7519379844961378E-3</v>
      </c>
      <c r="C833" s="389">
        <v>-2.1276595744680882E-2</v>
      </c>
    </row>
    <row r="834" spans="1:3">
      <c r="A834" s="383" t="s">
        <v>1068</v>
      </c>
      <c r="B834" s="388">
        <v>-0.27142857142857146</v>
      </c>
      <c r="C834" s="389">
        <v>-0.9</v>
      </c>
    </row>
    <row r="835" spans="1:3">
      <c r="A835" s="383" t="s">
        <v>932</v>
      </c>
      <c r="B835" s="388">
        <v>0.25182481751824826</v>
      </c>
      <c r="C835" s="389">
        <v>0.9285714285714286</v>
      </c>
    </row>
    <row r="836" spans="1:3">
      <c r="A836" s="383" t="s">
        <v>424</v>
      </c>
      <c r="B836" s="388">
        <v>-0.31971153846153844</v>
      </c>
      <c r="C836" s="389">
        <v>-0.51020408163265307</v>
      </c>
    </row>
    <row r="837" spans="1:3">
      <c r="A837" s="383" t="s">
        <v>203</v>
      </c>
      <c r="B837" s="388">
        <v>0.239688041594454</v>
      </c>
      <c r="C837" s="389">
        <v>0.20442410373760489</v>
      </c>
    </row>
    <row r="838" spans="1:3">
      <c r="A838" s="383" t="s">
        <v>596</v>
      </c>
      <c r="B838" s="388">
        <v>0.47863247863247871</v>
      </c>
      <c r="C838" s="389">
        <v>0.28888888888888897</v>
      </c>
    </row>
    <row r="839" spans="1:3">
      <c r="A839" s="383" t="s">
        <v>510</v>
      </c>
      <c r="B839" s="388">
        <v>0.4909520062942565</v>
      </c>
      <c r="C839" s="389">
        <v>0.73469387755102034</v>
      </c>
    </row>
    <row r="840" spans="1:3">
      <c r="A840" s="383" t="s">
        <v>219</v>
      </c>
      <c r="B840" s="388">
        <v>0.10651142733937036</v>
      </c>
      <c r="C840" s="389">
        <v>0.29673384294649052</v>
      </c>
    </row>
    <row r="841" spans="1:3">
      <c r="A841" s="383" t="s">
        <v>1296</v>
      </c>
      <c r="B841" s="388">
        <v>1.8095238095238093</v>
      </c>
      <c r="C841" s="389">
        <v>0.19999999999999996</v>
      </c>
    </row>
    <row r="842" spans="1:3">
      <c r="A842" s="383" t="s">
        <v>909</v>
      </c>
      <c r="B842" s="388">
        <v>0.16033755274261607</v>
      </c>
      <c r="C842" s="389">
        <v>8.0000000000000071E-2</v>
      </c>
    </row>
    <row r="843" spans="1:3">
      <c r="A843" s="383" t="s">
        <v>729</v>
      </c>
      <c r="B843" s="388">
        <v>0.59195402298850586</v>
      </c>
      <c r="C843" s="389">
        <v>1.2666666666666666</v>
      </c>
    </row>
    <row r="844" spans="1:3">
      <c r="A844" s="383" t="s">
        <v>963</v>
      </c>
      <c r="B844" s="388">
        <v>0.24705882352941178</v>
      </c>
      <c r="C844" s="389">
        <v>0.23076923076923084</v>
      </c>
    </row>
    <row r="845" spans="1:3">
      <c r="A845" s="383" t="s">
        <v>1187</v>
      </c>
      <c r="B845" s="388">
        <v>0.72</v>
      </c>
      <c r="C845" s="389">
        <v>0</v>
      </c>
    </row>
    <row r="846" spans="1:3">
      <c r="A846" s="383" t="s">
        <v>1018</v>
      </c>
      <c r="B846" s="388">
        <v>-0.37735849056603776</v>
      </c>
      <c r="C846" s="389">
        <v>-0.8666666666666667</v>
      </c>
    </row>
    <row r="847" spans="1:3">
      <c r="A847" s="383" t="s">
        <v>716</v>
      </c>
      <c r="B847" s="388">
        <v>0.16447368421052633</v>
      </c>
      <c r="C847" s="389">
        <v>0.30952380952380953</v>
      </c>
    </row>
    <row r="848" spans="1:3">
      <c r="A848" s="382" t="s">
        <v>944</v>
      </c>
      <c r="B848" s="388">
        <v>6.024885358655574E-2</v>
      </c>
      <c r="C848" s="389">
        <v>0.90928515928515918</v>
      </c>
    </row>
    <row r="849" spans="1:3">
      <c r="A849" s="383" t="s">
        <v>1323</v>
      </c>
      <c r="B849" s="388">
        <v>-1</v>
      </c>
      <c r="C849" s="389">
        <v>2.3333333333333335</v>
      </c>
    </row>
    <row r="850" spans="1:3">
      <c r="A850" s="383" t="s">
        <v>1324</v>
      </c>
      <c r="B850" s="388">
        <v>0.58527131782945729</v>
      </c>
      <c r="C850" s="389">
        <v>-0.11538461538461542</v>
      </c>
    </row>
    <row r="851" spans="1:3">
      <c r="A851" s="383" t="s">
        <v>943</v>
      </c>
      <c r="B851" s="388">
        <v>0.36465781409601639</v>
      </c>
      <c r="C851" s="389">
        <v>1.0555555555555554</v>
      </c>
    </row>
    <row r="852" spans="1:3">
      <c r="A852" s="383" t="s">
        <v>1325</v>
      </c>
      <c r="B852" s="388">
        <v>0.29106628242074928</v>
      </c>
      <c r="C852" s="389">
        <v>0.36363636363636354</v>
      </c>
    </row>
    <row r="853" spans="1:3">
      <c r="A853" s="382" t="s">
        <v>271</v>
      </c>
      <c r="B853" s="388">
        <v>0.3388471577509431</v>
      </c>
      <c r="C853" s="389">
        <v>0.48710565302655962</v>
      </c>
    </row>
    <row r="854" spans="1:3">
      <c r="A854" s="383" t="s">
        <v>655</v>
      </c>
      <c r="B854" s="388">
        <v>0.35194585448392557</v>
      </c>
      <c r="C854" s="389">
        <v>0.11564625850340127</v>
      </c>
    </row>
    <row r="855" spans="1:3">
      <c r="A855" s="383" t="s">
        <v>422</v>
      </c>
      <c r="B855" s="388">
        <v>0.19498381877022664</v>
      </c>
      <c r="C855" s="389">
        <v>0.42682926829268286</v>
      </c>
    </row>
    <row r="856" spans="1:3">
      <c r="A856" s="383" t="s">
        <v>270</v>
      </c>
      <c r="B856" s="388">
        <v>0.46115575966322231</v>
      </c>
      <c r="C856" s="389">
        <v>0.35775862068965525</v>
      </c>
    </row>
    <row r="857" spans="1:3">
      <c r="A857" s="383" t="s">
        <v>607</v>
      </c>
      <c r="B857" s="388">
        <v>0.42255892255892258</v>
      </c>
      <c r="C857" s="389">
        <v>0.73529411764705888</v>
      </c>
    </row>
    <row r="858" spans="1:3">
      <c r="A858" s="383" t="s">
        <v>1233</v>
      </c>
      <c r="B858" s="388">
        <v>0.26359143327841839</v>
      </c>
      <c r="C858" s="389">
        <v>0.8</v>
      </c>
    </row>
    <row r="859" spans="1:3">
      <c r="A859" s="382" t="s">
        <v>463</v>
      </c>
      <c r="B859" s="388">
        <v>0.10804253904951817</v>
      </c>
      <c r="C859" s="389">
        <v>0.17839092541496951</v>
      </c>
    </row>
    <row r="860" spans="1:3">
      <c r="A860" s="383" t="s">
        <v>462</v>
      </c>
      <c r="B860" s="388">
        <v>0</v>
      </c>
      <c r="C860" s="389">
        <v>0.13178294573643412</v>
      </c>
    </row>
    <row r="861" spans="1:3">
      <c r="A861" s="383" t="s">
        <v>964</v>
      </c>
      <c r="B861" s="388">
        <v>0.21960784313725501</v>
      </c>
      <c r="C861" s="389">
        <v>0.20338983050847448</v>
      </c>
    </row>
    <row r="862" spans="1:3">
      <c r="A862" s="383" t="s">
        <v>714</v>
      </c>
      <c r="B862" s="388">
        <v>0.10451977401129953</v>
      </c>
      <c r="C862" s="389">
        <v>0.19999999999999996</v>
      </c>
    </row>
    <row r="863" spans="1:3">
      <c r="A863" s="382" t="s">
        <v>181</v>
      </c>
      <c r="B863" s="388">
        <v>5.2147101886657846E-2</v>
      </c>
      <c r="C863" s="389">
        <v>0.26297957300278746</v>
      </c>
    </row>
    <row r="864" spans="1:3">
      <c r="A864" s="383" t="s">
        <v>760</v>
      </c>
      <c r="B864" s="388">
        <v>-7.3185923388352503E-2</v>
      </c>
      <c r="C864" s="389">
        <v>-0.4563758389261745</v>
      </c>
    </row>
    <row r="865" spans="1:3">
      <c r="A865" s="383" t="s">
        <v>984</v>
      </c>
      <c r="B865" s="388">
        <v>0.11461619348054675</v>
      </c>
      <c r="C865" s="389">
        <v>0.1020408163265305</v>
      </c>
    </row>
    <row r="866" spans="1:3">
      <c r="A866" s="383" t="s">
        <v>1084</v>
      </c>
      <c r="B866" s="388">
        <v>-0.23460410557184752</v>
      </c>
      <c r="C866" s="389">
        <v>2.1936459909228443</v>
      </c>
    </row>
    <row r="867" spans="1:3">
      <c r="A867" s="383" t="s">
        <v>1002</v>
      </c>
      <c r="B867" s="388">
        <v>0.19397590361445793</v>
      </c>
      <c r="C867" s="389">
        <v>2.857142857142847E-2</v>
      </c>
    </row>
    <row r="868" spans="1:3">
      <c r="A868" s="383" t="s">
        <v>782</v>
      </c>
      <c r="B868" s="388">
        <v>1.982378854625555E-2</v>
      </c>
      <c r="C868" s="389">
        <v>0.27586206896551735</v>
      </c>
    </row>
    <row r="869" spans="1:3">
      <c r="A869" s="383" t="s">
        <v>888</v>
      </c>
      <c r="B869" s="388">
        <v>-0.17458478176902281</v>
      </c>
      <c r="C869" s="389">
        <v>4.0191082802547768</v>
      </c>
    </row>
    <row r="870" spans="1:3">
      <c r="A870" s="383" t="s">
        <v>719</v>
      </c>
      <c r="B870" s="388">
        <v>0.58376963350785349</v>
      </c>
      <c r="C870" s="389">
        <v>2.2129629629629628</v>
      </c>
    </row>
    <row r="871" spans="1:3">
      <c r="A871" s="383" t="s">
        <v>812</v>
      </c>
      <c r="B871" s="388">
        <v>0.36245572609208976</v>
      </c>
      <c r="C871" s="389">
        <v>-1.5267175572519109E-2</v>
      </c>
    </row>
    <row r="872" spans="1:3">
      <c r="A872" s="383" t="s">
        <v>1097</v>
      </c>
      <c r="B872" s="388">
        <v>0.12420886075949378</v>
      </c>
      <c r="C872" s="389">
        <v>-0.18260869565217386</v>
      </c>
    </row>
    <row r="873" spans="1:3">
      <c r="A873" s="383" t="s">
        <v>1020</v>
      </c>
      <c r="B873" s="388">
        <v>-8.1429990069513458E-2</v>
      </c>
      <c r="C873" s="389">
        <v>-1.2051282051282051</v>
      </c>
    </row>
    <row r="874" spans="1:3">
      <c r="A874" s="383" t="s">
        <v>1142</v>
      </c>
      <c r="B874" s="388">
        <v>0.43801652892561993</v>
      </c>
      <c r="C874" s="389">
        <v>0.3214285714285714</v>
      </c>
    </row>
    <row r="875" spans="1:3">
      <c r="A875" s="383" t="s">
        <v>529</v>
      </c>
      <c r="B875" s="388">
        <v>-7.604938271604933E-2</v>
      </c>
      <c r="C875" s="389">
        <v>-0.96515101228011946</v>
      </c>
    </row>
    <row r="876" spans="1:3">
      <c r="A876" s="383" t="s">
        <v>699</v>
      </c>
      <c r="B876" s="388">
        <v>-0.18905472636815923</v>
      </c>
      <c r="C876" s="389">
        <v>0.16279069767441867</v>
      </c>
    </row>
    <row r="877" spans="1:3">
      <c r="A877" s="383" t="s">
        <v>913</v>
      </c>
      <c r="B877" s="388">
        <v>0.16254180602006696</v>
      </c>
      <c r="C877" s="389">
        <v>0.93103448275862077</v>
      </c>
    </row>
    <row r="878" spans="1:3">
      <c r="A878" s="383" t="s">
        <v>1060</v>
      </c>
      <c r="B878" s="388">
        <v>-0.11776581426648725</v>
      </c>
      <c r="C878" s="389">
        <v>-0.17171717171717171</v>
      </c>
    </row>
    <row r="879" spans="1:3">
      <c r="A879" s="383" t="s">
        <v>552</v>
      </c>
      <c r="B879" s="388">
        <v>0.16277041172365658</v>
      </c>
      <c r="C879" s="389">
        <v>6.4285714285714279E-2</v>
      </c>
    </row>
    <row r="880" spans="1:3">
      <c r="A880" s="383" t="s">
        <v>644</v>
      </c>
      <c r="B880" s="388">
        <v>0.12189194241914381</v>
      </c>
      <c r="C880" s="389">
        <v>-2.3076923076923106E-2</v>
      </c>
    </row>
    <row r="881" spans="1:3">
      <c r="A881" s="383" t="s">
        <v>1082</v>
      </c>
      <c r="B881" s="388">
        <v>-0.12382075471698117</v>
      </c>
      <c r="C881" s="389">
        <v>-0.59599999999999997</v>
      </c>
    </row>
    <row r="882" spans="1:3">
      <c r="A882" s="383" t="s">
        <v>179</v>
      </c>
      <c r="B882" s="388">
        <v>0.10487412630667414</v>
      </c>
      <c r="C882" s="389">
        <v>0.29292676830792308</v>
      </c>
    </row>
    <row r="883" spans="1:3">
      <c r="A883" s="383" t="s">
        <v>1037</v>
      </c>
      <c r="B883" s="388">
        <v>-0.36776859504132231</v>
      </c>
      <c r="C883" s="389">
        <v>-0.3928571428571429</v>
      </c>
    </row>
    <row r="884" spans="1:3">
      <c r="A884" s="383" t="s">
        <v>530</v>
      </c>
      <c r="B884" s="388">
        <v>7.5827696689213298E-2</v>
      </c>
      <c r="C884" s="389">
        <v>0.38732394366197176</v>
      </c>
    </row>
    <row r="885" spans="1:3">
      <c r="A885" s="383" t="s">
        <v>794</v>
      </c>
      <c r="B885" s="388">
        <v>-8.90718562874252E-2</v>
      </c>
      <c r="C885" s="389">
        <v>-0.34466019417475724</v>
      </c>
    </row>
    <row r="886" spans="1:3">
      <c r="A886" s="383" t="s">
        <v>1210</v>
      </c>
      <c r="B886" s="388">
        <v>2.8215767634854672E-2</v>
      </c>
      <c r="C886" s="389">
        <v>0.16250000000000009</v>
      </c>
    </row>
    <row r="887" spans="1:3">
      <c r="A887" s="383" t="s">
        <v>976</v>
      </c>
      <c r="B887" s="388">
        <v>-0.18367346938775508</v>
      </c>
      <c r="C887" s="389">
        <v>-6.1728395061728447E-2</v>
      </c>
    </row>
    <row r="888" spans="1:3">
      <c r="A888" s="383" t="s">
        <v>918</v>
      </c>
      <c r="B888" s="388">
        <v>6.1285500747384258E-2</v>
      </c>
      <c r="C888" s="389">
        <v>0.16279069767441867</v>
      </c>
    </row>
    <row r="889" spans="1:3">
      <c r="A889" s="383" t="s">
        <v>1171</v>
      </c>
      <c r="B889" s="388">
        <v>0.28888888888888897</v>
      </c>
      <c r="C889" s="389">
        <v>2.4</v>
      </c>
    </row>
    <row r="890" spans="1:3">
      <c r="A890" s="383" t="s">
        <v>381</v>
      </c>
      <c r="B890" s="388">
        <v>2.5618567987738095E-2</v>
      </c>
      <c r="C890" s="389">
        <v>3.8461538461538547E-2</v>
      </c>
    </row>
    <row r="891" spans="1:3">
      <c r="A891" s="383" t="s">
        <v>1141</v>
      </c>
      <c r="B891" s="388">
        <v>6.3180827886710311E-2</v>
      </c>
      <c r="C891" s="389">
        <v>0.30508474576271194</v>
      </c>
    </row>
    <row r="892" spans="1:3">
      <c r="A892" s="383" t="s">
        <v>778</v>
      </c>
      <c r="B892" s="388">
        <v>5.7291666666666741E-2</v>
      </c>
      <c r="C892" s="389">
        <v>5.504587155963292E-2</v>
      </c>
    </row>
    <row r="893" spans="1:3">
      <c r="A893" s="383" t="s">
        <v>1017</v>
      </c>
      <c r="B893" s="388">
        <v>0.13881328252585745</v>
      </c>
      <c r="C893" s="389">
        <v>-0.94117647058823528</v>
      </c>
    </row>
    <row r="894" spans="1:3">
      <c r="A894" s="383" t="s">
        <v>689</v>
      </c>
      <c r="B894" s="388">
        <v>0.37106918238993702</v>
      </c>
      <c r="C894" s="389">
        <v>0.25263157894736832</v>
      </c>
    </row>
    <row r="895" spans="1:3">
      <c r="A895" s="383" t="s">
        <v>910</v>
      </c>
      <c r="B895" s="388">
        <v>-0.1194196428571429</v>
      </c>
      <c r="C895" s="389">
        <v>-0.59740259740259738</v>
      </c>
    </row>
    <row r="896" spans="1:3">
      <c r="A896" s="382" t="s">
        <v>279</v>
      </c>
      <c r="B896" s="388">
        <v>0.34188282897627115</v>
      </c>
      <c r="C896" s="389">
        <v>10.844592955363517</v>
      </c>
    </row>
    <row r="897" spans="1:3">
      <c r="A897" s="383" t="s">
        <v>278</v>
      </c>
      <c r="B897" s="388">
        <v>0.2363484785327219</v>
      </c>
      <c r="C897" s="389">
        <v>5.1219512195121997E-2</v>
      </c>
    </row>
    <row r="898" spans="1:3">
      <c r="A898" s="383" t="s">
        <v>883</v>
      </c>
      <c r="B898" s="388">
        <v>0.6283987915407856</v>
      </c>
      <c r="C898" s="389">
        <v>32.962264150943398</v>
      </c>
    </row>
    <row r="899" spans="1:3">
      <c r="A899" s="383" t="s">
        <v>1328</v>
      </c>
      <c r="B899" s="388">
        <v>0.1609012168553059</v>
      </c>
      <c r="C899" s="389">
        <v>-0.47970479704797053</v>
      </c>
    </row>
    <row r="900" spans="1:3">
      <c r="A900" s="382" t="s">
        <v>264</v>
      </c>
      <c r="B900" s="388">
        <v>0.14545648905707906</v>
      </c>
      <c r="C900" s="389">
        <v>4.929418091946372E-2</v>
      </c>
    </row>
    <row r="901" spans="1:3">
      <c r="A901" s="383" t="s">
        <v>263</v>
      </c>
      <c r="B901" s="388">
        <v>-1.1225444340505097E-2</v>
      </c>
      <c r="C901" s="389">
        <v>-0.12903225806451613</v>
      </c>
    </row>
    <row r="902" spans="1:3">
      <c r="A902" s="383" t="s">
        <v>621</v>
      </c>
      <c r="B902" s="388">
        <v>0.18417945690672965</v>
      </c>
      <c r="C902" s="389">
        <v>0.1875</v>
      </c>
    </row>
    <row r="903" spans="1:3">
      <c r="A903" s="383" t="s">
        <v>1091</v>
      </c>
      <c r="B903" s="388">
        <v>0.16511318242343531</v>
      </c>
      <c r="C903" s="389">
        <v>-0.1428571428571429</v>
      </c>
    </row>
    <row r="904" spans="1:3">
      <c r="A904" s="383" t="s">
        <v>710</v>
      </c>
      <c r="B904" s="388">
        <v>0.19422572178477693</v>
      </c>
      <c r="C904" s="389">
        <v>-7.7922077922077948E-2</v>
      </c>
    </row>
    <row r="905" spans="1:3">
      <c r="A905" s="383" t="s">
        <v>717</v>
      </c>
      <c r="B905" s="388">
        <v>-2.4475524475524479E-2</v>
      </c>
      <c r="C905" s="389">
        <v>5.3097345132743445E-2</v>
      </c>
    </row>
    <row r="906" spans="1:3">
      <c r="A906" s="383" t="s">
        <v>572</v>
      </c>
      <c r="B906" s="388">
        <v>0.29192546583850931</v>
      </c>
      <c r="C906" s="389">
        <v>0.60294117647058831</v>
      </c>
    </row>
    <row r="907" spans="1:3">
      <c r="A907" s="383" t="s">
        <v>862</v>
      </c>
      <c r="B907" s="388">
        <v>0.1871345029239766</v>
      </c>
      <c r="C907" s="389">
        <v>0.13888888888888884</v>
      </c>
    </row>
    <row r="908" spans="1:3">
      <c r="A908" s="383" t="s">
        <v>696</v>
      </c>
      <c r="B908" s="388">
        <v>7.9889807162534465E-2</v>
      </c>
      <c r="C908" s="389">
        <v>0.1095890410958904</v>
      </c>
    </row>
    <row r="909" spans="1:3">
      <c r="A909" s="383" t="s">
        <v>1100</v>
      </c>
      <c r="B909" s="388">
        <v>0.32189973614775735</v>
      </c>
      <c r="C909" s="389">
        <v>0.13749999999999996</v>
      </c>
    </row>
    <row r="910" spans="1:3">
      <c r="A910" s="383" t="s">
        <v>927</v>
      </c>
      <c r="B910" s="388">
        <v>-0.15254237288135597</v>
      </c>
      <c r="C910" s="389">
        <v>-0.69230769230769229</v>
      </c>
    </row>
    <row r="911" spans="1:3">
      <c r="A911" s="383" t="s">
        <v>1031</v>
      </c>
      <c r="B911" s="388">
        <v>0.36389684813753576</v>
      </c>
      <c r="C911" s="389">
        <v>0.35483870967741926</v>
      </c>
    </row>
    <row r="912" spans="1:3">
      <c r="A912" s="382" t="s">
        <v>678</v>
      </c>
      <c r="B912" s="388">
        <v>1.2867570385818687E-3</v>
      </c>
      <c r="C912" s="389">
        <v>-0.77093269740328552</v>
      </c>
    </row>
    <row r="913" spans="1:3">
      <c r="A913" s="383" t="s">
        <v>764</v>
      </c>
      <c r="B913" s="388">
        <v>-2.4000000000000021E-2</v>
      </c>
      <c r="C913" s="389">
        <v>4.5045045045045029E-2</v>
      </c>
    </row>
    <row r="914" spans="1:3">
      <c r="A914" s="383" t="s">
        <v>968</v>
      </c>
      <c r="B914" s="388">
        <v>-0.20985401459854014</v>
      </c>
      <c r="C914" s="389">
        <v>-0.44117647058823528</v>
      </c>
    </row>
    <row r="915" spans="1:3">
      <c r="A915" s="383" t="s">
        <v>677</v>
      </c>
      <c r="B915" s="388">
        <v>0.23771428571428577</v>
      </c>
      <c r="C915" s="389">
        <v>-1.9166666666666665</v>
      </c>
    </row>
    <row r="916" spans="1:3">
      <c r="A916" s="382" t="s">
        <v>669</v>
      </c>
      <c r="B916" s="388">
        <v>0.18545152305277296</v>
      </c>
      <c r="C916" s="389">
        <v>-0.30194781150946248</v>
      </c>
    </row>
    <row r="917" spans="1:3">
      <c r="A917" s="383" t="s">
        <v>668</v>
      </c>
      <c r="B917" s="388">
        <v>0.22753346080305925</v>
      </c>
      <c r="C917" s="389">
        <v>-4.1904761904761907</v>
      </c>
    </row>
    <row r="918" spans="1:3">
      <c r="A918" s="383" t="s">
        <v>749</v>
      </c>
      <c r="B918" s="388">
        <v>0.37238493723849375</v>
      </c>
      <c r="C918" s="389">
        <v>1.4939759036144578</v>
      </c>
    </row>
    <row r="919" spans="1:3">
      <c r="A919" s="383" t="s">
        <v>1134</v>
      </c>
      <c r="B919" s="388">
        <v>0.16363636363636358</v>
      </c>
      <c r="C919" s="389">
        <v>0.55555555555555558</v>
      </c>
    </row>
    <row r="920" spans="1:3">
      <c r="A920" s="383" t="s">
        <v>808</v>
      </c>
      <c r="B920" s="388">
        <v>8.118811881188126E-2</v>
      </c>
      <c r="C920" s="389">
        <v>0.2978723404255319</v>
      </c>
    </row>
    <row r="921" spans="1:3">
      <c r="A921" s="383" t="s">
        <v>767</v>
      </c>
      <c r="B921" s="388">
        <v>8.25147347740669E-2</v>
      </c>
      <c r="C921" s="389">
        <v>0.33333333333333326</v>
      </c>
    </row>
    <row r="922" spans="1:3">
      <c r="A922" s="382" t="s">
        <v>930</v>
      </c>
      <c r="B922" s="388">
        <v>8.0332409972299068E-2</v>
      </c>
      <c r="C922" s="389">
        <v>-4.3333333333333339</v>
      </c>
    </row>
    <row r="923" spans="1:3">
      <c r="A923" s="383" t="s">
        <v>929</v>
      </c>
      <c r="B923" s="388">
        <v>8.0332409972299068E-2</v>
      </c>
      <c r="C923" s="389">
        <v>-4.3333333333333339</v>
      </c>
    </row>
    <row r="924" spans="1:3">
      <c r="A924" s="382" t="s">
        <v>275</v>
      </c>
      <c r="B924" s="388">
        <v>0.35821263715940149</v>
      </c>
      <c r="C924" s="389">
        <v>0.19735841607304411</v>
      </c>
    </row>
    <row r="925" spans="1:3">
      <c r="A925" s="383" t="s">
        <v>274</v>
      </c>
      <c r="B925" s="388">
        <v>5.7057949479940584E-2</v>
      </c>
      <c r="C925" s="389">
        <v>-0.17992424242424243</v>
      </c>
    </row>
    <row r="926" spans="1:3">
      <c r="A926" s="383" t="s">
        <v>754</v>
      </c>
      <c r="B926" s="388">
        <v>0.31666666666666665</v>
      </c>
      <c r="C926" s="389">
        <v>0.47826086956521729</v>
      </c>
    </row>
    <row r="927" spans="1:3">
      <c r="A927" s="383" t="s">
        <v>325</v>
      </c>
      <c r="B927" s="388">
        <v>0.16435344235261784</v>
      </c>
      <c r="C927" s="389">
        <v>1.8888888888888888</v>
      </c>
    </row>
    <row r="928" spans="1:3">
      <c r="A928" s="383" t="s">
        <v>294</v>
      </c>
      <c r="B928" s="388">
        <v>0.2624254473161034</v>
      </c>
      <c r="C928" s="389">
        <v>0.19327731092436973</v>
      </c>
    </row>
    <row r="929" spans="1:3">
      <c r="A929" s="383" t="s">
        <v>802</v>
      </c>
      <c r="B929" s="388">
        <v>4.7794117647058876E-2</v>
      </c>
      <c r="C929" s="389">
        <v>-0.33644859813084116</v>
      </c>
    </row>
    <row r="930" spans="1:3">
      <c r="A930" s="383" t="s">
        <v>1127</v>
      </c>
      <c r="B930" s="388">
        <v>0.21835443037974689</v>
      </c>
      <c r="C930" s="389">
        <v>-5</v>
      </c>
    </row>
    <row r="931" spans="1:3">
      <c r="A931" s="383" t="s">
        <v>318</v>
      </c>
      <c r="B931" s="388">
        <v>0.5843429636533084</v>
      </c>
      <c r="C931" s="389">
        <v>1.0422535211267605</v>
      </c>
    </row>
    <row r="932" spans="1:3">
      <c r="A932" s="383" t="s">
        <v>292</v>
      </c>
      <c r="B932" s="388">
        <v>0.28518518518518521</v>
      </c>
      <c r="C932" s="389">
        <v>0.9051094890510949</v>
      </c>
    </row>
    <row r="933" spans="1:3">
      <c r="A933" s="383" t="s">
        <v>636</v>
      </c>
      <c r="B933" s="388">
        <v>0.24547283702213285</v>
      </c>
      <c r="C933" s="389">
        <v>0.1454545454545455</v>
      </c>
    </row>
    <row r="934" spans="1:3">
      <c r="A934" s="383" t="s">
        <v>914</v>
      </c>
      <c r="B934" s="388">
        <v>2.9305555555555554</v>
      </c>
      <c r="C934" s="389">
        <v>2.263157894736842</v>
      </c>
    </row>
    <row r="935" spans="1:3">
      <c r="A935" s="383" t="s">
        <v>559</v>
      </c>
      <c r="B935" s="388">
        <v>0.20070011668611443</v>
      </c>
      <c r="C935" s="389">
        <v>-0.11818181818181817</v>
      </c>
    </row>
    <row r="936" spans="1:3">
      <c r="A936" s="383" t="s">
        <v>1015</v>
      </c>
      <c r="B936" s="388">
        <v>0.11111111111111116</v>
      </c>
      <c r="C936" s="389">
        <v>0.23529411764705888</v>
      </c>
    </row>
    <row r="937" spans="1:3">
      <c r="A937" s="383" t="s">
        <v>308</v>
      </c>
      <c r="B937" s="388">
        <v>0.20283018867924518</v>
      </c>
      <c r="C937" s="389">
        <v>0.80136986301369872</v>
      </c>
    </row>
    <row r="938" spans="1:3">
      <c r="A938" s="383" t="s">
        <v>283</v>
      </c>
      <c r="B938" s="388">
        <v>0.13988095238095233</v>
      </c>
      <c r="C938" s="389">
        <v>-0.54885993485342022</v>
      </c>
    </row>
    <row r="939" spans="1:3">
      <c r="A939" s="383" t="s">
        <v>1049</v>
      </c>
      <c r="B939" s="388">
        <v>0.20704845814977979</v>
      </c>
      <c r="C939" s="389">
        <v>0.44444444444444442</v>
      </c>
    </row>
    <row r="940" spans="1:3">
      <c r="A940" s="383" t="s">
        <v>401</v>
      </c>
      <c r="B940" s="388">
        <v>0.42404850117884818</v>
      </c>
      <c r="C940" s="389">
        <v>0.14690721649484528</v>
      </c>
    </row>
    <row r="941" spans="1:3">
      <c r="A941" s="383" t="s">
        <v>660</v>
      </c>
      <c r="B941" s="388">
        <v>0.2628571428571429</v>
      </c>
      <c r="C941" s="389">
        <v>0.27272727272727271</v>
      </c>
    </row>
    <row r="942" spans="1:3">
      <c r="A942" s="383" t="s">
        <v>468</v>
      </c>
      <c r="B942" s="388">
        <v>4.4391597304795916E-2</v>
      </c>
      <c r="C942" s="389">
        <v>0.79824561403508776</v>
      </c>
    </row>
    <row r="943" spans="1:3">
      <c r="A943" s="383" t="s">
        <v>1011</v>
      </c>
      <c r="B943" s="388">
        <v>0.30457746478873249</v>
      </c>
      <c r="C943" s="389">
        <v>0.38181818181818183</v>
      </c>
    </row>
    <row r="944" spans="1:3">
      <c r="A944" s="383" t="s">
        <v>871</v>
      </c>
      <c r="B944" s="388">
        <v>0.32611940298507469</v>
      </c>
      <c r="C944" s="389">
        <v>0.18279569892473124</v>
      </c>
    </row>
    <row r="945" spans="1:3">
      <c r="A945" s="383" t="s">
        <v>647</v>
      </c>
      <c r="B945" s="388">
        <v>0.24055666003976151</v>
      </c>
      <c r="C945" s="389">
        <v>-1.0869565217391353E-2</v>
      </c>
    </row>
    <row r="946" spans="1:3">
      <c r="A946" s="383" t="s">
        <v>809</v>
      </c>
      <c r="B946" s="388">
        <v>0.30434782608695654</v>
      </c>
      <c r="C946" s="389">
        <v>0.35616438356164393</v>
      </c>
    </row>
    <row r="947" spans="1:3">
      <c r="A947" s="382" t="s">
        <v>514</v>
      </c>
      <c r="B947" s="388">
        <v>0.13885415971170242</v>
      </c>
      <c r="C947" s="389">
        <v>0.1305797450404784</v>
      </c>
    </row>
    <row r="948" spans="1:3">
      <c r="A948" s="383" t="s">
        <v>1048</v>
      </c>
      <c r="B948" s="388">
        <v>-0.13108614232209737</v>
      </c>
      <c r="C948" s="389">
        <v>2.2105263157894739</v>
      </c>
    </row>
    <row r="949" spans="1:3">
      <c r="A949" s="383" t="s">
        <v>1228</v>
      </c>
      <c r="B949" s="388">
        <v>-0.31756756756756754</v>
      </c>
      <c r="C949" s="389">
        <v>0.10000000000000009</v>
      </c>
    </row>
    <row r="950" spans="1:3">
      <c r="A950" s="383" t="s">
        <v>878</v>
      </c>
      <c r="B950" s="388">
        <v>0.34603174603174613</v>
      </c>
      <c r="C950" s="389">
        <v>0.66666666666666674</v>
      </c>
    </row>
    <row r="951" spans="1:3">
      <c r="A951" s="383" t="s">
        <v>1038</v>
      </c>
      <c r="B951" s="388">
        <v>0.10237203495630465</v>
      </c>
      <c r="C951" s="389">
        <v>-1.2250000000000001</v>
      </c>
    </row>
    <row r="952" spans="1:3">
      <c r="A952" s="383" t="s">
        <v>1241</v>
      </c>
      <c r="B952" s="388">
        <v>0.64880952380952372</v>
      </c>
      <c r="C952" s="389">
        <v>0.19999999999999996</v>
      </c>
    </row>
    <row r="953" spans="1:3">
      <c r="A953" s="383" t="s">
        <v>1259</v>
      </c>
      <c r="B953" s="388">
        <v>0.41125541125541121</v>
      </c>
      <c r="C953" s="389">
        <v>-0.6</v>
      </c>
    </row>
    <row r="954" spans="1:3">
      <c r="A954" s="383" t="s">
        <v>1276</v>
      </c>
      <c r="B954" s="388">
        <v>0.32352941176470584</v>
      </c>
      <c r="C954" s="389">
        <v>-0.15789473684210531</v>
      </c>
    </row>
    <row r="955" spans="1:3">
      <c r="A955" s="383" t="s">
        <v>513</v>
      </c>
      <c r="B955" s="388">
        <v>7.1559633027522995E-2</v>
      </c>
      <c r="C955" s="389">
        <v>-8.333333333333337E-2</v>
      </c>
    </row>
    <row r="956" spans="1:3">
      <c r="A956" s="383" t="s">
        <v>1279</v>
      </c>
      <c r="B956" s="388">
        <v>0.20663265306122458</v>
      </c>
      <c r="C956" s="389">
        <v>5.555555555555558E-2</v>
      </c>
    </row>
    <row r="957" spans="1:3">
      <c r="A957" s="383" t="s">
        <v>1307</v>
      </c>
      <c r="B957" s="388">
        <v>-0.25789473684210529</v>
      </c>
      <c r="C957" s="389">
        <v>3.3571428571428568</v>
      </c>
    </row>
    <row r="958" spans="1:3">
      <c r="A958" s="383" t="s">
        <v>1209</v>
      </c>
      <c r="B958" s="388">
        <v>-0.11111111111111116</v>
      </c>
      <c r="C958" s="389">
        <v>-0.61764705882352944</v>
      </c>
    </row>
    <row r="959" spans="1:3">
      <c r="A959" s="383" t="s">
        <v>593</v>
      </c>
      <c r="B959" s="388">
        <v>0.28000000000000003</v>
      </c>
      <c r="C959" s="389">
        <v>0.10624999999999996</v>
      </c>
    </row>
    <row r="960" spans="1:3">
      <c r="A960" s="383" t="s">
        <v>533</v>
      </c>
      <c r="B960" s="388">
        <v>0.21633888048411487</v>
      </c>
      <c r="C960" s="389">
        <v>0.1515151515151516</v>
      </c>
    </row>
    <row r="961" spans="1:3">
      <c r="A961" s="383" t="s">
        <v>980</v>
      </c>
      <c r="B961" s="388">
        <v>0.1785714285714286</v>
      </c>
      <c r="C961" s="389">
        <v>9.0909090909090828E-2</v>
      </c>
    </row>
    <row r="962" spans="1:3">
      <c r="A962" s="383" t="s">
        <v>1204</v>
      </c>
      <c r="B962" s="388">
        <v>0.44444444444444442</v>
      </c>
      <c r="C962" s="389">
        <v>0.53333333333333344</v>
      </c>
    </row>
    <row r="963" spans="1:3">
      <c r="A963" s="383" t="s">
        <v>858</v>
      </c>
      <c r="B963" s="388">
        <v>2.2556390977443552E-2</v>
      </c>
      <c r="C963" s="389">
        <v>0.55555555555555558</v>
      </c>
    </row>
    <row r="964" spans="1:3">
      <c r="A964" s="383" t="s">
        <v>1314</v>
      </c>
      <c r="B964" s="388">
        <v>-1.3767209011264048E-2</v>
      </c>
      <c r="C964" s="389">
        <v>-0.21052631578947367</v>
      </c>
    </row>
    <row r="965" spans="1:3">
      <c r="A965" s="383" t="s">
        <v>1293</v>
      </c>
      <c r="B965" s="388">
        <v>0.12261904761904763</v>
      </c>
      <c r="C965" s="389">
        <v>0.10000000000000009</v>
      </c>
    </row>
    <row r="966" spans="1:3">
      <c r="A966" s="383" t="s">
        <v>1115</v>
      </c>
      <c r="B966" s="388">
        <v>0.15217391304347827</v>
      </c>
      <c r="C966" s="389">
        <v>0</v>
      </c>
    </row>
    <row r="967" spans="1:3">
      <c r="A967" s="383" t="s">
        <v>959</v>
      </c>
      <c r="B967" s="388">
        <v>-1.4067995310668269E-2</v>
      </c>
      <c r="C967" s="389">
        <v>-1.2926829268292683</v>
      </c>
    </row>
    <row r="968" spans="1:3">
      <c r="A968" s="383" t="s">
        <v>1098</v>
      </c>
      <c r="B968" s="388">
        <v>-0.26114649681528668</v>
      </c>
      <c r="C968" s="389">
        <v>-0.38461538461538458</v>
      </c>
    </row>
    <row r="969" spans="1:3">
      <c r="A969" s="383" t="s">
        <v>1221</v>
      </c>
      <c r="B969" s="388">
        <v>0.36428571428571432</v>
      </c>
      <c r="C969" s="389">
        <v>0.33333333333333326</v>
      </c>
    </row>
    <row r="970" spans="1:3">
      <c r="A970" s="383" t="s">
        <v>643</v>
      </c>
      <c r="B970" s="388">
        <v>0.45454545454545459</v>
      </c>
      <c r="C970" s="389">
        <v>1.0754716981132075</v>
      </c>
    </row>
    <row r="971" spans="1:3">
      <c r="A971" s="383" t="s">
        <v>685</v>
      </c>
      <c r="B971" s="388">
        <v>-1.4669926650366705E-2</v>
      </c>
      <c r="C971" s="389">
        <v>-0.64814814814814814</v>
      </c>
    </row>
    <row r="972" spans="1:3">
      <c r="A972" s="383" t="s">
        <v>1043</v>
      </c>
      <c r="B972" s="388">
        <v>-0.21493212669683259</v>
      </c>
      <c r="C972" s="389">
        <v>-0.44736842105263153</v>
      </c>
    </row>
    <row r="973" spans="1:3">
      <c r="A973" s="383" t="s">
        <v>1136</v>
      </c>
      <c r="B973" s="388">
        <v>0.20467836257309946</v>
      </c>
      <c r="C973" s="389">
        <v>-0.16666666666666663</v>
      </c>
    </row>
    <row r="974" spans="1:3">
      <c r="A974" s="383" t="s">
        <v>1277</v>
      </c>
      <c r="B974" s="388">
        <v>0.26168224299065423</v>
      </c>
      <c r="C974" s="389">
        <v>-1.0731707317073171</v>
      </c>
    </row>
    <row r="975" spans="1:3">
      <c r="A975" s="383" t="s">
        <v>1057</v>
      </c>
      <c r="B975" s="388">
        <v>0.4120734908136483</v>
      </c>
      <c r="C975" s="389">
        <v>1.0270270270270272</v>
      </c>
    </row>
    <row r="976" spans="1:3">
      <c r="A976" s="382" t="s">
        <v>384</v>
      </c>
      <c r="B976" s="388">
        <v>4.5254830173387189E-2</v>
      </c>
      <c r="C976" s="389">
        <v>-0.10739260934257255</v>
      </c>
    </row>
    <row r="977" spans="1:3">
      <c r="A977" s="383" t="s">
        <v>1156</v>
      </c>
      <c r="B977" s="388">
        <v>0.20999999999999996</v>
      </c>
      <c r="C977" s="389">
        <v>6.6666666666666652E-2</v>
      </c>
    </row>
    <row r="978" spans="1:3">
      <c r="A978" s="383" t="s">
        <v>383</v>
      </c>
      <c r="B978" s="388">
        <v>7.0508100147275377E-2</v>
      </c>
      <c r="C978" s="389">
        <v>0.43518518518518512</v>
      </c>
    </row>
    <row r="979" spans="1:3">
      <c r="A979" s="383" t="s">
        <v>1047</v>
      </c>
      <c r="B979" s="388">
        <v>0.11363636363636354</v>
      </c>
      <c r="C979" s="389">
        <v>4.8780487804878092E-2</v>
      </c>
    </row>
    <row r="980" spans="1:3">
      <c r="A980" s="383" t="s">
        <v>1034</v>
      </c>
      <c r="B980" s="388">
        <v>-0.17313097245643616</v>
      </c>
      <c r="C980" s="389">
        <v>-1.1312500000000001</v>
      </c>
    </row>
    <row r="981" spans="1:3">
      <c r="A981" s="383" t="s">
        <v>670</v>
      </c>
      <c r="B981" s="388">
        <v>-4.0250447227191399E-2</v>
      </c>
      <c r="C981" s="389">
        <v>-0.11504424778761058</v>
      </c>
    </row>
    <row r="982" spans="1:3">
      <c r="A982" s="383" t="s">
        <v>606</v>
      </c>
      <c r="B982" s="388">
        <v>-0.12249614791987673</v>
      </c>
      <c r="C982" s="389">
        <v>-1.379310344827589E-2</v>
      </c>
    </row>
    <row r="983" spans="1:3">
      <c r="A983" s="383" t="s">
        <v>1064</v>
      </c>
      <c r="B983" s="388">
        <v>0.10201912858660989</v>
      </c>
      <c r="C983" s="389">
        <v>4.8780487804878092E-2</v>
      </c>
    </row>
    <row r="984" spans="1:3">
      <c r="A984" s="383" t="s">
        <v>863</v>
      </c>
      <c r="B984" s="388">
        <v>4.287439613526578E-2</v>
      </c>
      <c r="C984" s="389">
        <v>-2.6315789473684181E-2</v>
      </c>
    </row>
    <row r="985" spans="1:3">
      <c r="A985" s="383" t="s">
        <v>743</v>
      </c>
      <c r="B985" s="388">
        <v>-6.2227281350787367E-2</v>
      </c>
      <c r="C985" s="389">
        <v>-0.48434237995824636</v>
      </c>
    </row>
    <row r="986" spans="1:3">
      <c r="A986" s="383" t="s">
        <v>1267</v>
      </c>
      <c r="B986" s="388">
        <v>4.2128603104212958E-2</v>
      </c>
      <c r="C986" s="389">
        <v>8.3333333333333259E-2</v>
      </c>
    </row>
    <row r="987" spans="1:3">
      <c r="A987" s="383" t="s">
        <v>1129</v>
      </c>
      <c r="B987" s="388">
        <v>-4.5454545454545414E-2</v>
      </c>
      <c r="C987" s="389">
        <v>0.10526315789473695</v>
      </c>
    </row>
    <row r="988" spans="1:3">
      <c r="A988" s="383" t="s">
        <v>865</v>
      </c>
      <c r="B988" s="388">
        <v>-0.15482954545454541</v>
      </c>
      <c r="C988" s="389">
        <v>0.30645161290322576</v>
      </c>
    </row>
    <row r="989" spans="1:3">
      <c r="A989" s="383" t="s">
        <v>1111</v>
      </c>
      <c r="B989" s="388">
        <v>0.13543091655266748</v>
      </c>
      <c r="C989" s="389">
        <v>0.61764705882352944</v>
      </c>
    </row>
    <row r="990" spans="1:3">
      <c r="A990" s="383" t="s">
        <v>615</v>
      </c>
      <c r="B990" s="388">
        <v>-0.19072948328267481</v>
      </c>
      <c r="C990" s="389">
        <v>1.5037593984962516E-2</v>
      </c>
    </row>
    <row r="991" spans="1:3">
      <c r="A991" s="383" t="s">
        <v>1211</v>
      </c>
      <c r="B991" s="388">
        <v>8.9430894308943021E-2</v>
      </c>
      <c r="C991" s="389">
        <v>0.22222222222222232</v>
      </c>
    </row>
    <row r="992" spans="1:3">
      <c r="A992" s="383" t="s">
        <v>542</v>
      </c>
      <c r="B992" s="388">
        <v>0.17705005324813627</v>
      </c>
      <c r="C992" s="389">
        <v>0</v>
      </c>
    </row>
    <row r="993" spans="1:3">
      <c r="A993" s="383" t="s">
        <v>1019</v>
      </c>
      <c r="B993" s="388">
        <v>5.6053811659192876E-2</v>
      </c>
      <c r="C993" s="389">
        <v>0.17999999999999994</v>
      </c>
    </row>
    <row r="994" spans="1:3">
      <c r="A994" s="383" t="s">
        <v>1001</v>
      </c>
      <c r="B994" s="388">
        <v>3.2137118371719398E-2</v>
      </c>
      <c r="C994" s="389">
        <v>-0.11235955056179781</v>
      </c>
    </row>
    <row r="995" spans="1:3">
      <c r="A995" s="383" t="s">
        <v>977</v>
      </c>
      <c r="B995" s="388">
        <v>2.7950310559006208E-2</v>
      </c>
      <c r="C995" s="389">
        <v>0.29268292682926833</v>
      </c>
    </row>
    <row r="996" spans="1:3">
      <c r="A996" s="383" t="s">
        <v>698</v>
      </c>
      <c r="B996" s="388">
        <v>6.6279069767441801E-2</v>
      </c>
      <c r="C996" s="389">
        <v>0.16304347826086962</v>
      </c>
    </row>
    <row r="997" spans="1:3">
      <c r="A997" s="383" t="s">
        <v>1227</v>
      </c>
      <c r="B997" s="388">
        <v>9.3896713615022609E-3</v>
      </c>
      <c r="C997" s="389">
        <v>0.5714285714285714</v>
      </c>
    </row>
    <row r="998" spans="1:3">
      <c r="A998" s="383" t="s">
        <v>1270</v>
      </c>
      <c r="B998" s="388">
        <v>0.28138528138528129</v>
      </c>
      <c r="C998" s="389">
        <v>0.47058823529411775</v>
      </c>
    </row>
    <row r="999" spans="1:3">
      <c r="A999" s="383" t="s">
        <v>550</v>
      </c>
      <c r="B999" s="388">
        <v>0.25401217487548422</v>
      </c>
      <c r="C999" s="389">
        <v>-0.3214285714285714</v>
      </c>
    </row>
    <row r="1000" spans="1:3">
      <c r="A1000" s="383" t="s">
        <v>1222</v>
      </c>
      <c r="B1000" s="388">
        <v>0.1649484536082475</v>
      </c>
      <c r="C1000" s="389">
        <v>-4</v>
      </c>
    </row>
    <row r="1001" spans="1:3">
      <c r="A1001" s="382" t="s">
        <v>344</v>
      </c>
      <c r="B1001" s="388">
        <v>0.5125325056754747</v>
      </c>
      <c r="C1001" s="389">
        <v>1.0448263451201896</v>
      </c>
    </row>
    <row r="1002" spans="1:3">
      <c r="A1002" s="383" t="s">
        <v>434</v>
      </c>
      <c r="B1002" s="388">
        <v>0.16200169635284145</v>
      </c>
      <c r="C1002" s="389">
        <v>0.19428571428571439</v>
      </c>
    </row>
    <row r="1003" spans="1:3">
      <c r="A1003" s="383" t="s">
        <v>901</v>
      </c>
      <c r="B1003" s="388">
        <v>0.48928571428571432</v>
      </c>
      <c r="C1003" s="389">
        <v>0.39130434782608692</v>
      </c>
    </row>
    <row r="1004" spans="1:3">
      <c r="A1004" s="383" t="s">
        <v>1185</v>
      </c>
      <c r="B1004" s="388">
        <v>0.10505836575875493</v>
      </c>
      <c r="C1004" s="389">
        <v>-0.3902439024390244</v>
      </c>
    </row>
    <row r="1005" spans="1:3">
      <c r="A1005" s="383" t="s">
        <v>872</v>
      </c>
      <c r="B1005" s="388">
        <v>0.5439739413680782</v>
      </c>
      <c r="C1005" s="389">
        <v>7.1666666666666661</v>
      </c>
    </row>
    <row r="1006" spans="1:3">
      <c r="A1006" s="383" t="s">
        <v>843</v>
      </c>
      <c r="B1006" s="388">
        <v>0.85761589403973515</v>
      </c>
      <c r="C1006" s="389">
        <v>1.4561403508771931</v>
      </c>
    </row>
    <row r="1007" spans="1:3">
      <c r="A1007" s="383" t="s">
        <v>1254</v>
      </c>
      <c r="B1007" s="388">
        <v>2.2727272727272707E-2</v>
      </c>
      <c r="C1007" s="389">
        <v>0</v>
      </c>
    </row>
    <row r="1008" spans="1:3">
      <c r="A1008" s="383" t="s">
        <v>478</v>
      </c>
      <c r="B1008" s="388">
        <v>0.13018096906012833</v>
      </c>
      <c r="C1008" s="389">
        <v>0.53333333333333344</v>
      </c>
    </row>
    <row r="1009" spans="1:3">
      <c r="A1009" s="383" t="s">
        <v>1139</v>
      </c>
      <c r="B1009" s="388">
        <v>0.43806306306306309</v>
      </c>
      <c r="C1009" s="389">
        <v>0.72222222222222232</v>
      </c>
    </row>
    <row r="1010" spans="1:3">
      <c r="A1010" s="383" t="s">
        <v>1214</v>
      </c>
      <c r="B1010" s="388">
        <v>7.3770491803278659E-2</v>
      </c>
      <c r="C1010" s="389">
        <v>-0.53333333333333333</v>
      </c>
    </row>
    <row r="1011" spans="1:3">
      <c r="A1011" s="383" t="s">
        <v>343</v>
      </c>
      <c r="B1011" s="388">
        <v>1.1883135666763089</v>
      </c>
      <c r="C1011" s="389">
        <v>1.1857707509881421</v>
      </c>
    </row>
    <row r="1012" spans="1:3">
      <c r="A1012" s="383" t="s">
        <v>819</v>
      </c>
      <c r="B1012" s="388">
        <v>1.3638888888888889</v>
      </c>
      <c r="C1012" s="389">
        <v>1.2641509433962264</v>
      </c>
    </row>
    <row r="1013" spans="1:3">
      <c r="A1013" s="383" t="s">
        <v>1251</v>
      </c>
      <c r="B1013" s="388">
        <v>0.77551020408163263</v>
      </c>
      <c r="C1013" s="389">
        <v>0.54761904761904767</v>
      </c>
    </row>
    <row r="1014" spans="1:3">
      <c r="A1014" s="382" t="s">
        <v>512</v>
      </c>
      <c r="B1014" s="388">
        <v>0.43089568283525453</v>
      </c>
      <c r="C1014" s="389">
        <v>0.52007685202728304</v>
      </c>
    </row>
    <row r="1015" spans="1:3">
      <c r="A1015" s="383" t="s">
        <v>829</v>
      </c>
      <c r="B1015" s="388">
        <v>0.12166172106824935</v>
      </c>
      <c r="C1015" s="389">
        <v>7.4999999999999956E-2</v>
      </c>
    </row>
    <row r="1016" spans="1:3">
      <c r="A1016" s="383" t="s">
        <v>1121</v>
      </c>
      <c r="B1016" s="388">
        <v>0.21005917159763321</v>
      </c>
      <c r="C1016" s="389">
        <v>0.26923076923076916</v>
      </c>
    </row>
    <row r="1017" spans="1:3">
      <c r="A1017" s="383" t="s">
        <v>587</v>
      </c>
      <c r="B1017" s="388">
        <v>0.94222222222222229</v>
      </c>
      <c r="C1017" s="389">
        <v>2.7413793103448274</v>
      </c>
    </row>
    <row r="1018" spans="1:3">
      <c r="A1018" s="383" t="s">
        <v>765</v>
      </c>
      <c r="B1018" s="388">
        <v>0.28528528528528518</v>
      </c>
      <c r="C1018" s="389">
        <v>3.4482758620689724E-2</v>
      </c>
    </row>
    <row r="1019" spans="1:3">
      <c r="A1019" s="383" t="s">
        <v>1157</v>
      </c>
      <c r="B1019" s="388">
        <v>6.1957868649318293E-3</v>
      </c>
      <c r="C1019" s="389">
        <v>0</v>
      </c>
    </row>
    <row r="1020" spans="1:3">
      <c r="A1020" s="383" t="s">
        <v>952</v>
      </c>
      <c r="B1020" s="388">
        <v>0.37837837837837829</v>
      </c>
      <c r="C1020" s="389">
        <v>0.69230769230769229</v>
      </c>
    </row>
    <row r="1021" spans="1:3">
      <c r="A1021" s="383" t="s">
        <v>511</v>
      </c>
      <c r="B1021" s="388">
        <v>1.3484848484848486</v>
      </c>
      <c r="C1021" s="389">
        <v>0.28571428571428581</v>
      </c>
    </row>
    <row r="1022" spans="1:3">
      <c r="A1022" s="383" t="s">
        <v>990</v>
      </c>
      <c r="B1022" s="388">
        <v>0.15487804878048772</v>
      </c>
      <c r="C1022" s="389">
        <v>6.25E-2</v>
      </c>
    </row>
    <row r="1023" spans="1:3">
      <c r="A1023" s="382" t="s">
        <v>895</v>
      </c>
      <c r="B1023" s="388">
        <v>1.2749881453005373E-3</v>
      </c>
      <c r="C1023" s="389">
        <v>-0.42096753288242644</v>
      </c>
    </row>
    <row r="1024" spans="1:3">
      <c r="A1024" s="383" t="s">
        <v>1101</v>
      </c>
      <c r="B1024" s="388">
        <v>-5.3491827637444311E-2</v>
      </c>
      <c r="C1024" s="389">
        <v>-0.21111111111111114</v>
      </c>
    </row>
    <row r="1025" spans="1:3">
      <c r="A1025" s="383" t="s">
        <v>894</v>
      </c>
      <c r="B1025" s="388">
        <v>0.13214990138067062</v>
      </c>
      <c r="C1025" s="389">
        <v>-0.11702127659574468</v>
      </c>
    </row>
    <row r="1026" spans="1:3">
      <c r="A1026" s="383" t="s">
        <v>1200</v>
      </c>
      <c r="B1026" s="388">
        <v>-2.2661243463102831E-2</v>
      </c>
      <c r="C1026" s="389">
        <v>-0.72380952380952379</v>
      </c>
    </row>
    <row r="1027" spans="1:3">
      <c r="A1027" s="383" t="s">
        <v>1229</v>
      </c>
      <c r="B1027" s="388">
        <v>-1.6949152542372836E-2</v>
      </c>
      <c r="C1027" s="389">
        <v>-0.32432432432432434</v>
      </c>
    </row>
    <row r="1028" spans="1:3">
      <c r="A1028" s="383" t="s">
        <v>1113</v>
      </c>
      <c r="B1028" s="388">
        <v>-3.2672737011247954E-2</v>
      </c>
      <c r="C1028" s="389">
        <v>-0.72857142857142865</v>
      </c>
    </row>
    <row r="1029" spans="1:3">
      <c r="A1029" s="382" t="s">
        <v>420</v>
      </c>
      <c r="B1029" s="388">
        <v>6.5168543778763272E-2</v>
      </c>
      <c r="C1029" s="389">
        <v>4.6505111167310851</v>
      </c>
    </row>
    <row r="1030" spans="1:3">
      <c r="A1030" s="383" t="s">
        <v>429</v>
      </c>
      <c r="B1030" s="388">
        <v>0.10307802433786684</v>
      </c>
      <c r="C1030" s="389">
        <v>-4.4642857142857095E-2</v>
      </c>
    </row>
    <row r="1031" spans="1:3">
      <c r="A1031" s="383" t="s">
        <v>747</v>
      </c>
      <c r="B1031" s="388">
        <v>-0.10289710289710285</v>
      </c>
      <c r="C1031" s="389">
        <v>0.23404255319148937</v>
      </c>
    </row>
    <row r="1032" spans="1:3">
      <c r="A1032" s="383" t="s">
        <v>793</v>
      </c>
      <c r="B1032" s="388">
        <v>-1.5021459227467782E-2</v>
      </c>
      <c r="C1032" s="389">
        <v>-8.1967213114754078E-2</v>
      </c>
    </row>
    <row r="1033" spans="1:3">
      <c r="A1033" s="383" t="s">
        <v>1299</v>
      </c>
      <c r="B1033" s="388">
        <v>-7.9365079365079416E-2</v>
      </c>
      <c r="C1033" s="389">
        <v>0.41666666666666674</v>
      </c>
    </row>
    <row r="1034" spans="1:3">
      <c r="A1034" s="383" t="s">
        <v>1202</v>
      </c>
      <c r="B1034" s="388">
        <v>0.17426470588235299</v>
      </c>
      <c r="C1034" s="389">
        <v>46</v>
      </c>
    </row>
    <row r="1035" spans="1:3">
      <c r="A1035" s="383" t="s">
        <v>947</v>
      </c>
      <c r="B1035" s="388">
        <v>0.11136363636363633</v>
      </c>
      <c r="C1035" s="389">
        <v>0.32352941176470584</v>
      </c>
    </row>
    <row r="1036" spans="1:3">
      <c r="A1036" s="383" t="s">
        <v>1189</v>
      </c>
      <c r="B1036" s="388">
        <v>-6.9324090121317683E-3</v>
      </c>
      <c r="C1036" s="389">
        <v>-0.9</v>
      </c>
    </row>
    <row r="1037" spans="1:3">
      <c r="A1037" s="383" t="s">
        <v>806</v>
      </c>
      <c r="B1037" s="388">
        <v>0.26903553299492389</v>
      </c>
      <c r="C1037" s="389">
        <v>0.48</v>
      </c>
    </row>
    <row r="1038" spans="1:3">
      <c r="A1038" s="383" t="s">
        <v>419</v>
      </c>
      <c r="B1038" s="388">
        <v>7.0546034276604219E-2</v>
      </c>
      <c r="C1038" s="389">
        <v>-0.17741935483870963</v>
      </c>
    </row>
    <row r="1039" spans="1:3">
      <c r="A1039" s="383" t="s">
        <v>1045</v>
      </c>
      <c r="B1039" s="388">
        <v>0.12761355443403022</v>
      </c>
      <c r="C1039" s="389">
        <v>0.25490196078431371</v>
      </c>
    </row>
    <row r="1040" spans="1:3">
      <c r="A1040" s="382" t="s">
        <v>737</v>
      </c>
      <c r="B1040" s="388">
        <v>-0.10634396298906007</v>
      </c>
      <c r="C1040" s="389">
        <v>-0.29613095238095238</v>
      </c>
    </row>
    <row r="1041" spans="1:3">
      <c r="A1041" s="383" t="s">
        <v>736</v>
      </c>
      <c r="B1041" s="388">
        <v>-0.13508260447035958</v>
      </c>
      <c r="C1041" s="389">
        <v>-0.35416666666666663</v>
      </c>
    </row>
    <row r="1042" spans="1:3">
      <c r="A1042" s="383" t="s">
        <v>805</v>
      </c>
      <c r="B1042" s="388">
        <v>-7.7605321507760561E-2</v>
      </c>
      <c r="C1042" s="389">
        <v>-0.23809523809523814</v>
      </c>
    </row>
    <row r="1043" spans="1:3">
      <c r="A1043" s="382" t="s">
        <v>331</v>
      </c>
      <c r="B1043" s="388">
        <v>0.16135204205467868</v>
      </c>
      <c r="C1043" s="389">
        <v>-4.6299425481581558E-2</v>
      </c>
    </row>
    <row r="1044" spans="1:3">
      <c r="A1044" s="383" t="s">
        <v>448</v>
      </c>
      <c r="B1044" s="388">
        <v>0.17698343504795111</v>
      </c>
      <c r="C1044" s="389">
        <v>-0.18181818181818177</v>
      </c>
    </row>
    <row r="1045" spans="1:3">
      <c r="A1045" s="383" t="s">
        <v>330</v>
      </c>
      <c r="B1045" s="388">
        <v>0.14572064906140625</v>
      </c>
      <c r="C1045" s="389">
        <v>8.9219330855018653E-2</v>
      </c>
    </row>
    <row r="1046" spans="1:3">
      <c r="A1046" s="382" t="s">
        <v>450</v>
      </c>
      <c r="B1046" s="388">
        <v>0.27320433944846134</v>
      </c>
      <c r="C1046" s="389">
        <v>14.557632398753894</v>
      </c>
    </row>
    <row r="1047" spans="1:3">
      <c r="A1047" s="383" t="s">
        <v>449</v>
      </c>
      <c r="B1047" s="388">
        <v>0.11261872455902311</v>
      </c>
      <c r="C1047" s="389">
        <v>0.11526479750778806</v>
      </c>
    </row>
    <row r="1048" spans="1:3">
      <c r="A1048" s="383" t="s">
        <v>993</v>
      </c>
      <c r="B1048" s="388">
        <v>0.43378995433789957</v>
      </c>
      <c r="C1048" s="389">
        <v>29</v>
      </c>
    </row>
    <row r="1049" spans="1:3">
      <c r="A1049" s="384" t="s">
        <v>174</v>
      </c>
      <c r="B1049" s="388">
        <v>0.27159931676559446</v>
      </c>
      <c r="C1049" s="389">
        <v>7.3379925011604563E-2</v>
      </c>
    </row>
    <row r="1050" spans="1:3">
      <c r="A1050" s="382" t="s">
        <v>175</v>
      </c>
      <c r="B1050" s="388">
        <v>0.22866024982531097</v>
      </c>
      <c r="C1050" s="389">
        <v>-3.1528342263214659E-2</v>
      </c>
    </row>
    <row r="1051" spans="1:3">
      <c r="A1051" s="383" t="s">
        <v>1174</v>
      </c>
      <c r="B1051" s="388">
        <v>1.3636363636363638</v>
      </c>
      <c r="C1051" s="389">
        <v>0.1875</v>
      </c>
    </row>
    <row r="1052" spans="1:3">
      <c r="A1052" s="383" t="s">
        <v>1110</v>
      </c>
      <c r="B1052" s="388">
        <v>0.8125</v>
      </c>
      <c r="C1052" s="389">
        <v>0.8</v>
      </c>
    </row>
    <row r="1053" spans="1:3">
      <c r="A1053" s="383" t="s">
        <v>1004</v>
      </c>
      <c r="B1053" s="388">
        <v>0.21241830065359468</v>
      </c>
      <c r="C1053" s="389">
        <v>-8.5106382978723416E-2</v>
      </c>
    </row>
    <row r="1054" spans="1:3">
      <c r="A1054" s="383" t="s">
        <v>757</v>
      </c>
      <c r="B1054" s="388">
        <v>-1.1013215859030812E-2</v>
      </c>
      <c r="C1054" s="389">
        <v>2.5862068965517349E-2</v>
      </c>
    </row>
    <row r="1055" spans="1:3">
      <c r="A1055" s="383" t="s">
        <v>442</v>
      </c>
      <c r="B1055" s="388">
        <v>0.28545119705340705</v>
      </c>
      <c r="C1055" s="389">
        <v>0.16078431372549029</v>
      </c>
    </row>
    <row r="1056" spans="1:3">
      <c r="A1056" s="383" t="s">
        <v>975</v>
      </c>
      <c r="B1056" s="388">
        <v>0.10754716981132084</v>
      </c>
      <c r="C1056" s="389">
        <v>-0.19999999999999996</v>
      </c>
    </row>
    <row r="1057" spans="1:3">
      <c r="A1057" s="383" t="s">
        <v>194</v>
      </c>
      <c r="B1057" s="388">
        <v>0.1332218133154901</v>
      </c>
      <c r="C1057" s="389">
        <v>-0.11144971702220285</v>
      </c>
    </row>
    <row r="1058" spans="1:3">
      <c r="A1058" s="383" t="s">
        <v>497</v>
      </c>
      <c r="B1058" s="388">
        <v>0.102726696258719</v>
      </c>
      <c r="C1058" s="389">
        <v>-9.375E-2</v>
      </c>
    </row>
    <row r="1059" spans="1:3">
      <c r="A1059" s="383" t="s">
        <v>184</v>
      </c>
      <c r="B1059" s="388">
        <v>8.8952207642946091E-2</v>
      </c>
      <c r="C1059" s="389">
        <v>-2.2867194371152144E-2</v>
      </c>
    </row>
    <row r="1060" spans="1:3">
      <c r="A1060" s="383" t="s">
        <v>791</v>
      </c>
      <c r="B1060" s="388">
        <v>0.20032840722495893</v>
      </c>
      <c r="C1060" s="389">
        <v>-0.61428571428571432</v>
      </c>
    </row>
    <row r="1061" spans="1:3">
      <c r="A1061" s="383" t="s">
        <v>564</v>
      </c>
      <c r="B1061" s="388">
        <v>9.4786729857819996E-2</v>
      </c>
      <c r="C1061" s="389">
        <v>-0.28494623655913975</v>
      </c>
    </row>
    <row r="1062" spans="1:3">
      <c r="A1062" s="383" t="s">
        <v>902</v>
      </c>
      <c r="B1062" s="388">
        <v>0.22466960352422904</v>
      </c>
      <c r="C1062" s="389">
        <v>0.19047619047619047</v>
      </c>
    </row>
    <row r="1063" spans="1:3">
      <c r="A1063" s="383" t="s">
        <v>267</v>
      </c>
      <c r="B1063" s="388">
        <v>0.11604554865424421</v>
      </c>
      <c r="C1063" s="389">
        <v>-0.1169429097605893</v>
      </c>
    </row>
    <row r="1064" spans="1:3">
      <c r="A1064" s="383" t="s">
        <v>996</v>
      </c>
      <c r="B1064" s="388">
        <v>4.1426927502876909E-2</v>
      </c>
      <c r="C1064" s="389">
        <v>0.14893617021276606</v>
      </c>
    </row>
    <row r="1065" spans="1:3">
      <c r="A1065" s="383" t="s">
        <v>432</v>
      </c>
      <c r="B1065" s="388">
        <v>0.12359550561797761</v>
      </c>
      <c r="C1065" s="389">
        <v>3.5128805620608938E-2</v>
      </c>
    </row>
    <row r="1066" spans="1:3">
      <c r="A1066" s="383" t="s">
        <v>885</v>
      </c>
      <c r="B1066" s="388">
        <v>4.986876640419946E-2</v>
      </c>
      <c r="C1066" s="389">
        <v>-0.3033707865168539</v>
      </c>
    </row>
    <row r="1067" spans="1:3">
      <c r="A1067" s="383" t="s">
        <v>350</v>
      </c>
      <c r="B1067" s="388">
        <v>0.23383409536250821</v>
      </c>
      <c r="C1067" s="389">
        <v>0.18010752688172049</v>
      </c>
    </row>
    <row r="1068" spans="1:3">
      <c r="A1068" s="383" t="s">
        <v>948</v>
      </c>
      <c r="B1068" s="388">
        <v>0.94244604316546754</v>
      </c>
      <c r="C1068" s="389">
        <v>-0.5357142857142857</v>
      </c>
    </row>
    <row r="1069" spans="1:3">
      <c r="A1069" s="383" t="s">
        <v>870</v>
      </c>
      <c r="B1069" s="388">
        <v>8.3743842364532028E-2</v>
      </c>
      <c r="C1069" s="389">
        <v>0.16129032258064524</v>
      </c>
    </row>
    <row r="1070" spans="1:3">
      <c r="A1070" s="383" t="s">
        <v>173</v>
      </c>
      <c r="B1070" s="388">
        <v>4.8676785518890764E-2</v>
      </c>
      <c r="C1070" s="389">
        <v>-0.13854066216650596</v>
      </c>
    </row>
    <row r="1071" spans="1:3">
      <c r="A1071" s="383" t="s">
        <v>502</v>
      </c>
      <c r="B1071" s="388">
        <v>1.4909478168264156E-2</v>
      </c>
      <c r="C1071" s="389">
        <v>-0.457286432160804</v>
      </c>
    </row>
    <row r="1072" spans="1:3">
      <c r="A1072" s="383" t="s">
        <v>268</v>
      </c>
      <c r="B1072" s="388">
        <v>8.3402333458788114E-2</v>
      </c>
      <c r="C1072" s="389">
        <v>0.13157894736842102</v>
      </c>
    </row>
    <row r="1073" spans="1:3">
      <c r="A1073" s="383" t="s">
        <v>233</v>
      </c>
      <c r="B1073" s="388">
        <v>5.5426113451026104E-2</v>
      </c>
      <c r="C1073" s="389">
        <v>-6.5656565656565635E-2</v>
      </c>
    </row>
    <row r="1074" spans="1:3">
      <c r="A1074" s="383" t="s">
        <v>697</v>
      </c>
      <c r="B1074" s="388">
        <v>7.9245283018867907E-2</v>
      </c>
      <c r="C1074" s="389">
        <v>0.2515723270440251</v>
      </c>
    </row>
    <row r="1075" spans="1:3">
      <c r="A1075" s="382" t="s">
        <v>1089</v>
      </c>
      <c r="B1075" s="388">
        <v>0.33734725802311477</v>
      </c>
      <c r="C1075" s="389">
        <v>0.57625598086124408</v>
      </c>
    </row>
    <row r="1076" spans="1:3">
      <c r="A1076" s="383" t="s">
        <v>1337</v>
      </c>
      <c r="B1076" s="388">
        <v>0.40345821325648412</v>
      </c>
      <c r="C1076" s="389">
        <v>1.0526315789473686</v>
      </c>
    </row>
    <row r="1077" spans="1:3">
      <c r="A1077" s="383" t="s">
        <v>1088</v>
      </c>
      <c r="B1077" s="388">
        <v>0.18253968253968256</v>
      </c>
      <c r="C1077" s="389">
        <v>-0.63636363636363635</v>
      </c>
    </row>
    <row r="1078" spans="1:3">
      <c r="A1078" s="383" t="s">
        <v>1242</v>
      </c>
      <c r="B1078" s="388">
        <v>0.42604387827317769</v>
      </c>
      <c r="C1078" s="389">
        <v>1.3125</v>
      </c>
    </row>
    <row r="1079" spans="1:3">
      <c r="A1079" s="382" t="s">
        <v>455</v>
      </c>
      <c r="B1079" s="388">
        <v>0.38184670737265125</v>
      </c>
      <c r="C1079" s="389">
        <v>0.19313567505140344</v>
      </c>
    </row>
    <row r="1080" spans="1:3">
      <c r="A1080" s="383" t="s">
        <v>581</v>
      </c>
      <c r="B1080" s="388">
        <v>0.19301164725457576</v>
      </c>
      <c r="C1080" s="389">
        <v>0.18999999999999995</v>
      </c>
    </row>
    <row r="1081" spans="1:3">
      <c r="A1081" s="383" t="s">
        <v>816</v>
      </c>
      <c r="B1081" s="388">
        <v>0.10452729693741669</v>
      </c>
      <c r="C1081" s="389">
        <v>-0.1071428571428571</v>
      </c>
    </row>
    <row r="1082" spans="1:3">
      <c r="A1082" s="383" t="s">
        <v>1130</v>
      </c>
      <c r="B1082" s="388">
        <v>0.12209302325581395</v>
      </c>
      <c r="C1082" s="389">
        <v>0.26984126984126977</v>
      </c>
    </row>
    <row r="1083" spans="1:3">
      <c r="A1083" s="383" t="s">
        <v>776</v>
      </c>
      <c r="B1083" s="388">
        <v>-4.0498442367601251E-2</v>
      </c>
      <c r="C1083" s="389">
        <v>-0.23622047244094491</v>
      </c>
    </row>
    <row r="1084" spans="1:3">
      <c r="A1084" s="383" t="s">
        <v>1021</v>
      </c>
      <c r="B1084" s="388">
        <v>0.19999999999999996</v>
      </c>
      <c r="C1084" s="389">
        <v>-0.51351351351351349</v>
      </c>
    </row>
    <row r="1085" spans="1:3">
      <c r="A1085" s="383" t="s">
        <v>1090</v>
      </c>
      <c r="B1085" s="388">
        <v>0.36428571428571432</v>
      </c>
      <c r="C1085" s="389">
        <v>0.27272727272727271</v>
      </c>
    </row>
    <row r="1086" spans="1:3">
      <c r="A1086" s="383" t="s">
        <v>545</v>
      </c>
      <c r="B1086" s="388">
        <v>0.23896499238964997</v>
      </c>
      <c r="C1086" s="389">
        <v>0.41860465116279078</v>
      </c>
    </row>
    <row r="1087" spans="1:3">
      <c r="A1087" s="383" t="s">
        <v>454</v>
      </c>
      <c r="B1087" s="388">
        <v>0.10177157934413872</v>
      </c>
      <c r="C1087" s="389">
        <v>-5.0156739811912265E-2</v>
      </c>
    </row>
    <row r="1088" spans="1:3">
      <c r="A1088" s="383" t="s">
        <v>560</v>
      </c>
      <c r="B1088" s="388">
        <v>1.4144144144144146</v>
      </c>
      <c r="C1088" s="389">
        <v>1.5172413793103448</v>
      </c>
    </row>
    <row r="1089" spans="1:3">
      <c r="A1089" s="383" t="s">
        <v>1257</v>
      </c>
      <c r="B1089" s="388">
        <v>1.4761904761904763</v>
      </c>
      <c r="C1089" s="389">
        <v>1.2000000000000002</v>
      </c>
    </row>
    <row r="1090" spans="1:3">
      <c r="A1090" s="383" t="s">
        <v>1249</v>
      </c>
      <c r="B1090" s="388">
        <v>4.3859649122806044E-3</v>
      </c>
      <c r="C1090" s="389">
        <v>-4.3478260869565188E-2</v>
      </c>
    </row>
    <row r="1091" spans="1:3">
      <c r="A1091" s="383" t="s">
        <v>1119</v>
      </c>
      <c r="B1091" s="388">
        <v>0.23883928571428581</v>
      </c>
      <c r="C1091" s="389">
        <v>-5.2631578947368474E-2</v>
      </c>
    </row>
    <row r="1092" spans="1:3">
      <c r="A1092" s="383" t="s">
        <v>595</v>
      </c>
      <c r="B1092" s="388">
        <v>0.35650378527185134</v>
      </c>
      <c r="C1092" s="389">
        <v>0.23611111111111116</v>
      </c>
    </row>
    <row r="1093" spans="1:3">
      <c r="A1093" s="383" t="s">
        <v>1306</v>
      </c>
      <c r="B1093" s="388">
        <v>0.73611111111111116</v>
      </c>
      <c r="C1093" s="389">
        <v>0</v>
      </c>
    </row>
    <row r="1094" spans="1:3">
      <c r="A1094" s="383" t="s">
        <v>538</v>
      </c>
      <c r="B1094" s="388">
        <v>3.6446469248291535E-2</v>
      </c>
      <c r="C1094" s="389">
        <v>-0.95857988165680474</v>
      </c>
    </row>
    <row r="1095" spans="1:3">
      <c r="A1095" s="383" t="s">
        <v>1155</v>
      </c>
      <c r="B1095" s="388">
        <v>0.5625</v>
      </c>
      <c r="C1095" s="389">
        <v>0.94736842105263164</v>
      </c>
    </row>
    <row r="1096" spans="1:3">
      <c r="A1096" s="382" t="s">
        <v>389</v>
      </c>
      <c r="B1096" s="388">
        <v>3.8933200035928567E-2</v>
      </c>
      <c r="C1096" s="389">
        <v>-0.15335051338590514</v>
      </c>
    </row>
    <row r="1097" spans="1:3">
      <c r="A1097" s="383" t="s">
        <v>960</v>
      </c>
      <c r="B1097" s="388">
        <v>-0.18421052631578949</v>
      </c>
      <c r="C1097" s="389">
        <v>-0.4375</v>
      </c>
    </row>
    <row r="1098" spans="1:3">
      <c r="A1098" s="383" t="s">
        <v>1284</v>
      </c>
      <c r="B1098" s="388">
        <v>7.3170731707317138E-2</v>
      </c>
      <c r="C1098" s="389">
        <v>-0.41176470588235292</v>
      </c>
    </row>
    <row r="1099" spans="1:3">
      <c r="A1099" s="383" t="s">
        <v>388</v>
      </c>
      <c r="B1099" s="388">
        <v>0.14577259475218662</v>
      </c>
      <c r="C1099" s="389">
        <v>0.12569316081330872</v>
      </c>
    </row>
    <row r="1100" spans="1:3">
      <c r="A1100" s="383" t="s">
        <v>950</v>
      </c>
      <c r="B1100" s="388">
        <v>0.121</v>
      </c>
      <c r="C1100" s="389">
        <v>0.11016949152542366</v>
      </c>
    </row>
    <row r="1101" spans="1:3">
      <c r="A1101" s="384" t="s">
        <v>384</v>
      </c>
      <c r="B1101" s="388">
        <v>0.59620596205962051</v>
      </c>
      <c r="C1101" s="389">
        <v>1.4</v>
      </c>
    </row>
    <row r="1102" spans="1:3">
      <c r="A1102" s="382" t="s">
        <v>180</v>
      </c>
      <c r="B1102" s="388">
        <v>0.59620596205962051</v>
      </c>
      <c r="C1102" s="389">
        <v>1.4</v>
      </c>
    </row>
    <row r="1103" spans="1:3">
      <c r="A1103" s="383" t="s">
        <v>1166</v>
      </c>
      <c r="B1103" s="388">
        <v>0.59620596205962051</v>
      </c>
      <c r="C1103" s="389">
        <v>1.4</v>
      </c>
    </row>
    <row r="1104" spans="1:3">
      <c r="A1104" s="384" t="s">
        <v>206</v>
      </c>
      <c r="B1104" s="388">
        <v>0.27758201770892305</v>
      </c>
      <c r="C1104" s="389">
        <v>-0.21137314703481722</v>
      </c>
    </row>
    <row r="1105" spans="1:3">
      <c r="A1105" s="382" t="s">
        <v>135</v>
      </c>
      <c r="B1105" s="388">
        <v>0.10166078083114294</v>
      </c>
      <c r="C1105" s="389">
        <v>-7.4128676470588237</v>
      </c>
    </row>
    <row r="1106" spans="1:3">
      <c r="A1106" s="383" t="s">
        <v>238</v>
      </c>
      <c r="B1106" s="388">
        <v>6.1555857078245069E-2</v>
      </c>
      <c r="C1106" s="389">
        <v>-0.77573529411764708</v>
      </c>
    </row>
    <row r="1107" spans="1:3">
      <c r="A1107" s="383" t="s">
        <v>1250</v>
      </c>
      <c r="B1107" s="388">
        <v>0.14176570458404081</v>
      </c>
      <c r="C1107" s="389">
        <v>-14.05</v>
      </c>
    </row>
    <row r="1108" spans="1:3">
      <c r="A1108" s="382" t="s">
        <v>314</v>
      </c>
      <c r="B1108" s="388">
        <v>0.50546551074255563</v>
      </c>
      <c r="C1108" s="389">
        <v>-0.13861386138613863</v>
      </c>
    </row>
    <row r="1109" spans="1:3">
      <c r="A1109" s="383" t="s">
        <v>313</v>
      </c>
      <c r="B1109" s="388">
        <v>0.50546551074255563</v>
      </c>
      <c r="C1109" s="389">
        <v>-0.13861386138613863</v>
      </c>
    </row>
    <row r="1110" spans="1:3">
      <c r="A1110" s="382" t="s">
        <v>649</v>
      </c>
      <c r="B1110" s="388">
        <v>0.19539217304524459</v>
      </c>
      <c r="C1110" s="389">
        <v>0.70022744102401335</v>
      </c>
    </row>
    <row r="1111" spans="1:3">
      <c r="A1111" s="383" t="s">
        <v>648</v>
      </c>
      <c r="B1111" s="388">
        <v>0.24854142357059517</v>
      </c>
      <c r="C1111" s="389">
        <v>0.3941605839416058</v>
      </c>
    </row>
    <row r="1112" spans="1:3">
      <c r="A1112" s="383" t="s">
        <v>654</v>
      </c>
      <c r="B1112" s="388">
        <v>0.18207954000958315</v>
      </c>
      <c r="C1112" s="389">
        <v>-0.25</v>
      </c>
    </row>
    <row r="1113" spans="1:3">
      <c r="A1113" s="383" t="s">
        <v>1268</v>
      </c>
      <c r="B1113" s="388">
        <v>0.15555555555555545</v>
      </c>
      <c r="C1113" s="389">
        <v>1.9565217391304346</v>
      </c>
    </row>
    <row r="1114" spans="1:3">
      <c r="A1114" s="382" t="s">
        <v>657</v>
      </c>
      <c r="B1114" s="388">
        <v>0.13816396808357564</v>
      </c>
      <c r="C1114" s="389">
        <v>0.2082475809670814</v>
      </c>
    </row>
    <row r="1115" spans="1:3">
      <c r="A1115" s="383" t="s">
        <v>1288</v>
      </c>
      <c r="B1115" s="388">
        <v>0.20189274447949535</v>
      </c>
      <c r="C1115" s="389">
        <v>0.39999999999999991</v>
      </c>
    </row>
    <row r="1116" spans="1:3">
      <c r="A1116" s="383" t="s">
        <v>989</v>
      </c>
      <c r="B1116" s="388">
        <v>6.3112639724849595E-2</v>
      </c>
      <c r="C1116" s="389">
        <v>-0.38709677419354838</v>
      </c>
    </row>
    <row r="1117" spans="1:3">
      <c r="A1117" s="383" t="s">
        <v>1135</v>
      </c>
      <c r="B1117" s="388">
        <v>0.51977401129943512</v>
      </c>
      <c r="C1117" s="389">
        <v>0.55000000000000004</v>
      </c>
    </row>
    <row r="1118" spans="1:3">
      <c r="A1118" s="383" t="s">
        <v>1046</v>
      </c>
      <c r="B1118" s="388">
        <v>0</v>
      </c>
      <c r="C1118" s="389">
        <v>0.5</v>
      </c>
    </row>
    <row r="1119" spans="1:3">
      <c r="A1119" s="383" t="s">
        <v>656</v>
      </c>
      <c r="B1119" s="388">
        <v>0.20377358490566033</v>
      </c>
      <c r="C1119" s="389">
        <v>0.18584070796460184</v>
      </c>
    </row>
    <row r="1120" spans="1:3">
      <c r="A1120" s="383" t="s">
        <v>846</v>
      </c>
      <c r="B1120" s="388">
        <v>0.19902912621359214</v>
      </c>
      <c r="C1120" s="389">
        <v>-4.587155963302747E-2</v>
      </c>
    </row>
    <row r="1121" spans="1:3">
      <c r="A1121" s="383" t="s">
        <v>1014</v>
      </c>
      <c r="B1121" s="388">
        <v>4.9689440993788914E-2</v>
      </c>
      <c r="C1121" s="389">
        <v>0.18965517241379315</v>
      </c>
    </row>
    <row r="1122" spans="1:3">
      <c r="A1122" s="383" t="s">
        <v>1165</v>
      </c>
      <c r="B1122" s="388">
        <v>-2.2393630256282604E-2</v>
      </c>
      <c r="C1122" s="389">
        <v>0.34146341463414642</v>
      </c>
    </row>
    <row r="1123" spans="1:3">
      <c r="A1123" s="383" t="s">
        <v>1263</v>
      </c>
      <c r="B1123" s="388">
        <v>0.13526570048309172</v>
      </c>
      <c r="C1123" s="389">
        <v>-0.15151515151515149</v>
      </c>
    </row>
    <row r="1124" spans="1:3">
      <c r="A1124" s="383" t="s">
        <v>1289</v>
      </c>
      <c r="B1124" s="388">
        <v>3.1496062992125928E-2</v>
      </c>
      <c r="C1124" s="389">
        <v>0.5</v>
      </c>
    </row>
    <row r="1125" spans="1:3">
      <c r="A1125" s="382" t="s">
        <v>1051</v>
      </c>
      <c r="B1125" s="388">
        <v>0.40211640211640209</v>
      </c>
      <c r="C1125" s="389">
        <v>-0.25</v>
      </c>
    </row>
    <row r="1126" spans="1:3">
      <c r="A1126" s="383" t="s">
        <v>1177</v>
      </c>
      <c r="B1126" s="388">
        <v>-0.14814814814814814</v>
      </c>
      <c r="C1126" s="389">
        <v>-2.5</v>
      </c>
    </row>
    <row r="1127" spans="1:3">
      <c r="A1127" s="383" t="s">
        <v>1050</v>
      </c>
      <c r="B1127" s="388">
        <v>0.95238095238095233</v>
      </c>
      <c r="C1127" s="389">
        <v>2</v>
      </c>
    </row>
    <row r="1128" spans="1:3">
      <c r="A1128" s="382" t="s">
        <v>476</v>
      </c>
      <c r="B1128" s="388">
        <v>9.8404313294723475E-2</v>
      </c>
      <c r="C1128" s="389">
        <v>-0.14299044639608552</v>
      </c>
    </row>
    <row r="1129" spans="1:3">
      <c r="A1129" s="383" t="s">
        <v>691</v>
      </c>
      <c r="B1129" s="388">
        <v>6.949040370615478E-2</v>
      </c>
      <c r="C1129" s="389">
        <v>-0.16049382716049387</v>
      </c>
    </row>
    <row r="1130" spans="1:3">
      <c r="A1130" s="383" t="s">
        <v>494</v>
      </c>
      <c r="B1130" s="388">
        <v>4.5289855072463858E-2</v>
      </c>
      <c r="C1130" s="389">
        <v>-8.719346049046317E-2</v>
      </c>
    </row>
    <row r="1131" spans="1:3">
      <c r="A1131" s="383" t="s">
        <v>475</v>
      </c>
      <c r="B1131" s="388">
        <v>0.1791421362489487</v>
      </c>
      <c r="C1131" s="389">
        <v>0.625</v>
      </c>
    </row>
    <row r="1132" spans="1:3">
      <c r="A1132" s="383" t="s">
        <v>1167</v>
      </c>
      <c r="B1132" s="388">
        <v>0.39303482587064686</v>
      </c>
      <c r="C1132" s="389">
        <v>-0.85274725274725272</v>
      </c>
    </row>
    <row r="1133" spans="1:3">
      <c r="A1133" s="383" t="s">
        <v>1052</v>
      </c>
      <c r="B1133" s="388">
        <v>0.1907151819322459</v>
      </c>
      <c r="C1133" s="389">
        <v>-1.8571428571428572</v>
      </c>
    </row>
    <row r="1134" spans="1:3">
      <c r="A1134" s="383" t="s">
        <v>1078</v>
      </c>
      <c r="B1134" s="388">
        <v>-0.15929203539823011</v>
      </c>
      <c r="C1134" s="389">
        <v>-0.64285714285714279</v>
      </c>
    </row>
    <row r="1135" spans="1:3">
      <c r="A1135" s="383" t="s">
        <v>1286</v>
      </c>
      <c r="B1135" s="388">
        <v>6.0810810810810745E-2</v>
      </c>
      <c r="C1135" s="389">
        <v>2.7916666666666665</v>
      </c>
    </row>
    <row r="1136" spans="1:3">
      <c r="A1136" s="383" t="s">
        <v>860</v>
      </c>
      <c r="B1136" s="388">
        <v>9.2801387684301906E-2</v>
      </c>
      <c r="C1136" s="389">
        <v>0.12745098039215685</v>
      </c>
    </row>
    <row r="1137" spans="1:3">
      <c r="A1137" s="383" t="s">
        <v>992</v>
      </c>
      <c r="B1137" s="388">
        <v>0.11083844580777091</v>
      </c>
      <c r="C1137" s="389">
        <v>-1.4583333333333333</v>
      </c>
    </row>
    <row r="1138" spans="1:3">
      <c r="A1138" s="383" t="s">
        <v>997</v>
      </c>
      <c r="B1138" s="388">
        <v>1.2121212121212199E-3</v>
      </c>
      <c r="C1138" s="389">
        <v>8.4745762711864403E-2</v>
      </c>
    </row>
    <row r="1139" spans="1:3">
      <c r="A1139" s="382" t="s">
        <v>207</v>
      </c>
      <c r="B1139" s="388">
        <v>0.15845496155200145</v>
      </c>
      <c r="C1139" s="389">
        <v>0.12520547106528043</v>
      </c>
    </row>
    <row r="1140" spans="1:3">
      <c r="A1140" s="383" t="s">
        <v>205</v>
      </c>
      <c r="B1140" s="388">
        <v>0.21860873932697134</v>
      </c>
      <c r="C1140" s="389">
        <v>0.20849880857823666</v>
      </c>
    </row>
    <row r="1141" spans="1:3">
      <c r="A1141" s="383" t="s">
        <v>830</v>
      </c>
      <c r="B1141" s="388">
        <v>0.11450381679389321</v>
      </c>
      <c r="C1141" s="389">
        <v>8.0808080808080884E-2</v>
      </c>
    </row>
    <row r="1142" spans="1:3">
      <c r="A1142" s="383" t="s">
        <v>416</v>
      </c>
      <c r="B1142" s="388">
        <v>0.1422523285351398</v>
      </c>
      <c r="C1142" s="389">
        <v>8.6309523809523725E-2</v>
      </c>
    </row>
    <row r="1143" spans="1:3">
      <c r="A1143" s="382" t="s">
        <v>1298</v>
      </c>
      <c r="B1143" s="388">
        <v>2</v>
      </c>
      <c r="C1143" s="389">
        <v>1.4096385542168677</v>
      </c>
    </row>
    <row r="1144" spans="1:3">
      <c r="A1144" s="383" t="s">
        <v>1297</v>
      </c>
      <c r="B1144" s="388">
        <v>2</v>
      </c>
      <c r="C1144" s="389">
        <v>1.4096385542168677</v>
      </c>
    </row>
    <row r="1145" spans="1:3">
      <c r="A1145" s="382" t="s">
        <v>585</v>
      </c>
      <c r="B1145" s="388">
        <v>0.50934541648743947</v>
      </c>
      <c r="C1145" s="389">
        <v>-2.5626262626262637</v>
      </c>
    </row>
    <row r="1146" spans="1:3">
      <c r="A1146" s="383" t="s">
        <v>584</v>
      </c>
      <c r="B1146" s="388">
        <v>0.17542441390460795</v>
      </c>
      <c r="C1146" s="389">
        <v>0.3787878787878789</v>
      </c>
    </row>
    <row r="1147" spans="1:3">
      <c r="A1147" s="383" t="s">
        <v>1102</v>
      </c>
      <c r="B1147" s="388">
        <v>1.1275167785234901</v>
      </c>
      <c r="C1147" s="389">
        <v>-34</v>
      </c>
    </row>
    <row r="1148" spans="1:3">
      <c r="A1148" s="383" t="s">
        <v>726</v>
      </c>
      <c r="B1148" s="388">
        <v>0.2250950570342205</v>
      </c>
      <c r="C1148" s="389">
        <v>25.933333333333334</v>
      </c>
    </row>
    <row r="1149" spans="1:3">
      <c r="A1149" s="382" t="s">
        <v>563</v>
      </c>
      <c r="B1149" s="388">
        <v>0.47986160922159327</v>
      </c>
      <c r="C1149" s="389">
        <v>2.3186507224187389</v>
      </c>
    </row>
    <row r="1150" spans="1:3">
      <c r="A1150" s="383" t="s">
        <v>815</v>
      </c>
      <c r="B1150" s="388">
        <v>0.3600000000000001</v>
      </c>
      <c r="C1150" s="389">
        <v>10.5</v>
      </c>
    </row>
    <row r="1151" spans="1:3">
      <c r="A1151" s="383" t="s">
        <v>1131</v>
      </c>
      <c r="B1151" s="388">
        <v>8.6419753086419693E-2</v>
      </c>
      <c r="C1151" s="389">
        <v>8.5106382978723305E-2</v>
      </c>
    </row>
    <row r="1152" spans="1:3">
      <c r="A1152" s="383" t="s">
        <v>562</v>
      </c>
      <c r="B1152" s="388">
        <v>0.15743374756700113</v>
      </c>
      <c r="C1152" s="389">
        <v>2.4813895781637729E-2</v>
      </c>
    </row>
    <row r="1153" spans="1:3">
      <c r="A1153" s="383" t="s">
        <v>1315</v>
      </c>
      <c r="B1153" s="388">
        <v>1.0909090909090908</v>
      </c>
      <c r="C1153" s="389">
        <v>0.39999999999999991</v>
      </c>
    </row>
    <row r="1154" spans="1:3">
      <c r="A1154" s="383" t="s">
        <v>1281</v>
      </c>
      <c r="B1154" s="388">
        <v>0.70454545454545459</v>
      </c>
      <c r="C1154" s="389">
        <v>0.58333333333333326</v>
      </c>
    </row>
    <row r="1155" spans="1:3">
      <c r="A1155" s="382" t="s">
        <v>759</v>
      </c>
      <c r="B1155" s="388">
        <v>0.51327433628318575</v>
      </c>
      <c r="C1155" s="389">
        <v>-1.6458333333333335</v>
      </c>
    </row>
    <row r="1156" spans="1:3">
      <c r="A1156" s="383" t="s">
        <v>758</v>
      </c>
      <c r="B1156" s="388">
        <v>0.51327433628318575</v>
      </c>
      <c r="C1156" s="389">
        <v>-1.6458333333333335</v>
      </c>
    </row>
    <row r="1157" spans="1:3">
      <c r="A1157" s="384" t="s">
        <v>170</v>
      </c>
      <c r="B1157" s="388">
        <v>-6.0180533541002057E-2</v>
      </c>
      <c r="C1157" s="389">
        <v>-0.20797915630341141</v>
      </c>
    </row>
    <row r="1158" spans="1:3">
      <c r="A1158" s="382" t="s">
        <v>790</v>
      </c>
      <c r="B1158" s="388">
        <v>6.2659118538355818E-2</v>
      </c>
      <c r="C1158" s="389">
        <v>8.2805429864253377E-2</v>
      </c>
    </row>
    <row r="1159" spans="1:3">
      <c r="A1159" s="383" t="s">
        <v>789</v>
      </c>
      <c r="B1159" s="388">
        <v>0.19035202086049541</v>
      </c>
      <c r="C1159" s="389">
        <v>-4.6153846153846101E-2</v>
      </c>
    </row>
    <row r="1160" spans="1:3">
      <c r="A1160" s="383" t="s">
        <v>1138</v>
      </c>
      <c r="B1160" s="388">
        <v>-6.5033783783783772E-2</v>
      </c>
      <c r="C1160" s="389">
        <v>0.21176470588235285</v>
      </c>
    </row>
    <row r="1161" spans="1:3">
      <c r="A1161" s="382" t="s">
        <v>128</v>
      </c>
      <c r="B1161" s="388">
        <v>-5.3233049687567329E-3</v>
      </c>
      <c r="C1161" s="389">
        <v>4.0119227056823949E-2</v>
      </c>
    </row>
    <row r="1162" spans="1:3">
      <c r="A1162" s="383" t="s">
        <v>169</v>
      </c>
      <c r="B1162" s="388">
        <v>0.19614881783332216</v>
      </c>
      <c r="C1162" s="389">
        <v>-0.47303830420230564</v>
      </c>
    </row>
    <row r="1163" spans="1:3">
      <c r="A1163" s="383" t="s">
        <v>340</v>
      </c>
      <c r="B1163" s="388">
        <v>4.8444444444444512E-2</v>
      </c>
      <c r="C1163" s="389">
        <v>0.81923076923076921</v>
      </c>
    </row>
    <row r="1164" spans="1:3">
      <c r="A1164" s="383" t="s">
        <v>1304</v>
      </c>
      <c r="B1164" s="388">
        <v>-0.24521072796934862</v>
      </c>
      <c r="C1164" s="389">
        <v>7.2966507177033568E-2</v>
      </c>
    </row>
    <row r="1165" spans="1:3">
      <c r="A1165" s="383" t="s">
        <v>430</v>
      </c>
      <c r="B1165" s="388">
        <v>6.7264573991031362E-2</v>
      </c>
      <c r="C1165" s="389">
        <v>0.54237288135593231</v>
      </c>
    </row>
    <row r="1166" spans="1:3">
      <c r="A1166" s="383" t="s">
        <v>848</v>
      </c>
      <c r="B1166" s="388">
        <v>-0.11711711711711714</v>
      </c>
      <c r="C1166" s="389">
        <v>-0.52063492063492056</v>
      </c>
    </row>
    <row r="1167" spans="1:3">
      <c r="A1167" s="383" t="s">
        <v>296</v>
      </c>
      <c r="B1167" s="388">
        <v>1.8530179005127323E-2</v>
      </c>
      <c r="C1167" s="389">
        <v>-0.20018157058556518</v>
      </c>
    </row>
    <row r="1168" spans="1:3">
      <c r="A1168" s="382" t="s">
        <v>526</v>
      </c>
      <c r="B1168" s="388">
        <v>-0.30297886971316612</v>
      </c>
      <c r="C1168" s="389">
        <v>-0.7896780303030303</v>
      </c>
    </row>
    <row r="1169" spans="1:3">
      <c r="A1169" s="383" t="s">
        <v>525</v>
      </c>
      <c r="B1169" s="388">
        <v>-0.50290135396518376</v>
      </c>
      <c r="C1169" s="389">
        <v>-0.47916666666666663</v>
      </c>
    </row>
    <row r="1170" spans="1:3">
      <c r="A1170" s="383" t="s">
        <v>1087</v>
      </c>
      <c r="B1170" s="388">
        <v>-8.7048832271762189E-2</v>
      </c>
      <c r="C1170" s="389">
        <v>-0.19999999999999996</v>
      </c>
    </row>
    <row r="1171" spans="1:3">
      <c r="A1171" s="383" t="s">
        <v>828</v>
      </c>
      <c r="B1171" s="388">
        <v>0.2622133599202392</v>
      </c>
      <c r="C1171" s="389">
        <v>-0.29166666666666663</v>
      </c>
    </row>
    <row r="1172" spans="1:3">
      <c r="A1172" s="383" t="s">
        <v>825</v>
      </c>
      <c r="B1172" s="388">
        <v>-0.88417865253595762</v>
      </c>
      <c r="C1172" s="389">
        <v>-2.187878787878788</v>
      </c>
    </row>
    <row r="1173" spans="1:3">
      <c r="A1173" s="382" t="s">
        <v>285</v>
      </c>
      <c r="B1173" s="388">
        <v>0.13800480100723223</v>
      </c>
      <c r="C1173" s="389">
        <v>-7.9661144552544472E-2</v>
      </c>
    </row>
    <row r="1174" spans="1:3">
      <c r="A1174" s="383" t="s">
        <v>792</v>
      </c>
      <c r="B1174" s="388">
        <v>0.19664031620553368</v>
      </c>
      <c r="C1174" s="389">
        <v>0.39726027397260277</v>
      </c>
    </row>
    <row r="1175" spans="1:3">
      <c r="A1175" s="383" t="s">
        <v>284</v>
      </c>
      <c r="B1175" s="388">
        <v>7.9369285808930767E-2</v>
      </c>
      <c r="C1175" s="389">
        <v>-0.55658256307769172</v>
      </c>
    </row>
    <row r="1176" spans="1:3">
      <c r="A1176" s="384" t="s">
        <v>198</v>
      </c>
      <c r="B1176" s="388">
        <v>0.14226926364191111</v>
      </c>
      <c r="C1176" s="389">
        <v>0.52107379778510876</v>
      </c>
    </row>
    <row r="1177" spans="1:3">
      <c r="A1177" s="382" t="s">
        <v>288</v>
      </c>
      <c r="B1177" s="388">
        <v>-3.2323435858105667E-2</v>
      </c>
      <c r="C1177" s="389">
        <v>-0.14690877185058912</v>
      </c>
    </row>
    <row r="1178" spans="1:3">
      <c r="A1178" s="383" t="s">
        <v>412</v>
      </c>
      <c r="B1178" s="388">
        <v>-8.9239997074098465E-2</v>
      </c>
      <c r="C1178" s="389">
        <v>-0.15374149659863945</v>
      </c>
    </row>
    <row r="1179" spans="1:3">
      <c r="A1179" s="383" t="s">
        <v>566</v>
      </c>
      <c r="B1179" s="388">
        <v>0.12468407750631849</v>
      </c>
      <c r="C1179" s="389">
        <v>7.8014184397163122E-2</v>
      </c>
    </row>
    <row r="1180" spans="1:3">
      <c r="A1180" s="383" t="s">
        <v>1092</v>
      </c>
      <c r="B1180" s="388">
        <v>-0.14623484999006553</v>
      </c>
      <c r="C1180" s="389">
        <v>-1.0033353547604609</v>
      </c>
    </row>
    <row r="1181" spans="1:3">
      <c r="A1181" s="383" t="s">
        <v>287</v>
      </c>
      <c r="B1181" s="388">
        <v>-9.375609122214279E-2</v>
      </c>
      <c r="C1181" s="389">
        <v>5.050505050504972E-3</v>
      </c>
    </row>
    <row r="1182" spans="1:3">
      <c r="A1182" s="383" t="s">
        <v>342</v>
      </c>
      <c r="B1182" s="388">
        <v>4.292968148945997E-2</v>
      </c>
      <c r="C1182" s="389">
        <v>0.3394683026584866</v>
      </c>
    </row>
    <row r="1183" spans="1:3">
      <c r="A1183" s="382" t="s">
        <v>213</v>
      </c>
      <c r="B1183" s="388">
        <v>0.10344520608920149</v>
      </c>
      <c r="C1183" s="389">
        <v>8.3916083916083961E-2</v>
      </c>
    </row>
    <row r="1184" spans="1:3">
      <c r="A1184" s="383" t="s">
        <v>212</v>
      </c>
      <c r="B1184" s="388">
        <v>0.10344520608920149</v>
      </c>
      <c r="C1184" s="389">
        <v>8.3916083916083961E-2</v>
      </c>
    </row>
    <row r="1185" spans="1:3">
      <c r="A1185" s="382" t="s">
        <v>290</v>
      </c>
      <c r="B1185" s="388">
        <v>0.15420240137221275</v>
      </c>
      <c r="C1185" s="389">
        <v>-8.1600000000000006E-2</v>
      </c>
    </row>
    <row r="1186" spans="1:3">
      <c r="A1186" s="383" t="s">
        <v>289</v>
      </c>
      <c r="B1186" s="388">
        <v>0.15420240137221275</v>
      </c>
      <c r="C1186" s="389">
        <v>-8.1600000000000006E-2</v>
      </c>
    </row>
    <row r="1187" spans="1:3">
      <c r="A1187" s="382" t="s">
        <v>199</v>
      </c>
      <c r="B1187" s="388">
        <v>0.23045066046518634</v>
      </c>
      <c r="C1187" s="389">
        <v>0.99083645866553216</v>
      </c>
    </row>
    <row r="1188" spans="1:3">
      <c r="A1188" s="383" t="s">
        <v>661</v>
      </c>
      <c r="B1188" s="388">
        <v>0.42120343839541552</v>
      </c>
      <c r="C1188" s="389">
        <v>8.9285714285713969E-3</v>
      </c>
    </row>
    <row r="1189" spans="1:3">
      <c r="A1189" s="383" t="s">
        <v>253</v>
      </c>
      <c r="B1189" s="388">
        <v>7.6251896813353648E-2</v>
      </c>
      <c r="C1189" s="389">
        <v>-0.98947368421052628</v>
      </c>
    </row>
    <row r="1190" spans="1:3">
      <c r="A1190" s="383" t="s">
        <v>817</v>
      </c>
      <c r="B1190" s="388">
        <v>0.16014897579143383</v>
      </c>
      <c r="C1190" s="389">
        <v>0.77777777777777768</v>
      </c>
    </row>
    <row r="1191" spans="1:3">
      <c r="A1191" s="383" t="s">
        <v>1274</v>
      </c>
      <c r="B1191" s="388">
        <v>0.14953271028037385</v>
      </c>
      <c r="C1191" s="389">
        <v>-1.0769230769230769</v>
      </c>
    </row>
    <row r="1192" spans="1:3">
      <c r="A1192" s="383" t="s">
        <v>903</v>
      </c>
      <c r="B1192" s="388">
        <v>0.32786885245901631</v>
      </c>
      <c r="C1192" s="389">
        <v>3.8</v>
      </c>
    </row>
    <row r="1193" spans="1:3">
      <c r="A1193" s="383" t="s">
        <v>777</v>
      </c>
      <c r="B1193" s="388">
        <v>1.3157894736842035E-2</v>
      </c>
      <c r="C1193" s="389">
        <v>-0.97619047619047616</v>
      </c>
    </row>
    <row r="1194" spans="1:3">
      <c r="A1194" s="383" t="s">
        <v>335</v>
      </c>
      <c r="B1194" s="388">
        <v>0.61136363636363633</v>
      </c>
      <c r="C1194" s="389">
        <v>2.3630573248407645</v>
      </c>
    </row>
    <row r="1195" spans="1:3">
      <c r="A1195" s="383" t="s">
        <v>1303</v>
      </c>
      <c r="B1195" s="388">
        <v>0.63033175355450233</v>
      </c>
      <c r="C1195" s="389">
        <v>0.57692307692307687</v>
      </c>
    </row>
    <row r="1196" spans="1:3">
      <c r="A1196" s="383" t="s">
        <v>876</v>
      </c>
      <c r="B1196" s="388">
        <v>0.44541484716157198</v>
      </c>
      <c r="C1196" s="389">
        <v>0.47058823529411775</v>
      </c>
    </row>
    <row r="1197" spans="1:3">
      <c r="A1197" s="383" t="s">
        <v>612</v>
      </c>
      <c r="B1197" s="388">
        <v>0.1769596199524941</v>
      </c>
      <c r="C1197" s="389">
        <v>-7.6704545454545414E-2</v>
      </c>
    </row>
    <row r="1198" spans="1:3">
      <c r="A1198" s="383" t="s">
        <v>351</v>
      </c>
      <c r="B1198" s="388">
        <v>-2.8858766943594238E-2</v>
      </c>
      <c r="C1198" s="389">
        <v>-2.7272727272727226E-2</v>
      </c>
    </row>
    <row r="1199" spans="1:3">
      <c r="A1199" s="383" t="s">
        <v>466</v>
      </c>
      <c r="B1199" s="388">
        <v>7.2545907957379807E-3</v>
      </c>
      <c r="C1199" s="389">
        <v>4.022988505747116E-2</v>
      </c>
    </row>
    <row r="1200" spans="1:3">
      <c r="A1200" s="383" t="s">
        <v>347</v>
      </c>
      <c r="B1200" s="388">
        <v>0.29306930693069311</v>
      </c>
      <c r="C1200" s="389">
        <v>-0.74242424242424243</v>
      </c>
    </row>
    <row r="1201" spans="1:3">
      <c r="A1201" s="383" t="s">
        <v>197</v>
      </c>
      <c r="B1201" s="388">
        <v>1.7465989036596463E-2</v>
      </c>
      <c r="C1201" s="389">
        <v>8.2591876208897519E-2</v>
      </c>
    </row>
    <row r="1202" spans="1:3">
      <c r="A1202" s="383" t="s">
        <v>1030</v>
      </c>
      <c r="B1202" s="388">
        <v>-6.8212824010913664E-3</v>
      </c>
      <c r="C1202" s="389">
        <v>12.5</v>
      </c>
    </row>
    <row r="1203" spans="1:3">
      <c r="A1203" s="383" t="s">
        <v>788</v>
      </c>
      <c r="B1203" s="388">
        <v>1.0799136069114423E-2</v>
      </c>
      <c r="C1203" s="389">
        <v>-0.3902439024390244</v>
      </c>
    </row>
    <row r="1204" spans="1:3">
      <c r="A1204" s="383" t="s">
        <v>503</v>
      </c>
      <c r="B1204" s="388">
        <v>0.61251862891207143</v>
      </c>
      <c r="C1204" s="389">
        <v>0.50335570469798663</v>
      </c>
    </row>
    <row r="1205" spans="1:3">
      <c r="A1205" s="382" t="s">
        <v>999</v>
      </c>
      <c r="B1205" s="388">
        <v>2.7149321266968229E-2</v>
      </c>
      <c r="C1205" s="389">
        <v>-0.25568181818181823</v>
      </c>
    </row>
    <row r="1206" spans="1:3">
      <c r="A1206" s="383" t="s">
        <v>998</v>
      </c>
      <c r="B1206" s="388">
        <v>2.7149321266968229E-2</v>
      </c>
      <c r="C1206" s="389">
        <v>-0.25568181818181823</v>
      </c>
    </row>
    <row r="1207" spans="1:3">
      <c r="A1207" s="382" t="s">
        <v>1312</v>
      </c>
      <c r="B1207" s="388">
        <v>-0.18367346938775508</v>
      </c>
      <c r="C1207" s="389">
        <v>-0.62</v>
      </c>
    </row>
    <row r="1208" spans="1:3">
      <c r="A1208" s="383" t="s">
        <v>1311</v>
      </c>
      <c r="B1208" s="388">
        <v>-0.18367346938775508</v>
      </c>
      <c r="C1208" s="389">
        <v>-0.62</v>
      </c>
    </row>
    <row r="1209" spans="1:3">
      <c r="A1209" s="382" t="s">
        <v>856</v>
      </c>
      <c r="B1209" s="388">
        <v>8.9547045885718601E-2</v>
      </c>
      <c r="C1209" s="389">
        <v>-4.1723356009070255E-2</v>
      </c>
    </row>
    <row r="1210" spans="1:3">
      <c r="A1210" s="383" t="s">
        <v>1191</v>
      </c>
      <c r="B1210" s="388">
        <v>1.2145748987854255E-2</v>
      </c>
      <c r="C1210" s="389">
        <v>0.16666666666666674</v>
      </c>
    </row>
    <row r="1211" spans="1:3">
      <c r="A1211" s="383" t="s">
        <v>1027</v>
      </c>
      <c r="B1211" s="388">
        <v>6.3768115942028913E-2</v>
      </c>
      <c r="C1211" s="389">
        <v>-0.59183673469387754</v>
      </c>
    </row>
    <row r="1212" spans="1:3">
      <c r="A1212" s="383" t="s">
        <v>855</v>
      </c>
      <c r="B1212" s="388">
        <v>0.19272727272727264</v>
      </c>
      <c r="C1212" s="389">
        <v>0.30000000000000004</v>
      </c>
    </row>
    <row r="1213" spans="1:3">
      <c r="A1213" s="385" t="s">
        <v>1428</v>
      </c>
      <c r="B1213" s="390" t="e">
        <v>#DIV/0!</v>
      </c>
      <c r="C1213" s="391" t="e">
        <v>#DIV/0!</v>
      </c>
    </row>
  </sheetData>
  <conditionalFormatting pivot="1" sqref="B4 B5 B6:B7 B8 B9:B10 B11 B12:B29 B30 B31:B40 B41 B42 B43 B44:B45 B46 B47:B48 B49 B50:B51 B52 B53 B54 B55:B60 B61 B62:B63 B64 B65:B69 B70 B71:B79 B80 B81 B82 B83:B85 B86 B87:B95 B96 B97:B99 B100 B101 B102 B103:B138 B139 B140 B141 B142:B143 B144 B145 B146 B147 B148 B149 B150:B155 B156 B157:B158 B159 B160:B206 B207 B208:B209 B210 B211:B213 B214 B215 B216 B217:B221 B222 B223 B224 B225:B226 B227 B228:B233 B234 B235:B237 B238 B239:B243 B244 B245:B246 B247 B248:B254 B255 B256:B269 B270 B271 B272 B273:B274 B275 B276:B288 B289 B290:B306 B307 B308:B310 B311 B312:B314 B315 B316:B319 B320 B321 B322 B323:B337 B338 B339:B344 B345 B346:B351 B352 B353:B354 B355 B356:B357 B358 B359:B363 B364 B365 B366 B367 B368 B369:B395 B396 B397:B401 B402 B403:B404 B405 B406:B417 B418 B419:B424 B425 B426 B427 B428:B430 B431 B432:B437 B438 B439 B440:B443 B444 B445 B446:B448 B449 B450:B451 B452 B453:B457 B458 B459:B461 B462 B463 B464 B465:B467 B468 B469 B470 B471:B476 B477 B478 B479 B480 B481 B482 B483:B484 B485 B486:B494 B495 B496:B498 B499 B500:B504 B505 B506:B508 B509 B510:B513 B514 B515:B516 B517 B518:B520 B521 B522:B526 B527 B528 B529 B530:B531 B532 B533:B540 B541 B542:B550 B551 B552:B553 B554 B555:B559 B560 B561:B562 B563 B564 B565:B569 B570 B571 B572 B573:B575 B576 B577:B579 B580 B581:B587 B588 B589:B590 B591 B592:B593 B594 B595:B600 B601 B602:B607 B608 B609:B619 B620 B621 B622 B623:B631 B632 B633:B637 B638 B639:B641 B642 B643:B668 B669 B670:B674 B675 B676 B677 B678:B696 B697 B698:B709 B710 B711:B712 B713 B714:B722 B723 B724 B725 B726 B727:B728 B729 B730:B733 B734 B735:B739 B740 B741:B756 B757 B758:B759 B760 B761 B762 B763:B825 B826 B827 B828:B830 B831 B832:B847 B848 B849:B852 B853 B854:B858 B859 B860:B862 B863 B864:B895 B896 B897:B899 B900 B901:B911 B912 B913:B915 B916 B917:B921 B922 B923 B924 B925:B946 B947 B948:B975 B976 B977:B1000 B1001 B1002:B1013 B1014 B1015:B1022 B1023 B1024:B1028 B1029 B1030:B1039 B1040 B1041:B1042 B1043 B1044:B1045 B1046 B1047:B1048 B1049 B1050 B1051:B1074 B1075 B1076:B1078 B1079 B1080:B1095 B1096 B1097:B1100 B1101 B1102 B1103 B1104 B1105 B1106:B1107 B1108 B1109 B1110 B1111:B1113 B1114 B1115:B1124 B1125 B1126:B1127 B1128 B1129:B1138 B1139 B1140:B1142 B1143 B1144 B1145 B1146:B1148 B1149 B1150:B1154 B1155 B1156 B1157 B1158 B1159:B1160 B1161 B1162:B1167 B1168 B1169:B1172 B1173 B1174:B1175 B1176 B1177 B1178:B1182 B1183 B1184 B1185 B1186 B1187 B1188:B1204 B1205 B1206 B1207 B1208 B1209 B1210:B121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C4:C121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C5 C4 C6:C7 C8 C9:C10 C11 C12:C29 C30 C31:C40 C41 C42 C43 C44:C45 C46 C47:C48 C49 C50:C51 C52 C53 C54 C55:C60 C61 C62:C63 C64 C65:C69 C70 C71:C79 C80 C81 C82 C83:C85 C86 C87:C95 C96 C97:C99 C100 C101 C102 C103:C138 C139 C140 C141 C142:C143 C144 C145 C146 C147 C148 C149 C150:C155 C156 C157:C158 C159 C160:C206 C207 C208:C209 C210 C211:C213 C214 C215 C216 C217:C221 C222 C223 C224 C225:C226 C227 C228:C233 C234 C235:C237 C238 C239:C243 C244 C245:C246 C247 C248:C254 C255 C256:C269 C270 C271 C272 C273:C274 C275 C276:C288 C289 C290:C306 C307 C308:C310 C311 C312:C314 C315 C316:C319 C320 C321 C322 C323:C337 C338 C339:C344 C345 C346:C351 C352 C353:C354 C355 C356:C357 C358 C359:C363 C364 C365 C366 C367 C368 C369:C395 C396 C397:C401 C402 C403:C404 C405 C406:C417 C418 C419:C424 C425 C426 C427 C428:C430 C431 C432:C437 C438 C439 C440:C443 C444 C445 C446:C448 C449 C450:C451 C452 C453:C457 C458 C459:C461 C462 C463 C464 C465:C467 C468 C469 C470 C471:C476 C477 C478 C479 C480 C481 C482 C483:C484 C485 C486:C494 C495 C496:C498 C499 C500:C504 C505 C506:C508 C509 C510:C513 C514 C515:C516 C517 C518:C520 C521 C522:C526 C527 C528 C529 C530:C531 C532 C533:C540 C541 C542:C550 C551 C552:C553 C554 C555:C559 C560 C561:C562 C563 C564 C565:C569 C570 C571 C572 C573:C575 C576 C577:C579 C580 C581:C587 C588 C589:C590 C591 C592:C593 C594 C595:C600 C601 C602:C607 C608 C609:C619 C620 C621 C622 C623:C631 C632 C633:C637 C638 C639:C641 C642 C643:C668 C669 C670:C674 C675 C676 C677 C678:C696 C697 C698:C709 C710 C711:C712 C713 C714:C722 C723 C724 C725 C726 C727:C728 C729 C730:C733 C734 C735:C739 C740 C741:C756 C757 C758:C759 C760 C761 C762 C763:C825 C826 C827 C828:C830 C831 C832:C847 C848 C849:C852 C853 C854:C858 C859 C860:C862 C863 C864:C895 C896 C897:C899 C900 C901:C911 C912 C913:C915 C916 C917:C921 C922 C923 C924 C925:C946 C947 C948:C975 C976 C977:C1000 C1001 C1002:C1013 C1014 C1015:C1022 C1023 C1024:C1028 C1029 C1030:C1039 C1040 C1041:C1042 C1043 C1044:C1045 C1046 C1047:C1048 C1049 C1050 C1051:C1074 C1075 C1076:C1078 C1079 C1080:C1095 C1096 C1097:C1100 C1101 C1102 C1103 C1104 C1105 C1106:C1107 C1108 C1109 C1110 C1111:C1113 C1114 C1115:C1124 C1125 C1126:C1127 C1128 C1129:C1138 C1139 C1140:C1142 C1143 C1144 C1145 C1146:C1148 C1149 C1150:C1154 C1155 C1156 C1157 C1158 C1159:C1160 C1161 C1162:C1167 C1168 C1169:C1172 C1173 C1174:C1175 C1176 C1177 C1178:C1182 C1183 C1184 C1185 C1186 C1187 C1188:C1204 C1205 C1206 C1207 C1208 C1209 C1210:C121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500495</v>
      </c>
      <c r="B2" s="98" t="s">
        <v>1616</v>
      </c>
      <c r="C2" s="6" t="str">
        <f>VLOOKUP(A2,'BSE ALL CAP'!$B$4:$Y$1038,2,)</f>
        <v>Industrials</v>
      </c>
      <c r="D2" s="6" t="str">
        <f>VLOOKUP(A2,'BSE ALL CAP'!$B$4:$Y$1038,3,)</f>
        <v>Tractors</v>
      </c>
      <c r="E2" s="11">
        <f ca="1">IFERROR(__xludf.DUMMYFUNCTION("GOOGLEFINANCE(""BOM:""&amp;A2,""PRICE"")"),2904.55)</f>
        <v>2904.55</v>
      </c>
      <c r="F2" s="20">
        <f ca="1">IFERROR(__xludf.DUMMYFUNCTION("GOOGLEFINANCE(""BOM:""&amp;A2,""MARKETCAP"")/10000000"),31960.0625372)</f>
        <v>31960.062537199999</v>
      </c>
      <c r="G2" s="95">
        <f t="shared" ref="G2:G4" ca="1" si="0">F2/$F$6</f>
        <v>0.86398132518110748</v>
      </c>
      <c r="H2" s="101">
        <f>VLOOKUP(A2,'BSE ALL CAP'!$B$4:$Y$1038,7,)</f>
        <v>8572</v>
      </c>
      <c r="I2" s="101">
        <f>VLOOKUP(A2,'BSE ALL CAP'!$B$4:$Y$1038,8,)</f>
        <v>7799</v>
      </c>
      <c r="J2" s="101">
        <f>VLOOKUP(A2,'BSE ALL CAP'!$B$4:$Y$1038,9,)</f>
        <v>2073</v>
      </c>
      <c r="K2" s="101">
        <f>VLOOKUP(A2,'BSE ALL CAP'!$B$4:$Y$1038,10,)</f>
        <v>946</v>
      </c>
      <c r="L2" s="101">
        <f>VLOOKUP(A2,'BSE ALL CAP'!$B$4:$Y$1038,11,)</f>
        <v>3280</v>
      </c>
      <c r="M2" s="101">
        <f>VLOOKUP(A2,'BSE ALL CAP'!$B$4:$Y$1038,12,)</f>
        <v>2948</v>
      </c>
      <c r="N2" s="101">
        <f>VLOOKUP(A2,'BSE ALL CAP'!$B$4:$Y$1038,13,)</f>
        <v>358</v>
      </c>
      <c r="O2" s="101">
        <f>VLOOKUP(A2,'BSE ALL CAP'!$B$4:$Y$1038,14,)</f>
        <v>321</v>
      </c>
      <c r="P2" s="95">
        <f>VLOOKUP(A2,'BSE ALL CAP'!$B$4:$Y$1038,15,)</f>
        <v>0.2418338777414839</v>
      </c>
      <c r="Q2" s="95">
        <f>VLOOKUP(A2,'BSE ALL CAP'!$B$4:$Y$1038,16,)</f>
        <v>0.12129760225669958</v>
      </c>
      <c r="R2" s="95">
        <f>VLOOKUP(A2,'BSE ALL CAP'!$B$4:$Y$1038,17,)</f>
        <v>0.12053627548478432</v>
      </c>
      <c r="S2" s="95">
        <f>VLOOKUP(A2,'BSE ALL CAP'!$B$4:$Y$1038,18,)</f>
        <v>0.10914634146341463</v>
      </c>
      <c r="T2" s="95">
        <f>VLOOKUP(A2,'BSE ALL CAP'!$B$4:$Y$1038,19,)</f>
        <v>0.10888738127544098</v>
      </c>
      <c r="U2" s="95">
        <f>VLOOKUP(A2,'BSE ALL CAP'!$B$4:$Y$1038,20,)</f>
        <v>2.5896018797365306E-4</v>
      </c>
      <c r="V2" s="95">
        <f>VLOOKUP(A2,'BSE ALL CAP'!$B$4:$Y$1038,21,)</f>
        <v>9.9115271188613852E-2</v>
      </c>
      <c r="W2" s="95">
        <f>VLOOKUP(A2,'BSE ALL CAP'!$B$4:$Y$1038,22,)</f>
        <v>1.1913319238900635</v>
      </c>
      <c r="X2" s="95">
        <f>VLOOKUP(A2,'BSE ALL CAP'!$B$4:$Y$1038,23,)</f>
        <v>0.11261872455902311</v>
      </c>
      <c r="Y2" s="95">
        <f>VLOOKUP(A2,'BSE ALL CAP'!$B$4:$Y$1038,24,)</f>
        <v>0.11526479750778806</v>
      </c>
    </row>
    <row r="3" spans="1:25" ht="15.75" customHeight="1">
      <c r="A3" s="99">
        <v>531266</v>
      </c>
      <c r="B3" s="98" t="s">
        <v>1617</v>
      </c>
      <c r="C3" s="6" t="str">
        <f>VLOOKUP(A3,'BSE ALL CAP'!$B$4:$Y$1038,2,)</f>
        <v>Industrials</v>
      </c>
      <c r="D3" s="6" t="str">
        <f>VLOOKUP(A3,'BSE ALL CAP'!$B$4:$Y$1038,3,)</f>
        <v>Tractors</v>
      </c>
      <c r="E3" s="11">
        <f ca="1">IFERROR(__xludf.DUMMYFUNCTION("GOOGLEFINANCE(""BOM:""&amp;A3,""PRICE"")"),5078.3)</f>
        <v>5078.3</v>
      </c>
      <c r="F3" s="20">
        <f ca="1">IFERROR(__xludf.DUMMYFUNCTION("GOOGLEFINANCE(""BOM:""&amp;A3,""MARKETCAP"")/10000000"),4397.6534367)</f>
        <v>4397.6534367000004</v>
      </c>
      <c r="G3" s="95">
        <f t="shared" ca="1" si="0"/>
        <v>0.11888244710112475</v>
      </c>
      <c r="H3" s="101">
        <f>VLOOKUP(A3,'BSE ALL CAP'!$B$4:$Y$1038,7,)</f>
        <v>911</v>
      </c>
      <c r="I3" s="101">
        <f>VLOOKUP(A3,'BSE ALL CAP'!$B$4:$Y$1038,8,)</f>
        <v>693</v>
      </c>
      <c r="J3" s="101">
        <f>VLOOKUP(A3,'BSE ALL CAP'!$B$4:$Y$1038,9,)</f>
        <v>99</v>
      </c>
      <c r="K3" s="101">
        <f>VLOOKUP(A3,'BSE ALL CAP'!$B$4:$Y$1038,10,)</f>
        <v>68</v>
      </c>
      <c r="L3" s="101">
        <f>VLOOKUP(A3,'BSE ALL CAP'!$B$4:$Y$1038,11,)</f>
        <v>314</v>
      </c>
      <c r="M3" s="101">
        <f>VLOOKUP(A3,'BSE ALL CAP'!$B$4:$Y$1038,12,)</f>
        <v>219</v>
      </c>
      <c r="N3" s="101">
        <f>VLOOKUP(A3,'BSE ALL CAP'!$B$4:$Y$1038,13,)</f>
        <v>30</v>
      </c>
      <c r="O3" s="101">
        <f>VLOOKUP(A3,'BSE ALL CAP'!$B$4:$Y$1038,14,)</f>
        <v>1</v>
      </c>
      <c r="P3" s="95">
        <f>VLOOKUP(A3,'BSE ALL CAP'!$B$4:$Y$1038,15,)</f>
        <v>0.10867178924259056</v>
      </c>
      <c r="Q3" s="95">
        <f>VLOOKUP(A3,'BSE ALL CAP'!$B$4:$Y$1038,16,)</f>
        <v>9.8124098124098127E-2</v>
      </c>
      <c r="R3" s="95">
        <f>VLOOKUP(A3,'BSE ALL CAP'!$B$4:$Y$1038,17,)</f>
        <v>1.0547691118492436E-2</v>
      </c>
      <c r="S3" s="95">
        <f>VLOOKUP(A3,'BSE ALL CAP'!$B$4:$Y$1038,18,)</f>
        <v>9.5541401273885357E-2</v>
      </c>
      <c r="T3" s="95">
        <f>VLOOKUP(A3,'BSE ALL CAP'!$B$4:$Y$1038,19,)</f>
        <v>4.5662100456621002E-3</v>
      </c>
      <c r="U3" s="95">
        <f>VLOOKUP(A3,'BSE ALL CAP'!$B$4:$Y$1038,20,)</f>
        <v>9.0975191228223257E-2</v>
      </c>
      <c r="V3" s="95">
        <f>VLOOKUP(A3,'BSE ALL CAP'!$B$4:$Y$1038,21,)</f>
        <v>0.31457431457431451</v>
      </c>
      <c r="W3" s="95">
        <f>VLOOKUP(A3,'BSE ALL CAP'!$B$4:$Y$1038,22,)</f>
        <v>0.45588235294117641</v>
      </c>
      <c r="X3" s="95">
        <f>VLOOKUP(A3,'BSE ALL CAP'!$B$4:$Y$1038,23,)</f>
        <v>0.43378995433789957</v>
      </c>
      <c r="Y3" s="95">
        <f>VLOOKUP(A3,'BSE ALL CAP'!$B$4:$Y$1038,24,)</f>
        <v>29</v>
      </c>
    </row>
    <row r="4" spans="1:25" ht="15.75" customHeight="1">
      <c r="A4" s="99">
        <v>544328</v>
      </c>
      <c r="B4" s="98" t="s">
        <v>1618</v>
      </c>
      <c r="C4" s="6"/>
      <c r="D4" s="6"/>
      <c r="E4" s="11">
        <f ca="1">IFERROR(__xludf.DUMMYFUNCTION("GOOGLEFINANCE(""BOM:""&amp;A4,""PRICE"")"),131.8)</f>
        <v>131.80000000000001</v>
      </c>
      <c r="F4" s="20">
        <f ca="1">IFERROR(__xludf.DUMMYFUNCTION("GOOGLEFINANCE(""BOM:""&amp;A4,""MARKETCAP"")/10000000"),633.8966984)</f>
        <v>633.89669839999999</v>
      </c>
      <c r="G4" s="95">
        <f t="shared" ca="1" si="0"/>
        <v>1.7136227717767859E-2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101"/>
      <c r="B5" s="101"/>
      <c r="C5" s="101"/>
      <c r="D5" s="101"/>
      <c r="E5" s="101"/>
      <c r="F5" s="101"/>
      <c r="G5" s="95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>
      <c r="A6" s="101"/>
      <c r="B6" s="101"/>
      <c r="C6" s="101"/>
      <c r="D6" s="101"/>
      <c r="E6" s="101"/>
      <c r="F6" s="112">
        <f ca="1">SUM(F2:F4)</f>
        <v>36991.612672299998</v>
      </c>
      <c r="G6" s="95">
        <f ca="1">F6/$F$6</f>
        <v>1</v>
      </c>
      <c r="H6" s="101">
        <f t="shared" ref="H6:O6" si="1">SUM(H2:H4)</f>
        <v>9483</v>
      </c>
      <c r="I6" s="101">
        <f t="shared" si="1"/>
        <v>8492</v>
      </c>
      <c r="J6" s="101">
        <f t="shared" si="1"/>
        <v>2172</v>
      </c>
      <c r="K6" s="101">
        <f t="shared" si="1"/>
        <v>1014</v>
      </c>
      <c r="L6" s="101">
        <f t="shared" si="1"/>
        <v>3594</v>
      </c>
      <c r="M6" s="101">
        <f t="shared" si="1"/>
        <v>3167</v>
      </c>
      <c r="N6" s="101">
        <f t="shared" si="1"/>
        <v>388</v>
      </c>
      <c r="O6" s="101">
        <f t="shared" si="1"/>
        <v>322</v>
      </c>
      <c r="P6" s="95">
        <f t="shared" ref="P6:Q6" si="2">J6/H6</f>
        <v>0.22904144258146156</v>
      </c>
      <c r="Q6" s="95">
        <f t="shared" si="2"/>
        <v>0.11940650023551579</v>
      </c>
      <c r="R6" s="95">
        <f>P6-Q6</f>
        <v>0.10963494234594577</v>
      </c>
      <c r="S6" s="95">
        <f t="shared" ref="S6:T6" si="3">N6/L6</f>
        <v>0.10795770728992765</v>
      </c>
      <c r="T6" s="95">
        <f t="shared" si="3"/>
        <v>0.10167350805178402</v>
      </c>
      <c r="U6" s="95">
        <f>S6-T6</f>
        <v>6.284199238143634E-3</v>
      </c>
      <c r="V6" s="95">
        <f>(H6/I6)-1</f>
        <v>0.11669806877060762</v>
      </c>
      <c r="W6" s="95">
        <f>(J6/K6)-1</f>
        <v>1.1420118343195265</v>
      </c>
      <c r="X6" s="95">
        <f>(L6/M6)-1</f>
        <v>0.13482791285127882</v>
      </c>
      <c r="Y6" s="95">
        <f>(N6/O6)-1</f>
        <v>0.20496894409937894</v>
      </c>
    </row>
    <row r="7" spans="1:25">
      <c r="G7" s="50"/>
    </row>
    <row r="8" spans="1:25">
      <c r="G8" s="50"/>
    </row>
    <row r="9" spans="1:25">
      <c r="G9" s="50"/>
    </row>
    <row r="10" spans="1:25">
      <c r="G10" s="50"/>
    </row>
    <row r="11" spans="1:25">
      <c r="G11" s="50"/>
    </row>
    <row r="12" spans="1:25">
      <c r="G12" s="50"/>
    </row>
    <row r="13" spans="1:25">
      <c r="G13" s="50"/>
    </row>
    <row r="14" spans="1:25">
      <c r="G14" s="50"/>
    </row>
    <row r="15" spans="1:25">
      <c r="G15" s="50"/>
    </row>
    <row r="16" spans="1:25">
      <c r="G16" s="50"/>
    </row>
    <row r="17" spans="7:7">
      <c r="G17" s="50"/>
    </row>
    <row r="18" spans="7:7">
      <c r="G18" s="50"/>
    </row>
    <row r="19" spans="7:7">
      <c r="G19" s="50"/>
    </row>
    <row r="20" spans="7:7">
      <c r="G20" s="50"/>
    </row>
    <row r="21" spans="7:7">
      <c r="G21" s="50"/>
    </row>
    <row r="22" spans="7:7">
      <c r="G22" s="50"/>
    </row>
    <row r="23" spans="7:7">
      <c r="G23" s="50"/>
    </row>
    <row r="24" spans="7:7">
      <c r="G24" s="50"/>
    </row>
    <row r="25" spans="7:7" ht="13.2">
      <c r="G25" s="50"/>
    </row>
    <row r="26" spans="7:7" ht="13.2">
      <c r="G26" s="50"/>
    </row>
    <row r="27" spans="7:7" ht="13.2">
      <c r="G27" s="50"/>
    </row>
    <row r="28" spans="7:7" ht="13.2">
      <c r="G28" s="50"/>
    </row>
    <row r="29" spans="7:7" ht="13.2">
      <c r="G29" s="50"/>
    </row>
    <row r="30" spans="7:7" ht="13.2">
      <c r="G30" s="50"/>
    </row>
    <row r="31" spans="7:7" ht="13.2">
      <c r="G31" s="50"/>
    </row>
    <row r="32" spans="7:7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4" xr:uid="{00000000-0009-0000-0000-00001C000000}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542830</v>
      </c>
      <c r="B2" s="98" t="s">
        <v>89</v>
      </c>
      <c r="C2" s="6" t="str">
        <f>VLOOKUP(A2,'BSE ALL CAP'!$B$4:$Y$1038,2,)</f>
        <v>Consumer Discretionary</v>
      </c>
      <c r="D2" s="6" t="str">
        <f>VLOOKUP(A2,'BSE ALL CAP'!$B$4:$Y$1038,3,)</f>
        <v>Tour, Travel Related Services</v>
      </c>
      <c r="E2" s="11">
        <f ca="1">IFERROR(__xludf.DUMMYFUNCTION("GOOGLEFINANCE(""BOM:""&amp;A2,""PRICE"")"),513.1)</f>
        <v>513.1</v>
      </c>
      <c r="F2" s="20">
        <f ca="1">IFERROR(__xludf.DUMMYFUNCTION("GOOGLEFINANCE(""BOM:""&amp;A2,""MARKETCAP"")/10000000"),41047.9980468)</f>
        <v>41047.998046799999</v>
      </c>
      <c r="G2" s="95">
        <f t="shared" ref="G2:G17" ca="1" si="0">F2/$F$19</f>
        <v>0.53243478580769288</v>
      </c>
      <c r="H2" s="101">
        <f>VLOOKUP(A2,'BSE ALL CAP'!$B$4:$Y$1038,7,)</f>
        <v>3755</v>
      </c>
      <c r="I2" s="101">
        <f>VLOOKUP(A2,'BSE ALL CAP'!$B$4:$Y$1038,8,)</f>
        <v>3406</v>
      </c>
      <c r="J2" s="101">
        <f>VLOOKUP(A2,'BSE ALL CAP'!$B$4:$Y$1038,9,)</f>
        <v>1073</v>
      </c>
      <c r="K2" s="101">
        <f>VLOOKUP(A2,'BSE ALL CAP'!$B$4:$Y$1038,10,)</f>
        <v>956</v>
      </c>
      <c r="L2" s="101">
        <f>VLOOKUP(A2,'BSE ALL CAP'!$B$4:$Y$1038,11,)</f>
        <v>1449</v>
      </c>
      <c r="M2" s="101">
        <f>VLOOKUP(A2,'BSE ALL CAP'!$B$4:$Y$1038,12,)</f>
        <v>1224</v>
      </c>
      <c r="N2" s="101">
        <f>VLOOKUP(A2,'BSE ALL CAP'!$B$4:$Y$1038,13,)</f>
        <v>395</v>
      </c>
      <c r="O2" s="101">
        <f>VLOOKUP(A2,'BSE ALL CAP'!$B$4:$Y$1038,14,)</f>
        <v>342</v>
      </c>
      <c r="P2" s="95">
        <f>VLOOKUP(A2,'BSE ALL CAP'!$B$4:$Y$1038,15,)</f>
        <v>0.28575233022636487</v>
      </c>
      <c r="Q2" s="95">
        <f>VLOOKUP(A2,'BSE ALL CAP'!$B$4:$Y$1038,16,)</f>
        <v>0.28068115091015855</v>
      </c>
      <c r="R2" s="95">
        <f>VLOOKUP(A2,'BSE ALL CAP'!$B$4:$Y$1038,17,)</f>
        <v>5.0711793162063201E-3</v>
      </c>
      <c r="S2" s="95">
        <f>VLOOKUP(A2,'BSE ALL CAP'!$B$4:$Y$1038,18,)</f>
        <v>0.2726017943409248</v>
      </c>
      <c r="T2" s="95">
        <f>VLOOKUP(A2,'BSE ALL CAP'!$B$4:$Y$1038,19,)</f>
        <v>0.27941176470588236</v>
      </c>
      <c r="U2" s="95">
        <f>VLOOKUP(A2,'BSE ALL CAP'!$B$4:$Y$1038,20,)</f>
        <v>-6.8099703649575627E-3</v>
      </c>
      <c r="V2" s="95">
        <f>VLOOKUP(A2,'BSE ALL CAP'!$B$4:$Y$1038,21,)</f>
        <v>0.10246623605402227</v>
      </c>
      <c r="W2" s="95">
        <f>VLOOKUP(A2,'BSE ALL CAP'!$B$4:$Y$1038,22,)</f>
        <v>0.12238493723849375</v>
      </c>
      <c r="X2" s="95">
        <f>VLOOKUP(A2,'BSE ALL CAP'!$B$4:$Y$1038,23,)</f>
        <v>0.18382352941176472</v>
      </c>
      <c r="Y2" s="95">
        <f>VLOOKUP(A2,'BSE ALL CAP'!$B$4:$Y$1038,24,)</f>
        <v>0.15497076023391809</v>
      </c>
    </row>
    <row r="3" spans="1:25" ht="15.75" customHeight="1">
      <c r="A3" s="99">
        <v>544174</v>
      </c>
      <c r="B3" s="98" t="s">
        <v>1619</v>
      </c>
      <c r="C3" s="6" t="str">
        <f>VLOOKUP(A3,'BSE ALL CAP'!$B$4:$Y$1038,2,)</f>
        <v>Consumer Discretionary</v>
      </c>
      <c r="D3" s="6" t="str">
        <f>VLOOKUP(A3,'BSE ALL CAP'!$B$4:$Y$1038,3,)</f>
        <v>Tour, Travel Related Services</v>
      </c>
      <c r="E3" s="11">
        <f ca="1">IFERROR(__xludf.DUMMYFUNCTION("GOOGLEFINANCE(""BOM:""&amp;A3,""PRICE"")"),1098.9)</f>
        <v>1098.9000000000001</v>
      </c>
      <c r="F3" s="20">
        <f ca="1">IFERROR(__xludf.DUMMYFUNCTION("GOOGLEFINANCE(""BOM:""&amp;A3,""MARKETCAP"")/10000000"),11719.07)</f>
        <v>11719.07</v>
      </c>
      <c r="G3" s="95">
        <f t="shared" ca="1" si="0"/>
        <v>0.15200840046331532</v>
      </c>
      <c r="H3" s="101">
        <f>VLOOKUP(A3,'BSE ALL CAP'!$B$4:$Y$1038,7,)</f>
        <v>1863</v>
      </c>
      <c r="I3" s="101">
        <f>VLOOKUP(A3,'BSE ALL CAP'!$B$4:$Y$1038,8,)</f>
        <v>1291</v>
      </c>
      <c r="J3" s="101">
        <f>VLOOKUP(A3,'BSE ALL CAP'!$B$4:$Y$1038,9,)</f>
        <v>184</v>
      </c>
      <c r="K3" s="101">
        <f>VLOOKUP(A3,'BSE ALL CAP'!$B$4:$Y$1038,10,)</f>
        <v>170</v>
      </c>
      <c r="L3" s="101">
        <f>VLOOKUP(A3,'BSE ALL CAP'!$B$4:$Y$1038,11,)</f>
        <v>784</v>
      </c>
      <c r="M3" s="101">
        <f>VLOOKUP(A3,'BSE ALL CAP'!$B$4:$Y$1038,12,)</f>
        <v>422</v>
      </c>
      <c r="N3" s="101">
        <f>VLOOKUP(A3,'BSE ALL CAP'!$B$4:$Y$1038,13,)</f>
        <v>53</v>
      </c>
      <c r="O3" s="101">
        <f>VLOOKUP(A3,'BSE ALL CAP'!$B$4:$Y$1038,14,)</f>
        <v>49</v>
      </c>
      <c r="P3" s="95">
        <f>VLOOKUP(A3,'BSE ALL CAP'!$B$4:$Y$1038,15,)</f>
        <v>9.8765432098765427E-2</v>
      </c>
      <c r="Q3" s="95">
        <f>VLOOKUP(A3,'BSE ALL CAP'!$B$4:$Y$1038,16,)</f>
        <v>0.13168086754453912</v>
      </c>
      <c r="R3" s="95">
        <f>VLOOKUP(A3,'BSE ALL CAP'!$B$4:$Y$1038,17,)</f>
        <v>-3.2915435445773689E-2</v>
      </c>
      <c r="S3" s="95">
        <f>VLOOKUP(A3,'BSE ALL CAP'!$B$4:$Y$1038,18,)</f>
        <v>6.7602040816326536E-2</v>
      </c>
      <c r="T3" s="95">
        <f>VLOOKUP(A3,'BSE ALL CAP'!$B$4:$Y$1038,19,)</f>
        <v>0.11611374407582939</v>
      </c>
      <c r="U3" s="95">
        <f>VLOOKUP(A3,'BSE ALL CAP'!$B$4:$Y$1038,20,)</f>
        <v>-4.8511703259502853E-2</v>
      </c>
      <c r="V3" s="95">
        <f>VLOOKUP(A3,'BSE ALL CAP'!$B$4:$Y$1038,21,)</f>
        <v>0.44306738962044934</v>
      </c>
      <c r="W3" s="95">
        <f>VLOOKUP(A3,'BSE ALL CAP'!$B$4:$Y$1038,22,)</f>
        <v>8.2352941176470518E-2</v>
      </c>
      <c r="X3" s="95">
        <f>VLOOKUP(A3,'BSE ALL CAP'!$B$4:$Y$1038,23,)</f>
        <v>0.85781990521327023</v>
      </c>
      <c r="Y3" s="95">
        <f>VLOOKUP(A3,'BSE ALL CAP'!$B$4:$Y$1038,24,)</f>
        <v>8.163265306122458E-2</v>
      </c>
    </row>
    <row r="4" spans="1:25" ht="15.75" customHeight="1">
      <c r="A4" s="99">
        <v>540073</v>
      </c>
      <c r="B4" s="98" t="s">
        <v>1620</v>
      </c>
      <c r="C4" s="6" t="str">
        <f>VLOOKUP(A4,'BSE ALL CAP'!$B$4:$Y$1038,2,)</f>
        <v>Consumer Discretionary</v>
      </c>
      <c r="D4" s="6" t="str">
        <f>VLOOKUP(A4,'BSE ALL CAP'!$B$4:$Y$1038,3,)</f>
        <v>Tour, Travel Related Services</v>
      </c>
      <c r="E4" s="11">
        <f ca="1">IFERROR(__xludf.DUMMYFUNCTION("GOOGLEFINANCE(""BOM:""&amp;A4,""PRICE"")"),267.7)</f>
        <v>267.7</v>
      </c>
      <c r="F4" s="20">
        <f ca="1">IFERROR(__xludf.DUMMYFUNCTION("GOOGLEFINANCE(""BOM:""&amp;A4,""MARKETCAP"")/10000000"),11012.1913323)</f>
        <v>11012.191332300001</v>
      </c>
      <c r="G4" s="95">
        <f t="shared" ca="1" si="0"/>
        <v>0.14283945654552013</v>
      </c>
      <c r="H4" s="101">
        <f>VLOOKUP(A4,'BSE ALL CAP'!$B$4:$Y$1038,7,)</f>
        <v>2183</v>
      </c>
      <c r="I4" s="101">
        <f>VLOOKUP(A4,'BSE ALL CAP'!$B$4:$Y$1038,8,)</f>
        <v>1500</v>
      </c>
      <c r="J4" s="101">
        <f>VLOOKUP(A4,'BSE ALL CAP'!$B$4:$Y$1038,9,)</f>
        <v>536</v>
      </c>
      <c r="K4" s="101">
        <f>VLOOKUP(A4,'BSE ALL CAP'!$B$4:$Y$1038,10,)</f>
        <v>394</v>
      </c>
      <c r="L4" s="101">
        <f>VLOOKUP(A4,'BSE ALL CAP'!$B$4:$Y$1038,11,)</f>
        <v>736</v>
      </c>
      <c r="M4" s="101">
        <f>VLOOKUP(A4,'BSE ALL CAP'!$B$4:$Y$1038,12,)</f>
        <v>512</v>
      </c>
      <c r="N4" s="101">
        <f>VLOOKUP(A4,'BSE ALL CAP'!$B$4:$Y$1038,13,)</f>
        <v>170</v>
      </c>
      <c r="O4" s="101">
        <f>VLOOKUP(A4,'BSE ALL CAP'!$B$4:$Y$1038,14,)</f>
        <v>127</v>
      </c>
      <c r="P4" s="95">
        <f>VLOOKUP(A4,'BSE ALL CAP'!$B$4:$Y$1038,15,)</f>
        <v>0.24553366926248282</v>
      </c>
      <c r="Q4" s="95">
        <f>VLOOKUP(A4,'BSE ALL CAP'!$B$4:$Y$1038,16,)</f>
        <v>0.26266666666666666</v>
      </c>
      <c r="R4" s="95">
        <f>VLOOKUP(A4,'BSE ALL CAP'!$B$4:$Y$1038,17,)</f>
        <v>-1.7132997404183836E-2</v>
      </c>
      <c r="S4" s="95">
        <f>VLOOKUP(A4,'BSE ALL CAP'!$B$4:$Y$1038,18,)</f>
        <v>0.23097826086956522</v>
      </c>
      <c r="T4" s="95">
        <f>VLOOKUP(A4,'BSE ALL CAP'!$B$4:$Y$1038,19,)</f>
        <v>0.248046875</v>
      </c>
      <c r="U4" s="95">
        <f>VLOOKUP(A4,'BSE ALL CAP'!$B$4:$Y$1038,20,)</f>
        <v>-1.7068614130434784E-2</v>
      </c>
      <c r="V4" s="95">
        <f>VLOOKUP(A4,'BSE ALL CAP'!$B$4:$Y$1038,21,)</f>
        <v>0.45533333333333337</v>
      </c>
      <c r="W4" s="95">
        <f>VLOOKUP(A4,'BSE ALL CAP'!$B$4:$Y$1038,22,)</f>
        <v>0.36040609137055846</v>
      </c>
      <c r="X4" s="95">
        <f>VLOOKUP(A4,'BSE ALL CAP'!$B$4:$Y$1038,23,)</f>
        <v>0.4375</v>
      </c>
      <c r="Y4" s="95">
        <f>VLOOKUP(A4,'BSE ALL CAP'!$B$4:$Y$1038,24,)</f>
        <v>0.3385826771653544</v>
      </c>
    </row>
    <row r="5" spans="1:25" ht="15.75" customHeight="1">
      <c r="A5" s="99">
        <v>544192</v>
      </c>
      <c r="B5" s="98" t="s">
        <v>1621</v>
      </c>
      <c r="C5" s="6" t="str">
        <f>VLOOKUP(A5,'BSE ALL CAP'!$B$4:$Y$1038,2,)</f>
        <v>Consumer Discretionary</v>
      </c>
      <c r="D5" s="6" t="str">
        <f>VLOOKUP(A5,'BSE ALL CAP'!$B$4:$Y$1038,3,)</f>
        <v>Tour, Travel Related Services</v>
      </c>
      <c r="E5" s="11">
        <f ca="1">IFERROR(__xludf.DUMMYFUNCTION("GOOGLEFINANCE(""BOM:""&amp;A5,""PRICE"")"),163.1)</f>
        <v>163.1</v>
      </c>
      <c r="F5" s="20">
        <f ca="1">IFERROR(__xludf.DUMMYFUNCTION("GOOGLEFINANCE(""BOM:""&amp;A5,""MARKETCAP"")/10000000"),7142.39105)</f>
        <v>7142.3910500000002</v>
      </c>
      <c r="G5" s="95">
        <f t="shared" ca="1" si="0"/>
        <v>9.2644163657525661E-2</v>
      </c>
      <c r="H5" s="101">
        <f>VLOOKUP(A5,'BSE ALL CAP'!$B$4:$Y$1038,7,)</f>
        <v>914</v>
      </c>
      <c r="I5" s="101">
        <f>VLOOKUP(A5,'BSE ALL CAP'!$B$4:$Y$1038,8,)</f>
        <v>630</v>
      </c>
      <c r="J5" s="101">
        <f>VLOOKUP(A5,'BSE ALL CAP'!$B$4:$Y$1038,9,)</f>
        <v>39</v>
      </c>
      <c r="K5" s="101">
        <f>VLOOKUP(A5,'BSE ALL CAP'!$B$4:$Y$1038,10,)</f>
        <v>43</v>
      </c>
      <c r="L5" s="101">
        <f>VLOOKUP(A5,'BSE ALL CAP'!$B$4:$Y$1038,11,)</f>
        <v>317</v>
      </c>
      <c r="M5" s="101">
        <f>VLOOKUP(A5,'BSE ALL CAP'!$B$4:$Y$1038,12,)</f>
        <v>241</v>
      </c>
      <c r="N5" s="101">
        <f>VLOOKUP(A5,'BSE ALL CAP'!$B$4:$Y$1038,13,)</f>
        <v>23</v>
      </c>
      <c r="O5" s="101">
        <f>VLOOKUP(A5,'BSE ALL CAP'!$B$4:$Y$1038,14,)</f>
        <v>15</v>
      </c>
      <c r="P5" s="95">
        <f>VLOOKUP(A5,'BSE ALL CAP'!$B$4:$Y$1038,15,)</f>
        <v>4.2669584245076587E-2</v>
      </c>
      <c r="Q5" s="95">
        <f>VLOOKUP(A5,'BSE ALL CAP'!$B$4:$Y$1038,16,)</f>
        <v>6.8253968253968247E-2</v>
      </c>
      <c r="R5" s="95">
        <f>VLOOKUP(A5,'BSE ALL CAP'!$B$4:$Y$1038,17,)</f>
        <v>-2.558438400889166E-2</v>
      </c>
      <c r="S5" s="95">
        <f>VLOOKUP(A5,'BSE ALL CAP'!$B$4:$Y$1038,18,)</f>
        <v>7.2555205047318619E-2</v>
      </c>
      <c r="T5" s="95">
        <f>VLOOKUP(A5,'BSE ALL CAP'!$B$4:$Y$1038,19,)</f>
        <v>6.2240663900414939E-2</v>
      </c>
      <c r="U5" s="95">
        <f>VLOOKUP(A5,'BSE ALL CAP'!$B$4:$Y$1038,20,)</f>
        <v>1.031454114690368E-2</v>
      </c>
      <c r="V5" s="95">
        <f>VLOOKUP(A5,'BSE ALL CAP'!$B$4:$Y$1038,21,)</f>
        <v>0.45079365079365075</v>
      </c>
      <c r="W5" s="95">
        <f>VLOOKUP(A5,'BSE ALL CAP'!$B$4:$Y$1038,22,)</f>
        <v>-9.3023255813953543E-2</v>
      </c>
      <c r="X5" s="95">
        <f>VLOOKUP(A5,'BSE ALL CAP'!$B$4:$Y$1038,23,)</f>
        <v>0.31535269709543567</v>
      </c>
      <c r="Y5" s="95">
        <f>VLOOKUP(A5,'BSE ALL CAP'!$B$4:$Y$1038,24,)</f>
        <v>0.53333333333333344</v>
      </c>
    </row>
    <row r="6" spans="1:25" ht="15.75" customHeight="1">
      <c r="A6" s="99">
        <v>500413</v>
      </c>
      <c r="B6" s="98" t="s">
        <v>1622</v>
      </c>
      <c r="C6" s="6" t="str">
        <f>VLOOKUP(A6,'BSE ALL CAP'!$B$4:$Y$1038,2,)</f>
        <v>Consumer Discretionary</v>
      </c>
      <c r="D6" s="6" t="str">
        <f>VLOOKUP(A6,'BSE ALL CAP'!$B$4:$Y$1038,3,)</f>
        <v>Tour, Travel Related Services</v>
      </c>
      <c r="E6" s="11">
        <f ca="1">IFERROR(__xludf.DUMMYFUNCTION("GOOGLEFINANCE(""BOM:""&amp;A6,""PRICE"")"),97.05)</f>
        <v>97.05</v>
      </c>
      <c r="F6" s="20">
        <f ca="1">IFERROR(__xludf.DUMMYFUNCTION("GOOGLEFINANCE(""BOM:""&amp;A6,""MARKETCAP"")/10000000"),4523.4422689)</f>
        <v>4523.4422689000003</v>
      </c>
      <c r="G6" s="95">
        <f t="shared" ca="1" si="0"/>
        <v>5.8673702254840948E-2</v>
      </c>
      <c r="H6" s="101">
        <f>VLOOKUP(A6,'BSE ALL CAP'!$B$4:$Y$1038,7,)</f>
        <v>6627</v>
      </c>
      <c r="I6" s="101">
        <f>VLOOKUP(A6,'BSE ALL CAP'!$B$4:$Y$1038,8,)</f>
        <v>6170</v>
      </c>
      <c r="J6" s="101">
        <f>VLOOKUP(A6,'BSE ALL CAP'!$B$4:$Y$1038,9,)</f>
        <v>188</v>
      </c>
      <c r="K6" s="101">
        <f>VLOOKUP(A6,'BSE ALL CAP'!$B$4:$Y$1038,10,)</f>
        <v>191</v>
      </c>
      <c r="L6" s="101">
        <f>VLOOKUP(A6,'BSE ALL CAP'!$B$4:$Y$1038,11,)</f>
        <v>2145</v>
      </c>
      <c r="M6" s="101">
        <f>VLOOKUP(A6,'BSE ALL CAP'!$B$4:$Y$1038,12,)</f>
        <v>2061</v>
      </c>
      <c r="N6" s="101">
        <f>VLOOKUP(A6,'BSE ALL CAP'!$B$4:$Y$1038,13,)</f>
        <v>44</v>
      </c>
      <c r="O6" s="101">
        <f>VLOOKUP(A6,'BSE ALL CAP'!$B$4:$Y$1038,14,)</f>
        <v>46</v>
      </c>
      <c r="P6" s="95">
        <f>VLOOKUP(A6,'BSE ALL CAP'!$B$4:$Y$1038,15,)</f>
        <v>2.8368794326241134E-2</v>
      </c>
      <c r="Q6" s="95">
        <f>VLOOKUP(A6,'BSE ALL CAP'!$B$4:$Y$1038,16,)</f>
        <v>3.0956239870340355E-2</v>
      </c>
      <c r="R6" s="95">
        <f>VLOOKUP(A6,'BSE ALL CAP'!$B$4:$Y$1038,17,)</f>
        <v>-2.5874455440992213E-3</v>
      </c>
      <c r="S6" s="95">
        <f>VLOOKUP(A6,'BSE ALL CAP'!$B$4:$Y$1038,18,)</f>
        <v>2.0512820512820513E-2</v>
      </c>
      <c r="T6" s="95">
        <f>VLOOKUP(A6,'BSE ALL CAP'!$B$4:$Y$1038,19,)</f>
        <v>2.2319262493934983E-2</v>
      </c>
      <c r="U6" s="95">
        <f>VLOOKUP(A6,'BSE ALL CAP'!$B$4:$Y$1038,20,)</f>
        <v>-1.8064419811144698E-3</v>
      </c>
      <c r="V6" s="95">
        <f>VLOOKUP(A6,'BSE ALL CAP'!$B$4:$Y$1038,21,)</f>
        <v>7.4068071312803907E-2</v>
      </c>
      <c r="W6" s="95">
        <f>VLOOKUP(A6,'BSE ALL CAP'!$B$4:$Y$1038,22,)</f>
        <v>-1.5706806282722474E-2</v>
      </c>
      <c r="X6" s="95">
        <f>VLOOKUP(A6,'BSE ALL CAP'!$B$4:$Y$1038,23,)</f>
        <v>4.0756914119359555E-2</v>
      </c>
      <c r="Y6" s="95">
        <f>VLOOKUP(A6,'BSE ALL CAP'!$B$4:$Y$1038,24,)</f>
        <v>-4.3478260869565188E-2</v>
      </c>
    </row>
    <row r="7" spans="1:25" ht="15.75" customHeight="1">
      <c r="A7" s="99">
        <v>543272</v>
      </c>
      <c r="B7" s="98" t="s">
        <v>1623</v>
      </c>
      <c r="C7" s="6"/>
      <c r="D7" s="6"/>
      <c r="E7" s="11">
        <f ca="1">IFERROR(__xludf.DUMMYFUNCTION("GOOGLEFINANCE(""BOM:""&amp;A7,""PRICE"")"),6.62)</f>
        <v>6.62</v>
      </c>
      <c r="F7" s="20">
        <f ca="1">IFERROR(__xludf.DUMMYFUNCTION("GOOGLEFINANCE(""BOM:""&amp;A7,""MARKETCAP"")/10000000"),1172.7475437)</f>
        <v>1172.7475437000001</v>
      </c>
      <c r="G7" s="95">
        <f t="shared" ca="1" si="0"/>
        <v>1.5211742763301098E-2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500213</v>
      </c>
      <c r="B8" s="98" t="s">
        <v>1624</v>
      </c>
      <c r="C8" s="6"/>
      <c r="D8" s="6"/>
      <c r="E8" s="11">
        <f ca="1">IFERROR(__xludf.DUMMYFUNCTION("GOOGLEFINANCE(""BOM:""&amp;A8,""PRICE"")"),293.05)</f>
        <v>293.05</v>
      </c>
      <c r="F8" s="20">
        <f ca="1">IFERROR(__xludf.DUMMYFUNCTION("GOOGLEFINANCE(""BOM:""&amp;A8,""MARKETCAP"")/10000000"),234.2787541)</f>
        <v>234.27875409999999</v>
      </c>
      <c r="G8" s="95">
        <f t="shared" ca="1" si="0"/>
        <v>3.0388365862887906E-3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544489</v>
      </c>
      <c r="B9" s="98" t="s">
        <v>1625</v>
      </c>
      <c r="C9" s="6"/>
      <c r="D9" s="6"/>
      <c r="E9" s="11">
        <f ca="1">IFERROR(__xludf.DUMMYFUNCTION("GOOGLEFINANCE(""BOM:""&amp;A9,""PRICE"")"),44.33)</f>
        <v>44.33</v>
      </c>
      <c r="F9" s="20">
        <f ca="1">IFERROR(__xludf.DUMMYFUNCTION("GOOGLEFINANCE(""BOM:""&amp;A9,""MARKETCAP"")/10000000"),41.56837)</f>
        <v>41.568370000000002</v>
      </c>
      <c r="G9" s="95">
        <f t="shared" ca="1" si="0"/>
        <v>5.3918454566507948E-4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544341</v>
      </c>
      <c r="B10" s="98" t="s">
        <v>1626</v>
      </c>
      <c r="C10" s="6"/>
      <c r="D10" s="6"/>
      <c r="E10" s="11">
        <f ca="1">IFERROR(__xludf.DUMMYFUNCTION("GOOGLEFINANCE(""BOM:""&amp;A10,""PRICE"")"),27.61)</f>
        <v>27.61</v>
      </c>
      <c r="F10" s="20">
        <f ca="1">IFERROR(__xludf.DUMMYFUNCTION("GOOGLEFINANCE(""BOM:""&amp;A10,""MARKETCAP"")/10000000"),56.9042112)</f>
        <v>56.904211199999999</v>
      </c>
      <c r="G10" s="95">
        <f t="shared" ca="1" si="0"/>
        <v>7.3810619137343434E-4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544630</v>
      </c>
      <c r="B11" s="98" t="s">
        <v>1627</v>
      </c>
      <c r="C11" s="6"/>
      <c r="D11" s="6"/>
      <c r="E11" s="11">
        <f ca="1">IFERROR(__xludf.DUMMYFUNCTION("GOOGLEFINANCE(""BOM:""&amp;A11,""PRICE"")"),115)</f>
        <v>115</v>
      </c>
      <c r="F11" s="20">
        <f ca="1">IFERROR(__xludf.DUMMYFUNCTION("GOOGLEFINANCE(""BOM:""&amp;A11,""MARKETCAP"")/10000000"),39.445)</f>
        <v>39.445</v>
      </c>
      <c r="G11" s="95">
        <f t="shared" ca="1" si="0"/>
        <v>5.1164225115776871E-4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544242</v>
      </c>
      <c r="B12" s="98" t="s">
        <v>1628</v>
      </c>
      <c r="C12" s="6"/>
      <c r="D12" s="6"/>
      <c r="E12" s="11">
        <f ca="1">IFERROR(__xludf.DUMMYFUNCTION("GOOGLEFINANCE(""BOM:""&amp;A12,""PRICE"")"),16.5)</f>
        <v>16.5</v>
      </c>
      <c r="F12" s="20">
        <f ca="1">IFERROR(__xludf.DUMMYFUNCTION("GOOGLEFINANCE(""BOM:""&amp;A12,""MARKETCAP"")/10000000"),35.235222)</f>
        <v>35.235222</v>
      </c>
      <c r="G12" s="95">
        <f t="shared" ca="1" si="0"/>
        <v>4.5703709732852678E-4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538521</v>
      </c>
      <c r="B13" s="98" t="s">
        <v>1629</v>
      </c>
      <c r="C13" s="6"/>
      <c r="D13" s="6"/>
      <c r="E13" s="11">
        <f ca="1">IFERROR(__xludf.DUMMYFUNCTION("GOOGLEFINANCE(""BOM:""&amp;A13,""PRICE"")"),89)</f>
        <v>89</v>
      </c>
      <c r="F13" s="20">
        <f ca="1">IFERROR(__xludf.DUMMYFUNCTION("GOOGLEFINANCE(""BOM:""&amp;A13,""MARKETCAP"")/10000000"),27.156)</f>
        <v>27.155999999999999</v>
      </c>
      <c r="G13" s="95">
        <f t="shared" ca="1" si="0"/>
        <v>3.5224127195944654E-4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544245</v>
      </c>
      <c r="B14" s="98" t="s">
        <v>1630</v>
      </c>
      <c r="C14" s="6"/>
      <c r="D14" s="6"/>
      <c r="E14" s="11">
        <f ca="1">IFERROR(__xludf.DUMMYFUNCTION("GOOGLEFINANCE(""BOM:""&amp;A14,""PRICE"")"),65.9)</f>
        <v>65.900000000000006</v>
      </c>
      <c r="F14" s="20">
        <f ca="1">IFERROR(__xludf.DUMMYFUNCTION("GOOGLEFINANCE(""BOM:""&amp;A14,""MARKETCAP"")/10000000"),23.4524859)</f>
        <v>23.452485899999999</v>
      </c>
      <c r="G14" s="95">
        <f t="shared" ca="1" si="0"/>
        <v>3.04202882016018E-4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544636</v>
      </c>
      <c r="B15" s="98" t="s">
        <v>1631</v>
      </c>
      <c r="C15" s="6"/>
      <c r="D15" s="6"/>
      <c r="E15" s="11">
        <f ca="1">IFERROR(__xludf.DUMMYFUNCTION("GOOGLEFINANCE(""BOM:""&amp;A15,""PRICE"")"),18.23)</f>
        <v>18.23</v>
      </c>
      <c r="F15" s="20">
        <f ca="1">IFERROR(__xludf.DUMMYFUNCTION("GOOGLEFINANCE(""BOM:""&amp;A15,""MARKETCAP"")/10000000"),10.9598702)</f>
        <v>10.959870199999999</v>
      </c>
      <c r="G15" s="95">
        <f t="shared" ca="1" si="0"/>
        <v>1.4216079760489148E-4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543541</v>
      </c>
      <c r="B16" s="98" t="s">
        <v>1632</v>
      </c>
      <c r="C16" s="6"/>
      <c r="D16" s="6"/>
      <c r="E16" s="11">
        <f ca="1">IFERROR(__xludf.DUMMYFUNCTION("GOOGLEFINANCE(""BOM:""&amp;A16,""PRICE"")"),17.1)</f>
        <v>17.100000000000001</v>
      </c>
      <c r="F16" s="20">
        <f ca="1">IFERROR(__xludf.DUMMYFUNCTION("GOOGLEFINANCE(""BOM:""&amp;A16,""MARKETCAP"")/10000000"),8.04384)</f>
        <v>8.0438399999999994</v>
      </c>
      <c r="G16" s="95">
        <f t="shared" ca="1" si="0"/>
        <v>1.0433688441001157E-4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509953</v>
      </c>
      <c r="B17" s="98" t="s">
        <v>1633</v>
      </c>
      <c r="C17" s="6"/>
      <c r="D17" s="6"/>
      <c r="E17" s="11">
        <f ca="1">IFERROR(__xludf.DUMMYFUNCTION("GOOGLEFINANCE(""BOM:""&amp;A17,""PRICE"")"),554.55)</f>
        <v>554.54999999999995</v>
      </c>
      <c r="F17" s="20"/>
      <c r="G17" s="95">
        <f t="shared" ca="1" si="0"/>
        <v>0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543992</v>
      </c>
      <c r="B18" s="98" t="s">
        <v>1634</v>
      </c>
      <c r="C18" s="101"/>
      <c r="D18" s="101"/>
      <c r="E18" s="101"/>
      <c r="F18" s="101"/>
      <c r="G18" s="95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>
      <c r="A19" s="101"/>
      <c r="B19" s="101"/>
      <c r="C19" s="101"/>
      <c r="D19" s="101"/>
      <c r="E19" s="101"/>
      <c r="F19" s="112">
        <f ca="1">SUM(F2:F17)</f>
        <v>77094.883995099997</v>
      </c>
      <c r="G19" s="95">
        <f ca="1">F19/$F$19</f>
        <v>1</v>
      </c>
      <c r="H19" s="101">
        <f t="shared" ref="H19:O19" si="1">SUM(H2:H18)</f>
        <v>15342</v>
      </c>
      <c r="I19" s="101">
        <f t="shared" si="1"/>
        <v>12997</v>
      </c>
      <c r="J19" s="101">
        <f t="shared" si="1"/>
        <v>2020</v>
      </c>
      <c r="K19" s="101">
        <f t="shared" si="1"/>
        <v>1754</v>
      </c>
      <c r="L19" s="101">
        <f t="shared" si="1"/>
        <v>5431</v>
      </c>
      <c r="M19" s="101">
        <f t="shared" si="1"/>
        <v>4460</v>
      </c>
      <c r="N19" s="101">
        <f t="shared" si="1"/>
        <v>685</v>
      </c>
      <c r="O19" s="101">
        <f t="shared" si="1"/>
        <v>579</v>
      </c>
      <c r="P19" s="95">
        <f t="shared" ref="P19:Q19" si="2">J19/H19</f>
        <v>0.13166471125016296</v>
      </c>
      <c r="Q19" s="95">
        <f t="shared" si="2"/>
        <v>0.13495422020466261</v>
      </c>
      <c r="R19" s="95">
        <f>P19-Q19</f>
        <v>-3.2895089544996425E-3</v>
      </c>
      <c r="S19" s="95">
        <f t="shared" ref="S19:T19" si="3">N19/L19</f>
        <v>0.12612778493831706</v>
      </c>
      <c r="T19" s="95">
        <f t="shared" si="3"/>
        <v>0.12982062780269057</v>
      </c>
      <c r="U19" s="95">
        <f>S19-T19</f>
        <v>-3.6928428643735189E-3</v>
      </c>
      <c r="V19" s="95">
        <f>(H19/I19)-1</f>
        <v>0.180426252212049</v>
      </c>
      <c r="W19" s="95">
        <f>(J19/K19)-1</f>
        <v>0.15165336374002281</v>
      </c>
      <c r="X19" s="95">
        <f>(L19/M19)-1</f>
        <v>0.21771300448430497</v>
      </c>
      <c r="Y19" s="95">
        <f>(N19/O19)-1</f>
        <v>0.18307426597582044</v>
      </c>
    </row>
    <row r="20" spans="1:25">
      <c r="A20" s="101"/>
      <c r="B20" s="101"/>
      <c r="C20" s="101"/>
      <c r="D20" s="101"/>
      <c r="E20" s="101"/>
      <c r="F20" s="101"/>
      <c r="G20" s="95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>
      <c r="G21" s="50"/>
    </row>
    <row r="22" spans="1:25">
      <c r="G22" s="50"/>
    </row>
    <row r="23" spans="1:25">
      <c r="G23" s="50"/>
    </row>
    <row r="24" spans="1:25">
      <c r="G24" s="50"/>
    </row>
    <row r="25" spans="1:25" ht="13.2">
      <c r="G25" s="50"/>
    </row>
    <row r="26" spans="1:25" ht="13.2">
      <c r="G26" s="50"/>
    </row>
    <row r="27" spans="1:25" ht="13.2">
      <c r="G27" s="50"/>
    </row>
    <row r="28" spans="1:25" ht="13.2">
      <c r="G28" s="50"/>
    </row>
    <row r="29" spans="1:25" ht="13.2">
      <c r="G29" s="50"/>
    </row>
    <row r="30" spans="1:25" ht="13.2">
      <c r="G30" s="50"/>
    </row>
    <row r="31" spans="1:25" ht="13.2">
      <c r="G31" s="50"/>
    </row>
    <row r="32" spans="1:25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18" xr:uid="{00000000-0009-0000-0000-00001D000000}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534816</v>
      </c>
      <c r="B2" s="98" t="s">
        <v>1409</v>
      </c>
      <c r="C2" s="6" t="str">
        <f>VLOOKUP(A2,'BSE ALL CAP'!$B$4:$Y$1038,2,)</f>
        <v>Telecommunication</v>
      </c>
      <c r="D2" s="6" t="str">
        <f>VLOOKUP(A2,'BSE ALL CAP'!$B$4:$Y$1038,3,)</f>
        <v>Telecom - Infrastructure</v>
      </c>
      <c r="E2" s="11">
        <f ca="1">IFERROR(__xludf.DUMMYFUNCTION("GOOGLEFINANCE(""BOM:""&amp;A2,""PRICE"")"),428.75)</f>
        <v>428.75</v>
      </c>
      <c r="F2" s="20">
        <f ca="1">IFERROR(__xludf.DUMMYFUNCTION("GOOGLEFINANCE(""BOM:""&amp;A2,""MARKETCAP"")/10000000"),113213.0180008)</f>
        <v>113213.0180008</v>
      </c>
      <c r="G2" s="95">
        <f t="shared" ref="G2:G9" ca="1" si="0">F2/$F$11</f>
        <v>0.62364238962747642</v>
      </c>
      <c r="H2" s="101">
        <f>VLOOKUP(A2,'BSE ALL CAP'!$B$4:$Y$1038,7,)</f>
        <v>24392</v>
      </c>
      <c r="I2" s="101">
        <f>VLOOKUP(A2,'BSE ALL CAP'!$B$4:$Y$1038,8,)</f>
        <v>22395</v>
      </c>
      <c r="J2" s="101">
        <f>VLOOKUP(A2,'BSE ALL CAP'!$B$4:$Y$1038,9,)</f>
        <v>5352</v>
      </c>
      <c r="K2" s="101">
        <f>VLOOKUP(A2,'BSE ALL CAP'!$B$4:$Y$1038,10,)</f>
        <v>8152</v>
      </c>
      <c r="L2" s="101">
        <f>VLOOKUP(A2,'BSE ALL CAP'!$B$4:$Y$1038,11,)</f>
        <v>8146</v>
      </c>
      <c r="M2" s="101">
        <f>VLOOKUP(A2,'BSE ALL CAP'!$B$4:$Y$1038,12,)</f>
        <v>7547</v>
      </c>
      <c r="N2" s="101">
        <f>VLOOKUP(A2,'BSE ALL CAP'!$B$4:$Y$1038,13,)</f>
        <v>1775</v>
      </c>
      <c r="O2" s="101">
        <f>VLOOKUP(A2,'BSE ALL CAP'!$B$4:$Y$1038,14,)</f>
        <v>4003</v>
      </c>
      <c r="P2" s="95">
        <f>VLOOKUP(A2,'BSE ALL CAP'!$B$4:$Y$1038,15,)</f>
        <v>0.21941620203345358</v>
      </c>
      <c r="Q2" s="95">
        <f>VLOOKUP(A2,'BSE ALL CAP'!$B$4:$Y$1038,16,)</f>
        <v>0.36400982362134404</v>
      </c>
      <c r="R2" s="95">
        <f>VLOOKUP(A2,'BSE ALL CAP'!$B$4:$Y$1038,17,)</f>
        <v>-0.14459362158789046</v>
      </c>
      <c r="S2" s="95">
        <f>VLOOKUP(A2,'BSE ALL CAP'!$B$4:$Y$1038,18,)</f>
        <v>0.21789835502086913</v>
      </c>
      <c r="T2" s="95">
        <f>VLOOKUP(A2,'BSE ALL CAP'!$B$4:$Y$1038,19,)</f>
        <v>0.53040943421226983</v>
      </c>
      <c r="U2" s="95">
        <f>VLOOKUP(A2,'BSE ALL CAP'!$B$4:$Y$1038,20,)</f>
        <v>-0.3125110791914007</v>
      </c>
      <c r="V2" s="95">
        <f>VLOOKUP(A2,'BSE ALL CAP'!$B$4:$Y$1038,21,)</f>
        <v>8.9171690109399515E-2</v>
      </c>
      <c r="W2" s="95">
        <f>VLOOKUP(A2,'BSE ALL CAP'!$B$4:$Y$1038,22,)</f>
        <v>-0.3434739941118744</v>
      </c>
      <c r="X2" s="95">
        <f>VLOOKUP(A2,'BSE ALL CAP'!$B$4:$Y$1038,23,)</f>
        <v>7.9369285808930767E-2</v>
      </c>
      <c r="Y2" s="95">
        <f>VLOOKUP(A2,'BSE ALL CAP'!$B$4:$Y$1038,24,)</f>
        <v>-0.55658256307769172</v>
      </c>
    </row>
    <row r="3" spans="1:25" ht="15.75" customHeight="1">
      <c r="A3" s="99">
        <v>543225</v>
      </c>
      <c r="B3" s="98" t="s">
        <v>1635</v>
      </c>
      <c r="C3" s="6" t="e">
        <f>VLOOKUP(A3,'BSE ALL CAP'!$B$4:$Y$1038,2,)</f>
        <v>#N/A</v>
      </c>
      <c r="D3" s="6" t="e">
        <f>VLOOKUP(A3,'BSE ALL CAP'!$B$4:$Y$1038,3,)</f>
        <v>#N/A</v>
      </c>
      <c r="E3" s="11">
        <f ca="1">IFERROR(__xludf.DUMMYFUNCTION("GOOGLEFINANCE(""BOM:""&amp;A3,""PRICE"")"),157.5)</f>
        <v>157.5</v>
      </c>
      <c r="F3" s="20">
        <f ca="1">IFERROR(__xludf.DUMMYFUNCTION("GOOGLEFINANCE(""BOM:""&amp;A3,""MARKETCAP"")/10000000"),47996.55)</f>
        <v>47996.55</v>
      </c>
      <c r="G3" s="95">
        <f t="shared" ca="1" si="0"/>
        <v>0.26439259075014798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500183</v>
      </c>
      <c r="B4" s="98" t="s">
        <v>1636</v>
      </c>
      <c r="C4" s="6" t="str">
        <f>VLOOKUP(A4,'BSE ALL CAP'!$B$4:$Y$1038,2,)</f>
        <v>Telecommunication</v>
      </c>
      <c r="D4" s="6" t="str">
        <f>VLOOKUP(A4,'BSE ALL CAP'!$B$4:$Y$1038,3,)</f>
        <v>Telecom - Infrastructure</v>
      </c>
      <c r="E4" s="11">
        <f ca="1">IFERROR(__xludf.DUMMYFUNCTION("GOOGLEFINANCE(""BOM:""&amp;A4,""PRICE"")"),72.82)</f>
        <v>72.819999999999993</v>
      </c>
      <c r="F4" s="20">
        <f ca="1">IFERROR(__xludf.DUMMYFUNCTION("GOOGLEFINANCE(""BOM:""&amp;A4,""MARKETCAP"")/10000000"),10501.4085659)</f>
        <v>10501.408565899999</v>
      </c>
      <c r="G4" s="95">
        <f t="shared" ca="1" si="0"/>
        <v>5.7847795669982466E-2</v>
      </c>
      <c r="H4" s="101">
        <f>VLOOKUP(A4,'BSE ALL CAP'!$B$4:$Y$1038,7,)</f>
        <v>3125</v>
      </c>
      <c r="I4" s="101">
        <f>VLOOKUP(A4,'BSE ALL CAP'!$B$4:$Y$1038,8,)</f>
        <v>3264</v>
      </c>
      <c r="J4" s="101">
        <f>VLOOKUP(A4,'BSE ALL CAP'!$B$4:$Y$1038,9,)</f>
        <v>145</v>
      </c>
      <c r="K4" s="101">
        <f>VLOOKUP(A4,'BSE ALL CAP'!$B$4:$Y$1038,10,)</f>
        <v>257</v>
      </c>
      <c r="L4" s="101">
        <f>VLOOKUP(A4,'BSE ALL CAP'!$B$4:$Y$1038,11,)</f>
        <v>1211</v>
      </c>
      <c r="M4" s="101">
        <f>VLOOKUP(A4,'BSE ALL CAP'!$B$4:$Y$1038,12,)</f>
        <v>1012</v>
      </c>
      <c r="N4" s="101">
        <f>VLOOKUP(A4,'BSE ALL CAP'!$B$4:$Y$1038,13,)</f>
        <v>102</v>
      </c>
      <c r="O4" s="101">
        <f>VLOOKUP(A4,'BSE ALL CAP'!$B$4:$Y$1038,14,)</f>
        <v>73</v>
      </c>
      <c r="P4" s="95">
        <f>VLOOKUP(A4,'BSE ALL CAP'!$B$4:$Y$1038,15,)</f>
        <v>4.6399999999999997E-2</v>
      </c>
      <c r="Q4" s="95">
        <f>VLOOKUP(A4,'BSE ALL CAP'!$B$4:$Y$1038,16,)</f>
        <v>7.8737745098039214E-2</v>
      </c>
      <c r="R4" s="95">
        <f>VLOOKUP(A4,'BSE ALL CAP'!$B$4:$Y$1038,17,)</f>
        <v>-3.2337745098039217E-2</v>
      </c>
      <c r="S4" s="95">
        <f>VLOOKUP(A4,'BSE ALL CAP'!$B$4:$Y$1038,18,)</f>
        <v>8.4227910817506191E-2</v>
      </c>
      <c r="T4" s="95">
        <f>VLOOKUP(A4,'BSE ALL CAP'!$B$4:$Y$1038,19,)</f>
        <v>7.2134387351778656E-2</v>
      </c>
      <c r="U4" s="95">
        <f>VLOOKUP(A4,'BSE ALL CAP'!$B$4:$Y$1038,20,)</f>
        <v>1.2093523465727535E-2</v>
      </c>
      <c r="V4" s="95">
        <f>VLOOKUP(A4,'BSE ALL CAP'!$B$4:$Y$1038,21,)</f>
        <v>-4.2585784313725505E-2</v>
      </c>
      <c r="W4" s="95">
        <f>VLOOKUP(A4,'BSE ALL CAP'!$B$4:$Y$1038,22,)</f>
        <v>-0.43579766536964981</v>
      </c>
      <c r="X4" s="95">
        <f>VLOOKUP(A4,'BSE ALL CAP'!$B$4:$Y$1038,23,)</f>
        <v>0.19664031620553368</v>
      </c>
      <c r="Y4" s="95">
        <f>VLOOKUP(A4,'BSE ALL CAP'!$B$4:$Y$1038,24,)</f>
        <v>0.39726027397260277</v>
      </c>
    </row>
    <row r="5" spans="1:25" ht="15.75" customHeight="1">
      <c r="A5" s="99">
        <v>544550</v>
      </c>
      <c r="B5" s="98" t="s">
        <v>1637</v>
      </c>
      <c r="C5" s="6" t="e">
        <f>VLOOKUP(A5,'BSE ALL CAP'!$B$4:$Y$1038,2,)</f>
        <v>#N/A</v>
      </c>
      <c r="D5" s="6" t="e">
        <f>VLOOKUP(A5,'BSE ALL CAP'!$B$4:$Y$1038,3,)</f>
        <v>#N/A</v>
      </c>
      <c r="E5" s="11">
        <f ca="1">IFERROR(__xludf.DUMMYFUNCTION("GOOGLEFINANCE(""BOM:""&amp;A5,""PRICE"")"),150.7)</f>
        <v>150.69999999999999</v>
      </c>
      <c r="F5" s="20">
        <f ca="1">IFERROR(__xludf.DUMMYFUNCTION("GOOGLEFINANCE(""BOM:""&amp;A5,""MARKETCAP"")/10000000"),3255.4849307)</f>
        <v>3255.4849306999999</v>
      </c>
      <c r="G5" s="95">
        <f t="shared" ca="1" si="0"/>
        <v>1.793308258564082E-2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543971</v>
      </c>
      <c r="B6" s="98" t="s">
        <v>1638</v>
      </c>
      <c r="C6" s="6" t="e">
        <f>VLOOKUP(A6,'BSE ALL CAP'!$B$4:$Y$1038,2,)</f>
        <v>#N/A</v>
      </c>
      <c r="D6" s="6" t="e">
        <f>VLOOKUP(A6,'BSE ALL CAP'!$B$4:$Y$1038,3,)</f>
        <v>#N/A</v>
      </c>
      <c r="E6" s="11">
        <f ca="1">IFERROR(__xludf.DUMMYFUNCTION("GOOGLEFINANCE(""BOM:""&amp;A6,""PRICE"")"),281.75)</f>
        <v>281.75</v>
      </c>
      <c r="F6" s="20">
        <f ca="1">IFERROR(__xludf.DUMMYFUNCTION("GOOGLEFINANCE(""BOM:""&amp;A6,""MARKETCAP"")/10000000"),3135.5760275)</f>
        <v>3135.5760274999998</v>
      </c>
      <c r="G6" s="95">
        <f t="shared" ca="1" si="0"/>
        <v>1.7272555410853117E-2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517015</v>
      </c>
      <c r="B7" s="98" t="s">
        <v>1639</v>
      </c>
      <c r="C7" s="6" t="e">
        <f>VLOOKUP(A7,'BSE ALL CAP'!$B$4:$Y$1038,2,)</f>
        <v>#N/A</v>
      </c>
      <c r="D7" s="6" t="e">
        <f>VLOOKUP(A7,'BSE ALL CAP'!$B$4:$Y$1038,3,)</f>
        <v>#N/A</v>
      </c>
      <c r="E7" s="11">
        <f ca="1">IFERROR(__xludf.DUMMYFUNCTION("GOOGLEFINANCE(""BOM:""&amp;A7,""PRICE"")"),1081.45)</f>
        <v>1081.45</v>
      </c>
      <c r="F7" s="20">
        <f ca="1">IFERROR(__xludf.DUMMYFUNCTION("GOOGLEFINANCE(""BOM:""&amp;A7,""MARKETCAP"")/10000000"),1282.263052)</f>
        <v>1282.263052</v>
      </c>
      <c r="G7" s="95">
        <f t="shared" ca="1" si="0"/>
        <v>7.0634420670125609E-3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532775</v>
      </c>
      <c r="B8" s="98" t="s">
        <v>1640</v>
      </c>
      <c r="C8" s="6" t="e">
        <f>VLOOKUP(A8,'BSE ALL CAP'!$B$4:$Y$1038,2,)</f>
        <v>#N/A</v>
      </c>
      <c r="D8" s="6" t="e">
        <f>VLOOKUP(A8,'BSE ALL CAP'!$B$4:$Y$1038,3,)</f>
        <v>#N/A</v>
      </c>
      <c r="E8" s="11">
        <f ca="1">IFERROR(__xludf.DUMMYFUNCTION("GOOGLEFINANCE(""BOM:""&amp;A8,""PRICE"")"),1.07)</f>
        <v>1.07</v>
      </c>
      <c r="F8" s="20">
        <f ca="1">IFERROR(__xludf.DUMMYFUNCTION("GOOGLEFINANCE(""BOM:""&amp;A8,""MARKETCAP"")/10000000"),1383.3839349)</f>
        <v>1383.3839349</v>
      </c>
      <c r="G8" s="95">
        <f t="shared" ca="1" si="0"/>
        <v>7.6204740247027142E-3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537259</v>
      </c>
      <c r="B9" s="98" t="s">
        <v>1641</v>
      </c>
      <c r="C9" s="6" t="e">
        <f>VLOOKUP(A9,'BSE ALL CAP'!$B$4:$Y$1038,2,)</f>
        <v>#N/A</v>
      </c>
      <c r="D9" s="6" t="e">
        <f>VLOOKUP(A9,'BSE ALL CAP'!$B$4:$Y$1038,3,)</f>
        <v>#N/A</v>
      </c>
      <c r="E9" s="11">
        <f ca="1">IFERROR(__xludf.DUMMYFUNCTION("GOOGLEFINANCE(""BOM:""&amp;A9,""PRICE"")"),655.75)</f>
        <v>655.75</v>
      </c>
      <c r="F9" s="20">
        <f ca="1">IFERROR(__xludf.DUMMYFUNCTION("GOOGLEFINANCE(""BOM:""&amp;A9,""MARKETCAP"")/10000000"),767.470705)</f>
        <v>767.47070499999995</v>
      </c>
      <c r="G9" s="95">
        <f t="shared" ca="1" si="0"/>
        <v>4.2276698641838329E-3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>
      <c r="A10" s="101"/>
      <c r="B10" s="101"/>
      <c r="C10" s="101"/>
      <c r="D10" s="101"/>
      <c r="E10" s="101"/>
      <c r="F10" s="101"/>
      <c r="G10" s="95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>
      <c r="A11" s="101"/>
      <c r="B11" s="101"/>
      <c r="C11" s="101"/>
      <c r="D11" s="101"/>
      <c r="E11" s="101"/>
      <c r="F11" s="112">
        <f ca="1">SUM(F2:F9)</f>
        <v>181535.15521680002</v>
      </c>
      <c r="G11" s="95">
        <f ca="1">F11/$F$11</f>
        <v>1</v>
      </c>
      <c r="H11" s="101">
        <f t="shared" ref="H11:O11" si="1">SUM(H2:H9)</f>
        <v>27517</v>
      </c>
      <c r="I11" s="101">
        <f t="shared" si="1"/>
        <v>25659</v>
      </c>
      <c r="J11" s="101">
        <f t="shared" si="1"/>
        <v>5497</v>
      </c>
      <c r="K11" s="101">
        <f t="shared" si="1"/>
        <v>8409</v>
      </c>
      <c r="L11" s="101">
        <f t="shared" si="1"/>
        <v>9357</v>
      </c>
      <c r="M11" s="101">
        <f t="shared" si="1"/>
        <v>8559</v>
      </c>
      <c r="N11" s="101">
        <f t="shared" si="1"/>
        <v>1877</v>
      </c>
      <c r="O11" s="101">
        <f t="shared" si="1"/>
        <v>4076</v>
      </c>
      <c r="P11" s="95">
        <f t="shared" ref="P11:Q11" si="2">J11/H11</f>
        <v>0.19976741650615984</v>
      </c>
      <c r="Q11" s="95">
        <f t="shared" si="2"/>
        <v>0.32772126739155849</v>
      </c>
      <c r="R11" s="95">
        <f>P11-Q11</f>
        <v>-0.12795385088539865</v>
      </c>
      <c r="S11" s="95">
        <f t="shared" ref="S11:T11" si="3">N11/L11</f>
        <v>0.20059848241957892</v>
      </c>
      <c r="T11" s="95">
        <f t="shared" si="3"/>
        <v>0.47622385792732796</v>
      </c>
      <c r="U11" s="95">
        <f>S11-T11</f>
        <v>-0.27562537550774902</v>
      </c>
      <c r="V11" s="95">
        <f>(H11/I11)-1</f>
        <v>7.2411239720955534E-2</v>
      </c>
      <c r="W11" s="95">
        <f>(J11/K11)-1</f>
        <v>-0.3462956356284933</v>
      </c>
      <c r="X11" s="95">
        <f>(L11/M11)-1</f>
        <v>9.3235191026989073E-2</v>
      </c>
      <c r="Y11" s="95">
        <f>(N11/O11)-1</f>
        <v>-0.53949950932286561</v>
      </c>
    </row>
    <row r="12" spans="1:25">
      <c r="G12" s="50"/>
    </row>
    <row r="13" spans="1:25">
      <c r="G13" s="50"/>
    </row>
    <row r="14" spans="1:25">
      <c r="G14" s="50"/>
    </row>
    <row r="15" spans="1:25">
      <c r="G15" s="50"/>
    </row>
    <row r="16" spans="1:25">
      <c r="G16" s="50"/>
    </row>
    <row r="17" spans="7:7">
      <c r="G17" s="50"/>
    </row>
    <row r="18" spans="7:7">
      <c r="G18" s="50"/>
    </row>
    <row r="19" spans="7:7">
      <c r="G19" s="50"/>
    </row>
    <row r="20" spans="7:7">
      <c r="G20" s="50"/>
    </row>
    <row r="21" spans="7:7">
      <c r="G21" s="50"/>
    </row>
    <row r="22" spans="7:7">
      <c r="G22" s="50"/>
    </row>
    <row r="23" spans="7:7">
      <c r="G23" s="50"/>
    </row>
    <row r="24" spans="7:7">
      <c r="G24" s="50"/>
    </row>
    <row r="25" spans="7:7" ht="13.2">
      <c r="G25" s="50"/>
    </row>
    <row r="26" spans="7:7" ht="13.2">
      <c r="G26" s="50"/>
    </row>
    <row r="27" spans="7:7" ht="13.2">
      <c r="G27" s="50"/>
    </row>
    <row r="28" spans="7:7" ht="13.2">
      <c r="G28" s="50"/>
    </row>
    <row r="29" spans="7:7" ht="13.2">
      <c r="G29" s="50"/>
    </row>
    <row r="30" spans="7:7" ht="13.2">
      <c r="G30" s="50"/>
    </row>
    <row r="31" spans="7:7" ht="13.2">
      <c r="G31" s="50"/>
    </row>
    <row r="32" spans="7:7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9" xr:uid="{00000000-0009-0000-0000-00001E000000}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523610</v>
      </c>
      <c r="B2" s="98" t="s">
        <v>1642</v>
      </c>
      <c r="C2" s="6" t="str">
        <f>VLOOKUP(A2,'BSE ALL CAP'!$B$4:$Y$1038,2,)</f>
        <v>Telecommunication</v>
      </c>
      <c r="D2" s="6" t="str">
        <f>VLOOKUP(A2,'BSE ALL CAP'!$B$4:$Y$1038,3,)</f>
        <v>Telecom - Equipment &amp; Accessories</v>
      </c>
      <c r="E2" s="11">
        <f ca="1">IFERROR(__xludf.DUMMYFUNCTION("GOOGLEFINANCE(""BOM:""&amp;A2,""PRICE"")"),256.9)</f>
        <v>256.89999999999998</v>
      </c>
      <c r="F2" s="20">
        <f ca="1">IFERROR(__xludf.DUMMYFUNCTION("GOOGLEFINANCE(""BOM:""&amp;A2,""MARKETCAP"")/10000000"),24741.4441692)</f>
        <v>24741.4441692</v>
      </c>
      <c r="G2" s="95">
        <f t="shared" ref="G2:G15" ca="1" si="0">F2/$F$17</f>
        <v>0.52559217026621341</v>
      </c>
      <c r="H2" s="101">
        <f>VLOOKUP(A2,'BSE ALL CAP'!$B$4:$Y$1038,7,)</f>
        <v>1556</v>
      </c>
      <c r="I2" s="101">
        <f>VLOOKUP(A2,'BSE ALL CAP'!$B$4:$Y$1038,8,)</f>
        <v>2570</v>
      </c>
      <c r="J2" s="101">
        <f>VLOOKUP(A2,'BSE ALL CAP'!$B$4:$Y$1038,9,)</f>
        <v>-143</v>
      </c>
      <c r="K2" s="101">
        <f>VLOOKUP(A2,'BSE ALL CAP'!$B$4:$Y$1038,10,)</f>
        <v>-210</v>
      </c>
      <c r="L2" s="101">
        <f>VLOOKUP(A2,'BSE ALL CAP'!$B$4:$Y$1038,11,)</f>
        <v>514</v>
      </c>
      <c r="M2" s="101">
        <f>VLOOKUP(A2,'BSE ALL CAP'!$B$4:$Y$1038,12,)</f>
        <v>1034</v>
      </c>
      <c r="N2" s="101">
        <f>VLOOKUP(A2,'BSE ALL CAP'!$B$4:$Y$1038,13,)</f>
        <v>-25</v>
      </c>
      <c r="O2" s="101">
        <f>VLOOKUP(A2,'BSE ALL CAP'!$B$4:$Y$1038,14,)</f>
        <v>-48</v>
      </c>
      <c r="P2" s="95">
        <f>VLOOKUP(A2,'BSE ALL CAP'!$B$4:$Y$1038,15,)</f>
        <v>-9.1902313624678669E-2</v>
      </c>
      <c r="Q2" s="95">
        <f>VLOOKUP(A2,'BSE ALL CAP'!$B$4:$Y$1038,16,)</f>
        <v>-8.171206225680934E-2</v>
      </c>
      <c r="R2" s="95">
        <f>VLOOKUP(A2,'BSE ALL CAP'!$B$4:$Y$1038,17,)</f>
        <v>-1.019025136786933E-2</v>
      </c>
      <c r="S2" s="95">
        <f>VLOOKUP(A2,'BSE ALL CAP'!$B$4:$Y$1038,18,)</f>
        <v>-4.8638132295719845E-2</v>
      </c>
      <c r="T2" s="95">
        <f>VLOOKUP(A2,'BSE ALL CAP'!$B$4:$Y$1038,19,)</f>
        <v>-4.6421663442940041E-2</v>
      </c>
      <c r="U2" s="95">
        <f>VLOOKUP(A2,'BSE ALL CAP'!$B$4:$Y$1038,20,)</f>
        <v>-2.2164688527798043E-3</v>
      </c>
      <c r="V2" s="95">
        <f>VLOOKUP(A2,'BSE ALL CAP'!$B$4:$Y$1038,21,)</f>
        <v>-0.39455252918287942</v>
      </c>
      <c r="W2" s="95">
        <f>VLOOKUP(A2,'BSE ALL CAP'!$B$4:$Y$1038,22,)</f>
        <v>-0.31904761904761902</v>
      </c>
      <c r="X2" s="95">
        <f>VLOOKUP(A2,'BSE ALL CAP'!$B$4:$Y$1038,23,)</f>
        <v>-0.50290135396518376</v>
      </c>
      <c r="Y2" s="95">
        <f>VLOOKUP(A2,'BSE ALL CAP'!$B$4:$Y$1038,24,)</f>
        <v>-0.47916666666666663</v>
      </c>
    </row>
    <row r="3" spans="1:25" ht="15.75" customHeight="1">
      <c r="A3" s="99">
        <v>532374</v>
      </c>
      <c r="B3" s="98" t="s">
        <v>1643</v>
      </c>
      <c r="C3" s="6" t="str">
        <f>VLOOKUP(A3,'BSE ALL CAP'!$B$4:$Y$1038,2,)</f>
        <v>Telecommunication</v>
      </c>
      <c r="D3" s="6" t="str">
        <f>VLOOKUP(A3,'BSE ALL CAP'!$B$4:$Y$1038,3,)</f>
        <v>Telecom - Equipment &amp; Accessories</v>
      </c>
      <c r="E3" s="11">
        <f ca="1">IFERROR(__xludf.DUMMYFUNCTION("GOOGLEFINANCE(""BOM:""&amp;A3,""PRICE"")"),188.65)</f>
        <v>188.65</v>
      </c>
      <c r="F3" s="20">
        <f ca="1">IFERROR(__xludf.DUMMYFUNCTION("GOOGLEFINANCE(""BOM:""&amp;A3,""MARKETCAP"")/10000000"),9206.1792479)</f>
        <v>9206.1792478999996</v>
      </c>
      <c r="G3" s="95">
        <f t="shared" ca="1" si="0"/>
        <v>0.19557046458860747</v>
      </c>
      <c r="H3" s="101">
        <f>VLOOKUP(A3,'BSE ALL CAP'!$B$4:$Y$1038,7,)</f>
        <v>3340</v>
      </c>
      <c r="I3" s="101">
        <f>VLOOKUP(A3,'BSE ALL CAP'!$B$4:$Y$1038,8,)</f>
        <v>2959</v>
      </c>
      <c r="J3" s="101">
        <f>VLOOKUP(A3,'BSE ALL CAP'!$B$4:$Y$1038,9,)</f>
        <v>-3</v>
      </c>
      <c r="K3" s="101">
        <f>VLOOKUP(A3,'BSE ALL CAP'!$B$4:$Y$1038,10,)</f>
        <v>-84</v>
      </c>
      <c r="L3" s="101">
        <f>VLOOKUP(A3,'BSE ALL CAP'!$B$4:$Y$1038,11,)</f>
        <v>1266</v>
      </c>
      <c r="M3" s="101">
        <f>VLOOKUP(A3,'BSE ALL CAP'!$B$4:$Y$1038,12,)</f>
        <v>1003</v>
      </c>
      <c r="N3" s="101">
        <f>VLOOKUP(A3,'BSE ALL CAP'!$B$4:$Y$1038,13,)</f>
        <v>-17</v>
      </c>
      <c r="O3" s="101">
        <f>VLOOKUP(A3,'BSE ALL CAP'!$B$4:$Y$1038,14,)</f>
        <v>-24</v>
      </c>
      <c r="P3" s="95">
        <f>VLOOKUP(A3,'BSE ALL CAP'!$B$4:$Y$1038,15,)</f>
        <v>-8.9820359281437125E-4</v>
      </c>
      <c r="Q3" s="95">
        <f>VLOOKUP(A3,'BSE ALL CAP'!$B$4:$Y$1038,16,)</f>
        <v>-2.8387968908415006E-2</v>
      </c>
      <c r="R3" s="95">
        <f>VLOOKUP(A3,'BSE ALL CAP'!$B$4:$Y$1038,17,)</f>
        <v>2.7489765315600635E-2</v>
      </c>
      <c r="S3" s="95">
        <f>VLOOKUP(A3,'BSE ALL CAP'!$B$4:$Y$1038,18,)</f>
        <v>-1.3428120063191154E-2</v>
      </c>
      <c r="T3" s="95">
        <f>VLOOKUP(A3,'BSE ALL CAP'!$B$4:$Y$1038,19,)</f>
        <v>-2.3928215353938187E-2</v>
      </c>
      <c r="U3" s="95">
        <f>VLOOKUP(A3,'BSE ALL CAP'!$B$4:$Y$1038,20,)</f>
        <v>1.0500095290747033E-2</v>
      </c>
      <c r="V3" s="95">
        <f>VLOOKUP(A3,'BSE ALL CAP'!$B$4:$Y$1038,21,)</f>
        <v>0.1287597161203109</v>
      </c>
      <c r="W3" s="95">
        <f>VLOOKUP(A3,'BSE ALL CAP'!$B$4:$Y$1038,22,)</f>
        <v>-0.9642857142857143</v>
      </c>
      <c r="X3" s="95">
        <f>VLOOKUP(A3,'BSE ALL CAP'!$B$4:$Y$1038,23,)</f>
        <v>0.2622133599202392</v>
      </c>
      <c r="Y3" s="95">
        <f>VLOOKUP(A3,'BSE ALL CAP'!$B$4:$Y$1038,24,)</f>
        <v>-0.29166666666666663</v>
      </c>
    </row>
    <row r="4" spans="1:25" ht="15.75" customHeight="1">
      <c r="A4" s="99">
        <v>540595</v>
      </c>
      <c r="B4" s="98" t="s">
        <v>1644</v>
      </c>
      <c r="C4" s="6" t="str">
        <f>VLOOKUP(A4,'BSE ALL CAP'!$B$4:$Y$1038,2,)</f>
        <v>Telecommunication</v>
      </c>
      <c r="D4" s="6" t="str">
        <f>VLOOKUP(A4,'BSE ALL CAP'!$B$4:$Y$1038,3,)</f>
        <v>Telecom - Equipment &amp; Accessories</v>
      </c>
      <c r="E4" s="11">
        <f ca="1">IFERROR(__xludf.DUMMYFUNCTION("GOOGLEFINANCE(""BOM:""&amp;A4,""PRICE"")"),425)</f>
        <v>425</v>
      </c>
      <c r="F4" s="20">
        <f ca="1">IFERROR(__xludf.DUMMYFUNCTION("GOOGLEFINANCE(""BOM:""&amp;A4,""MARKETCAP"")/10000000"),7540.5769442)</f>
        <v>7540.5769442000001</v>
      </c>
      <c r="G4" s="95">
        <f t="shared" ca="1" si="0"/>
        <v>0.160187423743648</v>
      </c>
      <c r="H4" s="101">
        <f>VLOOKUP(A4,'BSE ALL CAP'!$B$4:$Y$1038,7,)</f>
        <v>770</v>
      </c>
      <c r="I4" s="101">
        <f>VLOOKUP(A4,'BSE ALL CAP'!$B$4:$Y$1038,8,)</f>
        <v>7016</v>
      </c>
      <c r="J4" s="101">
        <f>VLOOKUP(A4,'BSE ALL CAP'!$B$4:$Y$1038,9,)</f>
        <v>-697</v>
      </c>
      <c r="K4" s="101">
        <f>VLOOKUP(A4,'BSE ALL CAP'!$B$4:$Y$1038,10,)</f>
        <v>518</v>
      </c>
      <c r="L4" s="101">
        <f>VLOOKUP(A4,'BSE ALL CAP'!$B$4:$Y$1038,11,)</f>
        <v>306</v>
      </c>
      <c r="M4" s="101">
        <f>VLOOKUP(A4,'BSE ALL CAP'!$B$4:$Y$1038,12,)</f>
        <v>2642</v>
      </c>
      <c r="N4" s="101">
        <f>VLOOKUP(A4,'BSE ALL CAP'!$B$4:$Y$1038,13,)</f>
        <v>-196</v>
      </c>
      <c r="O4" s="101">
        <f>VLOOKUP(A4,'BSE ALL CAP'!$B$4:$Y$1038,14,)</f>
        <v>165</v>
      </c>
      <c r="P4" s="95">
        <f>VLOOKUP(A4,'BSE ALL CAP'!$B$4:$Y$1038,15,)</f>
        <v>-0.90519480519480522</v>
      </c>
      <c r="Q4" s="95">
        <f>VLOOKUP(A4,'BSE ALL CAP'!$B$4:$Y$1038,16,)</f>
        <v>7.3831242873432151E-2</v>
      </c>
      <c r="R4" s="95">
        <f>VLOOKUP(A4,'BSE ALL CAP'!$B$4:$Y$1038,17,)</f>
        <v>-0.97902604806823734</v>
      </c>
      <c r="S4" s="95">
        <f>VLOOKUP(A4,'BSE ALL CAP'!$B$4:$Y$1038,18,)</f>
        <v>-0.64052287581699341</v>
      </c>
      <c r="T4" s="95">
        <f>VLOOKUP(A4,'BSE ALL CAP'!$B$4:$Y$1038,19,)</f>
        <v>6.2452687358062073E-2</v>
      </c>
      <c r="U4" s="95">
        <f>VLOOKUP(A4,'BSE ALL CAP'!$B$4:$Y$1038,20,)</f>
        <v>-0.7029755631750555</v>
      </c>
      <c r="V4" s="95">
        <f>VLOOKUP(A4,'BSE ALL CAP'!$B$4:$Y$1038,21,)</f>
        <v>-0.8902508551881414</v>
      </c>
      <c r="W4" s="95">
        <f>VLOOKUP(A4,'BSE ALL CAP'!$B$4:$Y$1038,22,)</f>
        <v>-2.3455598455598459</v>
      </c>
      <c r="X4" s="95">
        <f>VLOOKUP(A4,'BSE ALL CAP'!$B$4:$Y$1038,23,)</f>
        <v>-0.88417865253595762</v>
      </c>
      <c r="Y4" s="95">
        <f>VLOOKUP(A4,'BSE ALL CAP'!$B$4:$Y$1038,24,)</f>
        <v>-2.187878787878788</v>
      </c>
    </row>
    <row r="5" spans="1:25" ht="15.75" customHeight="1">
      <c r="A5" s="99">
        <v>530135</v>
      </c>
      <c r="B5" s="98" t="s">
        <v>1645</v>
      </c>
      <c r="C5" s="6" t="str">
        <f>VLOOKUP(A5,'BSE ALL CAP'!$B$4:$Y$1038,2,)</f>
        <v>Telecommunication</v>
      </c>
      <c r="D5" s="6" t="str">
        <f>VLOOKUP(A5,'BSE ALL CAP'!$B$4:$Y$1038,3,)</f>
        <v>Telecom - Equipment &amp; Accessories</v>
      </c>
      <c r="E5" s="11">
        <f ca="1">IFERROR(__xludf.DUMMYFUNCTION("GOOGLEFINANCE(""BOM:""&amp;A5,""PRICE"")"),318)</f>
        <v>318</v>
      </c>
      <c r="F5" s="20">
        <f ca="1">IFERROR(__xludf.DUMMYFUNCTION("GOOGLEFINANCE(""BOM:""&amp;A5,""MARKETCAP"")/10000000"),2818.5293201)</f>
        <v>2818.5293200999999</v>
      </c>
      <c r="G5" s="95">
        <f t="shared" ca="1" si="0"/>
        <v>5.987512014979577E-2</v>
      </c>
      <c r="H5" s="101">
        <f>VLOOKUP(A5,'BSE ALL CAP'!$B$4:$Y$1038,7,)</f>
        <v>1283</v>
      </c>
      <c r="I5" s="101">
        <f>VLOOKUP(A5,'BSE ALL CAP'!$B$4:$Y$1038,8,)</f>
        <v>1440</v>
      </c>
      <c r="J5" s="101">
        <f>VLOOKUP(A5,'BSE ALL CAP'!$B$4:$Y$1038,9,)</f>
        <v>43</v>
      </c>
      <c r="K5" s="101">
        <f>VLOOKUP(A5,'BSE ALL CAP'!$B$4:$Y$1038,10,)</f>
        <v>40</v>
      </c>
      <c r="L5" s="101">
        <f>VLOOKUP(A5,'BSE ALL CAP'!$B$4:$Y$1038,11,)</f>
        <v>430</v>
      </c>
      <c r="M5" s="101">
        <f>VLOOKUP(A5,'BSE ALL CAP'!$B$4:$Y$1038,12,)</f>
        <v>471</v>
      </c>
      <c r="N5" s="101">
        <f>VLOOKUP(A5,'BSE ALL CAP'!$B$4:$Y$1038,13,)</f>
        <v>12</v>
      </c>
      <c r="O5" s="101">
        <f>VLOOKUP(A5,'BSE ALL CAP'!$B$4:$Y$1038,14,)</f>
        <v>15</v>
      </c>
      <c r="P5" s="95">
        <f>VLOOKUP(A5,'BSE ALL CAP'!$B$4:$Y$1038,15,)</f>
        <v>3.3515198752922838E-2</v>
      </c>
      <c r="Q5" s="95">
        <f>VLOOKUP(A5,'BSE ALL CAP'!$B$4:$Y$1038,16,)</f>
        <v>2.7777777777777776E-2</v>
      </c>
      <c r="R5" s="95">
        <f>VLOOKUP(A5,'BSE ALL CAP'!$B$4:$Y$1038,17,)</f>
        <v>5.7374209751450619E-3</v>
      </c>
      <c r="S5" s="95">
        <f>VLOOKUP(A5,'BSE ALL CAP'!$B$4:$Y$1038,18,)</f>
        <v>2.7906976744186046E-2</v>
      </c>
      <c r="T5" s="95">
        <f>VLOOKUP(A5,'BSE ALL CAP'!$B$4:$Y$1038,19,)</f>
        <v>3.1847133757961783E-2</v>
      </c>
      <c r="U5" s="95">
        <f>VLOOKUP(A5,'BSE ALL CAP'!$B$4:$Y$1038,20,)</f>
        <v>-3.9401570137757372E-3</v>
      </c>
      <c r="V5" s="95">
        <f>VLOOKUP(A5,'BSE ALL CAP'!$B$4:$Y$1038,21,)</f>
        <v>-0.10902777777777772</v>
      </c>
      <c r="W5" s="95">
        <f>VLOOKUP(A5,'BSE ALL CAP'!$B$4:$Y$1038,22,)</f>
        <v>7.4999999999999956E-2</v>
      </c>
      <c r="X5" s="95">
        <f>VLOOKUP(A5,'BSE ALL CAP'!$B$4:$Y$1038,23,)</f>
        <v>-8.7048832271762189E-2</v>
      </c>
      <c r="Y5" s="95">
        <f>VLOOKUP(A5,'BSE ALL CAP'!$B$4:$Y$1038,24,)</f>
        <v>-0.19999999999999996</v>
      </c>
    </row>
    <row r="6" spans="1:25" ht="15.75" customHeight="1">
      <c r="A6" s="99">
        <v>526775</v>
      </c>
      <c r="B6" s="98" t="s">
        <v>1646</v>
      </c>
      <c r="C6" s="6"/>
      <c r="D6" s="6"/>
      <c r="E6" s="11">
        <f ca="1">IFERROR(__xludf.DUMMYFUNCTION("GOOGLEFINANCE(""BOM:""&amp;A6,""PRICE"")"),947)</f>
        <v>947</v>
      </c>
      <c r="F6" s="20">
        <f ca="1">IFERROR(__xludf.DUMMYFUNCTION("GOOGLEFINANCE(""BOM:""&amp;A6,""MARKETCAP"")/10000000"),1140.384976)</f>
        <v>1140.3849760000001</v>
      </c>
      <c r="G6" s="95">
        <f t="shared" ca="1" si="0"/>
        <v>2.4225643837758409E-2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523411</v>
      </c>
      <c r="B7" s="98" t="s">
        <v>1647</v>
      </c>
      <c r="C7" s="6"/>
      <c r="D7" s="6"/>
      <c r="E7" s="11">
        <f ca="1">IFERROR(__xludf.DUMMYFUNCTION("GOOGLEFINANCE(""BOM:""&amp;A7,""PRICE"")"),1234)</f>
        <v>1234</v>
      </c>
      <c r="F7" s="20">
        <f ca="1">IFERROR(__xludf.DUMMYFUNCTION("GOOGLEFINANCE(""BOM:""&amp;A7,""MARKETCAP"")/10000000"),567.6398766)</f>
        <v>567.63987659999998</v>
      </c>
      <c r="G7" s="95">
        <f t="shared" ca="1" si="0"/>
        <v>1.2058595797057163E-2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500060</v>
      </c>
      <c r="B8" s="98" t="s">
        <v>1648</v>
      </c>
      <c r="C8" s="6"/>
      <c r="D8" s="6"/>
      <c r="E8" s="11">
        <f ca="1">IFERROR(__xludf.DUMMYFUNCTION("GOOGLEFINANCE(""BOM:""&amp;A8,""PRICE"")"),117.2)</f>
        <v>117.2</v>
      </c>
      <c r="F8" s="20">
        <f ca="1">IFERROR(__xludf.DUMMYFUNCTION("GOOGLEFINANCE(""BOM:""&amp;A8,""MARKETCAP"")/10000000"),352.1699981)</f>
        <v>352.16999809999999</v>
      </c>
      <c r="G8" s="95">
        <f t="shared" ca="1" si="0"/>
        <v>7.4812849378635233E-3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590041</v>
      </c>
      <c r="B9" s="98" t="s">
        <v>1649</v>
      </c>
      <c r="C9" s="6"/>
      <c r="D9" s="6"/>
      <c r="E9" s="11">
        <f ca="1">IFERROR(__xludf.DUMMYFUNCTION("GOOGLEFINANCE(""BOM:""&amp;A9,""PRICE"")"),55.87)</f>
        <v>55.87</v>
      </c>
      <c r="F9" s="20">
        <f ca="1">IFERROR(__xludf.DUMMYFUNCTION("GOOGLEFINANCE(""BOM:""&amp;A9,""MARKETCAP"")/10000000"),334.8319399)</f>
        <v>334.83193990000001</v>
      </c>
      <c r="G9" s="95">
        <f t="shared" ca="1" si="0"/>
        <v>7.1129657898291437E-3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532376</v>
      </c>
      <c r="B10" s="98" t="s">
        <v>1650</v>
      </c>
      <c r="C10" s="6"/>
      <c r="D10" s="6"/>
      <c r="E10" s="11">
        <f ca="1">IFERROR(__xludf.DUMMYFUNCTION("GOOGLEFINANCE(""BOM:""&amp;A10,""PRICE"")"),75.99)</f>
        <v>75.989999999999995</v>
      </c>
      <c r="F10" s="20">
        <f ca="1">IFERROR(__xludf.DUMMYFUNCTION("GOOGLEFINANCE(""BOM:""&amp;A10,""MARKETCAP"")/10000000"),138.6771)</f>
        <v>138.6771</v>
      </c>
      <c r="G10" s="95">
        <f t="shared" ca="1" si="0"/>
        <v>2.945971846136639E-3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532351</v>
      </c>
      <c r="B11" s="98" t="s">
        <v>1651</v>
      </c>
      <c r="C11" s="6"/>
      <c r="D11" s="6"/>
      <c r="E11" s="11">
        <f ca="1">IFERROR(__xludf.DUMMYFUNCTION("GOOGLEFINANCE(""BOM:""&amp;A11,""PRICE"")"),5.05)</f>
        <v>5.05</v>
      </c>
      <c r="F11" s="20">
        <f ca="1">IFERROR(__xludf.DUMMYFUNCTION("GOOGLEFINANCE(""BOM:""&amp;A11,""MARKETCAP"")/10000000"),79.5592709)</f>
        <v>79.559270900000001</v>
      </c>
      <c r="G11" s="95">
        <f t="shared" ca="1" si="0"/>
        <v>1.6901086925711455E-3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500346</v>
      </c>
      <c r="B12" s="98" t="s">
        <v>1652</v>
      </c>
      <c r="C12" s="6"/>
      <c r="D12" s="6"/>
      <c r="E12" s="11">
        <f ca="1">IFERROR(__xludf.DUMMYFUNCTION("GOOGLEFINANCE(""BOM:""&amp;A12,""PRICE"")"),48.65)</f>
        <v>48.65</v>
      </c>
      <c r="F12" s="20">
        <f ca="1">IFERROR(__xludf.DUMMYFUNCTION("GOOGLEFINANCE(""BOM:""&amp;A12,""MARKETCAP"")/10000000"),58.4946212)</f>
        <v>58.494621199999997</v>
      </c>
      <c r="G12" s="95">
        <f t="shared" ca="1" si="0"/>
        <v>1.2426241045250253E-3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532975</v>
      </c>
      <c r="B13" s="98" t="s">
        <v>1653</v>
      </c>
      <c r="C13" s="6"/>
      <c r="D13" s="6"/>
      <c r="E13" s="11">
        <f ca="1">IFERROR(__xludf.DUMMYFUNCTION("GOOGLEFINANCE(""BOM:""&amp;A13,""PRICE"")"),9.14)</f>
        <v>9.14</v>
      </c>
      <c r="F13" s="20">
        <f ca="1">IFERROR(__xludf.DUMMYFUNCTION("GOOGLEFINANCE(""BOM:""&amp;A13,""MARKETCAP"")/10000000"),54.28344)</f>
        <v>54.283439999999999</v>
      </c>
      <c r="G13" s="95">
        <f t="shared" ca="1" si="0"/>
        <v>1.1531643360832284E-3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523419</v>
      </c>
      <c r="B14" s="98" t="s">
        <v>1654</v>
      </c>
      <c r="C14" s="6"/>
      <c r="D14" s="6"/>
      <c r="E14" s="11">
        <f ca="1">IFERROR(__xludf.DUMMYFUNCTION("GOOGLEFINANCE(""BOM:""&amp;A14,""PRICE"")"),8.56)</f>
        <v>8.56</v>
      </c>
      <c r="F14" s="20">
        <f ca="1">IFERROR(__xludf.DUMMYFUNCTION("GOOGLEFINANCE(""BOM:""&amp;A14,""MARKETCAP"")/10000000"),40.6932167)</f>
        <v>40.693216700000001</v>
      </c>
      <c r="G14" s="95">
        <f t="shared" ca="1" si="0"/>
        <v>8.6446190991113392E-4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543859</v>
      </c>
      <c r="B15" s="98" t="s">
        <v>1655</v>
      </c>
      <c r="C15" s="6"/>
      <c r="D15" s="6"/>
      <c r="E15" s="11">
        <f ca="1">IFERROR(__xludf.DUMMYFUNCTION("GOOGLEFINANCE(""BOM:""&amp;A15,""PRICE"")"),0)</f>
        <v>0</v>
      </c>
      <c r="F15" s="20"/>
      <c r="G15" s="95">
        <f t="shared" ca="1" si="0"/>
        <v>0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>
      <c r="A16" s="101"/>
      <c r="B16" s="101"/>
      <c r="C16" s="101"/>
      <c r="D16" s="101"/>
      <c r="E16" s="101"/>
      <c r="F16" s="101"/>
      <c r="G16" s="95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>
      <c r="A17" s="101"/>
      <c r="B17" s="101"/>
      <c r="C17" s="101"/>
      <c r="D17" s="101"/>
      <c r="E17" s="101"/>
      <c r="F17" s="112">
        <f ca="1">SUM(F2:F15)</f>
        <v>47073.464120799996</v>
      </c>
      <c r="G17" s="95">
        <f ca="1">F17/$F$17</f>
        <v>1</v>
      </c>
      <c r="H17" s="101">
        <f t="shared" ref="H17:O17" si="1">SUM(H2:H15)</f>
        <v>6949</v>
      </c>
      <c r="I17" s="101">
        <f t="shared" si="1"/>
        <v>13985</v>
      </c>
      <c r="J17" s="101">
        <f t="shared" si="1"/>
        <v>-800</v>
      </c>
      <c r="K17" s="101">
        <f t="shared" si="1"/>
        <v>264</v>
      </c>
      <c r="L17" s="101">
        <f t="shared" si="1"/>
        <v>2516</v>
      </c>
      <c r="M17" s="101">
        <f t="shared" si="1"/>
        <v>5150</v>
      </c>
      <c r="N17" s="101">
        <f t="shared" si="1"/>
        <v>-226</v>
      </c>
      <c r="O17" s="101">
        <f t="shared" si="1"/>
        <v>108</v>
      </c>
      <c r="P17" s="95">
        <f t="shared" ref="P17:Q17" si="2">J17/H17</f>
        <v>-0.11512447834220751</v>
      </c>
      <c r="Q17" s="95">
        <f t="shared" si="2"/>
        <v>1.887736860922417E-2</v>
      </c>
      <c r="R17" s="95">
        <f>P17-Q17</f>
        <v>-0.13400184695143169</v>
      </c>
      <c r="S17" s="95">
        <f t="shared" ref="S17:T17" si="3">N17/L17</f>
        <v>-8.9825119236883938E-2</v>
      </c>
      <c r="T17" s="95">
        <f t="shared" si="3"/>
        <v>2.0970873786407766E-2</v>
      </c>
      <c r="U17" s="95">
        <f>S17-T17</f>
        <v>-0.11079599302329171</v>
      </c>
      <c r="V17" s="95">
        <f>(H17/I17)-1</f>
        <v>-0.50311047550947441</v>
      </c>
      <c r="W17" s="95">
        <f>(J17/K17)-1</f>
        <v>-4.0303030303030303</v>
      </c>
      <c r="X17" s="95">
        <f>(L17/M17)-1</f>
        <v>-0.51145631067961173</v>
      </c>
      <c r="Y17" s="95">
        <f>(N17/O17)-1</f>
        <v>-3.0925925925925926</v>
      </c>
    </row>
    <row r="18" spans="1:25">
      <c r="G18" s="50"/>
    </row>
    <row r="19" spans="1:25">
      <c r="G19" s="50"/>
    </row>
    <row r="20" spans="1:25">
      <c r="G20" s="50"/>
    </row>
    <row r="21" spans="1:25">
      <c r="G21" s="50"/>
    </row>
    <row r="22" spans="1:25">
      <c r="G22" s="50"/>
    </row>
    <row r="23" spans="1:25">
      <c r="G23" s="50"/>
    </row>
    <row r="24" spans="1:25">
      <c r="G24" s="50"/>
    </row>
    <row r="25" spans="1:25" ht="13.2">
      <c r="G25" s="50"/>
    </row>
    <row r="26" spans="1:25" ht="13.2">
      <c r="G26" s="50"/>
    </row>
    <row r="27" spans="1:25" ht="13.2">
      <c r="G27" s="50"/>
    </row>
    <row r="28" spans="1:25" ht="13.2">
      <c r="G28" s="50"/>
    </row>
    <row r="29" spans="1:25" ht="13.2">
      <c r="G29" s="50"/>
    </row>
    <row r="30" spans="1:25" ht="13.2">
      <c r="G30" s="50"/>
    </row>
    <row r="31" spans="1:25" ht="13.2">
      <c r="G31" s="50"/>
    </row>
    <row r="32" spans="1:25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15" xr:uid="{00000000-0009-0000-0000-00001F000000}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500800</v>
      </c>
      <c r="B2" s="98" t="s">
        <v>127</v>
      </c>
      <c r="C2" s="6" t="str">
        <f>VLOOKUP(A2,'BSE ALL CAP'!$B$4:$Y$1038,2,)</f>
        <v>Fast Moving Consumer Goods</v>
      </c>
      <c r="D2" s="6" t="str">
        <f>VLOOKUP(A2,'BSE ALL CAP'!$B$4:$Y$1038,3,)</f>
        <v>Tea &amp; Coffee</v>
      </c>
      <c r="E2" s="11">
        <f ca="1">IFERROR(__xludf.DUMMYFUNCTION("GOOGLEFINANCE(""BOM:""&amp;A2,""PRICE"")"),1061)</f>
        <v>1061</v>
      </c>
      <c r="F2" s="20">
        <f ca="1">IFERROR(__xludf.DUMMYFUNCTION("GOOGLEFINANCE(""BOM:""&amp;A2,""MARKETCAP"")/10000000"),104825.07057)</f>
        <v>104825.07057</v>
      </c>
      <c r="G2" s="95">
        <f t="shared" ref="G2:G26" ca="1" si="0">F2/$F$28</f>
        <v>0.85231585097938556</v>
      </c>
      <c r="H2" s="101">
        <f>VLOOKUP(A2,'BSE ALL CAP'!$B$4:$Y$1038,7,)</f>
        <v>14856</v>
      </c>
      <c r="I2" s="101">
        <f>VLOOKUP(A2,'BSE ALL CAP'!$B$4:$Y$1038,8,)</f>
        <v>13010</v>
      </c>
      <c r="J2" s="101">
        <f>VLOOKUP(A2,'BSE ALL CAP'!$B$4:$Y$1038,9,)</f>
        <v>1146</v>
      </c>
      <c r="K2" s="101">
        <f>VLOOKUP(A2,'BSE ALL CAP'!$B$4:$Y$1038,10,)</f>
        <v>973</v>
      </c>
      <c r="L2" s="101">
        <f>VLOOKUP(A2,'BSE ALL CAP'!$B$4:$Y$1038,11,)</f>
        <v>5112</v>
      </c>
      <c r="M2" s="101">
        <f>VLOOKUP(A2,'BSE ALL CAP'!$B$4:$Y$1038,12,)</f>
        <v>4443</v>
      </c>
      <c r="N2" s="101">
        <f>VLOOKUP(A2,'BSE ALL CAP'!$B$4:$Y$1038,13,)</f>
        <v>403</v>
      </c>
      <c r="O2" s="101">
        <f>VLOOKUP(A2,'BSE ALL CAP'!$B$4:$Y$1038,14,)</f>
        <v>300</v>
      </c>
      <c r="P2" s="95">
        <f>VLOOKUP(A2,'BSE ALL CAP'!$B$4:$Y$1038,15,)</f>
        <v>7.7140549273020997E-2</v>
      </c>
      <c r="Q2" s="95">
        <f>VLOOKUP(A2,'BSE ALL CAP'!$B$4:$Y$1038,16,)</f>
        <v>7.4788624135280549E-2</v>
      </c>
      <c r="R2" s="95">
        <f>VLOOKUP(A2,'BSE ALL CAP'!$B$4:$Y$1038,17,)</f>
        <v>2.3519251377404488E-3</v>
      </c>
      <c r="S2" s="95">
        <f>VLOOKUP(A2,'BSE ALL CAP'!$B$4:$Y$1038,18,)</f>
        <v>7.8834115805946792E-2</v>
      </c>
      <c r="T2" s="95">
        <f>VLOOKUP(A2,'BSE ALL CAP'!$B$4:$Y$1038,19,)</f>
        <v>6.7521944632005407E-2</v>
      </c>
      <c r="U2" s="95">
        <f>VLOOKUP(A2,'BSE ALL CAP'!$B$4:$Y$1038,20,)</f>
        <v>1.1312171173941385E-2</v>
      </c>
      <c r="V2" s="95">
        <f>VLOOKUP(A2,'BSE ALL CAP'!$B$4:$Y$1038,21,)</f>
        <v>0.14189085318985395</v>
      </c>
      <c r="W2" s="95">
        <f>VLOOKUP(A2,'BSE ALL CAP'!$B$4:$Y$1038,22,)</f>
        <v>0.17780061664953761</v>
      </c>
      <c r="X2" s="95">
        <f>VLOOKUP(A2,'BSE ALL CAP'!$B$4:$Y$1038,23,)</f>
        <v>0.15057393652937212</v>
      </c>
      <c r="Y2" s="95">
        <f>VLOOKUP(A2,'BSE ALL CAP'!$B$4:$Y$1038,24,)</f>
        <v>0.34333333333333327</v>
      </c>
    </row>
    <row r="3" spans="1:25" ht="15.75" customHeight="1">
      <c r="A3" s="99">
        <v>519600</v>
      </c>
      <c r="B3" s="98" t="s">
        <v>1656</v>
      </c>
      <c r="C3" s="6" t="str">
        <f>VLOOKUP(A3,'BSE ALL CAP'!$B$4:$Y$1038,2,)</f>
        <v>Fast Moving Consumer Goods</v>
      </c>
      <c r="D3" s="6" t="str">
        <f>VLOOKUP(A3,'BSE ALL CAP'!$B$4:$Y$1038,3,)</f>
        <v>Tea &amp; Coffee</v>
      </c>
      <c r="E3" s="11">
        <f ca="1">IFERROR(__xludf.DUMMYFUNCTION("GOOGLEFINANCE(""BOM:""&amp;A3,""PRICE"")"),1107)</f>
        <v>1107</v>
      </c>
      <c r="F3" s="20">
        <f ca="1">IFERROR(__xludf.DUMMYFUNCTION("GOOGLEFINANCE(""BOM:""&amp;A3,""MARKETCAP"")/10000000"),14754.3418096)</f>
        <v>14754.3418096</v>
      </c>
      <c r="G3" s="95">
        <f t="shared" ca="1" si="0"/>
        <v>0.11996518892579604</v>
      </c>
      <c r="H3" s="101">
        <f>VLOOKUP(A3,'BSE ALL CAP'!$B$4:$Y$1038,7,)</f>
        <v>3232</v>
      </c>
      <c r="I3" s="101">
        <f>VLOOKUP(A3,'BSE ALL CAP'!$B$4:$Y$1038,8,)</f>
        <v>2274</v>
      </c>
      <c r="J3" s="101">
        <f>VLOOKUP(A3,'BSE ALL CAP'!$B$4:$Y$1038,9,)</f>
        <v>273</v>
      </c>
      <c r="K3" s="101">
        <f>VLOOKUP(A3,'BSE ALL CAP'!$B$4:$Y$1038,10,)</f>
        <v>208</v>
      </c>
      <c r="L3" s="101">
        <f>VLOOKUP(A3,'BSE ALL CAP'!$B$4:$Y$1038,11,)</f>
        <v>1050</v>
      </c>
      <c r="M3" s="101">
        <f>VLOOKUP(A3,'BSE ALL CAP'!$B$4:$Y$1038,12,)</f>
        <v>758</v>
      </c>
      <c r="N3" s="101">
        <f>VLOOKUP(A3,'BSE ALL CAP'!$B$4:$Y$1038,13,)</f>
        <v>100</v>
      </c>
      <c r="O3" s="101">
        <f>VLOOKUP(A3,'BSE ALL CAP'!$B$4:$Y$1038,14,)</f>
        <v>63</v>
      </c>
      <c r="P3" s="95">
        <f>VLOOKUP(A3,'BSE ALL CAP'!$B$4:$Y$1038,15,)</f>
        <v>8.4467821782178223E-2</v>
      </c>
      <c r="Q3" s="95">
        <f>VLOOKUP(A3,'BSE ALL CAP'!$B$4:$Y$1038,16,)</f>
        <v>9.1468777484608618E-2</v>
      </c>
      <c r="R3" s="95">
        <f>VLOOKUP(A3,'BSE ALL CAP'!$B$4:$Y$1038,17,)</f>
        <v>-7.0009557024303948E-3</v>
      </c>
      <c r="S3" s="95">
        <f>VLOOKUP(A3,'BSE ALL CAP'!$B$4:$Y$1038,18,)</f>
        <v>9.5238095238095233E-2</v>
      </c>
      <c r="T3" s="95">
        <f>VLOOKUP(A3,'BSE ALL CAP'!$B$4:$Y$1038,19,)</f>
        <v>8.3113456464379953E-2</v>
      </c>
      <c r="U3" s="95">
        <f>VLOOKUP(A3,'BSE ALL CAP'!$B$4:$Y$1038,20,)</f>
        <v>1.2124638773715279E-2</v>
      </c>
      <c r="V3" s="95">
        <f>VLOOKUP(A3,'BSE ALL CAP'!$B$4:$Y$1038,21,)</f>
        <v>0.42128408091468783</v>
      </c>
      <c r="W3" s="95">
        <f>VLOOKUP(A3,'BSE ALL CAP'!$B$4:$Y$1038,22,)</f>
        <v>0.3125</v>
      </c>
      <c r="X3" s="95">
        <f>VLOOKUP(A3,'BSE ALL CAP'!$B$4:$Y$1038,23,)</f>
        <v>0.38522427440633256</v>
      </c>
      <c r="Y3" s="95">
        <f>VLOOKUP(A3,'BSE ALL CAP'!$B$4:$Y$1038,24,)</f>
        <v>0.58730158730158721</v>
      </c>
    </row>
    <row r="4" spans="1:25" ht="15.75" customHeight="1">
      <c r="A4" s="99">
        <v>526173</v>
      </c>
      <c r="B4" s="98" t="s">
        <v>1657</v>
      </c>
      <c r="C4" s="6"/>
      <c r="D4" s="6"/>
      <c r="E4" s="11">
        <f ca="1">IFERROR(__xludf.DUMMYFUNCTION("GOOGLEFINANCE(""BOM:""&amp;A4,""PRICE"")"),17.59)</f>
        <v>17.59</v>
      </c>
      <c r="F4" s="20">
        <f ca="1">IFERROR(__xludf.DUMMYFUNCTION("GOOGLEFINANCE(""BOM:""&amp;A4,""MARKETCAP"")/10000000"),860.0646405)</f>
        <v>860.0646405</v>
      </c>
      <c r="G4" s="95">
        <f t="shared" ca="1" si="0"/>
        <v>6.9930477697653778E-3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532654</v>
      </c>
      <c r="B5" s="98" t="s">
        <v>1658</v>
      </c>
      <c r="C5" s="6"/>
      <c r="D5" s="6"/>
      <c r="E5" s="11">
        <f ca="1">IFERROR(__xludf.DUMMYFUNCTION("GOOGLEFINANCE(""BOM:""&amp;A5,""PRICE"")"),35.04)</f>
        <v>35.04</v>
      </c>
      <c r="F5" s="20">
        <f ca="1">IFERROR(__xludf.DUMMYFUNCTION("GOOGLEFINANCE(""BOM:""&amp;A5,""MARKETCAP"")/10000000"),365.59495)</f>
        <v>365.59494999999998</v>
      </c>
      <c r="G5" s="95">
        <f t="shared" ca="1" si="0"/>
        <v>2.972593953227385E-3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500166</v>
      </c>
      <c r="B6" s="98" t="s">
        <v>1659</v>
      </c>
      <c r="C6" s="6"/>
      <c r="D6" s="6"/>
      <c r="E6" s="11">
        <f ca="1">IFERROR(__xludf.DUMMYFUNCTION("GOOGLEFINANCE(""BOM:""&amp;A6,""PRICE"")"),152)</f>
        <v>152</v>
      </c>
      <c r="F6" s="20">
        <f ca="1">IFERROR(__xludf.DUMMYFUNCTION("GOOGLEFINANCE(""BOM:""&amp;A6,""MARKETCAP"")/10000000"),328.32)</f>
        <v>328.32</v>
      </c>
      <c r="G6" s="95">
        <f t="shared" ca="1" si="0"/>
        <v>2.6695173079486329E-3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509715</v>
      </c>
      <c r="B7" s="98" t="s">
        <v>1660</v>
      </c>
      <c r="C7" s="6"/>
      <c r="D7" s="6"/>
      <c r="E7" s="11">
        <f ca="1">IFERROR(__xludf.DUMMYFUNCTION("GOOGLEFINANCE(""BOM:""&amp;A7,""PRICE"")"),79.06)</f>
        <v>79.06</v>
      </c>
      <c r="F7" s="20">
        <f ca="1">IFERROR(__xludf.DUMMYFUNCTION("GOOGLEFINANCE(""BOM:""&amp;A7,""MARKETCAP"")/10000000"),227.4390386)</f>
        <v>227.4390386</v>
      </c>
      <c r="G7" s="95">
        <f t="shared" ca="1" si="0"/>
        <v>1.8492703766017826E-3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508670</v>
      </c>
      <c r="B8" s="98" t="s">
        <v>1661</v>
      </c>
      <c r="C8" s="6"/>
      <c r="D8" s="6"/>
      <c r="E8" s="11">
        <f ca="1">IFERROR(__xludf.DUMMYFUNCTION("GOOGLEFINANCE(""BOM:""&amp;A8,""PRICE"")"),3156.7)</f>
        <v>3156.7</v>
      </c>
      <c r="F8" s="20">
        <f ca="1">IFERROR(__xludf.DUMMYFUNCTION("GOOGLEFINANCE(""BOM:""&amp;A8,""MARKETCAP"")/10000000"),196.3663)</f>
        <v>196.3663</v>
      </c>
      <c r="G8" s="95">
        <f t="shared" ca="1" si="0"/>
        <v>1.5966229183352633E-3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532716</v>
      </c>
      <c r="B9" s="98" t="s">
        <v>1662</v>
      </c>
      <c r="C9" s="6"/>
      <c r="D9" s="6"/>
      <c r="E9" s="11">
        <f ca="1">IFERROR(__xludf.DUMMYFUNCTION("GOOGLEFINANCE(""BOM:""&amp;A9,""PRICE"")"),87.43)</f>
        <v>87.43</v>
      </c>
      <c r="F9" s="20">
        <f ca="1">IFERROR(__xludf.DUMMYFUNCTION("GOOGLEFINANCE(""BOM:""&amp;A9,""MARKETCAP"")/10000000"),183.544124)</f>
        <v>183.54412400000001</v>
      </c>
      <c r="G9" s="95">
        <f t="shared" ca="1" si="0"/>
        <v>1.4923678599849846E-3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533168</v>
      </c>
      <c r="B10" s="98" t="s">
        <v>1663</v>
      </c>
      <c r="C10" s="6"/>
      <c r="D10" s="6"/>
      <c r="E10" s="11">
        <f ca="1">IFERROR(__xludf.DUMMYFUNCTION("GOOGLEFINANCE(""BOM:""&amp;A10,""PRICE"")"),47.14)</f>
        <v>47.14</v>
      </c>
      <c r="F10" s="20">
        <f ca="1">IFERROR(__xludf.DUMMYFUNCTION("GOOGLEFINANCE(""BOM:""&amp;A10,""MARKETCAP"")/10000000"),178.1777898)</f>
        <v>178.1777898</v>
      </c>
      <c r="G10" s="95">
        <f t="shared" ca="1" si="0"/>
        <v>1.4487350565397582E-3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538902</v>
      </c>
      <c r="B11" s="98" t="s">
        <v>1664</v>
      </c>
      <c r="C11" s="6"/>
      <c r="D11" s="6"/>
      <c r="E11" s="11">
        <f ca="1">IFERROR(__xludf.DUMMYFUNCTION("GOOGLEFINANCE(""BOM:""&amp;A11,""PRICE"")"),119.95)</f>
        <v>119.95</v>
      </c>
      <c r="F11" s="20">
        <f ca="1">IFERROR(__xludf.DUMMYFUNCTION("GOOGLEFINANCE(""BOM:""&amp;A11,""MARKETCAP"")/10000000"),129.2307563)</f>
        <v>129.2307563</v>
      </c>
      <c r="G11" s="95">
        <f t="shared" ca="1" si="0"/>
        <v>1.0507545707302078E-3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519528</v>
      </c>
      <c r="B12" s="98" t="s">
        <v>1665</v>
      </c>
      <c r="C12" s="6"/>
      <c r="D12" s="6"/>
      <c r="E12" s="11">
        <f ca="1">IFERROR(__xludf.DUMMYFUNCTION("GOOGLEFINANCE(""BOM:""&amp;A12,""PRICE"")"),88.25)</f>
        <v>88.25</v>
      </c>
      <c r="F12" s="20">
        <f ca="1">IFERROR(__xludf.DUMMYFUNCTION("GOOGLEFINANCE(""BOM:""&amp;A12,""MARKETCAP"")/10000000"),141.2647765)</f>
        <v>141.26477650000001</v>
      </c>
      <c r="G12" s="95">
        <f t="shared" ca="1" si="0"/>
        <v>1.1486012605697044E-3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532230</v>
      </c>
      <c r="B13" s="98" t="s">
        <v>1666</v>
      </c>
      <c r="C13" s="6"/>
      <c r="D13" s="6"/>
      <c r="E13" s="11">
        <f ca="1">IFERROR(__xludf.DUMMYFUNCTION("GOOGLEFINANCE(""BOM:""&amp;A13,""PRICE"")"),148)</f>
        <v>148</v>
      </c>
      <c r="F13" s="20">
        <f ca="1">IFERROR(__xludf.DUMMYFUNCTION("GOOGLEFINANCE(""BOM:""&amp;A13,""MARKETCAP"")/10000000"),133.2885928)</f>
        <v>133.2885928</v>
      </c>
      <c r="G13" s="95">
        <f t="shared" ca="1" si="0"/>
        <v>1.0837481890585939E-3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540647</v>
      </c>
      <c r="B14" s="98" t="s">
        <v>1667</v>
      </c>
      <c r="C14" s="6"/>
      <c r="D14" s="6"/>
      <c r="E14" s="11">
        <f ca="1">IFERROR(__xludf.DUMMYFUNCTION("GOOGLEFINANCE(""BOM:""&amp;A14,""PRICE"")"),111.1)</f>
        <v>111.1</v>
      </c>
      <c r="F14" s="20">
        <f ca="1">IFERROR(__xludf.DUMMYFUNCTION("GOOGLEFINANCE(""BOM:""&amp;A14,""MARKETCAP"")/10000000"),113.0916054)</f>
        <v>113.09160540000001</v>
      </c>
      <c r="G14" s="95">
        <f t="shared" ca="1" si="0"/>
        <v>9.1952972100084397E-4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508136</v>
      </c>
      <c r="B15" s="98" t="s">
        <v>1668</v>
      </c>
      <c r="C15" s="6"/>
      <c r="D15" s="6"/>
      <c r="E15" s="11">
        <f ca="1">IFERROR(__xludf.DUMMYFUNCTION("GOOGLEFINANCE(""BOM:""&amp;A15,""PRICE"")"),370)</f>
        <v>370</v>
      </c>
      <c r="F15" s="20">
        <f ca="1">IFERROR(__xludf.DUMMYFUNCTION("GOOGLEFINANCE(""BOM:""&amp;A15,""MARKETCAP"")/10000000"),114.7)</f>
        <v>114.7</v>
      </c>
      <c r="G15" s="95">
        <f t="shared" ca="1" si="0"/>
        <v>9.3260731975422821E-4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538564</v>
      </c>
      <c r="B16" s="98" t="s">
        <v>1669</v>
      </c>
      <c r="C16" s="6"/>
      <c r="D16" s="6"/>
      <c r="E16" s="11">
        <f ca="1">IFERROR(__xludf.DUMMYFUNCTION("GOOGLEFINANCE(""BOM:""&amp;A16,""PRICE"")"),287.9)</f>
        <v>287.89999999999998</v>
      </c>
      <c r="F16" s="20">
        <f ca="1">IFERROR(__xludf.DUMMYFUNCTION("GOOGLEFINANCE(""BOM:""&amp;A16,""MARKETCAP"")/10000000"),106.5229977)</f>
        <v>106.5229977</v>
      </c>
      <c r="G16" s="95">
        <f t="shared" ca="1" si="0"/>
        <v>8.66121424386947E-4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538092</v>
      </c>
      <c r="B17" s="98" t="s">
        <v>1670</v>
      </c>
      <c r="C17" s="6"/>
      <c r="D17" s="6"/>
      <c r="E17" s="11">
        <f ca="1">IFERROR(__xludf.DUMMYFUNCTION("GOOGLEFINANCE(""BOM:""&amp;A17,""PRICE"")"),97.45)</f>
        <v>97.45</v>
      </c>
      <c r="F17" s="20">
        <f ca="1">IFERROR(__xludf.DUMMYFUNCTION("GOOGLEFINANCE(""BOM:""&amp;A17,""MARKETCAP"")/10000000"),78.2876)</f>
        <v>78.287599999999998</v>
      </c>
      <c r="G17" s="95">
        <f t="shared" ca="1" si="0"/>
        <v>6.3654393030506643E-4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530533</v>
      </c>
      <c r="B18" s="98" t="s">
        <v>1671</v>
      </c>
      <c r="C18" s="6"/>
      <c r="D18" s="6"/>
      <c r="E18" s="11">
        <f ca="1">IFERROR(__xludf.DUMMYFUNCTION("GOOGLEFINANCE(""BOM:""&amp;A18,""PRICE"")"),99)</f>
        <v>99</v>
      </c>
      <c r="F18" s="20">
        <f ca="1">IFERROR(__xludf.DUMMYFUNCTION("GOOGLEFINANCE(""BOM:""&amp;A18,""MARKETCAP"")/10000000"),68.1050601)</f>
        <v>68.105060100000003</v>
      </c>
      <c r="G18" s="95">
        <f t="shared" ca="1" si="0"/>
        <v>5.5375133009208052E-4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508494</v>
      </c>
      <c r="B19" s="98" t="s">
        <v>1672</v>
      </c>
      <c r="C19" s="6"/>
      <c r="D19" s="6"/>
      <c r="E19" s="11">
        <f ca="1">IFERROR(__xludf.DUMMYFUNCTION("GOOGLEFINANCE(""BOM:""&amp;A19,""PRICE"")"),38.98)</f>
        <v>38.979999999999997</v>
      </c>
      <c r="F19" s="20">
        <f ca="1">IFERROR(__xludf.DUMMYFUNCTION("GOOGLEFINANCE(""BOM:""&amp;A19,""MARKETCAP"")/10000000"),46.5842178)</f>
        <v>46.584217799999998</v>
      </c>
      <c r="G19" s="95">
        <f t="shared" ca="1" si="0"/>
        <v>3.7876880998522411E-4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530959</v>
      </c>
      <c r="B20" s="98" t="s">
        <v>1673</v>
      </c>
      <c r="C20" s="6"/>
      <c r="D20" s="6"/>
      <c r="E20" s="11">
        <f ca="1">IFERROR(__xludf.DUMMYFUNCTION("GOOGLEFINANCE(""BOM:""&amp;A20,""PRICE"")"),25.79)</f>
        <v>25.79</v>
      </c>
      <c r="F20" s="20">
        <f ca="1">IFERROR(__xludf.DUMMYFUNCTION("GOOGLEFINANCE(""BOM:""&amp;A20,""MARKETCAP"")/10000000"),38.6617903)</f>
        <v>38.6617903</v>
      </c>
      <c r="G20" s="95">
        <f t="shared" ca="1" si="0"/>
        <v>3.1435282152208387E-4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541005</v>
      </c>
      <c r="B21" s="98" t="s">
        <v>1674</v>
      </c>
      <c r="C21" s="6"/>
      <c r="D21" s="6"/>
      <c r="E21" s="11">
        <f ca="1">IFERROR(__xludf.DUMMYFUNCTION("GOOGLEFINANCE(""BOM:""&amp;A21,""PRICE"")"),61.5)</f>
        <v>61.5</v>
      </c>
      <c r="F21" s="20">
        <f ca="1">IFERROR(__xludf.DUMMYFUNCTION("GOOGLEFINANCE(""BOM:""&amp;A21,""MARKETCAP"")/10000000"),31.5053799)</f>
        <v>31.505379900000001</v>
      </c>
      <c r="G21" s="95">
        <f t="shared" ca="1" si="0"/>
        <v>2.5616519534766988E-4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526945</v>
      </c>
      <c r="B22" s="98" t="s">
        <v>1675</v>
      </c>
      <c r="C22" s="6"/>
      <c r="D22" s="6"/>
      <c r="E22" s="11">
        <f ca="1">IFERROR(__xludf.DUMMYFUNCTION("GOOGLEFINANCE(""BOM:""&amp;A22,""PRICE"")"),84.05)</f>
        <v>84.05</v>
      </c>
      <c r="F22" s="20">
        <f ca="1">IFERROR(__xludf.DUMMYFUNCTION("GOOGLEFINANCE(""BOM:""&amp;A22,""MARKETCAP"")/10000000"),28.5946431)</f>
        <v>28.594643099999999</v>
      </c>
      <c r="G22" s="95">
        <f t="shared" ca="1" si="0"/>
        <v>2.3249846086154956E-4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543769</v>
      </c>
      <c r="B23" s="98" t="s">
        <v>1676</v>
      </c>
      <c r="C23" s="6"/>
      <c r="D23" s="6"/>
      <c r="E23" s="11">
        <f ca="1">IFERROR(__xludf.DUMMYFUNCTION("GOOGLEFINANCE(""BOM:""&amp;A23,""PRICE"")"),7.13)</f>
        <v>7.13</v>
      </c>
      <c r="F23" s="20">
        <f ca="1">IFERROR(__xludf.DUMMYFUNCTION("GOOGLEFINANCE(""BOM:""&amp;A23,""MARKETCAP"")/10000000"),14.76)</f>
        <v>14.76</v>
      </c>
      <c r="G23" s="95">
        <f t="shared" ca="1" si="0"/>
        <v>1.2001119476523459E-4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542938</v>
      </c>
      <c r="B24" s="98" t="s">
        <v>1677</v>
      </c>
      <c r="C24" s="6"/>
      <c r="D24" s="6"/>
      <c r="E24" s="11">
        <f ca="1">IFERROR(__xludf.DUMMYFUNCTION("GOOGLEFINANCE(""BOM:""&amp;A24,""PRICE"")"),38.1)</f>
        <v>38.1</v>
      </c>
      <c r="F24" s="20">
        <f ca="1">IFERROR(__xludf.DUMMYFUNCTION("GOOGLEFINANCE(""BOM:""&amp;A24,""MARKETCAP"")/10000000"),11.4299995)</f>
        <v>11.429999499999999</v>
      </c>
      <c r="G24" s="95">
        <f t="shared" ca="1" si="0"/>
        <v>9.2935494319853243E-5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519353</v>
      </c>
      <c r="B25" s="98" t="s">
        <v>1678</v>
      </c>
      <c r="C25" s="6"/>
      <c r="D25" s="6"/>
      <c r="E25" s="11">
        <f ca="1">IFERROR(__xludf.DUMMYFUNCTION("GOOGLEFINANCE(""BOM:""&amp;A25,""PRICE"")"),14.97)</f>
        <v>14.97</v>
      </c>
      <c r="F25" s="20">
        <f ca="1">IFERROR(__xludf.DUMMYFUNCTION("GOOGLEFINANCE(""BOM:""&amp;A25,""MARKETCAP"")/10000000"),9.47601)</f>
        <v>9.4760100000000005</v>
      </c>
      <c r="G25" s="95">
        <f t="shared" ca="1" si="0"/>
        <v>7.7047918814858449E-5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519191</v>
      </c>
      <c r="B26" s="98" t="s">
        <v>1679</v>
      </c>
      <c r="C26" s="6"/>
      <c r="D26" s="6"/>
      <c r="E26" s="11">
        <f ca="1">IFERROR(__xludf.DUMMYFUNCTION("GOOGLEFINANCE(""BOM:""&amp;A26,""PRICE"")"),1.08)</f>
        <v>1.08</v>
      </c>
      <c r="F26" s="20">
        <f ca="1">IFERROR(__xludf.DUMMYFUNCTION("GOOGLEFINANCE(""BOM:""&amp;A26,""MARKETCAP"")/10000000"),4.1037841)</f>
        <v>4.1037841000000004</v>
      </c>
      <c r="G26" s="95">
        <f t="shared" ca="1" si="0"/>
        <v>3.3367210901055084E-5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3.2">
      <c r="A27" s="101"/>
      <c r="B27" s="101"/>
      <c r="C27" s="101"/>
      <c r="D27" s="101"/>
      <c r="E27" s="101"/>
      <c r="F27" s="101"/>
      <c r="G27" s="95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3.2">
      <c r="A28" s="101"/>
      <c r="B28" s="101"/>
      <c r="C28" s="101"/>
      <c r="D28" s="101"/>
      <c r="E28" s="101"/>
      <c r="F28" s="112">
        <f ca="1">SUM(F2:F26)</f>
        <v>122988.526436</v>
      </c>
      <c r="G28" s="95">
        <f ca="1">F28/$F$28</f>
        <v>1</v>
      </c>
      <c r="H28" s="101">
        <f t="shared" ref="H28:O28" si="1">SUM(H2:H26)</f>
        <v>18088</v>
      </c>
      <c r="I28" s="101">
        <f t="shared" si="1"/>
        <v>15284</v>
      </c>
      <c r="J28" s="101">
        <f t="shared" si="1"/>
        <v>1419</v>
      </c>
      <c r="K28" s="101">
        <f t="shared" si="1"/>
        <v>1181</v>
      </c>
      <c r="L28" s="101">
        <f t="shared" si="1"/>
        <v>6162</v>
      </c>
      <c r="M28" s="101">
        <f t="shared" si="1"/>
        <v>5201</v>
      </c>
      <c r="N28" s="101">
        <f t="shared" si="1"/>
        <v>503</v>
      </c>
      <c r="O28" s="101">
        <f t="shared" si="1"/>
        <v>363</v>
      </c>
      <c r="P28" s="95">
        <f t="shared" ref="P28:Q28" si="2">J28/H28</f>
        <v>7.8449800973020789E-2</v>
      </c>
      <c r="Q28" s="95">
        <f t="shared" si="2"/>
        <v>7.727034807641979E-2</v>
      </c>
      <c r="R28" s="95">
        <f>P28-Q28</f>
        <v>1.1794528966009993E-3</v>
      </c>
      <c r="S28" s="95">
        <f t="shared" ref="S28:T28" si="3">N28/L28</f>
        <v>8.1629341123012011E-2</v>
      </c>
      <c r="T28" s="95">
        <f t="shared" si="3"/>
        <v>6.9794270332628347E-2</v>
      </c>
      <c r="U28" s="95">
        <f>S28-T28</f>
        <v>1.1835070790383664E-2</v>
      </c>
      <c r="V28" s="95">
        <f>(H28/I28)-1</f>
        <v>0.18345982727034804</v>
      </c>
      <c r="W28" s="95">
        <f>(J28/K28)-1</f>
        <v>0.20152413209144782</v>
      </c>
      <c r="X28" s="95">
        <f>(L28/M28)-1</f>
        <v>0.18477215920015388</v>
      </c>
      <c r="Y28" s="95">
        <f>(N28/O28)-1</f>
        <v>0.38567493112947648</v>
      </c>
    </row>
    <row r="29" spans="1:25" ht="13.2">
      <c r="G29" s="50"/>
    </row>
    <row r="30" spans="1:25" ht="13.2">
      <c r="G30" s="50"/>
    </row>
    <row r="31" spans="1:25" ht="13.2">
      <c r="G31" s="50"/>
    </row>
    <row r="32" spans="1:25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26" xr:uid="{00000000-0009-0000-0000-000020000000}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500038</v>
      </c>
      <c r="B2" s="98" t="s">
        <v>1680</v>
      </c>
      <c r="C2" s="6" t="str">
        <f>VLOOKUP(A2,'BSE ALL CAP'!$B$4:$Y$1038,2,)</f>
        <v>Fast Moving Consumer Goods</v>
      </c>
      <c r="D2" s="6" t="str">
        <f>VLOOKUP(A2,'BSE ALL CAP'!$B$4:$Y$1038,3,)</f>
        <v>Sugar</v>
      </c>
      <c r="E2" s="11">
        <f ca="1">IFERROR(__xludf.DUMMYFUNCTION("GOOGLEFINANCE(""BOM:""&amp;A2,""PRICE"")"),485)</f>
        <v>485</v>
      </c>
      <c r="F2" s="20">
        <f ca="1">IFERROR(__xludf.DUMMYFUNCTION("GOOGLEFINANCE(""BOM:""&amp;A2,""MARKETCAP"")/10000000"),9793.5848945)</f>
        <v>9793.5848944999998</v>
      </c>
      <c r="G2" s="95">
        <f t="shared" ref="G2:G36" ca="1" si="0">F2/$F$38</f>
        <v>0.21434479389712668</v>
      </c>
      <c r="H2" s="101">
        <f>VLOOKUP(A2,'BSE ALL CAP'!$B$4:$Y$1038,7,)</f>
        <v>4667</v>
      </c>
      <c r="I2" s="101">
        <f>VLOOKUP(A2,'BSE ALL CAP'!$B$4:$Y$1038,8,)</f>
        <v>3911</v>
      </c>
      <c r="J2" s="101">
        <f>VLOOKUP(A2,'BSE ALL CAP'!$B$4:$Y$1038,9,)</f>
        <v>218</v>
      </c>
      <c r="K2" s="101">
        <f>VLOOKUP(A2,'BSE ALL CAP'!$B$4:$Y$1038,10,)</f>
        <v>207</v>
      </c>
      <c r="L2" s="101">
        <f>VLOOKUP(A2,'BSE ALL CAP'!$B$4:$Y$1038,11,)</f>
        <v>1454</v>
      </c>
      <c r="M2" s="101">
        <f>VLOOKUP(A2,'BSE ALL CAP'!$B$4:$Y$1038,12,)</f>
        <v>1192</v>
      </c>
      <c r="N2" s="101">
        <f>VLOOKUP(A2,'BSE ALL CAP'!$B$4:$Y$1038,13,)</f>
        <v>113</v>
      </c>
      <c r="O2" s="101">
        <f>VLOOKUP(A2,'BSE ALL CAP'!$B$4:$Y$1038,14,)</f>
        <v>70</v>
      </c>
      <c r="P2" s="95">
        <f>VLOOKUP(A2,'BSE ALL CAP'!$B$4:$Y$1038,15,)</f>
        <v>4.6710949217913009E-2</v>
      </c>
      <c r="Q2" s="95">
        <f>VLOOKUP(A2,'BSE ALL CAP'!$B$4:$Y$1038,16,)</f>
        <v>5.2927639989772436E-2</v>
      </c>
      <c r="R2" s="95">
        <f>VLOOKUP(A2,'BSE ALL CAP'!$B$4:$Y$1038,17,)</f>
        <v>-6.2166907718594275E-3</v>
      </c>
      <c r="S2" s="95">
        <f>VLOOKUP(A2,'BSE ALL CAP'!$B$4:$Y$1038,18,)</f>
        <v>7.7716643741403024E-2</v>
      </c>
      <c r="T2" s="95">
        <f>VLOOKUP(A2,'BSE ALL CAP'!$B$4:$Y$1038,19,)</f>
        <v>5.8724832214765099E-2</v>
      </c>
      <c r="U2" s="95">
        <f>VLOOKUP(A2,'BSE ALL CAP'!$B$4:$Y$1038,20,)</f>
        <v>1.8991811526637925E-2</v>
      </c>
      <c r="V2" s="95">
        <f>VLOOKUP(A2,'BSE ALL CAP'!$B$4:$Y$1038,21,)</f>
        <v>0.19330094604960357</v>
      </c>
      <c r="W2" s="95">
        <f>VLOOKUP(A2,'BSE ALL CAP'!$B$4:$Y$1038,22,)</f>
        <v>5.3140096618357502E-2</v>
      </c>
      <c r="X2" s="95">
        <f>VLOOKUP(A2,'BSE ALL CAP'!$B$4:$Y$1038,23,)</f>
        <v>0.21979865771812079</v>
      </c>
      <c r="Y2" s="95">
        <f>VLOOKUP(A2,'BSE ALL CAP'!$B$4:$Y$1038,24,)</f>
        <v>0.61428571428571432</v>
      </c>
    </row>
    <row r="3" spans="1:25" ht="15.75" customHeight="1">
      <c r="A3" s="99">
        <v>532356</v>
      </c>
      <c r="B3" s="98" t="s">
        <v>1681</v>
      </c>
      <c r="C3" s="6" t="str">
        <f>VLOOKUP(A3,'BSE ALL CAP'!$B$4:$Y$1038,2,)</f>
        <v>Fast Moving Consumer Goods</v>
      </c>
      <c r="D3" s="6" t="str">
        <f>VLOOKUP(A3,'BSE ALL CAP'!$B$4:$Y$1038,3,)</f>
        <v>Sugar</v>
      </c>
      <c r="E3" s="11">
        <f ca="1">IFERROR(__xludf.DUMMYFUNCTION("GOOGLEFINANCE(""BOM:""&amp;A3,""PRICE"")"),389.85)</f>
        <v>389.85</v>
      </c>
      <c r="F3" s="20">
        <f ca="1">IFERROR(__xludf.DUMMYFUNCTION("GOOGLEFINANCE(""BOM:""&amp;A3,""MARKETCAP"")/10000000"),8537.0181)</f>
        <v>8537.0180999999993</v>
      </c>
      <c r="G3" s="95">
        <f t="shared" ca="1" si="0"/>
        <v>0.1868432657553393</v>
      </c>
      <c r="H3" s="101">
        <f>VLOOKUP(A3,'BSE ALL CAP'!$B$4:$Y$1038,7,)</f>
        <v>5787</v>
      </c>
      <c r="I3" s="101">
        <f>VLOOKUP(A3,'BSE ALL CAP'!$B$4:$Y$1038,8,)</f>
        <v>4883</v>
      </c>
      <c r="J3" s="101">
        <f>VLOOKUP(A3,'BSE ALL CAP'!$B$4:$Y$1038,9,)</f>
        <v>101</v>
      </c>
      <c r="K3" s="101">
        <f>VLOOKUP(A3,'BSE ALL CAP'!$B$4:$Y$1038,10,)</f>
        <v>51</v>
      </c>
      <c r="L3" s="101">
        <f>VLOOKUP(A3,'BSE ALL CAP'!$B$4:$Y$1038,11,)</f>
        <v>1818</v>
      </c>
      <c r="M3" s="101">
        <f>VLOOKUP(A3,'BSE ALL CAP'!$B$4:$Y$1038,12,)</f>
        <v>1600</v>
      </c>
      <c r="N3" s="101">
        <f>VLOOKUP(A3,'BSE ALL CAP'!$B$4:$Y$1038,13,)</f>
        <v>78</v>
      </c>
      <c r="O3" s="101">
        <f>VLOOKUP(A3,'BSE ALL CAP'!$B$4:$Y$1038,14,)</f>
        <v>43</v>
      </c>
      <c r="P3" s="95">
        <f>VLOOKUP(A3,'BSE ALL CAP'!$B$4:$Y$1038,15,)</f>
        <v>1.745291169863487E-2</v>
      </c>
      <c r="Q3" s="95">
        <f>VLOOKUP(A3,'BSE ALL CAP'!$B$4:$Y$1038,16,)</f>
        <v>1.0444398935080893E-2</v>
      </c>
      <c r="R3" s="95">
        <f>VLOOKUP(A3,'BSE ALL CAP'!$B$4:$Y$1038,17,)</f>
        <v>7.0085127635539767E-3</v>
      </c>
      <c r="S3" s="95">
        <f>VLOOKUP(A3,'BSE ALL CAP'!$B$4:$Y$1038,18,)</f>
        <v>4.2904290429042903E-2</v>
      </c>
      <c r="T3" s="95">
        <f>VLOOKUP(A3,'BSE ALL CAP'!$B$4:$Y$1038,19,)</f>
        <v>2.6875E-2</v>
      </c>
      <c r="U3" s="95">
        <f>VLOOKUP(A3,'BSE ALL CAP'!$B$4:$Y$1038,20,)</f>
        <v>1.6029290429042903E-2</v>
      </c>
      <c r="V3" s="95">
        <f>VLOOKUP(A3,'BSE ALL CAP'!$B$4:$Y$1038,21,)</f>
        <v>0.18513209092770833</v>
      </c>
      <c r="W3" s="95">
        <f>VLOOKUP(A3,'BSE ALL CAP'!$B$4:$Y$1038,22,)</f>
        <v>0.98039215686274517</v>
      </c>
      <c r="X3" s="95">
        <f>VLOOKUP(A3,'BSE ALL CAP'!$B$4:$Y$1038,23,)</f>
        <v>0.13624999999999998</v>
      </c>
      <c r="Y3" s="95">
        <f>VLOOKUP(A3,'BSE ALL CAP'!$B$4:$Y$1038,24,)</f>
        <v>0.81395348837209291</v>
      </c>
    </row>
    <row r="4" spans="1:25" ht="15.75" customHeight="1">
      <c r="A4" s="99">
        <v>532670</v>
      </c>
      <c r="B4" s="98" t="s">
        <v>1682</v>
      </c>
      <c r="C4" s="6" t="str">
        <f>VLOOKUP(A4,'BSE ALL CAP'!$B$4:$Y$1038,2,)</f>
        <v>Fast Moving Consumer Goods</v>
      </c>
      <c r="D4" s="6" t="str">
        <f>VLOOKUP(A4,'BSE ALL CAP'!$B$4:$Y$1038,3,)</f>
        <v>Sugar</v>
      </c>
      <c r="E4" s="11">
        <f ca="1">IFERROR(__xludf.DUMMYFUNCTION("GOOGLEFINANCE(""BOM:""&amp;A4,""PRICE"")"),28.38)</f>
        <v>28.38</v>
      </c>
      <c r="F4" s="20">
        <f ca="1">IFERROR(__xludf.DUMMYFUNCTION("GOOGLEFINANCE(""BOM:""&amp;A4,""MARKETCAP"")/10000000"),6040.6516033)</f>
        <v>6040.6516032999998</v>
      </c>
      <c r="G4" s="95">
        <f t="shared" ca="1" si="0"/>
        <v>0.13220717815402058</v>
      </c>
      <c r="H4" s="101">
        <f>VLOOKUP(A4,'BSE ALL CAP'!$B$4:$Y$1038,7,)</f>
        <v>6780</v>
      </c>
      <c r="I4" s="101">
        <f>VLOOKUP(A4,'BSE ALL CAP'!$B$4:$Y$1038,8,)</f>
        <v>8288</v>
      </c>
      <c r="J4" s="101">
        <f>VLOOKUP(A4,'BSE ALL CAP'!$B$4:$Y$1038,9,)</f>
        <v>-670</v>
      </c>
      <c r="K4" s="101">
        <f>VLOOKUP(A4,'BSE ALL CAP'!$B$4:$Y$1038,10,)</f>
        <v>-393</v>
      </c>
      <c r="L4" s="101">
        <f>VLOOKUP(A4,'BSE ALL CAP'!$B$4:$Y$1038,11,)</f>
        <v>2300</v>
      </c>
      <c r="M4" s="101">
        <f>VLOOKUP(A4,'BSE ALL CAP'!$B$4:$Y$1038,12,)</f>
        <v>2635</v>
      </c>
      <c r="N4" s="101">
        <f>VLOOKUP(A4,'BSE ALL CAP'!$B$4:$Y$1038,13,)</f>
        <v>-38</v>
      </c>
      <c r="O4" s="101">
        <f>VLOOKUP(A4,'BSE ALL CAP'!$B$4:$Y$1038,14,)</f>
        <v>-203</v>
      </c>
      <c r="P4" s="95">
        <f>VLOOKUP(A4,'BSE ALL CAP'!$B$4:$Y$1038,15,)</f>
        <v>-9.8820058997050153E-2</v>
      </c>
      <c r="Q4" s="95">
        <f>VLOOKUP(A4,'BSE ALL CAP'!$B$4:$Y$1038,16,)</f>
        <v>-4.741795366795367E-2</v>
      </c>
      <c r="R4" s="95">
        <f>VLOOKUP(A4,'BSE ALL CAP'!$B$4:$Y$1038,17,)</f>
        <v>-5.1402105329096483E-2</v>
      </c>
      <c r="S4" s="95">
        <f>VLOOKUP(A4,'BSE ALL CAP'!$B$4:$Y$1038,18,)</f>
        <v>-1.6521739130434782E-2</v>
      </c>
      <c r="T4" s="95">
        <f>VLOOKUP(A4,'BSE ALL CAP'!$B$4:$Y$1038,19,)</f>
        <v>-7.7039848197343455E-2</v>
      </c>
      <c r="U4" s="95">
        <f>VLOOKUP(A4,'BSE ALL CAP'!$B$4:$Y$1038,20,)</f>
        <v>6.0518109066908674E-2</v>
      </c>
      <c r="V4" s="95">
        <f>VLOOKUP(A4,'BSE ALL CAP'!$B$4:$Y$1038,21,)</f>
        <v>-0.181949806949807</v>
      </c>
      <c r="W4" s="95">
        <f>VLOOKUP(A4,'BSE ALL CAP'!$B$4:$Y$1038,22,)</f>
        <v>0.7048346055979644</v>
      </c>
      <c r="X4" s="95">
        <f>VLOOKUP(A4,'BSE ALL CAP'!$B$4:$Y$1038,23,)</f>
        <v>-0.12713472485768496</v>
      </c>
      <c r="Y4" s="95">
        <f>VLOOKUP(A4,'BSE ALL CAP'!$B$4:$Y$1038,24,)</f>
        <v>-0.81280788177339902</v>
      </c>
    </row>
    <row r="5" spans="1:25" ht="15.75" customHeight="1">
      <c r="A5" s="99">
        <v>500041</v>
      </c>
      <c r="B5" s="98" t="s">
        <v>1683</v>
      </c>
      <c r="C5" s="6" t="str">
        <f>VLOOKUP(A5,'BSE ALL CAP'!$B$4:$Y$1038,2,)</f>
        <v>Fast Moving Consumer Goods</v>
      </c>
      <c r="D5" s="6" t="str">
        <f>VLOOKUP(A5,'BSE ALL CAP'!$B$4:$Y$1038,3,)</f>
        <v>Sugar</v>
      </c>
      <c r="E5" s="11">
        <f ca="1">IFERROR(__xludf.DUMMYFUNCTION("GOOGLEFINANCE(""BOM:""&amp;A5,""PRICE"")"),3670)</f>
        <v>3670</v>
      </c>
      <c r="F5" s="20">
        <f ca="1">IFERROR(__xludf.DUMMYFUNCTION("GOOGLEFINANCE(""BOM:""&amp;A5,""MARKETCAP"")/10000000"),4575.9836135)</f>
        <v>4575.9836134999996</v>
      </c>
      <c r="G5" s="95">
        <f t="shared" ca="1" si="0"/>
        <v>0.10015109636340801</v>
      </c>
      <c r="H5" s="101">
        <f>VLOOKUP(A5,'BSE ALL CAP'!$B$4:$Y$1038,7,)</f>
        <v>1634</v>
      </c>
      <c r="I5" s="101">
        <f>VLOOKUP(A5,'BSE ALL CAP'!$B$4:$Y$1038,8,)</f>
        <v>1299</v>
      </c>
      <c r="J5" s="101">
        <f>VLOOKUP(A5,'BSE ALL CAP'!$B$4:$Y$1038,9,)</f>
        <v>106</v>
      </c>
      <c r="K5" s="101">
        <f>VLOOKUP(A5,'BSE ALL CAP'!$B$4:$Y$1038,10,)</f>
        <v>69</v>
      </c>
      <c r="L5" s="101">
        <f>VLOOKUP(A5,'BSE ALL CAP'!$B$4:$Y$1038,11,)</f>
        <v>644</v>
      </c>
      <c r="M5" s="101">
        <f>VLOOKUP(A5,'BSE ALL CAP'!$B$4:$Y$1038,12,)</f>
        <v>421</v>
      </c>
      <c r="N5" s="101">
        <f>VLOOKUP(A5,'BSE ALL CAP'!$B$4:$Y$1038,13,)</f>
        <v>48</v>
      </c>
      <c r="O5" s="101">
        <f>VLOOKUP(A5,'BSE ALL CAP'!$B$4:$Y$1038,14,)</f>
        <v>28</v>
      </c>
      <c r="P5" s="95">
        <f>VLOOKUP(A5,'BSE ALL CAP'!$B$4:$Y$1038,15,)</f>
        <v>6.4871481028151781E-2</v>
      </c>
      <c r="Q5" s="95">
        <f>VLOOKUP(A5,'BSE ALL CAP'!$B$4:$Y$1038,16,)</f>
        <v>5.3117782909930716E-2</v>
      </c>
      <c r="R5" s="95">
        <f>VLOOKUP(A5,'BSE ALL CAP'!$B$4:$Y$1038,17,)</f>
        <v>1.1753698118221065E-2</v>
      </c>
      <c r="S5" s="95">
        <f>VLOOKUP(A5,'BSE ALL CAP'!$B$4:$Y$1038,18,)</f>
        <v>7.4534161490683232E-2</v>
      </c>
      <c r="T5" s="95">
        <f>VLOOKUP(A5,'BSE ALL CAP'!$B$4:$Y$1038,19,)</f>
        <v>6.6508313539192399E-2</v>
      </c>
      <c r="U5" s="95">
        <f>VLOOKUP(A5,'BSE ALL CAP'!$B$4:$Y$1038,20,)</f>
        <v>8.0258479514908332E-3</v>
      </c>
      <c r="V5" s="95">
        <f>VLOOKUP(A5,'BSE ALL CAP'!$B$4:$Y$1038,21,)</f>
        <v>0.2578906851424172</v>
      </c>
      <c r="W5" s="95">
        <f>VLOOKUP(A5,'BSE ALL CAP'!$B$4:$Y$1038,22,)</f>
        <v>0.53623188405797095</v>
      </c>
      <c r="X5" s="95">
        <f>VLOOKUP(A5,'BSE ALL CAP'!$B$4:$Y$1038,23,)</f>
        <v>0.52969121140142517</v>
      </c>
      <c r="Y5" s="95">
        <f>VLOOKUP(A5,'BSE ALL CAP'!$B$4:$Y$1038,24,)</f>
        <v>0.71428571428571419</v>
      </c>
    </row>
    <row r="6" spans="1:25" ht="15.75" customHeight="1">
      <c r="A6" s="99">
        <v>500097</v>
      </c>
      <c r="B6" s="98" t="s">
        <v>1684</v>
      </c>
      <c r="C6" s="6" t="e">
        <f>VLOOKUP(A6,'BSE ALL CAP'!$B$4:$Y$1038,2,)</f>
        <v>#N/A</v>
      </c>
      <c r="D6" s="6" t="e">
        <f>VLOOKUP(A6,'BSE ALL CAP'!$B$4:$Y$1038,3,)</f>
        <v>#N/A</v>
      </c>
      <c r="E6" s="11">
        <f ca="1">IFERROR(__xludf.DUMMYFUNCTION("GOOGLEFINANCE(""BOM:""&amp;A6,""PRICE"")"),380.55)</f>
        <v>380.55</v>
      </c>
      <c r="F6" s="20">
        <f ca="1">IFERROR(__xludf.DUMMYFUNCTION("GOOGLEFINANCE(""BOM:""&amp;A6,""MARKETCAP"")/10000000"),3081.3596305)</f>
        <v>3081.3596305000001</v>
      </c>
      <c r="G6" s="95">
        <f t="shared" ca="1" si="0"/>
        <v>6.7439390380264697E-2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500032</v>
      </c>
      <c r="B7" s="98" t="s">
        <v>1685</v>
      </c>
      <c r="C7" s="6" t="str">
        <f>VLOOKUP(A7,'BSE ALL CAP'!$B$4:$Y$1038,2,)</f>
        <v>Fast Moving Consumer Goods</v>
      </c>
      <c r="D7" s="6" t="str">
        <f>VLOOKUP(A7,'BSE ALL CAP'!$B$4:$Y$1038,3,)</f>
        <v>Sugar</v>
      </c>
      <c r="E7" s="11">
        <f ca="1">IFERROR(__xludf.DUMMYFUNCTION("GOOGLEFINANCE(""BOM:""&amp;A7,""PRICE"")"),17.28)</f>
        <v>17.28</v>
      </c>
      <c r="F7" s="20">
        <f ca="1">IFERROR(__xludf.DUMMYFUNCTION("GOOGLEFINANCE(""BOM:""&amp;A7,""MARKETCAP"")/10000000"),4130.3823837)</f>
        <v>4130.3823837</v>
      </c>
      <c r="G7" s="95">
        <f t="shared" ca="1" si="0"/>
        <v>9.0398558881915794E-2</v>
      </c>
      <c r="H7" s="101">
        <f>VLOOKUP(A7,'BSE ALL CAP'!$B$4:$Y$1038,7,)</f>
        <v>3786</v>
      </c>
      <c r="I7" s="101">
        <f>VLOOKUP(A7,'BSE ALL CAP'!$B$4:$Y$1038,8,)</f>
        <v>4021</v>
      </c>
      <c r="J7" s="101">
        <f>VLOOKUP(A7,'BSE ALL CAP'!$B$4:$Y$1038,9,)</f>
        <v>-264</v>
      </c>
      <c r="K7" s="101">
        <f>VLOOKUP(A7,'BSE ALL CAP'!$B$4:$Y$1038,10,)</f>
        <v>-233</v>
      </c>
      <c r="L7" s="101">
        <f>VLOOKUP(A7,'BSE ALL CAP'!$B$4:$Y$1038,11,)</f>
        <v>1380</v>
      </c>
      <c r="M7" s="101">
        <f>VLOOKUP(A7,'BSE ALL CAP'!$B$4:$Y$1038,12,)</f>
        <v>1476</v>
      </c>
      <c r="N7" s="101">
        <f>VLOOKUP(A7,'BSE ALL CAP'!$B$4:$Y$1038,13,)</f>
        <v>15</v>
      </c>
      <c r="O7" s="101">
        <f>VLOOKUP(A7,'BSE ALL CAP'!$B$4:$Y$1038,14,)</f>
        <v>-101</v>
      </c>
      <c r="P7" s="95">
        <f>VLOOKUP(A7,'BSE ALL CAP'!$B$4:$Y$1038,15,)</f>
        <v>-6.9730586370839939E-2</v>
      </c>
      <c r="Q7" s="95">
        <f>VLOOKUP(A7,'BSE ALL CAP'!$B$4:$Y$1038,16,)</f>
        <v>-5.7945784630688883E-2</v>
      </c>
      <c r="R7" s="95">
        <f>VLOOKUP(A7,'BSE ALL CAP'!$B$4:$Y$1038,17,)</f>
        <v>-1.1784801740151056E-2</v>
      </c>
      <c r="S7" s="95">
        <f>VLOOKUP(A7,'BSE ALL CAP'!$B$4:$Y$1038,18,)</f>
        <v>1.0869565217391304E-2</v>
      </c>
      <c r="T7" s="95">
        <f>VLOOKUP(A7,'BSE ALL CAP'!$B$4:$Y$1038,19,)</f>
        <v>-6.8428184281842816E-2</v>
      </c>
      <c r="U7" s="95">
        <f>VLOOKUP(A7,'BSE ALL CAP'!$B$4:$Y$1038,20,)</f>
        <v>7.9297749499234127E-2</v>
      </c>
      <c r="V7" s="95">
        <f>VLOOKUP(A7,'BSE ALL CAP'!$B$4:$Y$1038,21,)</f>
        <v>-5.8443173339965182E-2</v>
      </c>
      <c r="W7" s="95">
        <f>VLOOKUP(A7,'BSE ALL CAP'!$B$4:$Y$1038,22,)</f>
        <v>0.13304721030042921</v>
      </c>
      <c r="X7" s="95">
        <f>VLOOKUP(A7,'BSE ALL CAP'!$B$4:$Y$1038,23,)</f>
        <v>-6.5040650406504086E-2</v>
      </c>
      <c r="Y7" s="95">
        <f>VLOOKUP(A7,'BSE ALL CAP'!$B$4:$Y$1038,24,)</f>
        <v>-1.1485148514851484</v>
      </c>
    </row>
    <row r="8" spans="1:25" ht="15.75" customHeight="1">
      <c r="A8" s="99">
        <v>500119</v>
      </c>
      <c r="B8" s="98" t="s">
        <v>1686</v>
      </c>
      <c r="C8" s="6"/>
      <c r="D8" s="6"/>
      <c r="E8" s="11">
        <f ca="1">IFERROR(__xludf.DUMMYFUNCTION("GOOGLEFINANCE(""BOM:""&amp;A8,""PRICE"")"),140.35)</f>
        <v>140.35</v>
      </c>
      <c r="F8" s="20">
        <f ca="1">IFERROR(__xludf.DUMMYFUNCTION("GOOGLEFINANCE(""BOM:""&amp;A8,""MARKETCAP"")/10000000"),904.5352525)</f>
        <v>904.53525249999996</v>
      </c>
      <c r="G8" s="95">
        <f t="shared" ca="1" si="0"/>
        <v>1.9796879728758036E-2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540649</v>
      </c>
      <c r="B9" s="98" t="s">
        <v>1687</v>
      </c>
      <c r="C9" s="6"/>
      <c r="D9" s="6"/>
      <c r="E9" s="11">
        <f ca="1">IFERROR(__xludf.DUMMYFUNCTION("GOOGLEFINANCE(""BOM:""&amp;A9,""PRICE"")"),496.5)</f>
        <v>496.5</v>
      </c>
      <c r="F9" s="20">
        <f ca="1">IFERROR(__xludf.DUMMYFUNCTION("GOOGLEFINANCE(""BOM:""&amp;A9,""MARKETCAP"")/10000000"),993.9140565)</f>
        <v>993.91405650000002</v>
      </c>
      <c r="G9" s="95">
        <f t="shared" ca="1" si="0"/>
        <v>2.1753046089546986E-2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500780</v>
      </c>
      <c r="B10" s="98" t="s">
        <v>1688</v>
      </c>
      <c r="C10" s="6"/>
      <c r="D10" s="6"/>
      <c r="E10" s="11">
        <f ca="1">IFERROR(__xludf.DUMMYFUNCTION("GOOGLEFINANCE(""BOM:""&amp;A10,""PRICE"")"),235.85)</f>
        <v>235.85</v>
      </c>
      <c r="F10" s="20">
        <f ca="1">IFERROR(__xludf.DUMMYFUNCTION("GOOGLEFINANCE(""BOM:""&amp;A10,""MARKETCAP"")/10000000"),693.2762)</f>
        <v>693.27620000000002</v>
      </c>
      <c r="G10" s="95">
        <f t="shared" ca="1" si="0"/>
        <v>1.5173212445040003E-2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532729</v>
      </c>
      <c r="B11" s="98" t="s">
        <v>1689</v>
      </c>
      <c r="C11" s="6"/>
      <c r="D11" s="6"/>
      <c r="E11" s="11">
        <f ca="1">IFERROR(__xludf.DUMMYFUNCTION("GOOGLEFINANCE(""BOM:""&amp;A11,""PRICE"")"),259.2)</f>
        <v>259.2</v>
      </c>
      <c r="F11" s="20">
        <f ca="1">IFERROR(__xludf.DUMMYFUNCTION("GOOGLEFINANCE(""BOM:""&amp;A11,""MARKETCAP"")/10000000"),989.7788338)</f>
        <v>989.77883380000003</v>
      </c>
      <c r="G11" s="95">
        <f t="shared" ca="1" si="0"/>
        <v>2.166254159431889E-2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532610</v>
      </c>
      <c r="B12" s="98" t="s">
        <v>1690</v>
      </c>
      <c r="C12" s="6"/>
      <c r="D12" s="6"/>
      <c r="E12" s="11">
        <f ca="1">IFERROR(__xludf.DUMMYFUNCTION("GOOGLEFINANCE(""BOM:""&amp;A12,""PRICE"")"),46.9)</f>
        <v>46.9</v>
      </c>
      <c r="F12" s="20">
        <f ca="1">IFERROR(__xludf.DUMMYFUNCTION("GOOGLEFINANCE(""BOM:""&amp;A12,""MARKETCAP"")/10000000"),868.1370307)</f>
        <v>868.13703069999997</v>
      </c>
      <c r="G12" s="95">
        <f t="shared" ca="1" si="0"/>
        <v>1.9000259345722983E-2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543593</v>
      </c>
      <c r="B13" s="98" t="s">
        <v>1691</v>
      </c>
      <c r="C13" s="6"/>
      <c r="D13" s="6"/>
      <c r="E13" s="11">
        <f ca="1">IFERROR(__xludf.DUMMYFUNCTION("GOOGLEFINANCE(""BOM:""&amp;A13,""PRICE"")"),117.8)</f>
        <v>117.8</v>
      </c>
      <c r="F13" s="20">
        <f ca="1">IFERROR(__xludf.DUMMYFUNCTION("GOOGLEFINANCE(""BOM:""&amp;A13,""MARKETCAP"")/10000000"),775.8900358)</f>
        <v>775.89003579999996</v>
      </c>
      <c r="G13" s="95">
        <f t="shared" ca="1" si="0"/>
        <v>1.698131905751718E-2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540650</v>
      </c>
      <c r="B14" s="98" t="s">
        <v>1692</v>
      </c>
      <c r="C14" s="6"/>
      <c r="D14" s="6"/>
      <c r="E14" s="11">
        <f ca="1">IFERROR(__xludf.DUMMYFUNCTION("GOOGLEFINANCE(""BOM:""&amp;A14,""PRICE"")"),498)</f>
        <v>498</v>
      </c>
      <c r="F14" s="20">
        <f ca="1">IFERROR(__xludf.DUMMYFUNCTION("GOOGLEFINANCE(""BOM:""&amp;A14,""MARKETCAP"")/10000000"),699.4380636)</f>
        <v>699.43806359999996</v>
      </c>
      <c r="G14" s="95">
        <f t="shared" ca="1" si="0"/>
        <v>1.5308072498594645E-2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523369</v>
      </c>
      <c r="B15" s="98" t="s">
        <v>1693</v>
      </c>
      <c r="C15" s="6"/>
      <c r="D15" s="6"/>
      <c r="E15" s="11">
        <f ca="1">IFERROR(__xludf.DUMMYFUNCTION("GOOGLEFINANCE(""BOM:""&amp;A15,""PRICE"")"),37.95)</f>
        <v>37.950000000000003</v>
      </c>
      <c r="F15" s="20">
        <f ca="1">IFERROR(__xludf.DUMMYFUNCTION("GOOGLEFINANCE(""BOM:""&amp;A15,""MARKETCAP"")/10000000"),491.5061232)</f>
        <v>491.50612319999999</v>
      </c>
      <c r="G15" s="95">
        <f t="shared" ca="1" si="0"/>
        <v>1.0757223203899982E-2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530363</v>
      </c>
      <c r="B16" s="98" t="s">
        <v>1694</v>
      </c>
      <c r="C16" s="6"/>
      <c r="D16" s="6"/>
      <c r="E16" s="11">
        <f ca="1">IFERROR(__xludf.DUMMYFUNCTION("GOOGLEFINANCE(""BOM:""&amp;A16,""PRICE"")"),39.88)</f>
        <v>39.880000000000003</v>
      </c>
      <c r="F16" s="20">
        <f ca="1">IFERROR(__xludf.DUMMYFUNCTION("GOOGLEFINANCE(""BOM:""&amp;A16,""MARKETCAP"")/10000000"),446.1749982)</f>
        <v>446.1749982</v>
      </c>
      <c r="G16" s="95">
        <f t="shared" ca="1" si="0"/>
        <v>9.765095117002345E-3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523371</v>
      </c>
      <c r="B17" s="98" t="s">
        <v>1695</v>
      </c>
      <c r="C17" s="6"/>
      <c r="D17" s="6"/>
      <c r="E17" s="11">
        <f ca="1">IFERROR(__xludf.DUMMYFUNCTION("GOOGLEFINANCE(""BOM:""&amp;A17,""PRICE"")"),100)</f>
        <v>100</v>
      </c>
      <c r="F17" s="20">
        <f ca="1">IFERROR(__xludf.DUMMYFUNCTION("GOOGLEFINANCE(""BOM:""&amp;A17,""MARKETCAP"")/10000000"),391.1686)</f>
        <v>391.16860000000003</v>
      </c>
      <c r="G17" s="95">
        <f t="shared" ca="1" si="0"/>
        <v>8.5612116348850222E-3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533192</v>
      </c>
      <c r="B18" s="98" t="s">
        <v>1696</v>
      </c>
      <c r="C18" s="6"/>
      <c r="D18" s="6"/>
      <c r="E18" s="11">
        <f ca="1">IFERROR(__xludf.DUMMYFUNCTION("GOOGLEFINANCE(""BOM:""&amp;A18,""PRICE"")"),24.56)</f>
        <v>24.56</v>
      </c>
      <c r="F18" s="20">
        <f ca="1">IFERROR(__xludf.DUMMYFUNCTION("GOOGLEFINANCE(""BOM:""&amp;A18,""MARKETCAP"")/10000000"),280.1743246)</f>
        <v>280.17432459999998</v>
      </c>
      <c r="G18" s="95">
        <f t="shared" ca="1" si="0"/>
        <v>6.1319637812482205E-3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532460</v>
      </c>
      <c r="B19" s="98" t="s">
        <v>1697</v>
      </c>
      <c r="C19" s="6"/>
      <c r="D19" s="6"/>
      <c r="E19" s="11">
        <f ca="1">IFERROR(__xludf.DUMMYFUNCTION("GOOGLEFINANCE(""BOM:""&amp;A19,""PRICE"")"),282.35)</f>
        <v>282.35000000000002</v>
      </c>
      <c r="F19" s="20">
        <f ca="1">IFERROR(__xludf.DUMMYFUNCTION("GOOGLEFINANCE(""BOM:""&amp;A19,""MARKETCAP"")/10000000"),242.1314561)</f>
        <v>242.13145610000001</v>
      </c>
      <c r="G19" s="95">
        <f t="shared" ca="1" si="0"/>
        <v>5.2993482583596225E-3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532673</v>
      </c>
      <c r="B20" s="98" t="s">
        <v>1698</v>
      </c>
      <c r="C20" s="6"/>
      <c r="D20" s="6"/>
      <c r="E20" s="11">
        <f ca="1">IFERROR(__xludf.DUMMYFUNCTION("GOOGLEFINANCE(""BOM:""&amp;A20,""PRICE"")"),26.64)</f>
        <v>26.64</v>
      </c>
      <c r="F20" s="20">
        <f ca="1">IFERROR(__xludf.DUMMYFUNCTION("GOOGLEFINANCE(""BOM:""&amp;A20,""MARKETCAP"")/10000000"),245.6571579)</f>
        <v>245.65715789999999</v>
      </c>
      <c r="G20" s="95">
        <f t="shared" ca="1" si="0"/>
        <v>5.3765126301197662E-3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507315</v>
      </c>
      <c r="B21" s="98" t="s">
        <v>1699</v>
      </c>
      <c r="C21" s="6"/>
      <c r="D21" s="6"/>
      <c r="E21" s="11">
        <f ca="1">IFERROR(__xludf.DUMMYFUNCTION("GOOGLEFINANCE(""BOM:""&amp;A21,""PRICE"")"),15.67)</f>
        <v>15.67</v>
      </c>
      <c r="F21" s="20">
        <f ca="1">IFERROR(__xludf.DUMMYFUNCTION("GOOGLEFINANCE(""BOM:""&amp;A21,""MARKETCAP"")/10000000"),185.4044445)</f>
        <v>185.40444450000001</v>
      </c>
      <c r="G21" s="95">
        <f t="shared" ca="1" si="0"/>
        <v>4.0578070106158685E-3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507490</v>
      </c>
      <c r="B22" s="98" t="s">
        <v>1700</v>
      </c>
      <c r="C22" s="6"/>
      <c r="D22" s="6"/>
      <c r="E22" s="11">
        <f ca="1">IFERROR(__xludf.DUMMYFUNCTION("GOOGLEFINANCE(""BOM:""&amp;A22,""PRICE"")"),12.35)</f>
        <v>12.35</v>
      </c>
      <c r="F22" s="20">
        <f ca="1">IFERROR(__xludf.DUMMYFUNCTION("GOOGLEFINANCE(""BOM:""&amp;A22,""MARKETCAP"")/10000000"),189.1868153)</f>
        <v>189.18681530000001</v>
      </c>
      <c r="G22" s="95">
        <f t="shared" ca="1" si="0"/>
        <v>4.1405889028751381E-3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532102</v>
      </c>
      <c r="B23" s="98" t="s">
        <v>1701</v>
      </c>
      <c r="C23" s="6"/>
      <c r="D23" s="6"/>
      <c r="E23" s="11">
        <f ca="1">IFERROR(__xludf.DUMMYFUNCTION("GOOGLEFINANCE(""BOM:""&amp;A23,""PRICE"")"),31.5)</f>
        <v>31.5</v>
      </c>
      <c r="F23" s="20">
        <f ca="1">IFERROR(__xludf.DUMMYFUNCTION("GOOGLEFINANCE(""BOM:""&amp;A23,""MARKETCAP"")/10000000"),150.1096905)</f>
        <v>150.1096905</v>
      </c>
      <c r="G23" s="95">
        <f t="shared" ca="1" si="0"/>
        <v>3.2853373936905712E-3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532879</v>
      </c>
      <c r="B24" s="98" t="s">
        <v>1702</v>
      </c>
      <c r="C24" s="6"/>
      <c r="D24" s="6"/>
      <c r="E24" s="11">
        <f ca="1">IFERROR(__xludf.DUMMYFUNCTION("GOOGLEFINANCE(""BOM:""&amp;A24,""PRICE"")"),258)</f>
        <v>258</v>
      </c>
      <c r="F24" s="20">
        <f ca="1">IFERROR(__xludf.DUMMYFUNCTION("GOOGLEFINANCE(""BOM:""&amp;A24,""MARKETCAP"")/10000000"),135.45)</f>
        <v>135.44999999999999</v>
      </c>
      <c r="G24" s="95">
        <f t="shared" ca="1" si="0"/>
        <v>2.9644918225674964E-3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500319</v>
      </c>
      <c r="B25" s="98" t="s">
        <v>1703</v>
      </c>
      <c r="C25" s="6"/>
      <c r="D25" s="6"/>
      <c r="E25" s="11">
        <f ca="1">IFERROR(__xludf.DUMMYFUNCTION("GOOGLEFINANCE(""BOM:""&amp;A25,""PRICE"")"),74.95)</f>
        <v>74.95</v>
      </c>
      <c r="F25" s="20">
        <f ca="1">IFERROR(__xludf.DUMMYFUNCTION("GOOGLEFINANCE(""BOM:""&amp;A25,""MARKETCAP"")/10000000"),130.2383611)</f>
        <v>130.23836109999999</v>
      </c>
      <c r="G25" s="95">
        <f t="shared" ca="1" si="0"/>
        <v>2.850428619162368E-3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541347</v>
      </c>
      <c r="B26" s="98" t="s">
        <v>1704</v>
      </c>
      <c r="C26" s="6"/>
      <c r="D26" s="6"/>
      <c r="E26" s="11">
        <f ca="1">IFERROR(__xludf.DUMMYFUNCTION("GOOGLEFINANCE(""BOM:""&amp;A26,""PRICE"")"),7.5)</f>
        <v>7.5</v>
      </c>
      <c r="F26" s="20">
        <f ca="1">IFERROR(__xludf.DUMMYFUNCTION("GOOGLEFINANCE(""BOM:""&amp;A26,""MARKETCAP"")/10000000"),111.85785)</f>
        <v>111.85785</v>
      </c>
      <c r="G26" s="95">
        <f t="shared" ca="1" si="0"/>
        <v>2.4481482585085395E-3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542852</v>
      </c>
      <c r="B27" s="98" t="s">
        <v>1705</v>
      </c>
      <c r="C27" s="6"/>
      <c r="D27" s="6"/>
      <c r="E27" s="11">
        <f ca="1">IFERROR(__xludf.DUMMYFUNCTION("GOOGLEFINANCE(""BOM:""&amp;A27,""PRICE"")"),4.96)</f>
        <v>4.96</v>
      </c>
      <c r="F27" s="20">
        <f ca="1">IFERROR(__xludf.DUMMYFUNCTION("GOOGLEFINANCE(""BOM:""&amp;A27,""MARKETCAP"")/10000000"),107.8247073)</f>
        <v>107.8247073</v>
      </c>
      <c r="G27" s="95">
        <f t="shared" ca="1" si="0"/>
        <v>2.3598779111228046E-3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531923</v>
      </c>
      <c r="B28" s="98" t="s">
        <v>1706</v>
      </c>
      <c r="C28" s="6"/>
      <c r="D28" s="6"/>
      <c r="E28" s="11">
        <f ca="1">IFERROR(__xludf.DUMMYFUNCTION("GOOGLEFINANCE(""BOM:""&amp;A28,""PRICE"")"),111.25)</f>
        <v>111.25</v>
      </c>
      <c r="F28" s="20">
        <f ca="1">IFERROR(__xludf.DUMMYFUNCTION("GOOGLEFINANCE(""BOM:""&amp;A28,""MARKETCAP"")/10000000"),97.1345888)</f>
        <v>97.134588800000003</v>
      </c>
      <c r="G28" s="95">
        <f t="shared" ca="1" si="0"/>
        <v>2.1259113634998624E-3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500354</v>
      </c>
      <c r="B29" s="98" t="s">
        <v>1707</v>
      </c>
      <c r="C29" s="6"/>
      <c r="D29" s="6"/>
      <c r="E29" s="11">
        <f ca="1">IFERROR(__xludf.DUMMYFUNCTION("GOOGLEFINANCE(""BOM:""&amp;A29,""PRICE"")"),28.55)</f>
        <v>28.55</v>
      </c>
      <c r="F29" s="20">
        <f ca="1">IFERROR(__xludf.DUMMYFUNCTION("GOOGLEFINANCE(""BOM:""&amp;A29,""MARKETCAP"")/10000000"),94.6021354)</f>
        <v>94.602135399999995</v>
      </c>
      <c r="G29" s="95">
        <f t="shared" ca="1" si="0"/>
        <v>2.0704854691083285E-3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507498</v>
      </c>
      <c r="B30" s="98" t="s">
        <v>1708</v>
      </c>
      <c r="C30" s="6"/>
      <c r="D30" s="6"/>
      <c r="E30" s="11">
        <f ca="1">IFERROR(__xludf.DUMMYFUNCTION("GOOGLEFINANCE(""BOM:""&amp;A30,""PRICE"")"),31.8)</f>
        <v>31.8</v>
      </c>
      <c r="F30" s="20">
        <f ca="1">IFERROR(__xludf.DUMMYFUNCTION("GOOGLEFINANCE(""BOM:""&amp;A30,""MARKETCAP"")/10000000"),73.9493718)</f>
        <v>73.949371799999994</v>
      </c>
      <c r="G30" s="95">
        <f t="shared" ca="1" si="0"/>
        <v>1.6184740345891726E-3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532183</v>
      </c>
      <c r="B31" s="98" t="s">
        <v>1709</v>
      </c>
      <c r="C31" s="6"/>
      <c r="D31" s="6"/>
      <c r="E31" s="11">
        <f ca="1">IFERROR(__xludf.DUMMYFUNCTION("GOOGLEFINANCE(""BOM:""&amp;A31,""PRICE"")"),8.68)</f>
        <v>8.68</v>
      </c>
      <c r="F31" s="20">
        <f ca="1">IFERROR(__xludf.DUMMYFUNCTION("GOOGLEFINANCE(""BOM:""&amp;A31,""MARKETCAP"")/10000000"),64.4955617)</f>
        <v>64.495561699999996</v>
      </c>
      <c r="G31" s="95">
        <f t="shared" ca="1" si="0"/>
        <v>1.4115656349320592E-3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500342</v>
      </c>
      <c r="B32" s="98" t="s">
        <v>1710</v>
      </c>
      <c r="C32" s="6"/>
      <c r="D32" s="6"/>
      <c r="E32" s="11">
        <f ca="1">IFERROR(__xludf.DUMMYFUNCTION("GOOGLEFINANCE(""BOM:""&amp;A32,""PRICE"")"),12.91)</f>
        <v>12.91</v>
      </c>
      <c r="F32" s="20">
        <f ca="1">IFERROR(__xludf.DUMMYFUNCTION("GOOGLEFINANCE(""BOM:""&amp;A32,""MARKETCAP"")/10000000"),41.8953472)</f>
        <v>41.895347200000003</v>
      </c>
      <c r="G32" s="95">
        <f t="shared" ca="1" si="0"/>
        <v>9.1693181379125938E-4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507180</v>
      </c>
      <c r="B33" s="98" t="s">
        <v>1711</v>
      </c>
      <c r="C33" s="6"/>
      <c r="D33" s="6"/>
      <c r="E33" s="11">
        <f ca="1">IFERROR(__xludf.DUMMYFUNCTION("GOOGLEFINANCE(""BOM:""&amp;A33,""PRICE"")"),5.68)</f>
        <v>5.68</v>
      </c>
      <c r="F33" s="20">
        <f ca="1">IFERROR(__xludf.DUMMYFUNCTION("GOOGLEFINANCE(""BOM:""&amp;A33,""MARKETCAP"")/10000000"),57.2525806)</f>
        <v>57.252580600000002</v>
      </c>
      <c r="G33" s="95">
        <f t="shared" ca="1" si="0"/>
        <v>1.2530439793989408E-3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539742</v>
      </c>
      <c r="B34" s="98" t="s">
        <v>1712</v>
      </c>
      <c r="C34" s="6"/>
      <c r="D34" s="6"/>
      <c r="E34" s="11">
        <f ca="1">IFERROR(__xludf.DUMMYFUNCTION("GOOGLEFINANCE(""BOM:""&amp;A34,""PRICE"")"),7.69)</f>
        <v>7.69</v>
      </c>
      <c r="F34" s="20">
        <f ca="1">IFERROR(__xludf.DUMMYFUNCTION("GOOGLEFINANCE(""BOM:""&amp;A34,""MARKETCAP"")/10000000"),31.2671864)</f>
        <v>31.2671864</v>
      </c>
      <c r="G34" s="95">
        <f t="shared" ca="1" si="0"/>
        <v>6.843212875414814E-4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507300</v>
      </c>
      <c r="B35" s="98" t="s">
        <v>1713</v>
      </c>
      <c r="C35" s="6"/>
      <c r="D35" s="6"/>
      <c r="E35" s="11">
        <f ca="1">IFERROR(__xludf.DUMMYFUNCTION("GOOGLEFINANCE(""BOM:""&amp;A35,""PRICE"")"),925)</f>
        <v>925</v>
      </c>
      <c r="F35" s="20">
        <f ca="1">IFERROR(__xludf.DUMMYFUNCTION("GOOGLEFINANCE(""BOM:""&amp;A35,""MARKETCAP"")/10000000"),31.45)</f>
        <v>31.45</v>
      </c>
      <c r="G35" s="95">
        <f t="shared" ca="1" si="0"/>
        <v>6.8832239069581229E-4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537709</v>
      </c>
      <c r="B36" s="98" t="s">
        <v>1714</v>
      </c>
      <c r="C36" s="6"/>
      <c r="D36" s="6"/>
      <c r="E36" s="11">
        <f ca="1">IFERROR(__xludf.DUMMYFUNCTION("GOOGLEFINANCE(""BOM:""&amp;A36,""PRICE"")"),4.28)</f>
        <v>4.28</v>
      </c>
      <c r="F36" s="20">
        <f ca="1">IFERROR(__xludf.DUMMYFUNCTION("GOOGLEFINANCE(""BOM:""&amp;A36,""MARKETCAP"")/10000000"),7.9180003)</f>
        <v>7.9180003000000001</v>
      </c>
      <c r="G36" s="95">
        <f t="shared" ca="1" si="0"/>
        <v>1.7329529081164258E-4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3.2">
      <c r="A37" s="101"/>
      <c r="B37" s="101"/>
      <c r="C37" s="101"/>
      <c r="D37" s="101"/>
      <c r="E37" s="101"/>
      <c r="F37" s="101"/>
      <c r="G37" s="95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3.2">
      <c r="A38" s="101"/>
      <c r="B38" s="101"/>
      <c r="C38" s="101"/>
      <c r="D38" s="101"/>
      <c r="E38" s="101"/>
      <c r="F38" s="112">
        <f ca="1">SUM(F1:F36)</f>
        <v>45690.798999299994</v>
      </c>
      <c r="G38" s="95">
        <f ca="1">F38/$F$38</f>
        <v>1</v>
      </c>
      <c r="H38" s="101">
        <f t="shared" ref="H38:O38" si="1">SUM(H2:H36)</f>
        <v>22654</v>
      </c>
      <c r="I38" s="101">
        <f t="shared" si="1"/>
        <v>22402</v>
      </c>
      <c r="J38" s="101">
        <f t="shared" si="1"/>
        <v>-509</v>
      </c>
      <c r="K38" s="101">
        <f t="shared" si="1"/>
        <v>-299</v>
      </c>
      <c r="L38" s="101">
        <f t="shared" si="1"/>
        <v>7596</v>
      </c>
      <c r="M38" s="101">
        <f t="shared" si="1"/>
        <v>7324</v>
      </c>
      <c r="N38" s="101">
        <f t="shared" si="1"/>
        <v>216</v>
      </c>
      <c r="O38" s="101">
        <f t="shared" si="1"/>
        <v>-163</v>
      </c>
      <c r="P38" s="95">
        <f t="shared" ref="P38:Q38" si="2">J38/H38</f>
        <v>-2.2468438244901561E-2</v>
      </c>
      <c r="Q38" s="95">
        <f t="shared" si="2"/>
        <v>-1.3347022587268994E-2</v>
      </c>
      <c r="R38" s="95">
        <f>P38-Q38</f>
        <v>-9.1214156576325672E-3</v>
      </c>
      <c r="S38" s="95">
        <f t="shared" ref="S38:T38" si="3">N38/L38</f>
        <v>2.843601895734597E-2</v>
      </c>
      <c r="T38" s="95">
        <f t="shared" si="3"/>
        <v>-2.2255598033861276E-2</v>
      </c>
      <c r="U38" s="95">
        <f>S38-T38</f>
        <v>5.069161699120725E-2</v>
      </c>
      <c r="V38" s="95">
        <f>(H38/I38)-1</f>
        <v>1.1248995625390501E-2</v>
      </c>
      <c r="W38" s="95">
        <f>(J38/K38)-1</f>
        <v>0.7023411371237458</v>
      </c>
      <c r="X38" s="95">
        <f>(L38/M38)-1</f>
        <v>3.713817586018564E-2</v>
      </c>
      <c r="Y38" s="95">
        <f>(N38/O38)-1</f>
        <v>-2.3251533742331287</v>
      </c>
    </row>
    <row r="39" spans="1:25" ht="13.2">
      <c r="G39" s="50"/>
    </row>
    <row r="40" spans="1:25" ht="13.2">
      <c r="G40" s="50"/>
    </row>
    <row r="41" spans="1:25" ht="13.2">
      <c r="G41" s="50"/>
    </row>
    <row r="42" spans="1:25" ht="13.2">
      <c r="G42" s="50"/>
    </row>
    <row r="43" spans="1:25" ht="13.2">
      <c r="G43" s="50"/>
    </row>
    <row r="44" spans="1:25" ht="13.2">
      <c r="G44" s="50"/>
    </row>
    <row r="45" spans="1:25" ht="13.2">
      <c r="G45" s="50"/>
    </row>
    <row r="46" spans="1:25" ht="13.2">
      <c r="G46" s="50"/>
    </row>
    <row r="47" spans="1:25" ht="13.2">
      <c r="G47" s="50"/>
    </row>
    <row r="48" spans="1:25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36" xr:uid="{00000000-0009-0000-0000-000021000000}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outlinePr summaryBelow="0" summaryRight="0"/>
  </sheetPr>
  <dimension ref="A1:Y43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544603</v>
      </c>
      <c r="B2" s="98" t="s">
        <v>1715</v>
      </c>
      <c r="C2" s="6" t="str">
        <f>VLOOKUP(A2,'BSE ALL CAP'!$B$4:$Y$1038,2,)</f>
        <v>Financial Services</v>
      </c>
      <c r="D2" s="6" t="str">
        <f>VLOOKUP(A2,'BSE ALL CAP'!$B$4:$Y$1038,3,)</f>
        <v>Stockbroking &amp; Allied</v>
      </c>
      <c r="E2" s="11">
        <f ca="1">IFERROR(__xludf.DUMMYFUNCTION("GOOGLEFINANCE(""BOM:""&amp;A2,""PRICE"")"),169.2)</f>
        <v>169.2</v>
      </c>
      <c r="F2" s="20">
        <f ca="1">IFERROR(__xludf.DUMMYFUNCTION("GOOGLEFINANCE(""BOM:""&amp;A2,""MARKETCAP"")/10000000"),106162.1016052)</f>
        <v>106162.1016052</v>
      </c>
      <c r="G2" s="95">
        <f t="shared" ref="G2:G41" ca="1" si="0">F2/$F$43</f>
        <v>0.47653880985820557</v>
      </c>
      <c r="H2" s="101">
        <f>VLOOKUP(A2,'BSE ALL CAP'!$B$4:$Y$1038,7,)</f>
        <v>3280</v>
      </c>
      <c r="I2" s="101">
        <f>VLOOKUP(A2,'BSE ALL CAP'!$B$4:$Y$1038,8,)</f>
        <v>3212</v>
      </c>
      <c r="J2" s="101">
        <f>VLOOKUP(A2,'BSE ALL CAP'!$B$4:$Y$1038,9,)</f>
        <v>1397</v>
      </c>
      <c r="K2" s="101">
        <f>VLOOKUP(A2,'BSE ALL CAP'!$B$4:$Y$1038,10,)</f>
        <v>1515</v>
      </c>
      <c r="L2" s="101">
        <f>VLOOKUP(A2,'BSE ALL CAP'!$B$4:$Y$1038,11,)</f>
        <v>1261</v>
      </c>
      <c r="M2" s="101">
        <f>VLOOKUP(A2,'BSE ALL CAP'!$B$4:$Y$1038,12,)</f>
        <v>1004</v>
      </c>
      <c r="N2" s="101">
        <f>VLOOKUP(A2,'BSE ALL CAP'!$B$4:$Y$1038,13,)</f>
        <v>547</v>
      </c>
      <c r="O2" s="101">
        <f>VLOOKUP(A2,'BSE ALL CAP'!$B$4:$Y$1038,14,)</f>
        <v>757</v>
      </c>
      <c r="P2" s="95">
        <f>VLOOKUP(A2,'BSE ALL CAP'!$B$4:$Y$1038,15,)</f>
        <v>0.42591463414634145</v>
      </c>
      <c r="Q2" s="95">
        <f>VLOOKUP(A2,'BSE ALL CAP'!$B$4:$Y$1038,16,)</f>
        <v>0.47166874221668742</v>
      </c>
      <c r="R2" s="95">
        <f>VLOOKUP(A2,'BSE ALL CAP'!$B$4:$Y$1038,17,)</f>
        <v>-4.5754108070345967E-2</v>
      </c>
      <c r="S2" s="95">
        <f>VLOOKUP(A2,'BSE ALL CAP'!$B$4:$Y$1038,18,)</f>
        <v>0.43378271213322761</v>
      </c>
      <c r="T2" s="95">
        <f>VLOOKUP(A2,'BSE ALL CAP'!$B$4:$Y$1038,19,)</f>
        <v>0.75398406374501992</v>
      </c>
      <c r="U2" s="95">
        <f>VLOOKUP(A2,'BSE ALL CAP'!$B$4:$Y$1038,20,)</f>
        <v>-0.32020135161179231</v>
      </c>
      <c r="V2" s="95">
        <f>VLOOKUP(A2,'BSE ALL CAP'!$B$4:$Y$1038,21,)</f>
        <v>2.1170610211706187E-2</v>
      </c>
      <c r="W2" s="95">
        <f>VLOOKUP(A2,'BSE ALL CAP'!$B$4:$Y$1038,22,)</f>
        <v>-7.788778877887792E-2</v>
      </c>
      <c r="X2" s="95">
        <f>VLOOKUP(A2,'BSE ALL CAP'!$B$4:$Y$1038,23,)</f>
        <v>0.25597609561752988</v>
      </c>
      <c r="Y2" s="95">
        <f>VLOOKUP(A2,'BSE ALL CAP'!$B$4:$Y$1038,24,)</f>
        <v>-0.27741083223249674</v>
      </c>
    </row>
    <row r="3" spans="1:25" ht="15.75" customHeight="1">
      <c r="A3" s="99">
        <v>532892</v>
      </c>
      <c r="B3" s="98" t="s">
        <v>1716</v>
      </c>
      <c r="C3" s="6" t="str">
        <f>VLOOKUP(A3,'BSE ALL CAP'!$B$4:$Y$1038,2,)</f>
        <v>Financial Services</v>
      </c>
      <c r="D3" s="6" t="str">
        <f>VLOOKUP(A3,'BSE ALL CAP'!$B$4:$Y$1038,3,)</f>
        <v>Stockbroking &amp; Allied</v>
      </c>
      <c r="E3" s="11">
        <f ca="1">IFERROR(__xludf.DUMMYFUNCTION("GOOGLEFINANCE(""BOM:""&amp;A3,""PRICE"")"),702)</f>
        <v>702</v>
      </c>
      <c r="F3" s="20">
        <f ca="1">IFERROR(__xludf.DUMMYFUNCTION("GOOGLEFINANCE(""BOM:""&amp;A3,""MARKETCAP"")/10000000"),42238.5410833)</f>
        <v>42238.541083299999</v>
      </c>
      <c r="G3" s="95">
        <f t="shared" ca="1" si="0"/>
        <v>0.18959971396230144</v>
      </c>
      <c r="H3" s="101">
        <f>VLOOKUP(A3,'BSE ALL CAP'!$B$4:$Y$1038,7,)</f>
        <v>6724</v>
      </c>
      <c r="I3" s="101">
        <f>VLOOKUP(A3,'BSE ALL CAP'!$B$4:$Y$1038,8,)</f>
        <v>7208</v>
      </c>
      <c r="J3" s="101">
        <f>VLOOKUP(A3,'BSE ALL CAP'!$B$4:$Y$1038,9,)</f>
        <v>2084</v>
      </c>
      <c r="K3" s="101">
        <f>VLOOKUP(A3,'BSE ALL CAP'!$B$4:$Y$1038,10,)</f>
        <v>2571</v>
      </c>
      <c r="L3" s="101">
        <f>VLOOKUP(A3,'BSE ALL CAP'!$B$4:$Y$1038,11,)</f>
        <v>2120</v>
      </c>
      <c r="M3" s="101">
        <f>VLOOKUP(A3,'BSE ALL CAP'!$B$4:$Y$1038,12,)</f>
        <v>2019</v>
      </c>
      <c r="N3" s="101">
        <f>VLOOKUP(A3,'BSE ALL CAP'!$B$4:$Y$1038,13,)</f>
        <v>566</v>
      </c>
      <c r="O3" s="101">
        <f>VLOOKUP(A3,'BSE ALL CAP'!$B$4:$Y$1038,14,)</f>
        <v>566</v>
      </c>
      <c r="P3" s="95">
        <f>VLOOKUP(A3,'BSE ALL CAP'!$B$4:$Y$1038,15,)</f>
        <v>0.30993456276026177</v>
      </c>
      <c r="Q3" s="95">
        <f>VLOOKUP(A3,'BSE ALL CAP'!$B$4:$Y$1038,16,)</f>
        <v>0.35668701442841289</v>
      </c>
      <c r="R3" s="95">
        <f>VLOOKUP(A3,'BSE ALL CAP'!$B$4:$Y$1038,17,)</f>
        <v>-4.6752451668151118E-2</v>
      </c>
      <c r="S3" s="95">
        <f>VLOOKUP(A3,'BSE ALL CAP'!$B$4:$Y$1038,18,)</f>
        <v>0.26698113207547169</v>
      </c>
      <c r="T3" s="95">
        <f>VLOOKUP(A3,'BSE ALL CAP'!$B$4:$Y$1038,19,)</f>
        <v>0.28033680039623576</v>
      </c>
      <c r="U3" s="95">
        <f>VLOOKUP(A3,'BSE ALL CAP'!$B$4:$Y$1038,20,)</f>
        <v>-1.3355668320764069E-2</v>
      </c>
      <c r="V3" s="95">
        <f>VLOOKUP(A3,'BSE ALL CAP'!$B$4:$Y$1038,21,)</f>
        <v>-6.7147613762486125E-2</v>
      </c>
      <c r="W3" s="95">
        <f>VLOOKUP(A3,'BSE ALL CAP'!$B$4:$Y$1038,22,)</f>
        <v>-0.18942045896538307</v>
      </c>
      <c r="X3" s="95">
        <f>VLOOKUP(A3,'BSE ALL CAP'!$B$4:$Y$1038,23,)</f>
        <v>5.002476473501738E-2</v>
      </c>
      <c r="Y3" s="95">
        <f>VLOOKUP(A3,'BSE ALL CAP'!$B$4:$Y$1038,24,)</f>
        <v>0</v>
      </c>
    </row>
    <row r="4" spans="1:25" ht="15.75" customHeight="1">
      <c r="A4" s="99">
        <v>542772</v>
      </c>
      <c r="B4" s="98" t="s">
        <v>1717</v>
      </c>
      <c r="C4" s="6" t="str">
        <f>VLOOKUP(A4,'BSE ALL CAP'!$B$4:$Y$1038,2,)</f>
        <v>Financial Services</v>
      </c>
      <c r="D4" s="6" t="str">
        <f>VLOOKUP(A4,'BSE ALL CAP'!$B$4:$Y$1038,3,)</f>
        <v>Stockbroking &amp; Allied</v>
      </c>
      <c r="E4" s="11">
        <f ca="1">IFERROR(__xludf.DUMMYFUNCTION("GOOGLEFINANCE(""BOM:""&amp;A4,""PRICE"")"),931.15)</f>
        <v>931.15</v>
      </c>
      <c r="F4" s="20">
        <f ca="1">IFERROR(__xludf.DUMMYFUNCTION("GOOGLEFINANCE(""BOM:""&amp;A4,""MARKETCAP"")/10000000"),37835.8523524)</f>
        <v>37835.852352399997</v>
      </c>
      <c r="G4" s="95">
        <f t="shared" ca="1" si="0"/>
        <v>0.16983699246116216</v>
      </c>
      <c r="H4" s="101">
        <f>VLOOKUP(A4,'BSE ALL CAP'!$B$4:$Y$1038,7,)</f>
        <v>3308</v>
      </c>
      <c r="I4" s="101">
        <f>VLOOKUP(A4,'BSE ALL CAP'!$B$4:$Y$1038,8,)</f>
        <v>2763</v>
      </c>
      <c r="J4" s="101">
        <f>VLOOKUP(A4,'BSE ALL CAP'!$B$4:$Y$1038,9,)</f>
        <v>927</v>
      </c>
      <c r="K4" s="101">
        <f>VLOOKUP(A4,'BSE ALL CAP'!$B$4:$Y$1038,10,)</f>
        <v>766</v>
      </c>
      <c r="L4" s="101">
        <f>VLOOKUP(A4,'BSE ALL CAP'!$B$4:$Y$1038,11,)</f>
        <v>1220</v>
      </c>
      <c r="M4" s="101">
        <f>VLOOKUP(A4,'BSE ALL CAP'!$B$4:$Y$1038,12,)</f>
        <v>934</v>
      </c>
      <c r="N4" s="101">
        <f>VLOOKUP(A4,'BSE ALL CAP'!$B$4:$Y$1038,13,)</f>
        <v>327</v>
      </c>
      <c r="O4" s="101">
        <f>VLOOKUP(A4,'BSE ALL CAP'!$B$4:$Y$1038,14,)</f>
        <v>276</v>
      </c>
      <c r="P4" s="95">
        <f>VLOOKUP(A4,'BSE ALL CAP'!$B$4:$Y$1038,15,)</f>
        <v>0.28022974607013301</v>
      </c>
      <c r="Q4" s="95">
        <f>VLOOKUP(A4,'BSE ALL CAP'!$B$4:$Y$1038,16,)</f>
        <v>0.27723488961273979</v>
      </c>
      <c r="R4" s="95">
        <f>VLOOKUP(A4,'BSE ALL CAP'!$B$4:$Y$1038,17,)</f>
        <v>2.9948564573932246E-3</v>
      </c>
      <c r="S4" s="95">
        <f>VLOOKUP(A4,'BSE ALL CAP'!$B$4:$Y$1038,18,)</f>
        <v>0.2680327868852459</v>
      </c>
      <c r="T4" s="95">
        <f>VLOOKUP(A4,'BSE ALL CAP'!$B$4:$Y$1038,19,)</f>
        <v>0.2955032119914347</v>
      </c>
      <c r="U4" s="95">
        <f>VLOOKUP(A4,'BSE ALL CAP'!$B$4:$Y$1038,20,)</f>
        <v>-2.7470425106188801E-2</v>
      </c>
      <c r="V4" s="95">
        <f>VLOOKUP(A4,'BSE ALL CAP'!$B$4:$Y$1038,21,)</f>
        <v>0.19724936663047421</v>
      </c>
      <c r="W4" s="95">
        <f>VLOOKUP(A4,'BSE ALL CAP'!$B$4:$Y$1038,22,)</f>
        <v>0.21018276762402088</v>
      </c>
      <c r="X4" s="95">
        <f>VLOOKUP(A4,'BSE ALL CAP'!$B$4:$Y$1038,23,)</f>
        <v>0.30620985010706647</v>
      </c>
      <c r="Y4" s="95">
        <f>VLOOKUP(A4,'BSE ALL CAP'!$B$4:$Y$1038,24,)</f>
        <v>0.18478260869565211</v>
      </c>
    </row>
    <row r="5" spans="1:25" ht="15.75" customHeight="1">
      <c r="A5" s="99">
        <v>543988</v>
      </c>
      <c r="B5" s="98" t="s">
        <v>1718</v>
      </c>
      <c r="C5" s="6" t="str">
        <f>VLOOKUP(A5,'BSE ALL CAP'!$B$4:$Y$1038,2,)</f>
        <v>Financial Services</v>
      </c>
      <c r="D5" s="6" t="str">
        <f>VLOOKUP(A5,'BSE ALL CAP'!$B$4:$Y$1038,3,)</f>
        <v>Stockbroking &amp; Allied</v>
      </c>
      <c r="E5" s="11">
        <f ca="1">IFERROR(__xludf.DUMMYFUNCTION("GOOGLEFINANCE(""BOM:""&amp;A5,""PRICE"")"),1175.5)</f>
        <v>1175.5</v>
      </c>
      <c r="F5" s="20">
        <f ca="1">IFERROR(__xludf.DUMMYFUNCTION("GOOGLEFINANCE(""BOM:""&amp;A5,""MARKETCAP"")/10000000"),4213.864221)</f>
        <v>4213.8642209999998</v>
      </c>
      <c r="G5" s="95">
        <f t="shared" ca="1" si="0"/>
        <v>1.8915128943538695E-2</v>
      </c>
      <c r="H5" s="101">
        <f>VLOOKUP(A5,'BSE ALL CAP'!$B$4:$Y$1038,7,)</f>
        <v>3368</v>
      </c>
      <c r="I5" s="101">
        <f>VLOOKUP(A5,'BSE ALL CAP'!$B$4:$Y$1038,8,)</f>
        <v>3044</v>
      </c>
      <c r="J5" s="101">
        <f>VLOOKUP(A5,'BSE ALL CAP'!$B$4:$Y$1038,9,)</f>
        <v>771</v>
      </c>
      <c r="K5" s="101">
        <f>VLOOKUP(A5,'BSE ALL CAP'!$B$4:$Y$1038,10,)</f>
        <v>729</v>
      </c>
      <c r="L5" s="101">
        <f>VLOOKUP(A5,'BSE ALL CAP'!$B$4:$Y$1038,11,)</f>
        <v>1105</v>
      </c>
      <c r="M5" s="101">
        <f>VLOOKUP(A5,'BSE ALL CAP'!$B$4:$Y$1038,12,)</f>
        <v>1034</v>
      </c>
      <c r="N5" s="101">
        <f>VLOOKUP(A5,'BSE ALL CAP'!$B$4:$Y$1038,13,)</f>
        <v>253</v>
      </c>
      <c r="O5" s="101">
        <f>VLOOKUP(A5,'BSE ALL CAP'!$B$4:$Y$1038,14,)</f>
        <v>251</v>
      </c>
      <c r="P5" s="95">
        <f>VLOOKUP(A5,'BSE ALL CAP'!$B$4:$Y$1038,15,)</f>
        <v>0.22891923990498814</v>
      </c>
      <c r="Q5" s="95">
        <f>VLOOKUP(A5,'BSE ALL CAP'!$B$4:$Y$1038,16,)</f>
        <v>0.23948751642575558</v>
      </c>
      <c r="R5" s="95">
        <f>VLOOKUP(A5,'BSE ALL CAP'!$B$4:$Y$1038,17,)</f>
        <v>-1.0568276520767445E-2</v>
      </c>
      <c r="S5" s="95">
        <f>VLOOKUP(A5,'BSE ALL CAP'!$B$4:$Y$1038,18,)</f>
        <v>0.22895927601809954</v>
      </c>
      <c r="T5" s="95">
        <f>VLOOKUP(A5,'BSE ALL CAP'!$B$4:$Y$1038,19,)</f>
        <v>0.24274661508704062</v>
      </c>
      <c r="U5" s="95">
        <f>VLOOKUP(A5,'BSE ALL CAP'!$B$4:$Y$1038,20,)</f>
        <v>-1.3787339068941085E-2</v>
      </c>
      <c r="V5" s="95">
        <f>VLOOKUP(A5,'BSE ALL CAP'!$B$4:$Y$1038,21,)</f>
        <v>0.10643889618922464</v>
      </c>
      <c r="W5" s="95">
        <f>VLOOKUP(A5,'BSE ALL CAP'!$B$4:$Y$1038,22,)</f>
        <v>5.7613168724279795E-2</v>
      </c>
      <c r="X5" s="95">
        <f>VLOOKUP(A5,'BSE ALL CAP'!$B$4:$Y$1038,23,)</f>
        <v>6.8665377176015507E-2</v>
      </c>
      <c r="Y5" s="95">
        <f>VLOOKUP(A5,'BSE ALL CAP'!$B$4:$Y$1038,24,)</f>
        <v>7.9681274900398336E-3</v>
      </c>
    </row>
    <row r="6" spans="1:25" ht="15.75" customHeight="1">
      <c r="A6" s="99">
        <v>542773</v>
      </c>
      <c r="B6" s="98" t="s">
        <v>1719</v>
      </c>
      <c r="C6" s="6" t="str">
        <f>VLOOKUP(A6,'BSE ALL CAP'!$B$4:$Y$1038,2,)</f>
        <v>Financial Services</v>
      </c>
      <c r="D6" s="6" t="str">
        <f>VLOOKUP(A6,'BSE ALL CAP'!$B$4:$Y$1038,3,)</f>
        <v>Stockbroking &amp; Allied</v>
      </c>
      <c r="E6" s="11">
        <f ca="1">IFERROR(__xludf.DUMMYFUNCTION("GOOGLEFINANCE(""BOM:""&amp;A6,""PRICE"")"),263.65)</f>
        <v>263.64999999999998</v>
      </c>
      <c r="F6" s="20">
        <f ca="1">IFERROR(__xludf.DUMMYFUNCTION("GOOGLEFINANCE(""BOM:""&amp;A6,""MARKETCAP"")/10000000"),8203.1898079)</f>
        <v>8203.1898079000002</v>
      </c>
      <c r="G6" s="95">
        <f t="shared" ca="1" si="0"/>
        <v>3.6822352317732863E-2</v>
      </c>
      <c r="H6" s="101">
        <f>VLOOKUP(A6,'BSE ALL CAP'!$B$4:$Y$1038,7,)</f>
        <v>1775</v>
      </c>
      <c r="I6" s="101">
        <f>VLOOKUP(A6,'BSE ALL CAP'!$B$4:$Y$1038,8,)</f>
        <v>1867</v>
      </c>
      <c r="J6" s="101">
        <f>VLOOKUP(A6,'BSE ALL CAP'!$B$4:$Y$1038,9,)</f>
        <v>448</v>
      </c>
      <c r="K6" s="101">
        <f>VLOOKUP(A6,'BSE ALL CAP'!$B$4:$Y$1038,10,)</f>
        <v>584</v>
      </c>
      <c r="L6" s="101">
        <f>VLOOKUP(A6,'BSE ALL CAP'!$B$4:$Y$1038,11,)</f>
        <v>586</v>
      </c>
      <c r="M6" s="101">
        <f>VLOOKUP(A6,'BSE ALL CAP'!$B$4:$Y$1038,12,)</f>
        <v>582</v>
      </c>
      <c r="N6" s="101">
        <f>VLOOKUP(A6,'BSE ALL CAP'!$B$4:$Y$1038,13,)</f>
        <v>187</v>
      </c>
      <c r="O6" s="101">
        <f>VLOOKUP(A6,'BSE ALL CAP'!$B$4:$Y$1038,14,)</f>
        <v>197</v>
      </c>
      <c r="P6" s="95">
        <f>VLOOKUP(A6,'BSE ALL CAP'!$B$4:$Y$1038,15,)</f>
        <v>0.25239436619718308</v>
      </c>
      <c r="Q6" s="95">
        <f>VLOOKUP(A6,'BSE ALL CAP'!$B$4:$Y$1038,16,)</f>
        <v>0.31280128548473485</v>
      </c>
      <c r="R6" s="95">
        <f>VLOOKUP(A6,'BSE ALL CAP'!$B$4:$Y$1038,17,)</f>
        <v>-6.0406919287551764E-2</v>
      </c>
      <c r="S6" s="95">
        <f>VLOOKUP(A6,'BSE ALL CAP'!$B$4:$Y$1038,18,)</f>
        <v>0.3191126279863481</v>
      </c>
      <c r="T6" s="95">
        <f>VLOOKUP(A6,'BSE ALL CAP'!$B$4:$Y$1038,19,)</f>
        <v>0.33848797250859108</v>
      </c>
      <c r="U6" s="95">
        <f>VLOOKUP(A6,'BSE ALL CAP'!$B$4:$Y$1038,20,)</f>
        <v>-1.9375344522242988E-2</v>
      </c>
      <c r="V6" s="95">
        <f>VLOOKUP(A6,'BSE ALL CAP'!$B$4:$Y$1038,21,)</f>
        <v>-4.9276914836636321E-2</v>
      </c>
      <c r="W6" s="95">
        <f>VLOOKUP(A6,'BSE ALL CAP'!$B$4:$Y$1038,22,)</f>
        <v>-0.23287671232876717</v>
      </c>
      <c r="X6" s="95">
        <f>VLOOKUP(A6,'BSE ALL CAP'!$B$4:$Y$1038,23,)</f>
        <v>6.8728522336769515E-3</v>
      </c>
      <c r="Y6" s="95">
        <f>VLOOKUP(A6,'BSE ALL CAP'!$B$4:$Y$1038,24,)</f>
        <v>-5.0761421319796995E-2</v>
      </c>
    </row>
    <row r="7" spans="1:25" ht="15.75" customHeight="1">
      <c r="A7" s="99">
        <v>533676</v>
      </c>
      <c r="B7" s="98" t="s">
        <v>1720</v>
      </c>
      <c r="C7" s="6" t="str">
        <f>VLOOKUP(A7,'BSE ALL CAP'!$B$4:$Y$1038,2,)</f>
        <v>Financial Services</v>
      </c>
      <c r="D7" s="6" t="str">
        <f>VLOOKUP(A7,'BSE ALL CAP'!$B$4:$Y$1038,3,)</f>
        <v>Stockbroking &amp; Allied</v>
      </c>
      <c r="E7" s="11">
        <f ca="1">IFERROR(__xludf.DUMMYFUNCTION("GOOGLEFINANCE(""BOM:""&amp;A7,""PRICE"")"),297.7)</f>
        <v>297.7</v>
      </c>
      <c r="F7" s="20">
        <f ca="1">IFERROR(__xludf.DUMMYFUNCTION("GOOGLEFINANCE(""BOM:""&amp;A7,""MARKETCAP"")/10000000"),3830.890187)</f>
        <v>3830.890187</v>
      </c>
      <c r="G7" s="95">
        <f t="shared" ca="1" si="0"/>
        <v>1.7196040986447832E-2</v>
      </c>
      <c r="H7" s="101">
        <f>VLOOKUP(A7,'BSE ALL CAP'!$B$4:$Y$1038,7,)</f>
        <v>66</v>
      </c>
      <c r="I7" s="101">
        <f>VLOOKUP(A7,'BSE ALL CAP'!$B$4:$Y$1038,8,)</f>
        <v>26</v>
      </c>
      <c r="J7" s="101">
        <f>VLOOKUP(A7,'BSE ALL CAP'!$B$4:$Y$1038,9,)</f>
        <v>39</v>
      </c>
      <c r="K7" s="101">
        <f>VLOOKUP(A7,'BSE ALL CAP'!$B$4:$Y$1038,10,)</f>
        <v>10</v>
      </c>
      <c r="L7" s="101">
        <f>VLOOKUP(A7,'BSE ALL CAP'!$B$4:$Y$1038,11,)</f>
        <v>27</v>
      </c>
      <c r="M7" s="101">
        <f>VLOOKUP(A7,'BSE ALL CAP'!$B$4:$Y$1038,12,)</f>
        <v>5</v>
      </c>
      <c r="N7" s="101">
        <f>VLOOKUP(A7,'BSE ALL CAP'!$B$4:$Y$1038,13,)</f>
        <v>17</v>
      </c>
      <c r="O7" s="101">
        <f>VLOOKUP(A7,'BSE ALL CAP'!$B$4:$Y$1038,14,)</f>
        <v>0.55000000000000004</v>
      </c>
      <c r="P7" s="95">
        <f>VLOOKUP(A7,'BSE ALL CAP'!$B$4:$Y$1038,15,)</f>
        <v>0.59090909090909094</v>
      </c>
      <c r="Q7" s="95">
        <f>VLOOKUP(A7,'BSE ALL CAP'!$B$4:$Y$1038,16,)</f>
        <v>0.38461538461538464</v>
      </c>
      <c r="R7" s="95">
        <f>VLOOKUP(A7,'BSE ALL CAP'!$B$4:$Y$1038,17,)</f>
        <v>0.2062937062937063</v>
      </c>
      <c r="S7" s="95">
        <f>VLOOKUP(A7,'BSE ALL CAP'!$B$4:$Y$1038,18,)</f>
        <v>0.62962962962962965</v>
      </c>
      <c r="T7" s="95">
        <f>VLOOKUP(A7,'BSE ALL CAP'!$B$4:$Y$1038,19,)</f>
        <v>0.11000000000000001</v>
      </c>
      <c r="U7" s="95">
        <f>VLOOKUP(A7,'BSE ALL CAP'!$B$4:$Y$1038,20,)</f>
        <v>0.51962962962962966</v>
      </c>
      <c r="V7" s="95">
        <f>VLOOKUP(A7,'BSE ALL CAP'!$B$4:$Y$1038,21,)</f>
        <v>1.5384615384615383</v>
      </c>
      <c r="W7" s="95">
        <f>VLOOKUP(A7,'BSE ALL CAP'!$B$4:$Y$1038,22,)</f>
        <v>2.9</v>
      </c>
      <c r="X7" s="95">
        <f>VLOOKUP(A7,'BSE ALL CAP'!$B$4:$Y$1038,23,)</f>
        <v>4.4000000000000004</v>
      </c>
      <c r="Y7" s="95">
        <f>VLOOKUP(A7,'BSE ALL CAP'!$B$4:$Y$1038,24,)</f>
        <v>29.909090909090907</v>
      </c>
    </row>
    <row r="8" spans="1:25" ht="15.75" customHeight="1">
      <c r="A8" s="99">
        <v>540725</v>
      </c>
      <c r="B8" s="98" t="s">
        <v>1721</v>
      </c>
      <c r="C8" s="6" t="str">
        <f>VLOOKUP(A8,'BSE ALL CAP'!$B$4:$Y$1038,2,)</f>
        <v>Financial Services</v>
      </c>
      <c r="D8" s="6" t="str">
        <f>VLOOKUP(A8,'BSE ALL CAP'!$B$4:$Y$1038,3,)</f>
        <v>Stockbroking &amp; Allied</v>
      </c>
      <c r="E8" s="11">
        <f ca="1">IFERROR(__xludf.DUMMYFUNCTION("GOOGLEFINANCE(""BOM:""&amp;A8,""PRICE"")"),130.5)</f>
        <v>130.5</v>
      </c>
      <c r="F8" s="20">
        <f ca="1">IFERROR(__xludf.DUMMYFUNCTION("GOOGLEFINANCE(""BOM:""&amp;A8,""MARKETCAP"")/10000000"),2860.705668)</f>
        <v>2860.7056680000001</v>
      </c>
      <c r="G8" s="95">
        <f t="shared" ca="1" si="0"/>
        <v>1.2841091630354172E-2</v>
      </c>
      <c r="H8" s="101">
        <f>VLOOKUP(A8,'BSE ALL CAP'!$B$4:$Y$1038,7,)</f>
        <v>1067</v>
      </c>
      <c r="I8" s="101">
        <f>VLOOKUP(A8,'BSE ALL CAP'!$B$4:$Y$1038,8,)</f>
        <v>1226</v>
      </c>
      <c r="J8" s="101">
        <f>VLOOKUP(A8,'BSE ALL CAP'!$B$4:$Y$1038,9,)</f>
        <v>266</v>
      </c>
      <c r="K8" s="101">
        <f>VLOOKUP(A8,'BSE ALL CAP'!$B$4:$Y$1038,10,)</f>
        <v>309</v>
      </c>
      <c r="L8" s="101">
        <f>VLOOKUP(A8,'BSE ALL CAP'!$B$4:$Y$1038,11,)</f>
        <v>377</v>
      </c>
      <c r="M8" s="101">
        <f>VLOOKUP(A8,'BSE ALL CAP'!$B$4:$Y$1038,12,)</f>
        <v>349</v>
      </c>
      <c r="N8" s="101">
        <f>VLOOKUP(A8,'BSE ALL CAP'!$B$4:$Y$1038,13,)</f>
        <v>88</v>
      </c>
      <c r="O8" s="101">
        <f>VLOOKUP(A8,'BSE ALL CAP'!$B$4:$Y$1038,14,)</f>
        <v>82</v>
      </c>
      <c r="P8" s="95">
        <f>VLOOKUP(A8,'BSE ALL CAP'!$B$4:$Y$1038,15,)</f>
        <v>0.24929709465791941</v>
      </c>
      <c r="Q8" s="95">
        <f>VLOOKUP(A8,'BSE ALL CAP'!$B$4:$Y$1038,16,)</f>
        <v>0.25203915171288743</v>
      </c>
      <c r="R8" s="95">
        <f>VLOOKUP(A8,'BSE ALL CAP'!$B$4:$Y$1038,17,)</f>
        <v>-2.7420570549680223E-3</v>
      </c>
      <c r="S8" s="95">
        <f>VLOOKUP(A8,'BSE ALL CAP'!$B$4:$Y$1038,18,)</f>
        <v>0.23342175066312998</v>
      </c>
      <c r="T8" s="95">
        <f>VLOOKUP(A8,'BSE ALL CAP'!$B$4:$Y$1038,19,)</f>
        <v>0.23495702005730659</v>
      </c>
      <c r="U8" s="95">
        <f>VLOOKUP(A8,'BSE ALL CAP'!$B$4:$Y$1038,20,)</f>
        <v>-1.5352693941766138E-3</v>
      </c>
      <c r="V8" s="95">
        <f>VLOOKUP(A8,'BSE ALL CAP'!$B$4:$Y$1038,21,)</f>
        <v>-0.12969004893964109</v>
      </c>
      <c r="W8" s="95">
        <f>VLOOKUP(A8,'BSE ALL CAP'!$B$4:$Y$1038,22,)</f>
        <v>-0.13915857605177995</v>
      </c>
      <c r="X8" s="95">
        <f>VLOOKUP(A8,'BSE ALL CAP'!$B$4:$Y$1038,23,)</f>
        <v>8.022922636103158E-2</v>
      </c>
      <c r="Y8" s="95">
        <f>VLOOKUP(A8,'BSE ALL CAP'!$B$4:$Y$1038,24,)</f>
        <v>7.3170731707317138E-2</v>
      </c>
    </row>
    <row r="9" spans="1:25" ht="15.75" customHeight="1">
      <c r="A9" s="99">
        <v>544530</v>
      </c>
      <c r="B9" s="98" t="s">
        <v>1722</v>
      </c>
      <c r="C9" s="6" t="e">
        <f>VLOOKUP(A9,'BSE ALL CAP'!$B$4:$Y$1038,2,)</f>
        <v>#N/A</v>
      </c>
      <c r="D9" s="6" t="e">
        <f>VLOOKUP(A9,'BSE ALL CAP'!$B$4:$Y$1038,3,)</f>
        <v>#N/A</v>
      </c>
      <c r="E9" s="11">
        <f ca="1">IFERROR(__xludf.DUMMYFUNCTION("GOOGLEFINANCE(""BOM:""&amp;A9,""PRICE"")"),464.95)</f>
        <v>464.95</v>
      </c>
      <c r="F9" s="20">
        <f ca="1">IFERROR(__xludf.DUMMYFUNCTION("GOOGLEFINANCE(""BOM:""&amp;A9,""MARKETCAP"")/10000000"),2912.9605717)</f>
        <v>2912.9605716999999</v>
      </c>
      <c r="G9" s="95">
        <f t="shared" ca="1" si="0"/>
        <v>1.3075652638867905E-2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511551</v>
      </c>
      <c r="B10" s="98" t="s">
        <v>1723</v>
      </c>
      <c r="C10" s="6" t="str">
        <f>VLOOKUP(A10,'BSE ALL CAP'!$B$4:$Y$1038,2,)</f>
        <v>Financial Services</v>
      </c>
      <c r="D10" s="6" t="str">
        <f>VLOOKUP(A10,'BSE ALL CAP'!$B$4:$Y$1038,3,)</f>
        <v>Stockbroking &amp; Allied</v>
      </c>
      <c r="E10" s="11">
        <f ca="1">IFERROR(__xludf.DUMMYFUNCTION("GOOGLEFINANCE(""BOM:""&amp;A10,""PRICE"")"),277.3)</f>
        <v>277.3</v>
      </c>
      <c r="F10" s="20">
        <f ca="1">IFERROR(__xludf.DUMMYFUNCTION("GOOGLEFINANCE(""BOM:""&amp;A10,""MARKETCAP"")/10000000"),2195.732187)</f>
        <v>2195.7321870000001</v>
      </c>
      <c r="G10" s="95">
        <f t="shared" ca="1" si="0"/>
        <v>9.8561688902085824E-3</v>
      </c>
      <c r="H10" s="101">
        <f>VLOOKUP(A10,'BSE ALL CAP'!$B$4:$Y$1038,7,)</f>
        <v>273</v>
      </c>
      <c r="I10" s="101">
        <f>VLOOKUP(A10,'BSE ALL CAP'!$B$4:$Y$1038,8,)</f>
        <v>266</v>
      </c>
      <c r="J10" s="101">
        <f>VLOOKUP(A10,'BSE ALL CAP'!$B$4:$Y$1038,9,)</f>
        <v>135</v>
      </c>
      <c r="K10" s="101">
        <f>VLOOKUP(A10,'BSE ALL CAP'!$B$4:$Y$1038,10,)</f>
        <v>124</v>
      </c>
      <c r="L10" s="101">
        <f>VLOOKUP(A10,'BSE ALL CAP'!$B$4:$Y$1038,11,)</f>
        <v>91</v>
      </c>
      <c r="M10" s="101">
        <f>VLOOKUP(A10,'BSE ALL CAP'!$B$4:$Y$1038,12,)</f>
        <v>76</v>
      </c>
      <c r="N10" s="101">
        <f>VLOOKUP(A10,'BSE ALL CAP'!$B$4:$Y$1038,13,)</f>
        <v>45</v>
      </c>
      <c r="O10" s="101">
        <f>VLOOKUP(A10,'BSE ALL CAP'!$B$4:$Y$1038,14,)</f>
        <v>40</v>
      </c>
      <c r="P10" s="95">
        <f>VLOOKUP(A10,'BSE ALL CAP'!$B$4:$Y$1038,15,)</f>
        <v>0.49450549450549453</v>
      </c>
      <c r="Q10" s="95">
        <f>VLOOKUP(A10,'BSE ALL CAP'!$B$4:$Y$1038,16,)</f>
        <v>0.46616541353383456</v>
      </c>
      <c r="R10" s="95">
        <f>VLOOKUP(A10,'BSE ALL CAP'!$B$4:$Y$1038,17,)</f>
        <v>2.8340080971659964E-2</v>
      </c>
      <c r="S10" s="95">
        <f>VLOOKUP(A10,'BSE ALL CAP'!$B$4:$Y$1038,18,)</f>
        <v>0.49450549450549453</v>
      </c>
      <c r="T10" s="95">
        <f>VLOOKUP(A10,'BSE ALL CAP'!$B$4:$Y$1038,19,)</f>
        <v>0.52631578947368418</v>
      </c>
      <c r="U10" s="95">
        <f>VLOOKUP(A10,'BSE ALL CAP'!$B$4:$Y$1038,20,)</f>
        <v>-3.1810294968189656E-2</v>
      </c>
      <c r="V10" s="95">
        <f>VLOOKUP(A10,'BSE ALL CAP'!$B$4:$Y$1038,21,)</f>
        <v>2.6315789473684292E-2</v>
      </c>
      <c r="W10" s="95">
        <f>VLOOKUP(A10,'BSE ALL CAP'!$B$4:$Y$1038,22,)</f>
        <v>8.870967741935476E-2</v>
      </c>
      <c r="X10" s="95">
        <f>VLOOKUP(A10,'BSE ALL CAP'!$B$4:$Y$1038,23,)</f>
        <v>0.19736842105263164</v>
      </c>
      <c r="Y10" s="95">
        <f>VLOOKUP(A10,'BSE ALL CAP'!$B$4:$Y$1038,24,)</f>
        <v>0.125</v>
      </c>
    </row>
    <row r="11" spans="1:25" ht="15.75" customHeight="1">
      <c r="A11" s="99">
        <v>532285</v>
      </c>
      <c r="B11" s="98" t="s">
        <v>1724</v>
      </c>
      <c r="C11" s="6"/>
      <c r="D11" s="6"/>
      <c r="E11" s="11">
        <f ca="1">IFERROR(__xludf.DUMMYFUNCTION("GOOGLEFINANCE(""BOM:""&amp;A11,""PRICE"")"),58.02)</f>
        <v>58.02</v>
      </c>
      <c r="F11" s="20">
        <f ca="1">IFERROR(__xludf.DUMMYFUNCTION("GOOGLEFINANCE(""BOM:""&amp;A11,""MARKETCAP"")/10000000"),1613.0466414)</f>
        <v>1613.0466414</v>
      </c>
      <c r="G11" s="95">
        <f t="shared" ca="1" si="0"/>
        <v>7.2406189696312536E-3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540776</v>
      </c>
      <c r="B12" s="98" t="s">
        <v>1725</v>
      </c>
      <c r="C12" s="6"/>
      <c r="D12" s="6"/>
      <c r="E12" s="11">
        <f ca="1">IFERROR(__xludf.DUMMYFUNCTION("GOOGLEFINANCE(""BOM:""&amp;A12,""PRICE"")"),281.35)</f>
        <v>281.35000000000002</v>
      </c>
      <c r="F12" s="20">
        <f ca="1">IFERROR(__xludf.DUMMYFUNCTION("GOOGLEFINANCE(""BOM:""&amp;A12,""MARKETCAP"")/10000000"),1317.17079)</f>
        <v>1317.1707899999999</v>
      </c>
      <c r="G12" s="95">
        <f t="shared" ca="1" si="0"/>
        <v>5.9124959958012681E-3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543263</v>
      </c>
      <c r="B13" s="98" t="s">
        <v>1726</v>
      </c>
      <c r="C13" s="6"/>
      <c r="D13" s="6"/>
      <c r="E13" s="11">
        <f ca="1">IFERROR(__xludf.DUMMYFUNCTION("GOOGLEFINANCE(""BOM:""&amp;A13,""PRICE"")"),62.03)</f>
        <v>62.03</v>
      </c>
      <c r="F13" s="20">
        <f ca="1">IFERROR(__xludf.DUMMYFUNCTION("GOOGLEFINANCE(""BOM:""&amp;A13,""MARKETCAP"")/10000000"),1292.6261904)</f>
        <v>1292.6261904</v>
      </c>
      <c r="G13" s="95">
        <f t="shared" ca="1" si="0"/>
        <v>5.8023205743940372E-3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505526</v>
      </c>
      <c r="B14" s="98" t="s">
        <v>1727</v>
      </c>
      <c r="C14" s="6"/>
      <c r="D14" s="6"/>
      <c r="E14" s="11">
        <f ca="1">IFERROR(__xludf.DUMMYFUNCTION("GOOGLEFINANCE(""BOM:""&amp;A14,""PRICE"")"),70.59)</f>
        <v>70.59</v>
      </c>
      <c r="F14" s="20">
        <f ca="1">IFERROR(__xludf.DUMMYFUNCTION("GOOGLEFINANCE(""BOM:""&amp;A14,""MARKETCAP"")/10000000"),1245.3760375)</f>
        <v>1245.3760374999999</v>
      </c>
      <c r="G14" s="95">
        <f t="shared" ca="1" si="0"/>
        <v>5.5902248143428687E-3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544316</v>
      </c>
      <c r="B15" s="98" t="s">
        <v>1728</v>
      </c>
      <c r="C15" s="6"/>
      <c r="D15" s="6"/>
      <c r="E15" s="11">
        <f ca="1">IFERROR(__xludf.DUMMYFUNCTION("GOOGLEFINANCE(""BOM:""&amp;A15,""PRICE"")"),136.3)</f>
        <v>136.30000000000001</v>
      </c>
      <c r="F15" s="20">
        <f ca="1">IFERROR(__xludf.DUMMYFUNCTION("GOOGLEFINANCE(""BOM:""&amp;A15,""MARKETCAP"")/10000000"),960.3400003)</f>
        <v>960.34000030000004</v>
      </c>
      <c r="G15" s="95">
        <f t="shared" ca="1" si="0"/>
        <v>4.3107594318740842E-3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511768</v>
      </c>
      <c r="B16" s="98" t="s">
        <v>1729</v>
      </c>
      <c r="C16" s="6"/>
      <c r="D16" s="6"/>
      <c r="E16" s="11">
        <f ca="1">IFERROR(__xludf.DUMMYFUNCTION("GOOGLEFINANCE(""BOM:""&amp;A16,""PRICE"")"),72.57)</f>
        <v>72.569999999999993</v>
      </c>
      <c r="F16" s="20">
        <f ca="1">IFERROR(__xludf.DUMMYFUNCTION("GOOGLEFINANCE(""BOM:""&amp;A16,""MARKETCAP"")/10000000"),892.1119907)</f>
        <v>892.11199069999998</v>
      </c>
      <c r="G16" s="95">
        <f t="shared" ca="1" si="0"/>
        <v>4.0044985911204785E-3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526506</v>
      </c>
      <c r="B17" s="98" t="s">
        <v>1730</v>
      </c>
      <c r="C17" s="6"/>
      <c r="D17" s="6"/>
      <c r="E17" s="11">
        <f ca="1">IFERROR(__xludf.DUMMYFUNCTION("GOOGLEFINANCE(""BOM:""&amp;A17,""PRICE"")"),61.1)</f>
        <v>61.1</v>
      </c>
      <c r="F17" s="20">
        <f ca="1">IFERROR(__xludf.DUMMYFUNCTION("GOOGLEFINANCE(""BOM:""&amp;A17,""MARKETCAP"")/10000000"),849.4028987)</f>
        <v>849.40289870000004</v>
      </c>
      <c r="G17" s="95">
        <f t="shared" ca="1" si="0"/>
        <v>3.8127866754361752E-3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511605</v>
      </c>
      <c r="B18" s="98" t="s">
        <v>1731</v>
      </c>
      <c r="C18" s="6"/>
      <c r="D18" s="6"/>
      <c r="E18" s="11">
        <f ca="1">IFERROR(__xludf.DUMMYFUNCTION("GOOGLEFINANCE(""BOM:""&amp;A18,""PRICE"")"),64)</f>
        <v>64</v>
      </c>
      <c r="F18" s="20">
        <f ca="1">IFERROR(__xludf.DUMMYFUNCTION("GOOGLEFINANCE(""BOM:""&amp;A18,""MARKETCAP"")/10000000"),699.8745187)</f>
        <v>699.87451869999995</v>
      </c>
      <c r="G18" s="95">
        <f t="shared" ca="1" si="0"/>
        <v>3.1415859817063583E-3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532974</v>
      </c>
      <c r="B19" s="98" t="s">
        <v>1732</v>
      </c>
      <c r="C19" s="6"/>
      <c r="D19" s="6"/>
      <c r="E19" s="11">
        <f ca="1">IFERROR(__xludf.DUMMYFUNCTION("GOOGLEFINANCE(""BOM:""&amp;A19,""PRICE"")"),113)</f>
        <v>113</v>
      </c>
      <c r="F19" s="20">
        <f ca="1">IFERROR(__xludf.DUMMYFUNCTION("GOOGLEFINANCE(""BOM:""&amp;A19,""MARKETCAP"")/10000000"),642.8437646)</f>
        <v>642.84376459999999</v>
      </c>
      <c r="G19" s="95">
        <f t="shared" ca="1" si="0"/>
        <v>2.8855872093271314E-3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532737</v>
      </c>
      <c r="B20" s="98" t="s">
        <v>1733</v>
      </c>
      <c r="C20" s="6"/>
      <c r="D20" s="6"/>
      <c r="E20" s="11">
        <f ca="1">IFERROR(__xludf.DUMMYFUNCTION("GOOGLEFINANCE(""BOM:""&amp;A20,""PRICE"")"),205)</f>
        <v>205</v>
      </c>
      <c r="F20" s="20">
        <f ca="1">IFERROR(__xludf.DUMMYFUNCTION("GOOGLEFINANCE(""BOM:""&amp;A20,""MARKETCAP"")/10000000"),537.792363)</f>
        <v>537.79236300000002</v>
      </c>
      <c r="G20" s="95">
        <f t="shared" ca="1" si="0"/>
        <v>2.4140340925795979E-3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544141</v>
      </c>
      <c r="B21" s="98" t="s">
        <v>1734</v>
      </c>
      <c r="C21" s="6"/>
      <c r="D21" s="6"/>
      <c r="E21" s="11">
        <f ca="1">IFERROR(__xludf.DUMMYFUNCTION("GOOGLEFINANCE(""BOM:""&amp;A21,""PRICE"")"),234)</f>
        <v>234</v>
      </c>
      <c r="F21" s="20">
        <f ca="1">IFERROR(__xludf.DUMMYFUNCTION("GOOGLEFINANCE(""BOM:""&amp;A21,""MARKETCAP"")/10000000"),368.5701)</f>
        <v>368.57010000000002</v>
      </c>
      <c r="G21" s="95">
        <f t="shared" ca="1" si="0"/>
        <v>1.6544317995558291E-3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531400</v>
      </c>
      <c r="B22" s="98" t="s">
        <v>1735</v>
      </c>
      <c r="C22" s="6"/>
      <c r="D22" s="6"/>
      <c r="E22" s="11">
        <f ca="1">IFERROR(__xludf.DUMMYFUNCTION("GOOGLEFINANCE(""BOM:""&amp;A22,""PRICE"")"),12.52)</f>
        <v>12.52</v>
      </c>
      <c r="F22" s="20">
        <f ca="1">IFERROR(__xludf.DUMMYFUNCTION("GOOGLEFINANCE(""BOM:""&amp;A22,""MARKETCAP"")/10000000"),220.0103702)</f>
        <v>220.01037020000001</v>
      </c>
      <c r="G22" s="95">
        <f t="shared" ca="1" si="0"/>
        <v>9.8757916795456317E-4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512393</v>
      </c>
      <c r="B23" s="98" t="s">
        <v>1736</v>
      </c>
      <c r="C23" s="6"/>
      <c r="D23" s="6"/>
      <c r="E23" s="11">
        <f ca="1">IFERROR(__xludf.DUMMYFUNCTION("GOOGLEFINANCE(""BOM:""&amp;A23,""PRICE"")"),25)</f>
        <v>25</v>
      </c>
      <c r="F23" s="20">
        <f ca="1">IFERROR(__xludf.DUMMYFUNCTION("GOOGLEFINANCE(""BOM:""&amp;A23,""MARKETCAP"")/10000000"),218.730425)</f>
        <v>218.730425</v>
      </c>
      <c r="G23" s="95">
        <f t="shared" ca="1" si="0"/>
        <v>9.8183376961495606E-4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544340</v>
      </c>
      <c r="B24" s="98" t="s">
        <v>1737</v>
      </c>
      <c r="C24" s="6"/>
      <c r="D24" s="6"/>
      <c r="E24" s="11">
        <f ca="1">IFERROR(__xludf.DUMMYFUNCTION("GOOGLEFINANCE(""BOM:""&amp;A24,""PRICE"")"),47.5)</f>
        <v>47.5</v>
      </c>
      <c r="F24" s="20">
        <f ca="1">IFERROR(__xludf.DUMMYFUNCTION("GOOGLEFINANCE(""BOM:""&amp;A24,""MARKETCAP"")/10000000"),181.887)</f>
        <v>181.887</v>
      </c>
      <c r="G24" s="95">
        <f t="shared" ca="1" si="0"/>
        <v>8.1645156979855691E-4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511473</v>
      </c>
      <c r="B25" s="98" t="s">
        <v>1738</v>
      </c>
      <c r="C25" s="6"/>
      <c r="D25" s="6"/>
      <c r="E25" s="11">
        <f ca="1">IFERROR(__xludf.DUMMYFUNCTION("GOOGLEFINANCE(""BOM:""&amp;A25,""PRICE"")"),31.69)</f>
        <v>31.69</v>
      </c>
      <c r="F25" s="20">
        <f ca="1">IFERROR(__xludf.DUMMYFUNCTION("GOOGLEFINANCE(""BOM:""&amp;A25,""MARKETCAP"")/10000000"),141.3445368)</f>
        <v>141.34453679999999</v>
      </c>
      <c r="G25" s="95">
        <f t="shared" ca="1" si="0"/>
        <v>6.344651841682467E-4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512597</v>
      </c>
      <c r="B26" s="98" t="s">
        <v>1739</v>
      </c>
      <c r="C26" s="6"/>
      <c r="D26" s="6"/>
      <c r="E26" s="11">
        <f ca="1">IFERROR(__xludf.DUMMYFUNCTION("GOOGLEFINANCE(""BOM:""&amp;A26,""PRICE"")"),230)</f>
        <v>230</v>
      </c>
      <c r="F26" s="20">
        <f ca="1">IFERROR(__xludf.DUMMYFUNCTION("GOOGLEFINANCE(""BOM:""&amp;A26,""MARKETCAP"")/10000000"),130.5376)</f>
        <v>130.5376</v>
      </c>
      <c r="G26" s="95">
        <f t="shared" ca="1" si="0"/>
        <v>5.8595517237480463E-4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511200</v>
      </c>
      <c r="B27" s="98" t="s">
        <v>1740</v>
      </c>
      <c r="C27" s="6"/>
      <c r="D27" s="6"/>
      <c r="E27" s="11">
        <f ca="1">IFERROR(__xludf.DUMMYFUNCTION("GOOGLEFINANCE(""BOM:""&amp;A27,""PRICE"")"),123.5)</f>
        <v>123.5</v>
      </c>
      <c r="F27" s="20">
        <f ca="1">IFERROR(__xludf.DUMMYFUNCTION("GOOGLEFINANCE(""BOM:""&amp;A27,""MARKETCAP"")/10000000"),113.2001)</f>
        <v>113.20010000000001</v>
      </c>
      <c r="G27" s="95">
        <f t="shared" ca="1" si="0"/>
        <v>5.0813086887107727E-4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530585</v>
      </c>
      <c r="B28" s="98" t="s">
        <v>1741</v>
      </c>
      <c r="C28" s="6"/>
      <c r="D28" s="6"/>
      <c r="E28" s="11">
        <f ca="1">IFERROR(__xludf.DUMMYFUNCTION("GOOGLEFINANCE(""BOM:""&amp;A28,""PRICE"")"),54.91)</f>
        <v>54.91</v>
      </c>
      <c r="F28" s="20">
        <f ca="1">IFERROR(__xludf.DUMMYFUNCTION("GOOGLEFINANCE(""BOM:""&amp;A28,""MARKETCAP"")/10000000"),110.3608631)</f>
        <v>110.3608631</v>
      </c>
      <c r="G28" s="95">
        <f t="shared" ca="1" si="0"/>
        <v>4.9538614591652312E-4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540192</v>
      </c>
      <c r="B29" s="98" t="s">
        <v>1742</v>
      </c>
      <c r="C29" s="6"/>
      <c r="D29" s="6"/>
      <c r="E29" s="11">
        <f ca="1">IFERROR(__xludf.DUMMYFUNCTION("GOOGLEFINANCE(""BOM:""&amp;A29,""PRICE"")"),13.25)</f>
        <v>13.25</v>
      </c>
      <c r="F29" s="20">
        <f ca="1">IFERROR(__xludf.DUMMYFUNCTION("GOOGLEFINANCE(""BOM:""&amp;A29,""MARKETCAP"")/10000000"),109.0676002)</f>
        <v>109.0676002</v>
      </c>
      <c r="G29" s="95">
        <f t="shared" ca="1" si="0"/>
        <v>4.8958096728986343E-4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533506</v>
      </c>
      <c r="B30" s="98" t="s">
        <v>1743</v>
      </c>
      <c r="C30" s="6"/>
      <c r="D30" s="6"/>
      <c r="E30" s="11">
        <f ca="1">IFERROR(__xludf.DUMMYFUNCTION("GOOGLEFINANCE(""BOM:""&amp;A30,""PRICE"")"),1.03)</f>
        <v>1.03</v>
      </c>
      <c r="F30" s="20">
        <f ca="1">IFERROR(__xludf.DUMMYFUNCTION("GOOGLEFINANCE(""BOM:""&amp;A30,""MARKETCAP"")/10000000"),107.0999979)</f>
        <v>107.09999790000001</v>
      </c>
      <c r="G30" s="95">
        <f t="shared" ca="1" si="0"/>
        <v>4.8074882432981548E-4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530393</v>
      </c>
      <c r="B31" s="98" t="s">
        <v>1744</v>
      </c>
      <c r="C31" s="6"/>
      <c r="D31" s="6"/>
      <c r="E31" s="11">
        <f ca="1">IFERROR(__xludf.DUMMYFUNCTION("GOOGLEFINANCE(""BOM:""&amp;A31,""PRICE"")"),25.51)</f>
        <v>25.51</v>
      </c>
      <c r="F31" s="20">
        <f ca="1">IFERROR(__xludf.DUMMYFUNCTION("GOOGLEFINANCE(""BOM:""&amp;A31,""MARKETCAP"")/10000000"),91)</f>
        <v>91</v>
      </c>
      <c r="G31" s="95">
        <f t="shared" ca="1" si="0"/>
        <v>4.0847940123081187E-4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530723</v>
      </c>
      <c r="B32" s="98" t="s">
        <v>1745</v>
      </c>
      <c r="C32" s="6"/>
      <c r="D32" s="6"/>
      <c r="E32" s="11">
        <f ca="1">IFERROR(__xludf.DUMMYFUNCTION("GOOGLEFINANCE(""BOM:""&amp;A32,""PRICE"")"),108)</f>
        <v>108</v>
      </c>
      <c r="F32" s="20">
        <f ca="1">IFERROR(__xludf.DUMMYFUNCTION("GOOGLEFINANCE(""BOM:""&amp;A32,""MARKETCAP"")/10000000"),89.0569296)</f>
        <v>89.056929600000004</v>
      </c>
      <c r="G32" s="95">
        <f t="shared" ca="1" si="0"/>
        <v>3.9975737668640184E-4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538862</v>
      </c>
      <c r="B33" s="98" t="s">
        <v>1746</v>
      </c>
      <c r="C33" s="6"/>
      <c r="D33" s="6"/>
      <c r="E33" s="11">
        <f ca="1">IFERROR(__xludf.DUMMYFUNCTION("GOOGLEFINANCE(""BOM:""&amp;A33,""PRICE"")"),44)</f>
        <v>44</v>
      </c>
      <c r="F33" s="20">
        <f ca="1">IFERROR(__xludf.DUMMYFUNCTION("GOOGLEFINANCE(""BOM:""&amp;A33,""MARKETCAP"")/10000000"),75.601305)</f>
        <v>75.601304999999996</v>
      </c>
      <c r="G33" s="95">
        <f t="shared" ca="1" si="0"/>
        <v>3.3935797580953825E-4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532053</v>
      </c>
      <c r="B34" s="98" t="s">
        <v>1747</v>
      </c>
      <c r="C34" s="6"/>
      <c r="D34" s="6"/>
      <c r="E34" s="11">
        <f ca="1">IFERROR(__xludf.DUMMYFUNCTION("GOOGLEFINANCE(""BOM:""&amp;A34,""PRICE"")"),66.2)</f>
        <v>66.2</v>
      </c>
      <c r="F34" s="20">
        <f ca="1">IFERROR(__xludf.DUMMYFUNCTION("GOOGLEFINANCE(""BOM:""&amp;A34,""MARKETCAP"")/10000000"),64.1292544)</f>
        <v>64.129254399999994</v>
      </c>
      <c r="G34" s="95">
        <f t="shared" ca="1" si="0"/>
        <v>2.8786241141418029E-4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533632</v>
      </c>
      <c r="B35" s="98" t="s">
        <v>1748</v>
      </c>
      <c r="C35" s="6"/>
      <c r="D35" s="6"/>
      <c r="E35" s="11">
        <f ca="1">IFERROR(__xludf.DUMMYFUNCTION("GOOGLEFINANCE(""BOM:""&amp;A35,""PRICE"")"),15.28)</f>
        <v>15.28</v>
      </c>
      <c r="F35" s="20">
        <f ca="1">IFERROR(__xludf.DUMMYFUNCTION("GOOGLEFINANCE(""BOM:""&amp;A35,""MARKETCAP"")/10000000"),59.6265601)</f>
        <v>59.626560099999999</v>
      </c>
      <c r="G35" s="95">
        <f t="shared" ca="1" si="0"/>
        <v>2.6765078645165952E-4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531861</v>
      </c>
      <c r="B36" s="98" t="s">
        <v>1749</v>
      </c>
      <c r="C36" s="6"/>
      <c r="D36" s="6"/>
      <c r="E36" s="11">
        <f ca="1">IFERROR(__xludf.DUMMYFUNCTION("GOOGLEFINANCE(""BOM:""&amp;A36,""PRICE"")"),41.5)</f>
        <v>41.5</v>
      </c>
      <c r="F36" s="20">
        <f ca="1">IFERROR(__xludf.DUMMYFUNCTION("GOOGLEFINANCE(""BOM:""&amp;A36,""MARKETCAP"")/10000000"),57.4212675)</f>
        <v>57.421267499999999</v>
      </c>
      <c r="G36" s="95">
        <f t="shared" ca="1" si="0"/>
        <v>2.5775170292653053E-4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500262</v>
      </c>
      <c r="B37" s="98" t="s">
        <v>1750</v>
      </c>
      <c r="C37" s="6"/>
      <c r="D37" s="6"/>
      <c r="E37" s="11">
        <f ca="1">IFERROR(__xludf.DUMMYFUNCTION("GOOGLEFINANCE(""BOM:""&amp;A37,""PRICE"")"),17.62)</f>
        <v>17.62</v>
      </c>
      <c r="F37" s="20">
        <f ca="1">IFERROR(__xludf.DUMMYFUNCTION("GOOGLEFINANCE(""BOM:""&amp;A37,""MARKETCAP"")/10000000"),51.6606516)</f>
        <v>51.660651600000001</v>
      </c>
      <c r="G37" s="95">
        <f t="shared" ca="1" si="0"/>
        <v>2.3189353882155587E-4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531600</v>
      </c>
      <c r="B38" s="98" t="s">
        <v>1751</v>
      </c>
      <c r="C38" s="6"/>
      <c r="D38" s="6"/>
      <c r="E38" s="11">
        <f ca="1">IFERROR(__xludf.DUMMYFUNCTION("GOOGLEFINANCE(""BOM:""&amp;A38,""PRICE"")"),79)</f>
        <v>79</v>
      </c>
      <c r="F38" s="20">
        <f ca="1">IFERROR(__xludf.DUMMYFUNCTION("GOOGLEFINANCE(""BOM:""&amp;A38,""MARKETCAP"")/10000000"),49.93674)</f>
        <v>49.93674</v>
      </c>
      <c r="G38" s="95">
        <f t="shared" ca="1" si="0"/>
        <v>2.2415527092987616E-4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531892</v>
      </c>
      <c r="B39" s="98" t="s">
        <v>1752</v>
      </c>
      <c r="C39" s="6"/>
      <c r="D39" s="6"/>
      <c r="E39" s="11">
        <f ca="1">IFERROR(__xludf.DUMMYFUNCTION("GOOGLEFINANCE(""BOM:""&amp;A39,""PRICE"")"),13.44)</f>
        <v>13.44</v>
      </c>
      <c r="F39" s="20">
        <f ca="1">IFERROR(__xludf.DUMMYFUNCTION("GOOGLEFINANCE(""BOM:""&amp;A39,""MARKETCAP"")/10000000"),21.6298888)</f>
        <v>21.6298888</v>
      </c>
      <c r="G39" s="95">
        <f t="shared" ca="1" si="0"/>
        <v>9.7091912370473005E-5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535431</v>
      </c>
      <c r="B40" s="98" t="s">
        <v>1753</v>
      </c>
      <c r="C40" s="6"/>
      <c r="D40" s="6"/>
      <c r="E40" s="11">
        <f ca="1">IFERROR(__xludf.DUMMYFUNCTION("GOOGLEFINANCE(""BOM:""&amp;A40,""PRICE"")"),0.64)</f>
        <v>0.64</v>
      </c>
      <c r="F40" s="20">
        <f ca="1">IFERROR(__xludf.DUMMYFUNCTION("GOOGLEFINANCE(""BOM:""&amp;A40,""MARKETCAP"")/10000000"),12.1574397)</f>
        <v>12.157439699999999</v>
      </c>
      <c r="G40" s="95">
        <f t="shared" ca="1" si="0"/>
        <v>5.4572128452260444E-5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543235</v>
      </c>
      <c r="B41" s="98" t="s">
        <v>1754</v>
      </c>
      <c r="C41" s="6" t="str">
        <f>VLOOKUP(A41,'BSE ALL CAP'!$B$4:$Y$1038,2,)</f>
        <v>Financial Services</v>
      </c>
      <c r="D41" s="6" t="str">
        <f>VLOOKUP(A41,'BSE ALL CAP'!$B$4:$Y$1038,3,)</f>
        <v>Stockbroking &amp; Allied</v>
      </c>
      <c r="E41" s="11">
        <f ca="1">IFERROR(__xludf.DUMMYFUNCTION("GOOGLEFINANCE(""BOM:""&amp;A41,""PRICE"")"),245.7)</f>
        <v>245.7</v>
      </c>
      <c r="F41" s="20"/>
      <c r="G41" s="95">
        <f t="shared" ca="1" si="0"/>
        <v>0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3.2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3.2">
      <c r="A43" s="101"/>
      <c r="B43" s="101"/>
      <c r="C43" s="101"/>
      <c r="D43" s="101"/>
      <c r="E43" s="101"/>
      <c r="F43" s="112">
        <f ca="1">SUM(F2:F41)</f>
        <v>222777.4515087</v>
      </c>
      <c r="G43" s="95">
        <f ca="1">F43/$F$43</f>
        <v>1</v>
      </c>
      <c r="H43" s="101">
        <f t="shared" ref="H43:O43" si="1">SUM(H2:H41)</f>
        <v>19861</v>
      </c>
      <c r="I43" s="101">
        <f t="shared" si="1"/>
        <v>19612</v>
      </c>
      <c r="J43" s="101">
        <f t="shared" si="1"/>
        <v>6067</v>
      </c>
      <c r="K43" s="101">
        <f t="shared" si="1"/>
        <v>6608</v>
      </c>
      <c r="L43" s="101">
        <f t="shared" si="1"/>
        <v>6787</v>
      </c>
      <c r="M43" s="101">
        <f t="shared" si="1"/>
        <v>6003</v>
      </c>
      <c r="N43" s="101">
        <f t="shared" si="1"/>
        <v>2030</v>
      </c>
      <c r="O43" s="101">
        <f t="shared" si="1"/>
        <v>2169.5500000000002</v>
      </c>
      <c r="P43" s="95">
        <f t="shared" ref="P43:Q43" si="2">J43/H43</f>
        <v>0.30547303761139921</v>
      </c>
      <c r="Q43" s="95">
        <f t="shared" si="2"/>
        <v>0.33693656944727718</v>
      </c>
      <c r="R43" s="95">
        <f>P43-Q43</f>
        <v>-3.1463531835877967E-2</v>
      </c>
      <c r="S43" s="95">
        <f t="shared" ref="S43:T43" si="3">N43/L43</f>
        <v>0.29910122292618241</v>
      </c>
      <c r="T43" s="95">
        <f t="shared" si="3"/>
        <v>0.36141096118607369</v>
      </c>
      <c r="U43" s="95">
        <f>S43-T43</f>
        <v>-6.2309738259891279E-2</v>
      </c>
      <c r="V43" s="95">
        <f>(H43/I43)-1</f>
        <v>1.2696308382622812E-2</v>
      </c>
      <c r="W43" s="95">
        <f>(J43/K43)-1</f>
        <v>-8.187046004842613E-2</v>
      </c>
      <c r="X43" s="95">
        <f>(L43/M43)-1</f>
        <v>0.13060136598367489</v>
      </c>
      <c r="Y43" s="95">
        <f>(N43/O43)-1</f>
        <v>-6.4322094443548306E-2</v>
      </c>
    </row>
  </sheetData>
  <autoFilter ref="A1:Y41" xr:uid="{00000000-0009-0000-0000-000022000000}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544045</v>
      </c>
      <c r="B2" s="98" t="s">
        <v>1755</v>
      </c>
      <c r="C2" s="6" t="str">
        <f>VLOOKUP(A2,'BSE ALL CAP'!$B$4:$Y$1038,2,)</f>
        <v>Fast Moving Consumer Goods</v>
      </c>
      <c r="D2" s="6" t="str">
        <f>VLOOKUP(A2,'BSE ALL CAP'!$B$4:$Y$1038,3,)</f>
        <v>Stationary</v>
      </c>
      <c r="E2" s="11">
        <f ca="1">IFERROR(__xludf.DUMMYFUNCTION("GOOGLEFINANCE(""BOM:""&amp;A2,""PRICE"")"),2318)</f>
        <v>2318</v>
      </c>
      <c r="F2" s="20">
        <f ca="1">IFERROR(__xludf.DUMMYFUNCTION("GOOGLEFINANCE(""BOM:""&amp;A2,""MARKETCAP"")/10000000"),14062.0935369)</f>
        <v>14062.0935369</v>
      </c>
      <c r="G2" s="95">
        <f t="shared" ref="G2:G8" ca="1" si="0">SUM(F2/$F$10)</f>
        <v>0.75365427584337252</v>
      </c>
      <c r="H2" s="101">
        <f>VLOOKUP(A2,'BSE ALL CAP'!$B$4:$Y$1038,7,)</f>
        <v>1722</v>
      </c>
      <c r="I2" s="101">
        <f>VLOOKUP(A2,'BSE ALL CAP'!$B$4:$Y$1038,8,)</f>
        <v>1403</v>
      </c>
      <c r="J2" s="101">
        <f>VLOOKUP(A2,'BSE ALL CAP'!$B$4:$Y$1038,9,)</f>
        <v>181</v>
      </c>
      <c r="K2" s="101">
        <f>VLOOKUP(A2,'BSE ALL CAP'!$B$4:$Y$1038,10,)</f>
        <v>162</v>
      </c>
      <c r="L2" s="101">
        <f>VLOOKUP(A2,'BSE ALL CAP'!$B$4:$Y$1038,11,)</f>
        <v>592</v>
      </c>
      <c r="M2" s="101">
        <f>VLOOKUP(A2,'BSE ALL CAP'!$B$4:$Y$1038,12,)</f>
        <v>501</v>
      </c>
      <c r="N2" s="101">
        <f>VLOOKUP(A2,'BSE ALL CAP'!$B$4:$Y$1038,13,)</f>
        <v>61</v>
      </c>
      <c r="O2" s="101">
        <f>VLOOKUP(A2,'BSE ALL CAP'!$B$4:$Y$1038,14,)</f>
        <v>54</v>
      </c>
      <c r="P2" s="95">
        <f>VLOOKUP(A2,'BSE ALL CAP'!$B$4:$Y$1038,15,)</f>
        <v>0.10511033681765389</v>
      </c>
      <c r="Q2" s="95">
        <f>VLOOKUP(A2,'BSE ALL CAP'!$B$4:$Y$1038,16,)</f>
        <v>0.11546685673556664</v>
      </c>
      <c r="R2" s="95">
        <f>VLOOKUP(A2,'BSE ALL CAP'!$B$4:$Y$1038,17,)</f>
        <v>-1.0356519917912754E-2</v>
      </c>
      <c r="S2" s="95">
        <f>VLOOKUP(A2,'BSE ALL CAP'!$B$4:$Y$1038,18,)</f>
        <v>0.10304054054054054</v>
      </c>
      <c r="T2" s="95">
        <f>VLOOKUP(A2,'BSE ALL CAP'!$B$4:$Y$1038,19,)</f>
        <v>0.10778443113772455</v>
      </c>
      <c r="U2" s="95">
        <f>VLOOKUP(A2,'BSE ALL CAP'!$B$4:$Y$1038,20,)</f>
        <v>-4.7438905971840112E-3</v>
      </c>
      <c r="V2" s="95">
        <f>VLOOKUP(A2,'BSE ALL CAP'!$B$4:$Y$1038,21,)</f>
        <v>0.22736992159657876</v>
      </c>
      <c r="W2" s="95">
        <f>VLOOKUP(A2,'BSE ALL CAP'!$B$4:$Y$1038,22,)</f>
        <v>0.11728395061728403</v>
      </c>
      <c r="X2" s="95">
        <f>VLOOKUP(A2,'BSE ALL CAP'!$B$4:$Y$1038,23,)</f>
        <v>0.1816367265469061</v>
      </c>
      <c r="Y2" s="95">
        <f>VLOOKUP(A2,'BSE ALL CAP'!$B$4:$Y$1038,24,)</f>
        <v>0.12962962962962954</v>
      </c>
    </row>
    <row r="3" spans="1:25" ht="15.75" customHeight="1">
      <c r="A3" s="99">
        <v>544030</v>
      </c>
      <c r="B3" s="98" t="s">
        <v>1756</v>
      </c>
      <c r="C3" s="6" t="str">
        <f>VLOOKUP(A3,'BSE ALL CAP'!$B$4:$Y$1038,2,)</f>
        <v>Fast Moving Consumer Goods</v>
      </c>
      <c r="D3" s="6" t="str">
        <f>VLOOKUP(A3,'BSE ALL CAP'!$B$4:$Y$1038,3,)</f>
        <v>Stationary</v>
      </c>
      <c r="E3" s="11">
        <f ca="1">IFERROR(__xludf.DUMMYFUNCTION("GOOGLEFINANCE(""BOM:""&amp;A3,""PRICE"")"),297.7)</f>
        <v>297.7</v>
      </c>
      <c r="F3" s="20">
        <f ca="1">IFERROR(__xludf.DUMMYFUNCTION("GOOGLEFINANCE(""BOM:""&amp;A3,""MARKETCAP"")/10000000"),3113.9042671)</f>
        <v>3113.9042671000002</v>
      </c>
      <c r="G3" s="95">
        <f t="shared" ca="1" si="0"/>
        <v>0.16688889597474502</v>
      </c>
      <c r="H3" s="101">
        <f>VLOOKUP(A3,'BSE ALL CAP'!$B$4:$Y$1038,7,)</f>
        <v>9271</v>
      </c>
      <c r="I3" s="101">
        <f>VLOOKUP(A3,'BSE ALL CAP'!$B$4:$Y$1038,8,)</f>
        <v>7818</v>
      </c>
      <c r="J3" s="101">
        <f>VLOOKUP(A3,'BSE ALL CAP'!$B$4:$Y$1038,9,)</f>
        <v>104</v>
      </c>
      <c r="K3" s="101">
        <f>VLOOKUP(A3,'BSE ALL CAP'!$B$4:$Y$1038,10,)</f>
        <v>88</v>
      </c>
      <c r="L3" s="101">
        <f>VLOOKUP(A3,'BSE ALL CAP'!$B$4:$Y$1038,11,)</f>
        <v>317</v>
      </c>
      <c r="M3" s="101">
        <f>VLOOKUP(A3,'BSE ALL CAP'!$B$4:$Y$1038,12,)</f>
        <v>264</v>
      </c>
      <c r="N3" s="101">
        <f>VLOOKUP(A3,'BSE ALL CAP'!$B$4:$Y$1038,13,)</f>
        <v>33</v>
      </c>
      <c r="O3" s="101">
        <f>VLOOKUP(A3,'BSE ALL CAP'!$B$4:$Y$1038,14,)</f>
        <v>29</v>
      </c>
      <c r="P3" s="95">
        <f>VLOOKUP(A3,'BSE ALL CAP'!$B$4:$Y$1038,15,)</f>
        <v>1.1217775860209256E-2</v>
      </c>
      <c r="Q3" s="95">
        <f>VLOOKUP(A3,'BSE ALL CAP'!$B$4:$Y$1038,16,)</f>
        <v>1.1256075722691225E-2</v>
      </c>
      <c r="R3" s="95">
        <f>VLOOKUP(A3,'BSE ALL CAP'!$B$4:$Y$1038,17,)</f>
        <v>-3.8299862481969843E-5</v>
      </c>
      <c r="S3" s="95">
        <f>VLOOKUP(A3,'BSE ALL CAP'!$B$4:$Y$1038,18,)</f>
        <v>0.10410094637223975</v>
      </c>
      <c r="T3" s="95">
        <f>VLOOKUP(A3,'BSE ALL CAP'!$B$4:$Y$1038,19,)</f>
        <v>0.10984848484848485</v>
      </c>
      <c r="U3" s="95">
        <f>VLOOKUP(A3,'BSE ALL CAP'!$B$4:$Y$1038,20,)</f>
        <v>-5.7475384762450954E-3</v>
      </c>
      <c r="V3" s="95">
        <f>VLOOKUP(A3,'BSE ALL CAP'!$B$4:$Y$1038,21,)</f>
        <v>0.18585315937579949</v>
      </c>
      <c r="W3" s="95">
        <f>VLOOKUP(A3,'BSE ALL CAP'!$B$4:$Y$1038,22,)</f>
        <v>0.18181818181818188</v>
      </c>
      <c r="X3" s="95">
        <f>VLOOKUP(A3,'BSE ALL CAP'!$B$4:$Y$1038,23,)</f>
        <v>0.20075757575757569</v>
      </c>
      <c r="Y3" s="95">
        <f>VLOOKUP(A3,'BSE ALL CAP'!$B$4:$Y$1038,24,)</f>
        <v>0.13793103448275867</v>
      </c>
    </row>
    <row r="4" spans="1:25" ht="15.75" customHeight="1">
      <c r="A4" s="99">
        <v>523207</v>
      </c>
      <c r="B4" s="98" t="s">
        <v>1757</v>
      </c>
      <c r="C4" s="6"/>
      <c r="D4" s="6"/>
      <c r="E4" s="11">
        <f ca="1">IFERROR(__xludf.DUMMYFUNCTION("GOOGLEFINANCE(""BOM:""&amp;A4,""PRICE"")"),75.58)</f>
        <v>75.58</v>
      </c>
      <c r="F4" s="20">
        <f ca="1">IFERROR(__xludf.DUMMYFUNCTION("GOOGLEFINANCE(""BOM:""&amp;A4,""MARKETCAP"")/10000000"),760.3028346)</f>
        <v>760.30283459999998</v>
      </c>
      <c r="G4" s="95">
        <f t="shared" ca="1" si="0"/>
        <v>4.0748234302987435E-2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531241</v>
      </c>
      <c r="B5" s="98" t="s">
        <v>1758</v>
      </c>
      <c r="C5" s="6"/>
      <c r="D5" s="6"/>
      <c r="E5" s="11">
        <f ca="1">IFERROR(__xludf.DUMMYFUNCTION("GOOGLEFINANCE(""BOM:""&amp;A5,""PRICE"")"),99.93)</f>
        <v>99.93</v>
      </c>
      <c r="F5" s="20">
        <f ca="1">IFERROR(__xludf.DUMMYFUNCTION("GOOGLEFINANCE(""BOM:""&amp;A5,""MARKETCAP"")/10000000"),592.4525226)</f>
        <v>592.45252259999995</v>
      </c>
      <c r="G5" s="95">
        <f t="shared" ca="1" si="0"/>
        <v>3.1752340127735666E-2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543453</v>
      </c>
      <c r="B6" s="98" t="s">
        <v>1759</v>
      </c>
      <c r="C6" s="6"/>
      <c r="D6" s="6"/>
      <c r="E6" s="11">
        <f ca="1">IFERROR(__xludf.DUMMYFUNCTION("GOOGLEFINANCE(""BOM:""&amp;A6,""PRICE"")"),56)</f>
        <v>56</v>
      </c>
      <c r="F6" s="20">
        <f ca="1">IFERROR(__xludf.DUMMYFUNCTION("GOOGLEFINANCE(""BOM:""&amp;A6,""MARKETCAP"")/10000000"),60.43798)</f>
        <v>60.437980000000003</v>
      </c>
      <c r="G6" s="95">
        <f t="shared" ca="1" si="0"/>
        <v>3.2391579483390083E-3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533166</v>
      </c>
      <c r="B7" s="98" t="s">
        <v>1760</v>
      </c>
      <c r="C7" s="6"/>
      <c r="D7" s="6"/>
      <c r="E7" s="11">
        <f ca="1">IFERROR(__xludf.DUMMYFUNCTION("GOOGLEFINANCE(""BOM:""&amp;A7,""PRICE"")"),1.3)</f>
        <v>1.3</v>
      </c>
      <c r="F7" s="20">
        <f ca="1">IFERROR(__xludf.DUMMYFUNCTION("GOOGLEFINANCE(""BOM:""&amp;A7,""MARKETCAP"")/10000000"),61.6040987)</f>
        <v>61.604098700000002</v>
      </c>
      <c r="G7" s="95">
        <f t="shared" ca="1" si="0"/>
        <v>3.3016557792693566E-3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539228</v>
      </c>
      <c r="B8" s="98" t="s">
        <v>1761</v>
      </c>
      <c r="C8" s="6"/>
      <c r="D8" s="6"/>
      <c r="E8" s="11">
        <f ca="1">IFERROR(__xludf.DUMMYFUNCTION("GOOGLEFINANCE(""BOM:""&amp;A8,""PRICE"")"),1.42)</f>
        <v>1.42</v>
      </c>
      <c r="F8" s="20">
        <f ca="1">IFERROR(__xludf.DUMMYFUNCTION("GOOGLEFINANCE(""BOM:""&amp;A8,""MARKETCAP"")/10000000"),7.7515071)</f>
        <v>7.7515071000000004</v>
      </c>
      <c r="G8" s="95">
        <f t="shared" ca="1" si="0"/>
        <v>4.1544002355094027E-4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A9" s="101"/>
      <c r="B9" s="101"/>
      <c r="C9" s="101"/>
      <c r="D9" s="101"/>
      <c r="E9" s="101"/>
      <c r="F9" s="101"/>
      <c r="G9" s="95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>
      <c r="A10" s="101"/>
      <c r="B10" s="101"/>
      <c r="C10" s="101"/>
      <c r="D10" s="101"/>
      <c r="E10" s="101"/>
      <c r="F10" s="112">
        <f ca="1">SUM(F2:F8)</f>
        <v>18658.546747</v>
      </c>
      <c r="G10" s="95">
        <f ca="1">SUM(F10/$F$10)</f>
        <v>1</v>
      </c>
      <c r="H10" s="101">
        <f t="shared" ref="H10:O10" si="1">SUM(H2:H8)</f>
        <v>10993</v>
      </c>
      <c r="I10" s="101">
        <f t="shared" si="1"/>
        <v>9221</v>
      </c>
      <c r="J10" s="101">
        <f t="shared" si="1"/>
        <v>285</v>
      </c>
      <c r="K10" s="101">
        <f t="shared" si="1"/>
        <v>250</v>
      </c>
      <c r="L10" s="101">
        <f t="shared" si="1"/>
        <v>909</v>
      </c>
      <c r="M10" s="101">
        <f t="shared" si="1"/>
        <v>765</v>
      </c>
      <c r="N10" s="101">
        <f t="shared" si="1"/>
        <v>94</v>
      </c>
      <c r="O10" s="101">
        <f t="shared" si="1"/>
        <v>83</v>
      </c>
      <c r="P10" s="95">
        <f t="shared" ref="P10:Q10" si="2">J10/H10</f>
        <v>2.5925589011188938E-2</v>
      </c>
      <c r="Q10" s="95">
        <f t="shared" si="2"/>
        <v>2.7112026895130679E-2</v>
      </c>
      <c r="R10" s="95">
        <f>P10-Q10</f>
        <v>-1.1864378839417412E-3</v>
      </c>
      <c r="S10" s="95">
        <f t="shared" ref="S10:T10" si="3">N10/L10</f>
        <v>0.1034103410341034</v>
      </c>
      <c r="T10" s="95">
        <f t="shared" si="3"/>
        <v>0.10849673202614379</v>
      </c>
      <c r="U10" s="95">
        <f>S10-T10</f>
        <v>-5.0863909920403905E-3</v>
      </c>
      <c r="V10" s="95">
        <f>(H10/I10)-1</f>
        <v>0.19217004663268633</v>
      </c>
      <c r="W10" s="95">
        <f>(J10/K10)-1</f>
        <v>0.1399999999999999</v>
      </c>
      <c r="X10" s="95">
        <f>(L10/M10)-1</f>
        <v>0.18823529411764706</v>
      </c>
      <c r="Y10" s="95">
        <f>(N10/O10)-1</f>
        <v>0.1325301204819278</v>
      </c>
    </row>
    <row r="11" spans="1:25">
      <c r="G11" s="50"/>
    </row>
    <row r="12" spans="1:25">
      <c r="G12" s="50"/>
    </row>
    <row r="13" spans="1:25">
      <c r="G13" s="50"/>
    </row>
    <row r="14" spans="1:25">
      <c r="G14" s="50"/>
    </row>
    <row r="15" spans="1:25">
      <c r="G15" s="50"/>
    </row>
    <row r="16" spans="1:25">
      <c r="G16" s="50"/>
    </row>
    <row r="17" spans="7:7">
      <c r="G17" s="50"/>
    </row>
    <row r="18" spans="7:7">
      <c r="G18" s="50"/>
    </row>
    <row r="19" spans="7:7">
      <c r="G19" s="50"/>
    </row>
    <row r="20" spans="7:7">
      <c r="G20" s="50"/>
    </row>
    <row r="21" spans="7:7">
      <c r="G21" s="50"/>
    </row>
    <row r="22" spans="7:7">
      <c r="G22" s="50"/>
    </row>
    <row r="23" spans="7:7">
      <c r="G23" s="50"/>
    </row>
    <row r="24" spans="7:7">
      <c r="G24" s="50"/>
    </row>
    <row r="25" spans="7:7" ht="13.2">
      <c r="G25" s="50"/>
    </row>
    <row r="26" spans="7:7" ht="13.2">
      <c r="G26" s="50"/>
    </row>
    <row r="27" spans="7:7" ht="13.2">
      <c r="G27" s="50"/>
    </row>
    <row r="28" spans="7:7" ht="13.2">
      <c r="G28" s="50"/>
    </row>
    <row r="29" spans="7:7" ht="13.2">
      <c r="G29" s="50"/>
    </row>
    <row r="30" spans="7:7" ht="13.2">
      <c r="G30" s="50"/>
    </row>
    <row r="31" spans="7:7" ht="13.2">
      <c r="G31" s="50"/>
    </row>
    <row r="32" spans="7:7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8" xr:uid="{00000000-0009-0000-0000-000023000000}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540680</v>
      </c>
      <c r="B2" s="98" t="s">
        <v>1762</v>
      </c>
      <c r="C2" s="6" t="str">
        <f>VLOOKUP(A2,'BSE ALL CAP'!$B$4:$Y$1038,2,)</f>
        <v>Commodities</v>
      </c>
      <c r="D2" s="6" t="str">
        <f>VLOOKUP(A2,'BSE ALL CAP'!$B$4:$Y$1038,3,)</f>
        <v>Sponge Iron</v>
      </c>
      <c r="E2" s="11">
        <f ca="1">IFERROR(__xludf.DUMMYFUNCTION("GOOGLEFINANCE(""BOM:""&amp;A2,""PRICE"")"),345.85)</f>
        <v>345.85</v>
      </c>
      <c r="F2" s="20">
        <f ca="1">IFERROR(__xludf.DUMMYFUNCTION("GOOGLEFINANCE(""BOM:""&amp;A2,""MARKETCAP"")/10000000"),20970.4475131)</f>
        <v>20970.4475131</v>
      </c>
      <c r="G2" s="95">
        <f t="shared" ref="G2:G6" ca="1" si="0">F2/$F$8</f>
        <v>0.94442504056043641</v>
      </c>
      <c r="H2" s="101">
        <f>VLOOKUP(A2,'BSE ALL CAP'!$B$4:$Y$1038,7,)</f>
        <v>393</v>
      </c>
      <c r="I2" s="101">
        <f>VLOOKUP(A2,'BSE ALL CAP'!$B$4:$Y$1038,8,)</f>
        <v>344</v>
      </c>
      <c r="J2" s="101">
        <f>VLOOKUP(A2,'BSE ALL CAP'!$B$4:$Y$1038,9,)</f>
        <v>-36</v>
      </c>
      <c r="K2" s="101">
        <f>VLOOKUP(A2,'BSE ALL CAP'!$B$4:$Y$1038,10,)</f>
        <v>-167</v>
      </c>
      <c r="L2" s="101">
        <f>VLOOKUP(A2,'BSE ALL CAP'!$B$4:$Y$1038,11,)</f>
        <v>159</v>
      </c>
      <c r="M2" s="101">
        <f>VLOOKUP(A2,'BSE ALL CAP'!$B$4:$Y$1038,12,)</f>
        <v>180</v>
      </c>
      <c r="N2" s="101">
        <f>VLOOKUP(A2,'BSE ALL CAP'!$B$4:$Y$1038,13,)</f>
        <v>18</v>
      </c>
      <c r="O2" s="101">
        <f>VLOOKUP(A2,'BSE ALL CAP'!$B$4:$Y$1038,14,)</f>
        <v>-47</v>
      </c>
      <c r="P2" s="95">
        <f>VLOOKUP(A2,'BSE ALL CAP'!$B$4:$Y$1038,15,)</f>
        <v>-9.1603053435114504E-2</v>
      </c>
      <c r="Q2" s="95">
        <f>VLOOKUP(A2,'BSE ALL CAP'!$B$4:$Y$1038,16,)</f>
        <v>-0.48546511627906974</v>
      </c>
      <c r="R2" s="95">
        <f>VLOOKUP(A2,'BSE ALL CAP'!$B$4:$Y$1038,17,)</f>
        <v>0.39386206284395525</v>
      </c>
      <c r="S2" s="95">
        <f>VLOOKUP(A2,'BSE ALL CAP'!$B$4:$Y$1038,18,)</f>
        <v>0.11320754716981132</v>
      </c>
      <c r="T2" s="95">
        <f>VLOOKUP(A2,'BSE ALL CAP'!$B$4:$Y$1038,19,)</f>
        <v>-0.26111111111111113</v>
      </c>
      <c r="U2" s="95">
        <f>VLOOKUP(A2,'BSE ALL CAP'!$B$4:$Y$1038,20,)</f>
        <v>0.37431865828092248</v>
      </c>
      <c r="V2" s="95">
        <f>VLOOKUP(A2,'BSE ALL CAP'!$B$4:$Y$1038,21,)</f>
        <v>0.14244186046511631</v>
      </c>
      <c r="W2" s="95">
        <f>VLOOKUP(A2,'BSE ALL CAP'!$B$4:$Y$1038,22,)</f>
        <v>-0.78443113772455086</v>
      </c>
      <c r="X2" s="95">
        <f>VLOOKUP(A2,'BSE ALL CAP'!$B$4:$Y$1038,23,)</f>
        <v>-0.1166666666666667</v>
      </c>
      <c r="Y2" s="95">
        <f>VLOOKUP(A2,'BSE ALL CAP'!$B$4:$Y$1038,24,)</f>
        <v>-1.3829787234042552</v>
      </c>
    </row>
    <row r="3" spans="1:25" ht="15.75" customHeight="1">
      <c r="A3" s="99">
        <v>532604</v>
      </c>
      <c r="B3" s="98" t="s">
        <v>1763</v>
      </c>
      <c r="C3" s="6"/>
      <c r="D3" s="6"/>
      <c r="E3" s="11">
        <f ca="1">IFERROR(__xludf.DUMMYFUNCTION("GOOGLEFINANCE(""BOM:""&amp;A3,""PRICE"")"),41.72)</f>
        <v>41.72</v>
      </c>
      <c r="F3" s="20">
        <f ca="1">IFERROR(__xludf.DUMMYFUNCTION("GOOGLEFINANCE(""BOM:""&amp;A3,""MARKETCAP"")/10000000"),606.4276974)</f>
        <v>606.42769740000006</v>
      </c>
      <c r="G3" s="95">
        <f t="shared" ca="1" si="0"/>
        <v>2.7311076807311433E-2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544204</v>
      </c>
      <c r="B4" s="98" t="s">
        <v>1764</v>
      </c>
      <c r="C4" s="6"/>
      <c r="D4" s="6"/>
      <c r="E4" s="11">
        <f ca="1">IFERROR(__xludf.DUMMYFUNCTION("GOOGLEFINANCE(""BOM:""&amp;A4,""PRICE"")"),105.54)</f>
        <v>105.54</v>
      </c>
      <c r="F4" s="20">
        <f ca="1">IFERROR(__xludf.DUMMYFUNCTION("GOOGLEFINANCE(""BOM:""&amp;A4,""MARKETCAP"")/10000000"),348.1314586)</f>
        <v>348.13145859999997</v>
      </c>
      <c r="G4" s="95">
        <f t="shared" ca="1" si="0"/>
        <v>1.5678447811057976E-2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533576</v>
      </c>
      <c r="B5" s="98" t="s">
        <v>1765</v>
      </c>
      <c r="C5" s="6"/>
      <c r="D5" s="6"/>
      <c r="E5" s="11">
        <f ca="1">IFERROR(__xludf.DUMMYFUNCTION("GOOGLEFINANCE(""BOM:""&amp;A5,""PRICE"")"),53.15)</f>
        <v>53.15</v>
      </c>
      <c r="F5" s="20">
        <f ca="1">IFERROR(__xludf.DUMMYFUNCTION("GOOGLEFINANCE(""BOM:""&amp;A5,""MARKETCAP"")/10000000"),173.4614321)</f>
        <v>173.4614321</v>
      </c>
      <c r="G5" s="95">
        <f t="shared" ca="1" si="0"/>
        <v>7.8120087777991658E-3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500058</v>
      </c>
      <c r="B6" s="98" t="s">
        <v>1766</v>
      </c>
      <c r="C6" s="6"/>
      <c r="D6" s="6"/>
      <c r="E6" s="11">
        <f ca="1">IFERROR(__xludf.DUMMYFUNCTION("GOOGLEFINANCE(""BOM:""&amp;A6,""PRICE"")"),11.75)</f>
        <v>11.75</v>
      </c>
      <c r="F6" s="20">
        <f ca="1">IFERROR(__xludf.DUMMYFUNCTION("GOOGLEFINANCE(""BOM:""&amp;A6,""MARKETCAP"")/10000000"),105.991345)</f>
        <v>105.991345</v>
      </c>
      <c r="G6" s="95">
        <f t="shared" ca="1" si="0"/>
        <v>4.7734260433950366E-3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101"/>
      <c r="B7" s="101"/>
      <c r="C7" s="101"/>
      <c r="D7" s="101"/>
      <c r="E7" s="101"/>
      <c r="F7" s="101"/>
      <c r="G7" s="95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12">
        <f ca="1">SUM(F2:F6)</f>
        <v>22204.459446199999</v>
      </c>
      <c r="G8" s="95">
        <f ca="1">F8/$F$8</f>
        <v>1</v>
      </c>
      <c r="H8" s="101">
        <f t="shared" ref="H8:O8" si="1">SUM(H2:H6)</f>
        <v>393</v>
      </c>
      <c r="I8" s="101">
        <f t="shared" si="1"/>
        <v>344</v>
      </c>
      <c r="J8" s="101">
        <f t="shared" si="1"/>
        <v>-36</v>
      </c>
      <c r="K8" s="101">
        <f t="shared" si="1"/>
        <v>-167</v>
      </c>
      <c r="L8" s="101">
        <f t="shared" si="1"/>
        <v>159</v>
      </c>
      <c r="M8" s="101">
        <f t="shared" si="1"/>
        <v>180</v>
      </c>
      <c r="N8" s="101">
        <f t="shared" si="1"/>
        <v>18</v>
      </c>
      <c r="O8" s="101">
        <f t="shared" si="1"/>
        <v>-47</v>
      </c>
      <c r="P8" s="95">
        <f t="shared" ref="P8:Q8" si="2">J8/H8</f>
        <v>-9.1603053435114504E-2</v>
      </c>
      <c r="Q8" s="95">
        <f t="shared" si="2"/>
        <v>-0.48546511627906974</v>
      </c>
      <c r="R8" s="95">
        <f>P8-Q8</f>
        <v>0.39386206284395525</v>
      </c>
      <c r="S8" s="95">
        <f t="shared" ref="S8:T8" si="3">N8/L8</f>
        <v>0.11320754716981132</v>
      </c>
      <c r="T8" s="95">
        <f t="shared" si="3"/>
        <v>-0.26111111111111113</v>
      </c>
      <c r="U8" s="95">
        <f>S8-T8</f>
        <v>0.37431865828092248</v>
      </c>
      <c r="V8" s="95">
        <f>(H8/I8)-1</f>
        <v>0.14244186046511631</v>
      </c>
      <c r="W8" s="95">
        <f>(J8/K8)-1</f>
        <v>-0.78443113772455086</v>
      </c>
      <c r="X8" s="95">
        <f>(L8/M8)-1</f>
        <v>-0.1166666666666667</v>
      </c>
      <c r="Y8" s="95">
        <f>(N8/O8)-1</f>
        <v>-1.3829787234042552</v>
      </c>
    </row>
    <row r="9" spans="1:25">
      <c r="G9" s="50"/>
    </row>
    <row r="10" spans="1:25">
      <c r="G10" s="50"/>
    </row>
    <row r="11" spans="1:25">
      <c r="G11" s="50"/>
    </row>
    <row r="12" spans="1:25">
      <c r="G12" s="50"/>
    </row>
    <row r="13" spans="1:25">
      <c r="G13" s="50"/>
    </row>
    <row r="14" spans="1:25">
      <c r="G14" s="50"/>
    </row>
    <row r="15" spans="1:25">
      <c r="G15" s="50"/>
    </row>
    <row r="16" spans="1:25">
      <c r="G16" s="50"/>
    </row>
    <row r="17" spans="7:7">
      <c r="G17" s="50"/>
    </row>
    <row r="18" spans="7:7">
      <c r="G18" s="50"/>
    </row>
    <row r="19" spans="7:7">
      <c r="G19" s="50"/>
    </row>
    <row r="20" spans="7:7">
      <c r="G20" s="50"/>
    </row>
    <row r="21" spans="7:7">
      <c r="G21" s="50"/>
    </row>
    <row r="22" spans="7:7">
      <c r="G22" s="50"/>
    </row>
    <row r="23" spans="7:7">
      <c r="G23" s="50"/>
    </row>
    <row r="24" spans="7:7">
      <c r="G24" s="50"/>
    </row>
    <row r="25" spans="7:7" ht="13.2">
      <c r="G25" s="50"/>
    </row>
    <row r="26" spans="7:7" ht="13.2">
      <c r="G26" s="50"/>
    </row>
    <row r="27" spans="7:7" ht="13.2">
      <c r="G27" s="50"/>
    </row>
    <row r="28" spans="7:7" ht="13.2">
      <c r="G28" s="50"/>
    </row>
    <row r="29" spans="7:7" ht="13.2">
      <c r="G29" s="50"/>
    </row>
    <row r="30" spans="7:7" ht="13.2">
      <c r="G30" s="50"/>
    </row>
    <row r="31" spans="7:7" ht="13.2">
      <c r="G31" s="50"/>
    </row>
    <row r="32" spans="7:7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6" xr:uid="{00000000-0009-0000-0000-000024000000}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500331</v>
      </c>
      <c r="B2" s="98" t="s">
        <v>119</v>
      </c>
      <c r="C2" s="6" t="str">
        <f>VLOOKUP(A2,'BSE ALL CAP'!$B$4:$Y$1038,2,)</f>
        <v>Commodities</v>
      </c>
      <c r="D2" s="6" t="str">
        <f>VLOOKUP(A2,'BSE ALL CAP'!$B$4:$Y$1038,3,)</f>
        <v>Specialty Chemicals</v>
      </c>
      <c r="E2" s="11">
        <f ca="1">IFERROR(__xludf.DUMMYFUNCTION("GOOGLEFINANCE(""BOM:""&amp;A2,""PRICE"")"),1282.55)</f>
        <v>1282.55</v>
      </c>
      <c r="F2" s="20">
        <f ca="1">IFERROR(__xludf.DUMMYFUNCTION("GOOGLEFINANCE(""BOM:""&amp;A2,""MARKETCAP"")/10000000"),65258.7757119)</f>
        <v>65258.775711900002</v>
      </c>
      <c r="G2" s="95">
        <f t="shared" ref="G2:G111" ca="1" si="0">F2/$F$113</f>
        <v>0.1704413126638917</v>
      </c>
      <c r="H2" s="101">
        <f>VLOOKUP(A2,'BSE ALL CAP'!$B$4:$Y$1038,7,)</f>
        <v>11017</v>
      </c>
      <c r="I2" s="101">
        <f>VLOOKUP(A2,'BSE ALL CAP'!$B$4:$Y$1038,8,)</f>
        <v>9999</v>
      </c>
      <c r="J2" s="101">
        <f>VLOOKUP(A2,'BSE ALL CAP'!$B$4:$Y$1038,9,)</f>
        <v>1887</v>
      </c>
      <c r="K2" s="101">
        <f>VLOOKUP(A2,'BSE ALL CAP'!$B$4:$Y$1038,10,)</f>
        <v>1669</v>
      </c>
      <c r="L2" s="101">
        <f>VLOOKUP(A2,'BSE ALL CAP'!$B$4:$Y$1038,11,)</f>
        <v>3710</v>
      </c>
      <c r="M2" s="101">
        <f>VLOOKUP(A2,'BSE ALL CAP'!$B$4:$Y$1038,12,)</f>
        <v>3369</v>
      </c>
      <c r="N2" s="101">
        <f>VLOOKUP(A2,'BSE ALL CAP'!$B$4:$Y$1038,13,)</f>
        <v>624</v>
      </c>
      <c r="O2" s="101">
        <f>VLOOKUP(A2,'BSE ALL CAP'!$B$4:$Y$1038,14,)</f>
        <v>557</v>
      </c>
      <c r="P2" s="95">
        <f>VLOOKUP(A2,'BSE ALL CAP'!$B$4:$Y$1038,15,)</f>
        <v>0.17128074793500953</v>
      </c>
      <c r="Q2" s="95">
        <f>VLOOKUP(A2,'BSE ALL CAP'!$B$4:$Y$1038,16,)</f>
        <v>0.16691669166916692</v>
      </c>
      <c r="R2" s="95">
        <f>VLOOKUP(A2,'BSE ALL CAP'!$B$4:$Y$1038,17,)</f>
        <v>4.364056265842603E-3</v>
      </c>
      <c r="S2" s="95">
        <f>VLOOKUP(A2,'BSE ALL CAP'!$B$4:$Y$1038,18,)</f>
        <v>0.16819407008086254</v>
      </c>
      <c r="T2" s="95">
        <f>VLOOKUP(A2,'BSE ALL CAP'!$B$4:$Y$1038,19,)</f>
        <v>0.16533095874146631</v>
      </c>
      <c r="U2" s="95">
        <f>VLOOKUP(A2,'BSE ALL CAP'!$B$4:$Y$1038,20,)</f>
        <v>2.8631113393962349E-3</v>
      </c>
      <c r="V2" s="95">
        <f>VLOOKUP(A2,'BSE ALL CAP'!$B$4:$Y$1038,21,)</f>
        <v>0.1018101810181018</v>
      </c>
      <c r="W2" s="95">
        <f>VLOOKUP(A2,'BSE ALL CAP'!$B$4:$Y$1038,22,)</f>
        <v>0.13061713600958669</v>
      </c>
      <c r="X2" s="95">
        <f>VLOOKUP(A2,'BSE ALL CAP'!$B$4:$Y$1038,23,)</f>
        <v>0.10121697833184928</v>
      </c>
      <c r="Y2" s="95">
        <f>VLOOKUP(A2,'BSE ALL CAP'!$B$4:$Y$1038,24,)</f>
        <v>0.12028725314183131</v>
      </c>
    </row>
    <row r="3" spans="1:25" ht="15.75" customHeight="1">
      <c r="A3" s="99">
        <v>542812</v>
      </c>
      <c r="B3" s="98" t="s">
        <v>1767</v>
      </c>
      <c r="C3" s="6" t="str">
        <f>VLOOKUP(A3,'BSE ALL CAP'!$B$4:$Y$1038,2,)</f>
        <v>Commodities</v>
      </c>
      <c r="D3" s="6" t="str">
        <f>VLOOKUP(A3,'BSE ALL CAP'!$B$4:$Y$1038,3,)</f>
        <v>Specialty Chemicals</v>
      </c>
      <c r="E3" s="11">
        <f ca="1">IFERROR(__xludf.DUMMYFUNCTION("GOOGLEFINANCE(""BOM:""&amp;A3,""PRICE"")"),3191.7)</f>
        <v>3191.7</v>
      </c>
      <c r="F3" s="20">
        <f ca="1">IFERROR(__xludf.DUMMYFUNCTION("GOOGLEFINANCE(""BOM:""&amp;A3,""MARKETCAP"")/10000000"),35111.3560363)</f>
        <v>35111.3560363</v>
      </c>
      <c r="G3" s="95">
        <f t="shared" ca="1" si="0"/>
        <v>9.1703001580291113E-2</v>
      </c>
      <c r="H3" s="101">
        <f>VLOOKUP(A3,'BSE ALL CAP'!$B$4:$Y$1038,7,)</f>
        <v>3627</v>
      </c>
      <c r="I3" s="101">
        <f>VLOOKUP(A3,'BSE ALL CAP'!$B$4:$Y$1038,8,)</f>
        <v>3512</v>
      </c>
      <c r="J3" s="101">
        <f>VLOOKUP(A3,'BSE ALL CAP'!$B$4:$Y$1038,9,)</f>
        <v>465</v>
      </c>
      <c r="K3" s="101">
        <f>VLOOKUP(A3,'BSE ALL CAP'!$B$4:$Y$1038,10,)</f>
        <v>355</v>
      </c>
      <c r="L3" s="101">
        <f>VLOOKUP(A3,'BSE ALL CAP'!$B$4:$Y$1038,11,)</f>
        <v>1136</v>
      </c>
      <c r="M3" s="101">
        <f>VLOOKUP(A3,'BSE ALL CAP'!$B$4:$Y$1038,12,)</f>
        <v>1148</v>
      </c>
      <c r="N3" s="101">
        <f>VLOOKUP(A3,'BSE ALL CAP'!$B$4:$Y$1038,13,)</f>
        <v>102</v>
      </c>
      <c r="O3" s="101">
        <f>VLOOKUP(A3,'BSE ALL CAP'!$B$4:$Y$1038,14,)</f>
        <v>126</v>
      </c>
      <c r="P3" s="95">
        <f>VLOOKUP(A3,'BSE ALL CAP'!$B$4:$Y$1038,15,)</f>
        <v>0.12820512820512819</v>
      </c>
      <c r="Q3" s="95">
        <f>VLOOKUP(A3,'BSE ALL CAP'!$B$4:$Y$1038,16,)</f>
        <v>0.10108200455580865</v>
      </c>
      <c r="R3" s="95">
        <f>VLOOKUP(A3,'BSE ALL CAP'!$B$4:$Y$1038,17,)</f>
        <v>2.7123123649319542E-2</v>
      </c>
      <c r="S3" s="95">
        <f>VLOOKUP(A3,'BSE ALL CAP'!$B$4:$Y$1038,18,)</f>
        <v>8.9788732394366202E-2</v>
      </c>
      <c r="T3" s="95">
        <f>VLOOKUP(A3,'BSE ALL CAP'!$B$4:$Y$1038,19,)</f>
        <v>0.10975609756097561</v>
      </c>
      <c r="U3" s="95">
        <f>VLOOKUP(A3,'BSE ALL CAP'!$B$4:$Y$1038,20,)</f>
        <v>-1.9967365166609408E-2</v>
      </c>
      <c r="V3" s="95">
        <f>VLOOKUP(A3,'BSE ALL CAP'!$B$4:$Y$1038,21,)</f>
        <v>3.2744874715261885E-2</v>
      </c>
      <c r="W3" s="95">
        <f>VLOOKUP(A3,'BSE ALL CAP'!$B$4:$Y$1038,22,)</f>
        <v>0.3098591549295775</v>
      </c>
      <c r="X3" s="95">
        <f>VLOOKUP(A3,'BSE ALL CAP'!$B$4:$Y$1038,23,)</f>
        <v>-1.0452961672473893E-2</v>
      </c>
      <c r="Y3" s="95">
        <f>VLOOKUP(A3,'BSE ALL CAP'!$B$4:$Y$1038,24,)</f>
        <v>-0.19047619047619047</v>
      </c>
    </row>
    <row r="4" spans="1:25" ht="15.75" customHeight="1">
      <c r="A4" s="99">
        <v>532504</v>
      </c>
      <c r="B4" s="98" t="s">
        <v>1768</v>
      </c>
      <c r="C4" s="6" t="str">
        <f>VLOOKUP(A4,'BSE ALL CAP'!$B$4:$Y$1038,2,)</f>
        <v>Commodities</v>
      </c>
      <c r="D4" s="6" t="str">
        <f>VLOOKUP(A4,'BSE ALL CAP'!$B$4:$Y$1038,3,)</f>
        <v>Specialty Chemicals</v>
      </c>
      <c r="E4" s="11">
        <f ca="1">IFERROR(__xludf.DUMMYFUNCTION("GOOGLEFINANCE(""BOM:""&amp;A4,""PRICE"")"),5848.5)</f>
        <v>5848.5</v>
      </c>
      <c r="F4" s="20">
        <f ca="1">IFERROR(__xludf.DUMMYFUNCTION("GOOGLEFINANCE(""BOM:""&amp;A4,""MARKETCAP"")/10000000"),29980.4076)</f>
        <v>29980.407599999999</v>
      </c>
      <c r="G4" s="95">
        <f t="shared" ca="1" si="0"/>
        <v>7.8302112931161225E-2</v>
      </c>
      <c r="H4" s="101">
        <f>VLOOKUP(A4,'BSE ALL CAP'!$B$4:$Y$1038,7,)</f>
        <v>2376</v>
      </c>
      <c r="I4" s="101">
        <f>VLOOKUP(A4,'BSE ALL CAP'!$B$4:$Y$1038,8,)</f>
        <v>1648</v>
      </c>
      <c r="J4" s="101">
        <f>VLOOKUP(A4,'BSE ALL CAP'!$B$4:$Y$1038,9,)</f>
        <v>451</v>
      </c>
      <c r="K4" s="101">
        <f>VLOOKUP(A4,'BSE ALL CAP'!$B$4:$Y$1038,10,)</f>
        <v>193</v>
      </c>
      <c r="L4" s="101">
        <f>VLOOKUP(A4,'BSE ALL CAP'!$B$4:$Y$1038,11,)</f>
        <v>892</v>
      </c>
      <c r="M4" s="101">
        <f>VLOOKUP(A4,'BSE ALL CAP'!$B$4:$Y$1038,12,)</f>
        <v>606</v>
      </c>
      <c r="N4" s="101">
        <f>VLOOKUP(A4,'BSE ALL CAP'!$B$4:$Y$1038,13,)</f>
        <v>185</v>
      </c>
      <c r="O4" s="101">
        <f>VLOOKUP(A4,'BSE ALL CAP'!$B$4:$Y$1038,14,)</f>
        <v>84</v>
      </c>
      <c r="P4" s="95">
        <f>VLOOKUP(A4,'BSE ALL CAP'!$B$4:$Y$1038,15,)</f>
        <v>0.18981481481481483</v>
      </c>
      <c r="Q4" s="95">
        <f>VLOOKUP(A4,'BSE ALL CAP'!$B$4:$Y$1038,16,)</f>
        <v>0.1171116504854369</v>
      </c>
      <c r="R4" s="95">
        <f>VLOOKUP(A4,'BSE ALL CAP'!$B$4:$Y$1038,17,)</f>
        <v>7.2703164329377928E-2</v>
      </c>
      <c r="S4" s="95">
        <f>VLOOKUP(A4,'BSE ALL CAP'!$B$4:$Y$1038,18,)</f>
        <v>0.20739910313901344</v>
      </c>
      <c r="T4" s="95">
        <f>VLOOKUP(A4,'BSE ALL CAP'!$B$4:$Y$1038,19,)</f>
        <v>0.13861386138613863</v>
      </c>
      <c r="U4" s="95">
        <f>VLOOKUP(A4,'BSE ALL CAP'!$B$4:$Y$1038,20,)</f>
        <v>6.8785241752874815E-2</v>
      </c>
      <c r="V4" s="95">
        <f>VLOOKUP(A4,'BSE ALL CAP'!$B$4:$Y$1038,21,)</f>
        <v>0.44174757281553401</v>
      </c>
      <c r="W4" s="95">
        <f>VLOOKUP(A4,'BSE ALL CAP'!$B$4:$Y$1038,22,)</f>
        <v>1.3367875647668392</v>
      </c>
      <c r="X4" s="95">
        <f>VLOOKUP(A4,'BSE ALL CAP'!$B$4:$Y$1038,23,)</f>
        <v>0.471947194719472</v>
      </c>
      <c r="Y4" s="95">
        <f>VLOOKUP(A4,'BSE ALL CAP'!$B$4:$Y$1038,24,)</f>
        <v>1.2023809523809526</v>
      </c>
    </row>
    <row r="5" spans="1:25" ht="15.75" customHeight="1">
      <c r="A5" s="99">
        <v>506401</v>
      </c>
      <c r="B5" s="98" t="s">
        <v>1769</v>
      </c>
      <c r="C5" s="6" t="str">
        <f>VLOOKUP(A5,'BSE ALL CAP'!$B$4:$Y$1038,2,)</f>
        <v>Commodities</v>
      </c>
      <c r="D5" s="6" t="str">
        <f>VLOOKUP(A5,'BSE ALL CAP'!$B$4:$Y$1038,3,)</f>
        <v>Specialty Chemicals</v>
      </c>
      <c r="E5" s="11">
        <f ca="1">IFERROR(__xludf.DUMMYFUNCTION("GOOGLEFINANCE(""BOM:""&amp;A5,""PRICE"")"),1386)</f>
        <v>1386</v>
      </c>
      <c r="F5" s="20">
        <f ca="1">IFERROR(__xludf.DUMMYFUNCTION("GOOGLEFINANCE(""BOM:""&amp;A5,""MARKETCAP"")/10000000"),18899.977344)</f>
        <v>18899.977343999999</v>
      </c>
      <c r="G5" s="95">
        <f t="shared" ca="1" si="0"/>
        <v>4.9362509680698149E-2</v>
      </c>
      <c r="H5" s="101">
        <f>VLOOKUP(A5,'BSE ALL CAP'!$B$4:$Y$1038,7,)</f>
        <v>5767</v>
      </c>
      <c r="I5" s="101">
        <f>VLOOKUP(A5,'BSE ALL CAP'!$B$4:$Y$1038,8,)</f>
        <v>6102</v>
      </c>
      <c r="J5" s="101">
        <f>VLOOKUP(A5,'BSE ALL CAP'!$B$4:$Y$1038,9,)</f>
        <v>331</v>
      </c>
      <c r="K5" s="101">
        <f>VLOOKUP(A5,'BSE ALL CAP'!$B$4:$Y$1038,10,)</f>
        <v>495</v>
      </c>
      <c r="L5" s="101">
        <f>VLOOKUP(A5,'BSE ALL CAP'!$B$4:$Y$1038,11,)</f>
        <v>1975</v>
      </c>
      <c r="M5" s="101">
        <f>VLOOKUP(A5,'BSE ALL CAP'!$B$4:$Y$1038,12,)</f>
        <v>1903</v>
      </c>
      <c r="N5" s="101">
        <f>VLOOKUP(A5,'BSE ALL CAP'!$B$4:$Y$1038,13,)</f>
        <v>100</v>
      </c>
      <c r="O5" s="101">
        <f>VLOOKUP(A5,'BSE ALL CAP'!$B$4:$Y$1038,14,)</f>
        <v>98</v>
      </c>
      <c r="P5" s="95">
        <f>VLOOKUP(A5,'BSE ALL CAP'!$B$4:$Y$1038,15,)</f>
        <v>5.7395526270157794E-2</v>
      </c>
      <c r="Q5" s="95">
        <f>VLOOKUP(A5,'BSE ALL CAP'!$B$4:$Y$1038,16,)</f>
        <v>8.1120943952802366E-2</v>
      </c>
      <c r="R5" s="95">
        <f>VLOOKUP(A5,'BSE ALL CAP'!$B$4:$Y$1038,17,)</f>
        <v>-2.3725417682644571E-2</v>
      </c>
      <c r="S5" s="95">
        <f>VLOOKUP(A5,'BSE ALL CAP'!$B$4:$Y$1038,18,)</f>
        <v>5.0632911392405063E-2</v>
      </c>
      <c r="T5" s="95">
        <f>VLOOKUP(A5,'BSE ALL CAP'!$B$4:$Y$1038,19,)</f>
        <v>5.1497635312664214E-2</v>
      </c>
      <c r="U5" s="95">
        <f>VLOOKUP(A5,'BSE ALL CAP'!$B$4:$Y$1038,20,)</f>
        <v>-8.647239202591514E-4</v>
      </c>
      <c r="V5" s="95">
        <f>VLOOKUP(A5,'BSE ALL CAP'!$B$4:$Y$1038,21,)</f>
        <v>-5.4900032776138974E-2</v>
      </c>
      <c r="W5" s="95">
        <f>VLOOKUP(A5,'BSE ALL CAP'!$B$4:$Y$1038,22,)</f>
        <v>-0.33131313131313134</v>
      </c>
      <c r="X5" s="95">
        <f>VLOOKUP(A5,'BSE ALL CAP'!$B$4:$Y$1038,23,)</f>
        <v>3.7834997372569568E-2</v>
      </c>
      <c r="Y5" s="95">
        <f>VLOOKUP(A5,'BSE ALL CAP'!$B$4:$Y$1038,24,)</f>
        <v>2.0408163265306145E-2</v>
      </c>
    </row>
    <row r="6" spans="1:25" ht="15.75" customHeight="1">
      <c r="A6" s="99">
        <v>500027</v>
      </c>
      <c r="B6" s="98" t="s">
        <v>577</v>
      </c>
      <c r="C6" s="6" t="str">
        <f>VLOOKUP(A6,'BSE ALL CAP'!$B$4:$Y$1038,2,)</f>
        <v>Commodities</v>
      </c>
      <c r="D6" s="6" t="str">
        <f>VLOOKUP(A6,'BSE ALL CAP'!$B$4:$Y$1038,3,)</f>
        <v>Specialty Chemicals</v>
      </c>
      <c r="E6" s="11">
        <f ca="1">IFERROR(__xludf.DUMMYFUNCTION("GOOGLEFINANCE(""BOM:""&amp;A6,""PRICE"")"),6162.8)</f>
        <v>6162.8</v>
      </c>
      <c r="F6" s="20">
        <f ca="1">IFERROR(__xludf.DUMMYFUNCTION("GOOGLEFINANCE(""BOM:""&amp;A6,""MARKETCAP"")/10000000"),18149.3667875)</f>
        <v>18149.366787499999</v>
      </c>
      <c r="G6" s="95">
        <f t="shared" ca="1" si="0"/>
        <v>4.7402082946460394E-2</v>
      </c>
      <c r="H6" s="101">
        <f>VLOOKUP(A6,'BSE ALL CAP'!$B$4:$Y$1038,7,)</f>
        <v>4716</v>
      </c>
      <c r="I6" s="101">
        <f>VLOOKUP(A6,'BSE ALL CAP'!$B$4:$Y$1038,8,)</f>
        <v>4192</v>
      </c>
      <c r="J6" s="101">
        <f>VLOOKUP(A6,'BSE ALL CAP'!$B$4:$Y$1038,9,)</f>
        <v>478</v>
      </c>
      <c r="K6" s="101">
        <f>VLOOKUP(A6,'BSE ALL CAP'!$B$4:$Y$1038,10,)</f>
        <v>368</v>
      </c>
      <c r="L6" s="101">
        <f>VLOOKUP(A6,'BSE ALL CAP'!$B$4:$Y$1038,11,)</f>
        <v>1612</v>
      </c>
      <c r="M6" s="101">
        <f>VLOOKUP(A6,'BSE ALL CAP'!$B$4:$Y$1038,12,)</f>
        <v>1432</v>
      </c>
      <c r="N6" s="101">
        <f>VLOOKUP(A6,'BSE ALL CAP'!$B$4:$Y$1038,13,)</f>
        <v>163</v>
      </c>
      <c r="O6" s="101">
        <f>VLOOKUP(A6,'BSE ALL CAP'!$B$4:$Y$1038,14,)</f>
        <v>117</v>
      </c>
      <c r="P6" s="95">
        <f>VLOOKUP(A6,'BSE ALL CAP'!$B$4:$Y$1038,15,)</f>
        <v>0.10135708227311281</v>
      </c>
      <c r="Q6" s="95">
        <f>VLOOKUP(A6,'BSE ALL CAP'!$B$4:$Y$1038,16,)</f>
        <v>8.7786259541984726E-2</v>
      </c>
      <c r="R6" s="95">
        <f>VLOOKUP(A6,'BSE ALL CAP'!$B$4:$Y$1038,17,)</f>
        <v>1.3570822731128085E-2</v>
      </c>
      <c r="S6" s="95">
        <f>VLOOKUP(A6,'BSE ALL CAP'!$B$4:$Y$1038,18,)</f>
        <v>0.10111662531017369</v>
      </c>
      <c r="T6" s="95">
        <f>VLOOKUP(A6,'BSE ALL CAP'!$B$4:$Y$1038,19,)</f>
        <v>8.1703910614525144E-2</v>
      </c>
      <c r="U6" s="95">
        <f>VLOOKUP(A6,'BSE ALL CAP'!$B$4:$Y$1038,20,)</f>
        <v>1.941271469564855E-2</v>
      </c>
      <c r="V6" s="95">
        <f>VLOOKUP(A6,'BSE ALL CAP'!$B$4:$Y$1038,21,)</f>
        <v>0.125</v>
      </c>
      <c r="W6" s="95">
        <f>VLOOKUP(A6,'BSE ALL CAP'!$B$4:$Y$1038,22,)</f>
        <v>0.29891304347826098</v>
      </c>
      <c r="X6" s="95">
        <f>VLOOKUP(A6,'BSE ALL CAP'!$B$4:$Y$1038,23,)</f>
        <v>0.12569832402234637</v>
      </c>
      <c r="Y6" s="95">
        <f>VLOOKUP(A6,'BSE ALL CAP'!$B$4:$Y$1038,24,)</f>
        <v>0.3931623931623931</v>
      </c>
    </row>
    <row r="7" spans="1:25" ht="15.75" customHeight="1">
      <c r="A7" s="99">
        <v>524208</v>
      </c>
      <c r="B7" s="98" t="s">
        <v>1770</v>
      </c>
      <c r="C7" s="6" t="str">
        <f>VLOOKUP(A7,'BSE ALL CAP'!$B$4:$Y$1038,2,)</f>
        <v>Commodities</v>
      </c>
      <c r="D7" s="6" t="str">
        <f>VLOOKUP(A7,'BSE ALL CAP'!$B$4:$Y$1038,3,)</f>
        <v>Specialty Chemicals</v>
      </c>
      <c r="E7" s="11">
        <f ca="1">IFERROR(__xludf.DUMMYFUNCTION("GOOGLEFINANCE(""BOM:""&amp;A7,""PRICE"")"),401.7)</f>
        <v>401.7</v>
      </c>
      <c r="F7" s="20">
        <f ca="1">IFERROR(__xludf.DUMMYFUNCTION("GOOGLEFINANCE(""BOM:""&amp;A7,""MARKETCAP"")/10000000"),14578.1033888)</f>
        <v>14578.1033888</v>
      </c>
      <c r="G7" s="95">
        <f t="shared" ca="1" si="0"/>
        <v>3.8074742448530347E-2</v>
      </c>
      <c r="H7" s="101">
        <f>VLOOKUP(A7,'BSE ALL CAP'!$B$4:$Y$1038,7,)</f>
        <v>5991</v>
      </c>
      <c r="I7" s="101">
        <f>VLOOKUP(A7,'BSE ALL CAP'!$B$4:$Y$1038,8,)</f>
        <v>5330</v>
      </c>
      <c r="J7" s="101">
        <f>VLOOKUP(A7,'BSE ALL CAP'!$B$4:$Y$1038,9,)</f>
        <v>276</v>
      </c>
      <c r="K7" s="101">
        <f>VLOOKUP(A7,'BSE ALL CAP'!$B$4:$Y$1038,10,)</f>
        <v>240</v>
      </c>
      <c r="L7" s="101">
        <f>VLOOKUP(A7,'BSE ALL CAP'!$B$4:$Y$1038,11,)</f>
        <v>2278</v>
      </c>
      <c r="M7" s="101">
        <f>VLOOKUP(A7,'BSE ALL CAP'!$B$4:$Y$1038,12,)</f>
        <v>1756</v>
      </c>
      <c r="N7" s="101">
        <f>VLOOKUP(A7,'BSE ALL CAP'!$B$4:$Y$1038,13,)</f>
        <v>131</v>
      </c>
      <c r="O7" s="101">
        <f>VLOOKUP(A7,'BSE ALL CAP'!$B$4:$Y$1038,14,)</f>
        <v>47</v>
      </c>
      <c r="P7" s="95">
        <f>VLOOKUP(A7,'BSE ALL CAP'!$B$4:$Y$1038,15,)</f>
        <v>4.6069103655483223E-2</v>
      </c>
      <c r="Q7" s="95">
        <f>VLOOKUP(A7,'BSE ALL CAP'!$B$4:$Y$1038,16,)</f>
        <v>4.5028142589118199E-2</v>
      </c>
      <c r="R7" s="95">
        <f>VLOOKUP(A7,'BSE ALL CAP'!$B$4:$Y$1038,17,)</f>
        <v>1.0409610663650246E-3</v>
      </c>
      <c r="S7" s="95">
        <f>VLOOKUP(A7,'BSE ALL CAP'!$B$4:$Y$1038,18,)</f>
        <v>5.7506584723441619E-2</v>
      </c>
      <c r="T7" s="95">
        <f>VLOOKUP(A7,'BSE ALL CAP'!$B$4:$Y$1038,19,)</f>
        <v>2.6765375854214124E-2</v>
      </c>
      <c r="U7" s="95">
        <f>VLOOKUP(A7,'BSE ALL CAP'!$B$4:$Y$1038,20,)</f>
        <v>3.0741208869227495E-2</v>
      </c>
      <c r="V7" s="95">
        <f>VLOOKUP(A7,'BSE ALL CAP'!$B$4:$Y$1038,21,)</f>
        <v>0.12401500938086296</v>
      </c>
      <c r="W7" s="95">
        <f>VLOOKUP(A7,'BSE ALL CAP'!$B$4:$Y$1038,22,)</f>
        <v>0.14999999999999991</v>
      </c>
      <c r="X7" s="95">
        <f>VLOOKUP(A7,'BSE ALL CAP'!$B$4:$Y$1038,23,)</f>
        <v>0.29726651480637822</v>
      </c>
      <c r="Y7" s="95">
        <f>VLOOKUP(A7,'BSE ALL CAP'!$B$4:$Y$1038,24,)</f>
        <v>1.7872340425531914</v>
      </c>
    </row>
    <row r="8" spans="1:25" ht="15.75" customHeight="1">
      <c r="A8" s="99">
        <v>500042</v>
      </c>
      <c r="B8" s="98" t="s">
        <v>1771</v>
      </c>
      <c r="C8" s="6" t="str">
        <f>VLOOKUP(A8,'BSE ALL CAP'!$B$4:$Y$1038,2,)</f>
        <v>Commodities</v>
      </c>
      <c r="D8" s="6" t="str">
        <f>VLOOKUP(A8,'BSE ALL CAP'!$B$4:$Y$1038,3,)</f>
        <v>Specialty Chemicals</v>
      </c>
      <c r="E8" s="11">
        <f ca="1">IFERROR(__xludf.DUMMYFUNCTION("GOOGLEFINANCE(""BOM:""&amp;A8,""PRICE"")"),3240)</f>
        <v>3240</v>
      </c>
      <c r="F8" s="20">
        <f ca="1">IFERROR(__xludf.DUMMYFUNCTION("GOOGLEFINANCE(""BOM:""&amp;A8,""MARKETCAP"")/10000000"),14033.20773)</f>
        <v>14033.20773</v>
      </c>
      <c r="G8" s="95">
        <f t="shared" ca="1" si="0"/>
        <v>3.6651596973648372E-2</v>
      </c>
      <c r="H8" s="101">
        <f>VLOOKUP(A8,'BSE ALL CAP'!$B$4:$Y$1038,7,)</f>
        <v>11500</v>
      </c>
      <c r="I8" s="101">
        <f>VLOOKUP(A8,'BSE ALL CAP'!$B$4:$Y$1038,8,)</f>
        <v>11622</v>
      </c>
      <c r="J8" s="101">
        <f>VLOOKUP(A8,'BSE ALL CAP'!$B$4:$Y$1038,9,)</f>
        <v>353</v>
      </c>
      <c r="K8" s="101">
        <f>VLOOKUP(A8,'BSE ALL CAP'!$B$4:$Y$1038,10,)</f>
        <v>454</v>
      </c>
      <c r="L8" s="101">
        <f>VLOOKUP(A8,'BSE ALL CAP'!$B$4:$Y$1038,11,)</f>
        <v>3863</v>
      </c>
      <c r="M8" s="101">
        <f>VLOOKUP(A8,'BSE ALL CAP'!$B$4:$Y$1038,12,)</f>
        <v>3635</v>
      </c>
      <c r="N8" s="101">
        <f>VLOOKUP(A8,'BSE ALL CAP'!$B$4:$Y$1038,13,)</f>
        <v>105</v>
      </c>
      <c r="O8" s="101">
        <f>VLOOKUP(A8,'BSE ALL CAP'!$B$4:$Y$1038,14,)</f>
        <v>105</v>
      </c>
      <c r="P8" s="95">
        <f>VLOOKUP(A8,'BSE ALL CAP'!$B$4:$Y$1038,15,)</f>
        <v>3.0695652173913044E-2</v>
      </c>
      <c r="Q8" s="95">
        <f>VLOOKUP(A8,'BSE ALL CAP'!$B$4:$Y$1038,16,)</f>
        <v>3.906384443297195E-2</v>
      </c>
      <c r="R8" s="95">
        <f>VLOOKUP(A8,'BSE ALL CAP'!$B$4:$Y$1038,17,)</f>
        <v>-8.3681922590589063E-3</v>
      </c>
      <c r="S8" s="95">
        <f>VLOOKUP(A8,'BSE ALL CAP'!$B$4:$Y$1038,18,)</f>
        <v>2.7180947450168264E-2</v>
      </c>
      <c r="T8" s="95">
        <f>VLOOKUP(A8,'BSE ALL CAP'!$B$4:$Y$1038,19,)</f>
        <v>2.8885832187070151E-2</v>
      </c>
      <c r="U8" s="95">
        <f>VLOOKUP(A8,'BSE ALL CAP'!$B$4:$Y$1038,20,)</f>
        <v>-1.704884736901887E-3</v>
      </c>
      <c r="V8" s="95">
        <f>VLOOKUP(A8,'BSE ALL CAP'!$B$4:$Y$1038,21,)</f>
        <v>-1.0497332644983648E-2</v>
      </c>
      <c r="W8" s="95">
        <f>VLOOKUP(A8,'BSE ALL CAP'!$B$4:$Y$1038,22,)</f>
        <v>-0.22246696035242286</v>
      </c>
      <c r="X8" s="95">
        <f>VLOOKUP(A8,'BSE ALL CAP'!$B$4:$Y$1038,23,)</f>
        <v>6.2723521320495079E-2</v>
      </c>
      <c r="Y8" s="95">
        <f>VLOOKUP(A8,'BSE ALL CAP'!$B$4:$Y$1038,24,)</f>
        <v>0</v>
      </c>
    </row>
    <row r="9" spans="1:25" ht="15.75" customHeight="1">
      <c r="A9" s="99">
        <v>524200</v>
      </c>
      <c r="B9" s="98" t="s">
        <v>1772</v>
      </c>
      <c r="C9" s="6" t="str">
        <f>VLOOKUP(A9,'BSE ALL CAP'!$B$4:$Y$1038,2,)</f>
        <v>Commodities</v>
      </c>
      <c r="D9" s="6" t="str">
        <f>VLOOKUP(A9,'BSE ALL CAP'!$B$4:$Y$1038,3,)</f>
        <v>Specialty Chemicals</v>
      </c>
      <c r="E9" s="11">
        <f ca="1">IFERROR(__xludf.DUMMYFUNCTION("GOOGLEFINANCE(""BOM:""&amp;A9,""PRICE"")"),1312.95)</f>
        <v>1312.95</v>
      </c>
      <c r="F9" s="20">
        <f ca="1">IFERROR(__xludf.DUMMYFUNCTION("GOOGLEFINANCE(""BOM:""&amp;A9,""MARKETCAP"")/10000000"),13617.5129629)</f>
        <v>13617.5129629</v>
      </c>
      <c r="G9" s="95">
        <f t="shared" ca="1" si="0"/>
        <v>3.5565895303656503E-2</v>
      </c>
      <c r="H9" s="101">
        <f>VLOOKUP(A9,'BSE ALL CAP'!$B$4:$Y$1038,7,)</f>
        <v>1623</v>
      </c>
      <c r="I9" s="101">
        <f>VLOOKUP(A9,'BSE ALL CAP'!$B$4:$Y$1038,8,)</f>
        <v>1600</v>
      </c>
      <c r="J9" s="101">
        <f>VLOOKUP(A9,'BSE ALL CAP'!$B$4:$Y$1038,9,)</f>
        <v>320</v>
      </c>
      <c r="K9" s="101">
        <f>VLOOKUP(A9,'BSE ALL CAP'!$B$4:$Y$1038,10,)</f>
        <v>282</v>
      </c>
      <c r="L9" s="101">
        <f>VLOOKUP(A9,'BSE ALL CAP'!$B$4:$Y$1038,11,)</f>
        <v>531</v>
      </c>
      <c r="M9" s="101">
        <f>VLOOKUP(A9,'BSE ALL CAP'!$B$4:$Y$1038,12,)</f>
        <v>550</v>
      </c>
      <c r="N9" s="101">
        <f>VLOOKUP(A9,'BSE ALL CAP'!$B$4:$Y$1038,13,)</f>
        <v>101</v>
      </c>
      <c r="O9" s="101">
        <f>VLOOKUP(A9,'BSE ALL CAP'!$B$4:$Y$1038,14,)</f>
        <v>115</v>
      </c>
      <c r="P9" s="95">
        <f>VLOOKUP(A9,'BSE ALL CAP'!$B$4:$Y$1038,15,)</f>
        <v>0.19716574245224891</v>
      </c>
      <c r="Q9" s="95">
        <f>VLOOKUP(A9,'BSE ALL CAP'!$B$4:$Y$1038,16,)</f>
        <v>0.17624999999999999</v>
      </c>
      <c r="R9" s="95">
        <f>VLOOKUP(A9,'BSE ALL CAP'!$B$4:$Y$1038,17,)</f>
        <v>2.091574245224892E-2</v>
      </c>
      <c r="S9" s="95">
        <f>VLOOKUP(A9,'BSE ALL CAP'!$B$4:$Y$1038,18,)</f>
        <v>0.19020715630885121</v>
      </c>
      <c r="T9" s="95">
        <f>VLOOKUP(A9,'BSE ALL CAP'!$B$4:$Y$1038,19,)</f>
        <v>0.20909090909090908</v>
      </c>
      <c r="U9" s="95">
        <f>VLOOKUP(A9,'BSE ALL CAP'!$B$4:$Y$1038,20,)</f>
        <v>-1.8883752782057867E-2</v>
      </c>
      <c r="V9" s="95">
        <f>VLOOKUP(A9,'BSE ALL CAP'!$B$4:$Y$1038,21,)</f>
        <v>1.4375000000000027E-2</v>
      </c>
      <c r="W9" s="95">
        <f>VLOOKUP(A9,'BSE ALL CAP'!$B$4:$Y$1038,22,)</f>
        <v>0.13475177304964547</v>
      </c>
      <c r="X9" s="95">
        <f>VLOOKUP(A9,'BSE ALL CAP'!$B$4:$Y$1038,23,)</f>
        <v>-3.4545454545454546E-2</v>
      </c>
      <c r="Y9" s="95">
        <f>VLOOKUP(A9,'BSE ALL CAP'!$B$4:$Y$1038,24,)</f>
        <v>-0.12173913043478257</v>
      </c>
    </row>
    <row r="10" spans="1:25" ht="15.75" customHeight="1">
      <c r="A10" s="99">
        <v>543275</v>
      </c>
      <c r="B10" s="98" t="s">
        <v>1773</v>
      </c>
      <c r="C10" s="6" t="str">
        <f>VLOOKUP(A10,'BSE ALL CAP'!$B$4:$Y$1038,2,)</f>
        <v>Commodities</v>
      </c>
      <c r="D10" s="6" t="str">
        <f>VLOOKUP(A10,'BSE ALL CAP'!$B$4:$Y$1038,3,)</f>
        <v>Specialty Chemicals</v>
      </c>
      <c r="E10" s="11">
        <f ca="1">IFERROR(__xludf.DUMMYFUNCTION("GOOGLEFINANCE(""BOM:""&amp;A10,""PRICE"")"),1248.15)</f>
        <v>1248.1500000000001</v>
      </c>
      <c r="F10" s="20">
        <f ca="1">IFERROR(__xludf.DUMMYFUNCTION("GOOGLEFINANCE(""BOM:""&amp;A10,""MARKETCAP"")/10000000"),14211.6838448)</f>
        <v>14211.6838448</v>
      </c>
      <c r="G10" s="95">
        <f t="shared" ca="1" si="0"/>
        <v>3.7117736630021304E-2</v>
      </c>
      <c r="H10" s="101">
        <f>VLOOKUP(A10,'BSE ALL CAP'!$B$4:$Y$1038,7,)</f>
        <v>1730</v>
      </c>
      <c r="I10" s="101">
        <f>VLOOKUP(A10,'BSE ALL CAP'!$B$4:$Y$1038,8,)</f>
        <v>938</v>
      </c>
      <c r="J10" s="101">
        <f>VLOOKUP(A10,'BSE ALL CAP'!$B$4:$Y$1038,9,)</f>
        <v>166</v>
      </c>
      <c r="K10" s="101">
        <f>VLOOKUP(A10,'BSE ALL CAP'!$B$4:$Y$1038,10,)</f>
        <v>97</v>
      </c>
      <c r="L10" s="101">
        <f>VLOOKUP(A10,'BSE ALL CAP'!$B$4:$Y$1038,11,)</f>
        <v>512</v>
      </c>
      <c r="M10" s="101">
        <f>VLOOKUP(A10,'BSE ALL CAP'!$B$4:$Y$1038,12,)</f>
        <v>390</v>
      </c>
      <c r="N10" s="101">
        <f>VLOOKUP(A10,'BSE ALL CAP'!$B$4:$Y$1038,13,)</f>
        <v>61</v>
      </c>
      <c r="O10" s="101">
        <f>VLOOKUP(A10,'BSE ALL CAP'!$B$4:$Y$1038,14,)</f>
        <v>54</v>
      </c>
      <c r="P10" s="95">
        <f>VLOOKUP(A10,'BSE ALL CAP'!$B$4:$Y$1038,15,)</f>
        <v>9.595375722543352E-2</v>
      </c>
      <c r="Q10" s="95">
        <f>VLOOKUP(A10,'BSE ALL CAP'!$B$4:$Y$1038,16,)</f>
        <v>0.10341151385927505</v>
      </c>
      <c r="R10" s="95">
        <f>VLOOKUP(A10,'BSE ALL CAP'!$B$4:$Y$1038,17,)</f>
        <v>-7.4577566338415308E-3</v>
      </c>
      <c r="S10" s="95">
        <f>VLOOKUP(A10,'BSE ALL CAP'!$B$4:$Y$1038,18,)</f>
        <v>0.119140625</v>
      </c>
      <c r="T10" s="95">
        <f>VLOOKUP(A10,'BSE ALL CAP'!$B$4:$Y$1038,19,)</f>
        <v>0.13846153846153847</v>
      </c>
      <c r="U10" s="95">
        <f>VLOOKUP(A10,'BSE ALL CAP'!$B$4:$Y$1038,20,)</f>
        <v>-1.9320913461538469E-2</v>
      </c>
      <c r="V10" s="95">
        <f>VLOOKUP(A10,'BSE ALL CAP'!$B$4:$Y$1038,21,)</f>
        <v>0.84434968017057566</v>
      </c>
      <c r="W10" s="95">
        <f>VLOOKUP(A10,'BSE ALL CAP'!$B$4:$Y$1038,22,)</f>
        <v>0.71134020618556693</v>
      </c>
      <c r="X10" s="95">
        <f>VLOOKUP(A10,'BSE ALL CAP'!$B$4:$Y$1038,23,)</f>
        <v>0.31282051282051282</v>
      </c>
      <c r="Y10" s="95">
        <f>VLOOKUP(A10,'BSE ALL CAP'!$B$4:$Y$1038,24,)</f>
        <v>0.12962962962962954</v>
      </c>
    </row>
    <row r="11" spans="1:25" ht="15.75" customHeight="1">
      <c r="A11" s="99">
        <v>543534</v>
      </c>
      <c r="B11" s="98" t="s">
        <v>1774</v>
      </c>
      <c r="C11" s="6" t="str">
        <f>VLOOKUP(A11,'BSE ALL CAP'!$B$4:$Y$1038,2,)</f>
        <v>Commodities</v>
      </c>
      <c r="D11" s="6" t="str">
        <f>VLOOKUP(A11,'BSE ALL CAP'!$B$4:$Y$1038,3,)</f>
        <v>Specialty Chemicals</v>
      </c>
      <c r="E11" s="11">
        <f ca="1">IFERROR(__xludf.DUMMYFUNCTION("GOOGLEFINANCE(""BOM:""&amp;A11,""PRICE"")"),1098.5)</f>
        <v>1098.5</v>
      </c>
      <c r="F11" s="20">
        <f ca="1">IFERROR(__xludf.DUMMYFUNCTION("GOOGLEFINANCE(""BOM:""&amp;A11,""MARKETCAP"")/10000000"),14593.4515259)</f>
        <v>14593.4515259</v>
      </c>
      <c r="G11" s="95">
        <f t="shared" ca="1" si="0"/>
        <v>3.8114828346644924E-2</v>
      </c>
      <c r="H11" s="101">
        <f>VLOOKUP(A11,'BSE ALL CAP'!$B$4:$Y$1038,7,)</f>
        <v>853</v>
      </c>
      <c r="I11" s="101">
        <f>VLOOKUP(A11,'BSE ALL CAP'!$B$4:$Y$1038,8,)</f>
        <v>598</v>
      </c>
      <c r="J11" s="101">
        <f>VLOOKUP(A11,'BSE ALL CAP'!$B$4:$Y$1038,9,)</f>
        <v>165</v>
      </c>
      <c r="K11" s="101">
        <f>VLOOKUP(A11,'BSE ALL CAP'!$B$4:$Y$1038,10,)</f>
        <v>108</v>
      </c>
      <c r="L11" s="101">
        <f>VLOOKUP(A11,'BSE ALL CAP'!$B$4:$Y$1038,11,)</f>
        <v>317</v>
      </c>
      <c r="M11" s="101">
        <f>VLOOKUP(A11,'BSE ALL CAP'!$B$4:$Y$1038,12,)</f>
        <v>219</v>
      </c>
      <c r="N11" s="101">
        <f>VLOOKUP(A11,'BSE ALL CAP'!$B$4:$Y$1038,13,)</f>
        <v>64</v>
      </c>
      <c r="O11" s="101">
        <f>VLOOKUP(A11,'BSE ALL CAP'!$B$4:$Y$1038,14,)</f>
        <v>43</v>
      </c>
      <c r="P11" s="95">
        <f>VLOOKUP(A11,'BSE ALL CAP'!$B$4:$Y$1038,15,)</f>
        <v>0.19343493552168817</v>
      </c>
      <c r="Q11" s="95">
        <f>VLOOKUP(A11,'BSE ALL CAP'!$B$4:$Y$1038,16,)</f>
        <v>0.1806020066889632</v>
      </c>
      <c r="R11" s="95">
        <f>VLOOKUP(A11,'BSE ALL CAP'!$B$4:$Y$1038,17,)</f>
        <v>1.2832928832724966E-2</v>
      </c>
      <c r="S11" s="95">
        <f>VLOOKUP(A11,'BSE ALL CAP'!$B$4:$Y$1038,18,)</f>
        <v>0.20189274447949526</v>
      </c>
      <c r="T11" s="95">
        <f>VLOOKUP(A11,'BSE ALL CAP'!$B$4:$Y$1038,19,)</f>
        <v>0.19634703196347031</v>
      </c>
      <c r="U11" s="95">
        <f>VLOOKUP(A11,'BSE ALL CAP'!$B$4:$Y$1038,20,)</f>
        <v>5.5457125160249532E-3</v>
      </c>
      <c r="V11" s="95">
        <f>VLOOKUP(A11,'BSE ALL CAP'!$B$4:$Y$1038,21,)</f>
        <v>0.4264214046822743</v>
      </c>
      <c r="W11" s="95">
        <f>VLOOKUP(A11,'BSE ALL CAP'!$B$4:$Y$1038,22,)</f>
        <v>0.52777777777777768</v>
      </c>
      <c r="X11" s="95">
        <f>VLOOKUP(A11,'BSE ALL CAP'!$B$4:$Y$1038,23,)</f>
        <v>0.44748858447488593</v>
      </c>
      <c r="Y11" s="95">
        <f>VLOOKUP(A11,'BSE ALL CAP'!$B$4:$Y$1038,24,)</f>
        <v>0.48837209302325579</v>
      </c>
    </row>
    <row r="12" spans="1:25" ht="15.75" customHeight="1">
      <c r="A12" s="99">
        <v>541557</v>
      </c>
      <c r="B12" s="98" t="s">
        <v>1775</v>
      </c>
      <c r="C12" s="6" t="str">
        <f>VLOOKUP(A12,'BSE ALL CAP'!$B$4:$Y$1038,2,)</f>
        <v>Commodities</v>
      </c>
      <c r="D12" s="6" t="str">
        <f>VLOOKUP(A12,'BSE ALL CAP'!$B$4:$Y$1038,3,)</f>
        <v>Specialty Chemicals</v>
      </c>
      <c r="E12" s="11">
        <f ca="1">IFERROR(__xludf.DUMMYFUNCTION("GOOGLEFINANCE(""BOM:""&amp;A12,""PRICE"")"),4310)</f>
        <v>4310</v>
      </c>
      <c r="F12" s="20">
        <f ca="1">IFERROR(__xludf.DUMMYFUNCTION("GOOGLEFINANCE(""BOM:""&amp;A12,""MARKETCAP"")/10000000"),13185.324399)</f>
        <v>13185.324398999999</v>
      </c>
      <c r="G12" s="95">
        <f t="shared" ca="1" si="0"/>
        <v>3.4437115528892726E-2</v>
      </c>
      <c r="H12" s="101">
        <f>VLOOKUP(A12,'BSE ALL CAP'!$B$4:$Y$1038,7,)</f>
        <v>1740</v>
      </c>
      <c r="I12" s="101">
        <f>VLOOKUP(A12,'BSE ALL CAP'!$B$4:$Y$1038,8,)</f>
        <v>1662</v>
      </c>
      <c r="J12" s="101">
        <f>VLOOKUP(A12,'BSE ALL CAP'!$B$4:$Y$1038,9,)</f>
        <v>299</v>
      </c>
      <c r="K12" s="101">
        <f>VLOOKUP(A12,'BSE ALL CAP'!$B$4:$Y$1038,10,)</f>
        <v>313</v>
      </c>
      <c r="L12" s="101">
        <f>VLOOKUP(A12,'BSE ALL CAP'!$B$4:$Y$1038,11,)</f>
        <v>554</v>
      </c>
      <c r="M12" s="101">
        <f>VLOOKUP(A12,'BSE ALL CAP'!$B$4:$Y$1038,12,)</f>
        <v>516</v>
      </c>
      <c r="N12" s="101">
        <f>VLOOKUP(A12,'BSE ALL CAP'!$B$4:$Y$1038,13,)</f>
        <v>73</v>
      </c>
      <c r="O12" s="101">
        <f>VLOOKUP(A12,'BSE ALL CAP'!$B$4:$Y$1038,14,)</f>
        <v>82</v>
      </c>
      <c r="P12" s="95">
        <f>VLOOKUP(A12,'BSE ALL CAP'!$B$4:$Y$1038,15,)</f>
        <v>0.17183908045977012</v>
      </c>
      <c r="Q12" s="95">
        <f>VLOOKUP(A12,'BSE ALL CAP'!$B$4:$Y$1038,16,)</f>
        <v>0.18832731648616124</v>
      </c>
      <c r="R12" s="95">
        <f>VLOOKUP(A12,'BSE ALL CAP'!$B$4:$Y$1038,17,)</f>
        <v>-1.6488236026391129E-2</v>
      </c>
      <c r="S12" s="95">
        <f>VLOOKUP(A12,'BSE ALL CAP'!$B$4:$Y$1038,18,)</f>
        <v>0.13176895306859207</v>
      </c>
      <c r="T12" s="95">
        <f>VLOOKUP(A12,'BSE ALL CAP'!$B$4:$Y$1038,19,)</f>
        <v>0.15891472868217055</v>
      </c>
      <c r="U12" s="95">
        <f>VLOOKUP(A12,'BSE ALL CAP'!$B$4:$Y$1038,20,)</f>
        <v>-2.7145775613578477E-2</v>
      </c>
      <c r="V12" s="95">
        <f>VLOOKUP(A12,'BSE ALL CAP'!$B$4:$Y$1038,21,)</f>
        <v>4.6931407942238268E-2</v>
      </c>
      <c r="W12" s="95">
        <f>VLOOKUP(A12,'BSE ALL CAP'!$B$4:$Y$1038,22,)</f>
        <v>-4.4728434504792358E-2</v>
      </c>
      <c r="X12" s="95">
        <f>VLOOKUP(A12,'BSE ALL CAP'!$B$4:$Y$1038,23,)</f>
        <v>7.3643410852713087E-2</v>
      </c>
      <c r="Y12" s="95">
        <f>VLOOKUP(A12,'BSE ALL CAP'!$B$4:$Y$1038,24,)</f>
        <v>-0.1097560975609756</v>
      </c>
    </row>
    <row r="13" spans="1:25" ht="15.75" customHeight="1">
      <c r="A13" s="99">
        <v>530117</v>
      </c>
      <c r="B13" s="98" t="s">
        <v>1776</v>
      </c>
      <c r="C13" s="6" t="str">
        <f>VLOOKUP(A13,'BSE ALL CAP'!$B$4:$Y$1038,2,)</f>
        <v>Commodities</v>
      </c>
      <c r="D13" s="6" t="str">
        <f>VLOOKUP(A13,'BSE ALL CAP'!$B$4:$Y$1038,3,)</f>
        <v>Specialty Chemicals</v>
      </c>
      <c r="E13" s="11">
        <f ca="1">IFERROR(__xludf.DUMMYFUNCTION("GOOGLEFINANCE(""BOM:""&amp;A13,""PRICE"")"),2960)</f>
        <v>2960</v>
      </c>
      <c r="F13" s="20">
        <f ca="1">IFERROR(__xludf.DUMMYFUNCTION("GOOGLEFINANCE(""BOM:""&amp;A13,""MARKETCAP"")/10000000"),11564.1183661)</f>
        <v>11564.1183661</v>
      </c>
      <c r="G13" s="95">
        <f t="shared" ca="1" si="0"/>
        <v>3.0202888310687202E-2</v>
      </c>
      <c r="H13" s="101">
        <f>VLOOKUP(A13,'BSE ALL CAP'!$B$4:$Y$1038,7,)</f>
        <v>1842</v>
      </c>
      <c r="I13" s="101">
        <f>VLOOKUP(A13,'BSE ALL CAP'!$B$4:$Y$1038,8,)</f>
        <v>1487</v>
      </c>
      <c r="J13" s="101">
        <f>VLOOKUP(A13,'BSE ALL CAP'!$B$4:$Y$1038,9,)</f>
        <v>222</v>
      </c>
      <c r="K13" s="101">
        <f>VLOOKUP(A13,'BSE ALL CAP'!$B$4:$Y$1038,10,)</f>
        <v>120</v>
      </c>
      <c r="L13" s="101">
        <f>VLOOKUP(A13,'BSE ALL CAP'!$B$4:$Y$1038,11,)</f>
        <v>604</v>
      </c>
      <c r="M13" s="101">
        <f>VLOOKUP(A13,'BSE ALL CAP'!$B$4:$Y$1038,12,)</f>
        <v>490</v>
      </c>
      <c r="N13" s="101">
        <f>VLOOKUP(A13,'BSE ALL CAP'!$B$4:$Y$1038,13,)</f>
        <v>74</v>
      </c>
      <c r="O13" s="101">
        <f>VLOOKUP(A13,'BSE ALL CAP'!$B$4:$Y$1038,14,)</f>
        <v>44</v>
      </c>
      <c r="P13" s="95">
        <f>VLOOKUP(A13,'BSE ALL CAP'!$B$4:$Y$1038,15,)</f>
        <v>0.12052117263843648</v>
      </c>
      <c r="Q13" s="95">
        <f>VLOOKUP(A13,'BSE ALL CAP'!$B$4:$Y$1038,16,)</f>
        <v>8.0699394754539341E-2</v>
      </c>
      <c r="R13" s="95">
        <f>VLOOKUP(A13,'BSE ALL CAP'!$B$4:$Y$1038,17,)</f>
        <v>3.9821777883897139E-2</v>
      </c>
      <c r="S13" s="95">
        <f>VLOOKUP(A13,'BSE ALL CAP'!$B$4:$Y$1038,18,)</f>
        <v>0.12251655629139073</v>
      </c>
      <c r="T13" s="95">
        <f>VLOOKUP(A13,'BSE ALL CAP'!$B$4:$Y$1038,19,)</f>
        <v>8.9795918367346933E-2</v>
      </c>
      <c r="U13" s="95">
        <f>VLOOKUP(A13,'BSE ALL CAP'!$B$4:$Y$1038,20,)</f>
        <v>3.2720637924043797E-2</v>
      </c>
      <c r="V13" s="95">
        <f>VLOOKUP(A13,'BSE ALL CAP'!$B$4:$Y$1038,21,)</f>
        <v>0.23873570948217893</v>
      </c>
      <c r="W13" s="95">
        <f>VLOOKUP(A13,'BSE ALL CAP'!$B$4:$Y$1038,22,)</f>
        <v>0.85000000000000009</v>
      </c>
      <c r="X13" s="95">
        <f>VLOOKUP(A13,'BSE ALL CAP'!$B$4:$Y$1038,23,)</f>
        <v>0.2326530612244897</v>
      </c>
      <c r="Y13" s="95">
        <f>VLOOKUP(A13,'BSE ALL CAP'!$B$4:$Y$1038,24,)</f>
        <v>0.68181818181818188</v>
      </c>
    </row>
    <row r="14" spans="1:25" ht="15.75" customHeight="1">
      <c r="A14" s="99">
        <v>543271</v>
      </c>
      <c r="B14" s="98" t="s">
        <v>1777</v>
      </c>
      <c r="C14" s="6" t="str">
        <f>VLOOKUP(A14,'BSE ALL CAP'!$B$4:$Y$1038,2,)</f>
        <v>Commodities</v>
      </c>
      <c r="D14" s="6" t="str">
        <f>VLOOKUP(A14,'BSE ALL CAP'!$B$4:$Y$1038,3,)</f>
        <v>Specialty Chemicals</v>
      </c>
      <c r="E14" s="11">
        <f ca="1">IFERROR(__xludf.DUMMYFUNCTION("GOOGLEFINANCE(""BOM:""&amp;A14,""PRICE"")"),593.65)</f>
        <v>593.65</v>
      </c>
      <c r="F14" s="20">
        <f ca="1">IFERROR(__xludf.DUMMYFUNCTION("GOOGLEFINANCE(""BOM:""&amp;A14,""MARKETCAP"")/10000000"),9380.3115277)</f>
        <v>9380.3115276999997</v>
      </c>
      <c r="G14" s="95">
        <f t="shared" ca="1" si="0"/>
        <v>2.4499273738074156E-2</v>
      </c>
      <c r="H14" s="101">
        <f>VLOOKUP(A14,'BSE ALL CAP'!$B$4:$Y$1038,7,)</f>
        <v>3209</v>
      </c>
      <c r="I14" s="101">
        <f>VLOOKUP(A14,'BSE ALL CAP'!$B$4:$Y$1038,8,)</f>
        <v>3126</v>
      </c>
      <c r="J14" s="101">
        <f>VLOOKUP(A14,'BSE ALL CAP'!$B$4:$Y$1038,9,)</f>
        <v>191</v>
      </c>
      <c r="K14" s="101">
        <f>VLOOKUP(A14,'BSE ALL CAP'!$B$4:$Y$1038,10,)</f>
        <v>177</v>
      </c>
      <c r="L14" s="101">
        <f>VLOOKUP(A14,'BSE ALL CAP'!$B$4:$Y$1038,11,)</f>
        <v>1039</v>
      </c>
      <c r="M14" s="101">
        <f>VLOOKUP(A14,'BSE ALL CAP'!$B$4:$Y$1038,12,)</f>
        <v>1046</v>
      </c>
      <c r="N14" s="101">
        <f>VLOOKUP(A14,'BSE ALL CAP'!$B$4:$Y$1038,13,)</f>
        <v>46</v>
      </c>
      <c r="O14" s="101">
        <f>VLOOKUP(A14,'BSE ALL CAP'!$B$4:$Y$1038,14,)</f>
        <v>69</v>
      </c>
      <c r="P14" s="95">
        <f>VLOOKUP(A14,'BSE ALL CAP'!$B$4:$Y$1038,15,)</f>
        <v>5.9520099719538797E-2</v>
      </c>
      <c r="Q14" s="95">
        <f>VLOOKUP(A14,'BSE ALL CAP'!$B$4:$Y$1038,16,)</f>
        <v>5.6621880998080618E-2</v>
      </c>
      <c r="R14" s="95">
        <f>VLOOKUP(A14,'BSE ALL CAP'!$B$4:$Y$1038,17,)</f>
        <v>2.8982187214581789E-3</v>
      </c>
      <c r="S14" s="95">
        <f>VLOOKUP(A14,'BSE ALL CAP'!$B$4:$Y$1038,18,)</f>
        <v>4.4273339749759381E-2</v>
      </c>
      <c r="T14" s="95">
        <f>VLOOKUP(A14,'BSE ALL CAP'!$B$4:$Y$1038,19,)</f>
        <v>6.5965583173996173E-2</v>
      </c>
      <c r="U14" s="95">
        <f>VLOOKUP(A14,'BSE ALL CAP'!$B$4:$Y$1038,20,)</f>
        <v>-2.1692243424236791E-2</v>
      </c>
      <c r="V14" s="95">
        <f>VLOOKUP(A14,'BSE ALL CAP'!$B$4:$Y$1038,21,)</f>
        <v>2.655150351887392E-2</v>
      </c>
      <c r="W14" s="95">
        <f>VLOOKUP(A14,'BSE ALL CAP'!$B$4:$Y$1038,22,)</f>
        <v>7.909604519774005E-2</v>
      </c>
      <c r="X14" s="95">
        <f>VLOOKUP(A14,'BSE ALL CAP'!$B$4:$Y$1038,23,)</f>
        <v>-6.6921606118547361E-3</v>
      </c>
      <c r="Y14" s="95">
        <f>VLOOKUP(A14,'BSE ALL CAP'!$B$4:$Y$1038,24,)</f>
        <v>-0.33333333333333337</v>
      </c>
    </row>
    <row r="15" spans="1:25" ht="15.75" customHeight="1">
      <c r="A15" s="99">
        <v>543318</v>
      </c>
      <c r="B15" s="98" t="s">
        <v>1778</v>
      </c>
      <c r="C15" s="6" t="str">
        <f>VLOOKUP(A15,'BSE ALL CAP'!$B$4:$Y$1038,2,)</f>
        <v>Commodities</v>
      </c>
      <c r="D15" s="6" t="str">
        <f>VLOOKUP(A15,'BSE ALL CAP'!$B$4:$Y$1038,3,)</f>
        <v>Specialty Chemicals</v>
      </c>
      <c r="E15" s="11">
        <f ca="1">IFERROR(__xludf.DUMMYFUNCTION("GOOGLEFINANCE(""BOM:""&amp;A15,""PRICE"")"),694.25)</f>
        <v>694.25</v>
      </c>
      <c r="F15" s="20">
        <f ca="1">IFERROR(__xludf.DUMMYFUNCTION("GOOGLEFINANCE(""BOM:""&amp;A15,""MARKETCAP"")/10000000"),7376.7071335)</f>
        <v>7376.7071335000001</v>
      </c>
      <c r="G15" s="95">
        <f t="shared" ca="1" si="0"/>
        <v>1.9266307607753125E-2</v>
      </c>
      <c r="H15" s="101">
        <f>VLOOKUP(A15,'BSE ALL CAP'!$B$4:$Y$1038,7,)</f>
        <v>707</v>
      </c>
      <c r="I15" s="101">
        <f>VLOOKUP(A15,'BSE ALL CAP'!$B$4:$Y$1038,8,)</f>
        <v>702</v>
      </c>
      <c r="J15" s="101">
        <f>VLOOKUP(A15,'BSE ALL CAP'!$B$4:$Y$1038,9,)</f>
        <v>171</v>
      </c>
      <c r="K15" s="101">
        <f>VLOOKUP(A15,'BSE ALL CAP'!$B$4:$Y$1038,10,)</f>
        <v>190</v>
      </c>
      <c r="L15" s="101">
        <f>VLOOKUP(A15,'BSE ALL CAP'!$B$4:$Y$1038,11,)</f>
        <v>219</v>
      </c>
      <c r="M15" s="101">
        <f>VLOOKUP(A15,'BSE ALL CAP'!$B$4:$Y$1038,12,)</f>
        <v>240</v>
      </c>
      <c r="N15" s="101">
        <f>VLOOKUP(A15,'BSE ALL CAP'!$B$4:$Y$1038,13,)</f>
        <v>45</v>
      </c>
      <c r="O15" s="101">
        <f>VLOOKUP(A15,'BSE ALL CAP'!$B$4:$Y$1038,14,)</f>
        <v>65</v>
      </c>
      <c r="P15" s="95">
        <f>VLOOKUP(A15,'BSE ALL CAP'!$B$4:$Y$1038,15,)</f>
        <v>0.24186704384724186</v>
      </c>
      <c r="Q15" s="95">
        <f>VLOOKUP(A15,'BSE ALL CAP'!$B$4:$Y$1038,16,)</f>
        <v>0.27065527065527067</v>
      </c>
      <c r="R15" s="95">
        <f>VLOOKUP(A15,'BSE ALL CAP'!$B$4:$Y$1038,17,)</f>
        <v>-2.8788226808028811E-2</v>
      </c>
      <c r="S15" s="95">
        <f>VLOOKUP(A15,'BSE ALL CAP'!$B$4:$Y$1038,18,)</f>
        <v>0.20547945205479451</v>
      </c>
      <c r="T15" s="95">
        <f>VLOOKUP(A15,'BSE ALL CAP'!$B$4:$Y$1038,19,)</f>
        <v>0.27083333333333331</v>
      </c>
      <c r="U15" s="95">
        <f>VLOOKUP(A15,'BSE ALL CAP'!$B$4:$Y$1038,20,)</f>
        <v>-6.5353881278538806E-2</v>
      </c>
      <c r="V15" s="95">
        <f>VLOOKUP(A15,'BSE ALL CAP'!$B$4:$Y$1038,21,)</f>
        <v>7.1225071225071712E-3</v>
      </c>
      <c r="W15" s="95">
        <f>VLOOKUP(A15,'BSE ALL CAP'!$B$4:$Y$1038,22,)</f>
        <v>-9.9999999999999978E-2</v>
      </c>
      <c r="X15" s="95">
        <f>VLOOKUP(A15,'BSE ALL CAP'!$B$4:$Y$1038,23,)</f>
        <v>-8.7500000000000022E-2</v>
      </c>
      <c r="Y15" s="95">
        <f>VLOOKUP(A15,'BSE ALL CAP'!$B$4:$Y$1038,24,)</f>
        <v>-0.30769230769230771</v>
      </c>
    </row>
    <row r="16" spans="1:25" ht="15.75" customHeight="1">
      <c r="A16" s="99">
        <v>543657</v>
      </c>
      <c r="B16" s="98" t="s">
        <v>1779</v>
      </c>
      <c r="C16" s="6" t="str">
        <f>VLOOKUP(A16,'BSE ALL CAP'!$B$4:$Y$1038,2,)</f>
        <v>Commodities</v>
      </c>
      <c r="D16" s="6" t="str">
        <f>VLOOKUP(A16,'BSE ALL CAP'!$B$4:$Y$1038,3,)</f>
        <v>Specialty Chemicals</v>
      </c>
      <c r="E16" s="11">
        <f ca="1">IFERROR(__xludf.DUMMYFUNCTION("GOOGLEFINANCE(""BOM:""&amp;A16,""PRICE"")"),575.95)</f>
        <v>575.95000000000005</v>
      </c>
      <c r="F16" s="20">
        <f ca="1">IFERROR(__xludf.DUMMYFUNCTION("GOOGLEFINANCE(""BOM:""&amp;A16,""MARKETCAP"")/10000000"),7098.858)</f>
        <v>7098.8580000000002</v>
      </c>
      <c r="G16" s="95">
        <f t="shared" ca="1" si="0"/>
        <v>1.8540627873194004E-2</v>
      </c>
      <c r="H16" s="101">
        <f>VLOOKUP(A16,'BSE ALL CAP'!$B$4:$Y$1038,7,)</f>
        <v>780</v>
      </c>
      <c r="I16" s="101">
        <f>VLOOKUP(A16,'BSE ALL CAP'!$B$4:$Y$1038,8,)</f>
        <v>695</v>
      </c>
      <c r="J16" s="101">
        <f>VLOOKUP(A16,'BSE ALL CAP'!$B$4:$Y$1038,9,)</f>
        <v>93</v>
      </c>
      <c r="K16" s="101">
        <f>VLOOKUP(A16,'BSE ALL CAP'!$B$4:$Y$1038,10,)</f>
        <v>108</v>
      </c>
      <c r="L16" s="101">
        <f>VLOOKUP(A16,'BSE ALL CAP'!$B$4:$Y$1038,11,)</f>
        <v>254</v>
      </c>
      <c r="M16" s="101">
        <f>VLOOKUP(A16,'BSE ALL CAP'!$B$4:$Y$1038,12,)</f>
        <v>242</v>
      </c>
      <c r="N16" s="101">
        <f>VLOOKUP(A16,'BSE ALL CAP'!$B$4:$Y$1038,13,)</f>
        <v>23</v>
      </c>
      <c r="O16" s="101">
        <f>VLOOKUP(A16,'BSE ALL CAP'!$B$4:$Y$1038,14,)</f>
        <v>47</v>
      </c>
      <c r="P16" s="95">
        <f>VLOOKUP(A16,'BSE ALL CAP'!$B$4:$Y$1038,15,)</f>
        <v>0.11923076923076924</v>
      </c>
      <c r="Q16" s="95">
        <f>VLOOKUP(A16,'BSE ALL CAP'!$B$4:$Y$1038,16,)</f>
        <v>0.1553956834532374</v>
      </c>
      <c r="R16" s="95">
        <f>VLOOKUP(A16,'BSE ALL CAP'!$B$4:$Y$1038,17,)</f>
        <v>-3.6164914222468161E-2</v>
      </c>
      <c r="S16" s="95">
        <f>VLOOKUP(A16,'BSE ALL CAP'!$B$4:$Y$1038,18,)</f>
        <v>9.055118110236221E-2</v>
      </c>
      <c r="T16" s="95">
        <f>VLOOKUP(A16,'BSE ALL CAP'!$B$4:$Y$1038,19,)</f>
        <v>0.19421487603305784</v>
      </c>
      <c r="U16" s="95">
        <f>VLOOKUP(A16,'BSE ALL CAP'!$B$4:$Y$1038,20,)</f>
        <v>-0.10366369493069563</v>
      </c>
      <c r="V16" s="95">
        <f>VLOOKUP(A16,'BSE ALL CAP'!$B$4:$Y$1038,21,)</f>
        <v>0.1223021582733812</v>
      </c>
      <c r="W16" s="95">
        <f>VLOOKUP(A16,'BSE ALL CAP'!$B$4:$Y$1038,22,)</f>
        <v>-0.13888888888888884</v>
      </c>
      <c r="X16" s="95">
        <f>VLOOKUP(A16,'BSE ALL CAP'!$B$4:$Y$1038,23,)</f>
        <v>4.9586776859504189E-2</v>
      </c>
      <c r="Y16" s="95">
        <f>VLOOKUP(A16,'BSE ALL CAP'!$B$4:$Y$1038,24,)</f>
        <v>-0.5106382978723405</v>
      </c>
    </row>
    <row r="17" spans="1:25" ht="15.75" customHeight="1">
      <c r="A17" s="99">
        <v>544619</v>
      </c>
      <c r="B17" s="98" t="s">
        <v>1780</v>
      </c>
      <c r="C17" s="6" t="str">
        <f>VLOOKUP(A17,'BSE ALL CAP'!$B$4:$Y$1038,2,)</f>
        <v>Commodities</v>
      </c>
      <c r="D17" s="6" t="str">
        <f>VLOOKUP(A17,'BSE ALL CAP'!$B$4:$Y$1038,3,)</f>
        <v>Specialty Chemicals</v>
      </c>
      <c r="E17" s="11">
        <f ca="1">IFERROR(__xludf.DUMMYFUNCTION("GOOGLEFINANCE(""BOM:""&amp;A17,""PRICE"")"),606.35)</f>
        <v>606.35</v>
      </c>
      <c r="F17" s="20">
        <f ca="1">IFERROR(__xludf.DUMMYFUNCTION("GOOGLEFINANCE(""BOM:""&amp;A17,""MARKETCAP"")/10000000"),6845.8143702)</f>
        <v>6845.8143701999998</v>
      </c>
      <c r="G17" s="95">
        <f t="shared" ca="1" si="0"/>
        <v>1.7879734561086044E-2</v>
      </c>
      <c r="H17" s="101">
        <f>VLOOKUP(A17,'BSE ALL CAP'!$B$4:$Y$1038,7,)</f>
        <v>460</v>
      </c>
      <c r="I17" s="101">
        <f>VLOOKUP(A17,'BSE ALL CAP'!$B$4:$Y$1038,8,)</f>
        <v>344</v>
      </c>
      <c r="J17" s="101">
        <f>VLOOKUP(A17,'BSE ALL CAP'!$B$4:$Y$1038,9,)</f>
        <v>126</v>
      </c>
      <c r="K17" s="101">
        <f>VLOOKUP(A17,'BSE ALL CAP'!$B$4:$Y$1038,10,)</f>
        <v>94</v>
      </c>
      <c r="L17" s="101">
        <f>VLOOKUP(A17,'BSE ALL CAP'!$B$4:$Y$1038,11,)</f>
        <v>172</v>
      </c>
      <c r="M17" s="101">
        <f>VLOOKUP(A17,'BSE ALL CAP'!$B$4:$Y$1038,12,)</f>
        <v>115</v>
      </c>
      <c r="N17" s="101">
        <f>VLOOKUP(A17,'BSE ALL CAP'!$B$4:$Y$1038,13,)</f>
        <v>48</v>
      </c>
      <c r="O17" s="101">
        <f>VLOOKUP(A17,'BSE ALL CAP'!$B$4:$Y$1038,14,)</f>
        <v>29</v>
      </c>
      <c r="P17" s="95">
        <f>VLOOKUP(A17,'BSE ALL CAP'!$B$4:$Y$1038,15,)</f>
        <v>0.27391304347826084</v>
      </c>
      <c r="Q17" s="95">
        <f>VLOOKUP(A17,'BSE ALL CAP'!$B$4:$Y$1038,16,)</f>
        <v>0.27325581395348836</v>
      </c>
      <c r="R17" s="95">
        <f>VLOOKUP(A17,'BSE ALL CAP'!$B$4:$Y$1038,17,)</f>
        <v>6.5722952477248464E-4</v>
      </c>
      <c r="S17" s="95">
        <f>VLOOKUP(A17,'BSE ALL CAP'!$B$4:$Y$1038,18,)</f>
        <v>0.27906976744186046</v>
      </c>
      <c r="T17" s="95">
        <f>VLOOKUP(A17,'BSE ALL CAP'!$B$4:$Y$1038,19,)</f>
        <v>0.25217391304347825</v>
      </c>
      <c r="U17" s="95">
        <f>VLOOKUP(A17,'BSE ALL CAP'!$B$4:$Y$1038,20,)</f>
        <v>2.6895854398382213E-2</v>
      </c>
      <c r="V17" s="95">
        <f>VLOOKUP(A17,'BSE ALL CAP'!$B$4:$Y$1038,21,)</f>
        <v>0.33720930232558133</v>
      </c>
      <c r="W17" s="95">
        <f>VLOOKUP(A17,'BSE ALL CAP'!$B$4:$Y$1038,22,)</f>
        <v>0.34042553191489366</v>
      </c>
      <c r="X17" s="95">
        <f>VLOOKUP(A17,'BSE ALL CAP'!$B$4:$Y$1038,23,)</f>
        <v>0.4956521739130435</v>
      </c>
      <c r="Y17" s="95">
        <f>VLOOKUP(A17,'BSE ALL CAP'!$B$4:$Y$1038,24,)</f>
        <v>0.65517241379310343</v>
      </c>
    </row>
    <row r="18" spans="1:25" ht="15.75" customHeight="1">
      <c r="A18" s="99">
        <v>506767</v>
      </c>
      <c r="B18" s="98" t="s">
        <v>1781</v>
      </c>
      <c r="C18" s="6" t="str">
        <f>VLOOKUP(A18,'BSE ALL CAP'!$B$4:$Y$1038,2,)</f>
        <v>Commodities</v>
      </c>
      <c r="D18" s="6" t="str">
        <f>VLOOKUP(A18,'BSE ALL CAP'!$B$4:$Y$1038,3,)</f>
        <v>Specialty Chemicals</v>
      </c>
      <c r="E18" s="11">
        <f ca="1">IFERROR(__xludf.DUMMYFUNCTION("GOOGLEFINANCE(""BOM:""&amp;A18,""PRICE"")"),1308.8)</f>
        <v>1308.8</v>
      </c>
      <c r="F18" s="20">
        <f ca="1">IFERROR(__xludf.DUMMYFUNCTION("GOOGLEFINANCE(""BOM:""&amp;A18,""MARKETCAP"")/10000000"),6701.4051212)</f>
        <v>6701.4051212000004</v>
      </c>
      <c r="G18" s="95">
        <f t="shared" ca="1" si="0"/>
        <v>1.7502569931626431E-2</v>
      </c>
      <c r="H18" s="101">
        <f>VLOOKUP(A18,'BSE ALL CAP'!$B$4:$Y$1038,7,)</f>
        <v>1149</v>
      </c>
      <c r="I18" s="101">
        <f>VLOOKUP(A18,'BSE ALL CAP'!$B$4:$Y$1038,8,)</f>
        <v>1186</v>
      </c>
      <c r="J18" s="101">
        <f>VLOOKUP(A18,'BSE ALL CAP'!$B$4:$Y$1038,9,)</f>
        <v>135</v>
      </c>
      <c r="K18" s="101">
        <f>VLOOKUP(A18,'BSE ALL CAP'!$B$4:$Y$1038,10,)</f>
        <v>140</v>
      </c>
      <c r="L18" s="101">
        <f>VLOOKUP(A18,'BSE ALL CAP'!$B$4:$Y$1038,11,)</f>
        <v>354</v>
      </c>
      <c r="M18" s="101">
        <f>VLOOKUP(A18,'BSE ALL CAP'!$B$4:$Y$1038,12,)</f>
        <v>371</v>
      </c>
      <c r="N18" s="101">
        <f>VLOOKUP(A18,'BSE ALL CAP'!$B$4:$Y$1038,13,)</f>
        <v>42</v>
      </c>
      <c r="O18" s="101">
        <f>VLOOKUP(A18,'BSE ALL CAP'!$B$4:$Y$1038,14,)</f>
        <v>44</v>
      </c>
      <c r="P18" s="95">
        <f>VLOOKUP(A18,'BSE ALL CAP'!$B$4:$Y$1038,15,)</f>
        <v>0.1174934725848564</v>
      </c>
      <c r="Q18" s="95">
        <f>VLOOKUP(A18,'BSE ALL CAP'!$B$4:$Y$1038,16,)</f>
        <v>0.11804384485666104</v>
      </c>
      <c r="R18" s="95">
        <f>VLOOKUP(A18,'BSE ALL CAP'!$B$4:$Y$1038,17,)</f>
        <v>-5.5037227180464166E-4</v>
      </c>
      <c r="S18" s="95">
        <f>VLOOKUP(A18,'BSE ALL CAP'!$B$4:$Y$1038,18,)</f>
        <v>0.11864406779661017</v>
      </c>
      <c r="T18" s="95">
        <f>VLOOKUP(A18,'BSE ALL CAP'!$B$4:$Y$1038,19,)</f>
        <v>0.11859838274932614</v>
      </c>
      <c r="U18" s="95">
        <f>VLOOKUP(A18,'BSE ALL CAP'!$B$4:$Y$1038,20,)</f>
        <v>4.5685047284027558E-5</v>
      </c>
      <c r="V18" s="95">
        <f>VLOOKUP(A18,'BSE ALL CAP'!$B$4:$Y$1038,21,)</f>
        <v>-3.1197301854974713E-2</v>
      </c>
      <c r="W18" s="95">
        <f>VLOOKUP(A18,'BSE ALL CAP'!$B$4:$Y$1038,22,)</f>
        <v>-3.5714285714285698E-2</v>
      </c>
      <c r="X18" s="95">
        <f>VLOOKUP(A18,'BSE ALL CAP'!$B$4:$Y$1038,23,)</f>
        <v>-4.5822102425876032E-2</v>
      </c>
      <c r="Y18" s="95">
        <f>VLOOKUP(A18,'BSE ALL CAP'!$B$4:$Y$1038,24,)</f>
        <v>-4.5454545454545414E-2</v>
      </c>
    </row>
    <row r="19" spans="1:25" ht="15.75" customHeight="1">
      <c r="A19" s="99">
        <v>540935</v>
      </c>
      <c r="B19" s="98" t="s">
        <v>1782</v>
      </c>
      <c r="C19" s="6" t="str">
        <f>VLOOKUP(A19,'BSE ALL CAP'!$B$4:$Y$1038,2,)</f>
        <v>Commodities</v>
      </c>
      <c r="D19" s="6" t="str">
        <f>VLOOKUP(A19,'BSE ALL CAP'!$B$4:$Y$1038,3,)</f>
        <v>Specialty Chemicals</v>
      </c>
      <c r="E19" s="11">
        <f ca="1">IFERROR(__xludf.DUMMYFUNCTION("GOOGLEFINANCE(""BOM:""&amp;A19,""PRICE"")"),1681.95)</f>
        <v>1681.95</v>
      </c>
      <c r="F19" s="20">
        <f ca="1">IFERROR(__xludf.DUMMYFUNCTION("GOOGLEFINANCE(""BOM:""&amp;A19,""MARKETCAP"")/10000000"),5956.398)</f>
        <v>5956.3980000000001</v>
      </c>
      <c r="G19" s="95">
        <f t="shared" ca="1" si="0"/>
        <v>1.5556778115950059E-2</v>
      </c>
      <c r="H19" s="101">
        <f>VLOOKUP(A19,'BSE ALL CAP'!$B$4:$Y$1038,7,)</f>
        <v>3933</v>
      </c>
      <c r="I19" s="101">
        <f>VLOOKUP(A19,'BSE ALL CAP'!$B$4:$Y$1038,8,)</f>
        <v>3078</v>
      </c>
      <c r="J19" s="101">
        <f>VLOOKUP(A19,'BSE ALL CAP'!$B$4:$Y$1038,9,)</f>
        <v>205</v>
      </c>
      <c r="K19" s="101">
        <f>VLOOKUP(A19,'BSE ALL CAP'!$B$4:$Y$1038,10,)</f>
        <v>229</v>
      </c>
      <c r="L19" s="101">
        <f>VLOOKUP(A19,'BSE ALL CAP'!$B$4:$Y$1038,11,)</f>
        <v>1329</v>
      </c>
      <c r="M19" s="101">
        <f>VLOOKUP(A19,'BSE ALL CAP'!$B$4:$Y$1038,12,)</f>
        <v>1041</v>
      </c>
      <c r="N19" s="101">
        <f>VLOOKUP(A19,'BSE ALL CAP'!$B$4:$Y$1038,13,)</f>
        <v>59</v>
      </c>
      <c r="O19" s="101">
        <f>VLOOKUP(A19,'BSE ALL CAP'!$B$4:$Y$1038,14,)</f>
        <v>65</v>
      </c>
      <c r="P19" s="95">
        <f>VLOOKUP(A19,'BSE ALL CAP'!$B$4:$Y$1038,15,)</f>
        <v>5.2123061276379355E-2</v>
      </c>
      <c r="Q19" s="95">
        <f>VLOOKUP(A19,'BSE ALL CAP'!$B$4:$Y$1038,16,)</f>
        <v>7.439896036387264E-2</v>
      </c>
      <c r="R19" s="95">
        <f>VLOOKUP(A19,'BSE ALL CAP'!$B$4:$Y$1038,17,)</f>
        <v>-2.2275899087493285E-2</v>
      </c>
      <c r="S19" s="95">
        <f>VLOOKUP(A19,'BSE ALL CAP'!$B$4:$Y$1038,18,)</f>
        <v>4.439428141459744E-2</v>
      </c>
      <c r="T19" s="95">
        <f>VLOOKUP(A19,'BSE ALL CAP'!$B$4:$Y$1038,19,)</f>
        <v>6.2439961575408258E-2</v>
      </c>
      <c r="U19" s="95">
        <f>VLOOKUP(A19,'BSE ALL CAP'!$B$4:$Y$1038,20,)</f>
        <v>-1.8045680160810817E-2</v>
      </c>
      <c r="V19" s="95">
        <f>VLOOKUP(A19,'BSE ALL CAP'!$B$4:$Y$1038,21,)</f>
        <v>0.27777777777777768</v>
      </c>
      <c r="W19" s="95">
        <f>VLOOKUP(A19,'BSE ALL CAP'!$B$4:$Y$1038,22,)</f>
        <v>-0.10480349344978168</v>
      </c>
      <c r="X19" s="95">
        <f>VLOOKUP(A19,'BSE ALL CAP'!$B$4:$Y$1038,23,)</f>
        <v>0.27665706051873196</v>
      </c>
      <c r="Y19" s="95">
        <f>VLOOKUP(A19,'BSE ALL CAP'!$B$4:$Y$1038,24,)</f>
        <v>-9.2307692307692313E-2</v>
      </c>
    </row>
    <row r="20" spans="1:25" ht="15.75" customHeight="1">
      <c r="A20" s="99">
        <v>500123</v>
      </c>
      <c r="B20" s="98" t="s">
        <v>1783</v>
      </c>
      <c r="C20" s="6" t="str">
        <f>VLOOKUP(A20,'BSE ALL CAP'!$B$4:$Y$1038,2,)</f>
        <v>Commodities</v>
      </c>
      <c r="D20" s="6" t="str">
        <f>VLOOKUP(A20,'BSE ALL CAP'!$B$4:$Y$1038,3,)</f>
        <v>Specialty Chemicals</v>
      </c>
      <c r="E20" s="11">
        <f ca="1">IFERROR(__xludf.DUMMYFUNCTION("GOOGLEFINANCE(""BOM:""&amp;A20,""PRICE"")"),8302.95)</f>
        <v>8302.9500000000007</v>
      </c>
      <c r="F20" s="20">
        <f ca="1">IFERROR(__xludf.DUMMYFUNCTION("GOOGLEFINANCE(""BOM:""&amp;A20,""MARKETCAP"")/10000000"),6582.3140507)</f>
        <v>6582.3140506999998</v>
      </c>
      <c r="G20" s="95">
        <f t="shared" ca="1" si="0"/>
        <v>1.719153071642297E-2</v>
      </c>
      <c r="H20" s="101">
        <f>VLOOKUP(A20,'BSE ALL CAP'!$B$4:$Y$1038,7,)</f>
        <v>848</v>
      </c>
      <c r="I20" s="101">
        <f>VLOOKUP(A20,'BSE ALL CAP'!$B$4:$Y$1038,8,)</f>
        <v>748</v>
      </c>
      <c r="J20" s="101">
        <f>VLOOKUP(A20,'BSE ALL CAP'!$B$4:$Y$1038,9,)</f>
        <v>148</v>
      </c>
      <c r="K20" s="101">
        <f>VLOOKUP(A20,'BSE ALL CAP'!$B$4:$Y$1038,10,)</f>
        <v>139</v>
      </c>
      <c r="L20" s="101">
        <f>VLOOKUP(A20,'BSE ALL CAP'!$B$4:$Y$1038,11,)</f>
        <v>215</v>
      </c>
      <c r="M20" s="101">
        <f>VLOOKUP(A20,'BSE ALL CAP'!$B$4:$Y$1038,12,)</f>
        <v>197</v>
      </c>
      <c r="N20" s="101">
        <f>VLOOKUP(A20,'BSE ALL CAP'!$B$4:$Y$1038,13,)</f>
        <v>39</v>
      </c>
      <c r="O20" s="101">
        <f>VLOOKUP(A20,'BSE ALL CAP'!$B$4:$Y$1038,14,)</f>
        <v>30</v>
      </c>
      <c r="P20" s="95">
        <f>VLOOKUP(A20,'BSE ALL CAP'!$B$4:$Y$1038,15,)</f>
        <v>0.17452830188679244</v>
      </c>
      <c r="Q20" s="95">
        <f>VLOOKUP(A20,'BSE ALL CAP'!$B$4:$Y$1038,16,)</f>
        <v>0.18582887700534759</v>
      </c>
      <c r="R20" s="95">
        <f>VLOOKUP(A20,'BSE ALL CAP'!$B$4:$Y$1038,17,)</f>
        <v>-1.1300575118555145E-2</v>
      </c>
      <c r="S20" s="95">
        <f>VLOOKUP(A20,'BSE ALL CAP'!$B$4:$Y$1038,18,)</f>
        <v>0.18139534883720931</v>
      </c>
      <c r="T20" s="95">
        <f>VLOOKUP(A20,'BSE ALL CAP'!$B$4:$Y$1038,19,)</f>
        <v>0.15228426395939088</v>
      </c>
      <c r="U20" s="95">
        <f>VLOOKUP(A20,'BSE ALL CAP'!$B$4:$Y$1038,20,)</f>
        <v>2.9111084877818438E-2</v>
      </c>
      <c r="V20" s="95">
        <f>VLOOKUP(A20,'BSE ALL CAP'!$B$4:$Y$1038,21,)</f>
        <v>0.1336898395721926</v>
      </c>
      <c r="W20" s="95">
        <f>VLOOKUP(A20,'BSE ALL CAP'!$B$4:$Y$1038,22,)</f>
        <v>6.4748201438848962E-2</v>
      </c>
      <c r="X20" s="95">
        <f>VLOOKUP(A20,'BSE ALL CAP'!$B$4:$Y$1038,23,)</f>
        <v>9.137055837563457E-2</v>
      </c>
      <c r="Y20" s="95">
        <f>VLOOKUP(A20,'BSE ALL CAP'!$B$4:$Y$1038,24,)</f>
        <v>0.30000000000000004</v>
      </c>
    </row>
    <row r="21" spans="1:25" ht="15.75" customHeight="1">
      <c r="A21" s="99">
        <v>543332</v>
      </c>
      <c r="B21" s="98" t="s">
        <v>1784</v>
      </c>
      <c r="C21" s="6" t="str">
        <f>VLOOKUP(A21,'BSE ALL CAP'!$B$4:$Y$1038,2,)</f>
        <v>Commodities</v>
      </c>
      <c r="D21" s="6" t="str">
        <f>VLOOKUP(A21,'BSE ALL CAP'!$B$4:$Y$1038,3,)</f>
        <v>Specialty Chemicals</v>
      </c>
      <c r="E21" s="11">
        <f ca="1">IFERROR(__xludf.DUMMYFUNCTION("GOOGLEFINANCE(""BOM:""&amp;A21,""PRICE"")"),896.1)</f>
        <v>896.1</v>
      </c>
      <c r="F21" s="20">
        <f ca="1">IFERROR(__xludf.DUMMYFUNCTION("GOOGLEFINANCE(""BOM:""&amp;A21,""MARKETCAP"")/10000000"),3867.8649998)</f>
        <v>3867.8649998000001</v>
      </c>
      <c r="G21" s="95">
        <f t="shared" ca="1" si="0"/>
        <v>1.0101997479741586E-2</v>
      </c>
      <c r="H21" s="101">
        <f>VLOOKUP(A21,'BSE ALL CAP'!$B$4:$Y$1038,7,)</f>
        <v>1791</v>
      </c>
      <c r="I21" s="101">
        <f>VLOOKUP(A21,'BSE ALL CAP'!$B$4:$Y$1038,8,)</f>
        <v>1922</v>
      </c>
      <c r="J21" s="101">
        <f>VLOOKUP(A21,'BSE ALL CAP'!$B$4:$Y$1038,9,)</f>
        <v>251</v>
      </c>
      <c r="K21" s="101">
        <f>VLOOKUP(A21,'BSE ALL CAP'!$B$4:$Y$1038,10,)</f>
        <v>271</v>
      </c>
      <c r="L21" s="101">
        <f>VLOOKUP(A21,'BSE ALL CAP'!$B$4:$Y$1038,11,)</f>
        <v>597</v>
      </c>
      <c r="M21" s="101">
        <f>VLOOKUP(A21,'BSE ALL CAP'!$B$4:$Y$1038,12,)</f>
        <v>645</v>
      </c>
      <c r="N21" s="101">
        <f>VLOOKUP(A21,'BSE ALL CAP'!$B$4:$Y$1038,13,)</f>
        <v>39</v>
      </c>
      <c r="O21" s="101">
        <f>VLOOKUP(A21,'BSE ALL CAP'!$B$4:$Y$1038,14,)</f>
        <v>104</v>
      </c>
      <c r="P21" s="95">
        <f>VLOOKUP(A21,'BSE ALL CAP'!$B$4:$Y$1038,15,)</f>
        <v>0.14014517029592408</v>
      </c>
      <c r="Q21" s="95">
        <f>VLOOKUP(A21,'BSE ALL CAP'!$B$4:$Y$1038,16,)</f>
        <v>0.14099895941727367</v>
      </c>
      <c r="R21" s="95">
        <f>VLOOKUP(A21,'BSE ALL CAP'!$B$4:$Y$1038,17,)</f>
        <v>-8.5378912134959073E-4</v>
      </c>
      <c r="S21" s="95">
        <f>VLOOKUP(A21,'BSE ALL CAP'!$B$4:$Y$1038,18,)</f>
        <v>6.5326633165829151E-2</v>
      </c>
      <c r="T21" s="95">
        <f>VLOOKUP(A21,'BSE ALL CAP'!$B$4:$Y$1038,19,)</f>
        <v>0.16124031007751938</v>
      </c>
      <c r="U21" s="95">
        <f>VLOOKUP(A21,'BSE ALL CAP'!$B$4:$Y$1038,20,)</f>
        <v>-9.5913676911690227E-2</v>
      </c>
      <c r="V21" s="95">
        <f>VLOOKUP(A21,'BSE ALL CAP'!$B$4:$Y$1038,21,)</f>
        <v>-6.8158168574401712E-2</v>
      </c>
      <c r="W21" s="95">
        <f>VLOOKUP(A21,'BSE ALL CAP'!$B$4:$Y$1038,22,)</f>
        <v>-7.3800738007380073E-2</v>
      </c>
      <c r="X21" s="95">
        <f>VLOOKUP(A21,'BSE ALL CAP'!$B$4:$Y$1038,23,)</f>
        <v>-7.441860465116279E-2</v>
      </c>
      <c r="Y21" s="95">
        <f>VLOOKUP(A21,'BSE ALL CAP'!$B$4:$Y$1038,24,)</f>
        <v>-0.625</v>
      </c>
    </row>
    <row r="22" spans="1:25" ht="15.75" customHeight="1">
      <c r="A22" s="99">
        <v>500150</v>
      </c>
      <c r="B22" s="98" t="s">
        <v>1785</v>
      </c>
      <c r="C22" s="6" t="str">
        <f>VLOOKUP(A22,'BSE ALL CAP'!$B$4:$Y$1038,2,)</f>
        <v>Commodities</v>
      </c>
      <c r="D22" s="6" t="str">
        <f>VLOOKUP(A22,'BSE ALL CAP'!$B$4:$Y$1038,3,)</f>
        <v>Specialty Chemicals</v>
      </c>
      <c r="E22" s="11">
        <f ca="1">IFERROR(__xludf.DUMMYFUNCTION("GOOGLEFINANCE(""BOM:""&amp;A22,""PRICE"")"),4621.3)</f>
        <v>4621.3</v>
      </c>
      <c r="F22" s="20">
        <f ca="1">IFERROR(__xludf.DUMMYFUNCTION("GOOGLEFINANCE(""BOM:""&amp;A22,""MARKETCAP"")/10000000"),3466.1589836)</f>
        <v>3466.1589835999998</v>
      </c>
      <c r="G22" s="95">
        <f t="shared" ca="1" si="0"/>
        <v>9.0528312954359629E-3</v>
      </c>
      <c r="H22" s="101">
        <f>VLOOKUP(A22,'BSE ALL CAP'!$B$4:$Y$1038,7,)</f>
        <v>643</v>
      </c>
      <c r="I22" s="101">
        <f>VLOOKUP(A22,'BSE ALL CAP'!$B$4:$Y$1038,8,)</f>
        <v>525</v>
      </c>
      <c r="J22" s="101">
        <f>VLOOKUP(A22,'BSE ALL CAP'!$B$4:$Y$1038,9,)</f>
        <v>75</v>
      </c>
      <c r="K22" s="101">
        <f>VLOOKUP(A22,'BSE ALL CAP'!$B$4:$Y$1038,10,)</f>
        <v>73</v>
      </c>
      <c r="L22" s="101">
        <f>VLOOKUP(A22,'BSE ALL CAP'!$B$4:$Y$1038,11,)</f>
        <v>187</v>
      </c>
      <c r="M22" s="101">
        <f>VLOOKUP(A22,'BSE ALL CAP'!$B$4:$Y$1038,12,)</f>
        <v>136</v>
      </c>
      <c r="N22" s="101">
        <f>VLOOKUP(A22,'BSE ALL CAP'!$B$4:$Y$1038,13,)</f>
        <v>15</v>
      </c>
      <c r="O22" s="101">
        <f>VLOOKUP(A22,'BSE ALL CAP'!$B$4:$Y$1038,14,)</f>
        <v>19</v>
      </c>
      <c r="P22" s="95">
        <f>VLOOKUP(A22,'BSE ALL CAP'!$B$4:$Y$1038,15,)</f>
        <v>0.1166407465007776</v>
      </c>
      <c r="Q22" s="95">
        <f>VLOOKUP(A22,'BSE ALL CAP'!$B$4:$Y$1038,16,)</f>
        <v>0.13904761904761906</v>
      </c>
      <c r="R22" s="95">
        <f>VLOOKUP(A22,'BSE ALL CAP'!$B$4:$Y$1038,17,)</f>
        <v>-2.2406872546841455E-2</v>
      </c>
      <c r="S22" s="95">
        <f>VLOOKUP(A22,'BSE ALL CAP'!$B$4:$Y$1038,18,)</f>
        <v>8.0213903743315509E-2</v>
      </c>
      <c r="T22" s="95">
        <f>VLOOKUP(A22,'BSE ALL CAP'!$B$4:$Y$1038,19,)</f>
        <v>0.13970588235294118</v>
      </c>
      <c r="U22" s="95">
        <f>VLOOKUP(A22,'BSE ALL CAP'!$B$4:$Y$1038,20,)</f>
        <v>-5.949197860962567E-2</v>
      </c>
      <c r="V22" s="95">
        <f>VLOOKUP(A22,'BSE ALL CAP'!$B$4:$Y$1038,21,)</f>
        <v>0.22476190476190472</v>
      </c>
      <c r="W22" s="95">
        <f>VLOOKUP(A22,'BSE ALL CAP'!$B$4:$Y$1038,22,)</f>
        <v>2.7397260273972712E-2</v>
      </c>
      <c r="X22" s="95">
        <f>VLOOKUP(A22,'BSE ALL CAP'!$B$4:$Y$1038,23,)</f>
        <v>0.375</v>
      </c>
      <c r="Y22" s="95">
        <f>VLOOKUP(A22,'BSE ALL CAP'!$B$4:$Y$1038,24,)</f>
        <v>-0.21052631578947367</v>
      </c>
    </row>
    <row r="23" spans="1:25" ht="15.75" customHeight="1">
      <c r="A23" s="99">
        <v>542665</v>
      </c>
      <c r="B23" s="98" t="s">
        <v>1786</v>
      </c>
      <c r="C23" s="6" t="str">
        <f>VLOOKUP(A23,'BSE ALL CAP'!$B$4:$Y$1038,2,)</f>
        <v>Commodities</v>
      </c>
      <c r="D23" s="6" t="str">
        <f>VLOOKUP(A23,'BSE ALL CAP'!$B$4:$Y$1038,3,)</f>
        <v>Specialty Chemicals</v>
      </c>
      <c r="E23" s="11">
        <f ca="1">IFERROR(__xludf.DUMMYFUNCTION("GOOGLEFINANCE(""BOM:""&amp;A23,""PRICE"")"),1187.85)</f>
        <v>1187.8499999999999</v>
      </c>
      <c r="F23" s="20">
        <f ca="1">IFERROR(__xludf.DUMMYFUNCTION("GOOGLEFINANCE(""BOM:""&amp;A23,""MARKETCAP"")/10000000"),3138.0996465)</f>
        <v>3138.0996464999998</v>
      </c>
      <c r="G23" s="95">
        <f t="shared" ca="1" si="0"/>
        <v>8.196013749642286E-3</v>
      </c>
      <c r="H23" s="101">
        <f>VLOOKUP(A23,'BSE ALL CAP'!$B$4:$Y$1038,7,)</f>
        <v>615</v>
      </c>
      <c r="I23" s="101">
        <f>VLOOKUP(A23,'BSE ALL CAP'!$B$4:$Y$1038,8,)</f>
        <v>575</v>
      </c>
      <c r="J23" s="101">
        <f>VLOOKUP(A23,'BSE ALL CAP'!$B$4:$Y$1038,9,)</f>
        <v>17</v>
      </c>
      <c r="K23" s="101">
        <f>VLOOKUP(A23,'BSE ALL CAP'!$B$4:$Y$1038,10,)</f>
        <v>32</v>
      </c>
      <c r="L23" s="101">
        <f>VLOOKUP(A23,'BSE ALL CAP'!$B$4:$Y$1038,11,)</f>
        <v>220</v>
      </c>
      <c r="M23" s="101">
        <f>VLOOKUP(A23,'BSE ALL CAP'!$B$4:$Y$1038,12,)</f>
        <v>201</v>
      </c>
      <c r="N23" s="101">
        <f>VLOOKUP(A23,'BSE ALL CAP'!$B$4:$Y$1038,13,)</f>
        <v>4</v>
      </c>
      <c r="O23" s="101">
        <f>VLOOKUP(A23,'BSE ALL CAP'!$B$4:$Y$1038,14,)</f>
        <v>10</v>
      </c>
      <c r="P23" s="95">
        <f>VLOOKUP(A23,'BSE ALL CAP'!$B$4:$Y$1038,15,)</f>
        <v>2.7642276422764227E-2</v>
      </c>
      <c r="Q23" s="95">
        <f>VLOOKUP(A23,'BSE ALL CAP'!$B$4:$Y$1038,16,)</f>
        <v>5.565217391304348E-2</v>
      </c>
      <c r="R23" s="95">
        <f>VLOOKUP(A23,'BSE ALL CAP'!$B$4:$Y$1038,17,)</f>
        <v>-2.8009897490279254E-2</v>
      </c>
      <c r="S23" s="95">
        <f>VLOOKUP(A23,'BSE ALL CAP'!$B$4:$Y$1038,18,)</f>
        <v>1.8181818181818181E-2</v>
      </c>
      <c r="T23" s="95">
        <f>VLOOKUP(A23,'BSE ALL CAP'!$B$4:$Y$1038,19,)</f>
        <v>4.975124378109453E-2</v>
      </c>
      <c r="U23" s="95">
        <f>VLOOKUP(A23,'BSE ALL CAP'!$B$4:$Y$1038,20,)</f>
        <v>-3.1569425599276349E-2</v>
      </c>
      <c r="V23" s="95">
        <f>VLOOKUP(A23,'BSE ALL CAP'!$B$4:$Y$1038,21,)</f>
        <v>6.956521739130439E-2</v>
      </c>
      <c r="W23" s="95">
        <f>VLOOKUP(A23,'BSE ALL CAP'!$B$4:$Y$1038,22,)</f>
        <v>-0.46875</v>
      </c>
      <c r="X23" s="95">
        <f>VLOOKUP(A23,'BSE ALL CAP'!$B$4:$Y$1038,23,)</f>
        <v>9.4527363184079505E-2</v>
      </c>
      <c r="Y23" s="95">
        <f>VLOOKUP(A23,'BSE ALL CAP'!$B$4:$Y$1038,24,)</f>
        <v>-0.6</v>
      </c>
    </row>
    <row r="24" spans="1:25" ht="15.75" customHeight="1">
      <c r="A24" s="99">
        <v>506222</v>
      </c>
      <c r="B24" s="98" t="s">
        <v>1787</v>
      </c>
      <c r="C24" s="6" t="str">
        <f>VLOOKUP(A24,'BSE ALL CAP'!$B$4:$Y$1038,2,)</f>
        <v>Commodities</v>
      </c>
      <c r="D24" s="6" t="str">
        <f>VLOOKUP(A24,'BSE ALL CAP'!$B$4:$Y$1038,3,)</f>
        <v>Specialty Chemicals</v>
      </c>
      <c r="E24" s="11">
        <f ca="1">IFERROR(__xludf.DUMMYFUNCTION("GOOGLEFINANCE(""BOM:""&amp;A24,""PRICE"")"),1880.6)</f>
        <v>1880.6</v>
      </c>
      <c r="F24" s="20">
        <f ca="1">IFERROR(__xludf.DUMMYFUNCTION("GOOGLEFINANCE(""BOM:""&amp;A24,""MARKETCAP"")/10000000"),3217.114)</f>
        <v>3217.114</v>
      </c>
      <c r="G24" s="95">
        <f t="shared" ca="1" si="0"/>
        <v>8.4023815520246556E-3</v>
      </c>
      <c r="H24" s="101">
        <f>VLOOKUP(A24,'BSE ALL CAP'!$B$4:$Y$1038,7,)</f>
        <v>2612</v>
      </c>
      <c r="I24" s="101">
        <f>VLOOKUP(A24,'BSE ALL CAP'!$B$4:$Y$1038,8,)</f>
        <v>2043</v>
      </c>
      <c r="J24" s="101">
        <f>VLOOKUP(A24,'BSE ALL CAP'!$B$4:$Y$1038,9,)</f>
        <v>109</v>
      </c>
      <c r="K24" s="101">
        <f>VLOOKUP(A24,'BSE ALL CAP'!$B$4:$Y$1038,10,)</f>
        <v>179</v>
      </c>
      <c r="L24" s="101">
        <f>VLOOKUP(A24,'BSE ALL CAP'!$B$4:$Y$1038,11,)</f>
        <v>869</v>
      </c>
      <c r="M24" s="101">
        <f>VLOOKUP(A24,'BSE ALL CAP'!$B$4:$Y$1038,12,)</f>
        <v>691</v>
      </c>
      <c r="N24" s="101">
        <f>VLOOKUP(A24,'BSE ALL CAP'!$B$4:$Y$1038,13,)</f>
        <v>16</v>
      </c>
      <c r="O24" s="101">
        <f>VLOOKUP(A24,'BSE ALL CAP'!$B$4:$Y$1038,14,)</f>
        <v>49</v>
      </c>
      <c r="P24" s="95">
        <f>VLOOKUP(A24,'BSE ALL CAP'!$B$4:$Y$1038,15,)</f>
        <v>4.1730474732006126E-2</v>
      </c>
      <c r="Q24" s="95">
        <f>VLOOKUP(A24,'BSE ALL CAP'!$B$4:$Y$1038,16,)</f>
        <v>8.7616250611845331E-2</v>
      </c>
      <c r="R24" s="95">
        <f>VLOOKUP(A24,'BSE ALL CAP'!$B$4:$Y$1038,17,)</f>
        <v>-4.5885775879839205E-2</v>
      </c>
      <c r="S24" s="95">
        <f>VLOOKUP(A24,'BSE ALL CAP'!$B$4:$Y$1038,18,)</f>
        <v>1.8411967779056387E-2</v>
      </c>
      <c r="T24" s="95">
        <f>VLOOKUP(A24,'BSE ALL CAP'!$B$4:$Y$1038,19,)</f>
        <v>7.0911722141823438E-2</v>
      </c>
      <c r="U24" s="95">
        <f>VLOOKUP(A24,'BSE ALL CAP'!$B$4:$Y$1038,20,)</f>
        <v>-5.2499754362767048E-2</v>
      </c>
      <c r="V24" s="95">
        <f>VLOOKUP(A24,'BSE ALL CAP'!$B$4:$Y$1038,21,)</f>
        <v>0.27851199216837985</v>
      </c>
      <c r="W24" s="95">
        <f>VLOOKUP(A24,'BSE ALL CAP'!$B$4:$Y$1038,22,)</f>
        <v>-0.39106145251396651</v>
      </c>
      <c r="X24" s="95">
        <f>VLOOKUP(A24,'BSE ALL CAP'!$B$4:$Y$1038,23,)</f>
        <v>0.25759768451519527</v>
      </c>
      <c r="Y24" s="95">
        <f>VLOOKUP(A24,'BSE ALL CAP'!$B$4:$Y$1038,24,)</f>
        <v>-0.67346938775510212</v>
      </c>
    </row>
    <row r="25" spans="1:25" ht="14.4">
      <c r="A25" s="99">
        <v>516072</v>
      </c>
      <c r="B25" s="98" t="s">
        <v>1788</v>
      </c>
      <c r="C25" s="6" t="str">
        <f>VLOOKUP(A25,'BSE ALL CAP'!$B$4:$Y$1038,2,)</f>
        <v>Commodities</v>
      </c>
      <c r="D25" s="6" t="str">
        <f>VLOOKUP(A25,'BSE ALL CAP'!$B$4:$Y$1038,3,)</f>
        <v>Specialty Chemicals</v>
      </c>
      <c r="E25" s="11">
        <f ca="1">IFERROR(__xludf.DUMMYFUNCTION("GOOGLEFINANCE(""BOM:""&amp;A25,""PRICE"")"),510.3)</f>
        <v>510.3</v>
      </c>
      <c r="F25" s="20">
        <f ca="1">IFERROR(__xludf.DUMMYFUNCTION("GOOGLEFINANCE(""BOM:""&amp;A25,""MARKETCAP"")/10000000"),3455.6302478)</f>
        <v>3455.6302477999998</v>
      </c>
      <c r="G25" s="95">
        <f t="shared" ca="1" si="0"/>
        <v>9.025332594596619E-3</v>
      </c>
      <c r="H25" s="101">
        <f>VLOOKUP(A25,'BSE ALL CAP'!$B$4:$Y$1038,7,)</f>
        <v>1159</v>
      </c>
      <c r="I25" s="101">
        <f>VLOOKUP(A25,'BSE ALL CAP'!$B$4:$Y$1038,8,)</f>
        <v>1053</v>
      </c>
      <c r="J25" s="101">
        <f>VLOOKUP(A25,'BSE ALL CAP'!$B$4:$Y$1038,9,)</f>
        <v>98</v>
      </c>
      <c r="K25" s="101">
        <f>VLOOKUP(A25,'BSE ALL CAP'!$B$4:$Y$1038,10,)</f>
        <v>87</v>
      </c>
      <c r="L25" s="101">
        <f>VLOOKUP(A25,'BSE ALL CAP'!$B$4:$Y$1038,11,)</f>
        <v>411</v>
      </c>
      <c r="M25" s="101">
        <f>VLOOKUP(A25,'BSE ALL CAP'!$B$4:$Y$1038,12,)</f>
        <v>371</v>
      </c>
      <c r="N25" s="101">
        <f>VLOOKUP(A25,'BSE ALL CAP'!$B$4:$Y$1038,13,)</f>
        <v>33</v>
      </c>
      <c r="O25" s="101">
        <f>VLOOKUP(A25,'BSE ALL CAP'!$B$4:$Y$1038,14,)</f>
        <v>34</v>
      </c>
      <c r="P25" s="95">
        <f>VLOOKUP(A25,'BSE ALL CAP'!$B$4:$Y$1038,15,)</f>
        <v>8.4555651423641076E-2</v>
      </c>
      <c r="Q25" s="95">
        <f>VLOOKUP(A25,'BSE ALL CAP'!$B$4:$Y$1038,16,)</f>
        <v>8.2621082621082614E-2</v>
      </c>
      <c r="R25" s="95">
        <f>VLOOKUP(A25,'BSE ALL CAP'!$B$4:$Y$1038,17,)</f>
        <v>1.9345688025584618E-3</v>
      </c>
      <c r="S25" s="95">
        <f>VLOOKUP(A25,'BSE ALL CAP'!$B$4:$Y$1038,18,)</f>
        <v>8.0291970802919707E-2</v>
      </c>
      <c r="T25" s="95">
        <f>VLOOKUP(A25,'BSE ALL CAP'!$B$4:$Y$1038,19,)</f>
        <v>9.1644204851752023E-2</v>
      </c>
      <c r="U25" s="95">
        <f>VLOOKUP(A25,'BSE ALL CAP'!$B$4:$Y$1038,20,)</f>
        <v>-1.1352234048832316E-2</v>
      </c>
      <c r="V25" s="95">
        <f>VLOOKUP(A25,'BSE ALL CAP'!$B$4:$Y$1038,21,)</f>
        <v>0.10066476733143404</v>
      </c>
      <c r="W25" s="95">
        <f>VLOOKUP(A25,'BSE ALL CAP'!$B$4:$Y$1038,22,)</f>
        <v>0.12643678160919536</v>
      </c>
      <c r="X25" s="95">
        <f>VLOOKUP(A25,'BSE ALL CAP'!$B$4:$Y$1038,23,)</f>
        <v>0.1078167115902966</v>
      </c>
      <c r="Y25" s="95">
        <f>VLOOKUP(A25,'BSE ALL CAP'!$B$4:$Y$1038,24,)</f>
        <v>-2.9411764705882359E-2</v>
      </c>
    </row>
    <row r="26" spans="1:25" ht="14.4">
      <c r="A26" s="99">
        <v>530999</v>
      </c>
      <c r="B26" s="98" t="s">
        <v>1789</v>
      </c>
      <c r="C26" s="6" t="str">
        <f>VLOOKUP(A26,'BSE ALL CAP'!$B$4:$Y$1038,2,)</f>
        <v>Commodities</v>
      </c>
      <c r="D26" s="6" t="str">
        <f>VLOOKUP(A26,'BSE ALL CAP'!$B$4:$Y$1038,3,)</f>
        <v>Specialty Chemicals</v>
      </c>
      <c r="E26" s="11">
        <f ca="1">IFERROR(__xludf.DUMMYFUNCTION("GOOGLEFINANCE(""BOM:""&amp;A26,""PRICE"")"),1035.85)</f>
        <v>1035.8499999999999</v>
      </c>
      <c r="F26" s="20">
        <f ca="1">IFERROR(__xludf.DUMMYFUNCTION("GOOGLEFINANCE(""BOM:""&amp;A26,""MARKETCAP"")/10000000"),3360.9548509)</f>
        <v>3360.9548509000001</v>
      </c>
      <c r="G26" s="95">
        <f t="shared" ca="1" si="0"/>
        <v>8.7780616528944696E-3</v>
      </c>
      <c r="H26" s="101">
        <f>VLOOKUP(A26,'BSE ALL CAP'!$B$4:$Y$1038,7,)</f>
        <v>1030</v>
      </c>
      <c r="I26" s="101">
        <f>VLOOKUP(A26,'BSE ALL CAP'!$B$4:$Y$1038,8,)</f>
        <v>1044</v>
      </c>
      <c r="J26" s="101">
        <f>VLOOKUP(A26,'BSE ALL CAP'!$B$4:$Y$1038,9,)</f>
        <v>104</v>
      </c>
      <c r="K26" s="101">
        <f>VLOOKUP(A26,'BSE ALL CAP'!$B$4:$Y$1038,10,)</f>
        <v>118</v>
      </c>
      <c r="L26" s="101">
        <f>VLOOKUP(A26,'BSE ALL CAP'!$B$4:$Y$1038,11,)</f>
        <v>331</v>
      </c>
      <c r="M26" s="101">
        <f>VLOOKUP(A26,'BSE ALL CAP'!$B$4:$Y$1038,12,)</f>
        <v>312</v>
      </c>
      <c r="N26" s="101">
        <f>VLOOKUP(A26,'BSE ALL CAP'!$B$4:$Y$1038,13,)</f>
        <v>30</v>
      </c>
      <c r="O26" s="101">
        <f>VLOOKUP(A26,'BSE ALL CAP'!$B$4:$Y$1038,14,)</f>
        <v>31</v>
      </c>
      <c r="P26" s="95">
        <f>VLOOKUP(A26,'BSE ALL CAP'!$B$4:$Y$1038,15,)</f>
        <v>0.10097087378640776</v>
      </c>
      <c r="Q26" s="95">
        <f>VLOOKUP(A26,'BSE ALL CAP'!$B$4:$Y$1038,16,)</f>
        <v>0.11302681992337164</v>
      </c>
      <c r="R26" s="95">
        <f>VLOOKUP(A26,'BSE ALL CAP'!$B$4:$Y$1038,17,)</f>
        <v>-1.2055946136963883E-2</v>
      </c>
      <c r="S26" s="95">
        <f>VLOOKUP(A26,'BSE ALL CAP'!$B$4:$Y$1038,18,)</f>
        <v>9.0634441087613288E-2</v>
      </c>
      <c r="T26" s="95">
        <f>VLOOKUP(A26,'BSE ALL CAP'!$B$4:$Y$1038,19,)</f>
        <v>9.9358974358974353E-2</v>
      </c>
      <c r="U26" s="95">
        <f>VLOOKUP(A26,'BSE ALL CAP'!$B$4:$Y$1038,20,)</f>
        <v>-8.7245332713610652E-3</v>
      </c>
      <c r="V26" s="95">
        <f>VLOOKUP(A26,'BSE ALL CAP'!$B$4:$Y$1038,21,)</f>
        <v>-1.3409961685823757E-2</v>
      </c>
      <c r="W26" s="95">
        <f>VLOOKUP(A26,'BSE ALL CAP'!$B$4:$Y$1038,22,)</f>
        <v>-0.11864406779661019</v>
      </c>
      <c r="X26" s="95">
        <f>VLOOKUP(A26,'BSE ALL CAP'!$B$4:$Y$1038,23,)</f>
        <v>6.0897435897435903E-2</v>
      </c>
      <c r="Y26" s="95">
        <f>VLOOKUP(A26,'BSE ALL CAP'!$B$4:$Y$1038,24,)</f>
        <v>-3.2258064516129004E-2</v>
      </c>
    </row>
    <row r="27" spans="1:25" ht="14.4">
      <c r="A27" s="99">
        <v>543277</v>
      </c>
      <c r="B27" s="98" t="s">
        <v>1790</v>
      </c>
      <c r="C27" s="6" t="str">
        <f>VLOOKUP(A27,'BSE ALL CAP'!$B$4:$Y$1038,2,)</f>
        <v>Commodities</v>
      </c>
      <c r="D27" s="6" t="str">
        <f>VLOOKUP(A27,'BSE ALL CAP'!$B$4:$Y$1038,3,)</f>
        <v>Specialty Chemicals</v>
      </c>
      <c r="E27" s="11">
        <f ca="1">IFERROR(__xludf.DUMMYFUNCTION("GOOGLEFINANCE(""BOM:""&amp;A27,""PRICE"")"),117.05)</f>
        <v>117.05</v>
      </c>
      <c r="F27" s="20">
        <f ca="1">IFERROR(__xludf.DUMMYFUNCTION("GOOGLEFINANCE(""BOM:""&amp;A27,""MARKETCAP"")/10000000"),3246.7865192)</f>
        <v>3246.7865191999999</v>
      </c>
      <c r="G27" s="95">
        <f t="shared" ca="1" si="0"/>
        <v>8.4798795293820565E-3</v>
      </c>
      <c r="H27" s="101">
        <f>VLOOKUP(A27,'BSE ALL CAP'!$B$4:$Y$1038,7,)</f>
        <v>2111</v>
      </c>
      <c r="I27" s="101">
        <f>VLOOKUP(A27,'BSE ALL CAP'!$B$4:$Y$1038,8,)</f>
        <v>2275</v>
      </c>
      <c r="J27" s="101">
        <f>VLOOKUP(A27,'BSE ALL CAP'!$B$4:$Y$1038,9,)</f>
        <v>57</v>
      </c>
      <c r="K27" s="101">
        <f>VLOOKUP(A27,'BSE ALL CAP'!$B$4:$Y$1038,10,)</f>
        <v>91</v>
      </c>
      <c r="L27" s="101">
        <f>VLOOKUP(A27,'BSE ALL CAP'!$B$4:$Y$1038,11,)</f>
        <v>718</v>
      </c>
      <c r="M27" s="101">
        <f>VLOOKUP(A27,'BSE ALL CAP'!$B$4:$Y$1038,12,)</f>
        <v>786</v>
      </c>
      <c r="N27" s="101">
        <f>VLOOKUP(A27,'BSE ALL CAP'!$B$4:$Y$1038,13,)</f>
        <v>25</v>
      </c>
      <c r="O27" s="101">
        <f>VLOOKUP(A27,'BSE ALL CAP'!$B$4:$Y$1038,14,)</f>
        <v>29</v>
      </c>
      <c r="P27" s="95">
        <f>VLOOKUP(A27,'BSE ALL CAP'!$B$4:$Y$1038,15,)</f>
        <v>2.700142112742776E-2</v>
      </c>
      <c r="Q27" s="95">
        <f>VLOOKUP(A27,'BSE ALL CAP'!$B$4:$Y$1038,16,)</f>
        <v>0.04</v>
      </c>
      <c r="R27" s="95">
        <f>VLOOKUP(A27,'BSE ALL CAP'!$B$4:$Y$1038,17,)</f>
        <v>-1.299857887257224E-2</v>
      </c>
      <c r="S27" s="95">
        <f>VLOOKUP(A27,'BSE ALL CAP'!$B$4:$Y$1038,18,)</f>
        <v>3.4818941504178275E-2</v>
      </c>
      <c r="T27" s="95">
        <f>VLOOKUP(A27,'BSE ALL CAP'!$B$4:$Y$1038,19,)</f>
        <v>3.689567430025445E-2</v>
      </c>
      <c r="U27" s="95">
        <f>VLOOKUP(A27,'BSE ALL CAP'!$B$4:$Y$1038,20,)</f>
        <v>-2.076732796076175E-3</v>
      </c>
      <c r="V27" s="95">
        <f>VLOOKUP(A27,'BSE ALL CAP'!$B$4:$Y$1038,21,)</f>
        <v>-7.2087912087912098E-2</v>
      </c>
      <c r="W27" s="95">
        <f>VLOOKUP(A27,'BSE ALL CAP'!$B$4:$Y$1038,22,)</f>
        <v>-0.37362637362637363</v>
      </c>
      <c r="X27" s="95">
        <f>VLOOKUP(A27,'BSE ALL CAP'!$B$4:$Y$1038,23,)</f>
        <v>-8.6513994910941472E-2</v>
      </c>
      <c r="Y27" s="95">
        <f>VLOOKUP(A27,'BSE ALL CAP'!$B$4:$Y$1038,24,)</f>
        <v>-0.13793103448275867</v>
      </c>
    </row>
    <row r="28" spans="1:25" ht="14.4">
      <c r="A28" s="99">
        <v>543321</v>
      </c>
      <c r="B28" s="98" t="s">
        <v>1791</v>
      </c>
      <c r="C28" s="6" t="str">
        <f>VLOOKUP(A28,'BSE ALL CAP'!$B$4:$Y$1038,2,)</f>
        <v>Commodities</v>
      </c>
      <c r="D28" s="6" t="str">
        <f>VLOOKUP(A28,'BSE ALL CAP'!$B$4:$Y$1038,3,)</f>
        <v>Specialty Chemicals</v>
      </c>
      <c r="E28" s="11">
        <f ca="1">IFERROR(__xludf.DUMMYFUNCTION("GOOGLEFINANCE(""BOM:""&amp;A28,""PRICE"")"),1124.1)</f>
        <v>1124.0999999999999</v>
      </c>
      <c r="F28" s="20">
        <f ca="1">IFERROR(__xludf.DUMMYFUNCTION("GOOGLEFINANCE(""BOM:""&amp;A28,""MARKETCAP"")/10000000"),2626.6933516)</f>
        <v>2626.6933515999999</v>
      </c>
      <c r="G28" s="95">
        <f t="shared" ca="1" si="0"/>
        <v>6.8603349959963037E-3</v>
      </c>
      <c r="H28" s="101">
        <f>VLOOKUP(A28,'BSE ALL CAP'!$B$4:$Y$1038,7,)</f>
        <v>371</v>
      </c>
      <c r="I28" s="101">
        <f>VLOOKUP(A28,'BSE ALL CAP'!$B$4:$Y$1038,8,)</f>
        <v>274</v>
      </c>
      <c r="J28" s="101">
        <f>VLOOKUP(A28,'BSE ALL CAP'!$B$4:$Y$1038,9,)</f>
        <v>31</v>
      </c>
      <c r="K28" s="101">
        <f>VLOOKUP(A28,'BSE ALL CAP'!$B$4:$Y$1038,10,)</f>
        <v>4</v>
      </c>
      <c r="L28" s="101">
        <f>VLOOKUP(A28,'BSE ALL CAP'!$B$4:$Y$1038,11,)</f>
        <v>131</v>
      </c>
      <c r="M28" s="101">
        <f>VLOOKUP(A28,'BSE ALL CAP'!$B$4:$Y$1038,12,)</f>
        <v>85</v>
      </c>
      <c r="N28" s="101">
        <f>VLOOKUP(A28,'BSE ALL CAP'!$B$4:$Y$1038,13,)</f>
        <v>15</v>
      </c>
      <c r="O28" s="101">
        <f>VLOOKUP(A28,'BSE ALL CAP'!$B$4:$Y$1038,14,)</f>
        <v>0.38</v>
      </c>
      <c r="P28" s="95">
        <f>VLOOKUP(A28,'BSE ALL CAP'!$B$4:$Y$1038,15,)</f>
        <v>8.3557951482479784E-2</v>
      </c>
      <c r="Q28" s="95">
        <f>VLOOKUP(A28,'BSE ALL CAP'!$B$4:$Y$1038,16,)</f>
        <v>1.4598540145985401E-2</v>
      </c>
      <c r="R28" s="95">
        <f>VLOOKUP(A28,'BSE ALL CAP'!$B$4:$Y$1038,17,)</f>
        <v>6.8959411336494386E-2</v>
      </c>
      <c r="S28" s="95">
        <f>VLOOKUP(A28,'BSE ALL CAP'!$B$4:$Y$1038,18,)</f>
        <v>0.11450381679389313</v>
      </c>
      <c r="T28" s="95">
        <f>VLOOKUP(A28,'BSE ALL CAP'!$B$4:$Y$1038,19,)</f>
        <v>4.4705882352941177E-3</v>
      </c>
      <c r="U28" s="95">
        <f>VLOOKUP(A28,'BSE ALL CAP'!$B$4:$Y$1038,20,)</f>
        <v>0.11003322855859901</v>
      </c>
      <c r="V28" s="95">
        <f>VLOOKUP(A28,'BSE ALL CAP'!$B$4:$Y$1038,21,)</f>
        <v>0.35401459854014594</v>
      </c>
      <c r="W28" s="95">
        <f>VLOOKUP(A28,'BSE ALL CAP'!$B$4:$Y$1038,22,)</f>
        <v>6.75</v>
      </c>
      <c r="X28" s="95">
        <f>VLOOKUP(A28,'BSE ALL CAP'!$B$4:$Y$1038,23,)</f>
        <v>0.54117647058823537</v>
      </c>
      <c r="Y28" s="95">
        <f>VLOOKUP(A28,'BSE ALL CAP'!$B$4:$Y$1038,24,)</f>
        <v>38.473684210526315</v>
      </c>
    </row>
    <row r="29" spans="1:25" ht="14.4">
      <c r="A29" s="99">
        <v>532834</v>
      </c>
      <c r="B29" s="98" t="s">
        <v>1792</v>
      </c>
      <c r="C29" s="6" t="str">
        <f>VLOOKUP(A29,'BSE ALL CAP'!$B$4:$Y$1038,2,)</f>
        <v>Commodities</v>
      </c>
      <c r="D29" s="6" t="str">
        <f>VLOOKUP(A29,'BSE ALL CAP'!$B$4:$Y$1038,3,)</f>
        <v>Specialty Chemicals</v>
      </c>
      <c r="E29" s="11">
        <f ca="1">IFERROR(__xludf.DUMMYFUNCTION("GOOGLEFINANCE(""BOM:""&amp;A29,""PRICE"")"),102.01)</f>
        <v>102.01</v>
      </c>
      <c r="F29" s="20">
        <f ca="1">IFERROR(__xludf.DUMMYFUNCTION("GOOGLEFINANCE(""BOM:""&amp;A29,""MARKETCAP"")/10000000"),1962.4068343)</f>
        <v>1962.4068342999999</v>
      </c>
      <c r="G29" s="95">
        <f t="shared" ca="1" si="0"/>
        <v>5.1253673267684721E-3</v>
      </c>
      <c r="H29" s="101">
        <f>VLOOKUP(A29,'BSE ALL CAP'!$B$4:$Y$1038,7,)</f>
        <v>1340</v>
      </c>
      <c r="I29" s="101">
        <f>VLOOKUP(A29,'BSE ALL CAP'!$B$4:$Y$1038,8,)</f>
        <v>1229</v>
      </c>
      <c r="J29" s="101">
        <f>VLOOKUP(A29,'BSE ALL CAP'!$B$4:$Y$1038,9,)</f>
        <v>-62</v>
      </c>
      <c r="K29" s="101">
        <f>VLOOKUP(A29,'BSE ALL CAP'!$B$4:$Y$1038,10,)</f>
        <v>-158</v>
      </c>
      <c r="L29" s="101">
        <f>VLOOKUP(A29,'BSE ALL CAP'!$B$4:$Y$1038,11,)</f>
        <v>457</v>
      </c>
      <c r="M29" s="101">
        <f>VLOOKUP(A29,'BSE ALL CAP'!$B$4:$Y$1038,12,)</f>
        <v>431</v>
      </c>
      <c r="N29" s="101">
        <f>VLOOKUP(A29,'BSE ALL CAP'!$B$4:$Y$1038,13,)</f>
        <v>-37</v>
      </c>
      <c r="O29" s="101">
        <f>VLOOKUP(A29,'BSE ALL CAP'!$B$4:$Y$1038,14,)</f>
        <v>-7</v>
      </c>
      <c r="P29" s="95">
        <f>VLOOKUP(A29,'BSE ALL CAP'!$B$4:$Y$1038,15,)</f>
        <v>-4.6268656716417909E-2</v>
      </c>
      <c r="Q29" s="95">
        <f>VLOOKUP(A29,'BSE ALL CAP'!$B$4:$Y$1038,16,)</f>
        <v>-0.12855980471928397</v>
      </c>
      <c r="R29" s="95">
        <f>VLOOKUP(A29,'BSE ALL CAP'!$B$4:$Y$1038,17,)</f>
        <v>8.2291148002866049E-2</v>
      </c>
      <c r="S29" s="95">
        <f>VLOOKUP(A29,'BSE ALL CAP'!$B$4:$Y$1038,18,)</f>
        <v>-8.0962800875273522E-2</v>
      </c>
      <c r="T29" s="95">
        <f>VLOOKUP(A29,'BSE ALL CAP'!$B$4:$Y$1038,19,)</f>
        <v>-1.6241299303944315E-2</v>
      </c>
      <c r="U29" s="95">
        <f>VLOOKUP(A29,'BSE ALL CAP'!$B$4:$Y$1038,20,)</f>
        <v>-6.4721501571329207E-2</v>
      </c>
      <c r="V29" s="95">
        <f>VLOOKUP(A29,'BSE ALL CAP'!$B$4:$Y$1038,21,)</f>
        <v>9.0317331163547676E-2</v>
      </c>
      <c r="W29" s="95">
        <f>VLOOKUP(A29,'BSE ALL CAP'!$B$4:$Y$1038,22,)</f>
        <v>-0.60759493670886078</v>
      </c>
      <c r="X29" s="95">
        <f>VLOOKUP(A29,'BSE ALL CAP'!$B$4:$Y$1038,23,)</f>
        <v>6.0324825986078912E-2</v>
      </c>
      <c r="Y29" s="95">
        <f>VLOOKUP(A29,'BSE ALL CAP'!$B$4:$Y$1038,24,)</f>
        <v>4.2857142857142856</v>
      </c>
    </row>
    <row r="30" spans="1:25" ht="14.4">
      <c r="A30" s="99">
        <v>533333</v>
      </c>
      <c r="B30" s="98" t="s">
        <v>1793</v>
      </c>
      <c r="C30" s="6" t="str">
        <f>VLOOKUP(A30,'BSE ALL CAP'!$B$4:$Y$1038,2,)</f>
        <v>Commodities</v>
      </c>
      <c r="D30" s="6" t="str">
        <f>VLOOKUP(A30,'BSE ALL CAP'!$B$4:$Y$1038,3,)</f>
        <v>Specialty Chemicals</v>
      </c>
      <c r="E30" s="11">
        <f ca="1">IFERROR(__xludf.DUMMYFUNCTION("GOOGLEFINANCE(""BOM:""&amp;A30,""PRICE"")"),22.33)</f>
        <v>22.33</v>
      </c>
      <c r="F30" s="20">
        <f ca="1">IFERROR(__xludf.DUMMYFUNCTION("GOOGLEFINANCE(""BOM:""&amp;A30,""MARKETCAP"")/10000000"),2594.5060799)</f>
        <v>2594.5060798999998</v>
      </c>
      <c r="G30" s="95">
        <f t="shared" ca="1" si="0"/>
        <v>6.7762690480870644E-3</v>
      </c>
      <c r="H30" s="101">
        <f>VLOOKUP(A30,'BSE ALL CAP'!$B$4:$Y$1038,7,)</f>
        <v>458</v>
      </c>
      <c r="I30" s="101">
        <f>VLOOKUP(A30,'BSE ALL CAP'!$B$4:$Y$1038,8,)</f>
        <v>413</v>
      </c>
      <c r="J30" s="101">
        <f>VLOOKUP(A30,'BSE ALL CAP'!$B$4:$Y$1038,9,)</f>
        <v>81</v>
      </c>
      <c r="K30" s="101">
        <f>VLOOKUP(A30,'BSE ALL CAP'!$B$4:$Y$1038,10,)</f>
        <v>89</v>
      </c>
      <c r="L30" s="101">
        <f>VLOOKUP(A30,'BSE ALL CAP'!$B$4:$Y$1038,11,)</f>
        <v>183</v>
      </c>
      <c r="M30" s="101">
        <f>VLOOKUP(A30,'BSE ALL CAP'!$B$4:$Y$1038,12,)</f>
        <v>125</v>
      </c>
      <c r="N30" s="101">
        <f>VLOOKUP(A30,'BSE ALL CAP'!$B$4:$Y$1038,13,)</f>
        <v>30</v>
      </c>
      <c r="O30" s="101">
        <f>VLOOKUP(A30,'BSE ALL CAP'!$B$4:$Y$1038,14,)</f>
        <v>27</v>
      </c>
      <c r="P30" s="95">
        <f>VLOOKUP(A30,'BSE ALL CAP'!$B$4:$Y$1038,15,)</f>
        <v>0.17685589519650655</v>
      </c>
      <c r="Q30" s="95">
        <f>VLOOKUP(A30,'BSE ALL CAP'!$B$4:$Y$1038,16,)</f>
        <v>0.21549636803874092</v>
      </c>
      <c r="R30" s="95">
        <f>VLOOKUP(A30,'BSE ALL CAP'!$B$4:$Y$1038,17,)</f>
        <v>-3.8640472842234375E-2</v>
      </c>
      <c r="S30" s="95">
        <f>VLOOKUP(A30,'BSE ALL CAP'!$B$4:$Y$1038,18,)</f>
        <v>0.16393442622950818</v>
      </c>
      <c r="T30" s="95">
        <f>VLOOKUP(A30,'BSE ALL CAP'!$B$4:$Y$1038,19,)</f>
        <v>0.216</v>
      </c>
      <c r="U30" s="95">
        <f>VLOOKUP(A30,'BSE ALL CAP'!$B$4:$Y$1038,20,)</f>
        <v>-5.2065573770491813E-2</v>
      </c>
      <c r="V30" s="95">
        <f>VLOOKUP(A30,'BSE ALL CAP'!$B$4:$Y$1038,21,)</f>
        <v>0.10895883777239712</v>
      </c>
      <c r="W30" s="95">
        <f>VLOOKUP(A30,'BSE ALL CAP'!$B$4:$Y$1038,22,)</f>
        <v>-8.98876404494382E-2</v>
      </c>
      <c r="X30" s="95">
        <f>VLOOKUP(A30,'BSE ALL CAP'!$B$4:$Y$1038,23,)</f>
        <v>0.46399999999999997</v>
      </c>
      <c r="Y30" s="95">
        <f>VLOOKUP(A30,'BSE ALL CAP'!$B$4:$Y$1038,24,)</f>
        <v>0.11111111111111116</v>
      </c>
    </row>
    <row r="31" spans="1:25" ht="14.4">
      <c r="A31" s="99">
        <v>544355</v>
      </c>
      <c r="B31" s="98" t="s">
        <v>1794</v>
      </c>
      <c r="C31" s="6" t="str">
        <f>VLOOKUP(A31,'BSE ALL CAP'!$B$4:$Y$1038,2,)</f>
        <v>Commodities</v>
      </c>
      <c r="D31" s="6" t="str">
        <f>VLOOKUP(A31,'BSE ALL CAP'!$B$4:$Y$1038,3,)</f>
        <v>Specialty Chemicals</v>
      </c>
      <c r="E31" s="11">
        <f ca="1">IFERROR(__xludf.DUMMYFUNCTION("GOOGLEFINANCE(""BOM:""&amp;A31,""PRICE"")"),1709.9)</f>
        <v>1709.9</v>
      </c>
      <c r="F31" s="20">
        <f ca="1">IFERROR(__xludf.DUMMYFUNCTION("GOOGLEFINANCE(""BOM:""&amp;A31,""MARKETCAP"")/10000000"),2613.4043577)</f>
        <v>2613.4043577000002</v>
      </c>
      <c r="G31" s="95">
        <f t="shared" ca="1" si="0"/>
        <v>6.8256271189393123E-3</v>
      </c>
      <c r="H31" s="101">
        <f>VLOOKUP(A31,'BSE ALL CAP'!$B$4:$Y$1038,7,)</f>
        <v>1405</v>
      </c>
      <c r="I31" s="101">
        <f>VLOOKUP(A31,'BSE ALL CAP'!$B$4:$Y$1038,8,)</f>
        <v>1162</v>
      </c>
      <c r="J31" s="101">
        <f>VLOOKUP(A31,'BSE ALL CAP'!$B$4:$Y$1038,9,)</f>
        <v>107</v>
      </c>
      <c r="K31" s="101">
        <f>VLOOKUP(A31,'BSE ALL CAP'!$B$4:$Y$1038,10,)</f>
        <v>72</v>
      </c>
      <c r="L31" s="101">
        <f>VLOOKUP(A31,'BSE ALL CAP'!$B$4:$Y$1038,11,)</f>
        <v>449</v>
      </c>
      <c r="M31" s="101">
        <f>VLOOKUP(A31,'BSE ALL CAP'!$B$4:$Y$1038,12,)</f>
        <v>396</v>
      </c>
      <c r="N31" s="101">
        <f>VLOOKUP(A31,'BSE ALL CAP'!$B$4:$Y$1038,13,)</f>
        <v>21</v>
      </c>
      <c r="O31" s="101">
        <f>VLOOKUP(A31,'BSE ALL CAP'!$B$4:$Y$1038,14,)</f>
        <v>21</v>
      </c>
      <c r="P31" s="95">
        <f>VLOOKUP(A31,'BSE ALL CAP'!$B$4:$Y$1038,15,)</f>
        <v>7.6156583629893235E-2</v>
      </c>
      <c r="Q31" s="95">
        <f>VLOOKUP(A31,'BSE ALL CAP'!$B$4:$Y$1038,16,)</f>
        <v>6.1962134251290879E-2</v>
      </c>
      <c r="R31" s="95">
        <f>VLOOKUP(A31,'BSE ALL CAP'!$B$4:$Y$1038,17,)</f>
        <v>1.4194449378602356E-2</v>
      </c>
      <c r="S31" s="95">
        <f>VLOOKUP(A31,'BSE ALL CAP'!$B$4:$Y$1038,18,)</f>
        <v>4.6770601336302897E-2</v>
      </c>
      <c r="T31" s="95">
        <f>VLOOKUP(A31,'BSE ALL CAP'!$B$4:$Y$1038,19,)</f>
        <v>5.3030303030303032E-2</v>
      </c>
      <c r="U31" s="95">
        <f>VLOOKUP(A31,'BSE ALL CAP'!$B$4:$Y$1038,20,)</f>
        <v>-6.2597016940001346E-3</v>
      </c>
      <c r="V31" s="95">
        <f>VLOOKUP(A31,'BSE ALL CAP'!$B$4:$Y$1038,21,)</f>
        <v>0.20912220309810681</v>
      </c>
      <c r="W31" s="95">
        <f>VLOOKUP(A31,'BSE ALL CAP'!$B$4:$Y$1038,22,)</f>
        <v>0.48611111111111116</v>
      </c>
      <c r="X31" s="95">
        <f>VLOOKUP(A31,'BSE ALL CAP'!$B$4:$Y$1038,23,)</f>
        <v>0.13383838383838387</v>
      </c>
      <c r="Y31" s="95">
        <f>VLOOKUP(A31,'BSE ALL CAP'!$B$4:$Y$1038,24,)</f>
        <v>0</v>
      </c>
    </row>
    <row r="32" spans="1:25" ht="14.4">
      <c r="A32" s="99">
        <v>543213</v>
      </c>
      <c r="B32" s="98" t="s">
        <v>1795</v>
      </c>
      <c r="C32" s="6" t="str">
        <f>VLOOKUP(A32,'BSE ALL CAP'!$B$4:$Y$1038,2,)</f>
        <v>Commodities</v>
      </c>
      <c r="D32" s="6" t="str">
        <f>VLOOKUP(A32,'BSE ALL CAP'!$B$4:$Y$1038,3,)</f>
        <v>Specialty Chemicals</v>
      </c>
      <c r="E32" s="11">
        <f ca="1">IFERROR(__xludf.DUMMYFUNCTION("GOOGLEFINANCE(""BOM:""&amp;A32,""PRICE"")"),442.4)</f>
        <v>442.4</v>
      </c>
      <c r="F32" s="20">
        <f ca="1">IFERROR(__xludf.DUMMYFUNCTION("GOOGLEFINANCE(""BOM:""&amp;A32,""MARKETCAP"")/10000000"),2459.021184)</f>
        <v>2459.0211840000002</v>
      </c>
      <c r="G32" s="95">
        <f t="shared" ca="1" si="0"/>
        <v>6.4224128310278808E-3</v>
      </c>
      <c r="H32" s="101">
        <f>VLOOKUP(A32,'BSE ALL CAP'!$B$4:$Y$1038,7,)</f>
        <v>1711</v>
      </c>
      <c r="I32" s="101">
        <f>VLOOKUP(A32,'BSE ALL CAP'!$B$4:$Y$1038,8,)</f>
        <v>1500</v>
      </c>
      <c r="J32" s="101">
        <f>VLOOKUP(A32,'BSE ALL CAP'!$B$4:$Y$1038,9,)</f>
        <v>103</v>
      </c>
      <c r="K32" s="101">
        <f>VLOOKUP(A32,'BSE ALL CAP'!$B$4:$Y$1038,10,)</f>
        <v>101</v>
      </c>
      <c r="L32" s="101">
        <f>VLOOKUP(A32,'BSE ALL CAP'!$B$4:$Y$1038,11,)</f>
        <v>581</v>
      </c>
      <c r="M32" s="101">
        <f>VLOOKUP(A32,'BSE ALL CAP'!$B$4:$Y$1038,12,)</f>
        <v>512</v>
      </c>
      <c r="N32" s="101">
        <f>VLOOKUP(A32,'BSE ALL CAP'!$B$4:$Y$1038,13,)</f>
        <v>32</v>
      </c>
      <c r="O32" s="101">
        <f>VLOOKUP(A32,'BSE ALL CAP'!$B$4:$Y$1038,14,)</f>
        <v>31</v>
      </c>
      <c r="P32" s="95">
        <f>VLOOKUP(A32,'BSE ALL CAP'!$B$4:$Y$1038,15,)</f>
        <v>6.0198714202220921E-2</v>
      </c>
      <c r="Q32" s="95">
        <f>VLOOKUP(A32,'BSE ALL CAP'!$B$4:$Y$1038,16,)</f>
        <v>6.7333333333333328E-2</v>
      </c>
      <c r="R32" s="95">
        <f>VLOOKUP(A32,'BSE ALL CAP'!$B$4:$Y$1038,17,)</f>
        <v>-7.1346191311124074E-3</v>
      </c>
      <c r="S32" s="95">
        <f>VLOOKUP(A32,'BSE ALL CAP'!$B$4:$Y$1038,18,)</f>
        <v>5.5077452667814115E-2</v>
      </c>
      <c r="T32" s="95">
        <f>VLOOKUP(A32,'BSE ALL CAP'!$B$4:$Y$1038,19,)</f>
        <v>6.0546875E-2</v>
      </c>
      <c r="U32" s="95">
        <f>VLOOKUP(A32,'BSE ALL CAP'!$B$4:$Y$1038,20,)</f>
        <v>-5.4694223321858845E-3</v>
      </c>
      <c r="V32" s="95">
        <f>VLOOKUP(A32,'BSE ALL CAP'!$B$4:$Y$1038,21,)</f>
        <v>0.14066666666666672</v>
      </c>
      <c r="W32" s="95">
        <f>VLOOKUP(A32,'BSE ALL CAP'!$B$4:$Y$1038,22,)</f>
        <v>1.980198019801982E-2</v>
      </c>
      <c r="X32" s="95">
        <f>VLOOKUP(A32,'BSE ALL CAP'!$B$4:$Y$1038,23,)</f>
        <v>0.134765625</v>
      </c>
      <c r="Y32" s="95">
        <f>VLOOKUP(A32,'BSE ALL CAP'!$B$4:$Y$1038,24,)</f>
        <v>3.2258064516129004E-2</v>
      </c>
    </row>
    <row r="33" spans="1:25" ht="14.4">
      <c r="A33" s="99">
        <v>543547</v>
      </c>
      <c r="B33" s="98" t="s">
        <v>1796</v>
      </c>
      <c r="C33" s="6" t="str">
        <f>VLOOKUP(A33,'BSE ALL CAP'!$B$4:$Y$1038,2,)</f>
        <v>Commodities</v>
      </c>
      <c r="D33" s="6" t="str">
        <f>VLOOKUP(A33,'BSE ALL CAP'!$B$4:$Y$1038,3,)</f>
        <v>Specialty Chemicals</v>
      </c>
      <c r="E33" s="11">
        <f ca="1">IFERROR(__xludf.DUMMYFUNCTION("GOOGLEFINANCE(""BOM:""&amp;A33,""PRICE"")"),218.5)</f>
        <v>218.5</v>
      </c>
      <c r="F33" s="20">
        <f ca="1">IFERROR(__xludf.DUMMYFUNCTION("GOOGLEFINANCE(""BOM:""&amp;A33,""MARKETCAP"")/10000000"),2254.0307967)</f>
        <v>2254.0307966999999</v>
      </c>
      <c r="G33" s="95">
        <f t="shared" ca="1" si="0"/>
        <v>5.8870238306406048E-3</v>
      </c>
      <c r="H33" s="101">
        <f>VLOOKUP(A33,'BSE ALL CAP'!$B$4:$Y$1038,7,)</f>
        <v>2182</v>
      </c>
      <c r="I33" s="101">
        <f>VLOOKUP(A33,'BSE ALL CAP'!$B$4:$Y$1038,8,)</f>
        <v>1866</v>
      </c>
      <c r="J33" s="101">
        <f>VLOOKUP(A33,'BSE ALL CAP'!$B$4:$Y$1038,9,)</f>
        <v>147</v>
      </c>
      <c r="K33" s="101">
        <f>VLOOKUP(A33,'BSE ALL CAP'!$B$4:$Y$1038,10,)</f>
        <v>133</v>
      </c>
      <c r="L33" s="101">
        <f>VLOOKUP(A33,'BSE ALL CAP'!$B$4:$Y$1038,11,)</f>
        <v>732</v>
      </c>
      <c r="M33" s="101">
        <f>VLOOKUP(A33,'BSE ALL CAP'!$B$4:$Y$1038,12,)</f>
        <v>660</v>
      </c>
      <c r="N33" s="101">
        <f>VLOOKUP(A33,'BSE ALL CAP'!$B$4:$Y$1038,13,)</f>
        <v>48</v>
      </c>
      <c r="O33" s="101">
        <f>VLOOKUP(A33,'BSE ALL CAP'!$B$4:$Y$1038,14,)</f>
        <v>46</v>
      </c>
      <c r="P33" s="95">
        <f>VLOOKUP(A33,'BSE ALL CAP'!$B$4:$Y$1038,15,)</f>
        <v>6.7369385884509622E-2</v>
      </c>
      <c r="Q33" s="95">
        <f>VLOOKUP(A33,'BSE ALL CAP'!$B$4:$Y$1038,16,)</f>
        <v>7.1275455519828515E-2</v>
      </c>
      <c r="R33" s="95">
        <f>VLOOKUP(A33,'BSE ALL CAP'!$B$4:$Y$1038,17,)</f>
        <v>-3.9060696353188928E-3</v>
      </c>
      <c r="S33" s="95">
        <f>VLOOKUP(A33,'BSE ALL CAP'!$B$4:$Y$1038,18,)</f>
        <v>6.5573770491803282E-2</v>
      </c>
      <c r="T33" s="95">
        <f>VLOOKUP(A33,'BSE ALL CAP'!$B$4:$Y$1038,19,)</f>
        <v>6.9696969696969702E-2</v>
      </c>
      <c r="U33" s="95">
        <f>VLOOKUP(A33,'BSE ALL CAP'!$B$4:$Y$1038,20,)</f>
        <v>-4.1231992051664196E-3</v>
      </c>
      <c r="V33" s="95">
        <f>VLOOKUP(A33,'BSE ALL CAP'!$B$4:$Y$1038,21,)</f>
        <v>0.16934619506966775</v>
      </c>
      <c r="W33" s="95">
        <f>VLOOKUP(A33,'BSE ALL CAP'!$B$4:$Y$1038,22,)</f>
        <v>0.10526315789473695</v>
      </c>
      <c r="X33" s="95">
        <f>VLOOKUP(A33,'BSE ALL CAP'!$B$4:$Y$1038,23,)</f>
        <v>0.10909090909090913</v>
      </c>
      <c r="Y33" s="95">
        <f>VLOOKUP(A33,'BSE ALL CAP'!$B$4:$Y$1038,24,)</f>
        <v>4.3478260869565188E-2</v>
      </c>
    </row>
    <row r="34" spans="1:25" ht="14.4">
      <c r="A34" s="99">
        <v>500730</v>
      </c>
      <c r="B34" s="98" t="s">
        <v>1797</v>
      </c>
      <c r="C34" s="6" t="str">
        <f>VLOOKUP(A34,'BSE ALL CAP'!$B$4:$Y$1038,2,)</f>
        <v>Commodities</v>
      </c>
      <c r="D34" s="6" t="str">
        <f>VLOOKUP(A34,'BSE ALL CAP'!$B$4:$Y$1038,3,)</f>
        <v>Specialty Chemicals</v>
      </c>
      <c r="E34" s="11">
        <f ca="1">IFERROR(__xludf.DUMMYFUNCTION("GOOGLEFINANCE(""BOM:""&amp;A34,""PRICE"")"),161.6)</f>
        <v>161.6</v>
      </c>
      <c r="F34" s="20">
        <f ca="1">IFERROR(__xludf.DUMMYFUNCTION("GOOGLEFINANCE(""BOM:""&amp;A34,""MARKETCAP"")/10000000"),2696.7841475)</f>
        <v>2696.7841475</v>
      </c>
      <c r="G34" s="95">
        <f t="shared" ca="1" si="0"/>
        <v>7.0433964636461557E-3</v>
      </c>
      <c r="H34" s="101">
        <f>VLOOKUP(A34,'BSE ALL CAP'!$B$4:$Y$1038,7,)</f>
        <v>973</v>
      </c>
      <c r="I34" s="101">
        <f>VLOOKUP(A34,'BSE ALL CAP'!$B$4:$Y$1038,8,)</f>
        <v>1053</v>
      </c>
      <c r="J34" s="101">
        <f>VLOOKUP(A34,'BSE ALL CAP'!$B$4:$Y$1038,9,)</f>
        <v>39</v>
      </c>
      <c r="K34" s="101">
        <f>VLOOKUP(A34,'BSE ALL CAP'!$B$4:$Y$1038,10,)</f>
        <v>82</v>
      </c>
      <c r="L34" s="101">
        <f>VLOOKUP(A34,'BSE ALL CAP'!$B$4:$Y$1038,11,)</f>
        <v>316</v>
      </c>
      <c r="M34" s="101">
        <f>VLOOKUP(A34,'BSE ALL CAP'!$B$4:$Y$1038,12,)</f>
        <v>318</v>
      </c>
      <c r="N34" s="101">
        <f>VLOOKUP(A34,'BSE ALL CAP'!$B$4:$Y$1038,13,)</f>
        <v>9</v>
      </c>
      <c r="O34" s="101">
        <f>VLOOKUP(A34,'BSE ALL CAP'!$B$4:$Y$1038,14,)</f>
        <v>13</v>
      </c>
      <c r="P34" s="95">
        <f>VLOOKUP(A34,'BSE ALL CAP'!$B$4:$Y$1038,15,)</f>
        <v>4.0082219938335044E-2</v>
      </c>
      <c r="Q34" s="95">
        <f>VLOOKUP(A34,'BSE ALL CAP'!$B$4:$Y$1038,16,)</f>
        <v>7.7872744539411204E-2</v>
      </c>
      <c r="R34" s="95">
        <f>VLOOKUP(A34,'BSE ALL CAP'!$B$4:$Y$1038,17,)</f>
        <v>-3.779052460107616E-2</v>
      </c>
      <c r="S34" s="95">
        <f>VLOOKUP(A34,'BSE ALL CAP'!$B$4:$Y$1038,18,)</f>
        <v>2.8481012658227847E-2</v>
      </c>
      <c r="T34" s="95">
        <f>VLOOKUP(A34,'BSE ALL CAP'!$B$4:$Y$1038,19,)</f>
        <v>4.0880503144654086E-2</v>
      </c>
      <c r="U34" s="95">
        <f>VLOOKUP(A34,'BSE ALL CAP'!$B$4:$Y$1038,20,)</f>
        <v>-1.2399490486426239E-2</v>
      </c>
      <c r="V34" s="95">
        <f>VLOOKUP(A34,'BSE ALL CAP'!$B$4:$Y$1038,21,)</f>
        <v>-7.5973409306742679E-2</v>
      </c>
      <c r="W34" s="95">
        <f>VLOOKUP(A34,'BSE ALL CAP'!$B$4:$Y$1038,22,)</f>
        <v>-0.52439024390243905</v>
      </c>
      <c r="X34" s="95">
        <f>VLOOKUP(A34,'BSE ALL CAP'!$B$4:$Y$1038,23,)</f>
        <v>-6.2893081761006275E-3</v>
      </c>
      <c r="Y34" s="95">
        <f>VLOOKUP(A34,'BSE ALL CAP'!$B$4:$Y$1038,24,)</f>
        <v>-0.30769230769230771</v>
      </c>
    </row>
    <row r="35" spans="1:25" ht="14.4">
      <c r="A35" s="99">
        <v>500052</v>
      </c>
      <c r="B35" s="98" t="s">
        <v>1798</v>
      </c>
      <c r="C35" s="6" t="str">
        <f>VLOOKUP(A35,'BSE ALL CAP'!$B$4:$Y$1038,2,)</f>
        <v>Commodities</v>
      </c>
      <c r="D35" s="6" t="str">
        <f>VLOOKUP(A35,'BSE ALL CAP'!$B$4:$Y$1038,3,)</f>
        <v>Specialty Chemicals</v>
      </c>
      <c r="E35" s="11">
        <f ca="1">IFERROR(__xludf.DUMMYFUNCTION("GOOGLEFINANCE(""BOM:""&amp;A35,""PRICE"")"),88.28)</f>
        <v>88.28</v>
      </c>
      <c r="F35" s="20">
        <f ca="1">IFERROR(__xludf.DUMMYFUNCTION("GOOGLEFINANCE(""BOM:""&amp;A35,""MARKETCAP"")/10000000"),2196.4242915)</f>
        <v>2196.4242915</v>
      </c>
      <c r="G35" s="95">
        <f t="shared" ca="1" si="0"/>
        <v>5.7365685354384167E-3</v>
      </c>
      <c r="H35" s="101">
        <f>VLOOKUP(A35,'BSE ALL CAP'!$B$4:$Y$1038,7,)</f>
        <v>934</v>
      </c>
      <c r="I35" s="101">
        <f>VLOOKUP(A35,'BSE ALL CAP'!$B$4:$Y$1038,8,)</f>
        <v>1052</v>
      </c>
      <c r="J35" s="101">
        <f>VLOOKUP(A35,'BSE ALL CAP'!$B$4:$Y$1038,9,)</f>
        <v>128</v>
      </c>
      <c r="K35" s="101">
        <f>VLOOKUP(A35,'BSE ALL CAP'!$B$4:$Y$1038,10,)</f>
        <v>140</v>
      </c>
      <c r="L35" s="101">
        <f>VLOOKUP(A35,'BSE ALL CAP'!$B$4:$Y$1038,11,)</f>
        <v>301</v>
      </c>
      <c r="M35" s="101">
        <f>VLOOKUP(A35,'BSE ALL CAP'!$B$4:$Y$1038,12,)</f>
        <v>345</v>
      </c>
      <c r="N35" s="101">
        <f>VLOOKUP(A35,'BSE ALL CAP'!$B$4:$Y$1038,13,)</f>
        <v>42</v>
      </c>
      <c r="O35" s="101">
        <f>VLOOKUP(A35,'BSE ALL CAP'!$B$4:$Y$1038,14,)</f>
        <v>40</v>
      </c>
      <c r="P35" s="95">
        <f>VLOOKUP(A35,'BSE ALL CAP'!$B$4:$Y$1038,15,)</f>
        <v>0.13704496788008566</v>
      </c>
      <c r="Q35" s="95">
        <f>VLOOKUP(A35,'BSE ALL CAP'!$B$4:$Y$1038,16,)</f>
        <v>0.13307984790874525</v>
      </c>
      <c r="R35" s="95">
        <f>VLOOKUP(A35,'BSE ALL CAP'!$B$4:$Y$1038,17,)</f>
        <v>3.9651199713404139E-3</v>
      </c>
      <c r="S35" s="95">
        <f>VLOOKUP(A35,'BSE ALL CAP'!$B$4:$Y$1038,18,)</f>
        <v>0.13953488372093023</v>
      </c>
      <c r="T35" s="95">
        <f>VLOOKUP(A35,'BSE ALL CAP'!$B$4:$Y$1038,19,)</f>
        <v>0.11594202898550725</v>
      </c>
      <c r="U35" s="95">
        <f>VLOOKUP(A35,'BSE ALL CAP'!$B$4:$Y$1038,20,)</f>
        <v>2.3592854735422983E-2</v>
      </c>
      <c r="V35" s="95">
        <f>VLOOKUP(A35,'BSE ALL CAP'!$B$4:$Y$1038,21,)</f>
        <v>-0.11216730038022815</v>
      </c>
      <c r="W35" s="95">
        <f>VLOOKUP(A35,'BSE ALL CAP'!$B$4:$Y$1038,22,)</f>
        <v>-8.5714285714285743E-2</v>
      </c>
      <c r="X35" s="95">
        <f>VLOOKUP(A35,'BSE ALL CAP'!$B$4:$Y$1038,23,)</f>
        <v>-0.12753623188405794</v>
      </c>
      <c r="Y35" s="95">
        <f>VLOOKUP(A35,'BSE ALL CAP'!$B$4:$Y$1038,24,)</f>
        <v>5.0000000000000044E-2</v>
      </c>
    </row>
    <row r="36" spans="1:25" ht="14.4">
      <c r="A36" s="99">
        <v>539450</v>
      </c>
      <c r="B36" s="98" t="s">
        <v>1799</v>
      </c>
      <c r="C36" s="6" t="str">
        <f>VLOOKUP(A36,'BSE ALL CAP'!$B$4:$Y$1038,2,)</f>
        <v>Commodities</v>
      </c>
      <c r="D36" s="6" t="str">
        <f>VLOOKUP(A36,'BSE ALL CAP'!$B$4:$Y$1038,3,)</f>
        <v>Specialty Chemicals</v>
      </c>
      <c r="E36" s="11">
        <f ca="1">IFERROR(__xludf.DUMMYFUNCTION("GOOGLEFINANCE(""BOM:""&amp;A36,""PRICE"")"),120.65)</f>
        <v>120.65</v>
      </c>
      <c r="F36" s="20">
        <f ca="1">IFERROR(__xludf.DUMMYFUNCTION("GOOGLEFINANCE(""BOM:""&amp;A36,""MARKETCAP"")/10000000"),1667.0004943)</f>
        <v>1667.0004942999999</v>
      </c>
      <c r="G36" s="95">
        <f t="shared" ca="1" si="0"/>
        <v>4.3538320993667936E-3</v>
      </c>
      <c r="H36" s="101">
        <f>VLOOKUP(A36,'BSE ALL CAP'!$B$4:$Y$1038,7,)</f>
        <v>1718</v>
      </c>
      <c r="I36" s="101">
        <f>VLOOKUP(A36,'BSE ALL CAP'!$B$4:$Y$1038,8,)</f>
        <v>1556</v>
      </c>
      <c r="J36" s="101">
        <f>VLOOKUP(A36,'BSE ALL CAP'!$B$4:$Y$1038,9,)</f>
        <v>67</v>
      </c>
      <c r="K36" s="101">
        <f>VLOOKUP(A36,'BSE ALL CAP'!$B$4:$Y$1038,10,)</f>
        <v>-29</v>
      </c>
      <c r="L36" s="101">
        <f>VLOOKUP(A36,'BSE ALL CAP'!$B$4:$Y$1038,11,)</f>
        <v>584</v>
      </c>
      <c r="M36" s="101">
        <f>VLOOKUP(A36,'BSE ALL CAP'!$B$4:$Y$1038,12,)</f>
        <v>544</v>
      </c>
      <c r="N36" s="101">
        <f>VLOOKUP(A36,'BSE ALL CAP'!$B$4:$Y$1038,13,)</f>
        <v>33</v>
      </c>
      <c r="O36" s="101">
        <f>VLOOKUP(A36,'BSE ALL CAP'!$B$4:$Y$1038,14,)</f>
        <v>17</v>
      </c>
      <c r="P36" s="95">
        <f>VLOOKUP(A36,'BSE ALL CAP'!$B$4:$Y$1038,15,)</f>
        <v>3.8998835855646098E-2</v>
      </c>
      <c r="Q36" s="95">
        <f>VLOOKUP(A36,'BSE ALL CAP'!$B$4:$Y$1038,16,)</f>
        <v>-1.8637532133676093E-2</v>
      </c>
      <c r="R36" s="95">
        <f>VLOOKUP(A36,'BSE ALL CAP'!$B$4:$Y$1038,17,)</f>
        <v>5.7636367989322188E-2</v>
      </c>
      <c r="S36" s="95">
        <f>VLOOKUP(A36,'BSE ALL CAP'!$B$4:$Y$1038,18,)</f>
        <v>5.650684931506849E-2</v>
      </c>
      <c r="T36" s="95">
        <f>VLOOKUP(A36,'BSE ALL CAP'!$B$4:$Y$1038,19,)</f>
        <v>3.125E-2</v>
      </c>
      <c r="U36" s="95">
        <f>VLOOKUP(A36,'BSE ALL CAP'!$B$4:$Y$1038,20,)</f>
        <v>2.525684931506849E-2</v>
      </c>
      <c r="V36" s="95">
        <f>VLOOKUP(A36,'BSE ALL CAP'!$B$4:$Y$1038,21,)</f>
        <v>0.10411311053984584</v>
      </c>
      <c r="W36" s="95">
        <f>VLOOKUP(A36,'BSE ALL CAP'!$B$4:$Y$1038,22,)</f>
        <v>-3.3103448275862069</v>
      </c>
      <c r="X36" s="95">
        <f>VLOOKUP(A36,'BSE ALL CAP'!$B$4:$Y$1038,23,)</f>
        <v>7.3529411764705843E-2</v>
      </c>
      <c r="Y36" s="95">
        <f>VLOOKUP(A36,'BSE ALL CAP'!$B$4:$Y$1038,24,)</f>
        <v>0.94117647058823528</v>
      </c>
    </row>
    <row r="37" spans="1:25" ht="14.4">
      <c r="A37" s="99">
        <v>541167</v>
      </c>
      <c r="B37" s="98" t="s">
        <v>1800</v>
      </c>
      <c r="C37" s="6"/>
      <c r="D37" s="6"/>
      <c r="E37" s="11">
        <f ca="1">IFERROR(__xludf.DUMMYFUNCTION("GOOGLEFINANCE(""BOM:""&amp;A37,""PRICE"")"),1420.15)</f>
        <v>1420.15</v>
      </c>
      <c r="F37" s="20">
        <f ca="1">IFERROR(__xludf.DUMMYFUNCTION("GOOGLEFINANCE(""BOM:""&amp;A37,""MARKETCAP"")/10000000"),1706.3193179)</f>
        <v>1706.3193179</v>
      </c>
      <c r="G37" s="95">
        <f t="shared" ca="1" si="0"/>
        <v>4.4565240642968369E-3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524717</v>
      </c>
      <c r="B38" s="98" t="s">
        <v>1801</v>
      </c>
      <c r="C38" s="6"/>
      <c r="D38" s="6"/>
      <c r="E38" s="11">
        <f ca="1">IFERROR(__xludf.DUMMYFUNCTION("GOOGLEFINANCE(""BOM:""&amp;A38,""PRICE"")"),529.2)</f>
        <v>529.20000000000005</v>
      </c>
      <c r="F38" s="20">
        <f ca="1">IFERROR(__xludf.DUMMYFUNCTION("GOOGLEFINANCE(""BOM:""&amp;A38,""MARKETCAP"")/10000000"),2186.5745412)</f>
        <v>2186.5745412000001</v>
      </c>
      <c r="G38" s="95">
        <f t="shared" ca="1" si="0"/>
        <v>5.71084319272045E-3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531717</v>
      </c>
      <c r="B39" s="98" t="s">
        <v>1802</v>
      </c>
      <c r="C39" s="6"/>
      <c r="D39" s="6"/>
      <c r="E39" s="11">
        <f ca="1">IFERROR(__xludf.DUMMYFUNCTION("GOOGLEFINANCE(""BOM:""&amp;A39,""PRICE"")"),308.9)</f>
        <v>308.89999999999998</v>
      </c>
      <c r="F39" s="20">
        <f ca="1">IFERROR(__xludf.DUMMYFUNCTION("GOOGLEFINANCE(""BOM:""&amp;A39,""MARKETCAP"")/10000000"),1539.5540085)</f>
        <v>1539.5540085</v>
      </c>
      <c r="G39" s="95">
        <f t="shared" ca="1" si="0"/>
        <v>4.020970409928281E-3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544134</v>
      </c>
      <c r="B40" s="98" t="s">
        <v>1803</v>
      </c>
      <c r="C40" s="6"/>
      <c r="D40" s="6"/>
      <c r="E40" s="11">
        <f ca="1">IFERROR(__xludf.DUMMYFUNCTION("GOOGLEFINANCE(""BOM:""&amp;A40,""PRICE"")"),202.75)</f>
        <v>202.75</v>
      </c>
      <c r="F40" s="20">
        <f ca="1">IFERROR(__xludf.DUMMYFUNCTION("GOOGLEFINANCE(""BOM:""&amp;A40,""MARKETCAP"")/10000000"),1111.1305414)</f>
        <v>1111.1305414000001</v>
      </c>
      <c r="G40" s="95">
        <f t="shared" ca="1" si="0"/>
        <v>2.9020242251131074E-3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500650</v>
      </c>
      <c r="B41" s="98" t="s">
        <v>1804</v>
      </c>
      <c r="C41" s="6"/>
      <c r="D41" s="6"/>
      <c r="E41" s="11">
        <f ca="1">IFERROR(__xludf.DUMMYFUNCTION("GOOGLEFINANCE(""BOM:""&amp;A41,""PRICE"")"),877.9)</f>
        <v>877.9</v>
      </c>
      <c r="F41" s="20">
        <f ca="1">IFERROR(__xludf.DUMMYFUNCTION("GOOGLEFINANCE(""BOM:""&amp;A41,""MARKETCAP"")/10000000"),1103.3294766)</f>
        <v>1103.3294765999999</v>
      </c>
      <c r="G41" s="95">
        <f t="shared" ca="1" si="0"/>
        <v>2.8816495902814943E-3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532742</v>
      </c>
      <c r="B42" s="98" t="s">
        <v>1805</v>
      </c>
      <c r="C42" s="6"/>
      <c r="D42" s="6"/>
      <c r="E42" s="11">
        <f ca="1">IFERROR(__xludf.DUMMYFUNCTION("GOOGLEFINANCE(""BOM:""&amp;A42,""PRICE"")"),424.6)</f>
        <v>424.6</v>
      </c>
      <c r="F42" s="20">
        <f ca="1">IFERROR(__xludf.DUMMYFUNCTION("GOOGLEFINANCE(""BOM:""&amp;A42,""MARKETCAP"")/10000000"),1047.6720908)</f>
        <v>1047.6720908</v>
      </c>
      <c r="G42" s="95">
        <f t="shared" ca="1" si="0"/>
        <v>2.7362849586023436E-3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4.4">
      <c r="A43" s="99">
        <v>514448</v>
      </c>
      <c r="B43" s="98" t="s">
        <v>1806</v>
      </c>
      <c r="C43" s="6"/>
      <c r="D43" s="6"/>
      <c r="E43" s="11">
        <f ca="1">IFERROR(__xludf.DUMMYFUNCTION("GOOGLEFINANCE(""BOM:""&amp;A43,""PRICE"")"),765.1)</f>
        <v>765.1</v>
      </c>
      <c r="F43" s="20">
        <f ca="1">IFERROR(__xludf.DUMMYFUNCTION("GOOGLEFINANCE(""BOM:""&amp;A43,""MARKETCAP"")/10000000"),920.3400146)</f>
        <v>920.34001460000002</v>
      </c>
      <c r="G43" s="95">
        <f t="shared" ca="1" si="0"/>
        <v>2.4037220814261302E-3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4.4">
      <c r="A44" s="99">
        <v>544491</v>
      </c>
      <c r="B44" s="98" t="s">
        <v>1807</v>
      </c>
      <c r="C44" s="6"/>
      <c r="D44" s="6"/>
      <c r="E44" s="11">
        <f ca="1">IFERROR(__xludf.DUMMYFUNCTION("GOOGLEFINANCE(""BOM:""&amp;A44,""PRICE"")"),155)</f>
        <v>155</v>
      </c>
      <c r="F44" s="20">
        <f ca="1">IFERROR(__xludf.DUMMYFUNCTION("GOOGLEFINANCE(""BOM:""&amp;A44,""MARKETCAP"")/10000000"),809.675515)</f>
        <v>809.67551500000002</v>
      </c>
      <c r="G44" s="95">
        <f t="shared" ca="1" si="0"/>
        <v>2.1146911829553021E-3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4.4">
      <c r="A45" s="99">
        <v>500078</v>
      </c>
      <c r="B45" s="98" t="s">
        <v>1808</v>
      </c>
      <c r="C45" s="6"/>
      <c r="D45" s="6"/>
      <c r="E45" s="11">
        <f ca="1">IFERROR(__xludf.DUMMYFUNCTION("GOOGLEFINANCE(""BOM:""&amp;A45,""PRICE"")"),244.25)</f>
        <v>244.25</v>
      </c>
      <c r="F45" s="20">
        <f ca="1">IFERROR(__xludf.DUMMYFUNCTION("GOOGLEFINANCE(""BOM:""&amp;A45,""MARKETCAP"")/10000000"),817.781751)</f>
        <v>817.78175099999999</v>
      </c>
      <c r="G45" s="95">
        <f t="shared" ca="1" si="0"/>
        <v>2.1358628566425751E-3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506532</v>
      </c>
      <c r="B46" s="98" t="s">
        <v>1809</v>
      </c>
      <c r="C46" s="6"/>
      <c r="D46" s="6"/>
      <c r="E46" s="11">
        <f ca="1">IFERROR(__xludf.DUMMYFUNCTION("GOOGLEFINANCE(""BOM:""&amp;A46,""PRICE"")"),800)</f>
        <v>800</v>
      </c>
      <c r="F46" s="20">
        <f ca="1">IFERROR(__xludf.DUMMYFUNCTION("GOOGLEFINANCE(""BOM:""&amp;A46,""MARKETCAP"")/10000000"),726.33272)</f>
        <v>726.33271999999999</v>
      </c>
      <c r="G46" s="95">
        <f t="shared" ca="1" si="0"/>
        <v>1.8970184603840244E-3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4.4">
      <c r="A47" s="99">
        <v>524648</v>
      </c>
      <c r="B47" s="98" t="s">
        <v>1810</v>
      </c>
      <c r="C47" s="6"/>
      <c r="D47" s="6"/>
      <c r="E47" s="11">
        <f ca="1">IFERROR(__xludf.DUMMYFUNCTION("GOOGLEFINANCE(""BOM:""&amp;A47,""PRICE"")"),99.65)</f>
        <v>99.65</v>
      </c>
      <c r="F47" s="20">
        <f ca="1">IFERROR(__xludf.DUMMYFUNCTION("GOOGLEFINANCE(""BOM:""&amp;A47,""MARKETCAP"")/10000000"),725.51264)</f>
        <v>725.51264000000003</v>
      </c>
      <c r="G47" s="95">
        <f t="shared" ca="1" si="0"/>
        <v>1.8948765950155034E-3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4.4">
      <c r="A48" s="99">
        <v>530845</v>
      </c>
      <c r="B48" s="98" t="s">
        <v>1811</v>
      </c>
      <c r="C48" s="6"/>
      <c r="D48" s="6"/>
      <c r="E48" s="11">
        <f ca="1">IFERROR(__xludf.DUMMYFUNCTION("GOOGLEFINANCE(""BOM:""&amp;A48,""PRICE"")"),738.15)</f>
        <v>738.15</v>
      </c>
      <c r="F48" s="20">
        <f ca="1">IFERROR(__xludf.DUMMYFUNCTION("GOOGLEFINANCE(""BOM:""&amp;A48,""MARKETCAP"")/10000000"),649.1907669)</f>
        <v>649.19076689999997</v>
      </c>
      <c r="G48" s="95">
        <f t="shared" ca="1" si="0"/>
        <v>1.6955409486717906E-3</v>
      </c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ht="14.4">
      <c r="A49" s="99">
        <v>543252</v>
      </c>
      <c r="B49" s="98" t="s">
        <v>1812</v>
      </c>
      <c r="C49" s="6"/>
      <c r="D49" s="6"/>
      <c r="E49" s="11">
        <f ca="1">IFERROR(__xludf.DUMMYFUNCTION("GOOGLEFINANCE(""BOM:""&amp;A49,""PRICE"")"),495.25)</f>
        <v>495.25</v>
      </c>
      <c r="F49" s="20">
        <f ca="1">IFERROR(__xludf.DUMMYFUNCTION("GOOGLEFINANCE(""BOM:""&amp;A49,""MARKETCAP"")/10000000"),626.8979583)</f>
        <v>626.89795830000003</v>
      </c>
      <c r="G49" s="95">
        <f t="shared" ca="1" si="0"/>
        <v>1.6373171233042543E-3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4.4">
      <c r="A50" s="99">
        <v>506597</v>
      </c>
      <c r="B50" s="98" t="s">
        <v>1813</v>
      </c>
      <c r="C50" s="6"/>
      <c r="D50" s="6"/>
      <c r="E50" s="11">
        <f ca="1">IFERROR(__xludf.DUMMYFUNCTION("GOOGLEFINANCE(""BOM:""&amp;A50,""PRICE"")"),503.85)</f>
        <v>503.85</v>
      </c>
      <c r="F50" s="20">
        <f ca="1">IFERROR(__xludf.DUMMYFUNCTION("GOOGLEFINANCE(""BOM:""&amp;A50,""MARKETCAP"")/10000000"),622.8926316)</f>
        <v>622.89263159999996</v>
      </c>
      <c r="G50" s="95">
        <f t="shared" ca="1" si="0"/>
        <v>1.6268561066371692E-3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4.4">
      <c r="A51" s="99">
        <v>540145</v>
      </c>
      <c r="B51" s="98" t="s">
        <v>1814</v>
      </c>
      <c r="C51" s="6"/>
      <c r="D51" s="6"/>
      <c r="E51" s="11">
        <f ca="1">IFERROR(__xludf.DUMMYFUNCTION("GOOGLEFINANCE(""BOM:""&amp;A51,""PRICE"")"),240.35)</f>
        <v>240.35</v>
      </c>
      <c r="F51" s="20">
        <f ca="1">IFERROR(__xludf.DUMMYFUNCTION("GOOGLEFINANCE(""BOM:""&amp;A51,""MARKETCAP"")/10000000"),671.6298034)</f>
        <v>671.62980340000001</v>
      </c>
      <c r="G51" s="95">
        <f t="shared" ca="1" si="0"/>
        <v>1.7541466885780568E-3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4.4">
      <c r="A52" s="99">
        <v>543828</v>
      </c>
      <c r="B52" s="98" t="s">
        <v>1815</v>
      </c>
      <c r="C52" s="6"/>
      <c r="D52" s="6"/>
      <c r="E52" s="11">
        <f ca="1">IFERROR(__xludf.DUMMYFUNCTION("GOOGLEFINANCE(""BOM:""&amp;A52,""PRICE"")"),27.25)</f>
        <v>27.25</v>
      </c>
      <c r="F52" s="20">
        <f ca="1">IFERROR(__xludf.DUMMYFUNCTION("GOOGLEFINANCE(""BOM:""&amp;A52,""MARKETCAP"")/10000000"),655.79523)</f>
        <v>655.79522999999995</v>
      </c>
      <c r="G52" s="95">
        <f t="shared" ca="1" si="0"/>
        <v>1.7127903277464728E-3</v>
      </c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ht="14.4">
      <c r="A53" s="99">
        <v>543233</v>
      </c>
      <c r="B53" s="98" t="s">
        <v>1816</v>
      </c>
      <c r="C53" s="6"/>
      <c r="D53" s="6"/>
      <c r="E53" s="11">
        <f ca="1">IFERROR(__xludf.DUMMYFUNCTION("GOOGLEFINANCE(""BOM:""&amp;A53,""PRICE"")"),143.05)</f>
        <v>143.05000000000001</v>
      </c>
      <c r="F53" s="20">
        <f ca="1">IFERROR(__xludf.DUMMYFUNCTION("GOOGLEFINANCE(""BOM:""&amp;A53,""MARKETCAP"")/10000000"),520.1027746)</f>
        <v>520.10277459999998</v>
      </c>
      <c r="G53" s="95">
        <f t="shared" ca="1" si="0"/>
        <v>1.3583920117396767E-3</v>
      </c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ht="14.4">
      <c r="A54" s="99">
        <v>506405</v>
      </c>
      <c r="B54" s="98" t="s">
        <v>1817</v>
      </c>
      <c r="C54" s="6"/>
      <c r="D54" s="6"/>
      <c r="E54" s="11">
        <f ca="1">IFERROR(__xludf.DUMMYFUNCTION("GOOGLEFINANCE(""BOM:""&amp;A54,""PRICE"")"),210.05)</f>
        <v>210.05</v>
      </c>
      <c r="F54" s="20">
        <f ca="1">IFERROR(__xludf.DUMMYFUNCTION("GOOGLEFINANCE(""BOM:""&amp;A54,""MARKETCAP"")/10000000"),523.5888965)</f>
        <v>523.58889650000003</v>
      </c>
      <c r="G54" s="95">
        <f t="shared" ca="1" si="0"/>
        <v>1.3674969817036474E-3</v>
      </c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ht="14.4">
      <c r="A55" s="99">
        <v>524330</v>
      </c>
      <c r="B55" s="98" t="s">
        <v>1818</v>
      </c>
      <c r="C55" s="6"/>
      <c r="D55" s="6"/>
      <c r="E55" s="11">
        <f ca="1">IFERROR(__xludf.DUMMYFUNCTION("GOOGLEFINANCE(""BOM:""&amp;A55,""PRICE"")"),172)</f>
        <v>172</v>
      </c>
      <c r="F55" s="20">
        <f ca="1">IFERROR(__xludf.DUMMYFUNCTION("GOOGLEFINANCE(""BOM:""&amp;A55,""MARKETCAP"")/10000000"),516.3599853)</f>
        <v>516.35998529999995</v>
      </c>
      <c r="G55" s="95">
        <f t="shared" ca="1" si="0"/>
        <v>1.3486166839870898E-3</v>
      </c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ht="14.4">
      <c r="A56" s="99">
        <v>544187</v>
      </c>
      <c r="B56" s="98" t="s">
        <v>1819</v>
      </c>
      <c r="C56" s="6"/>
      <c r="D56" s="6"/>
      <c r="E56" s="11">
        <f ca="1">IFERROR(__xludf.DUMMYFUNCTION("GOOGLEFINANCE(""BOM:""&amp;A56,""PRICE"")"),124.46)</f>
        <v>124.46</v>
      </c>
      <c r="F56" s="20">
        <f ca="1">IFERROR(__xludf.DUMMYFUNCTION("GOOGLEFINANCE(""BOM:""&amp;A56,""MARKETCAP"")/10000000"),463.4289656)</f>
        <v>463.42896560000003</v>
      </c>
      <c r="G56" s="95">
        <f t="shared" ca="1" si="0"/>
        <v>1.2103727102089977E-3</v>
      </c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ht="14.4">
      <c r="A57" s="99">
        <v>514183</v>
      </c>
      <c r="B57" s="98" t="s">
        <v>1820</v>
      </c>
      <c r="C57" s="6"/>
      <c r="D57" s="6"/>
      <c r="E57" s="11">
        <f ca="1">IFERROR(__xludf.DUMMYFUNCTION("GOOGLEFINANCE(""BOM:""&amp;A57,""PRICE"")"),72.91)</f>
        <v>72.91</v>
      </c>
      <c r="F57" s="20">
        <f ca="1">IFERROR(__xludf.DUMMYFUNCTION("GOOGLEFINANCE(""BOM:""&amp;A57,""MARKETCAP"")/10000000"),371.8410186)</f>
        <v>371.84101859999998</v>
      </c>
      <c r="G57" s="95">
        <f t="shared" ca="1" si="0"/>
        <v>9.7116549645760047E-4</v>
      </c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ht="14.4">
      <c r="A58" s="99">
        <v>523648</v>
      </c>
      <c r="B58" s="98" t="s">
        <v>1821</v>
      </c>
      <c r="C58" s="6"/>
      <c r="D58" s="6"/>
      <c r="E58" s="11">
        <f ca="1">IFERROR(__xludf.DUMMYFUNCTION("GOOGLEFINANCE(""BOM:""&amp;A58,""PRICE"")"),132.25)</f>
        <v>132.25</v>
      </c>
      <c r="F58" s="20">
        <f ca="1">IFERROR(__xludf.DUMMYFUNCTION("GOOGLEFINANCE(""BOM:""&amp;A58,""MARKETCAP"")/10000000"),348.7229323)</f>
        <v>348.72293230000002</v>
      </c>
      <c r="G58" s="95">
        <f t="shared" ca="1" si="0"/>
        <v>9.1078623049275326E-4</v>
      </c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ht="14.4">
      <c r="A59" s="99">
        <v>530627</v>
      </c>
      <c r="B59" s="98" t="s">
        <v>1822</v>
      </c>
      <c r="C59" s="6"/>
      <c r="D59" s="6"/>
      <c r="E59" s="11">
        <f ca="1">IFERROR(__xludf.DUMMYFUNCTION("GOOGLEFINANCE(""BOM:""&amp;A59,""PRICE"")"),177.5)</f>
        <v>177.5</v>
      </c>
      <c r="F59" s="20">
        <f ca="1">IFERROR(__xludf.DUMMYFUNCTION("GOOGLEFINANCE(""BOM:""&amp;A59,""MARKETCAP"")/10000000"),338.21844)</f>
        <v>338.21843999999999</v>
      </c>
      <c r="G59" s="95">
        <f t="shared" ca="1" si="0"/>
        <v>8.8335084824801293E-4</v>
      </c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ht="14.4">
      <c r="A60" s="99">
        <v>544450</v>
      </c>
      <c r="B60" s="98" t="s">
        <v>1823</v>
      </c>
      <c r="C60" s="6"/>
      <c r="D60" s="6"/>
      <c r="E60" s="11">
        <f ca="1">IFERROR(__xludf.DUMMYFUNCTION("GOOGLEFINANCE(""BOM:""&amp;A60,""PRICE"")"),134.9)</f>
        <v>134.9</v>
      </c>
      <c r="F60" s="20">
        <f ca="1">IFERROR(__xludf.DUMMYFUNCTION("GOOGLEFINANCE(""BOM:""&amp;A60,""MARKETCAP"")/10000000"),365.4436834)</f>
        <v>365.4436834</v>
      </c>
      <c r="G60" s="95">
        <f t="shared" ca="1" si="0"/>
        <v>9.5445708908795243E-4</v>
      </c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ht="14.4">
      <c r="A61" s="99">
        <v>543210</v>
      </c>
      <c r="B61" s="98" t="s">
        <v>1824</v>
      </c>
      <c r="C61" s="6"/>
      <c r="D61" s="6"/>
      <c r="E61" s="11">
        <f ca="1">IFERROR(__xludf.DUMMYFUNCTION("GOOGLEFINANCE(""BOM:""&amp;A61,""PRICE"")"),369.5)</f>
        <v>369.5</v>
      </c>
      <c r="F61" s="20">
        <f ca="1">IFERROR(__xludf.DUMMYFUNCTION("GOOGLEFINANCE(""BOM:""&amp;A61,""MARKETCAP"")/10000000"),334.3355718)</f>
        <v>334.33557180000003</v>
      </c>
      <c r="G61" s="95">
        <f t="shared" ca="1" si="0"/>
        <v>8.7320966576811859E-4</v>
      </c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</row>
    <row r="62" spans="1:25" ht="14.4">
      <c r="A62" s="99">
        <v>526159</v>
      </c>
      <c r="B62" s="98" t="s">
        <v>1825</v>
      </c>
      <c r="C62" s="6"/>
      <c r="D62" s="6"/>
      <c r="E62" s="11">
        <f ca="1">IFERROR(__xludf.DUMMYFUNCTION("GOOGLEFINANCE(""BOM:""&amp;A62,""PRICE"")"),73.03)</f>
        <v>73.03</v>
      </c>
      <c r="F62" s="20">
        <f ca="1">IFERROR(__xludf.DUMMYFUNCTION("GOOGLEFINANCE(""BOM:""&amp;A62,""MARKETCAP"")/10000000"),335.5217233)</f>
        <v>335.52172330000002</v>
      </c>
      <c r="G62" s="95">
        <f t="shared" ca="1" si="0"/>
        <v>8.7630762794213741E-4</v>
      </c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</row>
    <row r="63" spans="1:25" ht="14.4">
      <c r="A63" s="99">
        <v>543433</v>
      </c>
      <c r="B63" s="98" t="s">
        <v>1826</v>
      </c>
      <c r="C63" s="6"/>
      <c r="D63" s="6"/>
      <c r="E63" s="11">
        <f ca="1">IFERROR(__xludf.DUMMYFUNCTION("GOOGLEFINANCE(""BOM:""&amp;A63,""PRICE"")"),33.3)</f>
        <v>33.299999999999997</v>
      </c>
      <c r="F63" s="20">
        <f ca="1">IFERROR(__xludf.DUMMYFUNCTION("GOOGLEFINANCE(""BOM:""&amp;A63,""MARKETCAP"")/10000000"),304.1053091)</f>
        <v>304.1053091</v>
      </c>
      <c r="G63" s="95">
        <f t="shared" ca="1" si="0"/>
        <v>7.9425498725087013E-4</v>
      </c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</row>
    <row r="64" spans="1:25" ht="14.4">
      <c r="A64" s="99">
        <v>532707</v>
      </c>
      <c r="B64" s="98" t="s">
        <v>1827</v>
      </c>
      <c r="C64" s="6"/>
      <c r="D64" s="6"/>
      <c r="E64" s="11">
        <f ca="1">IFERROR(__xludf.DUMMYFUNCTION("GOOGLEFINANCE(""BOM:""&amp;A64,""PRICE"")"),221.1)</f>
        <v>221.1</v>
      </c>
      <c r="F64" s="20">
        <f ca="1">IFERROR(__xludf.DUMMYFUNCTION("GOOGLEFINANCE(""BOM:""&amp;A64,""MARKETCAP"")/10000000"),276.3574584)</f>
        <v>276.35745839999998</v>
      </c>
      <c r="G64" s="95">
        <f t="shared" ca="1" si="0"/>
        <v>7.217838131395348E-4</v>
      </c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</row>
    <row r="65" spans="1:25" ht="14.4">
      <c r="A65" s="99">
        <v>539288</v>
      </c>
      <c r="B65" s="98" t="s">
        <v>1828</v>
      </c>
      <c r="C65" s="6"/>
      <c r="D65" s="6"/>
      <c r="E65" s="11">
        <f ca="1">IFERROR(__xludf.DUMMYFUNCTION("GOOGLEFINANCE(""BOM:""&amp;A65,""PRICE"")"),14.4)</f>
        <v>14.4</v>
      </c>
      <c r="F65" s="20">
        <f ca="1">IFERROR(__xludf.DUMMYFUNCTION("GOOGLEFINANCE(""BOM:""&amp;A65,""MARKETCAP"")/10000000"),135.4839372)</f>
        <v>135.48393720000001</v>
      </c>
      <c r="G65" s="95">
        <f t="shared" ca="1" si="0"/>
        <v>3.5385371314940883E-4</v>
      </c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</row>
    <row r="66" spans="1:25" ht="14.4">
      <c r="A66" s="99">
        <v>523586</v>
      </c>
      <c r="B66" s="98" t="s">
        <v>1829</v>
      </c>
      <c r="C66" s="6"/>
      <c r="D66" s="6"/>
      <c r="E66" s="11">
        <f ca="1">IFERROR(__xludf.DUMMYFUNCTION("GOOGLEFINANCE(""BOM:""&amp;A66,""PRICE"")"),231)</f>
        <v>231</v>
      </c>
      <c r="F66" s="20">
        <f ca="1">IFERROR(__xludf.DUMMYFUNCTION("GOOGLEFINANCE(""BOM:""&amp;A66,""MARKETCAP"")/10000000"),240.048963)</f>
        <v>240.04896299999999</v>
      </c>
      <c r="G66" s="95">
        <f t="shared" ca="1" si="0"/>
        <v>6.269541515450958E-4</v>
      </c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</row>
    <row r="67" spans="1:25" ht="14.4">
      <c r="A67" s="99">
        <v>543497</v>
      </c>
      <c r="B67" s="98" t="s">
        <v>1830</v>
      </c>
      <c r="C67" s="6"/>
      <c r="D67" s="6"/>
      <c r="E67" s="11">
        <f ca="1">IFERROR(__xludf.DUMMYFUNCTION("GOOGLEFINANCE(""BOM:""&amp;A67,""PRICE"")"),139.8)</f>
        <v>139.80000000000001</v>
      </c>
      <c r="F67" s="20">
        <f ca="1">IFERROR(__xludf.DUMMYFUNCTION("GOOGLEFINANCE(""BOM:""&amp;A67,""MARKETCAP"")/10000000"),197.6681)</f>
        <v>197.66810000000001</v>
      </c>
      <c r="G67" s="95">
        <f t="shared" ca="1" si="0"/>
        <v>5.1626482520164508E-4</v>
      </c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</row>
    <row r="68" spans="1:25" ht="14.4">
      <c r="A68" s="99">
        <v>531253</v>
      </c>
      <c r="B68" s="98" t="s">
        <v>1831</v>
      </c>
      <c r="C68" s="6"/>
      <c r="D68" s="6"/>
      <c r="E68" s="11">
        <f ca="1">IFERROR(__xludf.DUMMYFUNCTION("GOOGLEFINANCE(""BOM:""&amp;A68,""PRICE"")"),324.4)</f>
        <v>324.39999999999998</v>
      </c>
      <c r="F68" s="20">
        <f ca="1">IFERROR(__xludf.DUMMYFUNCTION("GOOGLEFINANCE(""BOM:""&amp;A68,""MARKETCAP"")/10000000"),230.0742401)</f>
        <v>230.0742401</v>
      </c>
      <c r="G68" s="95">
        <f t="shared" ca="1" si="0"/>
        <v>6.0090240837357069E-4</v>
      </c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</row>
    <row r="69" spans="1:25" ht="14.4">
      <c r="A69" s="99">
        <v>530961</v>
      </c>
      <c r="B69" s="98" t="s">
        <v>1832</v>
      </c>
      <c r="C69" s="6"/>
      <c r="D69" s="6"/>
      <c r="E69" s="11">
        <f ca="1">IFERROR(__xludf.DUMMYFUNCTION("GOOGLEFINANCE(""BOM:""&amp;A69,""PRICE"")"),1.23)</f>
        <v>1.23</v>
      </c>
      <c r="F69" s="20">
        <f ca="1">IFERROR(__xludf.DUMMYFUNCTION("GOOGLEFINANCE(""BOM:""&amp;A69,""MARKETCAP"")/10000000"),217.5507183)</f>
        <v>217.5507183</v>
      </c>
      <c r="G69" s="95">
        <f t="shared" ca="1" si="0"/>
        <v>5.6819377307538153E-4</v>
      </c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</row>
    <row r="70" spans="1:25" ht="14.4">
      <c r="A70" s="99">
        <v>500120</v>
      </c>
      <c r="B70" s="98" t="s">
        <v>1833</v>
      </c>
      <c r="C70" s="6"/>
      <c r="D70" s="6"/>
      <c r="E70" s="11">
        <f ca="1">IFERROR(__xludf.DUMMYFUNCTION("GOOGLEFINANCE(""BOM:""&amp;A70,""PRICE"")"),238.35)</f>
        <v>238.35</v>
      </c>
      <c r="F70" s="20">
        <f ca="1">IFERROR(__xludf.DUMMYFUNCTION("GOOGLEFINANCE(""BOM:""&amp;A70,""MARKETCAP"")/10000000"),238.1447072)</f>
        <v>238.1447072</v>
      </c>
      <c r="G70" s="95">
        <f t="shared" ca="1" si="0"/>
        <v>6.2198066170163484E-4</v>
      </c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</row>
    <row r="71" spans="1:25" ht="14.4">
      <c r="A71" s="99">
        <v>526169</v>
      </c>
      <c r="B71" s="98" t="s">
        <v>1834</v>
      </c>
      <c r="C71" s="6"/>
      <c r="D71" s="6"/>
      <c r="E71" s="11">
        <f ca="1">IFERROR(__xludf.DUMMYFUNCTION("GOOGLEFINANCE(""BOM:""&amp;A71,""PRICE"")"),178.95)</f>
        <v>178.95</v>
      </c>
      <c r="F71" s="20">
        <f ca="1">IFERROR(__xludf.DUMMYFUNCTION("GOOGLEFINANCE(""BOM:""&amp;A71,""MARKETCAP"")/10000000"),225.8348961)</f>
        <v>225.83489610000001</v>
      </c>
      <c r="G71" s="95">
        <f t="shared" ca="1" si="0"/>
        <v>5.8983019090838714E-4</v>
      </c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</row>
    <row r="72" spans="1:25" ht="14.4">
      <c r="A72" s="99">
        <v>526739</v>
      </c>
      <c r="B72" s="98" t="s">
        <v>1835</v>
      </c>
      <c r="C72" s="6"/>
      <c r="D72" s="6"/>
      <c r="E72" s="11">
        <f ca="1">IFERROR(__xludf.DUMMYFUNCTION("GOOGLEFINANCE(""BOM:""&amp;A72,""PRICE"")"),355.2)</f>
        <v>355.2</v>
      </c>
      <c r="F72" s="20">
        <f ca="1">IFERROR(__xludf.DUMMYFUNCTION("GOOGLEFINANCE(""BOM:""&amp;A72,""MARKETCAP"")/10000000"),214.8813731)</f>
        <v>214.88137309999999</v>
      </c>
      <c r="G72" s="95">
        <f t="shared" ca="1" si="0"/>
        <v>5.6122204099984241E-4</v>
      </c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</row>
    <row r="73" spans="1:25" ht="14.4">
      <c r="A73" s="99">
        <v>526821</v>
      </c>
      <c r="B73" s="98" t="s">
        <v>1836</v>
      </c>
      <c r="C73" s="6"/>
      <c r="D73" s="6"/>
      <c r="E73" s="11">
        <f ca="1">IFERROR(__xludf.DUMMYFUNCTION("GOOGLEFINANCE(""BOM:""&amp;A73,""PRICE"")"),248)</f>
        <v>248</v>
      </c>
      <c r="F73" s="20">
        <f ca="1">IFERROR(__xludf.DUMMYFUNCTION("GOOGLEFINANCE(""BOM:""&amp;A73,""MARKETCAP"")/10000000"),184.790504)</f>
        <v>184.790504</v>
      </c>
      <c r="G73" s="95">
        <f t="shared" ca="1" si="0"/>
        <v>4.8263142735972006E-4</v>
      </c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</row>
    <row r="74" spans="1:25" ht="14.4">
      <c r="A74" s="99">
        <v>513353</v>
      </c>
      <c r="B74" s="98" t="s">
        <v>1837</v>
      </c>
      <c r="C74" s="6"/>
      <c r="D74" s="6"/>
      <c r="E74" s="11">
        <f ca="1">IFERROR(__xludf.DUMMYFUNCTION("GOOGLEFINANCE(""BOM:""&amp;A74,""PRICE"")"),218.95)</f>
        <v>218.95</v>
      </c>
      <c r="F74" s="20">
        <f ca="1">IFERROR(__xludf.DUMMYFUNCTION("GOOGLEFINANCE(""BOM:""&amp;A74,""MARKETCAP"")/10000000"),171.4378476)</f>
        <v>171.4378476</v>
      </c>
      <c r="G74" s="95">
        <f t="shared" ca="1" si="0"/>
        <v>4.4775727810486495E-4</v>
      </c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</row>
    <row r="75" spans="1:25" ht="14.4">
      <c r="A75" s="99">
        <v>530871</v>
      </c>
      <c r="B75" s="98" t="s">
        <v>1838</v>
      </c>
      <c r="C75" s="6"/>
      <c r="D75" s="6"/>
      <c r="E75" s="11">
        <f ca="1">IFERROR(__xludf.DUMMYFUNCTION("GOOGLEFINANCE(""BOM:""&amp;A75,""PRICE"")"),145.45)</f>
        <v>145.44999999999999</v>
      </c>
      <c r="F75" s="20">
        <f ca="1">IFERROR(__xludf.DUMMYFUNCTION("GOOGLEFINANCE(""BOM:""&amp;A75,""MARKETCAP"")/10000000"),190.965718)</f>
        <v>190.96571800000001</v>
      </c>
      <c r="G75" s="95">
        <f t="shared" ca="1" si="0"/>
        <v>4.9875970388128701E-4</v>
      </c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</row>
    <row r="76" spans="1:25" ht="14.4">
      <c r="A76" s="99">
        <v>544460</v>
      </c>
      <c r="B76" s="98" t="s">
        <v>1839</v>
      </c>
      <c r="C76" s="6"/>
      <c r="D76" s="6"/>
      <c r="E76" s="11">
        <f ca="1">IFERROR(__xludf.DUMMYFUNCTION("GOOGLEFINANCE(""BOM:""&amp;A76,""PRICE"")"),60.9)</f>
        <v>60.9</v>
      </c>
      <c r="F76" s="20">
        <f ca="1">IFERROR(__xludf.DUMMYFUNCTION("GOOGLEFINANCE(""BOM:""&amp;A76,""MARKETCAP"")/10000000"),151.4582428)</f>
        <v>151.45824279999999</v>
      </c>
      <c r="G76" s="95">
        <f t="shared" ca="1" si="0"/>
        <v>3.9557502320551624E-4</v>
      </c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</row>
    <row r="77" spans="1:25" ht="14.4">
      <c r="A77" s="99">
        <v>524592</v>
      </c>
      <c r="B77" s="98" t="s">
        <v>1840</v>
      </c>
      <c r="C77" s="6"/>
      <c r="D77" s="6"/>
      <c r="E77" s="11">
        <f ca="1">IFERROR(__xludf.DUMMYFUNCTION("GOOGLEFINANCE(""BOM:""&amp;A77,""PRICE"")"),12.1)</f>
        <v>12.1</v>
      </c>
      <c r="F77" s="20">
        <f ca="1">IFERROR(__xludf.DUMMYFUNCTION("GOOGLEFINANCE(""BOM:""&amp;A77,""MARKETCAP"")/10000000"),163.2360231)</f>
        <v>163.23602310000001</v>
      </c>
      <c r="G77" s="95">
        <f t="shared" ca="1" si="0"/>
        <v>4.2633594865500906E-4</v>
      </c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ht="14.4">
      <c r="A78" s="99">
        <v>531109</v>
      </c>
      <c r="B78" s="98" t="s">
        <v>1841</v>
      </c>
      <c r="C78" s="6"/>
      <c r="D78" s="6"/>
      <c r="E78" s="11">
        <f ca="1">IFERROR(__xludf.DUMMYFUNCTION("GOOGLEFINANCE(""BOM:""&amp;A78,""PRICE"")"),53.5)</f>
        <v>53.5</v>
      </c>
      <c r="F78" s="20">
        <f ca="1">IFERROR(__xludf.DUMMYFUNCTION("GOOGLEFINANCE(""BOM:""&amp;A78,""MARKETCAP"")/10000000"),144.0306045)</f>
        <v>144.03060450000001</v>
      </c>
      <c r="G78" s="95">
        <f t="shared" ca="1" si="0"/>
        <v>3.7617569479283592E-4</v>
      </c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ht="14.4">
      <c r="A79" s="99">
        <v>544584</v>
      </c>
      <c r="B79" s="98" t="s">
        <v>1842</v>
      </c>
      <c r="C79" s="6"/>
      <c r="D79" s="6"/>
      <c r="E79" s="11">
        <f ca="1">IFERROR(__xludf.DUMMYFUNCTION("GOOGLEFINANCE(""BOM:""&amp;A79,""PRICE"")"),155.9)</f>
        <v>155.9</v>
      </c>
      <c r="F79" s="20">
        <f ca="1">IFERROR(__xludf.DUMMYFUNCTION("GOOGLEFINANCE(""BOM:""&amp;A79,""MARKETCAP"")/10000000"),190.8215925)</f>
        <v>190.82159250000001</v>
      </c>
      <c r="G79" s="95">
        <f t="shared" ca="1" si="0"/>
        <v>4.9838328034069253E-4</v>
      </c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</row>
    <row r="80" spans="1:25" ht="14.4">
      <c r="A80" s="99">
        <v>507645</v>
      </c>
      <c r="B80" s="98" t="s">
        <v>1843</v>
      </c>
      <c r="C80" s="6"/>
      <c r="D80" s="6"/>
      <c r="E80" s="11">
        <f ca="1">IFERROR(__xludf.DUMMYFUNCTION("GOOGLEFINANCE(""BOM:""&amp;A80,""PRICE"")"),10493.3)</f>
        <v>10493.3</v>
      </c>
      <c r="F80" s="20">
        <f ca="1">IFERROR(__xludf.DUMMYFUNCTION("GOOGLEFINANCE(""BOM:""&amp;A80,""MARKETCAP"")/10000000"),125.9195976)</f>
        <v>125.9195976</v>
      </c>
      <c r="G80" s="95">
        <f t="shared" ca="1" si="0"/>
        <v>3.2887379928488956E-4</v>
      </c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5" ht="14.4">
      <c r="A81" s="99">
        <v>507580</v>
      </c>
      <c r="B81" s="98" t="s">
        <v>1844</v>
      </c>
      <c r="C81" s="6"/>
      <c r="D81" s="6"/>
      <c r="E81" s="11">
        <f ca="1">IFERROR(__xludf.DUMMYFUNCTION("GOOGLEFINANCE(""BOM:""&amp;A81,""PRICE"")"),125)</f>
        <v>125</v>
      </c>
      <c r="F81" s="20">
        <f ca="1">IFERROR(__xludf.DUMMYFUNCTION("GOOGLEFINANCE(""BOM:""&amp;A81,""MARKETCAP"")/10000000"),130.7407784)</f>
        <v>130.74077840000001</v>
      </c>
      <c r="G81" s="95">
        <f t="shared" ca="1" si="0"/>
        <v>3.4146564421574856E-4</v>
      </c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5" ht="14.4">
      <c r="A82" s="99">
        <v>540395</v>
      </c>
      <c r="B82" s="98" t="s">
        <v>1845</v>
      </c>
      <c r="C82" s="6"/>
      <c r="D82" s="6"/>
      <c r="E82" s="11">
        <f ca="1">IFERROR(__xludf.DUMMYFUNCTION("GOOGLEFINANCE(""BOM:""&amp;A82,""PRICE"")"),68.96)</f>
        <v>68.959999999999994</v>
      </c>
      <c r="F82" s="20">
        <f ca="1">IFERROR(__xludf.DUMMYFUNCTION("GOOGLEFINANCE(""BOM:""&amp;A82,""MARKETCAP"")/10000000"),102.1217592)</f>
        <v>102.1217592</v>
      </c>
      <c r="G82" s="95">
        <f t="shared" ca="1" si="0"/>
        <v>2.6671917301108517E-4</v>
      </c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</row>
    <row r="83" spans="1:25" ht="14.4">
      <c r="A83" s="99">
        <v>524218</v>
      </c>
      <c r="B83" s="98" t="s">
        <v>1846</v>
      </c>
      <c r="C83" s="6"/>
      <c r="D83" s="6"/>
      <c r="E83" s="11">
        <f ca="1">IFERROR(__xludf.DUMMYFUNCTION("GOOGLEFINANCE(""BOM:""&amp;A83,""PRICE"")"),88.49)</f>
        <v>88.49</v>
      </c>
      <c r="F83" s="20">
        <f ca="1">IFERROR(__xludf.DUMMYFUNCTION("GOOGLEFINANCE(""BOM:""&amp;A83,""MARKETCAP"")/10000000"),102.1528535)</f>
        <v>102.15285350000001</v>
      </c>
      <c r="G83" s="95">
        <f t="shared" ca="1" si="0"/>
        <v>2.6680038436159781E-4</v>
      </c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5" ht="14.4">
      <c r="A84" s="99">
        <v>544036</v>
      </c>
      <c r="B84" s="98" t="s">
        <v>1847</v>
      </c>
      <c r="C84" s="6"/>
      <c r="D84" s="6"/>
      <c r="E84" s="11">
        <f ca="1">IFERROR(__xludf.DUMMYFUNCTION("GOOGLEFINANCE(""BOM:""&amp;A84,""PRICE"")"),90)</f>
        <v>90</v>
      </c>
      <c r="F84" s="20">
        <f ca="1">IFERROR(__xludf.DUMMYFUNCTION("GOOGLEFINANCE(""BOM:""&amp;A84,""MARKETCAP"")/10000000"),97.776)</f>
        <v>97.775999999999996</v>
      </c>
      <c r="G84" s="95">
        <f t="shared" ca="1" si="0"/>
        <v>2.5536902286669441E-4</v>
      </c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</row>
    <row r="85" spans="1:25" ht="14.4">
      <c r="A85" s="99">
        <v>531163</v>
      </c>
      <c r="B85" s="98" t="s">
        <v>1848</v>
      </c>
      <c r="C85" s="6"/>
      <c r="D85" s="6"/>
      <c r="E85" s="11">
        <f ca="1">IFERROR(__xludf.DUMMYFUNCTION("GOOGLEFINANCE(""BOM:""&amp;A85,""PRICE"")"),68.96)</f>
        <v>68.959999999999994</v>
      </c>
      <c r="F85" s="20">
        <f ca="1">IFERROR(__xludf.DUMMYFUNCTION("GOOGLEFINANCE(""BOM:""&amp;A85,""MARKETCAP"")/10000000"),74.1968214)</f>
        <v>74.196821400000005</v>
      </c>
      <c r="G85" s="95">
        <f t="shared" ca="1" si="0"/>
        <v>1.9378548703907547E-4</v>
      </c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</row>
    <row r="86" spans="1:25" ht="14.4">
      <c r="A86" s="99">
        <v>544327</v>
      </c>
      <c r="B86" s="98" t="s">
        <v>1849</v>
      </c>
      <c r="C86" s="6"/>
      <c r="D86" s="6"/>
      <c r="E86" s="11">
        <f ca="1">IFERROR(__xludf.DUMMYFUNCTION("GOOGLEFINANCE(""BOM:""&amp;A86,""PRICE"")"),51.77)</f>
        <v>51.77</v>
      </c>
      <c r="F86" s="20">
        <f ca="1">IFERROR(__xludf.DUMMYFUNCTION("GOOGLEFINANCE(""BOM:""&amp;A86,""MARKETCAP"")/10000000"),89.6720602)</f>
        <v>89.672060200000004</v>
      </c>
      <c r="G86" s="95">
        <f t="shared" ca="1" si="0"/>
        <v>2.342033463397705E-4</v>
      </c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</row>
    <row r="87" spans="1:25" ht="14.4">
      <c r="A87" s="99">
        <v>540204</v>
      </c>
      <c r="B87" s="98" t="s">
        <v>1850</v>
      </c>
      <c r="C87" s="6"/>
      <c r="D87" s="6"/>
      <c r="E87" s="11">
        <f ca="1">IFERROR(__xludf.DUMMYFUNCTION("GOOGLEFINANCE(""BOM:""&amp;A87,""PRICE"")"),51.1)</f>
        <v>51.1</v>
      </c>
      <c r="F87" s="20">
        <f ca="1">IFERROR(__xludf.DUMMYFUNCTION("GOOGLEFINANCE(""BOM:""&amp;A87,""MARKETCAP"")/10000000"),73.3072913)</f>
        <v>73.307291300000003</v>
      </c>
      <c r="G87" s="95">
        <f t="shared" ca="1" si="0"/>
        <v>1.9146223355716261E-4</v>
      </c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</row>
    <row r="88" spans="1:25" ht="14.4">
      <c r="A88" s="99">
        <v>541778</v>
      </c>
      <c r="B88" s="98" t="s">
        <v>1851</v>
      </c>
      <c r="C88" s="6"/>
      <c r="D88" s="6"/>
      <c r="E88" s="11">
        <f ca="1">IFERROR(__xludf.DUMMYFUNCTION("GOOGLEFINANCE(""BOM:""&amp;A88,""PRICE"")"),32.68)</f>
        <v>32.68</v>
      </c>
      <c r="F88" s="20">
        <f ca="1">IFERROR(__xludf.DUMMYFUNCTION("GOOGLEFINANCE(""BOM:""&amp;A88,""MARKETCAP"")/10000000"),79.0202407)</f>
        <v>79.020240700000002</v>
      </c>
      <c r="G88" s="95">
        <f t="shared" ca="1" si="0"/>
        <v>2.0638317843080101E-4</v>
      </c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</row>
    <row r="89" spans="1:25" ht="14.4">
      <c r="A89" s="99">
        <v>544472</v>
      </c>
      <c r="B89" s="98" t="s">
        <v>1852</v>
      </c>
      <c r="C89" s="6"/>
      <c r="D89" s="6"/>
      <c r="E89" s="11">
        <f ca="1">IFERROR(__xludf.DUMMYFUNCTION("GOOGLEFINANCE(""BOM:""&amp;A89,""PRICE"")"),60)</f>
        <v>60</v>
      </c>
      <c r="F89" s="20">
        <f ca="1">IFERROR(__xludf.DUMMYFUNCTION("GOOGLEFINANCE(""BOM:""&amp;A89,""MARKETCAP"")/10000000"),63.29418)</f>
        <v>63.294179999999997</v>
      </c>
      <c r="G89" s="95">
        <f t="shared" ca="1" si="0"/>
        <v>1.653102284788565E-4</v>
      </c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</row>
    <row r="90" spans="1:25" ht="14.4">
      <c r="A90" s="99">
        <v>526409</v>
      </c>
      <c r="B90" s="98" t="s">
        <v>1853</v>
      </c>
      <c r="C90" s="6"/>
      <c r="D90" s="6"/>
      <c r="E90" s="11">
        <f ca="1">IFERROR(__xludf.DUMMYFUNCTION("GOOGLEFINANCE(""BOM:""&amp;A90,""PRICE"")"),7.39)</f>
        <v>7.39</v>
      </c>
      <c r="F90" s="20">
        <f ca="1">IFERROR(__xludf.DUMMYFUNCTION("GOOGLEFINANCE(""BOM:""&amp;A90,""MARKETCAP"")/10000000"),69.519894)</f>
        <v>69.519893999999994</v>
      </c>
      <c r="G90" s="95">
        <f t="shared" ca="1" si="0"/>
        <v>1.8157039969497803E-4</v>
      </c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</row>
    <row r="91" spans="1:25" ht="14.4">
      <c r="A91" s="99">
        <v>533029</v>
      </c>
      <c r="B91" s="98" t="s">
        <v>1854</v>
      </c>
      <c r="C91" s="6"/>
      <c r="D91" s="6"/>
      <c r="E91" s="11">
        <f ca="1">IFERROR(__xludf.DUMMYFUNCTION("GOOGLEFINANCE(""BOM:""&amp;A91,""PRICE"")"),52.5)</f>
        <v>52.5</v>
      </c>
      <c r="F91" s="20">
        <f ca="1">IFERROR(__xludf.DUMMYFUNCTION("GOOGLEFINANCE(""BOM:""&amp;A91,""MARKETCAP"")/10000000"),53.5599484)</f>
        <v>53.559948400000003</v>
      </c>
      <c r="G91" s="95">
        <f t="shared" ca="1" si="0"/>
        <v>1.398865947440944E-4</v>
      </c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</row>
    <row r="92" spans="1:25" ht="14.4">
      <c r="A92" s="99">
        <v>544582</v>
      </c>
      <c r="B92" s="98" t="s">
        <v>1855</v>
      </c>
      <c r="C92" s="6"/>
      <c r="D92" s="6"/>
      <c r="E92" s="11">
        <f ca="1">IFERROR(__xludf.DUMMYFUNCTION("GOOGLEFINANCE(""BOM:""&amp;A92,""PRICE"")"),22.45)</f>
        <v>22.45</v>
      </c>
      <c r="F92" s="20">
        <f ca="1">IFERROR(__xludf.DUMMYFUNCTION("GOOGLEFINANCE(""BOM:""&amp;A92,""MARKETCAP"")/10000000"),48.0621739)</f>
        <v>48.062173899999998</v>
      </c>
      <c r="G92" s="95">
        <f t="shared" ca="1" si="0"/>
        <v>1.2552763853800671E-4</v>
      </c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</row>
    <row r="93" spans="1:25" ht="14.4">
      <c r="A93" s="99">
        <v>509597</v>
      </c>
      <c r="B93" s="98" t="s">
        <v>1856</v>
      </c>
      <c r="C93" s="6"/>
      <c r="D93" s="6"/>
      <c r="E93" s="11">
        <f ca="1">IFERROR(__xludf.DUMMYFUNCTION("GOOGLEFINANCE(""BOM:""&amp;A93,""PRICE"")"),667.8)</f>
        <v>667.8</v>
      </c>
      <c r="F93" s="20">
        <f ca="1">IFERROR(__xludf.DUMMYFUNCTION("GOOGLEFINANCE(""BOM:""&amp;A93,""MARKETCAP"")/10000000"),45.3752662)</f>
        <v>45.375266199999999</v>
      </c>
      <c r="G93" s="95">
        <f t="shared" ca="1" si="0"/>
        <v>1.1851003714418821E-4</v>
      </c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</row>
    <row r="94" spans="1:25" ht="14.4">
      <c r="A94" s="99">
        <v>524818</v>
      </c>
      <c r="B94" s="98" t="s">
        <v>1857</v>
      </c>
      <c r="C94" s="6"/>
      <c r="D94" s="6"/>
      <c r="E94" s="11">
        <f ca="1">IFERROR(__xludf.DUMMYFUNCTION("GOOGLEFINANCE(""BOM:""&amp;A94,""PRICE"")"),94)</f>
        <v>94</v>
      </c>
      <c r="F94" s="20">
        <f ca="1">IFERROR(__xludf.DUMMYFUNCTION("GOOGLEFINANCE(""BOM:""&amp;A94,""MARKETCAP"")/10000000"),28.4679)</f>
        <v>28.4679</v>
      </c>
      <c r="G94" s="95">
        <f t="shared" ca="1" si="0"/>
        <v>7.4351781685349892E-5</v>
      </c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</row>
    <row r="95" spans="1:25" ht="14.4">
      <c r="A95" s="99">
        <v>540550</v>
      </c>
      <c r="B95" s="98" t="s">
        <v>1858</v>
      </c>
      <c r="C95" s="6"/>
      <c r="D95" s="6"/>
      <c r="E95" s="11">
        <f ca="1">IFERROR(__xludf.DUMMYFUNCTION("GOOGLEFINANCE(""BOM:""&amp;A95,""PRICE"")"),14.6)</f>
        <v>14.6</v>
      </c>
      <c r="F95" s="20">
        <f ca="1">IFERROR(__xludf.DUMMYFUNCTION("GOOGLEFINANCE(""BOM:""&amp;A95,""MARKETCAP"")/10000000"),23.62768)</f>
        <v>23.627680000000002</v>
      </c>
      <c r="G95" s="95">
        <f t="shared" ca="1" si="0"/>
        <v>6.1710210626400534E-5</v>
      </c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</row>
    <row r="96" spans="1:25" ht="14.4">
      <c r="A96" s="99">
        <v>526269</v>
      </c>
      <c r="B96" s="98" t="s">
        <v>1859</v>
      </c>
      <c r="C96" s="6"/>
      <c r="D96" s="6"/>
      <c r="E96" s="11">
        <f ca="1">IFERROR(__xludf.DUMMYFUNCTION("GOOGLEFINANCE(""BOM:""&amp;A96,""PRICE"")"),84)</f>
        <v>84</v>
      </c>
      <c r="F96" s="20">
        <f ca="1">IFERROR(__xludf.DUMMYFUNCTION("GOOGLEFINANCE(""BOM:""&amp;A96,""MARKETCAP"")/10000000"),25.2)</f>
        <v>25.2</v>
      </c>
      <c r="G96" s="95">
        <f t="shared" ca="1" si="0"/>
        <v>6.5816758470797529E-5</v>
      </c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</row>
    <row r="97" spans="1:25" ht="14.4">
      <c r="A97" s="99">
        <v>524324</v>
      </c>
      <c r="B97" s="98" t="s">
        <v>1860</v>
      </c>
      <c r="C97" s="6"/>
      <c r="D97" s="6"/>
      <c r="E97" s="11">
        <f ca="1">IFERROR(__xludf.DUMMYFUNCTION("GOOGLEFINANCE(""BOM:""&amp;A97,""PRICE"")"),10.92)</f>
        <v>10.92</v>
      </c>
      <c r="F97" s="20">
        <f ca="1">IFERROR(__xludf.DUMMYFUNCTION("GOOGLEFINANCE(""BOM:""&amp;A97,""MARKETCAP"")/10000000"),27.9584543)</f>
        <v>27.9584543</v>
      </c>
      <c r="G97" s="95">
        <f t="shared" ca="1" si="0"/>
        <v>7.3021223566663911E-5</v>
      </c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</row>
    <row r="98" spans="1:25" ht="14.4">
      <c r="A98" s="99">
        <v>543934</v>
      </c>
      <c r="B98" s="98" t="s">
        <v>1861</v>
      </c>
      <c r="C98" s="6"/>
      <c r="D98" s="6"/>
      <c r="E98" s="11">
        <f ca="1">IFERROR(__xludf.DUMMYFUNCTION("GOOGLEFINANCE(""BOM:""&amp;A98,""PRICE"")"),315)</f>
        <v>315</v>
      </c>
      <c r="F98" s="20">
        <f ca="1">IFERROR(__xludf.DUMMYFUNCTION("GOOGLEFINANCE(""BOM:""&amp;A98,""MARKETCAP"")/10000000"),23.337279)</f>
        <v>23.337278999999999</v>
      </c>
      <c r="G98" s="95">
        <f t="shared" ca="1" si="0"/>
        <v>6.0951748226532354E-5</v>
      </c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</row>
    <row r="99" spans="1:25" ht="14.4">
      <c r="A99" s="99">
        <v>530825</v>
      </c>
      <c r="B99" s="98" t="s">
        <v>1862</v>
      </c>
      <c r="C99" s="6"/>
      <c r="D99" s="6"/>
      <c r="E99" s="11">
        <f ca="1">IFERROR(__xludf.DUMMYFUNCTION("GOOGLEFINANCE(""BOM:""&amp;A99,""PRICE"")"),46.5)</f>
        <v>46.5</v>
      </c>
      <c r="F99" s="20">
        <f ca="1">IFERROR(__xludf.DUMMYFUNCTION("GOOGLEFINANCE(""BOM:""&amp;A99,""MARKETCAP"")/10000000"),27.9)</f>
        <v>27.9</v>
      </c>
      <c r="G99" s="95">
        <f t="shared" ca="1" si="0"/>
        <v>7.286855402124012E-5</v>
      </c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</row>
    <row r="100" spans="1:25" ht="14.4">
      <c r="A100" s="99">
        <v>531157</v>
      </c>
      <c r="B100" s="98" t="s">
        <v>1863</v>
      </c>
      <c r="C100" s="6"/>
      <c r="D100" s="6"/>
      <c r="E100" s="11">
        <f ca="1">IFERROR(__xludf.DUMMYFUNCTION("GOOGLEFINANCE(""BOM:""&amp;A100,""PRICE"")"),18.16)</f>
        <v>18.16</v>
      </c>
      <c r="F100" s="20">
        <f ca="1">IFERROR(__xludf.DUMMYFUNCTION("GOOGLEFINANCE(""BOM:""&amp;A100,""MARKETCAP"")/10000000"),18.1138698)</f>
        <v>18.1138698</v>
      </c>
      <c r="G100" s="95">
        <f t="shared" ca="1" si="0"/>
        <v>4.7309372761828319E-5</v>
      </c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</row>
    <row r="101" spans="1:25" ht="14.4">
      <c r="A101" s="99">
        <v>544371</v>
      </c>
      <c r="B101" s="98" t="s">
        <v>1864</v>
      </c>
      <c r="C101" s="6"/>
      <c r="D101" s="6"/>
      <c r="E101" s="11">
        <f ca="1">IFERROR(__xludf.DUMMYFUNCTION("GOOGLEFINANCE(""BOM:""&amp;A101,""PRICE"")"),63.39)</f>
        <v>63.39</v>
      </c>
      <c r="F101" s="20">
        <f ca="1">IFERROR(__xludf.DUMMYFUNCTION("GOOGLEFINANCE(""BOM:""&amp;A101,""MARKETCAP"")/10000000"),19.8777409)</f>
        <v>19.877740899999999</v>
      </c>
      <c r="G101" s="95">
        <f t="shared" ca="1" si="0"/>
        <v>5.1916209196841012E-5</v>
      </c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</row>
    <row r="102" spans="1:25" ht="14.4">
      <c r="A102" s="99">
        <v>540066</v>
      </c>
      <c r="B102" s="98" t="s">
        <v>1865</v>
      </c>
      <c r="C102" s="6"/>
      <c r="D102" s="6"/>
      <c r="E102" s="11">
        <f ca="1">IFERROR(__xludf.DUMMYFUNCTION("GOOGLEFINANCE(""BOM:""&amp;A102,""PRICE"")"),41.32)</f>
        <v>41.32</v>
      </c>
      <c r="F102" s="20">
        <f ca="1">IFERROR(__xludf.DUMMYFUNCTION("GOOGLEFINANCE(""BOM:""&amp;A102,""MARKETCAP"")/10000000"),13.6459257)</f>
        <v>13.645925699999999</v>
      </c>
      <c r="G102" s="95">
        <f t="shared" ca="1" si="0"/>
        <v>3.5640103012196379E-5</v>
      </c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</row>
    <row r="103" spans="1:25" ht="14.4">
      <c r="A103" s="99">
        <v>539230</v>
      </c>
      <c r="B103" s="98" t="s">
        <v>1866</v>
      </c>
      <c r="C103" s="6"/>
      <c r="D103" s="6"/>
      <c r="E103" s="11">
        <f ca="1">IFERROR(__xludf.DUMMYFUNCTION("GOOGLEFINANCE(""BOM:""&amp;A103,""PRICE"")"),48)</f>
        <v>48</v>
      </c>
      <c r="F103" s="20">
        <f ca="1">IFERROR(__xludf.DUMMYFUNCTION("GOOGLEFINANCE(""BOM:""&amp;A103,""MARKETCAP"")/10000000"),14.736)</f>
        <v>14.736000000000001</v>
      </c>
      <c r="G103" s="95">
        <f t="shared" ca="1" si="0"/>
        <v>3.8487133048637801E-5</v>
      </c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</row>
    <row r="104" spans="1:25" ht="14.4">
      <c r="A104" s="99">
        <v>524458</v>
      </c>
      <c r="B104" s="98" t="s">
        <v>1867</v>
      </c>
      <c r="C104" s="6"/>
      <c r="D104" s="6"/>
      <c r="E104" s="11">
        <f ca="1">IFERROR(__xludf.DUMMYFUNCTION("GOOGLEFINANCE(""BOM:""&amp;A104,""PRICE"")"),9.25)</f>
        <v>9.25</v>
      </c>
      <c r="F104" s="20">
        <f ca="1">IFERROR(__xludf.DUMMYFUNCTION("GOOGLEFINANCE(""BOM:""&amp;A104,""MARKETCAP"")/10000000"),8.3754115)</f>
        <v>8.3754115000000002</v>
      </c>
      <c r="G104" s="95">
        <f t="shared" ca="1" si="0"/>
        <v>2.1874699832898417E-5</v>
      </c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</row>
    <row r="105" spans="1:25" ht="14.4">
      <c r="A105" s="99">
        <v>531257</v>
      </c>
      <c r="B105" s="98" t="s">
        <v>1868</v>
      </c>
      <c r="C105" s="6"/>
      <c r="D105" s="6"/>
      <c r="E105" s="11">
        <f ca="1">IFERROR(__xludf.DUMMYFUNCTION("GOOGLEFINANCE(""BOM:""&amp;A105,""PRICE"")"),18.67)</f>
        <v>18.670000000000002</v>
      </c>
      <c r="F105" s="20">
        <f ca="1">IFERROR(__xludf.DUMMYFUNCTION("GOOGLEFINANCE(""BOM:""&amp;A105,""MARKETCAP"")/10000000"),10.3998248)</f>
        <v>10.399824799999999</v>
      </c>
      <c r="G105" s="95">
        <f t="shared" ca="1" si="0"/>
        <v>2.716201416667501E-5</v>
      </c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</row>
    <row r="106" spans="1:25" ht="14.4">
      <c r="A106" s="99">
        <v>507515</v>
      </c>
      <c r="B106" s="98" t="s">
        <v>1869</v>
      </c>
      <c r="C106" s="6"/>
      <c r="D106" s="6"/>
      <c r="E106" s="11">
        <f ca="1">IFERROR(__xludf.DUMMYFUNCTION("GOOGLEFINANCE(""BOM:""&amp;A106,""PRICE"")"),17)</f>
        <v>17</v>
      </c>
      <c r="F106" s="20">
        <f ca="1">IFERROR(__xludf.DUMMYFUNCTION("GOOGLEFINANCE(""BOM:""&amp;A106,""MARKETCAP"")/10000000"),8.18261)</f>
        <v>8.1826100000000004</v>
      </c>
      <c r="G106" s="95">
        <f t="shared" ca="1" si="0"/>
        <v>2.1371145477410025E-5</v>
      </c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</row>
    <row r="107" spans="1:25" ht="14.4">
      <c r="A107" s="99">
        <v>533317</v>
      </c>
      <c r="B107" s="98" t="s">
        <v>1870</v>
      </c>
      <c r="C107" s="6"/>
      <c r="D107" s="6"/>
      <c r="E107" s="11">
        <f ca="1">IFERROR(__xludf.DUMMYFUNCTION("GOOGLEFINANCE(""BOM:""&amp;A107,""PRICE"")"),3.98)</f>
        <v>3.98</v>
      </c>
      <c r="F107" s="20">
        <f ca="1">IFERROR(__xludf.DUMMYFUNCTION("GOOGLEFINANCE(""BOM:""&amp;A107,""MARKETCAP"")/10000000"),7.9692336)</f>
        <v>7.9692335999999999</v>
      </c>
      <c r="G107" s="95">
        <f t="shared" ca="1" si="0"/>
        <v>2.0813854089228743E-5</v>
      </c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</row>
    <row r="108" spans="1:25" ht="14.4">
      <c r="A108" s="99">
        <v>531867</v>
      </c>
      <c r="B108" s="98" t="s">
        <v>1871</v>
      </c>
      <c r="C108" s="6"/>
      <c r="D108" s="6"/>
      <c r="E108" s="11">
        <f ca="1">IFERROR(__xludf.DUMMYFUNCTION("GOOGLEFINANCE(""BOM:""&amp;A108,""PRICE"")"),3.13)</f>
        <v>3.13</v>
      </c>
      <c r="F108" s="20">
        <f ca="1">IFERROR(__xludf.DUMMYFUNCTION("GOOGLEFINANCE(""BOM:""&amp;A108,""MARKETCAP"")/10000000"),3.161516)</f>
        <v>3.1615160000000002</v>
      </c>
      <c r="G108" s="95">
        <f t="shared" ca="1" si="0"/>
        <v>8.2571720227603949E-6</v>
      </c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</row>
    <row r="109" spans="1:25" ht="14.4">
      <c r="A109" s="99">
        <v>506945</v>
      </c>
      <c r="B109" s="98" t="s">
        <v>1872</v>
      </c>
      <c r="C109" s="6"/>
      <c r="D109" s="6"/>
      <c r="E109" s="11">
        <f ca="1">IFERROR(__xludf.DUMMYFUNCTION("GOOGLEFINANCE(""BOM:""&amp;A109,""PRICE"")"),2.59)</f>
        <v>2.59</v>
      </c>
      <c r="F109" s="20">
        <f ca="1">IFERROR(__xludf.DUMMYFUNCTION("GOOGLEFINANCE(""BOM:""&amp;A109,""MARKETCAP"")/10000000"),2.477923)</f>
        <v>2.4779230000000001</v>
      </c>
      <c r="G109" s="95">
        <f t="shared" ca="1" si="0"/>
        <v>6.4717801428664306E-6</v>
      </c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</row>
    <row r="110" spans="1:25" ht="14.4">
      <c r="A110" s="99">
        <v>544703</v>
      </c>
      <c r="B110" s="98" t="s">
        <v>1873</v>
      </c>
      <c r="C110" s="6"/>
      <c r="D110" s="6"/>
      <c r="E110" s="11">
        <f ca="1">IFERROR(__xludf.DUMMYFUNCTION("GOOGLEFINANCE(""BOM:""&amp;A110,""PRICE"")"),20.3)</f>
        <v>20.3</v>
      </c>
      <c r="F110" s="20"/>
      <c r="G110" s="95">
        <f t="shared" ca="1" si="0"/>
        <v>0</v>
      </c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</row>
    <row r="111" spans="1:25" ht="14.4">
      <c r="A111" s="99">
        <v>504092</v>
      </c>
      <c r="B111" s="98" t="s">
        <v>1874</v>
      </c>
      <c r="C111" s="6"/>
      <c r="D111" s="6"/>
      <c r="E111" s="11">
        <f ca="1">IFERROR(__xludf.DUMMYFUNCTION("GOOGLEFINANCE(""BOM:""&amp;A111,""PRICE"")"),507.95)</f>
        <v>507.95</v>
      </c>
      <c r="F111" s="20"/>
      <c r="G111" s="95">
        <f t="shared" ca="1" si="0"/>
        <v>0</v>
      </c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ht="13.2">
      <c r="A112" s="101"/>
      <c r="B112" s="101"/>
      <c r="C112" s="101"/>
      <c r="D112" s="101"/>
      <c r="E112" s="101"/>
      <c r="F112" s="101"/>
      <c r="G112" s="95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</row>
    <row r="113" spans="1:25" ht="13.2">
      <c r="A113" s="101"/>
      <c r="B113" s="101"/>
      <c r="C113" s="101"/>
      <c r="D113" s="101"/>
      <c r="E113" s="101"/>
      <c r="F113" s="112">
        <f ca="1">SUM(F2:F111)</f>
        <v>382881.2081528001</v>
      </c>
      <c r="G113" s="95">
        <f ca="1">F113/$F$113</f>
        <v>1</v>
      </c>
      <c r="H113" s="101">
        <f t="shared" ref="H113:O113" si="1">SUM(H2:H111)</f>
        <v>84921</v>
      </c>
      <c r="I113" s="101">
        <f t="shared" si="1"/>
        <v>78111</v>
      </c>
      <c r="J113" s="101">
        <f t="shared" si="1"/>
        <v>7834</v>
      </c>
      <c r="K113" s="101">
        <f t="shared" si="1"/>
        <v>7056</v>
      </c>
      <c r="L113" s="101">
        <f t="shared" si="1"/>
        <v>28633</v>
      </c>
      <c r="M113" s="101">
        <f t="shared" si="1"/>
        <v>25824</v>
      </c>
      <c r="N113" s="101">
        <f t="shared" si="1"/>
        <v>2440</v>
      </c>
      <c r="O113" s="101">
        <f t="shared" si="1"/>
        <v>2285.38</v>
      </c>
      <c r="P113" s="95">
        <f t="shared" ref="P113:Q113" si="2">J113/H113</f>
        <v>9.2250444530799211E-2</v>
      </c>
      <c r="Q113" s="95">
        <f t="shared" si="2"/>
        <v>9.033298767139071E-2</v>
      </c>
      <c r="R113" s="95">
        <f>P113-Q113</f>
        <v>1.9174568594085006E-3</v>
      </c>
      <c r="S113" s="95">
        <f t="shared" ref="S113:T113" si="3">N113/L113</f>
        <v>8.5216358746900436E-2</v>
      </c>
      <c r="T113" s="95">
        <f t="shared" si="3"/>
        <v>8.8498296158612141E-2</v>
      </c>
      <c r="U113" s="95">
        <f>S113-T113</f>
        <v>-3.2819374117117051E-3</v>
      </c>
      <c r="V113" s="95">
        <f>(H113/I113)-1</f>
        <v>8.7183623305296276E-2</v>
      </c>
      <c r="W113" s="95">
        <f>(J113/K113)-1</f>
        <v>0.11026077097505671</v>
      </c>
      <c r="X113" s="95">
        <f>(L113/M113)-1</f>
        <v>0.1087747831474597</v>
      </c>
      <c r="Y113" s="95">
        <f>(N113/O113)-1</f>
        <v>6.7656144711163879E-2</v>
      </c>
    </row>
    <row r="114" spans="1:25" ht="13.2">
      <c r="G114" s="50"/>
    </row>
    <row r="115" spans="1:25" ht="13.2">
      <c r="G115" s="50"/>
    </row>
    <row r="116" spans="1:25" ht="13.2">
      <c r="G116" s="50"/>
    </row>
    <row r="117" spans="1:25" ht="13.2">
      <c r="G117" s="50"/>
    </row>
    <row r="118" spans="1:25" ht="13.2">
      <c r="G118" s="50"/>
    </row>
    <row r="119" spans="1:25" ht="13.2">
      <c r="G119" s="50"/>
    </row>
    <row r="120" spans="1:25" ht="13.2">
      <c r="G120" s="50"/>
    </row>
    <row r="121" spans="1:25" ht="13.2">
      <c r="G121" s="50"/>
    </row>
    <row r="122" spans="1:25" ht="13.2">
      <c r="G122" s="50"/>
    </row>
    <row r="123" spans="1:25" ht="13.2">
      <c r="G123" s="50"/>
    </row>
    <row r="124" spans="1:25" ht="13.2">
      <c r="G124" s="50"/>
    </row>
    <row r="125" spans="1:25" ht="13.2">
      <c r="G125" s="50"/>
    </row>
    <row r="126" spans="1:25" ht="13.2">
      <c r="G126" s="50"/>
    </row>
    <row r="127" spans="1:25" ht="13.2">
      <c r="G127" s="50"/>
    </row>
    <row r="128" spans="1:25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111" xr:uid="{00000000-0009-0000-0000-000025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F2988"/>
  <sheetViews>
    <sheetView workbookViewId="0">
      <pane ySplit="4" topLeftCell="A5" activePane="bottomLeft" state="frozen"/>
      <selection pane="bottomLeft" activeCell="A4" sqref="A4:Y1034"/>
    </sheetView>
  </sheetViews>
  <sheetFormatPr defaultColWidth="12.6640625" defaultRowHeight="15.75" customHeight="1"/>
  <cols>
    <col min="1" max="1" width="29.109375" customWidth="1"/>
    <col min="2" max="2" width="12.44140625" customWidth="1"/>
    <col min="3" max="3" width="24.77734375" customWidth="1"/>
    <col min="4" max="4" width="21.77734375" customWidth="1"/>
    <col min="5" max="5" width="11.44140625" customWidth="1"/>
    <col min="6" max="6" width="14.44140625" customWidth="1"/>
    <col min="7" max="7" width="12.33203125" customWidth="1"/>
    <col min="8" max="9" width="15.33203125" customWidth="1"/>
    <col min="10" max="10" width="15.21875" customWidth="1"/>
    <col min="11" max="11" width="15.33203125" customWidth="1"/>
    <col min="12" max="13" width="14.44140625" customWidth="1"/>
    <col min="14" max="15" width="14.88671875" customWidth="1"/>
    <col min="16" max="17" width="16.44140625" customWidth="1"/>
    <col min="18" max="18" width="22.44140625" customWidth="1"/>
    <col min="19" max="20" width="16.109375" customWidth="1"/>
    <col min="21" max="21" width="22.109375" customWidth="1"/>
    <col min="22" max="22" width="17.44140625" customWidth="1"/>
    <col min="23" max="23" width="18.21875" customWidth="1"/>
    <col min="24" max="24" width="16.77734375" customWidth="1"/>
    <col min="25" max="25" width="17.109375" customWidth="1"/>
    <col min="26" max="32" width="9.6640625" customWidth="1"/>
  </cols>
  <sheetData>
    <row r="1" spans="1:32">
      <c r="A1" s="70" t="s">
        <v>141</v>
      </c>
      <c r="F1" s="94"/>
    </row>
    <row r="2" spans="1:32">
      <c r="A2" s="6"/>
      <c r="B2" s="6"/>
      <c r="C2" s="6"/>
      <c r="D2" s="6"/>
      <c r="E2" s="11"/>
      <c r="F2" s="20">
        <f ca="1">SUM(F5:F1038)</f>
        <v>40288621.354898654</v>
      </c>
      <c r="G2" s="95">
        <f ca="1">F2/$F$2</f>
        <v>1</v>
      </c>
      <c r="H2" s="20">
        <f>SUM(H5:H1038)</f>
        <v>15144086</v>
      </c>
      <c r="I2" s="20">
        <f>SUM(I5:I1038)</f>
        <v>13664483</v>
      </c>
      <c r="J2" s="20">
        <f>SUM(J5:J1038)</f>
        <v>1377917.44</v>
      </c>
      <c r="K2" s="20">
        <f>SUM(K5:K1038)</f>
        <v>1217958.8000000003</v>
      </c>
      <c r="L2" s="20">
        <f>SUM(L5:L1038)</f>
        <v>5276843.34</v>
      </c>
      <c r="M2" s="20">
        <f>SUM(M5:M1038)</f>
        <v>4623422.25</v>
      </c>
      <c r="N2" s="20">
        <f>SUM(N5:N1038)</f>
        <v>474968.64999999991</v>
      </c>
      <c r="O2" s="20">
        <f>SUM(O5:O1038)</f>
        <v>429705.72</v>
      </c>
      <c r="P2" s="13">
        <f t="shared" ref="P2:Q2" si="0">J2/H2</f>
        <v>9.0987164230314055E-2</v>
      </c>
      <c r="Q2" s="13">
        <f t="shared" si="0"/>
        <v>8.9133178328078738E-2</v>
      </c>
      <c r="R2" s="13">
        <f>P2-Q2</f>
        <v>1.8539859022353167E-3</v>
      </c>
      <c r="S2" s="13">
        <f t="shared" ref="S2:T2" si="1">N2/L2</f>
        <v>9.0009996393032948E-2</v>
      </c>
      <c r="T2" s="13">
        <f t="shared" si="1"/>
        <v>9.294105032262627E-2</v>
      </c>
      <c r="U2" s="13">
        <f>S2-T2</f>
        <v>-2.9310539295933219E-3</v>
      </c>
      <c r="V2" s="13">
        <f>(H2/I2)-1</f>
        <v>0.108280935327008</v>
      </c>
      <c r="W2" s="13">
        <f>(J2/K2)-1</f>
        <v>0.13133337515193433</v>
      </c>
      <c r="X2" s="13">
        <f>(L2/M2)-1</f>
        <v>0.1413284477748058</v>
      </c>
      <c r="Y2" s="13">
        <f>(N2/O2)-1</f>
        <v>0.10533471604706568</v>
      </c>
      <c r="Z2" s="1"/>
      <c r="AA2" s="1"/>
      <c r="AB2" s="1"/>
      <c r="AC2" s="1"/>
      <c r="AD2" s="1"/>
      <c r="AE2" s="1"/>
      <c r="AF2" s="1"/>
    </row>
    <row r="3" spans="1:32">
      <c r="F3" s="94"/>
      <c r="H3" s="70">
        <f>COUNT(H5:H1037)</f>
        <v>1029</v>
      </c>
    </row>
    <row r="4" spans="1:32" ht="15.75" customHeight="1">
      <c r="A4" s="96" t="s">
        <v>142</v>
      </c>
      <c r="B4" s="96" t="s">
        <v>143</v>
      </c>
      <c r="C4" s="96" t="s">
        <v>144</v>
      </c>
      <c r="D4" s="96" t="s">
        <v>145</v>
      </c>
      <c r="E4" s="96" t="s">
        <v>146</v>
      </c>
      <c r="F4" s="97" t="s">
        <v>147</v>
      </c>
      <c r="G4" s="97" t="s">
        <v>148</v>
      </c>
      <c r="H4" s="97" t="s">
        <v>149</v>
      </c>
      <c r="I4" s="97" t="s">
        <v>150</v>
      </c>
      <c r="J4" s="97" t="s">
        <v>151</v>
      </c>
      <c r="K4" s="97" t="s">
        <v>152</v>
      </c>
      <c r="L4" s="96" t="s">
        <v>153</v>
      </c>
      <c r="M4" s="96" t="s">
        <v>154</v>
      </c>
      <c r="N4" s="97" t="s">
        <v>155</v>
      </c>
      <c r="O4" s="97" t="s">
        <v>156</v>
      </c>
      <c r="P4" s="97" t="s">
        <v>157</v>
      </c>
      <c r="Q4" s="97" t="s">
        <v>158</v>
      </c>
      <c r="R4" s="97" t="s">
        <v>159</v>
      </c>
      <c r="S4" s="97" t="s">
        <v>160</v>
      </c>
      <c r="T4" s="97" t="s">
        <v>161</v>
      </c>
      <c r="U4" s="97" t="s">
        <v>162</v>
      </c>
      <c r="V4" s="96" t="s">
        <v>163</v>
      </c>
      <c r="W4" s="96" t="s">
        <v>164</v>
      </c>
      <c r="X4" s="96" t="s">
        <v>165</v>
      </c>
      <c r="Y4" s="96" t="s">
        <v>166</v>
      </c>
    </row>
    <row r="5" spans="1:32" ht="15.75" customHeight="1">
      <c r="A5" s="98" t="s">
        <v>167</v>
      </c>
      <c r="B5" s="99">
        <v>500325</v>
      </c>
      <c r="C5" s="98" t="s">
        <v>91</v>
      </c>
      <c r="D5" s="100" t="s">
        <v>168</v>
      </c>
      <c r="E5" s="11">
        <f ca="1">IFERROR(__xludf.DUMMYFUNCTION("GOOGLEFINANCE(""BOM:""&amp;B5,""PRICE"")"),1303.6)</f>
        <v>1303.5999999999999</v>
      </c>
      <c r="F5" s="20">
        <f ca="1">IFERROR(__xludf.DUMMYFUNCTION("GOOGLEFINANCE(""BOM:""&amp;B5,""MARKETCAP"")/10000000"),1763144.2464382)</f>
        <v>1763144.2464381999</v>
      </c>
      <c r="G5" s="95">
        <f t="shared" ref="G5:G11" ca="1" si="2">F5/$F$2</f>
        <v>4.3762833950231977E-2</v>
      </c>
      <c r="H5" s="101">
        <v>777054</v>
      </c>
      <c r="I5" s="101">
        <v>715563</v>
      </c>
      <c r="J5" s="101">
        <v>70809</v>
      </c>
      <c r="K5" s="101">
        <v>55569</v>
      </c>
      <c r="L5" s="101">
        <v>269496</v>
      </c>
      <c r="M5" s="101">
        <v>243865</v>
      </c>
      <c r="N5" s="101">
        <v>21723</v>
      </c>
      <c r="O5" s="101">
        <v>20010</v>
      </c>
      <c r="P5" s="13">
        <f t="shared" ref="P5:Q5" si="3">J5/H5</f>
        <v>9.1124941123782902E-2</v>
      </c>
      <c r="Q5" s="13">
        <f t="shared" si="3"/>
        <v>7.7657732442845698E-2</v>
      </c>
      <c r="R5" s="13">
        <f t="shared" ref="R5:R259" si="4">P5-Q5</f>
        <v>1.3467208680937204E-2</v>
      </c>
      <c r="S5" s="13">
        <f t="shared" ref="S5:T5" si="5">N5/L5</f>
        <v>8.0606020126458275E-2</v>
      </c>
      <c r="T5" s="13">
        <f t="shared" si="5"/>
        <v>8.2053595226867324E-2</v>
      </c>
      <c r="U5" s="13">
        <f t="shared" ref="U5:U259" si="6">S5-T5</f>
        <v>-1.4475751004090487E-3</v>
      </c>
      <c r="V5" s="13">
        <f t="shared" ref="V5:V259" si="7">(H5/I5)-1</f>
        <v>8.5933733298116266E-2</v>
      </c>
      <c r="W5" s="13">
        <f t="shared" ref="W5:W259" si="8">(J5/K5)-1</f>
        <v>0.27425363062138963</v>
      </c>
      <c r="X5" s="13">
        <f t="shared" ref="X5:X259" si="9">(L5/M5)-1</f>
        <v>0.10510323334631866</v>
      </c>
      <c r="Y5" s="13">
        <f t="shared" ref="Y5:Y259" si="10">(N5/O5)-1</f>
        <v>8.5607196401799035E-2</v>
      </c>
    </row>
    <row r="6" spans="1:32" ht="15.75" customHeight="1">
      <c r="A6" s="98" t="s">
        <v>169</v>
      </c>
      <c r="B6" s="99">
        <v>532454</v>
      </c>
      <c r="C6" s="98" t="s">
        <v>170</v>
      </c>
      <c r="D6" s="102" t="s">
        <v>128</v>
      </c>
      <c r="E6" s="11">
        <f ca="1">IFERROR(__xludf.DUMMYFUNCTION("GOOGLEFINANCE(""BOM:""&amp;B6,""PRICE"")"),1790)</f>
        <v>1790</v>
      </c>
      <c r="F6" s="20">
        <f ca="1">IFERROR(__xludf.DUMMYFUNCTION("GOOGLEFINANCE(""BOM:""&amp;B6,""MARKETCAP"")/10000000"),1090476.4905969)</f>
        <v>1090476.4905969</v>
      </c>
      <c r="G6" s="95">
        <f t="shared" ca="1" si="2"/>
        <v>2.7066612207724751E-2</v>
      </c>
      <c r="H6" s="101">
        <v>155589</v>
      </c>
      <c r="I6" s="101">
        <v>125109</v>
      </c>
      <c r="J6" s="101">
        <v>24575</v>
      </c>
      <c r="K6" s="101">
        <v>25005</v>
      </c>
      <c r="L6" s="101">
        <v>53981</v>
      </c>
      <c r="M6" s="101">
        <v>45129</v>
      </c>
      <c r="N6" s="101">
        <v>8502</v>
      </c>
      <c r="O6" s="101">
        <v>16134</v>
      </c>
      <c r="P6" s="13">
        <f t="shared" ref="P6:Q6" si="11">J6/H6</f>
        <v>0.15794818399758337</v>
      </c>
      <c r="Q6" s="13">
        <f t="shared" si="11"/>
        <v>0.19986571709469342</v>
      </c>
      <c r="R6" s="13">
        <f t="shared" si="4"/>
        <v>-4.1917533097110049E-2</v>
      </c>
      <c r="S6" s="13">
        <f t="shared" ref="S6:T6" si="12">N6/L6</f>
        <v>0.1574998610622256</v>
      </c>
      <c r="T6" s="13">
        <f t="shared" si="12"/>
        <v>0.35750847570298477</v>
      </c>
      <c r="U6" s="13">
        <f t="shared" si="6"/>
        <v>-0.20000861464075917</v>
      </c>
      <c r="V6" s="13">
        <f t="shared" si="7"/>
        <v>0.24362755677049619</v>
      </c>
      <c r="W6" s="13">
        <f t="shared" si="8"/>
        <v>-1.7196560687862461E-2</v>
      </c>
      <c r="X6" s="13">
        <f t="shared" si="9"/>
        <v>0.19614881783332216</v>
      </c>
      <c r="Y6" s="13">
        <f t="shared" si="10"/>
        <v>-0.47303830420230564</v>
      </c>
    </row>
    <row r="7" spans="1:32" ht="15.75" customHeight="1">
      <c r="A7" s="98" t="s">
        <v>171</v>
      </c>
      <c r="B7" s="99">
        <v>532174</v>
      </c>
      <c r="C7" s="98" t="s">
        <v>172</v>
      </c>
      <c r="D7" s="100" t="s">
        <v>72</v>
      </c>
      <c r="E7" s="11">
        <f ca="1">IFERROR(__xludf.DUMMYFUNCTION("GOOGLEFINANCE(""BOM:""&amp;B7,""PRICE"")"),1229.8)</f>
        <v>1229.8</v>
      </c>
      <c r="F7" s="20">
        <f ca="1">IFERROR(__xludf.DUMMYFUNCTION("GOOGLEFINANCE(""BOM:""&amp;B7,""MARKETCAP"")/10000000"),876826.4749053)</f>
        <v>876826.47490529995</v>
      </c>
      <c r="G7" s="95">
        <f t="shared" ca="1" si="2"/>
        <v>2.1763625694247973E-2</v>
      </c>
      <c r="H7" s="101">
        <v>227504</v>
      </c>
      <c r="I7" s="101">
        <v>214839</v>
      </c>
      <c r="J7" s="101">
        <v>39452</v>
      </c>
      <c r="K7" s="101">
        <v>37526</v>
      </c>
      <c r="L7" s="101">
        <v>76782</v>
      </c>
      <c r="M7" s="101">
        <v>74626</v>
      </c>
      <c r="N7" s="101">
        <v>12539</v>
      </c>
      <c r="O7" s="101">
        <v>12883</v>
      </c>
      <c r="P7" s="13">
        <f t="shared" ref="P7:Q7" si="13">J7/H7</f>
        <v>0.17341233560728603</v>
      </c>
      <c r="Q7" s="13">
        <f t="shared" si="13"/>
        <v>0.17467033452957798</v>
      </c>
      <c r="R7" s="13">
        <f t="shared" si="4"/>
        <v>-1.2579989222919474E-3</v>
      </c>
      <c r="S7" s="13">
        <f t="shared" ref="S7:T7" si="14">N7/L7</f>
        <v>0.16330650412857181</v>
      </c>
      <c r="T7" s="13">
        <f t="shared" si="14"/>
        <v>0.17263420255674966</v>
      </c>
      <c r="U7" s="13">
        <f t="shared" si="6"/>
        <v>-9.3276984281778497E-3</v>
      </c>
      <c r="V7" s="13">
        <f t="shared" si="7"/>
        <v>5.8951121537523354E-2</v>
      </c>
      <c r="W7" s="13">
        <f t="shared" si="8"/>
        <v>5.1324415072216523E-2</v>
      </c>
      <c r="X7" s="13">
        <f t="shared" si="9"/>
        <v>2.8890735132527601E-2</v>
      </c>
      <c r="Y7" s="13">
        <f t="shared" si="10"/>
        <v>-2.6701855157960086E-2</v>
      </c>
    </row>
    <row r="8" spans="1:32" ht="15.75" customHeight="1">
      <c r="A8" s="98" t="s">
        <v>173</v>
      </c>
      <c r="B8" s="99">
        <v>532540</v>
      </c>
      <c r="C8" s="98" t="s">
        <v>174</v>
      </c>
      <c r="D8" s="102" t="s">
        <v>175</v>
      </c>
      <c r="E8" s="11">
        <f ca="1">IFERROR(__xludf.DUMMYFUNCTION("GOOGLEFINANCE(""BOM:""&amp;B8,""PRICE"")"),2472.6)</f>
        <v>2472.6</v>
      </c>
      <c r="F8" s="103">
        <f ca="1">IFERROR(__xludf.DUMMYFUNCTION("GOOGLEFINANCE(""BOM:""&amp;B8,""MARKETCAP"")/10000000"),894572.01075)</f>
        <v>894572.01075000002</v>
      </c>
      <c r="G8" s="95">
        <f t="shared" ca="1" si="2"/>
        <v>2.2204085934581872E-2</v>
      </c>
      <c r="H8" s="101">
        <v>196323</v>
      </c>
      <c r="I8" s="101">
        <v>190845</v>
      </c>
      <c r="J8" s="101">
        <v>35670</v>
      </c>
      <c r="K8" s="101">
        <v>36504</v>
      </c>
      <c r="L8" s="101">
        <v>67087</v>
      </c>
      <c r="M8" s="101">
        <v>63973</v>
      </c>
      <c r="N8" s="101">
        <v>10720</v>
      </c>
      <c r="O8" s="101">
        <v>12444</v>
      </c>
      <c r="P8" s="13">
        <f t="shared" ref="P8:Q8" si="15">J8/H8</f>
        <v>0.18169037759202947</v>
      </c>
      <c r="Q8" s="13">
        <f t="shared" si="15"/>
        <v>0.19127564253713747</v>
      </c>
      <c r="R8" s="13">
        <f t="shared" si="4"/>
        <v>-9.5852649451080019E-3</v>
      </c>
      <c r="S8" s="13">
        <f t="shared" ref="S8:T8" si="16">N8/L8</f>
        <v>0.1597925082355747</v>
      </c>
      <c r="T8" s="13">
        <f t="shared" si="16"/>
        <v>0.19451956294061556</v>
      </c>
      <c r="U8" s="13">
        <f t="shared" si="6"/>
        <v>-3.4727054705040866E-2</v>
      </c>
      <c r="V8" s="13">
        <f t="shared" si="7"/>
        <v>2.8703922030967499E-2</v>
      </c>
      <c r="W8" s="13">
        <f t="shared" si="8"/>
        <v>-2.2846811308349757E-2</v>
      </c>
      <c r="X8" s="13">
        <f t="shared" si="9"/>
        <v>4.8676785518890764E-2</v>
      </c>
      <c r="Y8" s="13">
        <f t="shared" si="10"/>
        <v>-0.13854066216650596</v>
      </c>
    </row>
    <row r="9" spans="1:32" ht="15.75" customHeight="1">
      <c r="A9" s="98" t="s">
        <v>176</v>
      </c>
      <c r="B9" s="99">
        <v>500180</v>
      </c>
      <c r="C9" s="98" t="s">
        <v>172</v>
      </c>
      <c r="D9" s="102" t="s">
        <v>72</v>
      </c>
      <c r="E9" s="11">
        <f ca="1">IFERROR(__xludf.DUMMYFUNCTION("GOOGLEFINANCE(""BOM:""&amp;B9,""PRICE"")"),768.6)</f>
        <v>768.6</v>
      </c>
      <c r="F9" s="20">
        <f ca="1">IFERROR(__xludf.DUMMYFUNCTION("GOOGLEFINANCE(""BOM:""&amp;B9,""MARKETCAP"")/10000000"),1183202.9674812)</f>
        <v>1183202.9674811999</v>
      </c>
      <c r="G9" s="95">
        <f t="shared" ca="1" si="2"/>
        <v>2.9368167181956336E-2</v>
      </c>
      <c r="H9" s="101">
        <v>378542</v>
      </c>
      <c r="I9" s="101">
        <v>350647</v>
      </c>
      <c r="J9" s="101">
        <v>55675</v>
      </c>
      <c r="K9" s="101">
        <v>51957</v>
      </c>
      <c r="L9" s="101">
        <v>126927</v>
      </c>
      <c r="M9" s="101">
        <v>112193</v>
      </c>
      <c r="N9" s="101">
        <v>19807</v>
      </c>
      <c r="O9" s="101">
        <v>17657</v>
      </c>
      <c r="P9" s="13">
        <f t="shared" ref="P9:Q9" si="17">J9/H9</f>
        <v>0.14707747092792875</v>
      </c>
      <c r="Q9" s="13">
        <f t="shared" si="17"/>
        <v>0.1481746599856836</v>
      </c>
      <c r="R9" s="13">
        <f t="shared" si="4"/>
        <v>-1.0971890577548549E-3</v>
      </c>
      <c r="S9" s="13">
        <f t="shared" ref="S9:T9" si="18">N9/L9</f>
        <v>0.1560503281413726</v>
      </c>
      <c r="T9" s="13">
        <f t="shared" si="18"/>
        <v>0.15738058524150347</v>
      </c>
      <c r="U9" s="13">
        <f t="shared" si="6"/>
        <v>-1.3302571001308772E-3</v>
      </c>
      <c r="V9" s="13">
        <f t="shared" si="7"/>
        <v>7.9552940706750563E-2</v>
      </c>
      <c r="W9" s="13">
        <f t="shared" si="8"/>
        <v>7.1559173932290054E-2</v>
      </c>
      <c r="X9" s="13">
        <f t="shared" si="9"/>
        <v>0.1313272664069951</v>
      </c>
      <c r="Y9" s="13">
        <f t="shared" si="10"/>
        <v>0.12176473919691899</v>
      </c>
    </row>
    <row r="10" spans="1:32" ht="15.75" customHeight="1">
      <c r="A10" s="98" t="s">
        <v>177</v>
      </c>
      <c r="B10" s="99">
        <v>500034</v>
      </c>
      <c r="C10" s="98" t="s">
        <v>172</v>
      </c>
      <c r="D10" s="101" t="s">
        <v>178</v>
      </c>
      <c r="E10" s="11">
        <f ca="1">IFERROR(__xludf.DUMMYFUNCTION("GOOGLEFINANCE(""BOM:""&amp;B10,""PRICE"")"),850.25)</f>
        <v>850.25</v>
      </c>
      <c r="F10" s="20">
        <f ca="1">IFERROR(__xludf.DUMMYFUNCTION("GOOGLEFINANCE(""BOM:""&amp;B10,""MARKETCAP"")/10000000"),528700.2273)</f>
        <v>528700.22730000003</v>
      </c>
      <c r="G10" s="95">
        <f t="shared" ca="1" si="2"/>
        <v>1.3122817547980352E-2</v>
      </c>
      <c r="H10" s="101">
        <v>60917</v>
      </c>
      <c r="I10" s="101">
        <v>51227</v>
      </c>
      <c r="J10" s="101">
        <v>13779</v>
      </c>
      <c r="K10" s="101">
        <v>12234</v>
      </c>
      <c r="L10" s="101">
        <v>21215</v>
      </c>
      <c r="M10" s="101">
        <v>18058</v>
      </c>
      <c r="N10" s="101">
        <v>4066</v>
      </c>
      <c r="O10" s="101">
        <v>4308</v>
      </c>
      <c r="P10" s="13">
        <f t="shared" ref="P10:Q10" si="19">J10/H10</f>
        <v>0.22619301672767864</v>
      </c>
      <c r="Q10" s="13">
        <f t="shared" si="19"/>
        <v>0.23881937259648231</v>
      </c>
      <c r="R10" s="13">
        <f t="shared" si="4"/>
        <v>-1.2626355868803674E-2</v>
      </c>
      <c r="S10" s="13">
        <f t="shared" ref="S10:T10" si="20">N10/L10</f>
        <v>0.19165684657082252</v>
      </c>
      <c r="T10" s="13">
        <f t="shared" si="20"/>
        <v>0.23856462509690995</v>
      </c>
      <c r="U10" s="13">
        <f t="shared" si="6"/>
        <v>-4.6907778526087435E-2</v>
      </c>
      <c r="V10" s="13">
        <f t="shared" si="7"/>
        <v>0.1891580611786754</v>
      </c>
      <c r="W10" s="13">
        <f t="shared" si="8"/>
        <v>0.12628739578224613</v>
      </c>
      <c r="X10" s="13">
        <f t="shared" si="9"/>
        <v>0.17482556207774946</v>
      </c>
      <c r="Y10" s="13">
        <f t="shared" si="10"/>
        <v>-5.6174558960074283E-2</v>
      </c>
    </row>
    <row r="11" spans="1:32" ht="15.75" customHeight="1">
      <c r="A11" s="98" t="s">
        <v>179</v>
      </c>
      <c r="B11" s="99">
        <v>500510</v>
      </c>
      <c r="C11" s="98" t="s">
        <v>180</v>
      </c>
      <c r="D11" s="101" t="s">
        <v>181</v>
      </c>
      <c r="E11" s="11">
        <f ca="1">IFERROR(__xludf.DUMMYFUNCTION("GOOGLEFINANCE(""BOM:""&amp;B11,""PRICE"")"),3723.95)</f>
        <v>3723.95</v>
      </c>
      <c r="F11" s="20">
        <f ca="1">IFERROR(__xludf.DUMMYFUNCTION("GOOGLEFINANCE(""BOM:""&amp;B11,""MARKETCAP"")/10000000"),512093.1984)</f>
        <v>512093.19839999999</v>
      </c>
      <c r="G11" s="95">
        <f t="shared" ca="1" si="2"/>
        <v>1.2710616079141042E-2</v>
      </c>
      <c r="H11" s="101">
        <v>203112</v>
      </c>
      <c r="I11" s="101">
        <v>181342</v>
      </c>
      <c r="J11" s="101">
        <v>14186</v>
      </c>
      <c r="K11" s="101">
        <v>11554</v>
      </c>
      <c r="L11" s="101">
        <v>71450</v>
      </c>
      <c r="M11" s="101">
        <v>64668</v>
      </c>
      <c r="N11" s="101">
        <v>5173</v>
      </c>
      <c r="O11" s="101">
        <v>4001</v>
      </c>
      <c r="P11" s="13">
        <f t="shared" ref="P11:Q11" si="21">J11/H11</f>
        <v>6.9843239198077903E-2</v>
      </c>
      <c r="Q11" s="13">
        <f t="shared" si="21"/>
        <v>6.3713866616669057E-2</v>
      </c>
      <c r="R11" s="13">
        <f t="shared" si="4"/>
        <v>6.1293725814088457E-3</v>
      </c>
      <c r="S11" s="13">
        <f t="shared" ref="S11:T11" si="22">N11/L11</f>
        <v>7.2400279916025198E-2</v>
      </c>
      <c r="T11" s="13">
        <f t="shared" si="22"/>
        <v>6.1869858353436009E-2</v>
      </c>
      <c r="U11" s="13">
        <f t="shared" si="6"/>
        <v>1.0530421562589189E-2</v>
      </c>
      <c r="V11" s="13">
        <f t="shared" si="7"/>
        <v>0.12004940940322695</v>
      </c>
      <c r="W11" s="13">
        <f t="shared" si="8"/>
        <v>0.22779989613986507</v>
      </c>
      <c r="X11" s="13">
        <f t="shared" si="9"/>
        <v>0.10487412630667414</v>
      </c>
      <c r="Y11" s="13">
        <f t="shared" si="10"/>
        <v>0.29292676830792308</v>
      </c>
    </row>
    <row r="12" spans="1:32" ht="15.75" customHeight="1">
      <c r="A12" s="98" t="s">
        <v>182</v>
      </c>
      <c r="B12" s="99">
        <v>500696</v>
      </c>
      <c r="C12" s="98" t="s">
        <v>183</v>
      </c>
      <c r="D12" s="101" t="s">
        <v>117</v>
      </c>
      <c r="E12" s="11">
        <f ca="1">IFERROR(__xludf.DUMMYFUNCTION("GOOGLEFINANCE(""BOM:""&amp;B12,""PRICE"")"),2064.3)</f>
        <v>2064.3000000000002</v>
      </c>
      <c r="F12" s="20">
        <f ca="1">IFERROR(__xludf.DUMMYFUNCTION("GOOGLEFINANCE(""BOM:""&amp;B12,""MARKETCAP"")/10000000"),485049.5430947)</f>
        <v>485049.54309470003</v>
      </c>
      <c r="G12" s="95">
        <f ca="1">F11/$F$2</f>
        <v>1.2710616079141042E-2</v>
      </c>
      <c r="H12" s="101">
        <v>47464</v>
      </c>
      <c r="I12" s="101">
        <v>45505</v>
      </c>
      <c r="J12" s="101">
        <v>12065</v>
      </c>
      <c r="K12" s="101">
        <v>8196</v>
      </c>
      <c r="L12" s="101">
        <v>16197</v>
      </c>
      <c r="M12" s="101">
        <v>15715</v>
      </c>
      <c r="N12" s="101">
        <v>6603</v>
      </c>
      <c r="O12" s="101">
        <v>2694</v>
      </c>
      <c r="P12" s="13">
        <f t="shared" ref="P12:Q12" si="23">J12/H12</f>
        <v>0.25419265127254342</v>
      </c>
      <c r="Q12" s="13">
        <f t="shared" si="23"/>
        <v>0.18011207559608836</v>
      </c>
      <c r="R12" s="13">
        <f t="shared" si="4"/>
        <v>7.4080575676455068E-2</v>
      </c>
      <c r="S12" s="13">
        <f t="shared" ref="S12:T12" si="24">N12/L12</f>
        <v>0.40766808668271903</v>
      </c>
      <c r="T12" s="13">
        <f t="shared" si="24"/>
        <v>0.17142857142857143</v>
      </c>
      <c r="U12" s="13">
        <f t="shared" si="6"/>
        <v>0.2362395152541476</v>
      </c>
      <c r="V12" s="13">
        <f t="shared" si="7"/>
        <v>4.3050214262168929E-2</v>
      </c>
      <c r="W12" s="13">
        <f t="shared" si="8"/>
        <v>0.47205954123962912</v>
      </c>
      <c r="X12" s="13">
        <f t="shared" si="9"/>
        <v>3.0671333121221833E-2</v>
      </c>
      <c r="Y12" s="13">
        <f t="shared" si="10"/>
        <v>1.4510022271714922</v>
      </c>
    </row>
    <row r="13" spans="1:32" ht="15.75" customHeight="1">
      <c r="A13" s="98" t="s">
        <v>184</v>
      </c>
      <c r="B13" s="99">
        <v>500209</v>
      </c>
      <c r="C13" s="98" t="s">
        <v>174</v>
      </c>
      <c r="D13" s="102" t="s">
        <v>175</v>
      </c>
      <c r="E13" s="11">
        <f ca="1">IFERROR(__xludf.DUMMYFUNCTION("GOOGLEFINANCE(""BOM:""&amp;B13,""PRICE"")"),1306.65)</f>
        <v>1306.6500000000001</v>
      </c>
      <c r="F13" s="20">
        <f ca="1">IFERROR(__xludf.DUMMYFUNCTION("GOOGLEFINANCE(""BOM:""&amp;B13,""MARKETCAP"")/10000000"),528527.3303905)</f>
        <v>528527.33039050002</v>
      </c>
      <c r="G13" s="95">
        <f t="shared" ref="G13:G267" ca="1" si="25">F13/$F$2</f>
        <v>1.3118526090400384E-2</v>
      </c>
      <c r="H13" s="101">
        <v>132248</v>
      </c>
      <c r="I13" s="101">
        <v>122064</v>
      </c>
      <c r="J13" s="101">
        <v>20965</v>
      </c>
      <c r="K13" s="101">
        <v>19712</v>
      </c>
      <c r="L13" s="101">
        <v>45479</v>
      </c>
      <c r="M13" s="101">
        <v>41764</v>
      </c>
      <c r="N13" s="101">
        <v>6666</v>
      </c>
      <c r="O13" s="101">
        <v>6822</v>
      </c>
      <c r="P13" s="13">
        <f t="shared" ref="P13:Q13" si="26">J13/H13</f>
        <v>0.15852791724638557</v>
      </c>
      <c r="Q13" s="13">
        <f t="shared" si="26"/>
        <v>0.16148905492200813</v>
      </c>
      <c r="R13" s="13">
        <f t="shared" si="4"/>
        <v>-2.9611376756225605E-3</v>
      </c>
      <c r="S13" s="13">
        <f t="shared" ref="S13:T13" si="27">N13/L13</f>
        <v>0.14657314364871699</v>
      </c>
      <c r="T13" s="13">
        <f t="shared" si="27"/>
        <v>0.16334642275644096</v>
      </c>
      <c r="U13" s="13">
        <f t="shared" si="6"/>
        <v>-1.6773279107723971E-2</v>
      </c>
      <c r="V13" s="13">
        <f t="shared" si="7"/>
        <v>8.3431642417092666E-2</v>
      </c>
      <c r="W13" s="13">
        <f t="shared" si="8"/>
        <v>6.3565340909090828E-2</v>
      </c>
      <c r="X13" s="13">
        <f t="shared" si="9"/>
        <v>8.8952207642946091E-2</v>
      </c>
      <c r="Y13" s="13">
        <f t="shared" si="10"/>
        <v>-2.2867194371152144E-2</v>
      </c>
    </row>
    <row r="14" spans="1:32" ht="15.75" customHeight="1">
      <c r="A14" s="98" t="s">
        <v>185</v>
      </c>
      <c r="B14" s="99">
        <v>543526</v>
      </c>
      <c r="C14" s="98" t="s">
        <v>172</v>
      </c>
      <c r="D14" s="100" t="s">
        <v>137</v>
      </c>
      <c r="E14" s="11">
        <f ca="1">IFERROR(__xludf.DUMMYFUNCTION("GOOGLEFINANCE(""BOM:""&amp;B14,""PRICE"")"),744)</f>
        <v>744</v>
      </c>
      <c r="F14" s="20">
        <f ca="1">IFERROR(__xludf.DUMMYFUNCTION("GOOGLEFINANCE(""BOM:""&amp;B14,""MARKETCAP"")/10000000"),470959.3356381)</f>
        <v>470959.33563809999</v>
      </c>
      <c r="G14" s="95">
        <f t="shared" ca="1" si="25"/>
        <v>1.1689636423382764E-2</v>
      </c>
      <c r="H14" s="101">
        <v>697403</v>
      </c>
      <c r="I14" s="101">
        <v>645069</v>
      </c>
      <c r="J14" s="101">
        <v>33986</v>
      </c>
      <c r="K14" s="101">
        <v>29282</v>
      </c>
      <c r="L14" s="101">
        <v>234466</v>
      </c>
      <c r="M14" s="101">
        <v>202930</v>
      </c>
      <c r="N14" s="101">
        <v>12930</v>
      </c>
      <c r="O14" s="101">
        <v>11009</v>
      </c>
      <c r="P14" s="13">
        <f t="shared" ref="P14:Q14" si="28">J14/H14</f>
        <v>4.8732225126648439E-2</v>
      </c>
      <c r="Q14" s="13">
        <f t="shared" si="28"/>
        <v>4.5393593553557834E-2</v>
      </c>
      <c r="R14" s="13">
        <f t="shared" si="4"/>
        <v>3.3386315730906044E-3</v>
      </c>
      <c r="S14" s="13">
        <f t="shared" ref="S14:T14" si="29">N14/L14</f>
        <v>5.5146588417936931E-2</v>
      </c>
      <c r="T14" s="13">
        <f t="shared" si="29"/>
        <v>5.4250234070861873E-2</v>
      </c>
      <c r="U14" s="13">
        <f t="shared" si="6"/>
        <v>8.9635434707505818E-4</v>
      </c>
      <c r="V14" s="13">
        <f t="shared" si="7"/>
        <v>8.112930554715847E-2</v>
      </c>
      <c r="W14" s="13">
        <f t="shared" si="8"/>
        <v>0.16064476470186473</v>
      </c>
      <c r="X14" s="13">
        <f t="shared" si="9"/>
        <v>0.15540334105356535</v>
      </c>
      <c r="Y14" s="13">
        <f t="shared" si="10"/>
        <v>0.1744935961486056</v>
      </c>
    </row>
    <row r="15" spans="1:32" ht="15.75" customHeight="1">
      <c r="A15" s="98" t="s">
        <v>186</v>
      </c>
      <c r="B15" s="99">
        <v>532500</v>
      </c>
      <c r="C15" s="98" t="s">
        <v>187</v>
      </c>
      <c r="D15" s="101" t="s">
        <v>76</v>
      </c>
      <c r="E15" s="11">
        <f ca="1">IFERROR(__xludf.DUMMYFUNCTION("GOOGLEFINANCE(""BOM:""&amp;B15,""PRICE"")"),12680.35)</f>
        <v>12680.35</v>
      </c>
      <c r="F15" s="20">
        <f ca="1">IFERROR(__xludf.DUMMYFUNCTION("GOOGLEFINANCE(""BOM:""&amp;B15,""MARKETCAP"")/10000000"),398442.28825)</f>
        <v>398442.28824999998</v>
      </c>
      <c r="G15" s="95">
        <f t="shared" ca="1" si="25"/>
        <v>9.8896977570952244E-3</v>
      </c>
      <c r="H15" s="101">
        <v>130853</v>
      </c>
      <c r="I15" s="101">
        <v>111992</v>
      </c>
      <c r="J15" s="101">
        <v>11020</v>
      </c>
      <c r="K15" s="101">
        <v>10589</v>
      </c>
      <c r="L15" s="101">
        <v>49904</v>
      </c>
      <c r="M15" s="101">
        <v>38764</v>
      </c>
      <c r="N15" s="101">
        <v>3879</v>
      </c>
      <c r="O15" s="101">
        <v>3726</v>
      </c>
      <c r="P15" s="13">
        <f t="shared" ref="P15:Q15" si="30">J15/H15</f>
        <v>8.4216640046464356E-2</v>
      </c>
      <c r="Q15" s="13">
        <f t="shared" si="30"/>
        <v>9.455139652832345E-2</v>
      </c>
      <c r="R15" s="13">
        <f t="shared" si="4"/>
        <v>-1.0334756481859095E-2</v>
      </c>
      <c r="S15" s="13">
        <f t="shared" ref="S15:T15" si="31">N15/L15</f>
        <v>7.7729240141070854E-2</v>
      </c>
      <c r="T15" s="13">
        <f t="shared" si="31"/>
        <v>9.6120111443607464E-2</v>
      </c>
      <c r="U15" s="13">
        <f t="shared" si="6"/>
        <v>-1.839087130253661E-2</v>
      </c>
      <c r="V15" s="13">
        <f t="shared" si="7"/>
        <v>0.16841381527251942</v>
      </c>
      <c r="W15" s="13">
        <f t="shared" si="8"/>
        <v>4.0702615922183494E-2</v>
      </c>
      <c r="X15" s="13">
        <f t="shared" si="9"/>
        <v>0.28738004333918066</v>
      </c>
      <c r="Y15" s="13">
        <f t="shared" si="10"/>
        <v>4.106280193236711E-2</v>
      </c>
    </row>
    <row r="16" spans="1:32" ht="15.75" customHeight="1">
      <c r="A16" s="98" t="s">
        <v>188</v>
      </c>
      <c r="B16" s="99">
        <v>532215</v>
      </c>
      <c r="C16" s="98" t="s">
        <v>172</v>
      </c>
      <c r="D16" s="70" t="s">
        <v>72</v>
      </c>
      <c r="E16" s="11">
        <f ca="1">IFERROR(__xludf.DUMMYFUNCTION("GOOGLEFINANCE(""BOM:""&amp;B16,""PRICE"")"),1244.4)</f>
        <v>1244.4000000000001</v>
      </c>
      <c r="F16" s="20">
        <f ca="1">IFERROR(__xludf.DUMMYFUNCTION("GOOGLEFINANCE(""BOM:""&amp;B16,""MARKETCAP"")/10000000"),385677.5464597)</f>
        <v>385677.54645969998</v>
      </c>
      <c r="G16" s="95">
        <f t="shared" ca="1" si="25"/>
        <v>9.5728653274656135E-3</v>
      </c>
      <c r="H16" s="101">
        <v>121069</v>
      </c>
      <c r="I16" s="101">
        <v>115958</v>
      </c>
      <c r="J16" s="101">
        <v>18862</v>
      </c>
      <c r="K16" s="101">
        <v>20622</v>
      </c>
      <c r="L16" s="101">
        <v>40898</v>
      </c>
      <c r="M16" s="101">
        <v>38959</v>
      </c>
      <c r="N16" s="101">
        <v>7044</v>
      </c>
      <c r="O16" s="101">
        <v>6763</v>
      </c>
      <c r="P16" s="13">
        <f t="shared" ref="P16:Q16" si="32">J16/H16</f>
        <v>0.15579545548406282</v>
      </c>
      <c r="Q16" s="13">
        <f t="shared" si="32"/>
        <v>0.1778402525052174</v>
      </c>
      <c r="R16" s="13">
        <f t="shared" si="4"/>
        <v>-2.2044797021154583E-2</v>
      </c>
      <c r="S16" s="13">
        <f t="shared" ref="S16:T16" si="33">N16/L16</f>
        <v>0.17223336104454987</v>
      </c>
      <c r="T16" s="13">
        <f t="shared" si="33"/>
        <v>0.17359275135398752</v>
      </c>
      <c r="U16" s="13">
        <f t="shared" si="6"/>
        <v>-1.359390309437658E-3</v>
      </c>
      <c r="V16" s="13">
        <f t="shared" si="7"/>
        <v>4.4076303489194446E-2</v>
      </c>
      <c r="W16" s="13">
        <f t="shared" si="8"/>
        <v>-8.5345747260207494E-2</v>
      </c>
      <c r="X16" s="13">
        <f t="shared" si="9"/>
        <v>4.97702713108652E-2</v>
      </c>
      <c r="Y16" s="13">
        <f t="shared" si="10"/>
        <v>4.1549608162058327E-2</v>
      </c>
    </row>
    <row r="17" spans="1:25" ht="15.75" customHeight="1">
      <c r="A17" s="98" t="s">
        <v>189</v>
      </c>
      <c r="B17" s="99">
        <v>524715</v>
      </c>
      <c r="C17" s="98" t="s">
        <v>190</v>
      </c>
      <c r="D17" s="101" t="s">
        <v>100</v>
      </c>
      <c r="E17" s="11">
        <f ca="1">IFERROR(__xludf.DUMMYFUNCTION("GOOGLEFINANCE(""BOM:""&amp;B17,""PRICE"")"),1687.15)</f>
        <v>1687.15</v>
      </c>
      <c r="F17" s="20">
        <f ca="1">IFERROR(__xludf.DUMMYFUNCTION("GOOGLEFINANCE(""BOM:""&amp;B17,""MARKETCAP"")/10000000"),404647.84775)</f>
        <v>404647.84775000002</v>
      </c>
      <c r="G17" s="95">
        <f t="shared" ca="1" si="25"/>
        <v>1.0043725353257819E-2</v>
      </c>
      <c r="H17" s="101">
        <v>43850</v>
      </c>
      <c r="I17" s="101">
        <v>39619</v>
      </c>
      <c r="J17" s="101">
        <v>8765</v>
      </c>
      <c r="K17" s="101">
        <v>8779</v>
      </c>
      <c r="L17" s="101">
        <v>15520</v>
      </c>
      <c r="M17" s="101">
        <v>13675</v>
      </c>
      <c r="N17" s="101">
        <v>3368</v>
      </c>
      <c r="O17" s="101">
        <v>2903</v>
      </c>
      <c r="P17" s="13">
        <f t="shared" ref="P17:Q17" si="34">J17/H17</f>
        <v>0.19988597491448118</v>
      </c>
      <c r="Q17" s="13">
        <f t="shared" si="34"/>
        <v>0.22158560286731113</v>
      </c>
      <c r="R17" s="13">
        <f t="shared" si="4"/>
        <v>-2.1699627952829953E-2</v>
      </c>
      <c r="S17" s="13">
        <f t="shared" ref="S17:T17" si="35">N17/L17</f>
        <v>0.21701030927835052</v>
      </c>
      <c r="T17" s="13">
        <f t="shared" si="35"/>
        <v>0.2122851919561243</v>
      </c>
      <c r="U17" s="13">
        <f t="shared" si="6"/>
        <v>4.7251173222262188E-3</v>
      </c>
      <c r="V17" s="13">
        <f t="shared" si="7"/>
        <v>0.1067921956636968</v>
      </c>
      <c r="W17" s="13">
        <f t="shared" si="8"/>
        <v>-1.5947146599840645E-3</v>
      </c>
      <c r="X17" s="13">
        <f t="shared" si="9"/>
        <v>0.13491773308957944</v>
      </c>
      <c r="Y17" s="13">
        <f t="shared" si="10"/>
        <v>0.16017912504305887</v>
      </c>
    </row>
    <row r="18" spans="1:25" ht="15.75" customHeight="1">
      <c r="A18" s="98" t="s">
        <v>191</v>
      </c>
      <c r="B18" s="99">
        <v>500520</v>
      </c>
      <c r="C18" s="98" t="s">
        <v>187</v>
      </c>
      <c r="D18" s="102" t="s">
        <v>76</v>
      </c>
      <c r="E18" s="11">
        <f ca="1">IFERROR(__xludf.DUMMYFUNCTION("GOOGLEFINANCE(""BOM:""&amp;B18,""PRICE"")"),3014.5)</f>
        <v>3014.5</v>
      </c>
      <c r="F18" s="20">
        <f ca="1">IFERROR(__xludf.DUMMYFUNCTION("GOOGLEFINANCE(""BOM:""&amp;B18,""MARKETCAP"")/10000000"),361894.3008433)</f>
        <v>361894.30084330001</v>
      </c>
      <c r="G18" s="95">
        <f t="shared" ca="1" si="25"/>
        <v>8.9825436729494262E-3</v>
      </c>
      <c r="H18" s="101">
        <v>143664</v>
      </c>
      <c r="I18" s="101">
        <v>116611</v>
      </c>
      <c r="J18" s="101">
        <v>13362</v>
      </c>
      <c r="K18" s="101">
        <v>10531</v>
      </c>
      <c r="L18" s="101">
        <v>52100</v>
      </c>
      <c r="M18" s="101">
        <v>41470</v>
      </c>
      <c r="N18" s="101">
        <v>5021</v>
      </c>
      <c r="O18" s="101">
        <v>3624</v>
      </c>
      <c r="P18" s="13">
        <f t="shared" ref="P18:Q18" si="36">J18/H18</f>
        <v>9.3008686936184429E-2</v>
      </c>
      <c r="Q18" s="13">
        <f t="shared" si="36"/>
        <v>9.0308804486712232E-2</v>
      </c>
      <c r="R18" s="13">
        <f t="shared" si="4"/>
        <v>2.6998824494721962E-3</v>
      </c>
      <c r="S18" s="13">
        <f t="shared" ref="S18:T18" si="37">N18/L18</f>
        <v>9.6372360844529756E-2</v>
      </c>
      <c r="T18" s="13">
        <f t="shared" si="37"/>
        <v>8.738847359537015E-2</v>
      </c>
      <c r="U18" s="13">
        <f t="shared" si="6"/>
        <v>8.9838872491596056E-3</v>
      </c>
      <c r="V18" s="13">
        <f t="shared" si="7"/>
        <v>0.23199355120871967</v>
      </c>
      <c r="W18" s="13">
        <f t="shared" si="8"/>
        <v>0.26882537270914453</v>
      </c>
      <c r="X18" s="13">
        <f t="shared" si="9"/>
        <v>0.25632987701953214</v>
      </c>
      <c r="Y18" s="13">
        <f t="shared" si="10"/>
        <v>0.38548565121412803</v>
      </c>
    </row>
    <row r="19" spans="1:25" ht="15.75" customHeight="1">
      <c r="A19" s="98" t="s">
        <v>192</v>
      </c>
      <c r="B19" s="99">
        <v>500875</v>
      </c>
      <c r="C19" s="98" t="s">
        <v>183</v>
      </c>
      <c r="D19" s="101" t="s">
        <v>117</v>
      </c>
      <c r="E19" s="11">
        <f ca="1">IFERROR(__xludf.DUMMYFUNCTION("GOOGLEFINANCE(""BOM:""&amp;B19,""PRICE"")"),293.95)</f>
        <v>293.95</v>
      </c>
      <c r="F19" s="20">
        <f ca="1">IFERROR(__xludf.DUMMYFUNCTION("GOOGLEFINANCE(""BOM:""&amp;B19,""MARKETCAP"")/10000000"),368296.4371944)</f>
        <v>368296.4371944</v>
      </c>
      <c r="G19" s="95">
        <f t="shared" ca="1" si="25"/>
        <v>9.1414504842474379E-3</v>
      </c>
      <c r="H19" s="101">
        <v>66092</v>
      </c>
      <c r="I19" s="101">
        <v>61236</v>
      </c>
      <c r="J19" s="101">
        <v>15548</v>
      </c>
      <c r="K19" s="101">
        <v>15245</v>
      </c>
      <c r="L19" s="101">
        <v>21707</v>
      </c>
      <c r="M19" s="101">
        <v>20350</v>
      </c>
      <c r="N19" s="101">
        <v>5018</v>
      </c>
      <c r="O19" s="101">
        <v>5013</v>
      </c>
      <c r="P19" s="13">
        <f t="shared" ref="P19:Q19" si="38">J19/H19</f>
        <v>0.23524783634933125</v>
      </c>
      <c r="Q19" s="13">
        <f t="shared" si="38"/>
        <v>0.24895486315239401</v>
      </c>
      <c r="R19" s="13">
        <f t="shared" si="4"/>
        <v>-1.3707026803062766E-2</v>
      </c>
      <c r="S19" s="13">
        <f t="shared" ref="S19:T19" si="39">N19/L19</f>
        <v>0.2311696687704427</v>
      </c>
      <c r="T19" s="13">
        <f t="shared" si="39"/>
        <v>0.24633906633906633</v>
      </c>
      <c r="U19" s="13">
        <f t="shared" si="6"/>
        <v>-1.5169397568623622E-2</v>
      </c>
      <c r="V19" s="13">
        <f t="shared" si="7"/>
        <v>7.9299758312104007E-2</v>
      </c>
      <c r="W19" s="13">
        <f t="shared" si="8"/>
        <v>1.9875368973433893E-2</v>
      </c>
      <c r="X19" s="13">
        <f t="shared" si="9"/>
        <v>6.6683046683046587E-2</v>
      </c>
      <c r="Y19" s="13">
        <f t="shared" si="10"/>
        <v>9.974067424696198E-4</v>
      </c>
    </row>
    <row r="20" spans="1:25" ht="15.75" customHeight="1">
      <c r="A20" s="98" t="s">
        <v>193</v>
      </c>
      <c r="B20" s="99">
        <v>500114</v>
      </c>
      <c r="C20" s="98" t="s">
        <v>187</v>
      </c>
      <c r="D20" s="102" t="s">
        <v>70</v>
      </c>
      <c r="E20" s="11">
        <f ca="1">IFERROR(__xludf.DUMMYFUNCTION("GOOGLEFINANCE(""BOM:""&amp;B20,""PRICE"")"),4252.95)</f>
        <v>4252.95</v>
      </c>
      <c r="F20" s="20">
        <f ca="1">IFERROR(__xludf.DUMMYFUNCTION("GOOGLEFINANCE(""BOM:""&amp;B20,""MARKETCAP"")/10000000"),377233.7295291)</f>
        <v>377233.7295291</v>
      </c>
      <c r="G20" s="95">
        <f t="shared" ca="1" si="25"/>
        <v>9.3632821586542708E-3</v>
      </c>
      <c r="H20" s="101">
        <v>56190</v>
      </c>
      <c r="I20" s="101">
        <v>43246</v>
      </c>
      <c r="J20" s="101">
        <v>3895</v>
      </c>
      <c r="K20" s="101">
        <v>2466</v>
      </c>
      <c r="L20" s="101">
        <v>24915</v>
      </c>
      <c r="M20" s="101">
        <v>17550</v>
      </c>
      <c r="N20" s="101">
        <v>1684</v>
      </c>
      <c r="O20" s="101">
        <v>1047</v>
      </c>
      <c r="P20" s="13">
        <f t="shared" ref="P20:Q20" si="40">J20/H20</f>
        <v>6.931838405410215E-2</v>
      </c>
      <c r="Q20" s="13">
        <f t="shared" si="40"/>
        <v>5.702261480830597E-2</v>
      </c>
      <c r="R20" s="13">
        <f t="shared" si="4"/>
        <v>1.229576924579618E-2</v>
      </c>
      <c r="S20" s="13">
        <f t="shared" ref="S20:T20" si="41">N20/L20</f>
        <v>6.7589805338149705E-2</v>
      </c>
      <c r="T20" s="13">
        <f t="shared" si="41"/>
        <v>5.9658119658119659E-2</v>
      </c>
      <c r="U20" s="13">
        <f t="shared" si="6"/>
        <v>7.931685680030047E-3</v>
      </c>
      <c r="V20" s="13">
        <f t="shared" si="7"/>
        <v>0.29931091892891826</v>
      </c>
      <c r="W20" s="13">
        <f t="shared" si="8"/>
        <v>0.57948094079480938</v>
      </c>
      <c r="X20" s="13">
        <f t="shared" si="9"/>
        <v>0.41965811965811972</v>
      </c>
      <c r="Y20" s="13">
        <f t="shared" si="10"/>
        <v>0.60840496657115573</v>
      </c>
    </row>
    <row r="21" spans="1:25" ht="15.75" customHeight="1">
      <c r="A21" s="98" t="s">
        <v>194</v>
      </c>
      <c r="B21" s="99">
        <v>532281</v>
      </c>
      <c r="C21" s="98" t="s">
        <v>174</v>
      </c>
      <c r="D21" s="102" t="s">
        <v>175</v>
      </c>
      <c r="E21" s="11">
        <f ca="1">IFERROR(__xludf.DUMMYFUNCTION("GOOGLEFINANCE(""BOM:""&amp;B21,""PRICE"")"),1404)</f>
        <v>1404</v>
      </c>
      <c r="F21" s="20">
        <f ca="1">IFERROR(__xludf.DUMMYFUNCTION("GOOGLEFINANCE(""BOM:""&amp;B21,""MARKETCAP"")/10000000"),380205.3335104)</f>
        <v>380205.33351040003</v>
      </c>
      <c r="G21" s="95">
        <f t="shared" ca="1" si="25"/>
        <v>9.4370400555831187E-3</v>
      </c>
      <c r="H21" s="101">
        <v>96163</v>
      </c>
      <c r="I21" s="101">
        <v>86809</v>
      </c>
      <c r="J21" s="101">
        <v>12162</v>
      </c>
      <c r="K21" s="101">
        <v>13090</v>
      </c>
      <c r="L21" s="101">
        <v>33872</v>
      </c>
      <c r="M21" s="101">
        <v>29890</v>
      </c>
      <c r="N21" s="101">
        <v>4082</v>
      </c>
      <c r="O21" s="101">
        <v>4594</v>
      </c>
      <c r="P21" s="13">
        <f t="shared" ref="P21:Q21" si="42">J21/H21</f>
        <v>0.12647275979326769</v>
      </c>
      <c r="Q21" s="13">
        <f t="shared" si="42"/>
        <v>0.15079081662039651</v>
      </c>
      <c r="R21" s="13">
        <f t="shared" si="4"/>
        <v>-2.4318056827128814E-2</v>
      </c>
      <c r="S21" s="13">
        <f t="shared" ref="S21:T21" si="43">N21/L21</f>
        <v>0.12051251771374587</v>
      </c>
      <c r="T21" s="13">
        <f t="shared" si="43"/>
        <v>0.15369688859150218</v>
      </c>
      <c r="U21" s="13">
        <f t="shared" si="6"/>
        <v>-3.3184370877756317E-2</v>
      </c>
      <c r="V21" s="13">
        <f t="shared" si="7"/>
        <v>0.10775380432904424</v>
      </c>
      <c r="W21" s="13">
        <f t="shared" si="8"/>
        <v>-7.0893812070282669E-2</v>
      </c>
      <c r="X21" s="13">
        <f t="shared" si="9"/>
        <v>0.1332218133154901</v>
      </c>
      <c r="Y21" s="13">
        <f t="shared" si="10"/>
        <v>-0.11144971702220285</v>
      </c>
    </row>
    <row r="22" spans="1:25" ht="15.75" customHeight="1">
      <c r="A22" s="98" t="s">
        <v>195</v>
      </c>
      <c r="B22" s="99">
        <v>532538</v>
      </c>
      <c r="C22" s="98" t="s">
        <v>196</v>
      </c>
      <c r="D22" s="100" t="s">
        <v>109</v>
      </c>
      <c r="E22" s="11">
        <f ca="1">IFERROR(__xludf.DUMMYFUNCTION("GOOGLEFINANCE(""BOM:""&amp;B22,""PRICE"")"),10902.5)</f>
        <v>10902.5</v>
      </c>
      <c r="F22" s="20">
        <f ca="1">IFERROR(__xludf.DUMMYFUNCTION("GOOGLEFINANCE(""BOM:""&amp;B22,""MARKETCAP"")/10000000"),320580.57024)</f>
        <v>320580.57023999997</v>
      </c>
      <c r="G22" s="95">
        <f t="shared" ca="1" si="25"/>
        <v>7.9570995347802067E-3</v>
      </c>
      <c r="H22" s="101">
        <v>62712</v>
      </c>
      <c r="I22" s="101">
        <v>52892</v>
      </c>
      <c r="J22" s="101">
        <v>5188</v>
      </c>
      <c r="K22" s="101">
        <v>3565</v>
      </c>
      <c r="L22" s="101">
        <v>21830</v>
      </c>
      <c r="M22" s="101">
        <v>17779</v>
      </c>
      <c r="N22" s="101">
        <v>1729</v>
      </c>
      <c r="O22" s="101">
        <v>1363</v>
      </c>
      <c r="P22" s="13">
        <f t="shared" ref="P22:Q22" si="44">J22/H22</f>
        <v>8.2727388697537957E-2</v>
      </c>
      <c r="Q22" s="13">
        <f t="shared" si="44"/>
        <v>6.7401497390909781E-2</v>
      </c>
      <c r="R22" s="13">
        <f t="shared" si="4"/>
        <v>1.5325891306628175E-2</v>
      </c>
      <c r="S22" s="13">
        <f t="shared" ref="S22:T22" si="45">N22/L22</f>
        <v>7.9202931745304628E-2</v>
      </c>
      <c r="T22" s="13">
        <f t="shared" si="45"/>
        <v>7.6663479385792224E-2</v>
      </c>
      <c r="U22" s="13">
        <f t="shared" si="6"/>
        <v>2.5394523595124036E-3</v>
      </c>
      <c r="V22" s="13">
        <f t="shared" si="7"/>
        <v>0.18566134765181874</v>
      </c>
      <c r="W22" s="13">
        <f t="shared" si="8"/>
        <v>0.4552594670406731</v>
      </c>
      <c r="X22" s="13">
        <f t="shared" si="9"/>
        <v>0.22785308510039926</v>
      </c>
      <c r="Y22" s="13">
        <f t="shared" si="10"/>
        <v>0.26852531181217909</v>
      </c>
    </row>
    <row r="23" spans="1:25" ht="15.75" customHeight="1">
      <c r="A23" s="98" t="s">
        <v>197</v>
      </c>
      <c r="B23" s="99">
        <v>532555</v>
      </c>
      <c r="C23" s="98" t="s">
        <v>198</v>
      </c>
      <c r="D23" s="100" t="s">
        <v>199</v>
      </c>
      <c r="E23" s="11">
        <f ca="1">IFERROR(__xludf.DUMMYFUNCTION("GOOGLEFINANCE(""BOM:""&amp;B23,""PRICE"")"),365.45)</f>
        <v>365.45</v>
      </c>
      <c r="F23" s="20">
        <f ca="1">IFERROR(__xludf.DUMMYFUNCTION("GOOGLEFINANCE(""BOM:""&amp;B23,""MARKETCAP"")/10000000"),353993.6294093)</f>
        <v>353993.62940929999</v>
      </c>
      <c r="G23" s="95">
        <f t="shared" ca="1" si="25"/>
        <v>8.7864418663275573E-3</v>
      </c>
      <c r="H23" s="101">
        <v>137697</v>
      </c>
      <c r="I23" s="101">
        <v>138303</v>
      </c>
      <c r="J23" s="101">
        <v>16931</v>
      </c>
      <c r="K23" s="101">
        <v>16056</v>
      </c>
      <c r="L23" s="101">
        <v>45846</v>
      </c>
      <c r="M23" s="101">
        <v>45059</v>
      </c>
      <c r="N23" s="101">
        <v>5597</v>
      </c>
      <c r="O23" s="101">
        <v>5170</v>
      </c>
      <c r="P23" s="13">
        <f t="shared" ref="P23:Q23" si="46">J23/H23</f>
        <v>0.12295837963063828</v>
      </c>
      <c r="Q23" s="13">
        <f t="shared" si="46"/>
        <v>0.11609292640072884</v>
      </c>
      <c r="R23" s="13">
        <f t="shared" si="4"/>
        <v>6.8654532299094462E-3</v>
      </c>
      <c r="S23" s="13">
        <f t="shared" ref="S23:T23" si="47">N23/L23</f>
        <v>0.12208262443833705</v>
      </c>
      <c r="T23" s="13">
        <f t="shared" si="47"/>
        <v>0.11473845402694245</v>
      </c>
      <c r="U23" s="13">
        <f t="shared" si="6"/>
        <v>7.344170411394596E-3</v>
      </c>
      <c r="V23" s="13">
        <f t="shared" si="7"/>
        <v>-4.381683694496874E-3</v>
      </c>
      <c r="W23" s="13">
        <f t="shared" si="8"/>
        <v>5.4496761335326438E-2</v>
      </c>
      <c r="X23" s="13">
        <f t="shared" si="9"/>
        <v>1.7465989036596463E-2</v>
      </c>
      <c r="Y23" s="13">
        <f t="shared" si="10"/>
        <v>8.2591876208897519E-2</v>
      </c>
    </row>
    <row r="24" spans="1:25" ht="15.75" customHeight="1">
      <c r="A24" s="98" t="s">
        <v>200</v>
      </c>
      <c r="B24" s="99">
        <v>500112</v>
      </c>
      <c r="C24" s="98" t="s">
        <v>172</v>
      </c>
      <c r="D24" s="70" t="s">
        <v>107</v>
      </c>
      <c r="E24" s="11">
        <f ca="1">IFERROR(__xludf.DUMMYFUNCTION("GOOGLEFINANCE(""BOM:""&amp;B24,""PRICE"")"),1025.3)</f>
        <v>1025.3</v>
      </c>
      <c r="F24" s="20">
        <f ca="1">IFERROR(__xludf.DUMMYFUNCTION("GOOGLEFINANCE(""BOM:""&amp;B25,""MARKETCAP"")/10000000"),354763.614)</f>
        <v>354763.614</v>
      </c>
      <c r="G24" s="95">
        <f t="shared" ca="1" si="25"/>
        <v>8.8055535798785695E-3</v>
      </c>
      <c r="H24" s="101">
        <v>528538</v>
      </c>
      <c r="I24" s="101">
        <v>483781</v>
      </c>
      <c r="J24" s="101">
        <v>65007</v>
      </c>
      <c r="K24" s="101">
        <v>59076</v>
      </c>
      <c r="L24" s="101">
        <v>185648</v>
      </c>
      <c r="M24" s="101">
        <v>167853</v>
      </c>
      <c r="N24" s="101">
        <v>21876</v>
      </c>
      <c r="O24" s="101">
        <v>19175</v>
      </c>
      <c r="P24" s="13">
        <f t="shared" ref="P24:Q24" si="48">J24/H24</f>
        <v>0.12299399475534399</v>
      </c>
      <c r="Q24" s="13">
        <f t="shared" si="48"/>
        <v>0.12211310489663711</v>
      </c>
      <c r="R24" s="13">
        <f t="shared" si="4"/>
        <v>8.8088985870687919E-4</v>
      </c>
      <c r="S24" s="13">
        <f t="shared" ref="S24:T24" si="49">N24/L24</f>
        <v>0.11783590450745497</v>
      </c>
      <c r="T24" s="13">
        <f t="shared" si="49"/>
        <v>0.11423686201616891</v>
      </c>
      <c r="U24" s="13">
        <f t="shared" si="6"/>
        <v>3.5990424912860641E-3</v>
      </c>
      <c r="V24" s="13">
        <f t="shared" si="7"/>
        <v>9.251500162263504E-2</v>
      </c>
      <c r="W24" s="13">
        <f t="shared" si="8"/>
        <v>0.10039609993906162</v>
      </c>
      <c r="X24" s="13">
        <f t="shared" si="9"/>
        <v>0.10601538250731291</v>
      </c>
      <c r="Y24" s="13">
        <f t="shared" si="10"/>
        <v>0.14086049543676671</v>
      </c>
    </row>
    <row r="25" spans="1:25" ht="15.75" customHeight="1">
      <c r="A25" s="98" t="s">
        <v>201</v>
      </c>
      <c r="B25" s="99">
        <v>500312</v>
      </c>
      <c r="C25" s="98" t="s">
        <v>91</v>
      </c>
      <c r="D25" s="100" t="s">
        <v>202</v>
      </c>
      <c r="E25" s="11">
        <f ca="1">IFERROR(__xludf.DUMMYFUNCTION("GOOGLEFINANCE(""BOM:""&amp;B25,""PRICE"")"),282.05)</f>
        <v>282.05</v>
      </c>
      <c r="F25" s="20">
        <f ca="1">IFERROR(__xludf.DUMMYFUNCTION("GOOGLEFINANCE(""BOM:""&amp;B25,""MARKETCAP"")/10000000"),354763.614)</f>
        <v>354763.614</v>
      </c>
      <c r="G25" s="95">
        <f t="shared" ca="1" si="25"/>
        <v>8.8055535798785695E-3</v>
      </c>
      <c r="H25" s="101">
        <v>488442</v>
      </c>
      <c r="I25" s="101">
        <v>495511</v>
      </c>
      <c r="J25" s="101">
        <v>36115</v>
      </c>
      <c r="K25" s="101">
        <v>29364</v>
      </c>
      <c r="L25" s="101">
        <v>167422</v>
      </c>
      <c r="M25" s="101">
        <v>167212</v>
      </c>
      <c r="N25" s="101">
        <v>11946</v>
      </c>
      <c r="O25" s="101">
        <v>9746</v>
      </c>
      <c r="P25" s="13">
        <f t="shared" ref="P25:Q25" si="50">J25/H25</f>
        <v>7.3939178039562528E-2</v>
      </c>
      <c r="Q25" s="13">
        <f t="shared" si="50"/>
        <v>5.9260036608672663E-2</v>
      </c>
      <c r="R25" s="13">
        <f t="shared" si="4"/>
        <v>1.4679141430889865E-2</v>
      </c>
      <c r="S25" s="13">
        <f t="shared" ref="S25:T25" si="51">N25/L25</f>
        <v>7.1352629881377597E-2</v>
      </c>
      <c r="T25" s="13">
        <f t="shared" si="51"/>
        <v>5.8285290529387843E-2</v>
      </c>
      <c r="U25" s="13">
        <f t="shared" si="6"/>
        <v>1.3067339351989754E-2</v>
      </c>
      <c r="V25" s="13">
        <f t="shared" si="7"/>
        <v>-1.4266080874087539E-2</v>
      </c>
      <c r="W25" s="13">
        <f t="shared" si="8"/>
        <v>0.22990736956817881</v>
      </c>
      <c r="X25" s="13">
        <f t="shared" si="9"/>
        <v>1.2558907255459939E-3</v>
      </c>
      <c r="Y25" s="13">
        <f t="shared" si="10"/>
        <v>0.22573363431151239</v>
      </c>
    </row>
    <row r="26" spans="1:25" ht="15.75" customHeight="1">
      <c r="A26" s="98" t="s">
        <v>203</v>
      </c>
      <c r="B26" s="99">
        <v>500049</v>
      </c>
      <c r="C26" s="98" t="s">
        <v>180</v>
      </c>
      <c r="D26" s="101" t="s">
        <v>204</v>
      </c>
      <c r="E26" s="11">
        <f ca="1">IFERROR(__xludf.DUMMYFUNCTION("GOOGLEFINANCE(""BOM:""&amp;B26,""PRICE"")"),427.5)</f>
        <v>427.5</v>
      </c>
      <c r="F26" s="20">
        <f ca="1">IFERROR(__xludf.DUMMYFUNCTION("GOOGLEFINANCE(""BOM:""&amp;B26,""MARKETCAP"")/10000000"),312383.4100265)</f>
        <v>312383.4100265</v>
      </c>
      <c r="G26" s="95">
        <f t="shared" ca="1" si="25"/>
        <v>7.7536386086469455E-3</v>
      </c>
      <c r="H26" s="101">
        <v>17385</v>
      </c>
      <c r="I26" s="101">
        <v>14619</v>
      </c>
      <c r="J26" s="101">
        <v>3835</v>
      </c>
      <c r="K26" s="101">
        <v>3195</v>
      </c>
      <c r="L26" s="101">
        <v>7153</v>
      </c>
      <c r="M26" s="101">
        <v>5770</v>
      </c>
      <c r="N26" s="101">
        <v>1579</v>
      </c>
      <c r="O26" s="101">
        <v>1311</v>
      </c>
      <c r="P26" s="13">
        <f t="shared" ref="P26:Q26" si="52">J26/H26</f>
        <v>0.22059246476847857</v>
      </c>
      <c r="Q26" s="13">
        <f t="shared" si="52"/>
        <v>0.21855120049250976</v>
      </c>
      <c r="R26" s="13">
        <f t="shared" si="4"/>
        <v>2.0412642759688182E-3</v>
      </c>
      <c r="S26" s="13">
        <f t="shared" ref="S26:T26" si="53">N26/L26</f>
        <v>0.22074653991332308</v>
      </c>
      <c r="T26" s="13">
        <f t="shared" si="53"/>
        <v>0.22720970537261698</v>
      </c>
      <c r="U26" s="13">
        <f t="shared" si="6"/>
        <v>-6.4631654592939014E-3</v>
      </c>
      <c r="V26" s="13">
        <f t="shared" si="7"/>
        <v>0.18920582803201302</v>
      </c>
      <c r="W26" s="13">
        <f t="shared" si="8"/>
        <v>0.20031298904538342</v>
      </c>
      <c r="X26" s="13">
        <f t="shared" si="9"/>
        <v>0.239688041594454</v>
      </c>
      <c r="Y26" s="13">
        <f t="shared" si="10"/>
        <v>0.20442410373760489</v>
      </c>
    </row>
    <row r="27" spans="1:25" ht="15.75" customHeight="1">
      <c r="A27" s="98" t="s">
        <v>205</v>
      </c>
      <c r="B27" s="99">
        <v>532921</v>
      </c>
      <c r="C27" s="98" t="s">
        <v>206</v>
      </c>
      <c r="D27" s="101" t="s">
        <v>207</v>
      </c>
      <c r="E27" s="11">
        <f ca="1">IFERROR(__xludf.DUMMYFUNCTION("GOOGLEFINANCE(""BOM:""&amp;B27,""PRICE"")"),1385.5)</f>
        <v>1385.5</v>
      </c>
      <c r="F27" s="20">
        <f ca="1">IFERROR(__xludf.DUMMYFUNCTION("GOOGLEFINANCE(""BOM:""&amp;B27,""MARKETCAP"")/10000000"),319006.1575151)</f>
        <v>319006.15751510003</v>
      </c>
      <c r="G27" s="95">
        <f t="shared" ca="1" si="25"/>
        <v>7.9180211877940658E-3</v>
      </c>
      <c r="H27" s="101">
        <v>27998</v>
      </c>
      <c r="I27" s="101">
        <v>21987</v>
      </c>
      <c r="J27" s="101">
        <v>9474</v>
      </c>
      <c r="K27" s="101">
        <v>8038</v>
      </c>
      <c r="L27" s="101">
        <v>9705</v>
      </c>
      <c r="M27" s="101">
        <v>7964</v>
      </c>
      <c r="N27" s="101">
        <v>3043</v>
      </c>
      <c r="O27" s="101">
        <v>2518</v>
      </c>
      <c r="P27" s="13">
        <f t="shared" ref="P27:Q27" si="54">J27/H27</f>
        <v>0.33838131295092505</v>
      </c>
      <c r="Q27" s="13">
        <f t="shared" si="54"/>
        <v>0.36557966070860054</v>
      </c>
      <c r="R27" s="13">
        <f t="shared" si="4"/>
        <v>-2.719834775767549E-2</v>
      </c>
      <c r="S27" s="13">
        <f t="shared" ref="S27:T27" si="55">N27/L27</f>
        <v>0.31354971664090675</v>
      </c>
      <c r="T27" s="13">
        <f t="shared" si="55"/>
        <v>0.31617277749874434</v>
      </c>
      <c r="U27" s="13">
        <f t="shared" si="6"/>
        <v>-2.6230608578375891E-3</v>
      </c>
      <c r="V27" s="13">
        <f t="shared" si="7"/>
        <v>0.27338882066675763</v>
      </c>
      <c r="W27" s="13">
        <f t="shared" si="8"/>
        <v>0.17865140582234385</v>
      </c>
      <c r="X27" s="13">
        <f t="shared" si="9"/>
        <v>0.21860873932697134</v>
      </c>
      <c r="Y27" s="13">
        <f t="shared" si="10"/>
        <v>0.20849880857823666</v>
      </c>
    </row>
    <row r="28" spans="1:25" ht="15.75" customHeight="1">
      <c r="A28" s="98" t="s">
        <v>208</v>
      </c>
      <c r="B28" s="99">
        <v>532978</v>
      </c>
      <c r="C28" s="98" t="s">
        <v>172</v>
      </c>
      <c r="D28" s="100" t="s">
        <v>209</v>
      </c>
      <c r="E28" s="11">
        <f ca="1">IFERROR(__xludf.DUMMYFUNCTION("GOOGLEFINANCE(""BOM:""&amp;B28,""PRICE"")"),1668)</f>
        <v>1668</v>
      </c>
      <c r="F28" s="20">
        <f ca="1">IFERROR(__xludf.DUMMYFUNCTION("GOOGLEFINANCE(""BOM:""&amp;B28,""MARKETCAP"")/10000000"),266903.0327668)</f>
        <v>266903.03276680002</v>
      </c>
      <c r="G28" s="95">
        <f t="shared" ca="1" si="25"/>
        <v>6.6247745341215941E-3</v>
      </c>
      <c r="H28" s="101">
        <v>112562</v>
      </c>
      <c r="I28" s="101">
        <v>97226</v>
      </c>
      <c r="J28" s="101">
        <v>14443</v>
      </c>
      <c r="K28" s="101">
        <v>12801</v>
      </c>
      <c r="L28" s="101">
        <v>39708</v>
      </c>
      <c r="M28" s="101">
        <v>32042</v>
      </c>
      <c r="N28" s="101">
        <v>4368</v>
      </c>
      <c r="O28" s="101">
        <v>4412</v>
      </c>
      <c r="P28" s="13">
        <f t="shared" ref="P28:Q28" si="56">J28/H28</f>
        <v>0.12831150832430127</v>
      </c>
      <c r="Q28" s="13">
        <f t="shared" si="56"/>
        <v>0.13166231255014091</v>
      </c>
      <c r="R28" s="13">
        <f t="shared" si="4"/>
        <v>-3.3508042258396376E-3</v>
      </c>
      <c r="S28" s="13">
        <f t="shared" ref="S28:T28" si="57">N28/L28</f>
        <v>0.11000302206104563</v>
      </c>
      <c r="T28" s="13">
        <f t="shared" si="57"/>
        <v>0.1376942762624056</v>
      </c>
      <c r="U28" s="13">
        <f t="shared" si="6"/>
        <v>-2.7691254201359969E-2</v>
      </c>
      <c r="V28" s="13">
        <f t="shared" si="7"/>
        <v>0.15773558513154917</v>
      </c>
      <c r="W28" s="13">
        <f t="shared" si="8"/>
        <v>0.12827122881024922</v>
      </c>
      <c r="X28" s="13">
        <f t="shared" si="9"/>
        <v>0.23924848636165041</v>
      </c>
      <c r="Y28" s="13">
        <f t="shared" si="10"/>
        <v>-9.9728014505893192E-3</v>
      </c>
    </row>
    <row r="29" spans="1:25" ht="15.75" customHeight="1">
      <c r="A29" s="98" t="s">
        <v>210</v>
      </c>
      <c r="B29" s="99">
        <v>500228</v>
      </c>
      <c r="C29" s="98" t="s">
        <v>196</v>
      </c>
      <c r="D29" s="70" t="s">
        <v>211</v>
      </c>
      <c r="E29" s="11">
        <f ca="1">IFERROR(__xludf.DUMMYFUNCTION("GOOGLEFINANCE(""BOM:""&amp;B29,""PRICE"")"),1130.5)</f>
        <v>1130.5</v>
      </c>
      <c r="F29" s="20">
        <f ca="1">IFERROR(__xludf.DUMMYFUNCTION("GOOGLEFINANCE(""BOM:""&amp;B29,""MARKETCAP"")/10000000"),275539.4226)</f>
        <v>275539.42259999999</v>
      </c>
      <c r="G29" s="95">
        <f t="shared" ca="1" si="25"/>
        <v>6.8391375364473079E-3</v>
      </c>
      <c r="H29" s="101">
        <v>134290</v>
      </c>
      <c r="I29" s="101">
        <v>124005</v>
      </c>
      <c r="J29" s="101">
        <v>6265</v>
      </c>
      <c r="K29" s="101">
        <v>1990</v>
      </c>
      <c r="L29" s="101">
        <v>45991</v>
      </c>
      <c r="M29" s="101">
        <v>41378</v>
      </c>
      <c r="N29" s="101">
        <v>2410</v>
      </c>
      <c r="O29" s="101">
        <v>719</v>
      </c>
      <c r="P29" s="13">
        <f t="shared" ref="P29:Q29" si="58">J29/H29</f>
        <v>4.6652766401072306E-2</v>
      </c>
      <c r="Q29" s="13">
        <f t="shared" si="58"/>
        <v>1.6047740010483449E-2</v>
      </c>
      <c r="R29" s="13">
        <f t="shared" si="4"/>
        <v>3.0605026390588857E-2</v>
      </c>
      <c r="S29" s="13">
        <f t="shared" ref="S29:T29" si="59">N29/L29</f>
        <v>5.2401556826335585E-2</v>
      </c>
      <c r="T29" s="13">
        <f t="shared" si="59"/>
        <v>1.7376383585480208E-2</v>
      </c>
      <c r="U29" s="13">
        <f t="shared" si="6"/>
        <v>3.5025173240855377E-2</v>
      </c>
      <c r="V29" s="13">
        <f t="shared" si="7"/>
        <v>8.2940204024031239E-2</v>
      </c>
      <c r="W29" s="13">
        <f t="shared" si="8"/>
        <v>2.1482412060301508</v>
      </c>
      <c r="X29" s="13">
        <f t="shared" si="9"/>
        <v>0.11148436367151637</v>
      </c>
      <c r="Y29" s="13">
        <f t="shared" si="10"/>
        <v>2.3518776077885954</v>
      </c>
    </row>
    <row r="30" spans="1:25" ht="14.4">
      <c r="A30" s="98" t="s">
        <v>212</v>
      </c>
      <c r="B30" s="99">
        <v>532898</v>
      </c>
      <c r="C30" s="98" t="s">
        <v>198</v>
      </c>
      <c r="D30" s="100" t="s">
        <v>213</v>
      </c>
      <c r="E30" s="11">
        <f ca="1">IFERROR(__xludf.DUMMYFUNCTION("GOOGLEFINANCE(""BOM:""&amp;B30,""PRICE"")"),294.2)</f>
        <v>294.2</v>
      </c>
      <c r="F30" s="20">
        <f ca="1">IFERROR(__xludf.DUMMYFUNCTION("GOOGLEFINANCE(""BOM:""&amp;B30,""MARKETCAP"")/10000000"),273809.7466433)</f>
        <v>273809.74664329999</v>
      </c>
      <c r="G30" s="95">
        <f t="shared" ca="1" si="25"/>
        <v>6.7962054157012682E-3</v>
      </c>
      <c r="H30" s="101">
        <v>35067</v>
      </c>
      <c r="I30" s="101">
        <v>33517</v>
      </c>
      <c r="J30" s="101">
        <v>11382</v>
      </c>
      <c r="K30" s="101">
        <v>11379</v>
      </c>
      <c r="L30" s="101">
        <v>12395</v>
      </c>
      <c r="M30" s="101">
        <v>11233</v>
      </c>
      <c r="N30" s="101">
        <v>4185</v>
      </c>
      <c r="O30" s="101">
        <v>3861</v>
      </c>
      <c r="P30" s="13">
        <f t="shared" ref="P30:Q30" si="60">J30/H30</f>
        <v>0.32457866370091537</v>
      </c>
      <c r="Q30" s="13">
        <f t="shared" si="60"/>
        <v>0.33949935853447505</v>
      </c>
      <c r="R30" s="13">
        <f t="shared" si="4"/>
        <v>-1.4920694833559678E-2</v>
      </c>
      <c r="S30" s="13">
        <f t="shared" ref="S30:T30" si="61">N30/L30</f>
        <v>0.33763614360629285</v>
      </c>
      <c r="T30" s="13">
        <f t="shared" si="61"/>
        <v>0.34371939820172703</v>
      </c>
      <c r="U30" s="13">
        <f t="shared" si="6"/>
        <v>-6.0832545954341843E-3</v>
      </c>
      <c r="V30" s="13">
        <f t="shared" si="7"/>
        <v>4.6245189008562892E-2</v>
      </c>
      <c r="W30" s="13">
        <f t="shared" si="8"/>
        <v>2.6364355391517158E-4</v>
      </c>
      <c r="X30" s="13">
        <f t="shared" si="9"/>
        <v>0.10344520608920149</v>
      </c>
      <c r="Y30" s="13">
        <f t="shared" si="10"/>
        <v>8.3916083916083961E-2</v>
      </c>
    </row>
    <row r="31" spans="1:25" ht="14.4">
      <c r="A31" s="98" t="s">
        <v>214</v>
      </c>
      <c r="B31" s="99">
        <v>532977</v>
      </c>
      <c r="C31" s="98" t="s">
        <v>187</v>
      </c>
      <c r="D31" s="102" t="s">
        <v>82</v>
      </c>
      <c r="E31" s="11">
        <f ca="1">IFERROR(__xludf.DUMMYFUNCTION("GOOGLEFINANCE(""BOM:""&amp;B31,""PRICE"")"),8920.15)</f>
        <v>8920.15</v>
      </c>
      <c r="F31" s="20">
        <f ca="1">IFERROR(__xludf.DUMMYFUNCTION("GOOGLEFINANCE(""BOM:""&amp;B31,""MARKETCAP"")/10000000"),249297.312875)</f>
        <v>249297.312875</v>
      </c>
      <c r="G31" s="95">
        <f t="shared" ca="1" si="25"/>
        <v>6.1877846521220855E-3</v>
      </c>
      <c r="H31" s="101">
        <v>45073</v>
      </c>
      <c r="I31" s="101">
        <v>38348</v>
      </c>
      <c r="J31" s="101">
        <v>7082</v>
      </c>
      <c r="K31" s="101">
        <v>5523</v>
      </c>
      <c r="L31" s="101">
        <v>16204</v>
      </c>
      <c r="M31" s="101">
        <v>13169</v>
      </c>
      <c r="N31" s="101">
        <v>2750</v>
      </c>
      <c r="O31" s="101">
        <v>2196</v>
      </c>
      <c r="P31" s="13">
        <f t="shared" ref="P31:Q31" si="62">J31/H31</f>
        <v>0.15712288953475473</v>
      </c>
      <c r="Q31" s="13">
        <f t="shared" si="62"/>
        <v>0.14402315635756754</v>
      </c>
      <c r="R31" s="13">
        <f t="shared" si="4"/>
        <v>1.3099733177187184E-2</v>
      </c>
      <c r="S31" s="13">
        <f t="shared" ref="S31:T31" si="63">N31/L31</f>
        <v>0.1697111824240928</v>
      </c>
      <c r="T31" s="13">
        <f t="shared" si="63"/>
        <v>0.16675525856177387</v>
      </c>
      <c r="U31" s="13">
        <f t="shared" si="6"/>
        <v>2.9559238623189377E-3</v>
      </c>
      <c r="V31" s="13">
        <f t="shared" si="7"/>
        <v>0.1753676854073225</v>
      </c>
      <c r="W31" s="13">
        <f t="shared" si="8"/>
        <v>0.28227412638059035</v>
      </c>
      <c r="X31" s="13">
        <f t="shared" si="9"/>
        <v>0.23046548712886317</v>
      </c>
      <c r="Y31" s="13">
        <f t="shared" si="10"/>
        <v>0.25227686703096541</v>
      </c>
    </row>
    <row r="32" spans="1:25" ht="14.4">
      <c r="A32" s="98" t="s">
        <v>215</v>
      </c>
      <c r="B32" s="99">
        <v>500295</v>
      </c>
      <c r="C32" s="98" t="s">
        <v>196</v>
      </c>
      <c r="D32" s="102" t="s">
        <v>216</v>
      </c>
      <c r="E32" s="11">
        <f ca="1">IFERROR(__xludf.DUMMYFUNCTION("GOOGLEFINANCE(""BOM:""&amp;B32,""PRICE"")"),690.95)</f>
        <v>690.95</v>
      </c>
      <c r="F32" s="20">
        <f ca="1">IFERROR(__xludf.DUMMYFUNCTION("GOOGLEFINANCE(""BOM:""&amp;B32,""MARKETCAP"")/10000000"),269396.5871577)</f>
        <v>269396.58715769998</v>
      </c>
      <c r="G32" s="95">
        <f t="shared" ca="1" si="25"/>
        <v>6.686666808094795E-3</v>
      </c>
      <c r="H32" s="101">
        <v>59900</v>
      </c>
      <c r="I32" s="101">
        <v>50666</v>
      </c>
      <c r="J32" s="101">
        <v>15744</v>
      </c>
      <c r="K32" s="101">
        <v>15574</v>
      </c>
      <c r="L32" s="101">
        <v>23369</v>
      </c>
      <c r="M32" s="101">
        <v>17063</v>
      </c>
      <c r="N32" s="101">
        <v>7807</v>
      </c>
      <c r="O32" s="101">
        <v>4876</v>
      </c>
      <c r="P32" s="13">
        <f t="shared" ref="P32:Q32" si="64">J32/H32</f>
        <v>0.26283806343906513</v>
      </c>
      <c r="Q32" s="13">
        <f t="shared" si="64"/>
        <v>0.307385623495046</v>
      </c>
      <c r="R32" s="13">
        <f t="shared" si="4"/>
        <v>-4.4547560055980873E-2</v>
      </c>
      <c r="S32" s="13">
        <f t="shared" ref="S32:T32" si="65">N32/L32</f>
        <v>0.33407505669904575</v>
      </c>
      <c r="T32" s="13">
        <f t="shared" si="65"/>
        <v>0.28576451972103384</v>
      </c>
      <c r="U32" s="13">
        <f t="shared" si="6"/>
        <v>4.8310536978011909E-2</v>
      </c>
      <c r="V32" s="13">
        <f t="shared" si="7"/>
        <v>0.18225239805786919</v>
      </c>
      <c r="W32" s="13">
        <f t="shared" si="8"/>
        <v>1.0915628611788852E-2</v>
      </c>
      <c r="X32" s="13">
        <f t="shared" si="9"/>
        <v>0.36957158764578324</v>
      </c>
      <c r="Y32" s="13">
        <f t="shared" si="10"/>
        <v>0.60110746513535696</v>
      </c>
    </row>
    <row r="33" spans="1:25" ht="14.4">
      <c r="A33" s="98" t="s">
        <v>217</v>
      </c>
      <c r="B33" s="99">
        <v>512599</v>
      </c>
      <c r="C33" s="98" t="s">
        <v>196</v>
      </c>
      <c r="D33" s="101" t="s">
        <v>218</v>
      </c>
      <c r="E33" s="11">
        <f ca="1">IFERROR(__xludf.DUMMYFUNCTION("GOOGLEFINANCE(""BOM:""&amp;B33,""PRICE"")"),1894.05)</f>
        <v>1894.05</v>
      </c>
      <c r="F33" s="20">
        <f ca="1">IFERROR(__xludf.DUMMYFUNCTION("GOOGLEFINANCE(""BOM:""&amp;B33,""MARKETCAP"")/10000000"),243419.193)</f>
        <v>243419.193</v>
      </c>
      <c r="G33" s="95">
        <f t="shared" ca="1" si="25"/>
        <v>6.0418844034334993E-3</v>
      </c>
      <c r="H33" s="101">
        <v>68029</v>
      </c>
      <c r="I33" s="101">
        <v>70929</v>
      </c>
      <c r="J33" s="101">
        <v>10117</v>
      </c>
      <c r="K33" s="101">
        <v>3990</v>
      </c>
      <c r="L33" s="101">
        <v>24820</v>
      </c>
      <c r="M33" s="101">
        <v>22848</v>
      </c>
      <c r="N33" s="101">
        <v>5727</v>
      </c>
      <c r="O33" s="101">
        <v>229</v>
      </c>
      <c r="P33" s="13">
        <f t="shared" ref="P33:Q33" si="66">J33/H33</f>
        <v>0.14871598876949535</v>
      </c>
      <c r="Q33" s="13">
        <f t="shared" si="66"/>
        <v>5.6253436535126676E-2</v>
      </c>
      <c r="R33" s="13">
        <f t="shared" si="4"/>
        <v>9.2462552234368667E-2</v>
      </c>
      <c r="S33" s="13">
        <f t="shared" ref="S33:T33" si="67">N33/L33</f>
        <v>0.23074133763094279</v>
      </c>
      <c r="T33" s="13">
        <f t="shared" si="67"/>
        <v>1.0022759103641457E-2</v>
      </c>
      <c r="U33" s="13">
        <f t="shared" si="6"/>
        <v>0.22071857852730134</v>
      </c>
      <c r="V33" s="13">
        <f t="shared" si="7"/>
        <v>-4.0885956378914123E-2</v>
      </c>
      <c r="W33" s="13">
        <f t="shared" si="8"/>
        <v>1.5355889724310776</v>
      </c>
      <c r="X33" s="13">
        <f t="shared" si="9"/>
        <v>8.6309523809523725E-2</v>
      </c>
      <c r="Y33" s="13">
        <f t="shared" si="10"/>
        <v>24.008733624454148</v>
      </c>
    </row>
    <row r="34" spans="1:25" ht="14.4">
      <c r="A34" s="98" t="s">
        <v>219</v>
      </c>
      <c r="B34" s="99">
        <v>541154</v>
      </c>
      <c r="C34" s="98" t="s">
        <v>180</v>
      </c>
      <c r="D34" s="102" t="s">
        <v>204</v>
      </c>
      <c r="E34" s="11">
        <f ca="1">IFERROR(__xludf.DUMMYFUNCTION("GOOGLEFINANCE(""BOM:""&amp;B34,""PRICE"")"),3748.8)</f>
        <v>3748.8</v>
      </c>
      <c r="F34" s="20">
        <f ca="1">IFERROR(__xludf.DUMMYFUNCTION("GOOGLEFINANCE(""BOM:""&amp;B34,""MARKETCAP"")/10000000"),250677.760705)</f>
        <v>250677.76070499999</v>
      </c>
      <c r="G34" s="95">
        <f t="shared" ca="1" si="25"/>
        <v>6.222048615086709E-3</v>
      </c>
      <c r="H34" s="101">
        <v>19146</v>
      </c>
      <c r="I34" s="101">
        <v>17281</v>
      </c>
      <c r="J34" s="101">
        <v>4919</v>
      </c>
      <c r="K34" s="101">
        <v>4387</v>
      </c>
      <c r="L34" s="101">
        <v>7698</v>
      </c>
      <c r="M34" s="101">
        <v>6957</v>
      </c>
      <c r="N34" s="101">
        <v>1866</v>
      </c>
      <c r="O34" s="101">
        <v>1439</v>
      </c>
      <c r="P34" s="13">
        <f t="shared" ref="P34:Q34" si="68">J34/H34</f>
        <v>0.25692050558863472</v>
      </c>
      <c r="Q34" s="13">
        <f t="shared" si="68"/>
        <v>0.25386262369075863</v>
      </c>
      <c r="R34" s="13">
        <f t="shared" si="4"/>
        <v>3.0578818978760913E-3</v>
      </c>
      <c r="S34" s="13">
        <f t="shared" ref="S34:T34" si="69">N34/L34</f>
        <v>0.24240062353858144</v>
      </c>
      <c r="T34" s="13">
        <f t="shared" si="69"/>
        <v>0.20684202961046427</v>
      </c>
      <c r="U34" s="13">
        <f t="shared" si="6"/>
        <v>3.5558593928117166E-2</v>
      </c>
      <c r="V34" s="13">
        <f t="shared" si="7"/>
        <v>0.1079219952549042</v>
      </c>
      <c r="W34" s="13">
        <f t="shared" si="8"/>
        <v>0.12126738089810796</v>
      </c>
      <c r="X34" s="13">
        <f t="shared" si="9"/>
        <v>0.10651142733937036</v>
      </c>
      <c r="Y34" s="13">
        <f t="shared" si="10"/>
        <v>0.29673384294649052</v>
      </c>
    </row>
    <row r="35" spans="1:25" ht="14.4">
      <c r="A35" s="98" t="s">
        <v>220</v>
      </c>
      <c r="B35" s="99">
        <v>500470</v>
      </c>
      <c r="C35" s="98" t="s">
        <v>196</v>
      </c>
      <c r="D35" s="100" t="s">
        <v>211</v>
      </c>
      <c r="E35" s="11">
        <f ca="1">IFERROR(__xludf.DUMMYFUNCTION("GOOGLEFINANCE(""BOM:""&amp;B35,""PRICE"")"),196)</f>
        <v>196</v>
      </c>
      <c r="F35" s="20">
        <f ca="1">IFERROR(__xludf.DUMMYFUNCTION("GOOGLEFINANCE(""BOM:""&amp;B35,""MARKETCAP"")/10000000"),244482.0169828)</f>
        <v>244482.01698280001</v>
      </c>
      <c r="G35" s="95">
        <f t="shared" ca="1" si="25"/>
        <v>6.0682646554018581E-3</v>
      </c>
      <c r="H35" s="101">
        <v>168869</v>
      </c>
      <c r="I35" s="101">
        <v>162324</v>
      </c>
      <c r="J35" s="101">
        <v>7921</v>
      </c>
      <c r="K35" s="101">
        <v>1973</v>
      </c>
      <c r="L35" s="101">
        <v>57002</v>
      </c>
      <c r="M35" s="101">
        <v>53648</v>
      </c>
      <c r="N35" s="101">
        <v>2730</v>
      </c>
      <c r="O35" s="101">
        <v>295</v>
      </c>
      <c r="P35" s="13">
        <f t="shared" ref="P35:Q35" si="70">J35/H35</f>
        <v>4.6906181714820361E-2</v>
      </c>
      <c r="Q35" s="13">
        <f t="shared" si="70"/>
        <v>1.2154702939799414E-2</v>
      </c>
      <c r="R35" s="13">
        <f t="shared" si="4"/>
        <v>3.4751478775020946E-2</v>
      </c>
      <c r="S35" s="13">
        <f t="shared" ref="S35:T35" si="71">N35/L35</f>
        <v>4.7893056383986526E-2</v>
      </c>
      <c r="T35" s="13">
        <f t="shared" si="71"/>
        <v>5.4988070384730092E-3</v>
      </c>
      <c r="U35" s="13">
        <f t="shared" si="6"/>
        <v>4.2394249345513516E-2</v>
      </c>
      <c r="V35" s="13">
        <f t="shared" si="7"/>
        <v>4.0320593381139025E-2</v>
      </c>
      <c r="W35" s="13">
        <f t="shared" si="8"/>
        <v>3.0146984287886465</v>
      </c>
      <c r="X35" s="13">
        <f t="shared" si="9"/>
        <v>6.2518640023859318E-2</v>
      </c>
      <c r="Y35" s="13">
        <f t="shared" si="10"/>
        <v>8.2542372881355934</v>
      </c>
    </row>
    <row r="36" spans="1:25" ht="14.4">
      <c r="A36" s="98" t="s">
        <v>221</v>
      </c>
      <c r="B36" s="99">
        <v>533278</v>
      </c>
      <c r="C36" s="98" t="s">
        <v>91</v>
      </c>
      <c r="D36" s="102" t="s">
        <v>222</v>
      </c>
      <c r="E36" s="11">
        <f ca="1">IFERROR(__xludf.DUMMYFUNCTION("GOOGLEFINANCE(""BOM:""&amp;B36,""PRICE"")"),458.75)</f>
        <v>458.75</v>
      </c>
      <c r="F36" s="20">
        <f ca="1">IFERROR(__xludf.DUMMYFUNCTION("GOOGLEFINANCE(""BOM:""&amp;B36,""MARKETCAP"")/10000000"),282684.3408828)</f>
        <v>282684.3408828</v>
      </c>
      <c r="G36" s="95">
        <f t="shared" ca="1" si="25"/>
        <v>7.0164808667107365E-3</v>
      </c>
      <c r="H36" s="101">
        <v>100953</v>
      </c>
      <c r="I36" s="101">
        <v>105544</v>
      </c>
      <c r="J36" s="101">
        <v>20163</v>
      </c>
      <c r="K36" s="101">
        <v>25710</v>
      </c>
      <c r="L36" s="101">
        <v>34924</v>
      </c>
      <c r="M36" s="101">
        <v>36857</v>
      </c>
      <c r="N36" s="101">
        <v>7166</v>
      </c>
      <c r="O36" s="101">
        <v>8491</v>
      </c>
      <c r="P36" s="13">
        <f t="shared" ref="P36:Q36" si="72">J36/H36</f>
        <v>0.19972660545006091</v>
      </c>
      <c r="Q36" s="13">
        <f t="shared" si="72"/>
        <v>0.24359508830440385</v>
      </c>
      <c r="R36" s="13">
        <f t="shared" si="4"/>
        <v>-4.3868482854342944E-2</v>
      </c>
      <c r="S36" s="13">
        <f t="shared" ref="S36:T36" si="73">N36/L36</f>
        <v>0.20518840911693964</v>
      </c>
      <c r="T36" s="13">
        <f t="shared" si="73"/>
        <v>0.23037686192582141</v>
      </c>
      <c r="U36" s="13">
        <f t="shared" si="6"/>
        <v>-2.5188452808881767E-2</v>
      </c>
      <c r="V36" s="13">
        <f t="shared" si="7"/>
        <v>-4.3498446145683323E-2</v>
      </c>
      <c r="W36" s="13">
        <f t="shared" si="8"/>
        <v>-0.2157526254375729</v>
      </c>
      <c r="X36" s="13">
        <f t="shared" si="9"/>
        <v>-5.2445939712944645E-2</v>
      </c>
      <c r="Y36" s="13">
        <f t="shared" si="10"/>
        <v>-0.15604757979036632</v>
      </c>
    </row>
    <row r="37" spans="1:25" ht="14.4">
      <c r="A37" s="98" t="s">
        <v>223</v>
      </c>
      <c r="B37" s="99">
        <v>500188</v>
      </c>
      <c r="C37" s="98" t="s">
        <v>196</v>
      </c>
      <c r="D37" s="102" t="s">
        <v>224</v>
      </c>
      <c r="E37" s="11">
        <f ca="1">IFERROR(__xludf.DUMMYFUNCTION("GOOGLEFINANCE(""BOM:""&amp;B37,""PRICE"")"),524.65)</f>
        <v>524.65</v>
      </c>
      <c r="F37" s="20">
        <f ca="1">IFERROR(__xludf.DUMMYFUNCTION("GOOGLEFINANCE(""BOM:""&amp;B37,""MARKETCAP"")/10000000"),221702.4406178)</f>
        <v>221702.44061779999</v>
      </c>
      <c r="G37" s="95">
        <f t="shared" ca="1" si="25"/>
        <v>5.502854978949122E-3</v>
      </c>
      <c r="H37" s="101">
        <v>27300</v>
      </c>
      <c r="I37" s="101">
        <v>24996</v>
      </c>
      <c r="J37" s="101">
        <v>8799</v>
      </c>
      <c r="K37" s="101">
        <v>7350</v>
      </c>
      <c r="L37" s="101">
        <v>10980</v>
      </c>
      <c r="M37" s="101">
        <v>8614</v>
      </c>
      <c r="N37" s="101">
        <v>3916</v>
      </c>
      <c r="O37" s="101">
        <v>2678</v>
      </c>
      <c r="P37" s="13">
        <f t="shared" ref="P37:Q37" si="74">J37/H37</f>
        <v>0.3223076923076923</v>
      </c>
      <c r="Q37" s="13">
        <f t="shared" si="74"/>
        <v>0.29404704752760441</v>
      </c>
      <c r="R37" s="13">
        <f t="shared" si="4"/>
        <v>2.8260644780087885E-2</v>
      </c>
      <c r="S37" s="13">
        <f t="shared" ref="S37:T37" si="75">N37/L37</f>
        <v>0.35664845173041893</v>
      </c>
      <c r="T37" s="13">
        <f t="shared" si="75"/>
        <v>0.31088925005804502</v>
      </c>
      <c r="U37" s="13">
        <f t="shared" si="6"/>
        <v>4.5759201672373906E-2</v>
      </c>
      <c r="V37" s="13">
        <f t="shared" si="7"/>
        <v>9.2174747959673509E-2</v>
      </c>
      <c r="W37" s="13">
        <f t="shared" si="8"/>
        <v>0.19714285714285706</v>
      </c>
      <c r="X37" s="13">
        <f t="shared" si="9"/>
        <v>0.274669143255166</v>
      </c>
      <c r="Y37" s="13">
        <f t="shared" si="10"/>
        <v>0.46228528752800591</v>
      </c>
    </row>
    <row r="38" spans="1:25" ht="14.4">
      <c r="A38" s="98" t="s">
        <v>225</v>
      </c>
      <c r="B38" s="99">
        <v>530965</v>
      </c>
      <c r="C38" s="98" t="s">
        <v>91</v>
      </c>
      <c r="D38" s="102" t="s">
        <v>168</v>
      </c>
      <c r="E38" s="11">
        <f ca="1">IFERROR(__xludf.DUMMYFUNCTION("GOOGLEFINANCE(""BOM:""&amp;B38,""PRICE"")"),133.4)</f>
        <v>133.4</v>
      </c>
      <c r="F38" s="20">
        <f ca="1">IFERROR(__xludf.DUMMYFUNCTION("GOOGLEFINANCE(""BOM:""&amp;B38,""MARKETCAP"")/10000000"),188405.5814943)</f>
        <v>188405.58149429999</v>
      </c>
      <c r="G38" s="95">
        <f t="shared" ca="1" si="25"/>
        <v>4.6763968375748838E-3</v>
      </c>
      <c r="H38" s="101">
        <v>664553</v>
      </c>
      <c r="I38" s="101">
        <v>638002</v>
      </c>
      <c r="J38" s="101">
        <v>28501</v>
      </c>
      <c r="K38" s="101">
        <v>5421</v>
      </c>
      <c r="L38" s="101">
        <v>236257</v>
      </c>
      <c r="M38" s="101">
        <v>219522</v>
      </c>
      <c r="N38" s="101">
        <v>13502</v>
      </c>
      <c r="O38" s="101">
        <v>2147</v>
      </c>
      <c r="P38" s="13">
        <f t="shared" ref="P38:Q38" si="76">J38/H38</f>
        <v>4.2887474738658921E-2</v>
      </c>
      <c r="Q38" s="13">
        <f t="shared" si="76"/>
        <v>8.4968385679041764E-3</v>
      </c>
      <c r="R38" s="13">
        <f t="shared" si="4"/>
        <v>3.4390636170754746E-2</v>
      </c>
      <c r="S38" s="13">
        <f t="shared" ref="S38:T38" si="77">N38/L38</f>
        <v>5.7149629428969298E-2</v>
      </c>
      <c r="T38" s="13">
        <f t="shared" si="77"/>
        <v>9.7803409225499047E-3</v>
      </c>
      <c r="U38" s="13">
        <f t="shared" si="6"/>
        <v>4.7369288506419395E-2</v>
      </c>
      <c r="V38" s="13">
        <f t="shared" si="7"/>
        <v>4.1615857003583168E-2</v>
      </c>
      <c r="W38" s="13">
        <f t="shared" si="8"/>
        <v>4.2575170632724593</v>
      </c>
      <c r="X38" s="13">
        <f t="shared" si="9"/>
        <v>7.62338171117245E-2</v>
      </c>
      <c r="Y38" s="13">
        <f t="shared" si="10"/>
        <v>5.2887750349324643</v>
      </c>
    </row>
    <row r="39" spans="1:25" ht="14.4">
      <c r="A39" s="98" t="s">
        <v>226</v>
      </c>
      <c r="B39" s="99">
        <v>500790</v>
      </c>
      <c r="C39" s="98" t="s">
        <v>183</v>
      </c>
      <c r="D39" s="102" t="s">
        <v>105</v>
      </c>
      <c r="E39" s="11">
        <f ca="1">IFERROR(__xludf.DUMMYFUNCTION("GOOGLEFINANCE(""BOM:""&amp;B39,""PRICE"")"),1212)</f>
        <v>1212</v>
      </c>
      <c r="F39" s="20">
        <f ca="1">IFERROR(__xludf.DUMMYFUNCTION("GOOGLEFINANCE(""BOM:""&amp;B39,""MARKETCAP"")/10000000"),233673.0999355)</f>
        <v>233673.09993550001</v>
      </c>
      <c r="G39" s="95">
        <f t="shared" ca="1" si="25"/>
        <v>5.7999775638162389E-3</v>
      </c>
      <c r="H39" s="101">
        <v>16406</v>
      </c>
      <c r="I39" s="101">
        <v>16697</v>
      </c>
      <c r="J39" s="101">
        <v>2388</v>
      </c>
      <c r="K39" s="101">
        <v>2334</v>
      </c>
      <c r="L39" s="101">
        <v>5667</v>
      </c>
      <c r="M39" s="101">
        <v>4779</v>
      </c>
      <c r="N39" s="101">
        <v>998</v>
      </c>
      <c r="O39" s="101">
        <v>688</v>
      </c>
      <c r="P39" s="13">
        <f t="shared" ref="P39:Q39" si="78">J39/H39</f>
        <v>0.1455565037181519</v>
      </c>
      <c r="Q39" s="13">
        <f t="shared" si="78"/>
        <v>0.13978559022578907</v>
      </c>
      <c r="R39" s="13">
        <f t="shared" si="4"/>
        <v>5.7709134923628336E-3</v>
      </c>
      <c r="S39" s="13">
        <f t="shared" ref="S39:T39" si="79">N39/L39</f>
        <v>0.17610728780659962</v>
      </c>
      <c r="T39" s="13">
        <f t="shared" si="79"/>
        <v>0.14396317221175978</v>
      </c>
      <c r="U39" s="13">
        <f t="shared" si="6"/>
        <v>3.2144115594839845E-2</v>
      </c>
      <c r="V39" s="13">
        <f t="shared" si="7"/>
        <v>-1.7428280529436457E-2</v>
      </c>
      <c r="W39" s="13">
        <f t="shared" si="8"/>
        <v>2.3136246786632286E-2</v>
      </c>
      <c r="X39" s="13">
        <f t="shared" si="9"/>
        <v>0.18581293157564338</v>
      </c>
      <c r="Y39" s="13">
        <f t="shared" si="10"/>
        <v>0.45058139534883712</v>
      </c>
    </row>
    <row r="40" spans="1:25" ht="14.4">
      <c r="A40" s="98" t="s">
        <v>227</v>
      </c>
      <c r="B40" s="99">
        <v>540376</v>
      </c>
      <c r="C40" s="98" t="s">
        <v>187</v>
      </c>
      <c r="D40" s="70" t="s">
        <v>84</v>
      </c>
      <c r="E40" s="11">
        <f ca="1">IFERROR(__xludf.DUMMYFUNCTION("GOOGLEFINANCE(""BOM:""&amp;B40,""PRICE"")"),4545.1)</f>
        <v>4545.1000000000004</v>
      </c>
      <c r="F40" s="20">
        <f ca="1">IFERROR(__xludf.DUMMYFUNCTION("GOOGLEFINANCE(""BOM:""&amp;B40,""MARKETCAP"")/10000000"),296315.4564)</f>
        <v>296315.45640000002</v>
      </c>
      <c r="G40" s="95">
        <f t="shared" ca="1" si="25"/>
        <v>7.3548174753805843E-3</v>
      </c>
      <c r="H40" s="101">
        <v>51136</v>
      </c>
      <c r="I40" s="101">
        <v>44486</v>
      </c>
      <c r="J40" s="101">
        <v>2313</v>
      </c>
      <c r="K40" s="101">
        <v>2157</v>
      </c>
      <c r="L40" s="101">
        <v>18100</v>
      </c>
      <c r="M40" s="101">
        <v>15972</v>
      </c>
      <c r="N40" s="101">
        <v>856</v>
      </c>
      <c r="O40" s="101">
        <v>723</v>
      </c>
      <c r="P40" s="13">
        <f t="shared" ref="P40:Q40" si="80">J40/H40</f>
        <v>4.5232321652065081E-2</v>
      </c>
      <c r="Q40" s="13">
        <f t="shared" si="80"/>
        <v>4.8487164501191386E-2</v>
      </c>
      <c r="R40" s="13">
        <f t="shared" si="4"/>
        <v>-3.2548428491263048E-3</v>
      </c>
      <c r="S40" s="13">
        <f t="shared" ref="S40:T40" si="81">N40/L40</f>
        <v>4.7292817679558008E-2</v>
      </c>
      <c r="T40" s="13">
        <f t="shared" si="81"/>
        <v>4.5266716754320063E-2</v>
      </c>
      <c r="U40" s="13">
        <f t="shared" si="6"/>
        <v>2.0261009252379447E-3</v>
      </c>
      <c r="V40" s="13">
        <f t="shared" si="7"/>
        <v>0.14948523130872626</v>
      </c>
      <c r="W40" s="13">
        <f t="shared" si="8"/>
        <v>7.2322670375521536E-2</v>
      </c>
      <c r="X40" s="13">
        <f t="shared" si="9"/>
        <v>0.13323315802654645</v>
      </c>
      <c r="Y40" s="13">
        <f t="shared" si="10"/>
        <v>0.1839557399723375</v>
      </c>
    </row>
    <row r="41" spans="1:25" ht="14.4">
      <c r="A41" s="98" t="s">
        <v>228</v>
      </c>
      <c r="B41" s="99">
        <v>500820</v>
      </c>
      <c r="C41" s="98" t="s">
        <v>187</v>
      </c>
      <c r="D41" s="100" t="s">
        <v>102</v>
      </c>
      <c r="E41" s="11">
        <f ca="1">IFERROR(__xludf.DUMMYFUNCTION("GOOGLEFINANCE(""BOM:""&amp;B41,""PRICE"")"),2184.6)</f>
        <v>2184.6</v>
      </c>
      <c r="F41" s="20">
        <f ca="1">IFERROR(__xludf.DUMMYFUNCTION("GOOGLEFINANCE(""BOM:""&amp;B41,""MARKETCAP"")/10000000"),209356.97328)</f>
        <v>209356.97328000001</v>
      </c>
      <c r="G41" s="95">
        <f t="shared" ca="1" si="25"/>
        <v>5.1964293202240459E-3</v>
      </c>
      <c r="H41" s="101">
        <v>26288</v>
      </c>
      <c r="I41" s="101">
        <v>25468</v>
      </c>
      <c r="J41" s="101">
        <v>3209</v>
      </c>
      <c r="K41" s="101">
        <v>3009</v>
      </c>
      <c r="L41" s="101">
        <v>8850</v>
      </c>
      <c r="M41" s="101">
        <v>8521</v>
      </c>
      <c r="N41" s="101">
        <v>1074</v>
      </c>
      <c r="O41" s="101">
        <v>1128</v>
      </c>
      <c r="P41" s="13">
        <f t="shared" ref="P41:Q41" si="82">J41/H41</f>
        <v>0.12207090687766281</v>
      </c>
      <c r="Q41" s="13">
        <f t="shared" si="82"/>
        <v>0.11814826448877022</v>
      </c>
      <c r="R41" s="13">
        <f t="shared" si="4"/>
        <v>3.9226423888925888E-3</v>
      </c>
      <c r="S41" s="13">
        <f t="shared" ref="S41:T41" si="83">N41/L41</f>
        <v>0.12135593220338983</v>
      </c>
      <c r="T41" s="13">
        <f t="shared" si="83"/>
        <v>0.13237882877596527</v>
      </c>
      <c r="U41" s="13">
        <f t="shared" si="6"/>
        <v>-1.1022896572575436E-2</v>
      </c>
      <c r="V41" s="13">
        <f t="shared" si="7"/>
        <v>3.2197267158787568E-2</v>
      </c>
      <c r="W41" s="13">
        <f t="shared" si="8"/>
        <v>6.6467264872050569E-2</v>
      </c>
      <c r="X41" s="13">
        <f t="shared" si="9"/>
        <v>3.8610491726323248E-2</v>
      </c>
      <c r="Y41" s="13">
        <f t="shared" si="10"/>
        <v>-4.7872340425531901E-2</v>
      </c>
    </row>
    <row r="42" spans="1:25" ht="14.4">
      <c r="A42" s="98" t="s">
        <v>229</v>
      </c>
      <c r="B42" s="99">
        <v>543320</v>
      </c>
      <c r="C42" s="98" t="s">
        <v>187</v>
      </c>
      <c r="D42" s="102" t="s">
        <v>120</v>
      </c>
      <c r="E42" s="11">
        <f ca="1">IFERROR(__xludf.DUMMYFUNCTION("GOOGLEFINANCE(""BOM:""&amp;B42,""PRICE"")"),232.7)</f>
        <v>232.7</v>
      </c>
      <c r="F42" s="20">
        <f ca="1">IFERROR(__xludf.DUMMYFUNCTION("GOOGLEFINANCE(""BOM:""&amp;B42,""MARKETCAP"")/10000000"),212021.45299)</f>
        <v>212021.45298999999</v>
      </c>
      <c r="G42" s="95">
        <f t="shared" ca="1" si="25"/>
        <v>5.2625641151213161E-3</v>
      </c>
      <c r="H42" s="101">
        <v>37072</v>
      </c>
      <c r="I42" s="101">
        <v>14410</v>
      </c>
      <c r="J42" s="101">
        <v>192</v>
      </c>
      <c r="K42" s="101">
        <v>488</v>
      </c>
      <c r="L42" s="101">
        <v>16315</v>
      </c>
      <c r="M42" s="101">
        <v>5405</v>
      </c>
      <c r="N42" s="101">
        <v>102</v>
      </c>
      <c r="O42" s="101">
        <v>59</v>
      </c>
      <c r="P42" s="13">
        <f t="shared" ref="P42:Q42" si="84">J42/H42</f>
        <v>5.1791109192921882E-3</v>
      </c>
      <c r="Q42" s="13">
        <f t="shared" si="84"/>
        <v>3.3865371269951421E-2</v>
      </c>
      <c r="R42" s="13">
        <f t="shared" si="4"/>
        <v>-2.8686260350659232E-2</v>
      </c>
      <c r="S42" s="13">
        <f t="shared" ref="S42:T42" si="85">N42/L42</f>
        <v>6.251915415262029E-3</v>
      </c>
      <c r="T42" s="13">
        <f t="shared" si="85"/>
        <v>1.091581868640148E-2</v>
      </c>
      <c r="U42" s="13">
        <f t="shared" si="6"/>
        <v>-4.6639032711394508E-3</v>
      </c>
      <c r="V42" s="13">
        <f t="shared" si="7"/>
        <v>1.5726578764746701</v>
      </c>
      <c r="W42" s="13">
        <f t="shared" si="8"/>
        <v>-0.60655737704918034</v>
      </c>
      <c r="X42" s="13">
        <f t="shared" si="9"/>
        <v>2.0185013876040703</v>
      </c>
      <c r="Y42" s="13">
        <f t="shared" si="10"/>
        <v>0.72881355932203395</v>
      </c>
    </row>
    <row r="43" spans="1:25" ht="14.4">
      <c r="A43" s="98" t="s">
        <v>230</v>
      </c>
      <c r="B43" s="99">
        <v>505200</v>
      </c>
      <c r="C43" s="98" t="s">
        <v>187</v>
      </c>
      <c r="D43" s="102" t="s">
        <v>82</v>
      </c>
      <c r="E43" s="11">
        <f ca="1">IFERROR(__xludf.DUMMYFUNCTION("GOOGLEFINANCE(""BOM:""&amp;B43,""PRICE"")"),6608.7)</f>
        <v>6608.7</v>
      </c>
      <c r="F43" s="20">
        <f ca="1">IFERROR(__xludf.DUMMYFUNCTION("GOOGLEFINANCE(""BOM:""&amp;B43,""MARKETCAP"")/10000000"),180967.6487267)</f>
        <v>180967.64872669999</v>
      </c>
      <c r="G43" s="95">
        <f t="shared" ca="1" si="25"/>
        <v>4.4917806229350238E-3</v>
      </c>
      <c r="H43" s="101">
        <v>17327</v>
      </c>
      <c r="I43" s="101">
        <v>13629</v>
      </c>
      <c r="J43" s="101">
        <v>3995</v>
      </c>
      <c r="K43" s="101">
        <v>3372</v>
      </c>
      <c r="L43" s="101">
        <v>6114</v>
      </c>
      <c r="M43" s="101">
        <v>4973</v>
      </c>
      <c r="N43" s="101">
        <v>1421</v>
      </c>
      <c r="O43" s="101">
        <v>1170</v>
      </c>
      <c r="P43" s="13">
        <f t="shared" ref="P43:Q43" si="86">J43/H43</f>
        <v>0.23056501413978184</v>
      </c>
      <c r="Q43" s="13">
        <f t="shared" si="86"/>
        <v>0.24741360334580673</v>
      </c>
      <c r="R43" s="13">
        <f t="shared" si="4"/>
        <v>-1.6848589206024889E-2</v>
      </c>
      <c r="S43" s="13">
        <f t="shared" ref="S43:T43" si="87">N43/L43</f>
        <v>0.23241740268236832</v>
      </c>
      <c r="T43" s="13">
        <f t="shared" si="87"/>
        <v>0.23527046048662778</v>
      </c>
      <c r="U43" s="13">
        <f t="shared" si="6"/>
        <v>-2.8530578042594568E-3</v>
      </c>
      <c r="V43" s="13">
        <f t="shared" si="7"/>
        <v>0.27133318658742378</v>
      </c>
      <c r="W43" s="13">
        <f t="shared" si="8"/>
        <v>0.18475682087781742</v>
      </c>
      <c r="X43" s="13">
        <f t="shared" si="9"/>
        <v>0.22943897044037809</v>
      </c>
      <c r="Y43" s="13">
        <f t="shared" si="10"/>
        <v>0.21452991452991443</v>
      </c>
    </row>
    <row r="44" spans="1:25" ht="14.4">
      <c r="A44" s="98" t="s">
        <v>231</v>
      </c>
      <c r="B44" s="99">
        <v>500440</v>
      </c>
      <c r="C44" s="98" t="s">
        <v>196</v>
      </c>
      <c r="D44" s="102" t="s">
        <v>232</v>
      </c>
      <c r="E44" s="11">
        <f ca="1">IFERROR(__xludf.DUMMYFUNCTION("GOOGLEFINANCE(""BOM:""&amp;B44,""PRICE"")"),930.25)</f>
        <v>930.25</v>
      </c>
      <c r="F44" s="20">
        <f ca="1">IFERROR(__xludf.DUMMYFUNCTION("GOOGLEFINANCE(""BOM:""&amp;B44,""MARKETCAP"")/10000000"),207914.0217086)</f>
        <v>207914.02170859999</v>
      </c>
      <c r="G44" s="95">
        <f t="shared" ca="1" si="25"/>
        <v>5.1606139578990566E-3</v>
      </c>
      <c r="H44" s="101">
        <v>196811</v>
      </c>
      <c r="I44" s="101">
        <v>173606</v>
      </c>
      <c r="J44" s="101">
        <v>10794</v>
      </c>
      <c r="K44" s="101">
        <v>10718</v>
      </c>
      <c r="L44" s="101">
        <v>66521</v>
      </c>
      <c r="M44" s="101">
        <v>58390</v>
      </c>
      <c r="N44" s="101">
        <v>2049</v>
      </c>
      <c r="O44" s="101">
        <v>3735</v>
      </c>
      <c r="P44" s="13">
        <f t="shared" ref="P44:Q44" si="88">J44/H44</f>
        <v>5.4844495480435546E-2</v>
      </c>
      <c r="Q44" s="13">
        <f t="shared" si="88"/>
        <v>6.1737497551927929E-2</v>
      </c>
      <c r="R44" s="13">
        <f t="shared" si="4"/>
        <v>-6.8930020714923837E-3</v>
      </c>
      <c r="S44" s="13">
        <f t="shared" ref="S44:T44" si="89">N44/L44</f>
        <v>3.0802303032125194E-2</v>
      </c>
      <c r="T44" s="13">
        <f t="shared" si="89"/>
        <v>6.396643260832334E-2</v>
      </c>
      <c r="U44" s="13">
        <f t="shared" si="6"/>
        <v>-3.3164129576198145E-2</v>
      </c>
      <c r="V44" s="13">
        <f t="shared" si="7"/>
        <v>0.13366473508980103</v>
      </c>
      <c r="W44" s="13">
        <f t="shared" si="8"/>
        <v>7.0908751632767775E-3</v>
      </c>
      <c r="X44" s="13">
        <f t="shared" si="9"/>
        <v>0.13925329679739673</v>
      </c>
      <c r="Y44" s="13">
        <f t="shared" si="10"/>
        <v>-0.45140562248995986</v>
      </c>
    </row>
    <row r="45" spans="1:25" ht="14.4">
      <c r="A45" s="98" t="s">
        <v>233</v>
      </c>
      <c r="B45" s="99">
        <v>507685</v>
      </c>
      <c r="C45" s="98" t="s">
        <v>174</v>
      </c>
      <c r="D45" s="102" t="s">
        <v>175</v>
      </c>
      <c r="E45" s="11">
        <f ca="1">IFERROR(__xludf.DUMMYFUNCTION("GOOGLEFINANCE(""BOM:""&amp;B45,""PRICE"")"),197.05)</f>
        <v>197.05</v>
      </c>
      <c r="F45" s="20">
        <f ca="1">IFERROR(__xludf.DUMMYFUNCTION("GOOGLEFINANCE(""BOM:""&amp;B45,""MARKETCAP"")/10000000"),206408.007476)</f>
        <v>206408.007476</v>
      </c>
      <c r="G45" s="95">
        <f t="shared" ca="1" si="25"/>
        <v>5.123233323319043E-3</v>
      </c>
      <c r="H45" s="101">
        <v>68387</v>
      </c>
      <c r="I45" s="101">
        <v>66584</v>
      </c>
      <c r="J45" s="101">
        <v>9743</v>
      </c>
      <c r="K45" s="101">
        <v>9629</v>
      </c>
      <c r="L45" s="101">
        <v>23555</v>
      </c>
      <c r="M45" s="101">
        <v>22318</v>
      </c>
      <c r="N45" s="101">
        <v>3145</v>
      </c>
      <c r="O45" s="101">
        <v>3366</v>
      </c>
      <c r="P45" s="13">
        <f t="shared" ref="P45:Q45" si="90">J45/H45</f>
        <v>0.14246859783292146</v>
      </c>
      <c r="Q45" s="13">
        <f t="shared" si="90"/>
        <v>0.14461432175898115</v>
      </c>
      <c r="R45" s="13">
        <f t="shared" si="4"/>
        <v>-2.1457239260596894E-3</v>
      </c>
      <c r="S45" s="13">
        <f t="shared" ref="S45:T45" si="91">N45/L45</f>
        <v>0.13351729993631925</v>
      </c>
      <c r="T45" s="13">
        <f t="shared" si="91"/>
        <v>0.15081996594676941</v>
      </c>
      <c r="U45" s="13">
        <f t="shared" si="6"/>
        <v>-1.7302666010450163E-2</v>
      </c>
      <c r="V45" s="13">
        <f t="shared" si="7"/>
        <v>2.7078577436020712E-2</v>
      </c>
      <c r="W45" s="13">
        <f t="shared" si="8"/>
        <v>1.183923564233047E-2</v>
      </c>
      <c r="X45" s="13">
        <f t="shared" si="9"/>
        <v>5.5426113451026104E-2</v>
      </c>
      <c r="Y45" s="13">
        <f t="shared" si="10"/>
        <v>-6.5656565656565635E-2</v>
      </c>
    </row>
    <row r="46" spans="1:25" ht="14.4">
      <c r="A46" s="98" t="s">
        <v>234</v>
      </c>
      <c r="B46" s="99">
        <v>540719</v>
      </c>
      <c r="C46" s="98" t="s">
        <v>172</v>
      </c>
      <c r="D46" s="101" t="s">
        <v>137</v>
      </c>
      <c r="E46" s="11">
        <f ca="1">IFERROR(__xludf.DUMMYFUNCTION("GOOGLEFINANCE(""BOM:""&amp;B46,""PRICE"")"),1840)</f>
        <v>1840</v>
      </c>
      <c r="F46" s="20">
        <f ca="1">IFERROR(__xludf.DUMMYFUNCTION("GOOGLEFINANCE(""BOM:""&amp;B46,""MARKETCAP"")/10000000"),184335.984)</f>
        <v>184335.984</v>
      </c>
      <c r="G46" s="95">
        <f t="shared" ca="1" si="25"/>
        <v>4.5753857491474268E-3</v>
      </c>
      <c r="H46" s="101">
        <v>107308</v>
      </c>
      <c r="I46" s="101">
        <v>92949</v>
      </c>
      <c r="J46" s="101">
        <v>1665</v>
      </c>
      <c r="K46" s="101">
        <v>1599</v>
      </c>
      <c r="L46" s="101">
        <v>45803</v>
      </c>
      <c r="M46" s="101">
        <v>18542</v>
      </c>
      <c r="N46" s="101">
        <v>576</v>
      </c>
      <c r="O46" s="101">
        <v>550</v>
      </c>
      <c r="P46" s="13">
        <f t="shared" ref="P46:Q46" si="92">J46/H46</f>
        <v>1.551608454169307E-2</v>
      </c>
      <c r="Q46" s="13">
        <f t="shared" si="92"/>
        <v>1.7202982280605492E-2</v>
      </c>
      <c r="R46" s="13">
        <f t="shared" si="4"/>
        <v>-1.6868977389124223E-3</v>
      </c>
      <c r="S46" s="13">
        <f t="shared" ref="S46:T46" si="93">N46/L46</f>
        <v>1.2575595485011899E-2</v>
      </c>
      <c r="T46" s="13">
        <f t="shared" si="93"/>
        <v>2.9662388091899472E-2</v>
      </c>
      <c r="U46" s="13">
        <f t="shared" si="6"/>
        <v>-1.7086792606887571E-2</v>
      </c>
      <c r="V46" s="13">
        <f t="shared" si="7"/>
        <v>0.15448256570807639</v>
      </c>
      <c r="W46" s="13">
        <f t="shared" si="8"/>
        <v>4.1275797373358403E-2</v>
      </c>
      <c r="X46" s="13">
        <f t="shared" si="9"/>
        <v>1.4702297486786753</v>
      </c>
      <c r="Y46" s="13">
        <f t="shared" si="10"/>
        <v>4.7272727272727355E-2</v>
      </c>
    </row>
    <row r="47" spans="1:25" ht="14.4">
      <c r="A47" s="98" t="s">
        <v>235</v>
      </c>
      <c r="B47" s="99">
        <v>511218</v>
      </c>
      <c r="C47" s="98" t="s">
        <v>172</v>
      </c>
      <c r="D47" s="101" t="s">
        <v>178</v>
      </c>
      <c r="E47" s="11">
        <f ca="1">IFERROR(__xludf.DUMMYFUNCTION("GOOGLEFINANCE(""BOM:""&amp;B47,""PRICE"")"),925.7)</f>
        <v>925.7</v>
      </c>
      <c r="F47" s="20">
        <f ca="1">IFERROR(__xludf.DUMMYFUNCTION("GOOGLEFINANCE(""BOM:""&amp;B47,""MARKETCAP"")/10000000"),174204.6909313)</f>
        <v>174204.69093129999</v>
      </c>
      <c r="G47" s="95">
        <f t="shared" ca="1" si="25"/>
        <v>4.3239178972332495E-3</v>
      </c>
      <c r="H47" s="101">
        <v>35660</v>
      </c>
      <c r="I47" s="101">
        <v>30399</v>
      </c>
      <c r="J47" s="101">
        <v>7003</v>
      </c>
      <c r="K47" s="101">
        <v>7432</v>
      </c>
      <c r="L47" s="101">
        <v>12196</v>
      </c>
      <c r="M47" s="101">
        <v>10705</v>
      </c>
      <c r="N47" s="101">
        <v>2529</v>
      </c>
      <c r="O47" s="101">
        <v>3248</v>
      </c>
      <c r="P47" s="13">
        <f t="shared" ref="P47:Q47" si="94">J47/H47</f>
        <v>0.19638250140213123</v>
      </c>
      <c r="Q47" s="13">
        <f t="shared" si="94"/>
        <v>0.24448172637257803</v>
      </c>
      <c r="R47" s="13">
        <f t="shared" si="4"/>
        <v>-4.8099224970446802E-2</v>
      </c>
      <c r="S47" s="13">
        <f t="shared" ref="S47:T47" si="95">N47/L47</f>
        <v>0.20736306985897016</v>
      </c>
      <c r="T47" s="13">
        <f t="shared" si="95"/>
        <v>0.30340962167211583</v>
      </c>
      <c r="U47" s="13">
        <f t="shared" si="6"/>
        <v>-9.604655181314567E-2</v>
      </c>
      <c r="V47" s="13">
        <f t="shared" si="7"/>
        <v>0.17306490345077141</v>
      </c>
      <c r="W47" s="13">
        <f t="shared" si="8"/>
        <v>-5.7723358449946138E-2</v>
      </c>
      <c r="X47" s="13">
        <f t="shared" si="9"/>
        <v>0.13928070994862218</v>
      </c>
      <c r="Y47" s="13">
        <f t="shared" si="10"/>
        <v>-0.22136699507389157</v>
      </c>
    </row>
    <row r="48" spans="1:25" ht="14.4">
      <c r="A48" s="98" t="s">
        <v>236</v>
      </c>
      <c r="B48" s="99">
        <v>500300</v>
      </c>
      <c r="C48" s="98" t="s">
        <v>196</v>
      </c>
      <c r="D48" s="102" t="s">
        <v>109</v>
      </c>
      <c r="E48" s="11">
        <f ca="1">IFERROR(__xludf.DUMMYFUNCTION("GOOGLEFINANCE(""BOM:""&amp;B48,""PRICE"")"),2587.5)</f>
        <v>2587.5</v>
      </c>
      <c r="F48" s="20">
        <f ca="1">IFERROR(__xludf.DUMMYFUNCTION("GOOGLEFINANCE(""BOM:""&amp;B48,""MARKETCAP"")/10000000"),175072.26564)</f>
        <v>175072.26564</v>
      </c>
      <c r="G48" s="95">
        <f t="shared" ca="1" si="25"/>
        <v>4.3454518857273614E-3</v>
      </c>
      <c r="H48" s="101">
        <v>124330</v>
      </c>
      <c r="I48" s="101">
        <v>104211</v>
      </c>
      <c r="J48" s="101">
        <v>6498</v>
      </c>
      <c r="K48" s="101">
        <v>4783</v>
      </c>
      <c r="L48" s="101">
        <v>44312</v>
      </c>
      <c r="M48" s="101">
        <v>35378</v>
      </c>
      <c r="N48" s="101">
        <v>2233</v>
      </c>
      <c r="O48" s="101">
        <v>1734</v>
      </c>
      <c r="P48" s="13">
        <f t="shared" ref="P48:Q48" si="96">J48/H48</f>
        <v>5.226413576771495E-2</v>
      </c>
      <c r="Q48" s="13">
        <f t="shared" si="96"/>
        <v>4.5897266123537825E-2</v>
      </c>
      <c r="R48" s="13">
        <f t="shared" si="4"/>
        <v>6.3668696441771255E-3</v>
      </c>
      <c r="S48" s="13">
        <f t="shared" ref="S48:T48" si="97">N48/L48</f>
        <v>5.039267015706806E-2</v>
      </c>
      <c r="T48" s="13">
        <f t="shared" si="97"/>
        <v>4.9013511221663184E-2</v>
      </c>
      <c r="U48" s="13">
        <f t="shared" si="6"/>
        <v>1.3791589354048769E-3</v>
      </c>
      <c r="V48" s="13">
        <f t="shared" si="7"/>
        <v>0.19306023356459501</v>
      </c>
      <c r="W48" s="13">
        <f t="shared" si="8"/>
        <v>0.35856157223499885</v>
      </c>
      <c r="X48" s="13">
        <f t="shared" si="9"/>
        <v>0.25252982079258302</v>
      </c>
      <c r="Y48" s="13">
        <f t="shared" si="10"/>
        <v>0.28777393310265276</v>
      </c>
    </row>
    <row r="49" spans="1:25" ht="14.4">
      <c r="A49" s="98" t="s">
        <v>237</v>
      </c>
      <c r="B49" s="99">
        <v>532343</v>
      </c>
      <c r="C49" s="98" t="s">
        <v>187</v>
      </c>
      <c r="D49" s="101" t="s">
        <v>82</v>
      </c>
      <c r="E49" s="11">
        <f ca="1">IFERROR(__xludf.DUMMYFUNCTION("GOOGLEFINANCE(""BOM:""&amp;B49,""PRICE"")"),3493.8)</f>
        <v>3493.8</v>
      </c>
      <c r="F49" s="20">
        <f ca="1">IFERROR(__xludf.DUMMYFUNCTION("GOOGLEFINANCE(""BOM:""&amp;B49,""MARKETCAP"")/10000000"),168029.5548311)</f>
        <v>168029.55483109999</v>
      </c>
      <c r="G49" s="95">
        <f t="shared" ca="1" si="25"/>
        <v>4.1706454373542229E-3</v>
      </c>
      <c r="H49" s="101">
        <v>41032</v>
      </c>
      <c r="I49" s="101">
        <v>32685</v>
      </c>
      <c r="J49" s="101">
        <v>2367</v>
      </c>
      <c r="K49" s="101">
        <v>1682</v>
      </c>
      <c r="L49" s="101">
        <v>14745</v>
      </c>
      <c r="M49" s="101">
        <v>11100</v>
      </c>
      <c r="N49" s="101">
        <v>891</v>
      </c>
      <c r="O49" s="101">
        <v>609</v>
      </c>
      <c r="P49" s="13">
        <f t="shared" ref="P49:Q49" si="98">J49/H49</f>
        <v>5.7686683564047575E-2</v>
      </c>
      <c r="Q49" s="13">
        <f t="shared" si="98"/>
        <v>5.1460914792718374E-2</v>
      </c>
      <c r="R49" s="13">
        <f t="shared" si="4"/>
        <v>6.2257687713292015E-3</v>
      </c>
      <c r="S49" s="13">
        <f t="shared" ref="S49:T49" si="99">N49/L49</f>
        <v>6.0427263479145475E-2</v>
      </c>
      <c r="T49" s="13">
        <f t="shared" si="99"/>
        <v>5.4864864864864867E-2</v>
      </c>
      <c r="U49" s="13">
        <f t="shared" si="6"/>
        <v>5.5623986142806087E-3</v>
      </c>
      <c r="V49" s="13">
        <f t="shared" si="7"/>
        <v>0.2553770842894294</v>
      </c>
      <c r="W49" s="13">
        <f t="shared" si="8"/>
        <v>0.40725326991676569</v>
      </c>
      <c r="X49" s="13">
        <f t="shared" si="9"/>
        <v>0.32837837837837847</v>
      </c>
      <c r="Y49" s="13">
        <f t="shared" si="10"/>
        <v>0.46305418719211833</v>
      </c>
    </row>
    <row r="50" spans="1:25" ht="14.4">
      <c r="A50" s="98" t="s">
        <v>238</v>
      </c>
      <c r="B50" s="99">
        <v>539448</v>
      </c>
      <c r="C50" s="98" t="s">
        <v>206</v>
      </c>
      <c r="D50" s="100" t="s">
        <v>135</v>
      </c>
      <c r="E50" s="11">
        <f ca="1">IFERROR(__xludf.DUMMYFUNCTION("GOOGLEFINANCE(""BOM:""&amp;B50,""PRICE"")"),4314.35)</f>
        <v>4314.3500000000004</v>
      </c>
      <c r="F50" s="20">
        <f ca="1">IFERROR(__xludf.DUMMYFUNCTION("GOOGLEFINANCE(""BOM:""&amp;B50,""MARKETCAP"")/10000000"),166730.4242735)</f>
        <v>166730.42427349999</v>
      </c>
      <c r="G50" s="95">
        <f t="shared" ca="1" si="25"/>
        <v>4.1383998425954431E-3</v>
      </c>
      <c r="H50" s="101">
        <v>62523</v>
      </c>
      <c r="I50" s="101">
        <v>58651</v>
      </c>
      <c r="J50" s="101">
        <v>143</v>
      </c>
      <c r="K50" s="101">
        <v>4190</v>
      </c>
      <c r="L50" s="101">
        <v>23471</v>
      </c>
      <c r="M50" s="101">
        <v>22110</v>
      </c>
      <c r="N50" s="101">
        <v>549</v>
      </c>
      <c r="O50" s="101">
        <v>2448</v>
      </c>
      <c r="P50" s="13">
        <f t="shared" ref="P50:Q50" si="100">J50/H50</f>
        <v>2.2871583257361291E-3</v>
      </c>
      <c r="Q50" s="13">
        <f t="shared" si="100"/>
        <v>7.1439532147789461E-2</v>
      </c>
      <c r="R50" s="13">
        <f t="shared" si="4"/>
        <v>-6.9152373822053331E-2</v>
      </c>
      <c r="S50" s="13">
        <f t="shared" ref="S50:T50" si="101">N50/L50</f>
        <v>2.3390567082783007E-2</v>
      </c>
      <c r="T50" s="13">
        <f t="shared" si="101"/>
        <v>0.11071913161465401</v>
      </c>
      <c r="U50" s="13">
        <f t="shared" si="6"/>
        <v>-8.7328564531871003E-2</v>
      </c>
      <c r="V50" s="13">
        <f t="shared" si="7"/>
        <v>6.6017629707933345E-2</v>
      </c>
      <c r="W50" s="13">
        <f t="shared" si="8"/>
        <v>-0.96587112171837708</v>
      </c>
      <c r="X50" s="13">
        <f t="shared" si="9"/>
        <v>6.1555857078245069E-2</v>
      </c>
      <c r="Y50" s="13">
        <f t="shared" si="10"/>
        <v>-0.77573529411764708</v>
      </c>
    </row>
    <row r="51" spans="1:25" ht="14.4">
      <c r="A51" s="98" t="s">
        <v>239</v>
      </c>
      <c r="B51" s="99">
        <v>544274</v>
      </c>
      <c r="C51" s="98" t="s">
        <v>187</v>
      </c>
      <c r="D51" s="101" t="s">
        <v>76</v>
      </c>
      <c r="E51" s="11">
        <f ca="1">IFERROR(__xludf.DUMMYFUNCTION("GOOGLEFINANCE(""BOM:""&amp;B51,""PRICE"")"),1693.95)</f>
        <v>1693.95</v>
      </c>
      <c r="F51" s="20">
        <f ca="1">IFERROR(__xludf.DUMMYFUNCTION("GOOGLEFINANCE(""BOM:""&amp;B51,""MARKETCAP"")/10000000"),137563.1913)</f>
        <v>137563.19130000001</v>
      </c>
      <c r="G51" s="95">
        <f t="shared" ca="1" si="25"/>
        <v>3.4144427551446566E-3</v>
      </c>
      <c r="H51" s="101">
        <v>51847</v>
      </c>
      <c r="I51" s="101">
        <v>51252</v>
      </c>
      <c r="J51" s="101">
        <v>4175</v>
      </c>
      <c r="K51" s="101">
        <v>4025</v>
      </c>
      <c r="L51" s="101">
        <v>17973</v>
      </c>
      <c r="M51" s="101">
        <v>16647</v>
      </c>
      <c r="N51" s="101">
        <v>1234</v>
      </c>
      <c r="O51" s="101">
        <v>1160</v>
      </c>
      <c r="P51" s="13">
        <f t="shared" ref="P51:Q51" si="102">J51/H51</f>
        <v>8.0525392018824624E-2</v>
      </c>
      <c r="Q51" s="13">
        <f t="shared" si="102"/>
        <v>7.8533520643096849E-2</v>
      </c>
      <c r="R51" s="13">
        <f t="shared" si="4"/>
        <v>1.9918713757277745E-3</v>
      </c>
      <c r="S51" s="13">
        <f t="shared" ref="S51:T51" si="103">N51/L51</f>
        <v>6.8658543370611474E-2</v>
      </c>
      <c r="T51" s="13">
        <f t="shared" si="103"/>
        <v>6.968222502553012E-2</v>
      </c>
      <c r="U51" s="13">
        <f t="shared" si="6"/>
        <v>-1.0236816549186456E-3</v>
      </c>
      <c r="V51" s="13">
        <f t="shared" si="7"/>
        <v>1.1609303051588249E-2</v>
      </c>
      <c r="W51" s="13">
        <f t="shared" si="8"/>
        <v>3.7267080745341685E-2</v>
      </c>
      <c r="X51" s="13">
        <f t="shared" si="9"/>
        <v>7.9653991710218142E-2</v>
      </c>
      <c r="Y51" s="13">
        <f t="shared" si="10"/>
        <v>6.3793103448275934E-2</v>
      </c>
    </row>
    <row r="52" spans="1:25" ht="14.4">
      <c r="A52" s="98" t="s">
        <v>240</v>
      </c>
      <c r="B52" s="99">
        <v>532488</v>
      </c>
      <c r="C52" s="98" t="s">
        <v>190</v>
      </c>
      <c r="D52" s="101" t="s">
        <v>100</v>
      </c>
      <c r="E52" s="11">
        <f ca="1">IFERROR(__xludf.DUMMYFUNCTION("GOOGLEFINANCE(""BOM:""&amp;B52,""PRICE"")"),5813.9)</f>
        <v>5813.9</v>
      </c>
      <c r="F52" s="20">
        <f ca="1">IFERROR(__xludf.DUMMYFUNCTION("GOOGLEFINANCE(""BOM:""&amp;B52,""MARKETCAP"")/10000000"),154436.35805)</f>
        <v>154436.35805000001</v>
      </c>
      <c r="G52" s="95">
        <f t="shared" ca="1" si="25"/>
        <v>3.8332500059901466E-3</v>
      </c>
      <c r="H52" s="101">
        <v>7729</v>
      </c>
      <c r="I52" s="101">
        <v>6775</v>
      </c>
      <c r="J52" s="101">
        <v>1817</v>
      </c>
      <c r="K52" s="101">
        <v>1529</v>
      </c>
      <c r="L52" s="101">
        <v>2604</v>
      </c>
      <c r="M52" s="101">
        <v>2319</v>
      </c>
      <c r="N52" s="101">
        <v>583</v>
      </c>
      <c r="O52" s="101">
        <v>589</v>
      </c>
      <c r="P52" s="13">
        <f t="shared" ref="P52:Q52" si="104">J52/H52</f>
        <v>0.2350886272480269</v>
      </c>
      <c r="Q52" s="13">
        <f t="shared" si="104"/>
        <v>0.22568265682656827</v>
      </c>
      <c r="R52" s="13">
        <f t="shared" si="4"/>
        <v>9.4059704214586315E-3</v>
      </c>
      <c r="S52" s="13">
        <f t="shared" ref="S52:T52" si="105">N52/L52</f>
        <v>0.22388632872503841</v>
      </c>
      <c r="T52" s="13">
        <f t="shared" si="105"/>
        <v>0.2539887882708064</v>
      </c>
      <c r="U52" s="13">
        <f t="shared" si="6"/>
        <v>-3.0102459545767984E-2</v>
      </c>
      <c r="V52" s="13">
        <f t="shared" si="7"/>
        <v>0.14081180811808114</v>
      </c>
      <c r="W52" s="13">
        <f t="shared" si="8"/>
        <v>0.18835840418574223</v>
      </c>
      <c r="X52" s="13">
        <f t="shared" si="9"/>
        <v>0.12289780077619672</v>
      </c>
      <c r="Y52" s="13">
        <f t="shared" si="10"/>
        <v>-1.018675721561968E-2</v>
      </c>
    </row>
    <row r="53" spans="1:25" ht="14.4">
      <c r="A53" s="98" t="s">
        <v>241</v>
      </c>
      <c r="B53" s="99">
        <v>532134</v>
      </c>
      <c r="C53" s="98" t="s">
        <v>172</v>
      </c>
      <c r="D53" s="102" t="s">
        <v>107</v>
      </c>
      <c r="E53" s="11">
        <f ca="1">IFERROR(__xludf.DUMMYFUNCTION("GOOGLEFINANCE(""BOM:""&amp;B53,""PRICE"")"),258.5)</f>
        <v>258.5</v>
      </c>
      <c r="F53" s="20">
        <f ca="1">IFERROR(__xludf.DUMMYFUNCTION("GOOGLEFINANCE(""BOM:""&amp;B53,""MARKETCAP"")/10000000"),133555.5742361)</f>
        <v>133555.57423609999</v>
      </c>
      <c r="G53" s="95">
        <f t="shared" ca="1" si="25"/>
        <v>3.3149700770255097E-3</v>
      </c>
      <c r="H53" s="101">
        <v>116837</v>
      </c>
      <c r="I53" s="101">
        <v>112988</v>
      </c>
      <c r="J53" s="101">
        <v>14045</v>
      </c>
      <c r="K53" s="101">
        <v>15296</v>
      </c>
      <c r="L53" s="101">
        <v>39999</v>
      </c>
      <c r="M53" s="101">
        <v>37732</v>
      </c>
      <c r="N53" s="101">
        <v>5442</v>
      </c>
      <c r="O53" s="101">
        <v>5213</v>
      </c>
      <c r="P53" s="13">
        <f t="shared" ref="P53:Q53" si="106">J53/H53</f>
        <v>0.1202102073829352</v>
      </c>
      <c r="Q53" s="13">
        <f t="shared" si="106"/>
        <v>0.13537720819910079</v>
      </c>
      <c r="R53" s="13">
        <f t="shared" si="4"/>
        <v>-1.5167000816165593E-2</v>
      </c>
      <c r="S53" s="13">
        <f t="shared" ref="S53:T53" si="107">N53/L53</f>
        <v>0.13605340133503338</v>
      </c>
      <c r="T53" s="13">
        <f t="shared" si="107"/>
        <v>0.138158592176402</v>
      </c>
      <c r="U53" s="13">
        <f t="shared" si="6"/>
        <v>-2.1051908413686204E-3</v>
      </c>
      <c r="V53" s="13">
        <f t="shared" si="7"/>
        <v>3.4065564484724087E-2</v>
      </c>
      <c r="W53" s="13">
        <f t="shared" si="8"/>
        <v>-8.1786087866108748E-2</v>
      </c>
      <c r="X53" s="13">
        <f t="shared" si="9"/>
        <v>6.0081628326089209E-2</v>
      </c>
      <c r="Y53" s="13">
        <f t="shared" si="10"/>
        <v>4.3928639938614955E-2</v>
      </c>
    </row>
    <row r="54" spans="1:25" ht="14.4">
      <c r="A54" s="98" t="s">
        <v>242</v>
      </c>
      <c r="B54" s="99">
        <v>543940</v>
      </c>
      <c r="C54" s="98" t="s">
        <v>172</v>
      </c>
      <c r="D54" s="102" t="s">
        <v>243</v>
      </c>
      <c r="E54" s="11">
        <f ca="1">IFERROR(__xludf.DUMMYFUNCTION("GOOGLEFINANCE(""BOM:""&amp;B54,""PRICE"")"),233.7)</f>
        <v>233.7</v>
      </c>
      <c r="F54" s="20">
        <f ca="1">IFERROR(__xludf.DUMMYFUNCTION("GOOGLEFINANCE(""BOM:""&amp;B54,""MARKETCAP"")/10000000"),148853.1564962)</f>
        <v>148853.15649620001</v>
      </c>
      <c r="G54" s="95">
        <f t="shared" ca="1" si="25"/>
        <v>3.6946698966183688E-3</v>
      </c>
      <c r="H54" s="101">
        <v>2522</v>
      </c>
      <c r="I54" s="101">
        <v>1560</v>
      </c>
      <c r="J54" s="101">
        <v>1288</v>
      </c>
      <c r="K54" s="101">
        <v>1296</v>
      </c>
      <c r="L54" s="101">
        <v>901</v>
      </c>
      <c r="M54" s="101">
        <v>448</v>
      </c>
      <c r="N54" s="101">
        <v>268</v>
      </c>
      <c r="O54" s="101">
        <v>294</v>
      </c>
      <c r="P54" s="13">
        <f t="shared" ref="P54:Q54" si="108">J54/H54</f>
        <v>0.51070578905630448</v>
      </c>
      <c r="Q54" s="13">
        <f t="shared" si="108"/>
        <v>0.83076923076923082</v>
      </c>
      <c r="R54" s="13">
        <f t="shared" si="4"/>
        <v>-0.32006344171292633</v>
      </c>
      <c r="S54" s="13">
        <f t="shared" ref="S54:T54" si="109">N54/L54</f>
        <v>0.29744728079911209</v>
      </c>
      <c r="T54" s="13">
        <f t="shared" si="109"/>
        <v>0.65625</v>
      </c>
      <c r="U54" s="13">
        <f t="shared" si="6"/>
        <v>-0.35880271920088791</v>
      </c>
      <c r="V54" s="13">
        <f t="shared" si="7"/>
        <v>0.6166666666666667</v>
      </c>
      <c r="W54" s="13">
        <f t="shared" si="8"/>
        <v>-6.1728395061728669E-3</v>
      </c>
      <c r="X54" s="13">
        <f t="shared" si="9"/>
        <v>1.0111607142857144</v>
      </c>
      <c r="Y54" s="13">
        <f t="shared" si="10"/>
        <v>-8.8435374149659851E-2</v>
      </c>
    </row>
    <row r="55" spans="1:25" ht="14.4">
      <c r="A55" s="98" t="s">
        <v>244</v>
      </c>
      <c r="B55" s="99">
        <v>540777</v>
      </c>
      <c r="C55" s="98" t="s">
        <v>172</v>
      </c>
      <c r="D55" s="70" t="s">
        <v>137</v>
      </c>
      <c r="E55" s="11">
        <f ca="1">IFERROR(__xludf.DUMMYFUNCTION("GOOGLEFINANCE(""BOM:""&amp;B55,""PRICE"")"),580.7)</f>
        <v>580.70000000000005</v>
      </c>
      <c r="F55" s="20">
        <f ca="1">IFERROR(__xludf.DUMMYFUNCTION("GOOGLEFINANCE(""BOM:""&amp;B55,""MARKETCAP"")/10000000"),125273.1941633)</f>
        <v>125273.1941633</v>
      </c>
      <c r="G55" s="95">
        <f t="shared" ca="1" si="25"/>
        <v>3.1093939169518927E-3</v>
      </c>
      <c r="H55" s="101">
        <v>78864</v>
      </c>
      <c r="I55" s="101">
        <v>72218</v>
      </c>
      <c r="J55" s="101">
        <v>1414</v>
      </c>
      <c r="K55" s="101">
        <v>1335</v>
      </c>
      <c r="L55" s="101">
        <v>29157</v>
      </c>
      <c r="M55" s="101">
        <v>16979</v>
      </c>
      <c r="N55" s="101">
        <v>418</v>
      </c>
      <c r="O55" s="101">
        <v>421</v>
      </c>
      <c r="P55" s="13">
        <f t="shared" ref="P55:Q55" si="110">J55/H55</f>
        <v>1.7929600324609454E-2</v>
      </c>
      <c r="Q55" s="13">
        <f t="shared" si="110"/>
        <v>1.8485696086848153E-2</v>
      </c>
      <c r="R55" s="13">
        <f t="shared" si="4"/>
        <v>-5.5609576223869875E-4</v>
      </c>
      <c r="S55" s="13">
        <f t="shared" ref="S55:T55" si="111">N55/L55</f>
        <v>1.4336179991082759E-2</v>
      </c>
      <c r="T55" s="13">
        <f t="shared" si="111"/>
        <v>2.4795335414335356E-2</v>
      </c>
      <c r="U55" s="13">
        <f t="shared" si="6"/>
        <v>-1.0459155423252597E-2</v>
      </c>
      <c r="V55" s="13">
        <f t="shared" si="7"/>
        <v>9.2026918496773691E-2</v>
      </c>
      <c r="W55" s="13">
        <f t="shared" si="8"/>
        <v>5.9176029962546783E-2</v>
      </c>
      <c r="X55" s="13">
        <f t="shared" si="9"/>
        <v>0.71723894222274565</v>
      </c>
      <c r="Y55" s="13">
        <f t="shared" si="10"/>
        <v>-7.1258907363420665E-3</v>
      </c>
    </row>
    <row r="56" spans="1:25" ht="14.4">
      <c r="A56" s="98" t="s">
        <v>245</v>
      </c>
      <c r="B56" s="99">
        <v>544658</v>
      </c>
      <c r="C56" s="102" t="s">
        <v>172</v>
      </c>
      <c r="D56" s="102" t="s">
        <v>246</v>
      </c>
      <c r="E56" s="11">
        <f ca="1">IFERROR(__xludf.DUMMYFUNCTION("GOOGLEFINANCE(""BOM:""&amp;B56,""PRICE"")"),2928)</f>
        <v>2928</v>
      </c>
      <c r="F56" s="20">
        <f ca="1">IFERROR(__xludf.DUMMYFUNCTION("GOOGLEFINANCE(""BOM:""&amp;B56,""MARKETCAP"")/10000000"),144744.3624)</f>
        <v>144744.36240000001</v>
      </c>
      <c r="G56" s="95">
        <f t="shared" ca="1" si="25"/>
        <v>3.5926859131008883E-3</v>
      </c>
      <c r="H56" s="101">
        <v>4248</v>
      </c>
      <c r="I56" s="101">
        <v>3414</v>
      </c>
      <c r="J56" s="101">
        <v>2535</v>
      </c>
      <c r="K56" s="101">
        <v>1959</v>
      </c>
      <c r="L56" s="101">
        <v>1515</v>
      </c>
      <c r="M56" s="101">
        <v>1227</v>
      </c>
      <c r="N56" s="101">
        <v>917</v>
      </c>
      <c r="O56" s="101">
        <v>632</v>
      </c>
      <c r="P56" s="13">
        <f t="shared" ref="P56:Q56" si="112">J56/H56</f>
        <v>0.59675141242937857</v>
      </c>
      <c r="Q56" s="13">
        <f t="shared" si="112"/>
        <v>0.57381370826010547</v>
      </c>
      <c r="R56" s="13">
        <f t="shared" si="4"/>
        <v>2.2937704169273099E-2</v>
      </c>
      <c r="S56" s="13">
        <f t="shared" ref="S56:T56" si="113">N56/L56</f>
        <v>0.6052805280528053</v>
      </c>
      <c r="T56" s="13">
        <f t="shared" si="113"/>
        <v>0.51507742461287698</v>
      </c>
      <c r="U56" s="13">
        <f t="shared" si="6"/>
        <v>9.0203103439928323E-2</v>
      </c>
      <c r="V56" s="13">
        <f t="shared" si="7"/>
        <v>0.24428822495606317</v>
      </c>
      <c r="W56" s="13">
        <f t="shared" si="8"/>
        <v>0.29402756508422656</v>
      </c>
      <c r="X56" s="13">
        <f t="shared" si="9"/>
        <v>0.23471882640586794</v>
      </c>
      <c r="Y56" s="13">
        <f t="shared" si="10"/>
        <v>0.45094936708860756</v>
      </c>
    </row>
    <row r="57" spans="1:25" ht="14.4">
      <c r="A57" s="98" t="s">
        <v>247</v>
      </c>
      <c r="B57" s="99">
        <v>532477</v>
      </c>
      <c r="C57" s="98" t="s">
        <v>172</v>
      </c>
      <c r="D57" s="100" t="s">
        <v>107</v>
      </c>
      <c r="E57" s="11">
        <f ca="1">IFERROR(__xludf.DUMMYFUNCTION("GOOGLEFINANCE(""BOM:""&amp;B57,""PRICE"")"),173.7)</f>
        <v>173.7</v>
      </c>
      <c r="F57" s="20">
        <f ca="1">IFERROR(__xludf.DUMMYFUNCTION("GOOGLEFINANCE(""BOM:""&amp;B57,""MARKETCAP"")/10000000"),132638.9851896)</f>
        <v>132638.9851896</v>
      </c>
      <c r="G57" s="95">
        <f t="shared" ca="1" si="25"/>
        <v>3.2922195083618208E-3</v>
      </c>
      <c r="H57" s="101">
        <v>95724</v>
      </c>
      <c r="I57" s="101">
        <v>94571</v>
      </c>
      <c r="J57" s="101">
        <v>13446</v>
      </c>
      <c r="K57" s="101">
        <v>12919</v>
      </c>
      <c r="L57" s="101">
        <v>32001</v>
      </c>
      <c r="M57" s="101">
        <v>31334</v>
      </c>
      <c r="N57" s="101">
        <v>5028</v>
      </c>
      <c r="O57" s="101">
        <v>4597</v>
      </c>
      <c r="P57" s="13">
        <f t="shared" ref="P57:Q57" si="114">J57/H57</f>
        <v>0.1404663407295976</v>
      </c>
      <c r="Q57" s="13">
        <f t="shared" si="114"/>
        <v>0.13660635924331985</v>
      </c>
      <c r="R57" s="13">
        <f t="shared" si="4"/>
        <v>3.8599814862777526E-3</v>
      </c>
      <c r="S57" s="13">
        <f t="shared" ref="S57:T57" si="115">N57/L57</f>
        <v>0.1571200899971876</v>
      </c>
      <c r="T57" s="13">
        <f t="shared" si="115"/>
        <v>0.14670964447564946</v>
      </c>
      <c r="U57" s="13">
        <f t="shared" si="6"/>
        <v>1.0410445521538136E-2</v>
      </c>
      <c r="V57" s="13">
        <f t="shared" si="7"/>
        <v>1.2191898150595959E-2</v>
      </c>
      <c r="W57" s="13">
        <f t="shared" si="8"/>
        <v>4.0792631008591984E-2</v>
      </c>
      <c r="X57" s="13">
        <f t="shared" si="9"/>
        <v>2.1286781132316301E-2</v>
      </c>
      <c r="Y57" s="13">
        <f t="shared" si="10"/>
        <v>9.3756797911681566E-2</v>
      </c>
    </row>
    <row r="58" spans="1:25" ht="14.4">
      <c r="A58" s="98" t="s">
        <v>248</v>
      </c>
      <c r="B58" s="99">
        <v>540180</v>
      </c>
      <c r="C58" s="98" t="s">
        <v>183</v>
      </c>
      <c r="D58" s="102" t="s">
        <v>249</v>
      </c>
      <c r="E58" s="11">
        <f ca="1">IFERROR(__xludf.DUMMYFUNCTION("GOOGLEFINANCE(""BOM:""&amp;B58,""PRICE"")"),401.05)</f>
        <v>401.05</v>
      </c>
      <c r="F58" s="20">
        <f ca="1">IFERROR(__xludf.DUMMYFUNCTION("GOOGLEFINANCE(""BOM:""&amp;B58,""MARKETCAP"")/10000000"),135554.3634714)</f>
        <v>135554.36347139999</v>
      </c>
      <c r="G58" s="95">
        <f t="shared" ca="1" si="25"/>
        <v>3.3645818326051525E-3</v>
      </c>
      <c r="H58" s="101">
        <v>22225</v>
      </c>
      <c r="I58" s="101">
        <v>20481</v>
      </c>
      <c r="J58" s="101">
        <v>195</v>
      </c>
      <c r="K58" s="101">
        <v>3062</v>
      </c>
      <c r="L58" s="101">
        <v>4334</v>
      </c>
      <c r="M58" s="101">
        <v>3817</v>
      </c>
      <c r="N58" s="101">
        <v>260</v>
      </c>
      <c r="O58" s="101">
        <v>195</v>
      </c>
      <c r="P58" s="13">
        <f t="shared" ref="P58:Q58" si="116">J58/H58</f>
        <v>8.7739032620922381E-3</v>
      </c>
      <c r="Q58" s="13">
        <f t="shared" si="116"/>
        <v>0.14950441872955422</v>
      </c>
      <c r="R58" s="13">
        <f t="shared" si="4"/>
        <v>-0.14073051546746199</v>
      </c>
      <c r="S58" s="13">
        <f t="shared" ref="S58:T58" si="117">N58/L58</f>
        <v>5.9990770650669129E-2</v>
      </c>
      <c r="T58" s="13">
        <f t="shared" si="117"/>
        <v>5.1087241288970395E-2</v>
      </c>
      <c r="U58" s="13">
        <f t="shared" si="6"/>
        <v>8.9035293616987338E-3</v>
      </c>
      <c r="V58" s="13">
        <f t="shared" si="7"/>
        <v>8.5152092182998906E-2</v>
      </c>
      <c r="W58" s="13">
        <f t="shared" si="8"/>
        <v>-0.9363161332462443</v>
      </c>
      <c r="X58" s="13">
        <f t="shared" si="9"/>
        <v>0.13544668587896247</v>
      </c>
      <c r="Y58" s="13">
        <f t="shared" si="10"/>
        <v>0.33333333333333326</v>
      </c>
    </row>
    <row r="59" spans="1:25" ht="14.4">
      <c r="A59" s="98" t="s">
        <v>250</v>
      </c>
      <c r="B59" s="99">
        <v>500331</v>
      </c>
      <c r="C59" s="98" t="s">
        <v>196</v>
      </c>
      <c r="D59" s="101" t="s">
        <v>251</v>
      </c>
      <c r="E59" s="11">
        <f ca="1">IFERROR(__xludf.DUMMYFUNCTION("GOOGLEFINANCE(""BOM:""&amp;B59,""PRICE"")"),1282.55)</f>
        <v>1282.55</v>
      </c>
      <c r="F59" s="20">
        <f ca="1">IFERROR(__xludf.DUMMYFUNCTION("GOOGLEFINANCE(""BOM:""&amp;B59,""MARKETCAP"")/10000000"),65258.7757119)</f>
        <v>65258.775711900002</v>
      </c>
      <c r="G59" s="95">
        <f t="shared" ca="1" si="25"/>
        <v>1.6197818023367346E-3</v>
      </c>
      <c r="H59" s="101">
        <v>11017</v>
      </c>
      <c r="I59" s="101">
        <v>9999</v>
      </c>
      <c r="J59" s="101">
        <v>1887</v>
      </c>
      <c r="K59" s="101">
        <v>1669</v>
      </c>
      <c r="L59" s="101">
        <v>3710</v>
      </c>
      <c r="M59" s="101">
        <v>3369</v>
      </c>
      <c r="N59" s="101">
        <v>624</v>
      </c>
      <c r="O59" s="101">
        <v>557</v>
      </c>
      <c r="P59" s="13">
        <f t="shared" ref="P59:Q59" si="118">J59/H59</f>
        <v>0.17128074793500953</v>
      </c>
      <c r="Q59" s="13">
        <f t="shared" si="118"/>
        <v>0.16691669166916692</v>
      </c>
      <c r="R59" s="13">
        <f t="shared" si="4"/>
        <v>4.364056265842603E-3</v>
      </c>
      <c r="S59" s="13">
        <f t="shared" ref="S59:T59" si="119">N59/L59</f>
        <v>0.16819407008086254</v>
      </c>
      <c r="T59" s="13">
        <f t="shared" si="119"/>
        <v>0.16533095874146631</v>
      </c>
      <c r="U59" s="13">
        <f t="shared" si="6"/>
        <v>2.8631113393962349E-3</v>
      </c>
      <c r="V59" s="13">
        <f t="shared" si="7"/>
        <v>0.1018101810181018</v>
      </c>
      <c r="W59" s="13">
        <f t="shared" si="8"/>
        <v>0.13061713600958669</v>
      </c>
      <c r="X59" s="13">
        <f t="shared" si="9"/>
        <v>0.10121697833184928</v>
      </c>
      <c r="Y59" s="13">
        <f t="shared" si="10"/>
        <v>0.12028725314183131</v>
      </c>
    </row>
    <row r="60" spans="1:25" ht="14.4">
      <c r="A60" s="98" t="s">
        <v>252</v>
      </c>
      <c r="B60" s="99">
        <v>500420</v>
      </c>
      <c r="C60" s="98" t="s">
        <v>190</v>
      </c>
      <c r="D60" s="102" t="s">
        <v>100</v>
      </c>
      <c r="E60" s="11">
        <f ca="1">IFERROR(__xludf.DUMMYFUNCTION("GOOGLEFINANCE(""BOM:""&amp;B60,""PRICE"")"),4007.6)</f>
        <v>4007.6</v>
      </c>
      <c r="F60" s="20">
        <f ca="1">IFERROR(__xludf.DUMMYFUNCTION("GOOGLEFINANCE(""BOM:""&amp;B60,""MARKETCAP"")/10000000"),135581.2673)</f>
        <v>135581.26730000001</v>
      </c>
      <c r="G60" s="95">
        <f t="shared" ca="1" si="25"/>
        <v>3.3652496099501011E-3</v>
      </c>
      <c r="H60" s="101">
        <v>9783</v>
      </c>
      <c r="I60" s="101">
        <v>8557</v>
      </c>
      <c r="J60" s="101">
        <v>1774</v>
      </c>
      <c r="K60" s="101">
        <v>1413</v>
      </c>
      <c r="L60" s="101">
        <v>3303</v>
      </c>
      <c r="M60" s="101">
        <v>2809</v>
      </c>
      <c r="N60" s="101">
        <v>635</v>
      </c>
      <c r="O60" s="101">
        <v>503</v>
      </c>
      <c r="P60" s="13">
        <f t="shared" ref="P60:Q60" si="120">J60/H60</f>
        <v>0.18133496882346928</v>
      </c>
      <c r="Q60" s="13">
        <f t="shared" si="120"/>
        <v>0.16512796540843755</v>
      </c>
      <c r="R60" s="13">
        <f t="shared" si="4"/>
        <v>1.6207003415031729E-2</v>
      </c>
      <c r="S60" s="13">
        <f t="shared" ref="S60:T60" si="121">N60/L60</f>
        <v>0.19224947017862548</v>
      </c>
      <c r="T60" s="13">
        <f t="shared" si="121"/>
        <v>0.17906728373086508</v>
      </c>
      <c r="U60" s="13">
        <f t="shared" si="6"/>
        <v>1.3182186447760397E-2</v>
      </c>
      <c r="V60" s="13">
        <f t="shared" si="7"/>
        <v>0.14327451209536046</v>
      </c>
      <c r="W60" s="13">
        <f t="shared" si="8"/>
        <v>0.25548478414720455</v>
      </c>
      <c r="X60" s="13">
        <f t="shared" si="9"/>
        <v>0.17586329654681387</v>
      </c>
      <c r="Y60" s="13">
        <f t="shared" si="10"/>
        <v>0.2624254473161034</v>
      </c>
    </row>
    <row r="61" spans="1:25" ht="14.4">
      <c r="A61" s="98" t="s">
        <v>253</v>
      </c>
      <c r="B61" s="99">
        <v>541450</v>
      </c>
      <c r="C61" s="98" t="s">
        <v>198</v>
      </c>
      <c r="D61" s="101" t="s">
        <v>199</v>
      </c>
      <c r="E61" s="11">
        <f ca="1">IFERROR(__xludf.DUMMYFUNCTION("GOOGLEFINANCE(""BOM:""&amp;B61,""PRICE"")"),925.05)</f>
        <v>925.05</v>
      </c>
      <c r="F61" s="20">
        <f ca="1">IFERROR(__xludf.DUMMYFUNCTION("GOOGLEFINANCE(""BOM:""&amp;B61,""MARKETCAP"")/10000000"),150157.2501545)</f>
        <v>150157.25015450001</v>
      </c>
      <c r="G61" s="95">
        <f t="shared" ca="1" si="25"/>
        <v>3.7270386800228035E-3</v>
      </c>
      <c r="H61" s="101">
        <v>10092</v>
      </c>
      <c r="I61" s="101">
        <v>9144</v>
      </c>
      <c r="J61" s="101">
        <v>1473</v>
      </c>
      <c r="K61" s="101">
        <v>1618</v>
      </c>
      <c r="L61" s="101">
        <v>2837</v>
      </c>
      <c r="M61" s="101">
        <v>2636</v>
      </c>
      <c r="N61" s="101">
        <v>5</v>
      </c>
      <c r="O61" s="101">
        <v>475</v>
      </c>
      <c r="P61" s="13">
        <f t="shared" ref="P61:Q61" si="122">J61/H61</f>
        <v>0.14595719381688466</v>
      </c>
      <c r="Q61" s="13">
        <f t="shared" si="122"/>
        <v>0.17694663167104113</v>
      </c>
      <c r="R61" s="13">
        <f t="shared" si="4"/>
        <v>-3.0989437854156476E-2</v>
      </c>
      <c r="S61" s="13">
        <f t="shared" ref="S61:T61" si="123">N61/L61</f>
        <v>1.7624250969333803E-3</v>
      </c>
      <c r="T61" s="13">
        <f t="shared" si="123"/>
        <v>0.18019726858877086</v>
      </c>
      <c r="U61" s="13">
        <f t="shared" si="6"/>
        <v>-0.17843484349183747</v>
      </c>
      <c r="V61" s="13">
        <f t="shared" si="7"/>
        <v>0.10367454068241466</v>
      </c>
      <c r="W61" s="13">
        <f t="shared" si="8"/>
        <v>-8.961681087762674E-2</v>
      </c>
      <c r="X61" s="13">
        <f t="shared" si="9"/>
        <v>7.6251896813353648E-2</v>
      </c>
      <c r="Y61" s="13">
        <f t="shared" si="10"/>
        <v>-0.98947368421052628</v>
      </c>
    </row>
    <row r="62" spans="1:25" ht="14.4">
      <c r="A62" s="98" t="s">
        <v>254</v>
      </c>
      <c r="B62" s="99">
        <v>532868</v>
      </c>
      <c r="C62" s="98" t="s">
        <v>187</v>
      </c>
      <c r="D62" s="102" t="s">
        <v>131</v>
      </c>
      <c r="E62" s="11">
        <f ca="1">IFERROR(__xludf.DUMMYFUNCTION("GOOGLEFINANCE(""BOM:""&amp;B62,""PRICE"")"),526.5)</f>
        <v>526.5</v>
      </c>
      <c r="F62" s="20">
        <f ca="1">IFERROR(__xludf.DUMMYFUNCTION("GOOGLEFINANCE(""BOM:""&amp;B62,""MARKETCAP"")/10000000"),130349.9238767)</f>
        <v>130349.92387670001</v>
      </c>
      <c r="G62" s="95">
        <f t="shared" ca="1" si="25"/>
        <v>3.2354029374313869E-3</v>
      </c>
      <c r="H62" s="101">
        <v>6380</v>
      </c>
      <c r="I62" s="101">
        <v>4866</v>
      </c>
      <c r="J62" s="101">
        <v>3146</v>
      </c>
      <c r="K62" s="101">
        <v>3084</v>
      </c>
      <c r="L62" s="101">
        <v>2020</v>
      </c>
      <c r="M62" s="101">
        <v>1529</v>
      </c>
      <c r="N62" s="101">
        <v>1203</v>
      </c>
      <c r="O62" s="101">
        <v>1058</v>
      </c>
      <c r="P62" s="13">
        <f t="shared" ref="P62:Q62" si="124">J62/H62</f>
        <v>0.49310344827586206</v>
      </c>
      <c r="Q62" s="13">
        <f t="shared" si="124"/>
        <v>0.63378545006165232</v>
      </c>
      <c r="R62" s="13">
        <f t="shared" si="4"/>
        <v>-0.14068200178579027</v>
      </c>
      <c r="S62" s="13">
        <f t="shared" ref="S62:T62" si="125">N62/L62</f>
        <v>0.59554455445544552</v>
      </c>
      <c r="T62" s="13">
        <f t="shared" si="125"/>
        <v>0.6919555264879006</v>
      </c>
      <c r="U62" s="13">
        <f t="shared" si="6"/>
        <v>-9.6410972032455078E-2</v>
      </c>
      <c r="V62" s="13">
        <f t="shared" si="7"/>
        <v>0.31113851212494859</v>
      </c>
      <c r="W62" s="13">
        <f t="shared" si="8"/>
        <v>2.0103761348897464E-2</v>
      </c>
      <c r="X62" s="13">
        <f t="shared" si="9"/>
        <v>0.32112491824722045</v>
      </c>
      <c r="Y62" s="13">
        <f t="shared" si="10"/>
        <v>0.13705103969754262</v>
      </c>
    </row>
    <row r="63" spans="1:25" ht="14.4">
      <c r="A63" s="98" t="s">
        <v>255</v>
      </c>
      <c r="B63" s="99">
        <v>511243</v>
      </c>
      <c r="C63" s="98" t="s">
        <v>172</v>
      </c>
      <c r="D63" s="100" t="s">
        <v>178</v>
      </c>
      <c r="E63" s="11">
        <f ca="1">IFERROR(__xludf.DUMMYFUNCTION("GOOGLEFINANCE(""BOM:""&amp;B63,""PRICE"")"),1394.35)</f>
        <v>1394.35</v>
      </c>
      <c r="F63" s="20">
        <f ca="1">IFERROR(__xludf.DUMMYFUNCTION("GOOGLEFINANCE(""BOM:""&amp;B63,""MARKETCAP"")/10000000"),118859.17545)</f>
        <v>118859.17545</v>
      </c>
      <c r="G63" s="95">
        <f t="shared" ca="1" si="25"/>
        <v>2.9501921746832873E-3</v>
      </c>
      <c r="H63" s="101">
        <v>22975</v>
      </c>
      <c r="I63" s="101">
        <v>19015</v>
      </c>
      <c r="J63" s="101">
        <v>3587</v>
      </c>
      <c r="K63" s="101">
        <v>3003</v>
      </c>
      <c r="L63" s="101">
        <v>8009</v>
      </c>
      <c r="M63" s="101">
        <v>6837</v>
      </c>
      <c r="N63" s="101">
        <v>1290</v>
      </c>
      <c r="O63" s="101">
        <v>1088</v>
      </c>
      <c r="P63" s="13">
        <f t="shared" ref="P63:Q63" si="126">J63/H63</f>
        <v>0.15612622415669206</v>
      </c>
      <c r="Q63" s="13">
        <f t="shared" si="126"/>
        <v>0.15792795161714435</v>
      </c>
      <c r="R63" s="13">
        <f t="shared" si="4"/>
        <v>-1.8017274604522904E-3</v>
      </c>
      <c r="S63" s="13">
        <f t="shared" ref="S63:T63" si="127">N63/L63</f>
        <v>0.16106879760269696</v>
      </c>
      <c r="T63" s="13">
        <f t="shared" si="127"/>
        <v>0.15913412315342987</v>
      </c>
      <c r="U63" s="13">
        <f t="shared" si="6"/>
        <v>1.9346744492670931E-3</v>
      </c>
      <c r="V63" s="13">
        <f t="shared" si="7"/>
        <v>0.20825663949513551</v>
      </c>
      <c r="W63" s="13">
        <f t="shared" si="8"/>
        <v>0.19447219447219455</v>
      </c>
      <c r="X63" s="13">
        <f t="shared" si="9"/>
        <v>0.17142021354395198</v>
      </c>
      <c r="Y63" s="13">
        <f t="shared" si="10"/>
        <v>0.18566176470588225</v>
      </c>
    </row>
    <row r="64" spans="1:25" ht="14.4">
      <c r="A64" s="98" t="s">
        <v>256</v>
      </c>
      <c r="B64" s="99">
        <v>532461</v>
      </c>
      <c r="C64" s="98" t="s">
        <v>172</v>
      </c>
      <c r="D64" s="101" t="s">
        <v>107</v>
      </c>
      <c r="E64" s="11">
        <f ca="1">IFERROR(__xludf.DUMMYFUNCTION("GOOGLEFINANCE(""BOM:""&amp;B64,""PRICE"")"),106)</f>
        <v>106</v>
      </c>
      <c r="F64" s="20">
        <f ca="1">IFERROR(__xludf.DUMMYFUNCTION("GOOGLEFINANCE(""BOM:""&amp;B64,""MARKETCAP"")/10000000"),121894.1188341)</f>
        <v>121894.11883409999</v>
      </c>
      <c r="G64" s="95">
        <f t="shared" ca="1" si="25"/>
        <v>3.025522212843826E-3</v>
      </c>
      <c r="H64" s="101">
        <v>112585</v>
      </c>
      <c r="I64" s="101">
        <v>103157</v>
      </c>
      <c r="J64" s="101">
        <v>11870</v>
      </c>
      <c r="K64" s="101">
        <v>12796</v>
      </c>
      <c r="L64" s="101">
        <v>37902</v>
      </c>
      <c r="M64" s="101">
        <v>35286</v>
      </c>
      <c r="N64" s="101">
        <v>5189</v>
      </c>
      <c r="O64" s="101">
        <v>4648</v>
      </c>
      <c r="P64" s="13">
        <f t="shared" ref="P64:Q64" si="128">J64/H64</f>
        <v>0.10543145179197939</v>
      </c>
      <c r="Q64" s="13">
        <f t="shared" si="128"/>
        <v>0.12404393303411305</v>
      </c>
      <c r="R64" s="13">
        <f t="shared" si="4"/>
        <v>-1.8612481242133661E-2</v>
      </c>
      <c r="S64" s="13">
        <f t="shared" ref="S64:T64" si="129">N64/L64</f>
        <v>0.13690570418447576</v>
      </c>
      <c r="T64" s="13">
        <f t="shared" si="129"/>
        <v>0.13172362976818003</v>
      </c>
      <c r="U64" s="13">
        <f t="shared" si="6"/>
        <v>5.1820744162957288E-3</v>
      </c>
      <c r="V64" s="13">
        <f t="shared" si="7"/>
        <v>9.1394670259895117E-2</v>
      </c>
      <c r="W64" s="13">
        <f t="shared" si="8"/>
        <v>-7.2366364488902768E-2</v>
      </c>
      <c r="X64" s="13">
        <f t="shared" si="9"/>
        <v>7.4137051521850017E-2</v>
      </c>
      <c r="Y64" s="13">
        <f t="shared" si="10"/>
        <v>0.11639414802065406</v>
      </c>
    </row>
    <row r="65" spans="1:25" ht="14.4">
      <c r="A65" s="98" t="s">
        <v>257</v>
      </c>
      <c r="B65" s="99">
        <v>500825</v>
      </c>
      <c r="C65" s="98" t="s">
        <v>183</v>
      </c>
      <c r="D65" s="102" t="s">
        <v>105</v>
      </c>
      <c r="E65" s="11">
        <f ca="1">IFERROR(__xludf.DUMMYFUNCTION("GOOGLEFINANCE(""BOM:""&amp;B65,""PRICE"")"),5504.8)</f>
        <v>5504.8</v>
      </c>
      <c r="F65" s="20">
        <f ca="1">IFERROR(__xludf.DUMMYFUNCTION("GOOGLEFINANCE(""BOM:""&amp;B65,""MARKETCAP"")/10000000"),132706.33479)</f>
        <v>132706.33478999999</v>
      </c>
      <c r="G65" s="95">
        <f t="shared" ca="1" si="25"/>
        <v>3.2938911863228688E-3</v>
      </c>
      <c r="H65" s="101">
        <v>14433</v>
      </c>
      <c r="I65" s="101">
        <v>13510</v>
      </c>
      <c r="J65" s="101">
        <v>1857</v>
      </c>
      <c r="K65" s="101">
        <v>1619</v>
      </c>
      <c r="L65" s="101">
        <v>4970</v>
      </c>
      <c r="M65" s="101">
        <v>4593</v>
      </c>
      <c r="N65" s="101">
        <v>682</v>
      </c>
      <c r="O65" s="101">
        <v>582</v>
      </c>
      <c r="P65" s="13">
        <f t="shared" ref="P65:Q65" si="130">J65/H65</f>
        <v>0.12866347952608606</v>
      </c>
      <c r="Q65" s="13">
        <f t="shared" si="130"/>
        <v>0.11983715766099186</v>
      </c>
      <c r="R65" s="13">
        <f t="shared" si="4"/>
        <v>8.8263218650942027E-3</v>
      </c>
      <c r="S65" s="13">
        <f t="shared" ref="S65:T65" si="131">N65/L65</f>
        <v>0.13722334004024145</v>
      </c>
      <c r="T65" s="13">
        <f t="shared" si="131"/>
        <v>0.12671456564337036</v>
      </c>
      <c r="U65" s="13">
        <f t="shared" si="6"/>
        <v>1.050877439687109E-2</v>
      </c>
      <c r="V65" s="13">
        <f t="shared" si="7"/>
        <v>6.8319763138416034E-2</v>
      </c>
      <c r="W65" s="13">
        <f t="shared" si="8"/>
        <v>0.14700432365657812</v>
      </c>
      <c r="X65" s="13">
        <f t="shared" si="9"/>
        <v>8.2081428260396327E-2</v>
      </c>
      <c r="Y65" s="13">
        <f t="shared" si="10"/>
        <v>0.17182130584192445</v>
      </c>
    </row>
    <row r="66" spans="1:25" ht="14.4">
      <c r="A66" s="104" t="s">
        <v>258</v>
      </c>
      <c r="B66" s="99">
        <v>500570</v>
      </c>
      <c r="C66" s="98" t="s">
        <v>187</v>
      </c>
      <c r="D66" s="102" t="s">
        <v>76</v>
      </c>
      <c r="E66" s="11">
        <f ca="1">IFERROR(__xludf.DUMMYFUNCTION("GOOGLEFINANCE(""BOM:""&amp;B66,""PRICE"")"),306.95)</f>
        <v>306.95</v>
      </c>
      <c r="F66" s="20">
        <f ca="1">IFERROR(__xludf.DUMMYFUNCTION("GOOGLEFINANCE(""BOM:""&amp;B66,""MARKETCAP"")/10000000"),111686.5)</f>
        <v>111686.5</v>
      </c>
      <c r="G66" s="95">
        <f t="shared" ca="1" si="25"/>
        <v>2.7721598864395031E-3</v>
      </c>
      <c r="H66" s="101">
        <v>230135</v>
      </c>
      <c r="I66" s="101">
        <v>267717</v>
      </c>
      <c r="J66" s="101"/>
      <c r="K66" s="101"/>
      <c r="L66" s="101">
        <v>70108</v>
      </c>
      <c r="M66" s="101">
        <v>94472</v>
      </c>
      <c r="N66" s="101">
        <v>-3486</v>
      </c>
      <c r="O66" s="101">
        <v>5485</v>
      </c>
      <c r="P66" s="13">
        <f t="shared" ref="P66:Q66" si="132">J66/H66</f>
        <v>0</v>
      </c>
      <c r="Q66" s="13">
        <f t="shared" si="132"/>
        <v>0</v>
      </c>
      <c r="R66" s="13">
        <f t="shared" si="4"/>
        <v>0</v>
      </c>
      <c r="S66" s="13">
        <f t="shared" ref="S66:T66" si="133">N66/L66</f>
        <v>-4.9723284075997035E-2</v>
      </c>
      <c r="T66" s="13">
        <f t="shared" si="133"/>
        <v>5.8059530866288421E-2</v>
      </c>
      <c r="U66" s="13">
        <f t="shared" si="6"/>
        <v>-0.10778281494228545</v>
      </c>
      <c r="V66" s="13">
        <f t="shared" si="7"/>
        <v>-0.14037957992955252</v>
      </c>
      <c r="W66" s="13" t="e">
        <f t="shared" si="8"/>
        <v>#DIV/0!</v>
      </c>
      <c r="X66" s="13">
        <f t="shared" si="9"/>
        <v>-0.25789651960369209</v>
      </c>
      <c r="Y66" s="13">
        <f t="shared" si="10"/>
        <v>-1.6355515041020965</v>
      </c>
    </row>
    <row r="67" spans="1:25" ht="14.4">
      <c r="A67" s="98" t="s">
        <v>259</v>
      </c>
      <c r="B67" s="99">
        <v>533398</v>
      </c>
      <c r="C67" s="98" t="s">
        <v>172</v>
      </c>
      <c r="D67" s="100" t="s">
        <v>178</v>
      </c>
      <c r="E67" s="11">
        <f ca="1">IFERROR(__xludf.DUMMYFUNCTION("GOOGLEFINANCE(""BOM:""&amp;B67,""PRICE"")"),3302.5)</f>
        <v>3302.5</v>
      </c>
      <c r="F67" s="20">
        <f ca="1">IFERROR(__xludf.DUMMYFUNCTION("GOOGLEFINANCE(""BOM:""&amp;B67,""MARKETCAP"")/10000000"),132604.3750394)</f>
        <v>132604.37503940001</v>
      </c>
      <c r="G67" s="95">
        <f t="shared" ca="1" si="25"/>
        <v>3.291360453148809E-3</v>
      </c>
      <c r="H67" s="101">
        <v>22056</v>
      </c>
      <c r="I67" s="101">
        <v>14671</v>
      </c>
      <c r="J67" s="101">
        <v>7209</v>
      </c>
      <c r="K67" s="101">
        <v>3908</v>
      </c>
      <c r="L67" s="101">
        <v>8239</v>
      </c>
      <c r="M67" s="101">
        <v>5221</v>
      </c>
      <c r="N67" s="101">
        <v>2823</v>
      </c>
      <c r="O67" s="101">
        <v>1391</v>
      </c>
      <c r="P67" s="13">
        <f t="shared" ref="P67:Q67" si="134">J67/H67</f>
        <v>0.32684983677910773</v>
      </c>
      <c r="Q67" s="13">
        <f t="shared" si="134"/>
        <v>0.26637584350078386</v>
      </c>
      <c r="R67" s="13">
        <f t="shared" si="4"/>
        <v>6.0473993278323868E-2</v>
      </c>
      <c r="S67" s="13">
        <f t="shared" ref="S67:T67" si="135">N67/L67</f>
        <v>0.3426386697414735</v>
      </c>
      <c r="T67" s="13">
        <f t="shared" si="135"/>
        <v>0.26642405669411989</v>
      </c>
      <c r="U67" s="13">
        <f t="shared" si="6"/>
        <v>7.6214613047353608E-2</v>
      </c>
      <c r="V67" s="13">
        <f t="shared" si="7"/>
        <v>0.50337400313543723</v>
      </c>
      <c r="W67" s="13">
        <f t="shared" si="8"/>
        <v>0.84467758444216989</v>
      </c>
      <c r="X67" s="13">
        <f t="shared" si="9"/>
        <v>0.57805018195747948</v>
      </c>
      <c r="Y67" s="13">
        <f t="shared" si="10"/>
        <v>1.0294751976994969</v>
      </c>
    </row>
    <row r="68" spans="1:25" ht="14.4">
      <c r="A68" s="98" t="s">
        <v>260</v>
      </c>
      <c r="B68" s="99">
        <v>532483</v>
      </c>
      <c r="C68" s="98" t="s">
        <v>172</v>
      </c>
      <c r="D68" s="70" t="s">
        <v>107</v>
      </c>
      <c r="E68" s="11">
        <f ca="1">IFERROR(__xludf.DUMMYFUNCTION("GOOGLEFINANCE(""BOM:""&amp;B68,""PRICE"")"),130.05)</f>
        <v>130.05000000000001</v>
      </c>
      <c r="F68" s="20">
        <f ca="1">IFERROR(__xludf.DUMMYFUNCTION("GOOGLEFINANCE(""BOM:""&amp;B68,""MARKETCAP"")/10000000"),117882.2254739)</f>
        <v>117882.22547390001</v>
      </c>
      <c r="G68" s="95">
        <f t="shared" ca="1" si="25"/>
        <v>2.9259433931850543E-3</v>
      </c>
      <c r="H68" s="101">
        <v>116545</v>
      </c>
      <c r="I68" s="101">
        <v>112402</v>
      </c>
      <c r="J68" s="101">
        <v>12737</v>
      </c>
      <c r="K68" s="101">
        <v>12239</v>
      </c>
      <c r="L68" s="101">
        <v>33089</v>
      </c>
      <c r="M68" s="101">
        <v>37430</v>
      </c>
      <c r="N68" s="101">
        <v>4868</v>
      </c>
      <c r="O68" s="101">
        <v>4161</v>
      </c>
      <c r="P68" s="13">
        <f t="shared" ref="P68:Q68" si="136">J68/H68</f>
        <v>0.10928825775451542</v>
      </c>
      <c r="Q68" s="13">
        <f t="shared" si="136"/>
        <v>0.10888596288322272</v>
      </c>
      <c r="R68" s="13">
        <f t="shared" si="4"/>
        <v>4.0229487129270214E-4</v>
      </c>
      <c r="S68" s="13">
        <f t="shared" ref="S68:T68" si="137">N68/L68</f>
        <v>0.14711837770860406</v>
      </c>
      <c r="T68" s="13">
        <f t="shared" si="137"/>
        <v>0.11116751269035532</v>
      </c>
      <c r="U68" s="13">
        <f t="shared" si="6"/>
        <v>3.5950865018248734E-2</v>
      </c>
      <c r="V68" s="13">
        <f t="shared" si="7"/>
        <v>3.6858774754897627E-2</v>
      </c>
      <c r="W68" s="13">
        <f t="shared" si="8"/>
        <v>4.068959882343326E-2</v>
      </c>
      <c r="X68" s="13">
        <f t="shared" si="9"/>
        <v>-0.1159764894469677</v>
      </c>
      <c r="Y68" s="13">
        <f t="shared" si="10"/>
        <v>0.16991107906753178</v>
      </c>
    </row>
    <row r="69" spans="1:25" ht="14.4">
      <c r="A69" s="98" t="s">
        <v>261</v>
      </c>
      <c r="B69" s="99">
        <v>544574</v>
      </c>
      <c r="C69" s="98" t="s">
        <v>172</v>
      </c>
      <c r="D69" s="102" t="s">
        <v>178</v>
      </c>
      <c r="E69" s="11">
        <f ca="1">IFERROR(__xludf.DUMMYFUNCTION("GOOGLEFINANCE(""BOM:""&amp;B69,""PRICE"")"),307.5)</f>
        <v>307.5</v>
      </c>
      <c r="F69" s="20">
        <f ca="1">IFERROR(__xludf.DUMMYFUNCTION("GOOGLEFINANCE(""BOM:""&amp;B69,""MARKETCAP"")/10000000"),129662.7255)</f>
        <v>129662.7255</v>
      </c>
      <c r="G69" s="95">
        <f t="shared" ca="1" si="25"/>
        <v>3.2183460525445464E-3</v>
      </c>
      <c r="H69" s="101">
        <v>23420</v>
      </c>
      <c r="I69" s="101">
        <v>20861</v>
      </c>
      <c r="J69" s="101">
        <v>3424</v>
      </c>
      <c r="K69" s="101">
        <v>2655</v>
      </c>
      <c r="L69" s="101">
        <v>7978</v>
      </c>
      <c r="M69" s="101">
        <v>7111</v>
      </c>
      <c r="N69" s="101">
        <v>1265</v>
      </c>
      <c r="O69" s="101">
        <v>1050</v>
      </c>
      <c r="P69" s="13">
        <f t="shared" ref="P69:Q69" si="138">J69/H69</f>
        <v>0.14619982920580701</v>
      </c>
      <c r="Q69" s="13">
        <f t="shared" si="138"/>
        <v>0.12727098413307128</v>
      </c>
      <c r="R69" s="13">
        <f t="shared" si="4"/>
        <v>1.8928845072735734E-2</v>
      </c>
      <c r="S69" s="13">
        <f t="shared" ref="S69:T69" si="139">N69/L69</f>
        <v>0.15856104286788669</v>
      </c>
      <c r="T69" s="13">
        <f t="shared" si="139"/>
        <v>0.14765855716495571</v>
      </c>
      <c r="U69" s="13">
        <f t="shared" si="6"/>
        <v>1.0902485702930981E-2</v>
      </c>
      <c r="V69" s="13">
        <f t="shared" si="7"/>
        <v>0.12266909544125393</v>
      </c>
      <c r="W69" s="13">
        <f t="shared" si="8"/>
        <v>0.28964218455743884</v>
      </c>
      <c r="X69" s="13">
        <f t="shared" si="9"/>
        <v>0.12192378005906335</v>
      </c>
      <c r="Y69" s="13">
        <f t="shared" si="10"/>
        <v>0.2047619047619047</v>
      </c>
    </row>
    <row r="70" spans="1:25" ht="14.4">
      <c r="A70" s="98" t="s">
        <v>262</v>
      </c>
      <c r="B70" s="99">
        <v>500251</v>
      </c>
      <c r="C70" s="98" t="s">
        <v>187</v>
      </c>
      <c r="D70" s="102" t="s">
        <v>90</v>
      </c>
      <c r="E70" s="11">
        <f ca="1">IFERROR(__xludf.DUMMYFUNCTION("GOOGLEFINANCE(""BOM:""&amp;B70,""PRICE"")"),3827.8)</f>
        <v>3827.8</v>
      </c>
      <c r="F70" s="20">
        <f ca="1">IFERROR(__xludf.DUMMYFUNCTION("GOOGLEFINANCE(""BOM:""&amp;B70,""MARKETCAP"")/10000000"),135970.9216161)</f>
        <v>135970.92161610001</v>
      </c>
      <c r="G70" s="95">
        <f t="shared" ca="1" si="25"/>
        <v>3.3749211822947482E-3</v>
      </c>
      <c r="H70" s="101">
        <v>15046</v>
      </c>
      <c r="I70" s="101">
        <v>12918</v>
      </c>
      <c r="J70" s="101">
        <v>1308</v>
      </c>
      <c r="K70" s="101">
        <v>1223</v>
      </c>
      <c r="L70" s="101">
        <v>5345</v>
      </c>
      <c r="M70" s="101">
        <v>4657</v>
      </c>
      <c r="N70" s="101">
        <v>510</v>
      </c>
      <c r="O70" s="101">
        <v>497</v>
      </c>
      <c r="P70" s="13">
        <f t="shared" ref="P70:Q70" si="140">J70/H70</f>
        <v>8.6933404227037089E-2</v>
      </c>
      <c r="Q70" s="13">
        <f t="shared" si="140"/>
        <v>9.4674098157609535E-2</v>
      </c>
      <c r="R70" s="13">
        <f t="shared" si="4"/>
        <v>-7.7406939305724454E-3</v>
      </c>
      <c r="S70" s="13">
        <f t="shared" ref="S70:T70" si="141">N70/L70</f>
        <v>9.5416276894293731E-2</v>
      </c>
      <c r="T70" s="13">
        <f t="shared" si="141"/>
        <v>0.1067210650633455</v>
      </c>
      <c r="U70" s="13">
        <f t="shared" si="6"/>
        <v>-1.1304788169051769E-2</v>
      </c>
      <c r="V70" s="13">
        <f t="shared" si="7"/>
        <v>0.16473138256696074</v>
      </c>
      <c r="W70" s="13">
        <f t="shared" si="8"/>
        <v>6.9501226492232115E-2</v>
      </c>
      <c r="X70" s="13">
        <f t="shared" si="9"/>
        <v>0.14773459308567749</v>
      </c>
      <c r="Y70" s="13">
        <f t="shared" si="10"/>
        <v>2.6156941649899457E-2</v>
      </c>
    </row>
    <row r="71" spans="1:25" ht="14.4">
      <c r="A71" s="98" t="s">
        <v>263</v>
      </c>
      <c r="B71" s="99">
        <v>500480</v>
      </c>
      <c r="C71" s="98" t="s">
        <v>180</v>
      </c>
      <c r="D71" s="100" t="s">
        <v>264</v>
      </c>
      <c r="E71" s="11">
        <f ca="1">IFERROR(__xludf.DUMMYFUNCTION("GOOGLEFINANCE(""BOM:""&amp;B71,""PRICE"")"),4686.9)</f>
        <v>4686.8999999999996</v>
      </c>
      <c r="F71" s="20">
        <f ca="1">IFERROR(__xludf.DUMMYFUNCTION("GOOGLEFINANCE(""BOM:""&amp;B71,""MARKETCAP"")/10000000"),129851.5652929)</f>
        <v>129851.56529290001</v>
      </c>
      <c r="G71" s="95">
        <f t="shared" ca="1" si="25"/>
        <v>3.2230332269017063E-3</v>
      </c>
      <c r="H71" s="101">
        <v>9505</v>
      </c>
      <c r="I71" s="101">
        <v>8241</v>
      </c>
      <c r="J71" s="101">
        <v>1712</v>
      </c>
      <c r="K71" s="101">
        <v>1470</v>
      </c>
      <c r="L71" s="101">
        <v>3171</v>
      </c>
      <c r="M71" s="101">
        <v>3207</v>
      </c>
      <c r="N71" s="101">
        <v>486</v>
      </c>
      <c r="O71" s="101">
        <v>558</v>
      </c>
      <c r="P71" s="13">
        <f t="shared" ref="P71:Q71" si="142">J71/H71</f>
        <v>0.18011572856391372</v>
      </c>
      <c r="Q71" s="13">
        <f t="shared" si="142"/>
        <v>0.17837641062977794</v>
      </c>
      <c r="R71" s="13">
        <f t="shared" si="4"/>
        <v>1.7393179341357867E-3</v>
      </c>
      <c r="S71" s="13">
        <f t="shared" ref="S71:T71" si="143">N71/L71</f>
        <v>0.1532639545884579</v>
      </c>
      <c r="T71" s="13">
        <f t="shared" si="143"/>
        <v>0.17399438727782976</v>
      </c>
      <c r="U71" s="13">
        <f t="shared" si="6"/>
        <v>-2.0730432689371858E-2</v>
      </c>
      <c r="V71" s="13">
        <f t="shared" si="7"/>
        <v>0.15337944424220362</v>
      </c>
      <c r="W71" s="13">
        <f t="shared" si="8"/>
        <v>0.1646258503401361</v>
      </c>
      <c r="X71" s="13">
        <f t="shared" si="9"/>
        <v>-1.1225444340505097E-2</v>
      </c>
      <c r="Y71" s="13">
        <f t="shared" si="10"/>
        <v>-0.12903225806451613</v>
      </c>
    </row>
    <row r="72" spans="1:25" ht="14.4">
      <c r="A72" s="98" t="s">
        <v>265</v>
      </c>
      <c r="B72" s="99">
        <v>532810</v>
      </c>
      <c r="C72" s="98" t="s">
        <v>172</v>
      </c>
      <c r="D72" s="70" t="s">
        <v>266</v>
      </c>
      <c r="E72" s="11">
        <f ca="1">IFERROR(__xludf.DUMMYFUNCTION("GOOGLEFINANCE(""BOM:""&amp;B72,""PRICE"")"),405.25)</f>
        <v>405.25</v>
      </c>
      <c r="F72" s="20">
        <f ca="1">IFERROR(__xludf.DUMMYFUNCTION("GOOGLEFINANCE(""BOM:""&amp;B72,""MARKETCAP"")/10000000"),133867.9549155)</f>
        <v>133867.95491550001</v>
      </c>
      <c r="G72" s="95">
        <f t="shared" ca="1" si="25"/>
        <v>3.3227236478575394E-3</v>
      </c>
      <c r="H72" s="101">
        <v>86671</v>
      </c>
      <c r="I72" s="101">
        <v>77313</v>
      </c>
      <c r="J72" s="101">
        <v>25028</v>
      </c>
      <c r="K72" s="101">
        <v>22156</v>
      </c>
      <c r="L72" s="101">
        <v>29141</v>
      </c>
      <c r="M72" s="101">
        <v>26822</v>
      </c>
      <c r="N72" s="101">
        <v>8212</v>
      </c>
      <c r="O72" s="101">
        <v>7760</v>
      </c>
      <c r="P72" s="13">
        <f t="shared" ref="P72:Q72" si="144">J72/H72</f>
        <v>0.28877017687577161</v>
      </c>
      <c r="Q72" s="13">
        <f t="shared" si="144"/>
        <v>0.28657534955311526</v>
      </c>
      <c r="R72" s="13">
        <f t="shared" si="4"/>
        <v>2.1948273226563564E-3</v>
      </c>
      <c r="S72" s="13">
        <f t="shared" ref="S72:T72" si="145">N72/L72</f>
        <v>0.2818022717133935</v>
      </c>
      <c r="T72" s="13">
        <f t="shared" si="145"/>
        <v>0.2893147416300052</v>
      </c>
      <c r="U72" s="13">
        <f t="shared" si="6"/>
        <v>-7.5124699166116971E-3</v>
      </c>
      <c r="V72" s="13">
        <f t="shared" si="7"/>
        <v>0.12104044597933084</v>
      </c>
      <c r="W72" s="13">
        <f t="shared" si="8"/>
        <v>0.12962628633327311</v>
      </c>
      <c r="X72" s="13">
        <f t="shared" si="9"/>
        <v>8.6458877041234894E-2</v>
      </c>
      <c r="Y72" s="13">
        <f t="shared" si="10"/>
        <v>5.8247422680412386E-2</v>
      </c>
    </row>
    <row r="73" spans="1:25" ht="14.4">
      <c r="A73" s="98" t="s">
        <v>267</v>
      </c>
      <c r="B73" s="99">
        <v>540005</v>
      </c>
      <c r="C73" s="98" t="s">
        <v>174</v>
      </c>
      <c r="D73" s="100" t="s">
        <v>175</v>
      </c>
      <c r="E73" s="11">
        <f ca="1">IFERROR(__xludf.DUMMYFUNCTION("GOOGLEFINANCE(""NSE:""&amp;A73,""PRICE"")"),4306)</f>
        <v>4306</v>
      </c>
      <c r="F73" s="20">
        <f ca="1">IFERROR(__xludf.DUMMYFUNCTION("GOOGLEFINANCE(""NSE:""&amp;A73,""MARKETCAP"")/10000000"),127569.6)</f>
        <v>127569.60000000001</v>
      </c>
      <c r="G73" s="95">
        <f t="shared" ca="1" si="25"/>
        <v>3.166392785601956E-3</v>
      </c>
      <c r="H73" s="101">
        <v>31015</v>
      </c>
      <c r="I73" s="101">
        <v>28236</v>
      </c>
      <c r="J73" s="101">
        <v>3595</v>
      </c>
      <c r="K73" s="101">
        <v>3473</v>
      </c>
      <c r="L73" s="101">
        <v>10781</v>
      </c>
      <c r="M73" s="101">
        <v>9660</v>
      </c>
      <c r="N73" s="101">
        <v>959</v>
      </c>
      <c r="O73" s="101">
        <v>1086</v>
      </c>
      <c r="P73" s="13">
        <f t="shared" ref="P73:Q73" si="146">J73/H73</f>
        <v>0.1159116556504917</v>
      </c>
      <c r="Q73" s="13">
        <f t="shared" si="146"/>
        <v>0.12299900835812438</v>
      </c>
      <c r="R73" s="13">
        <f t="shared" si="4"/>
        <v>-7.0873527076326798E-3</v>
      </c>
      <c r="S73" s="13">
        <f t="shared" ref="S73:T73" si="147">N73/L73</f>
        <v>8.8952787311010112E-2</v>
      </c>
      <c r="T73" s="13">
        <f t="shared" si="147"/>
        <v>0.11242236024844721</v>
      </c>
      <c r="U73" s="13">
        <f t="shared" si="6"/>
        <v>-2.3469572937437094E-2</v>
      </c>
      <c r="V73" s="13">
        <f t="shared" si="7"/>
        <v>9.8420456155262848E-2</v>
      </c>
      <c r="W73" s="13">
        <f t="shared" si="8"/>
        <v>3.512813129858916E-2</v>
      </c>
      <c r="X73" s="13">
        <f t="shared" si="9"/>
        <v>0.11604554865424421</v>
      </c>
      <c r="Y73" s="13">
        <f t="shared" si="10"/>
        <v>-0.1169429097605893</v>
      </c>
    </row>
    <row r="74" spans="1:25" ht="14.4">
      <c r="A74" s="98" t="s">
        <v>268</v>
      </c>
      <c r="B74" s="99">
        <v>532755</v>
      </c>
      <c r="C74" s="98" t="s">
        <v>174</v>
      </c>
      <c r="D74" s="102" t="s">
        <v>175</v>
      </c>
      <c r="E74" s="11">
        <f ca="1">IFERROR(__xludf.DUMMYFUNCTION("GOOGLEFINANCE(""BOM:""&amp;B74,""PRICE"")"),1452.4)</f>
        <v>1452.4</v>
      </c>
      <c r="F74" s="20">
        <f ca="1">IFERROR(__xludf.DUMMYFUNCTION("GOOGLEFINANCE(""BOM:""&amp;B74,""MARKETCAP"")/10000000"),142292.5197576)</f>
        <v>142292.51975760001</v>
      </c>
      <c r="G74" s="95">
        <f t="shared" ca="1" si="25"/>
        <v>3.5318289624298302E-3</v>
      </c>
      <c r="H74" s="101">
        <v>41739</v>
      </c>
      <c r="I74" s="101">
        <v>39604</v>
      </c>
      <c r="J74" s="101">
        <v>3449</v>
      </c>
      <c r="K74" s="101">
        <v>3111</v>
      </c>
      <c r="L74" s="101">
        <v>14393</v>
      </c>
      <c r="M74" s="101">
        <v>13285</v>
      </c>
      <c r="N74" s="101">
        <v>1118</v>
      </c>
      <c r="O74" s="101">
        <v>988</v>
      </c>
      <c r="P74" s="13">
        <f t="shared" ref="P74:Q74" si="148">J74/H74</f>
        <v>8.2632549893385088E-2</v>
      </c>
      <c r="Q74" s="13">
        <f t="shared" si="148"/>
        <v>7.8552671447328554E-2</v>
      </c>
      <c r="R74" s="13">
        <f t="shared" si="4"/>
        <v>4.079878446056534E-3</v>
      </c>
      <c r="S74" s="13">
        <f t="shared" ref="S74:T74" si="149">N74/L74</f>
        <v>7.7676648370735776E-2</v>
      </c>
      <c r="T74" s="13">
        <f t="shared" si="149"/>
        <v>7.4369589762890473E-2</v>
      </c>
      <c r="U74" s="13">
        <f t="shared" si="6"/>
        <v>3.3070586078453035E-3</v>
      </c>
      <c r="V74" s="13">
        <f t="shared" si="7"/>
        <v>5.3908696091303998E-2</v>
      </c>
      <c r="W74" s="13">
        <f t="shared" si="8"/>
        <v>0.10864673738347808</v>
      </c>
      <c r="X74" s="13">
        <f t="shared" si="9"/>
        <v>8.3402333458788114E-2</v>
      </c>
      <c r="Y74" s="13">
        <f t="shared" si="10"/>
        <v>0.13157894736842102</v>
      </c>
    </row>
    <row r="75" spans="1:25" ht="14.4">
      <c r="A75" s="98" t="s">
        <v>269</v>
      </c>
      <c r="B75" s="99">
        <v>532814</v>
      </c>
      <c r="C75" s="98" t="s">
        <v>172</v>
      </c>
      <c r="D75" s="101" t="s">
        <v>107</v>
      </c>
      <c r="E75" s="11">
        <f ca="1">IFERROR(__xludf.DUMMYFUNCTION("GOOGLEFINANCE(""BOM:""&amp;B75,""PRICE"")"),899.15)</f>
        <v>899.15</v>
      </c>
      <c r="F75" s="20">
        <f ca="1">IFERROR(__xludf.DUMMYFUNCTION("GOOGLEFINANCE(""BOM:""&amp;B75,""MARKETCAP"")/10000000"),121213.2936484)</f>
        <v>121213.29364839999</v>
      </c>
      <c r="G75" s="95">
        <f t="shared" ca="1" si="25"/>
        <v>3.0086235163185051E-3</v>
      </c>
      <c r="H75" s="101">
        <v>58071</v>
      </c>
      <c r="I75" s="101">
        <v>53256</v>
      </c>
      <c r="J75" s="101">
        <v>8345</v>
      </c>
      <c r="K75" s="101">
        <v>8033</v>
      </c>
      <c r="L75" s="101">
        <v>19894</v>
      </c>
      <c r="M75" s="101">
        <v>18167</v>
      </c>
      <c r="N75" s="101">
        <v>3086</v>
      </c>
      <c r="O75" s="101">
        <v>2876</v>
      </c>
      <c r="P75" s="13">
        <f t="shared" ref="P75:Q75" si="150">J75/H75</f>
        <v>0.14370339756504968</v>
      </c>
      <c r="Q75" s="13">
        <f t="shared" si="150"/>
        <v>0.15083746432326875</v>
      </c>
      <c r="R75" s="13">
        <f t="shared" si="4"/>
        <v>-7.1340667582190653E-3</v>
      </c>
      <c r="S75" s="13">
        <f t="shared" ref="S75:T75" si="151">N75/L75</f>
        <v>0.15512214738111993</v>
      </c>
      <c r="T75" s="13">
        <f t="shared" si="151"/>
        <v>0.15830902185281004</v>
      </c>
      <c r="U75" s="13">
        <f t="shared" si="6"/>
        <v>-3.1868744716901098E-3</v>
      </c>
      <c r="V75" s="13">
        <f t="shared" si="7"/>
        <v>9.0412347904461399E-2</v>
      </c>
      <c r="W75" s="13">
        <f t="shared" si="8"/>
        <v>3.883978588323167E-2</v>
      </c>
      <c r="X75" s="13">
        <f t="shared" si="9"/>
        <v>9.506247591787309E-2</v>
      </c>
      <c r="Y75" s="13">
        <f t="shared" si="10"/>
        <v>7.3018080667593965E-2</v>
      </c>
    </row>
    <row r="76" spans="1:25" ht="14.4">
      <c r="A76" s="98" t="s">
        <v>270</v>
      </c>
      <c r="B76" s="99">
        <v>542652</v>
      </c>
      <c r="C76" s="98" t="s">
        <v>180</v>
      </c>
      <c r="D76" s="102" t="s">
        <v>271</v>
      </c>
      <c r="E76" s="11">
        <f ca="1">IFERROR(__xludf.DUMMYFUNCTION("GOOGLEFINANCE(""BOM:""&amp;B76,""PRICE"")"),7032.05)</f>
        <v>7032.05</v>
      </c>
      <c r="F76" s="20">
        <f ca="1">IFERROR(__xludf.DUMMYFUNCTION("GOOGLEFINANCE(""BOM:""&amp;B76,""MARKETCAP"")/10000000"),105996.55803)</f>
        <v>105996.55803</v>
      </c>
      <c r="G76" s="95">
        <f t="shared" ca="1" si="25"/>
        <v>2.6309303834521004E-3</v>
      </c>
      <c r="H76" s="101">
        <v>20019</v>
      </c>
      <c r="I76" s="101">
        <v>15422</v>
      </c>
      <c r="J76" s="101">
        <v>1922</v>
      </c>
      <c r="K76" s="101">
        <v>1311</v>
      </c>
      <c r="L76" s="101">
        <v>7636</v>
      </c>
      <c r="M76" s="101">
        <v>5226</v>
      </c>
      <c r="N76" s="101">
        <v>630</v>
      </c>
      <c r="O76" s="101">
        <v>464</v>
      </c>
      <c r="P76" s="13">
        <f t="shared" ref="P76:Q76" si="152">J76/H76</f>
        <v>9.6008791647934466E-2</v>
      </c>
      <c r="Q76" s="13">
        <f t="shared" si="152"/>
        <v>8.5008429516275449E-2</v>
      </c>
      <c r="R76" s="13">
        <f t="shared" si="4"/>
        <v>1.1000362131659017E-2</v>
      </c>
      <c r="S76" s="13">
        <f t="shared" ref="S76:T76" si="153">N76/L76</f>
        <v>8.2503928758512313E-2</v>
      </c>
      <c r="T76" s="13">
        <f t="shared" si="153"/>
        <v>8.8786835055491772E-2</v>
      </c>
      <c r="U76" s="13">
        <f t="shared" si="6"/>
        <v>-6.2829062969794597E-3</v>
      </c>
      <c r="V76" s="13">
        <f t="shared" si="7"/>
        <v>0.29808066398651278</v>
      </c>
      <c r="W76" s="13">
        <f t="shared" si="8"/>
        <v>0.46605644546147973</v>
      </c>
      <c r="X76" s="13">
        <f t="shared" si="9"/>
        <v>0.46115575966322231</v>
      </c>
      <c r="Y76" s="13">
        <f t="shared" si="10"/>
        <v>0.35775862068965525</v>
      </c>
    </row>
    <row r="77" spans="1:25" ht="14.4">
      <c r="A77" s="98" t="s">
        <v>272</v>
      </c>
      <c r="B77" s="99">
        <v>543257</v>
      </c>
      <c r="C77" s="98" t="s">
        <v>172</v>
      </c>
      <c r="D77" s="102" t="s">
        <v>266</v>
      </c>
      <c r="E77" s="11">
        <f ca="1">IFERROR(__xludf.DUMMYFUNCTION("GOOGLEFINANCE(""BOM:""&amp;B77,""PRICE"")"),92.64)</f>
        <v>92.64</v>
      </c>
      <c r="F77" s="20">
        <f ca="1">IFERROR(__xludf.DUMMYFUNCTION("GOOGLEFINANCE(""BOM:""&amp;B77,""MARKETCAP"")/10000000"),121188.2819103)</f>
        <v>121188.28191029999</v>
      </c>
      <c r="G77" s="95">
        <f t="shared" ca="1" si="25"/>
        <v>3.0080027023700784E-3</v>
      </c>
      <c r="H77" s="101">
        <v>20009</v>
      </c>
      <c r="I77" s="101">
        <v>20433</v>
      </c>
      <c r="J77" s="101">
        <v>5325</v>
      </c>
      <c r="K77" s="101">
        <v>4820</v>
      </c>
      <c r="L77" s="101">
        <v>6719</v>
      </c>
      <c r="M77" s="101">
        <v>6766</v>
      </c>
      <c r="N77" s="101">
        <v>1802</v>
      </c>
      <c r="O77" s="101">
        <v>1631</v>
      </c>
      <c r="P77" s="13">
        <f t="shared" ref="P77:Q77" si="154">J77/H77</f>
        <v>0.26613024139137387</v>
      </c>
      <c r="Q77" s="13">
        <f t="shared" si="154"/>
        <v>0.2358929183184065</v>
      </c>
      <c r="R77" s="13">
        <f t="shared" si="4"/>
        <v>3.0237323072967365E-2</v>
      </c>
      <c r="S77" s="13">
        <f t="shared" ref="S77:T77" si="155">N77/L77</f>
        <v>0.26819467182616463</v>
      </c>
      <c r="T77" s="13">
        <f t="shared" si="155"/>
        <v>0.2410582323381614</v>
      </c>
      <c r="U77" s="13">
        <f t="shared" si="6"/>
        <v>2.7136439488003233E-2</v>
      </c>
      <c r="V77" s="13">
        <f t="shared" si="7"/>
        <v>-2.0750746341702153E-2</v>
      </c>
      <c r="W77" s="13">
        <f t="shared" si="8"/>
        <v>0.10477178423236522</v>
      </c>
      <c r="X77" s="13">
        <f t="shared" si="9"/>
        <v>-6.9464971918415941E-3</v>
      </c>
      <c r="Y77" s="13">
        <f t="shared" si="10"/>
        <v>0.1048436541998774</v>
      </c>
    </row>
    <row r="78" spans="1:25" ht="14.4">
      <c r="A78" s="98" t="s">
        <v>273</v>
      </c>
      <c r="B78" s="99">
        <v>532286</v>
      </c>
      <c r="C78" s="98" t="s">
        <v>196</v>
      </c>
      <c r="D78" s="102" t="s">
        <v>211</v>
      </c>
      <c r="E78" s="11">
        <f ca="1">IFERROR(__xludf.DUMMYFUNCTION("GOOGLEFINANCE(""BOM:""&amp;B78,""PRICE"")"),1139.7)</f>
        <v>1139.7</v>
      </c>
      <c r="F78" s="20">
        <f ca="1">IFERROR(__xludf.DUMMYFUNCTION("GOOGLEFINANCE(""BOM:""&amp;B78,""MARKETCAP"")/10000000"),115942.7576)</f>
        <v>115942.7576</v>
      </c>
      <c r="G78" s="95">
        <f t="shared" ca="1" si="25"/>
        <v>2.8778040474175381E-3</v>
      </c>
      <c r="H78" s="101">
        <v>37008</v>
      </c>
      <c r="I78" s="101">
        <v>36582</v>
      </c>
      <c r="J78" s="101">
        <v>2320</v>
      </c>
      <c r="K78" s="101">
        <v>3150</v>
      </c>
      <c r="L78" s="101">
        <v>13027</v>
      </c>
      <c r="M78" s="101">
        <v>11751</v>
      </c>
      <c r="N78" s="101">
        <v>189</v>
      </c>
      <c r="O78" s="101">
        <v>951</v>
      </c>
      <c r="P78" s="13">
        <f t="shared" ref="P78:Q78" si="156">J78/H78</f>
        <v>6.2689148292261132E-2</v>
      </c>
      <c r="Q78" s="13">
        <f t="shared" si="156"/>
        <v>8.6107921928817457E-2</v>
      </c>
      <c r="R78" s="13">
        <f t="shared" si="4"/>
        <v>-2.3418773636556325E-2</v>
      </c>
      <c r="S78" s="13">
        <f t="shared" ref="S78:T78" si="157">N78/L78</f>
        <v>1.4508328855454057E-2</v>
      </c>
      <c r="T78" s="13">
        <f t="shared" si="157"/>
        <v>8.092928261424559E-2</v>
      </c>
      <c r="U78" s="13">
        <f t="shared" si="6"/>
        <v>-6.6420953758791534E-2</v>
      </c>
      <c r="V78" s="13">
        <f t="shared" si="7"/>
        <v>1.1645071346563896E-2</v>
      </c>
      <c r="W78" s="13">
        <f t="shared" si="8"/>
        <v>-0.26349206349206344</v>
      </c>
      <c r="X78" s="13">
        <f t="shared" si="9"/>
        <v>0.10858650327631691</v>
      </c>
      <c r="Y78" s="13">
        <f t="shared" si="10"/>
        <v>-0.80126182965299686</v>
      </c>
    </row>
    <row r="79" spans="1:25" ht="14.4">
      <c r="A79" s="98" t="s">
        <v>274</v>
      </c>
      <c r="B79" s="99">
        <v>500002</v>
      </c>
      <c r="C79" s="98" t="s">
        <v>180</v>
      </c>
      <c r="D79" s="102" t="s">
        <v>275</v>
      </c>
      <c r="E79" s="11">
        <f ca="1">IFERROR(__xludf.DUMMYFUNCTION("GOOGLEFINANCE(""BOM:""&amp;B79,""PRICE"")"),6177.5)</f>
        <v>6177.5</v>
      </c>
      <c r="F79" s="20">
        <f ca="1">IFERROR(__xludf.DUMMYFUNCTION("GOOGLEFINANCE(""BOM:""&amp;B79,""MARKETCAP"")/10000000"),130959.3294)</f>
        <v>130959.3294</v>
      </c>
      <c r="G79" s="95">
        <f t="shared" ca="1" si="25"/>
        <v>3.2505289333777808E-3</v>
      </c>
      <c r="H79" s="101">
        <v>13202</v>
      </c>
      <c r="I79" s="101">
        <v>12188</v>
      </c>
      <c r="J79" s="101">
        <v>1668</v>
      </c>
      <c r="K79" s="101">
        <v>1871</v>
      </c>
      <c r="L79" s="101">
        <v>3557</v>
      </c>
      <c r="M79" s="101">
        <v>3365</v>
      </c>
      <c r="N79" s="101">
        <v>433</v>
      </c>
      <c r="O79" s="101">
        <v>528</v>
      </c>
      <c r="P79" s="13">
        <f t="shared" ref="P79:Q79" si="158">J79/H79</f>
        <v>0.12634449325859717</v>
      </c>
      <c r="Q79" s="13">
        <f t="shared" si="158"/>
        <v>0.15351165080406959</v>
      </c>
      <c r="R79" s="13">
        <f t="shared" si="4"/>
        <v>-2.7167157545472415E-2</v>
      </c>
      <c r="S79" s="13">
        <f t="shared" ref="S79:T79" si="159">N79/L79</f>
        <v>0.12173179645768907</v>
      </c>
      <c r="T79" s="13">
        <f t="shared" si="159"/>
        <v>0.15690936106983655</v>
      </c>
      <c r="U79" s="13">
        <f t="shared" si="6"/>
        <v>-3.517756461214748E-2</v>
      </c>
      <c r="V79" s="13">
        <f t="shared" si="7"/>
        <v>8.3196586806695061E-2</v>
      </c>
      <c r="W79" s="13">
        <f t="shared" si="8"/>
        <v>-0.1084981293425975</v>
      </c>
      <c r="X79" s="13">
        <f t="shared" si="9"/>
        <v>5.7057949479940584E-2</v>
      </c>
      <c r="Y79" s="13">
        <f t="shared" si="10"/>
        <v>-0.17992424242424243</v>
      </c>
    </row>
    <row r="80" spans="1:25" ht="14.4">
      <c r="A80" s="98" t="s">
        <v>276</v>
      </c>
      <c r="B80" s="99">
        <v>532725</v>
      </c>
      <c r="C80" s="98" t="s">
        <v>196</v>
      </c>
      <c r="D80" s="100" t="s">
        <v>277</v>
      </c>
      <c r="E80" s="11">
        <f ca="1">IFERROR(__xludf.DUMMYFUNCTION("GOOGLEFINANCE(""BOM:""&amp;B80,""PRICE"")"),13281)</f>
        <v>13281</v>
      </c>
      <c r="F80" s="20">
        <f ca="1">IFERROR(__xludf.DUMMYFUNCTION("GOOGLEFINANCE(""BOM:""&amp;B80,""MARKETCAP"")/10000000"),120487.48826)</f>
        <v>120487.48826</v>
      </c>
      <c r="G80" s="95">
        <f t="shared" ca="1" si="25"/>
        <v>2.9906083705033516E-3</v>
      </c>
      <c r="H80" s="101">
        <v>6385</v>
      </c>
      <c r="I80" s="101">
        <v>5374</v>
      </c>
      <c r="J80" s="101">
        <v>1181</v>
      </c>
      <c r="K80" s="101">
        <v>942</v>
      </c>
      <c r="L80" s="101">
        <v>2548</v>
      </c>
      <c r="M80" s="101">
        <v>1973</v>
      </c>
      <c r="N80" s="101">
        <v>467</v>
      </c>
      <c r="O80" s="101">
        <v>337</v>
      </c>
      <c r="P80" s="13">
        <f t="shared" ref="P80:Q80" si="160">J80/H80</f>
        <v>0.18496476115896632</v>
      </c>
      <c r="Q80" s="13">
        <f t="shared" si="160"/>
        <v>0.17528842575362857</v>
      </c>
      <c r="R80" s="13">
        <f t="shared" si="4"/>
        <v>9.6763354053377437E-3</v>
      </c>
      <c r="S80" s="13">
        <f t="shared" ref="S80:T80" si="161">N80/L80</f>
        <v>0.18328100470957615</v>
      </c>
      <c r="T80" s="13">
        <f t="shared" si="161"/>
        <v>0.17080587937151545</v>
      </c>
      <c r="U80" s="13">
        <f t="shared" si="6"/>
        <v>1.2475125338060694E-2</v>
      </c>
      <c r="V80" s="13">
        <f t="shared" si="7"/>
        <v>0.18812802381838489</v>
      </c>
      <c r="W80" s="13">
        <f t="shared" si="8"/>
        <v>0.25371549893842893</v>
      </c>
      <c r="X80" s="13">
        <f t="shared" si="9"/>
        <v>0.29143436391282318</v>
      </c>
      <c r="Y80" s="13">
        <f t="shared" si="10"/>
        <v>0.3857566765578635</v>
      </c>
    </row>
    <row r="81" spans="1:25" ht="14.4">
      <c r="A81" s="98" t="s">
        <v>278</v>
      </c>
      <c r="B81" s="99">
        <v>500477</v>
      </c>
      <c r="C81" s="98" t="s">
        <v>180</v>
      </c>
      <c r="D81" s="101" t="s">
        <v>279</v>
      </c>
      <c r="E81" s="11">
        <f ca="1">IFERROR(__xludf.DUMMYFUNCTION("GOOGLEFINANCE(""BOM:""&amp;B81,""PRICE"")"),150.1)</f>
        <v>150.1</v>
      </c>
      <c r="F81" s="20">
        <f ca="1">IFERROR(__xludf.DUMMYFUNCTION("GOOGLEFINANCE(""BOM:""&amp;B81,""MARKETCAP"")/10000000"),88124.9219773)</f>
        <v>88124.921977299993</v>
      </c>
      <c r="G81" s="95">
        <f t="shared" ca="1" si="25"/>
        <v>2.1873402219702654E-3</v>
      </c>
      <c r="H81" s="101">
        <v>39116</v>
      </c>
      <c r="I81" s="101">
        <v>33840</v>
      </c>
      <c r="J81" s="101">
        <v>2340</v>
      </c>
      <c r="K81" s="101">
        <v>2137</v>
      </c>
      <c r="L81" s="101">
        <v>14830</v>
      </c>
      <c r="M81" s="101">
        <v>11995</v>
      </c>
      <c r="N81" s="101">
        <v>862</v>
      </c>
      <c r="O81" s="101">
        <v>820</v>
      </c>
      <c r="P81" s="13">
        <f t="shared" ref="P81:Q81" si="162">J81/H81</f>
        <v>5.9822067696083447E-2</v>
      </c>
      <c r="Q81" s="13">
        <f t="shared" si="162"/>
        <v>6.3150118203309694E-2</v>
      </c>
      <c r="R81" s="13">
        <f t="shared" si="4"/>
        <v>-3.3280505072262462E-3</v>
      </c>
      <c r="S81" s="13">
        <f t="shared" ref="S81:T81" si="163">N81/L81</f>
        <v>5.8125421443020901E-2</v>
      </c>
      <c r="T81" s="13">
        <f t="shared" si="163"/>
        <v>6.8361817423926635E-2</v>
      </c>
      <c r="U81" s="13">
        <f t="shared" si="6"/>
        <v>-1.0236395980905734E-2</v>
      </c>
      <c r="V81" s="13">
        <f t="shared" si="7"/>
        <v>0.15591016548463354</v>
      </c>
      <c r="W81" s="13">
        <f t="shared" si="8"/>
        <v>9.499298081422558E-2</v>
      </c>
      <c r="X81" s="13">
        <f t="shared" si="9"/>
        <v>0.2363484785327219</v>
      </c>
      <c r="Y81" s="13">
        <f t="shared" si="10"/>
        <v>5.1219512195121997E-2</v>
      </c>
    </row>
    <row r="82" spans="1:25" ht="14.4">
      <c r="A82" s="98" t="s">
        <v>280</v>
      </c>
      <c r="B82" s="99">
        <v>500116</v>
      </c>
      <c r="C82" s="98" t="s">
        <v>172</v>
      </c>
      <c r="D82" s="101" t="s">
        <v>72</v>
      </c>
      <c r="E82" s="11">
        <f ca="1">IFERROR(__xludf.DUMMYFUNCTION("GOOGLEFINANCE(""BOM:""&amp;B82,""PRICE"")"),69.81)</f>
        <v>69.81</v>
      </c>
      <c r="F82" s="20">
        <f ca="1">IFERROR(__xludf.DUMMYFUNCTION("GOOGLEFINANCE(""BOM:""&amp;B82,""MARKETCAP"")/10000000"),74987.235303)</f>
        <v>74987.235302999994</v>
      </c>
      <c r="G82" s="95">
        <f t="shared" ca="1" si="25"/>
        <v>1.8612509632048347E-3</v>
      </c>
      <c r="H82" s="101">
        <v>26113</v>
      </c>
      <c r="I82" s="101">
        <v>24968</v>
      </c>
      <c r="J82" s="101">
        <v>7224</v>
      </c>
      <c r="K82" s="101">
        <v>5516</v>
      </c>
      <c r="L82" s="101">
        <v>8351</v>
      </c>
      <c r="M82" s="101">
        <v>8628</v>
      </c>
      <c r="N82" s="101">
        <v>1959</v>
      </c>
      <c r="O82" s="101">
        <v>1929</v>
      </c>
      <c r="P82" s="13">
        <f t="shared" ref="P82:Q82" si="164">J82/H82</f>
        <v>0.27664381725577297</v>
      </c>
      <c r="Q82" s="13">
        <f t="shared" si="164"/>
        <v>0.22092278115988465</v>
      </c>
      <c r="R82" s="13">
        <f t="shared" si="4"/>
        <v>5.5721036095888327E-2</v>
      </c>
      <c r="S82" s="13">
        <f t="shared" ref="S82:T82" si="165">N82/L82</f>
        <v>0.23458268470841814</v>
      </c>
      <c r="T82" s="13">
        <f t="shared" si="165"/>
        <v>0.22357440890125174</v>
      </c>
      <c r="U82" s="13">
        <f t="shared" si="6"/>
        <v>1.1008275807166401E-2</v>
      </c>
      <c r="V82" s="13">
        <f t="shared" si="7"/>
        <v>4.58586991348926E-2</v>
      </c>
      <c r="W82" s="13">
        <f t="shared" si="8"/>
        <v>0.30964467005076135</v>
      </c>
      <c r="X82" s="13">
        <f t="shared" si="9"/>
        <v>-3.2104775150672227E-2</v>
      </c>
      <c r="Y82" s="13">
        <f t="shared" si="10"/>
        <v>1.5552099533437058E-2</v>
      </c>
    </row>
    <row r="83" spans="1:25" ht="14.4">
      <c r="A83" s="98" t="s">
        <v>281</v>
      </c>
      <c r="B83" s="99">
        <v>532424</v>
      </c>
      <c r="C83" s="98" t="s">
        <v>183</v>
      </c>
      <c r="D83" s="101" t="s">
        <v>282</v>
      </c>
      <c r="E83" s="11">
        <f ca="1">IFERROR(__xludf.DUMMYFUNCTION("GOOGLEFINANCE(""BOM:""&amp;B83,""PRICE"")"),1002.25)</f>
        <v>1002.25</v>
      </c>
      <c r="F83" s="20">
        <f ca="1">IFERROR(__xludf.DUMMYFUNCTION("GOOGLEFINANCE(""BOM:""&amp;B83,""MARKETCAP"")/10000000"),102534.1637709)</f>
        <v>102534.16377090001</v>
      </c>
      <c r="G83" s="95">
        <f t="shared" ca="1" si="25"/>
        <v>2.5449906281896882E-3</v>
      </c>
      <c r="H83" s="101">
        <v>11586</v>
      </c>
      <c r="I83" s="101">
        <v>10766</v>
      </c>
      <c r="J83" s="101">
        <v>1409</v>
      </c>
      <c r="K83" s="101">
        <v>1440</v>
      </c>
      <c r="L83" s="101">
        <v>4099</v>
      </c>
      <c r="M83" s="101">
        <v>3768</v>
      </c>
      <c r="N83" s="101">
        <v>497</v>
      </c>
      <c r="O83" s="101">
        <v>498</v>
      </c>
      <c r="P83" s="13">
        <f t="shared" ref="P83:Q83" si="166">J83/H83</f>
        <v>0.12161229069566719</v>
      </c>
      <c r="Q83" s="13">
        <f t="shared" si="166"/>
        <v>0.13375441203789709</v>
      </c>
      <c r="R83" s="13">
        <f t="shared" si="4"/>
        <v>-1.2142121342229903E-2</v>
      </c>
      <c r="S83" s="13">
        <f t="shared" ref="S83:T83" si="167">N83/L83</f>
        <v>0.12124908514271773</v>
      </c>
      <c r="T83" s="13">
        <f t="shared" si="167"/>
        <v>0.1321656050955414</v>
      </c>
      <c r="U83" s="13">
        <f t="shared" si="6"/>
        <v>-1.0916519952823667E-2</v>
      </c>
      <c r="V83" s="13">
        <f t="shared" si="7"/>
        <v>7.6165706854913529E-2</v>
      </c>
      <c r="W83" s="13">
        <f t="shared" si="8"/>
        <v>-2.1527777777777812E-2</v>
      </c>
      <c r="X83" s="13">
        <f t="shared" si="9"/>
        <v>8.784501061571115E-2</v>
      </c>
      <c r="Y83" s="13">
        <f t="shared" si="10"/>
        <v>-2.0080321285140812E-3</v>
      </c>
    </row>
    <row r="84" spans="1:25" ht="14.4">
      <c r="A84" s="98" t="s">
        <v>283</v>
      </c>
      <c r="B84" s="99">
        <v>500550</v>
      </c>
      <c r="C84" s="98" t="s">
        <v>180</v>
      </c>
      <c r="D84" s="102" t="s">
        <v>275</v>
      </c>
      <c r="E84" s="11">
        <f ca="1">IFERROR(__xludf.DUMMYFUNCTION("GOOGLEFINANCE(""BOM:""&amp;B84,""PRICE"")"),3038.25)</f>
        <v>3038.25</v>
      </c>
      <c r="F84" s="20">
        <f ca="1">IFERROR(__xludf.DUMMYFUNCTION("GOOGLEFINANCE(""BOM:""&amp;B84,""MARKETCAP"")/10000000"),108160.2112575)</f>
        <v>108160.21125750001</v>
      </c>
      <c r="G84" s="95">
        <f t="shared" ca="1" si="25"/>
        <v>2.6846342123431561E-3</v>
      </c>
      <c r="H84" s="101">
        <v>20228</v>
      </c>
      <c r="I84" s="101">
        <v>15145</v>
      </c>
      <c r="J84" s="101">
        <v>2383</v>
      </c>
      <c r="K84" s="101">
        <v>2718</v>
      </c>
      <c r="L84" s="101">
        <v>3830</v>
      </c>
      <c r="M84" s="101">
        <v>3360</v>
      </c>
      <c r="N84" s="101">
        <v>277</v>
      </c>
      <c r="O84" s="101">
        <v>614</v>
      </c>
      <c r="P84" s="13">
        <f t="shared" ref="P84:Q84" si="168">J84/H84</f>
        <v>0.1178070001977457</v>
      </c>
      <c r="Q84" s="13">
        <f t="shared" si="168"/>
        <v>0.17946517002310994</v>
      </c>
      <c r="R84" s="13">
        <f t="shared" si="4"/>
        <v>-6.1658169825364234E-2</v>
      </c>
      <c r="S84" s="13">
        <f t="shared" ref="S84:T84" si="169">N84/L84</f>
        <v>7.232375979112271E-2</v>
      </c>
      <c r="T84" s="13">
        <f t="shared" si="169"/>
        <v>0.18273809523809523</v>
      </c>
      <c r="U84" s="13">
        <f t="shared" si="6"/>
        <v>-0.11041433544697252</v>
      </c>
      <c r="V84" s="13">
        <f t="shared" si="7"/>
        <v>0.33562231759656647</v>
      </c>
      <c r="W84" s="13">
        <f t="shared" si="8"/>
        <v>-0.12325239146431199</v>
      </c>
      <c r="X84" s="13">
        <f t="shared" si="9"/>
        <v>0.13988095238095233</v>
      </c>
      <c r="Y84" s="13">
        <f t="shared" si="10"/>
        <v>-0.54885993485342022</v>
      </c>
    </row>
    <row r="85" spans="1:25" ht="14.4">
      <c r="A85" s="98" t="s">
        <v>284</v>
      </c>
      <c r="B85" s="99">
        <v>534816</v>
      </c>
      <c r="C85" s="98" t="s">
        <v>170</v>
      </c>
      <c r="D85" s="101" t="s">
        <v>285</v>
      </c>
      <c r="E85" s="11">
        <f ca="1">IFERROR(__xludf.DUMMYFUNCTION("GOOGLEFINANCE(""BOM:""&amp;B85,""PRICE"")"),428.75)</f>
        <v>428.75</v>
      </c>
      <c r="F85" s="20">
        <f ca="1">IFERROR(__xludf.DUMMYFUNCTION("GOOGLEFINANCE(""BOM:""&amp;B85,""MARKETCAP"")/10000000"),113213.0180008)</f>
        <v>113213.0180008</v>
      </c>
      <c r="G85" s="95">
        <f t="shared" ca="1" si="25"/>
        <v>2.8100494430801501E-3</v>
      </c>
      <c r="H85" s="101">
        <v>24392</v>
      </c>
      <c r="I85" s="101">
        <v>22395</v>
      </c>
      <c r="J85" s="101">
        <v>5352</v>
      </c>
      <c r="K85" s="101">
        <v>8152</v>
      </c>
      <c r="L85" s="101">
        <v>8146</v>
      </c>
      <c r="M85" s="101">
        <v>7547</v>
      </c>
      <c r="N85" s="101">
        <v>1775</v>
      </c>
      <c r="O85" s="101">
        <v>4003</v>
      </c>
      <c r="P85" s="13">
        <f t="shared" ref="P85:Q85" si="170">J85/H85</f>
        <v>0.21941620203345358</v>
      </c>
      <c r="Q85" s="13">
        <f t="shared" si="170"/>
        <v>0.36400982362134404</v>
      </c>
      <c r="R85" s="13">
        <f t="shared" si="4"/>
        <v>-0.14459362158789046</v>
      </c>
      <c r="S85" s="13">
        <f t="shared" ref="S85:T85" si="171">N85/L85</f>
        <v>0.21789835502086913</v>
      </c>
      <c r="T85" s="13">
        <f t="shared" si="171"/>
        <v>0.53040943421226983</v>
      </c>
      <c r="U85" s="13">
        <f t="shared" si="6"/>
        <v>-0.3125110791914007</v>
      </c>
      <c r="V85" s="13">
        <f t="shared" si="7"/>
        <v>8.9171690109399515E-2</v>
      </c>
      <c r="W85" s="13">
        <f t="shared" si="8"/>
        <v>-0.3434739941118744</v>
      </c>
      <c r="X85" s="13">
        <f t="shared" si="9"/>
        <v>7.9369285808930767E-2</v>
      </c>
      <c r="Y85" s="13">
        <f t="shared" si="10"/>
        <v>-0.55658256307769172</v>
      </c>
    </row>
    <row r="86" spans="1:25" ht="14.4">
      <c r="A86" s="98" t="s">
        <v>286</v>
      </c>
      <c r="B86" s="99">
        <v>500490</v>
      </c>
      <c r="C86" s="98" t="s">
        <v>172</v>
      </c>
      <c r="D86" s="102" t="s">
        <v>209</v>
      </c>
      <c r="E86" s="11">
        <f ca="1">IFERROR(__xludf.DUMMYFUNCTION("GOOGLEFINANCE(""BOM:""&amp;B86,""PRICE"")"),9178)</f>
        <v>9178</v>
      </c>
      <c r="F86" s="20">
        <f ca="1">IFERROR(__xludf.DUMMYFUNCTION("GOOGLEFINANCE(""BOM:""&amp;B86,""MARKETCAP"")/10000000"),102095.092225)</f>
        <v>102095.092225</v>
      </c>
      <c r="G86" s="95">
        <f t="shared" ca="1" si="25"/>
        <v>2.5340924755318378E-3</v>
      </c>
      <c r="H86" s="101">
        <v>1048</v>
      </c>
      <c r="I86" s="101">
        <v>599</v>
      </c>
      <c r="J86" s="101">
        <v>7062</v>
      </c>
      <c r="K86" s="101">
        <v>4795</v>
      </c>
      <c r="L86" s="101">
        <v>300</v>
      </c>
      <c r="M86" s="101">
        <v>158</v>
      </c>
      <c r="N86" s="101">
        <v>2016</v>
      </c>
      <c r="O86" s="101">
        <v>1748</v>
      </c>
      <c r="P86" s="13">
        <f t="shared" ref="P86:Q86" si="172">J86/H86</f>
        <v>6.7385496183206106</v>
      </c>
      <c r="Q86" s="13">
        <f t="shared" si="172"/>
        <v>8.0050083472454094</v>
      </c>
      <c r="R86" s="13">
        <f t="shared" si="4"/>
        <v>-1.2664587289247988</v>
      </c>
      <c r="S86" s="13">
        <f t="shared" ref="S86:T86" si="173">N86/L86</f>
        <v>6.72</v>
      </c>
      <c r="T86" s="13">
        <f t="shared" si="173"/>
        <v>11.063291139240507</v>
      </c>
      <c r="U86" s="13">
        <f t="shared" si="6"/>
        <v>-4.3432911392405069</v>
      </c>
      <c r="V86" s="13">
        <f t="shared" si="7"/>
        <v>0.74958263772954914</v>
      </c>
      <c r="W86" s="13">
        <f t="shared" si="8"/>
        <v>0.47278415015641295</v>
      </c>
      <c r="X86" s="13">
        <f t="shared" si="9"/>
        <v>0.89873417721518978</v>
      </c>
      <c r="Y86" s="13">
        <f t="shared" si="10"/>
        <v>0.15331807780320372</v>
      </c>
    </row>
    <row r="87" spans="1:25" ht="14.4">
      <c r="A87" s="98" t="s">
        <v>287</v>
      </c>
      <c r="B87" s="99">
        <v>500400</v>
      </c>
      <c r="C87" s="98" t="s">
        <v>198</v>
      </c>
      <c r="D87" s="101" t="s">
        <v>288</v>
      </c>
      <c r="E87" s="11">
        <f ca="1">IFERROR(__xludf.DUMMYFUNCTION("GOOGLEFINANCE(""BOM:""&amp;B87,""PRICE"")"),385.05)</f>
        <v>385.05</v>
      </c>
      <c r="F87" s="20">
        <f ca="1">IFERROR(__xludf.DUMMYFUNCTION("GOOGLEFINANCE(""BOM:""&amp;B87,""MARKETCAP"")/10000000"),123052.5453502)</f>
        <v>123052.5453502</v>
      </c>
      <c r="G87" s="95">
        <f t="shared" ca="1" si="25"/>
        <v>3.0542754061063985E-3</v>
      </c>
      <c r="H87" s="101">
        <v>47528</v>
      </c>
      <c r="I87" s="101">
        <v>48382</v>
      </c>
      <c r="J87" s="101">
        <v>3702</v>
      </c>
      <c r="K87" s="101">
        <v>3469</v>
      </c>
      <c r="L87" s="101">
        <v>13948</v>
      </c>
      <c r="M87" s="101">
        <v>15391</v>
      </c>
      <c r="N87" s="101">
        <v>1194</v>
      </c>
      <c r="O87" s="101">
        <v>1188</v>
      </c>
      <c r="P87" s="13">
        <f t="shared" ref="P87:Q87" si="174">J87/H87</f>
        <v>7.7890927453290695E-2</v>
      </c>
      <c r="Q87" s="13">
        <f t="shared" si="174"/>
        <v>7.1700219089744124E-2</v>
      </c>
      <c r="R87" s="13">
        <f t="shared" si="4"/>
        <v>6.1907083635465709E-3</v>
      </c>
      <c r="S87" s="13">
        <f t="shared" ref="S87:T87" si="175">N87/L87</f>
        <v>8.5603670777172361E-2</v>
      </c>
      <c r="T87" s="13">
        <f t="shared" si="175"/>
        <v>7.7187966993697621E-2</v>
      </c>
      <c r="U87" s="13">
        <f t="shared" si="6"/>
        <v>8.41570378347474E-3</v>
      </c>
      <c r="V87" s="13">
        <f t="shared" si="7"/>
        <v>-1.7651192592286424E-2</v>
      </c>
      <c r="W87" s="13">
        <f t="shared" si="8"/>
        <v>6.7166330354569093E-2</v>
      </c>
      <c r="X87" s="13">
        <f t="shared" si="9"/>
        <v>-9.375609122214279E-2</v>
      </c>
      <c r="Y87" s="13">
        <f t="shared" si="10"/>
        <v>5.050505050504972E-3</v>
      </c>
    </row>
    <row r="88" spans="1:25" ht="14.4">
      <c r="A88" s="98" t="s">
        <v>289</v>
      </c>
      <c r="B88" s="99">
        <v>539254</v>
      </c>
      <c r="C88" s="98" t="s">
        <v>198</v>
      </c>
      <c r="D88" s="101" t="s">
        <v>290</v>
      </c>
      <c r="E88" s="11">
        <f ca="1">IFERROR(__xludf.DUMMYFUNCTION("GOOGLEFINANCE(""BOM:""&amp;B88,""PRICE"")"),997.9)</f>
        <v>997.9</v>
      </c>
      <c r="F88" s="20">
        <f ca="1">IFERROR(__xludf.DUMMYFUNCTION("GOOGLEFINANCE(""BOM:""&amp;B88,""MARKETCAP"")/10000000"),119735.4687523)</f>
        <v>119735.4687523</v>
      </c>
      <c r="G88" s="95">
        <f t="shared" ca="1" si="25"/>
        <v>2.9719425665515231E-3</v>
      </c>
      <c r="H88" s="101">
        <v>20144</v>
      </c>
      <c r="I88" s="101">
        <v>17392</v>
      </c>
      <c r="J88" s="101">
        <v>1670</v>
      </c>
      <c r="K88" s="101">
        <v>208</v>
      </c>
      <c r="L88" s="101">
        <v>6729</v>
      </c>
      <c r="M88" s="101">
        <v>5830</v>
      </c>
      <c r="N88" s="101">
        <v>574</v>
      </c>
      <c r="O88" s="101">
        <v>625</v>
      </c>
      <c r="P88" s="13">
        <f t="shared" ref="P88:Q88" si="176">J88/H88</f>
        <v>8.2903097696584591E-2</v>
      </c>
      <c r="Q88" s="13">
        <f t="shared" si="176"/>
        <v>1.1959521619135235E-2</v>
      </c>
      <c r="R88" s="13">
        <f t="shared" si="4"/>
        <v>7.0943576077449361E-2</v>
      </c>
      <c r="S88" s="13">
        <f t="shared" ref="S88:T88" si="177">N88/L88</f>
        <v>8.5302422351017981E-2</v>
      </c>
      <c r="T88" s="13">
        <f t="shared" si="177"/>
        <v>0.1072041166380789</v>
      </c>
      <c r="U88" s="13">
        <f t="shared" si="6"/>
        <v>-2.1901694287060916E-2</v>
      </c>
      <c r="V88" s="13">
        <f t="shared" si="7"/>
        <v>0.15823367065317395</v>
      </c>
      <c r="W88" s="13">
        <f t="shared" si="8"/>
        <v>7.0288461538461533</v>
      </c>
      <c r="X88" s="13">
        <f t="shared" si="9"/>
        <v>0.15420240137221275</v>
      </c>
      <c r="Y88" s="13">
        <f t="shared" si="10"/>
        <v>-8.1600000000000006E-2</v>
      </c>
    </row>
    <row r="89" spans="1:25" ht="14.4">
      <c r="A89" s="98" t="s">
        <v>291</v>
      </c>
      <c r="B89" s="99">
        <v>541729</v>
      </c>
      <c r="C89" s="98" t="s">
        <v>172</v>
      </c>
      <c r="D89" s="101" t="s">
        <v>246</v>
      </c>
      <c r="E89" s="11">
        <f ca="1">IFERROR(__xludf.DUMMYFUNCTION("GOOGLEFINANCE(""BOM:""&amp;B89,""PRICE"")"),2394.9)</f>
        <v>2394.9</v>
      </c>
      <c r="F89" s="20">
        <f ca="1">IFERROR(__xludf.DUMMYFUNCTION("GOOGLEFINANCE(""BOM:""&amp;B89,""MARKETCAP"")/10000000"),102653.2777942)</f>
        <v>102653.2777942</v>
      </c>
      <c r="G89" s="95">
        <f t="shared" ca="1" si="25"/>
        <v>2.5479471459183721E-3</v>
      </c>
      <c r="H89" s="101">
        <v>3559</v>
      </c>
      <c r="I89" s="101">
        <v>3034</v>
      </c>
      <c r="J89" s="101">
        <v>2235</v>
      </c>
      <c r="K89" s="101">
        <v>1821</v>
      </c>
      <c r="L89" s="101">
        <v>1234</v>
      </c>
      <c r="M89" s="101">
        <v>1027</v>
      </c>
      <c r="N89" s="101">
        <v>769</v>
      </c>
      <c r="O89" s="101">
        <v>641</v>
      </c>
      <c r="P89" s="13">
        <f t="shared" ref="P89:Q89" si="178">J89/H89</f>
        <v>0.62798538915425683</v>
      </c>
      <c r="Q89" s="13">
        <f t="shared" si="178"/>
        <v>0.60019775873434411</v>
      </c>
      <c r="R89" s="13">
        <f t="shared" si="4"/>
        <v>2.7787630419912723E-2</v>
      </c>
      <c r="S89" s="13">
        <f t="shared" ref="S89:T89" si="179">N89/L89</f>
        <v>0.62317666126418148</v>
      </c>
      <c r="T89" s="13">
        <f t="shared" si="179"/>
        <v>0.62414800389483938</v>
      </c>
      <c r="U89" s="13">
        <f t="shared" si="6"/>
        <v>-9.7134263065790094E-4</v>
      </c>
      <c r="V89" s="13">
        <f t="shared" si="7"/>
        <v>0.17303889255108773</v>
      </c>
      <c r="W89" s="13">
        <f t="shared" si="8"/>
        <v>0.22734761120263602</v>
      </c>
      <c r="X89" s="13">
        <f t="shared" si="9"/>
        <v>0.20155793573515091</v>
      </c>
      <c r="Y89" s="13">
        <f t="shared" si="10"/>
        <v>0.19968798751950079</v>
      </c>
    </row>
    <row r="90" spans="1:25" ht="14.4">
      <c r="A90" s="98" t="s">
        <v>292</v>
      </c>
      <c r="B90" s="99">
        <v>543187</v>
      </c>
      <c r="C90" s="98" t="s">
        <v>180</v>
      </c>
      <c r="D90" s="100" t="s">
        <v>275</v>
      </c>
      <c r="E90" s="11">
        <f ca="1">IFERROR(__xludf.DUMMYFUNCTION("GOOGLEFINANCE(""BOM:""&amp;B90,""PRICE"")"),25104.95)</f>
        <v>25104.95</v>
      </c>
      <c r="F90" s="20">
        <f ca="1">IFERROR(__xludf.DUMMYFUNCTION("GOOGLEFINANCE(""BOM:""&amp;B90,""MARKETCAP"")/10000000"),112683.6649881)</f>
        <v>112683.6649881</v>
      </c>
      <c r="G90" s="95">
        <f t="shared" ca="1" si="25"/>
        <v>2.7969104228084715E-3</v>
      </c>
      <c r="H90" s="101">
        <v>5393</v>
      </c>
      <c r="I90" s="101">
        <v>4501</v>
      </c>
      <c r="J90" s="101">
        <v>657</v>
      </c>
      <c r="K90" s="101">
        <v>200</v>
      </c>
      <c r="L90" s="101">
        <v>2082</v>
      </c>
      <c r="M90" s="101">
        <v>1620</v>
      </c>
      <c r="N90" s="101">
        <v>261</v>
      </c>
      <c r="O90" s="101">
        <v>137</v>
      </c>
      <c r="P90" s="13">
        <f t="shared" ref="P90:Q90" si="180">J90/H90</f>
        <v>0.1218245874281476</v>
      </c>
      <c r="Q90" s="13">
        <f t="shared" si="180"/>
        <v>4.4434570095534323E-2</v>
      </c>
      <c r="R90" s="13">
        <f t="shared" si="4"/>
        <v>7.7390017332613276E-2</v>
      </c>
      <c r="S90" s="13">
        <f t="shared" ref="S90:T90" si="181">N90/L90</f>
        <v>0.12536023054755044</v>
      </c>
      <c r="T90" s="13">
        <f t="shared" si="181"/>
        <v>8.4567901234567908E-2</v>
      </c>
      <c r="U90" s="13">
        <f t="shared" si="6"/>
        <v>4.0792329312982531E-2</v>
      </c>
      <c r="V90" s="13">
        <f t="shared" si="7"/>
        <v>0.19817818262608311</v>
      </c>
      <c r="W90" s="13">
        <f t="shared" si="8"/>
        <v>2.2850000000000001</v>
      </c>
      <c r="X90" s="13">
        <f t="shared" si="9"/>
        <v>0.28518518518518521</v>
      </c>
      <c r="Y90" s="13">
        <f t="shared" si="10"/>
        <v>0.9051094890510949</v>
      </c>
    </row>
    <row r="91" spans="1:25" ht="14.4">
      <c r="A91" s="98" t="s">
        <v>293</v>
      </c>
      <c r="B91" s="99">
        <v>500182</v>
      </c>
      <c r="C91" s="98" t="s">
        <v>187</v>
      </c>
      <c r="D91" s="70" t="s">
        <v>82</v>
      </c>
      <c r="E91" s="11">
        <f ca="1">IFERROR(__xludf.DUMMYFUNCTION("GOOGLEFINANCE(""BOM:""&amp;B91,""PRICE"")"),5095.9)</f>
        <v>5095.8999999999996</v>
      </c>
      <c r="F91" s="20">
        <f ca="1">IFERROR(__xludf.DUMMYFUNCTION("GOOGLEFINANCE(""BOM:""&amp;B91,""MARKETCAP"")/10000000"),101968.4984149)</f>
        <v>101968.49841489999</v>
      </c>
      <c r="G91" s="95">
        <f t="shared" ca="1" si="25"/>
        <v>2.5309503027335966E-3</v>
      </c>
      <c r="H91" s="101">
        <v>34433</v>
      </c>
      <c r="I91" s="101">
        <v>30954</v>
      </c>
      <c r="J91" s="101">
        <v>4302</v>
      </c>
      <c r="K91" s="101">
        <v>3207</v>
      </c>
      <c r="L91" s="101">
        <v>12487</v>
      </c>
      <c r="M91" s="101">
        <v>10260</v>
      </c>
      <c r="N91" s="101">
        <v>1275</v>
      </c>
      <c r="O91" s="101">
        <v>1108</v>
      </c>
      <c r="P91" s="13">
        <f t="shared" ref="P91:Q91" si="182">J91/H91</f>
        <v>0.12493828594662097</v>
      </c>
      <c r="Q91" s="13">
        <f t="shared" si="182"/>
        <v>0.10360534987400659</v>
      </c>
      <c r="R91" s="13">
        <f t="shared" si="4"/>
        <v>2.1332936072614384E-2</v>
      </c>
      <c r="S91" s="13">
        <f t="shared" ref="S91:T91" si="183">N91/L91</f>
        <v>0.10210619043805558</v>
      </c>
      <c r="T91" s="13">
        <f t="shared" si="183"/>
        <v>0.10799220272904483</v>
      </c>
      <c r="U91" s="13">
        <f t="shared" si="6"/>
        <v>-5.8860122909892565E-3</v>
      </c>
      <c r="V91" s="13">
        <f t="shared" si="7"/>
        <v>0.11239258254183637</v>
      </c>
      <c r="W91" s="13">
        <f t="shared" si="8"/>
        <v>0.3414405986903648</v>
      </c>
      <c r="X91" s="13">
        <f t="shared" si="9"/>
        <v>0.21705653021442495</v>
      </c>
      <c r="Y91" s="13">
        <f t="shared" si="10"/>
        <v>0.15072202166064974</v>
      </c>
    </row>
    <row r="92" spans="1:25" ht="14.4">
      <c r="A92" s="98" t="s">
        <v>294</v>
      </c>
      <c r="B92" s="99">
        <v>500093</v>
      </c>
      <c r="C92" s="98" t="s">
        <v>180</v>
      </c>
      <c r="D92" s="101" t="s">
        <v>275</v>
      </c>
      <c r="E92" s="11">
        <f ca="1">IFERROR(__xludf.DUMMYFUNCTION("GOOGLEFINANCE(""BOM:""&amp;B92,""PRICE"")"),684.75)</f>
        <v>684.75</v>
      </c>
      <c r="F92" s="20">
        <f ca="1">IFERROR(__xludf.DUMMYFUNCTION("GOOGLEFINANCE(""BOM:""&amp;B92,""MARKETCAP"")/10000000"),107913.5203225)</f>
        <v>107913.5203225</v>
      </c>
      <c r="G92" s="95">
        <f t="shared" ca="1" si="25"/>
        <v>2.6785111203458667E-3</v>
      </c>
      <c r="H92" s="101">
        <v>8976</v>
      </c>
      <c r="I92" s="101">
        <v>7155</v>
      </c>
      <c r="J92" s="101">
        <v>835</v>
      </c>
      <c r="K92" s="101">
        <v>699</v>
      </c>
      <c r="L92" s="101">
        <v>3175</v>
      </c>
      <c r="M92" s="101">
        <v>2515</v>
      </c>
      <c r="N92" s="101">
        <v>284</v>
      </c>
      <c r="O92" s="101">
        <v>238</v>
      </c>
      <c r="P92" s="13">
        <f t="shared" ref="P92:Q92" si="184">J92/H92</f>
        <v>9.3025846702317297E-2</v>
      </c>
      <c r="Q92" s="13">
        <f t="shared" si="184"/>
        <v>9.7693920335429771E-2</v>
      </c>
      <c r="R92" s="13">
        <f t="shared" si="4"/>
        <v>-4.6680736331124739E-3</v>
      </c>
      <c r="S92" s="13">
        <f t="shared" ref="S92:T92" si="185">N92/L92</f>
        <v>8.9448818897637797E-2</v>
      </c>
      <c r="T92" s="13">
        <f t="shared" si="185"/>
        <v>9.4632206759443338E-2</v>
      </c>
      <c r="U92" s="13">
        <f t="shared" si="6"/>
        <v>-5.1833878618055412E-3</v>
      </c>
      <c r="V92" s="13">
        <f t="shared" si="7"/>
        <v>0.25450733752620547</v>
      </c>
      <c r="W92" s="13">
        <f t="shared" si="8"/>
        <v>0.19456366237482126</v>
      </c>
      <c r="X92" s="13">
        <f t="shared" si="9"/>
        <v>0.2624254473161034</v>
      </c>
      <c r="Y92" s="13">
        <f t="shared" si="10"/>
        <v>0.19327731092436973</v>
      </c>
    </row>
    <row r="93" spans="1:25" ht="14.4">
      <c r="A93" s="98" t="s">
        <v>295</v>
      </c>
      <c r="B93" s="99">
        <v>508869</v>
      </c>
      <c r="C93" s="98" t="s">
        <v>190</v>
      </c>
      <c r="D93" s="70" t="s">
        <v>113</v>
      </c>
      <c r="E93" s="11">
        <f ca="1">IFERROR(__xludf.DUMMYFUNCTION("GOOGLEFINANCE(""BOM:""&amp;B93,""PRICE"")"),7364.5)</f>
        <v>7364.5</v>
      </c>
      <c r="F93" s="20">
        <f ca="1">IFERROR(__xludf.DUMMYFUNCTION("GOOGLEFINANCE(""BOM:""&amp;B93,""MARKETCAP"")/10000000"),105890.16867)</f>
        <v>105890.16867</v>
      </c>
      <c r="G93" s="95">
        <f t="shared" ca="1" si="25"/>
        <v>2.6282897033686886E-3</v>
      </c>
      <c r="H93" s="101">
        <v>18623</v>
      </c>
      <c r="I93" s="101">
        <v>16201</v>
      </c>
      <c r="J93" s="101">
        <v>1451</v>
      </c>
      <c r="K93" s="101">
        <v>1090</v>
      </c>
      <c r="L93" s="101">
        <v>6477</v>
      </c>
      <c r="M93" s="101">
        <v>5526</v>
      </c>
      <c r="N93" s="101">
        <v>516</v>
      </c>
      <c r="O93" s="101">
        <v>379</v>
      </c>
      <c r="P93" s="13">
        <f t="shared" ref="P93:Q93" si="186">J93/H93</f>
        <v>7.7914406916178916E-2</v>
      </c>
      <c r="Q93" s="13">
        <f t="shared" si="186"/>
        <v>6.7279797543361525E-2</v>
      </c>
      <c r="R93" s="13">
        <f t="shared" si="4"/>
        <v>1.0634609372817391E-2</v>
      </c>
      <c r="S93" s="13">
        <f t="shared" ref="S93:T93" si="187">N93/L93</f>
        <v>7.9666512274201018E-2</v>
      </c>
      <c r="T93" s="13">
        <f t="shared" si="187"/>
        <v>6.858487151646761E-2</v>
      </c>
      <c r="U93" s="13">
        <f t="shared" si="6"/>
        <v>1.1081640757733408E-2</v>
      </c>
      <c r="V93" s="13">
        <f t="shared" si="7"/>
        <v>0.14949694463304741</v>
      </c>
      <c r="W93" s="13">
        <f t="shared" si="8"/>
        <v>0.33119266055045871</v>
      </c>
      <c r="X93" s="13">
        <f t="shared" si="9"/>
        <v>0.17209554831704676</v>
      </c>
      <c r="Y93" s="13">
        <f t="shared" si="10"/>
        <v>0.36147757255936686</v>
      </c>
    </row>
    <row r="94" spans="1:25" ht="14.4">
      <c r="A94" s="104" t="s">
        <v>296</v>
      </c>
      <c r="B94" s="99">
        <v>532822</v>
      </c>
      <c r="C94" s="98" t="s">
        <v>170</v>
      </c>
      <c r="D94" s="70" t="s">
        <v>128</v>
      </c>
      <c r="E94" s="11">
        <f ca="1">IFERROR(__xludf.DUMMYFUNCTION("GOOGLEFINANCE(""BOM:""&amp;B94,""PRICE"")"),8.77)</f>
        <v>8.77</v>
      </c>
      <c r="F94" s="20">
        <f ca="1">IFERROR(__xludf.DUMMYFUNCTION("GOOGLEFINANCE(""BOM:""&amp;B94,""MARKETCAP"")/10000000"),94908.4704797)</f>
        <v>94908.470479700001</v>
      </c>
      <c r="G94" s="95">
        <f t="shared" ca="1" si="25"/>
        <v>2.355714027632275E-3</v>
      </c>
      <c r="H94" s="101">
        <v>33541</v>
      </c>
      <c r="I94" s="101">
        <v>32557</v>
      </c>
      <c r="J94" s="101">
        <v>-17418</v>
      </c>
      <c r="K94" s="101">
        <v>-20217</v>
      </c>
      <c r="L94" s="101">
        <v>11323</v>
      </c>
      <c r="M94" s="101">
        <v>11117</v>
      </c>
      <c r="N94" s="101">
        <v>-5286</v>
      </c>
      <c r="O94" s="101">
        <v>-6609</v>
      </c>
      <c r="P94" s="13">
        <f t="shared" ref="P94:Q94" si="188">J94/H94</f>
        <v>-0.51930473152261414</v>
      </c>
      <c r="Q94" s="13">
        <f t="shared" si="188"/>
        <v>-0.62097244832140552</v>
      </c>
      <c r="R94" s="13">
        <f t="shared" si="4"/>
        <v>0.10166771679879139</v>
      </c>
      <c r="S94" s="13">
        <f t="shared" ref="S94:T94" si="189">N94/L94</f>
        <v>-0.46683741058023492</v>
      </c>
      <c r="T94" s="13">
        <f t="shared" si="189"/>
        <v>-0.59449491769362239</v>
      </c>
      <c r="U94" s="13">
        <f t="shared" si="6"/>
        <v>0.12765750711338747</v>
      </c>
      <c r="V94" s="13">
        <f t="shared" si="7"/>
        <v>3.0223914979881528E-2</v>
      </c>
      <c r="W94" s="13">
        <f t="shared" si="8"/>
        <v>-0.13844784092595341</v>
      </c>
      <c r="X94" s="13">
        <f t="shared" si="9"/>
        <v>1.8530179005127323E-2</v>
      </c>
      <c r="Y94" s="13">
        <f t="shared" si="10"/>
        <v>-0.20018157058556518</v>
      </c>
    </row>
    <row r="95" spans="1:25" ht="14.4">
      <c r="A95" s="98" t="s">
        <v>297</v>
      </c>
      <c r="B95" s="99">
        <v>500800</v>
      </c>
      <c r="C95" s="98" t="s">
        <v>183</v>
      </c>
      <c r="D95" s="101" t="s">
        <v>126</v>
      </c>
      <c r="E95" s="11">
        <f ca="1">IFERROR(__xludf.DUMMYFUNCTION("GOOGLEFINANCE(""BOM:""&amp;B95,""PRICE"")"),1061)</f>
        <v>1061</v>
      </c>
      <c r="F95" s="20">
        <f ca="1">IFERROR(__xludf.DUMMYFUNCTION("GOOGLEFINANCE(""BOM:""&amp;B95,""MARKETCAP"")/10000000"),104825.07057)</f>
        <v>104825.07057</v>
      </c>
      <c r="G95" s="95">
        <f t="shared" ca="1" si="25"/>
        <v>2.6018530057557907E-3</v>
      </c>
      <c r="H95" s="101">
        <v>14856</v>
      </c>
      <c r="I95" s="101">
        <v>13010</v>
      </c>
      <c r="J95" s="101">
        <v>1146</v>
      </c>
      <c r="K95" s="101">
        <v>973</v>
      </c>
      <c r="L95" s="101">
        <v>5112</v>
      </c>
      <c r="M95" s="101">
        <v>4443</v>
      </c>
      <c r="N95" s="101">
        <v>403</v>
      </c>
      <c r="O95" s="101">
        <v>300</v>
      </c>
      <c r="P95" s="13">
        <f t="shared" ref="P95:Q95" si="190">J95/H95</f>
        <v>7.7140549273020997E-2</v>
      </c>
      <c r="Q95" s="13">
        <f t="shared" si="190"/>
        <v>7.4788624135280549E-2</v>
      </c>
      <c r="R95" s="13">
        <f t="shared" si="4"/>
        <v>2.3519251377404488E-3</v>
      </c>
      <c r="S95" s="13">
        <f t="shared" ref="S95:T95" si="191">N95/L95</f>
        <v>7.8834115805946792E-2</v>
      </c>
      <c r="T95" s="13">
        <f t="shared" si="191"/>
        <v>6.7521944632005407E-2</v>
      </c>
      <c r="U95" s="13">
        <f t="shared" si="6"/>
        <v>1.1312171173941385E-2</v>
      </c>
      <c r="V95" s="13">
        <f t="shared" si="7"/>
        <v>0.14189085318985395</v>
      </c>
      <c r="W95" s="13">
        <f t="shared" si="8"/>
        <v>0.17780061664953761</v>
      </c>
      <c r="X95" s="13">
        <f t="shared" si="9"/>
        <v>0.15057393652937212</v>
      </c>
      <c r="Y95" s="13">
        <f t="shared" si="10"/>
        <v>0.34333333333333327</v>
      </c>
    </row>
    <row r="96" spans="1:25" ht="14.4">
      <c r="A96" s="98" t="s">
        <v>298</v>
      </c>
      <c r="B96" s="99">
        <v>500087</v>
      </c>
      <c r="C96" s="98" t="s">
        <v>190</v>
      </c>
      <c r="D96" s="101" t="s">
        <v>100</v>
      </c>
      <c r="E96" s="11">
        <f ca="1">IFERROR(__xludf.DUMMYFUNCTION("GOOGLEFINANCE(""BOM:""&amp;B96,""PRICE"")"),1198.45)</f>
        <v>1198.45</v>
      </c>
      <c r="F96" s="20">
        <f ca="1">IFERROR(__xludf.DUMMYFUNCTION("GOOGLEFINANCE(""BOM:""&amp;B96,""MARKETCAP"")/10000000"),96956.3020647)</f>
        <v>96956.302064699994</v>
      </c>
      <c r="G96" s="95">
        <f t="shared" ca="1" si="25"/>
        <v>2.4065430586621742E-3</v>
      </c>
      <c r="H96" s="101">
        <v>21621</v>
      </c>
      <c r="I96" s="101">
        <v>20817</v>
      </c>
      <c r="J96" s="101">
        <v>3319</v>
      </c>
      <c r="K96" s="101">
        <v>4055</v>
      </c>
      <c r="L96" s="101">
        <v>7074</v>
      </c>
      <c r="M96" s="101">
        <v>7072</v>
      </c>
      <c r="N96" s="101">
        <v>674</v>
      </c>
      <c r="O96" s="101">
        <v>1574</v>
      </c>
      <c r="P96" s="13">
        <f t="shared" ref="P96:Q96" si="192">J96/H96</f>
        <v>0.15350816335969658</v>
      </c>
      <c r="Q96" s="13">
        <f t="shared" si="192"/>
        <v>0.19479271749051255</v>
      </c>
      <c r="R96" s="13">
        <f t="shared" si="4"/>
        <v>-4.128455413081597E-2</v>
      </c>
      <c r="S96" s="13">
        <f t="shared" ref="S96:T96" si="193">N96/L96</f>
        <v>9.5278484591461696E-2</v>
      </c>
      <c r="T96" s="13">
        <f t="shared" si="193"/>
        <v>0.22256787330316741</v>
      </c>
      <c r="U96" s="13">
        <f t="shared" si="6"/>
        <v>-0.1272893887117057</v>
      </c>
      <c r="V96" s="13">
        <f t="shared" si="7"/>
        <v>3.8622279867416065E-2</v>
      </c>
      <c r="W96" s="13">
        <f t="shared" si="8"/>
        <v>-0.18150431565967939</v>
      </c>
      <c r="X96" s="13">
        <f t="shared" si="9"/>
        <v>2.8280542986425239E-4</v>
      </c>
      <c r="Y96" s="13">
        <f t="shared" si="10"/>
        <v>-0.5717916137229988</v>
      </c>
    </row>
    <row r="97" spans="1:25" ht="14.4">
      <c r="A97" s="98" t="s">
        <v>299</v>
      </c>
      <c r="B97" s="99">
        <v>532155</v>
      </c>
      <c r="C97" s="98" t="s">
        <v>91</v>
      </c>
      <c r="D97" s="70" t="s">
        <v>300</v>
      </c>
      <c r="E97" s="11">
        <f ca="1">IFERROR(__xludf.DUMMYFUNCTION("GOOGLEFINANCE(""BOM:""&amp;B97,""PRICE"")"),142.85)</f>
        <v>142.85</v>
      </c>
      <c r="F97" s="20">
        <f ca="1">IFERROR(__xludf.DUMMYFUNCTION("GOOGLEFINANCE(""BOM:""&amp;B97,""MARKETCAP"")/10000000"),94565.9874033)</f>
        <v>94565.987403299994</v>
      </c>
      <c r="G97" s="95">
        <f t="shared" ca="1" si="25"/>
        <v>2.3472132880963375E-3</v>
      </c>
      <c r="H97" s="101">
        <v>106389</v>
      </c>
      <c r="I97" s="101">
        <v>105740</v>
      </c>
      <c r="J97" s="101">
        <v>6100</v>
      </c>
      <c r="K97" s="101">
        <v>9957</v>
      </c>
      <c r="L97" s="101">
        <v>35303</v>
      </c>
      <c r="M97" s="101">
        <v>36937</v>
      </c>
      <c r="N97" s="101">
        <v>1729</v>
      </c>
      <c r="O97" s="101">
        <v>4084</v>
      </c>
      <c r="P97" s="13">
        <f t="shared" ref="P97:Q97" si="194">J97/H97</f>
        <v>5.7336754739681736E-2</v>
      </c>
      <c r="Q97" s="13">
        <f t="shared" si="194"/>
        <v>9.4164932854170602E-2</v>
      </c>
      <c r="R97" s="13">
        <f t="shared" si="4"/>
        <v>-3.6828178114488866E-2</v>
      </c>
      <c r="S97" s="13">
        <f t="shared" ref="S97:T97" si="195">N97/L97</f>
        <v>4.8976007704727646E-2</v>
      </c>
      <c r="T97" s="13">
        <f t="shared" si="195"/>
        <v>0.11056664049597964</v>
      </c>
      <c r="U97" s="13">
        <f t="shared" si="6"/>
        <v>-6.1590632791251994E-2</v>
      </c>
      <c r="V97" s="13">
        <f t="shared" si="7"/>
        <v>6.1376962360506493E-3</v>
      </c>
      <c r="W97" s="13">
        <f t="shared" si="8"/>
        <v>-0.3873656723912825</v>
      </c>
      <c r="X97" s="13">
        <f t="shared" si="9"/>
        <v>-4.4237485448195613E-2</v>
      </c>
      <c r="Y97" s="13">
        <f t="shared" si="10"/>
        <v>-0.57664054848188051</v>
      </c>
    </row>
    <row r="98" spans="1:25" ht="14.4">
      <c r="A98" s="98" t="s">
        <v>301</v>
      </c>
      <c r="B98" s="99">
        <v>500425</v>
      </c>
      <c r="C98" s="98" t="s">
        <v>196</v>
      </c>
      <c r="D98" s="100" t="s">
        <v>109</v>
      </c>
      <c r="E98" s="11">
        <f ca="1">IFERROR(__xludf.DUMMYFUNCTION("GOOGLEFINANCE(""BOM:""&amp;B98,""PRICE"")"),428.7)</f>
        <v>428.7</v>
      </c>
      <c r="F98" s="20">
        <f ca="1">IFERROR(__xludf.DUMMYFUNCTION("GOOGLEFINANCE(""BOM:""&amp;B98,""MARKETCAP"")/10000000"),106004.1737486)</f>
        <v>106004.17374860001</v>
      </c>
      <c r="G98" s="95">
        <f t="shared" ca="1" si="25"/>
        <v>2.6311194124718062E-3</v>
      </c>
      <c r="H98" s="101">
        <v>29554</v>
      </c>
      <c r="I98" s="101">
        <v>24095</v>
      </c>
      <c r="J98" s="101">
        <v>3686</v>
      </c>
      <c r="K98" s="101">
        <v>3943</v>
      </c>
      <c r="L98" s="101">
        <v>10181</v>
      </c>
      <c r="M98" s="101">
        <v>8498</v>
      </c>
      <c r="N98" s="101">
        <v>367</v>
      </c>
      <c r="O98" s="101">
        <v>2663</v>
      </c>
      <c r="P98" s="13">
        <f t="shared" ref="P98:Q98" si="196">J98/H98</f>
        <v>0.12472084996954727</v>
      </c>
      <c r="Q98" s="13">
        <f t="shared" si="196"/>
        <v>0.16364390952479768</v>
      </c>
      <c r="R98" s="13">
        <f t="shared" si="4"/>
        <v>-3.8923059555250411E-2</v>
      </c>
      <c r="S98" s="13">
        <f t="shared" ref="S98:T98" si="197">N98/L98</f>
        <v>3.6047539534426874E-2</v>
      </c>
      <c r="T98" s="13">
        <f t="shared" si="197"/>
        <v>0.31336785125911981</v>
      </c>
      <c r="U98" s="13">
        <f t="shared" si="6"/>
        <v>-0.27732031172469296</v>
      </c>
      <c r="V98" s="13">
        <f t="shared" si="7"/>
        <v>0.22656152728781898</v>
      </c>
      <c r="W98" s="13">
        <f t="shared" si="8"/>
        <v>-6.5178797869642424E-2</v>
      </c>
      <c r="X98" s="13">
        <f t="shared" si="9"/>
        <v>0.19804659919981171</v>
      </c>
      <c r="Y98" s="13">
        <f t="shared" si="10"/>
        <v>-0.86218550506947056</v>
      </c>
    </row>
    <row r="99" spans="1:25" ht="19.8">
      <c r="A99" s="105" t="s">
        <v>302</v>
      </c>
      <c r="B99" s="99" t="s">
        <v>303</v>
      </c>
      <c r="C99" s="106" t="s">
        <v>172</v>
      </c>
      <c r="D99" s="107" t="s">
        <v>304</v>
      </c>
      <c r="E99" s="11">
        <f ca="1">IFERROR(__xludf.DUMMYFUNCTION("GOOGLEFINANCE(""NSE:""&amp;B99,""PRICE"")"),2948.2)</f>
        <v>2948.2</v>
      </c>
      <c r="F99" s="20">
        <f ca="1">IFERROR(__xludf.DUMMYFUNCTION("GOOGLEFINANCE(""NSE:""&amp;B99,""MARKETCAP"")/10000000"),120031.07424)</f>
        <v>120031.07424</v>
      </c>
      <c r="G99" s="95">
        <f t="shared" ca="1" si="25"/>
        <v>2.9792797619620096E-3</v>
      </c>
      <c r="H99" s="101">
        <v>3270</v>
      </c>
      <c r="I99" s="101">
        <v>2110</v>
      </c>
      <c r="J99" s="101">
        <v>1679</v>
      </c>
      <c r="K99" s="101">
        <v>824</v>
      </c>
      <c r="L99" s="101">
        <v>1244</v>
      </c>
      <c r="M99" s="101">
        <v>768</v>
      </c>
      <c r="N99" s="101">
        <v>596</v>
      </c>
      <c r="O99" s="101">
        <v>217</v>
      </c>
      <c r="P99" s="13">
        <f t="shared" ref="P99:Q99" si="198">J99/H99</f>
        <v>0.51345565749235478</v>
      </c>
      <c r="Q99" s="13">
        <f t="shared" si="198"/>
        <v>0.39052132701421799</v>
      </c>
      <c r="R99" s="13">
        <f t="shared" si="4"/>
        <v>0.12293433047813679</v>
      </c>
      <c r="S99" s="13">
        <f t="shared" ref="S99:T99" si="199">N99/L99</f>
        <v>0.47909967845659163</v>
      </c>
      <c r="T99" s="13">
        <f t="shared" si="199"/>
        <v>0.28255208333333331</v>
      </c>
      <c r="U99" s="13">
        <f t="shared" si="6"/>
        <v>0.19654759512325831</v>
      </c>
      <c r="V99" s="13">
        <f t="shared" si="7"/>
        <v>0.54976303317535535</v>
      </c>
      <c r="W99" s="13">
        <f t="shared" si="8"/>
        <v>1.037621359223301</v>
      </c>
      <c r="X99" s="13">
        <f t="shared" si="9"/>
        <v>0.61979166666666674</v>
      </c>
      <c r="Y99" s="13">
        <f t="shared" si="10"/>
        <v>1.7465437788018434</v>
      </c>
    </row>
    <row r="100" spans="1:25" ht="14.4">
      <c r="A100" s="98" t="s">
        <v>305</v>
      </c>
      <c r="B100" s="99">
        <v>544576</v>
      </c>
      <c r="C100" s="98" t="s">
        <v>187</v>
      </c>
      <c r="D100" s="101" t="s">
        <v>93</v>
      </c>
      <c r="E100" s="11">
        <f ca="1">IFERROR(__xludf.DUMMYFUNCTION("GOOGLEFINANCE(""BOM:""&amp;B100,""PRICE"")"),1396.4)</f>
        <v>1396.4</v>
      </c>
      <c r="F100" s="20">
        <f ca="1">IFERROR(__xludf.DUMMYFUNCTION("GOOGLEFINANCE(""BOM:""&amp;B100,""MARKETCAP"")/10000000"),94997.309175)</f>
        <v>94997.309175000002</v>
      </c>
      <c r="G100" s="95">
        <f t="shared" ca="1" si="25"/>
        <v>2.3579190843533138E-3</v>
      </c>
      <c r="H100" s="101">
        <v>16551</v>
      </c>
      <c r="I100" s="101">
        <v>16918</v>
      </c>
      <c r="J100" s="101">
        <v>992</v>
      </c>
      <c r="K100" s="101">
        <v>1448</v>
      </c>
      <c r="L100" s="101">
        <v>4114</v>
      </c>
      <c r="M100" s="101">
        <v>4395</v>
      </c>
      <c r="N100" s="101">
        <v>89</v>
      </c>
      <c r="O100" s="101">
        <v>233</v>
      </c>
      <c r="P100" s="13">
        <f t="shared" ref="P100:Q100" si="200">J100/H100</f>
        <v>5.9935955531387829E-2</v>
      </c>
      <c r="Q100" s="13">
        <f t="shared" si="200"/>
        <v>8.5589313157583641E-2</v>
      </c>
      <c r="R100" s="13">
        <f t="shared" si="4"/>
        <v>-2.5653357626195812E-2</v>
      </c>
      <c r="S100" s="13">
        <f t="shared" ref="S100:T100" si="201">N100/L100</f>
        <v>2.1633446767136608E-2</v>
      </c>
      <c r="T100" s="13">
        <f t="shared" si="201"/>
        <v>5.3014789533560862E-2</v>
      </c>
      <c r="U100" s="13">
        <f t="shared" si="6"/>
        <v>-3.138134276642425E-2</v>
      </c>
      <c r="V100" s="13">
        <f t="shared" si="7"/>
        <v>-2.169287149781296E-2</v>
      </c>
      <c r="W100" s="13">
        <f t="shared" si="8"/>
        <v>-0.31491712707182318</v>
      </c>
      <c r="X100" s="13">
        <f t="shared" si="9"/>
        <v>-6.3936291240045517E-2</v>
      </c>
      <c r="Y100" s="13">
        <f t="shared" si="10"/>
        <v>-0.61802575107296143</v>
      </c>
    </row>
    <row r="101" spans="1:25" ht="14.4">
      <c r="A101" s="98" t="s">
        <v>306</v>
      </c>
      <c r="B101" s="99">
        <v>544576</v>
      </c>
      <c r="C101" s="102" t="s">
        <v>187</v>
      </c>
      <c r="D101" s="108" t="s">
        <v>93</v>
      </c>
      <c r="E101" s="11">
        <f ca="1">IFERROR(__xludf.DUMMYFUNCTION("GOOGLEFINANCE(""BOM:""&amp;B101,""PRICE"")"),1396.4)</f>
        <v>1396.4</v>
      </c>
      <c r="F101" s="20">
        <f ca="1">IFERROR(__xludf.DUMMYFUNCTION("GOOGLEFINANCE(""BOM:""&amp;B101,""MARKETCAP"")/10000000"),94997.309175)</f>
        <v>94997.309175000002</v>
      </c>
      <c r="G101" s="95">
        <f t="shared" ca="1" si="25"/>
        <v>2.3579190843533138E-3</v>
      </c>
      <c r="H101" s="101">
        <v>16551</v>
      </c>
      <c r="I101" s="101">
        <v>16918</v>
      </c>
      <c r="J101" s="101">
        <v>992</v>
      </c>
      <c r="K101" s="101">
        <v>1448</v>
      </c>
      <c r="L101" s="101">
        <v>4114</v>
      </c>
      <c r="M101" s="101">
        <v>4395</v>
      </c>
      <c r="N101" s="101">
        <v>89</v>
      </c>
      <c r="O101" s="101">
        <v>233</v>
      </c>
      <c r="P101" s="13">
        <f t="shared" ref="P101:Q101" si="202">J101/H101</f>
        <v>5.9935955531387829E-2</v>
      </c>
      <c r="Q101" s="13">
        <f t="shared" si="202"/>
        <v>8.5589313157583641E-2</v>
      </c>
      <c r="R101" s="13">
        <f t="shared" si="4"/>
        <v>-2.5653357626195812E-2</v>
      </c>
      <c r="S101" s="13">
        <f t="shared" ref="S101:T101" si="203">N101/L101</f>
        <v>2.1633446767136608E-2</v>
      </c>
      <c r="T101" s="13">
        <f t="shared" si="203"/>
        <v>5.3014789533560862E-2</v>
      </c>
      <c r="U101" s="13">
        <f t="shared" si="6"/>
        <v>-3.138134276642425E-2</v>
      </c>
      <c r="V101" s="13">
        <f t="shared" si="7"/>
        <v>-2.169287149781296E-2</v>
      </c>
      <c r="W101" s="13">
        <f t="shared" si="8"/>
        <v>-0.31491712707182318</v>
      </c>
      <c r="X101" s="13">
        <f t="shared" si="9"/>
        <v>-6.3936291240045517E-2</v>
      </c>
      <c r="Y101" s="13">
        <f t="shared" si="10"/>
        <v>-0.61802575107296143</v>
      </c>
    </row>
    <row r="102" spans="1:25" ht="14.4">
      <c r="A102" s="98" t="s">
        <v>307</v>
      </c>
      <c r="B102" s="99">
        <v>500124</v>
      </c>
      <c r="C102" s="98" t="s">
        <v>190</v>
      </c>
      <c r="D102" s="102" t="s">
        <v>100</v>
      </c>
      <c r="E102" s="11">
        <f ca="1">IFERROR(__xludf.DUMMYFUNCTION("GOOGLEFINANCE(""BOM:""&amp;B102,""PRICE"")"),1211.95)</f>
        <v>1211.95</v>
      </c>
      <c r="F102" s="20">
        <f ca="1">IFERROR(__xludf.DUMMYFUNCTION("GOOGLEFINANCE(""BOM:""&amp;B102,""MARKETCAP"")/10000000"),100711.27703)</f>
        <v>100711.27703</v>
      </c>
      <c r="G102" s="95">
        <f t="shared" ca="1" si="25"/>
        <v>2.4997449315240618E-3</v>
      </c>
      <c r="H102" s="101">
        <v>26077</v>
      </c>
      <c r="I102" s="101">
        <v>24047</v>
      </c>
      <c r="J102" s="101">
        <v>4026</v>
      </c>
      <c r="K102" s="101">
        <v>4137</v>
      </c>
      <c r="L102" s="101">
        <v>8726</v>
      </c>
      <c r="M102" s="101">
        <v>8358</v>
      </c>
      <c r="N102" s="101">
        <v>1189</v>
      </c>
      <c r="O102" s="101">
        <v>1403</v>
      </c>
      <c r="P102" s="13">
        <f t="shared" ref="P102:Q102" si="204">J102/H102</f>
        <v>0.15438892510641561</v>
      </c>
      <c r="Q102" s="13">
        <f t="shared" si="204"/>
        <v>0.17203809206969684</v>
      </c>
      <c r="R102" s="13">
        <f t="shared" si="4"/>
        <v>-1.7649166963281226E-2</v>
      </c>
      <c r="S102" s="13">
        <f t="shared" ref="S102:T102" si="205">N102/L102</f>
        <v>0.1362594545037818</v>
      </c>
      <c r="T102" s="13">
        <f t="shared" si="205"/>
        <v>0.16786312514955731</v>
      </c>
      <c r="U102" s="13">
        <f t="shared" si="6"/>
        <v>-3.1603670645775517E-2</v>
      </c>
      <c r="V102" s="13">
        <f t="shared" si="7"/>
        <v>8.4418014721171053E-2</v>
      </c>
      <c r="W102" s="13">
        <f t="shared" si="8"/>
        <v>-2.6831036983321233E-2</v>
      </c>
      <c r="X102" s="13">
        <f t="shared" si="9"/>
        <v>4.4029672170375678E-2</v>
      </c>
      <c r="Y102" s="13">
        <f t="shared" si="10"/>
        <v>-0.15253029223093373</v>
      </c>
    </row>
    <row r="103" spans="1:25" ht="14.4">
      <c r="A103" s="98" t="s">
        <v>308</v>
      </c>
      <c r="B103" s="99">
        <v>544390</v>
      </c>
      <c r="C103" s="98" t="s">
        <v>180</v>
      </c>
      <c r="D103" s="109" t="s">
        <v>275</v>
      </c>
      <c r="E103" s="11">
        <f ca="1">IFERROR(__xludf.DUMMYFUNCTION("GOOGLEFINANCE(""BOM:""&amp;B103,""PRICE"")"),2630.45)</f>
        <v>2630.45</v>
      </c>
      <c r="F103" s="20">
        <f ca="1">IFERROR(__xludf.DUMMYFUNCTION("GOOGLEFINANCE(""BOM:""&amp;B103,""MARKETCAP"")/10000000"),93655.9868089)</f>
        <v>93655.986808899994</v>
      </c>
      <c r="G103" s="95">
        <f t="shared" ca="1" si="25"/>
        <v>2.3246262507692498E-3</v>
      </c>
      <c r="H103" s="101">
        <v>5181</v>
      </c>
      <c r="I103" s="101">
        <v>2609</v>
      </c>
      <c r="J103" s="101">
        <v>740</v>
      </c>
      <c r="K103" s="101">
        <v>328</v>
      </c>
      <c r="L103" s="101">
        <v>1785</v>
      </c>
      <c r="M103" s="101">
        <v>1484</v>
      </c>
      <c r="N103" s="101">
        <v>263</v>
      </c>
      <c r="O103" s="101">
        <v>146</v>
      </c>
      <c r="P103" s="13">
        <f t="shared" ref="P103:Q103" si="206">J103/H103</f>
        <v>0.14282956958116194</v>
      </c>
      <c r="Q103" s="13">
        <f t="shared" si="206"/>
        <v>0.12571866615561517</v>
      </c>
      <c r="R103" s="13">
        <f t="shared" si="4"/>
        <v>1.7110903425546775E-2</v>
      </c>
      <c r="S103" s="13">
        <f t="shared" ref="S103:T103" si="207">N103/L103</f>
        <v>0.1473389355742297</v>
      </c>
      <c r="T103" s="13">
        <f t="shared" si="207"/>
        <v>9.8382749326145547E-2</v>
      </c>
      <c r="U103" s="13">
        <f t="shared" si="6"/>
        <v>4.8956186248084149E-2</v>
      </c>
      <c r="V103" s="13">
        <f t="shared" si="7"/>
        <v>0.98581832119586044</v>
      </c>
      <c r="W103" s="13">
        <f t="shared" si="8"/>
        <v>1.2560975609756095</v>
      </c>
      <c r="X103" s="13">
        <f t="shared" si="9"/>
        <v>0.20283018867924518</v>
      </c>
      <c r="Y103" s="13">
        <f t="shared" si="10"/>
        <v>0.80136986301369872</v>
      </c>
    </row>
    <row r="104" spans="1:25" ht="14.4">
      <c r="A104" s="98" t="s">
        <v>309</v>
      </c>
      <c r="B104" s="99">
        <v>543220</v>
      </c>
      <c r="C104" s="98" t="s">
        <v>190</v>
      </c>
      <c r="D104" s="102" t="s">
        <v>113</v>
      </c>
      <c r="E104" s="11">
        <f ca="1">IFERROR(__xludf.DUMMYFUNCTION("GOOGLEFINANCE(""BOM:""&amp;B104,""PRICE"")"),934.3)</f>
        <v>934.3</v>
      </c>
      <c r="F104" s="20">
        <f ca="1">IFERROR(__xludf.DUMMYFUNCTION("GOOGLEFINANCE(""BOM:""&amp;B104,""MARKETCAP"")/10000000"),90832.910278)</f>
        <v>90832.910277999996</v>
      </c>
      <c r="G104" s="95">
        <f t="shared" ca="1" si="25"/>
        <v>2.2545549394172981E-3</v>
      </c>
      <c r="H104" s="101">
        <v>6230</v>
      </c>
      <c r="I104" s="101">
        <v>5118</v>
      </c>
      <c r="J104" s="101">
        <v>1100</v>
      </c>
      <c r="K104" s="101">
        <v>756</v>
      </c>
      <c r="L104" s="101">
        <v>2067</v>
      </c>
      <c r="M104" s="101">
        <v>1868</v>
      </c>
      <c r="N104" s="101">
        <v>300</v>
      </c>
      <c r="O104" s="101">
        <v>238</v>
      </c>
      <c r="P104" s="13">
        <f t="shared" ref="P104:Q104" si="208">J104/H104</f>
        <v>0.17656500802568217</v>
      </c>
      <c r="Q104" s="13">
        <f t="shared" si="208"/>
        <v>0.1477139507620164</v>
      </c>
      <c r="R104" s="13">
        <f t="shared" si="4"/>
        <v>2.8851057263665769E-2</v>
      </c>
      <c r="S104" s="13">
        <f t="shared" ref="S104:T104" si="209">N104/L104</f>
        <v>0.14513788098693758</v>
      </c>
      <c r="T104" s="13">
        <f t="shared" si="209"/>
        <v>0.12740899357601712</v>
      </c>
      <c r="U104" s="13">
        <f t="shared" si="6"/>
        <v>1.7728887410920463E-2</v>
      </c>
      <c r="V104" s="13">
        <f t="shared" si="7"/>
        <v>0.21727237202032046</v>
      </c>
      <c r="W104" s="13">
        <f t="shared" si="8"/>
        <v>0.45502645502645511</v>
      </c>
      <c r="X104" s="13">
        <f t="shared" si="9"/>
        <v>0.10653104925053536</v>
      </c>
      <c r="Y104" s="13">
        <f t="shared" si="10"/>
        <v>0.26050420168067223</v>
      </c>
    </row>
    <row r="105" spans="1:25" ht="14.4">
      <c r="A105" s="98" t="s">
        <v>310</v>
      </c>
      <c r="B105" s="99">
        <v>500257</v>
      </c>
      <c r="C105" s="98" t="s">
        <v>190</v>
      </c>
      <c r="D105" s="102" t="s">
        <v>100</v>
      </c>
      <c r="E105" s="11">
        <f ca="1">IFERROR(__xludf.DUMMYFUNCTION("GOOGLEFINANCE(""BOM:""&amp;B105,""PRICE"")"),2273.7)</f>
        <v>2273.6999999999998</v>
      </c>
      <c r="F105" s="20">
        <f ca="1">IFERROR(__xludf.DUMMYFUNCTION("GOOGLEFINANCE(""BOM:""&amp;B105,""MARKETCAP"")/10000000"),103962.52734)</f>
        <v>103962.52734</v>
      </c>
      <c r="G105" s="95">
        <f t="shared" ca="1" si="25"/>
        <v>2.5804439031111024E-3</v>
      </c>
      <c r="H105" s="101">
        <v>20095</v>
      </c>
      <c r="I105" s="101">
        <v>16629</v>
      </c>
      <c r="J105" s="101">
        <v>3886</v>
      </c>
      <c r="K105" s="101">
        <v>2523</v>
      </c>
      <c r="L105" s="101">
        <v>7100</v>
      </c>
      <c r="M105" s="101">
        <v>5618</v>
      </c>
      <c r="N105" s="101">
        <v>1180</v>
      </c>
      <c r="O105" s="101">
        <v>858</v>
      </c>
      <c r="P105" s="13">
        <f t="shared" ref="P105:Q105" si="210">J105/H105</f>
        <v>0.19338143816869868</v>
      </c>
      <c r="Q105" s="13">
        <f t="shared" si="210"/>
        <v>0.15172289373985207</v>
      </c>
      <c r="R105" s="13">
        <f t="shared" si="4"/>
        <v>4.1658544428846617E-2</v>
      </c>
      <c r="S105" s="13">
        <f t="shared" ref="S105:T105" si="211">N105/L105</f>
        <v>0.16619718309859155</v>
      </c>
      <c r="T105" s="13">
        <f t="shared" si="211"/>
        <v>0.15272338910644356</v>
      </c>
      <c r="U105" s="13">
        <f t="shared" si="6"/>
        <v>1.3473793992147987E-2</v>
      </c>
      <c r="V105" s="13">
        <f t="shared" si="7"/>
        <v>0.20843105418245234</v>
      </c>
      <c r="W105" s="13">
        <f t="shared" si="8"/>
        <v>0.54022988505747116</v>
      </c>
      <c r="X105" s="13">
        <f t="shared" si="9"/>
        <v>0.26379494482022081</v>
      </c>
      <c r="Y105" s="13">
        <f t="shared" si="10"/>
        <v>0.37529137529137535</v>
      </c>
    </row>
    <row r="106" spans="1:25" ht="14.4">
      <c r="A106" s="98" t="s">
        <v>311</v>
      </c>
      <c r="B106" s="99">
        <v>500530</v>
      </c>
      <c r="C106" s="98" t="s">
        <v>187</v>
      </c>
      <c r="D106" s="102" t="s">
        <v>312</v>
      </c>
      <c r="E106" s="11">
        <f ca="1">IFERROR(__xludf.DUMMYFUNCTION("GOOGLEFINANCE(""BOM:""&amp;B106,""PRICE"")"),33225.25)</f>
        <v>33225.25</v>
      </c>
      <c r="F106" s="20">
        <f ca="1">IFERROR(__xludf.DUMMYFUNCTION("GOOGLEFINANCE(""BOM:""&amp;B106,""MARKETCAP"")/10000000"),97977.83886)</f>
        <v>97977.838860000003</v>
      </c>
      <c r="G106" s="95">
        <f t="shared" ca="1" si="25"/>
        <v>2.4318985253161804E-3</v>
      </c>
      <c r="H106" s="101">
        <v>1446</v>
      </c>
      <c r="I106" s="101">
        <v>1317</v>
      </c>
      <c r="J106" s="101">
        <v>220</v>
      </c>
      <c r="K106" s="101">
        <v>145</v>
      </c>
      <c r="L106" s="101">
        <v>488</v>
      </c>
      <c r="M106" s="101">
        <v>446</v>
      </c>
      <c r="N106" s="101">
        <v>53</v>
      </c>
      <c r="O106" s="101">
        <v>45</v>
      </c>
      <c r="P106" s="13">
        <f t="shared" ref="P106:Q106" si="212">J106/H106</f>
        <v>0.15214384508990317</v>
      </c>
      <c r="Q106" s="13">
        <f t="shared" si="212"/>
        <v>0.11009870918754745</v>
      </c>
      <c r="R106" s="13">
        <f t="shared" si="4"/>
        <v>4.2045135902355715E-2</v>
      </c>
      <c r="S106" s="13">
        <f t="shared" ref="S106:T106" si="213">N106/L106</f>
        <v>0.10860655737704918</v>
      </c>
      <c r="T106" s="13">
        <f t="shared" si="213"/>
        <v>0.10089686098654709</v>
      </c>
      <c r="U106" s="13">
        <f t="shared" si="6"/>
        <v>7.709696390502091E-3</v>
      </c>
      <c r="V106" s="13">
        <f t="shared" si="7"/>
        <v>9.7949886104783612E-2</v>
      </c>
      <c r="W106" s="13">
        <f t="shared" si="8"/>
        <v>0.51724137931034475</v>
      </c>
      <c r="X106" s="13">
        <f t="shared" si="9"/>
        <v>9.4170403587443996E-2</v>
      </c>
      <c r="Y106" s="13">
        <f t="shared" si="10"/>
        <v>0.17777777777777781</v>
      </c>
    </row>
    <row r="107" spans="1:25" ht="14.4">
      <c r="A107" s="98" t="s">
        <v>313</v>
      </c>
      <c r="B107" s="99">
        <v>532754</v>
      </c>
      <c r="C107" s="98" t="s">
        <v>206</v>
      </c>
      <c r="D107" s="102" t="s">
        <v>314</v>
      </c>
      <c r="E107" s="11">
        <f ca="1">IFERROR(__xludf.DUMMYFUNCTION("GOOGLEFINANCE(""BOM:""&amp;B107,""PRICE"")"),90.93)</f>
        <v>90.93</v>
      </c>
      <c r="F107" s="20">
        <f ca="1">IFERROR(__xludf.DUMMYFUNCTION("GOOGLEFINANCE(""BOM:""&amp;B107,""MARKETCAP"")/10000000"),96023.2757578)</f>
        <v>96023.275757800002</v>
      </c>
      <c r="G107" s="95">
        <f t="shared" ca="1" si="25"/>
        <v>2.3833845023372739E-3</v>
      </c>
      <c r="H107" s="101">
        <v>10869</v>
      </c>
      <c r="I107" s="101">
        <v>7551</v>
      </c>
      <c r="J107" s="101">
        <v>72</v>
      </c>
      <c r="K107" s="101">
        <v>-564</v>
      </c>
      <c r="L107" s="101">
        <v>3994</v>
      </c>
      <c r="M107" s="101">
        <v>2653</v>
      </c>
      <c r="N107" s="101">
        <v>174</v>
      </c>
      <c r="O107" s="101">
        <v>202</v>
      </c>
      <c r="P107" s="13">
        <f t="shared" ref="P107:Q107" si="214">J107/H107</f>
        <v>6.6243444659122271E-3</v>
      </c>
      <c r="Q107" s="13">
        <f t="shared" si="214"/>
        <v>-7.4692093762415576E-2</v>
      </c>
      <c r="R107" s="13">
        <f t="shared" si="4"/>
        <v>8.1316438228327806E-2</v>
      </c>
      <c r="S107" s="13">
        <f t="shared" ref="S107:T107" si="215">N107/L107</f>
        <v>4.3565348022033053E-2</v>
      </c>
      <c r="T107" s="13">
        <f t="shared" si="215"/>
        <v>7.6140218620429703E-2</v>
      </c>
      <c r="U107" s="13">
        <f t="shared" si="6"/>
        <v>-3.2574870598396651E-2</v>
      </c>
      <c r="V107" s="13">
        <f t="shared" si="7"/>
        <v>0.43941199841080647</v>
      </c>
      <c r="W107" s="13">
        <f t="shared" si="8"/>
        <v>-1.1276595744680851</v>
      </c>
      <c r="X107" s="13">
        <f t="shared" si="9"/>
        <v>0.50546551074255563</v>
      </c>
      <c r="Y107" s="13">
        <f t="shared" si="10"/>
        <v>-0.13861386138613863</v>
      </c>
    </row>
    <row r="108" spans="1:25" ht="14.4">
      <c r="A108" s="98" t="s">
        <v>315</v>
      </c>
      <c r="B108" s="99">
        <v>531642</v>
      </c>
      <c r="C108" s="98" t="s">
        <v>183</v>
      </c>
      <c r="D108" s="101" t="s">
        <v>130</v>
      </c>
      <c r="E108" s="11">
        <f ca="1">IFERROR(__xludf.DUMMYFUNCTION("GOOGLEFINANCE(""BOM:""&amp;B108,""PRICE"")"),747.6)</f>
        <v>747.6</v>
      </c>
      <c r="F108" s="20">
        <f ca="1">IFERROR(__xludf.DUMMYFUNCTION("GOOGLEFINANCE(""BOM:""&amp;B108,""MARKETCAP"")/10000000"),96916.7418212)</f>
        <v>96916.741821200005</v>
      </c>
      <c r="G108" s="95">
        <f t="shared" ca="1" si="25"/>
        <v>2.4055611376589334E-3</v>
      </c>
      <c r="H108" s="101">
        <v>10278</v>
      </c>
      <c r="I108" s="101">
        <v>8101</v>
      </c>
      <c r="J108" s="101">
        <v>1405</v>
      </c>
      <c r="K108" s="101">
        <v>1313</v>
      </c>
      <c r="L108" s="101">
        <v>3537</v>
      </c>
      <c r="M108" s="101">
        <v>2794</v>
      </c>
      <c r="N108" s="101">
        <v>460</v>
      </c>
      <c r="O108" s="101">
        <v>406</v>
      </c>
      <c r="P108" s="13">
        <f t="shared" ref="P108:Q108" si="216">J108/H108</f>
        <v>0.1366997470324966</v>
      </c>
      <c r="Q108" s="13">
        <f t="shared" si="216"/>
        <v>0.16207875570917171</v>
      </c>
      <c r="R108" s="13">
        <f t="shared" si="4"/>
        <v>-2.5379008676675113E-2</v>
      </c>
      <c r="S108" s="13">
        <f t="shared" ref="S108:T108" si="217">N108/L108</f>
        <v>0.13005371783997738</v>
      </c>
      <c r="T108" s="13">
        <f t="shared" si="217"/>
        <v>0.14531138153185397</v>
      </c>
      <c r="U108" s="13">
        <f t="shared" si="6"/>
        <v>-1.5257663691876588E-2</v>
      </c>
      <c r="V108" s="13">
        <f t="shared" si="7"/>
        <v>0.2687322552771263</v>
      </c>
      <c r="W108" s="13">
        <f t="shared" si="8"/>
        <v>7.0068545316070097E-2</v>
      </c>
      <c r="X108" s="13">
        <f t="shared" si="9"/>
        <v>0.26592698639942736</v>
      </c>
      <c r="Y108" s="13">
        <f t="shared" si="10"/>
        <v>0.13300492610837433</v>
      </c>
    </row>
    <row r="109" spans="1:25" ht="14.4">
      <c r="A109" s="98" t="s">
        <v>316</v>
      </c>
      <c r="B109" s="99">
        <v>532432</v>
      </c>
      <c r="C109" s="98" t="s">
        <v>183</v>
      </c>
      <c r="D109" s="101" t="s">
        <v>317</v>
      </c>
      <c r="E109" s="11">
        <f ca="1">IFERROR(__xludf.DUMMYFUNCTION("GOOGLEFINANCE(""BOM:""&amp;B109,""PRICE"")"),1233.35)</f>
        <v>1233.3499999999999</v>
      </c>
      <c r="F109" s="20">
        <f ca="1">IFERROR(__xludf.DUMMYFUNCTION("GOOGLEFINANCE(""BOM:""&amp;B109,""MARKETCAP"")/10000000"),89728.9999425)</f>
        <v>89728.999942499999</v>
      </c>
      <c r="G109" s="95">
        <f t="shared" ca="1" si="25"/>
        <v>2.2271548870358639E-3</v>
      </c>
      <c r="H109" s="101">
        <v>21436</v>
      </c>
      <c r="I109" s="101">
        <v>20642</v>
      </c>
      <c r="J109" s="101">
        <v>1299</v>
      </c>
      <c r="K109" s="101">
        <v>1161</v>
      </c>
      <c r="L109" s="101">
        <v>7942</v>
      </c>
      <c r="M109" s="101">
        <v>7732</v>
      </c>
      <c r="N109" s="101">
        <v>418</v>
      </c>
      <c r="O109" s="101">
        <v>335</v>
      </c>
      <c r="P109" s="13">
        <f t="shared" ref="P109:Q109" si="218">J109/H109</f>
        <v>6.0598992349318904E-2</v>
      </c>
      <c r="Q109" s="13">
        <f t="shared" si="218"/>
        <v>5.624454994671059E-2</v>
      </c>
      <c r="R109" s="13">
        <f t="shared" si="4"/>
        <v>4.3544424026083148E-3</v>
      </c>
      <c r="S109" s="13">
        <f t="shared" ref="S109:T109" si="219">N109/L109</f>
        <v>5.2631578947368418E-2</v>
      </c>
      <c r="T109" s="13">
        <f t="shared" si="219"/>
        <v>4.3326435592343504E-2</v>
      </c>
      <c r="U109" s="13">
        <f t="shared" si="6"/>
        <v>9.3051433550249141E-3</v>
      </c>
      <c r="V109" s="13">
        <f t="shared" si="7"/>
        <v>3.8465264993702064E-2</v>
      </c>
      <c r="W109" s="13">
        <f t="shared" si="8"/>
        <v>0.1188630490956073</v>
      </c>
      <c r="X109" s="13">
        <f t="shared" si="9"/>
        <v>2.7159855147439238E-2</v>
      </c>
      <c r="Y109" s="13">
        <f t="shared" si="10"/>
        <v>0.24776119402985075</v>
      </c>
    </row>
    <row r="110" spans="1:25" ht="14.4">
      <c r="A110" s="98" t="s">
        <v>318</v>
      </c>
      <c r="B110" s="99">
        <v>522275</v>
      </c>
      <c r="C110" s="98" t="s">
        <v>180</v>
      </c>
      <c r="D110" s="108" t="s">
        <v>275</v>
      </c>
      <c r="E110" s="11">
        <f ca="1">IFERROR(__xludf.DUMMYFUNCTION("GOOGLEFINANCE(""BOM:""&amp;B110,""PRICE"")"),3735)</f>
        <v>3735</v>
      </c>
      <c r="F110" s="20">
        <f ca="1">IFERROR(__xludf.DUMMYFUNCTION("GOOGLEFINANCE(""BOM:""&amp;B110,""MARKETCAP"")/10000000"),97866.11)</f>
        <v>97866.11</v>
      </c>
      <c r="G110" s="95">
        <f t="shared" ca="1" si="25"/>
        <v>2.4291253140162504E-3</v>
      </c>
      <c r="H110" s="101">
        <v>4569</v>
      </c>
      <c r="I110" s="101">
        <v>3139</v>
      </c>
      <c r="J110" s="101">
        <v>881</v>
      </c>
      <c r="K110" s="101">
        <v>421</v>
      </c>
      <c r="L110" s="101">
        <v>1700</v>
      </c>
      <c r="M110" s="101">
        <v>1073</v>
      </c>
      <c r="N110" s="101">
        <v>290</v>
      </c>
      <c r="O110" s="101">
        <v>142</v>
      </c>
      <c r="P110" s="13">
        <f t="shared" ref="P110:Q110" si="220">J110/H110</f>
        <v>0.19282118625519806</v>
      </c>
      <c r="Q110" s="13">
        <f t="shared" si="220"/>
        <v>0.13411914622491239</v>
      </c>
      <c r="R110" s="13">
        <f t="shared" si="4"/>
        <v>5.8702040030285674E-2</v>
      </c>
      <c r="S110" s="13">
        <f t="shared" ref="S110:T110" si="221">N110/L110</f>
        <v>0.17058823529411765</v>
      </c>
      <c r="T110" s="13">
        <f t="shared" si="221"/>
        <v>0.13233923578751164</v>
      </c>
      <c r="U110" s="13">
        <f t="shared" si="6"/>
        <v>3.8248999506606013E-2</v>
      </c>
      <c r="V110" s="13">
        <f t="shared" si="7"/>
        <v>0.45555909525326532</v>
      </c>
      <c r="W110" s="13">
        <f t="shared" si="8"/>
        <v>1.0926365795724466</v>
      </c>
      <c r="X110" s="13">
        <f t="shared" si="9"/>
        <v>0.5843429636533084</v>
      </c>
      <c r="Y110" s="13">
        <f t="shared" si="10"/>
        <v>1.0422535211267605</v>
      </c>
    </row>
    <row r="111" spans="1:25" ht="14.4">
      <c r="A111" s="98" t="s">
        <v>319</v>
      </c>
      <c r="B111" s="99">
        <v>543287</v>
      </c>
      <c r="C111" s="98" t="s">
        <v>187</v>
      </c>
      <c r="D111" s="70" t="s">
        <v>131</v>
      </c>
      <c r="E111" s="11">
        <f ca="1">IFERROR(__xludf.DUMMYFUNCTION("GOOGLEFINANCE(""BOM:""&amp;B111,""PRICE"")"),703.05)</f>
        <v>703.05</v>
      </c>
      <c r="F111" s="20">
        <f ca="1">IFERROR(__xludf.DUMMYFUNCTION("GOOGLEFINANCE(""BOM:""&amp;B111,""MARKETCAP"")/10000000"),70203.7520086)</f>
        <v>70203.7520086</v>
      </c>
      <c r="G111" s="95">
        <f t="shared" ca="1" si="25"/>
        <v>1.7425205839182679E-3</v>
      </c>
      <c r="H111" s="101">
        <v>11962</v>
      </c>
      <c r="I111" s="101">
        <v>9555</v>
      </c>
      <c r="J111" s="101">
        <v>2422</v>
      </c>
      <c r="K111" s="101">
        <v>1843</v>
      </c>
      <c r="L111" s="101">
        <v>4672</v>
      </c>
      <c r="M111" s="101">
        <v>4083</v>
      </c>
      <c r="N111" s="101">
        <v>957</v>
      </c>
      <c r="O111" s="101">
        <v>944</v>
      </c>
      <c r="P111" s="13">
        <f t="shared" ref="P111:Q111" si="222">J111/H111</f>
        <v>0.20247450259153987</v>
      </c>
      <c r="Q111" s="13">
        <f t="shared" si="222"/>
        <v>0.19288330716902147</v>
      </c>
      <c r="R111" s="13">
        <f t="shared" si="4"/>
        <v>9.591195422518406E-3</v>
      </c>
      <c r="S111" s="13">
        <f t="shared" ref="S111:T111" si="223">N111/L111</f>
        <v>0.20483732876712329</v>
      </c>
      <c r="T111" s="13">
        <f t="shared" si="223"/>
        <v>0.23120254714670585</v>
      </c>
      <c r="U111" s="13">
        <f t="shared" si="6"/>
        <v>-2.6365218379582556E-2</v>
      </c>
      <c r="V111" s="13">
        <f t="shared" si="7"/>
        <v>0.25190999476713771</v>
      </c>
      <c r="W111" s="13">
        <f t="shared" si="8"/>
        <v>0.31416169289202389</v>
      </c>
      <c r="X111" s="13">
        <f t="shared" si="9"/>
        <v>0.14425667401420528</v>
      </c>
      <c r="Y111" s="13">
        <f t="shared" si="10"/>
        <v>1.3771186440677985E-2</v>
      </c>
    </row>
    <row r="112" spans="1:25" ht="14.4">
      <c r="A112" s="98" t="s">
        <v>320</v>
      </c>
      <c r="B112" s="99">
        <v>540133</v>
      </c>
      <c r="C112" s="98" t="s">
        <v>172</v>
      </c>
      <c r="D112" s="100" t="s">
        <v>137</v>
      </c>
      <c r="E112" s="11">
        <f ca="1">IFERROR(__xludf.DUMMYFUNCTION("GOOGLEFINANCE(""BOM:""&amp;B112,""PRICE"")"),512)</f>
        <v>512</v>
      </c>
      <c r="F112" s="20">
        <f ca="1">IFERROR(__xludf.DUMMYFUNCTION("GOOGLEFINANCE(""BOM:""&amp;B112,""MARKETCAP"")/10000000"),74173.7711194)</f>
        <v>74173.7711194</v>
      </c>
      <c r="G112" s="95">
        <f t="shared" ca="1" si="25"/>
        <v>1.8410600468556685E-3</v>
      </c>
      <c r="H112" s="101">
        <v>59637</v>
      </c>
      <c r="I112" s="101">
        <v>54982</v>
      </c>
      <c r="J112" s="101">
        <v>983</v>
      </c>
      <c r="K112" s="101">
        <v>800</v>
      </c>
      <c r="L112" s="101">
        <v>22302</v>
      </c>
      <c r="M112" s="101">
        <v>4516</v>
      </c>
      <c r="N112" s="101">
        <v>387</v>
      </c>
      <c r="O112" s="101">
        <v>324</v>
      </c>
      <c r="P112" s="13">
        <f t="shared" ref="P112:Q112" si="224">J112/H112</f>
        <v>1.6483055821050689E-2</v>
      </c>
      <c r="Q112" s="13">
        <f t="shared" si="224"/>
        <v>1.4550216434469463E-2</v>
      </c>
      <c r="R112" s="13">
        <f t="shared" si="4"/>
        <v>1.9328393865812258E-3</v>
      </c>
      <c r="S112" s="13">
        <f t="shared" ref="S112:T112" si="225">N112/L112</f>
        <v>1.735270379338176E-2</v>
      </c>
      <c r="T112" s="13">
        <f t="shared" si="225"/>
        <v>7.1744906997342775E-2</v>
      </c>
      <c r="U112" s="13">
        <f t="shared" si="6"/>
        <v>-5.4392203203961015E-2</v>
      </c>
      <c r="V112" s="13">
        <f t="shared" si="7"/>
        <v>8.4664071878069125E-2</v>
      </c>
      <c r="W112" s="13">
        <f t="shared" si="8"/>
        <v>0.22875000000000001</v>
      </c>
      <c r="X112" s="13">
        <f t="shared" si="9"/>
        <v>3.938441098317095</v>
      </c>
      <c r="Y112" s="13">
        <f t="shared" si="10"/>
        <v>0.19444444444444442</v>
      </c>
    </row>
    <row r="113" spans="1:25" ht="14.4">
      <c r="A113" s="98" t="s">
        <v>321</v>
      </c>
      <c r="B113" s="99">
        <v>540716</v>
      </c>
      <c r="C113" s="98" t="s">
        <v>172</v>
      </c>
      <c r="D113" s="102" t="s">
        <v>86</v>
      </c>
      <c r="E113" s="11">
        <f ca="1">IFERROR(__xludf.DUMMYFUNCTION("GOOGLEFINANCE(""BOM:""&amp;B113,""PRICE"")"),1709.1)</f>
        <v>1709.1</v>
      </c>
      <c r="F113" s="20">
        <f ca="1">IFERROR(__xludf.DUMMYFUNCTION("GOOGLEFINANCE(""BOM:""&amp;B113,""MARKETCAP"")/10000000"),85225.311233)</f>
        <v>85225.311233</v>
      </c>
      <c r="G113" s="95">
        <f t="shared" ca="1" si="25"/>
        <v>2.1153692622603859E-3</v>
      </c>
      <c r="H113" s="101">
        <v>19276</v>
      </c>
      <c r="I113" s="101">
        <v>17085</v>
      </c>
      <c r="J113" s="101">
        <v>2225</v>
      </c>
      <c r="K113" s="101">
        <v>1998</v>
      </c>
      <c r="L113" s="101">
        <v>6610</v>
      </c>
      <c r="M113" s="101">
        <v>5882</v>
      </c>
      <c r="N113" s="101">
        <v>658</v>
      </c>
      <c r="O113" s="101">
        <v>724</v>
      </c>
      <c r="P113" s="13">
        <f t="shared" ref="P113:Q113" si="226">J113/H113</f>
        <v>0.11542851213944802</v>
      </c>
      <c r="Q113" s="13">
        <f t="shared" si="226"/>
        <v>0.11694468832309043</v>
      </c>
      <c r="R113" s="13">
        <f t="shared" si="4"/>
        <v>-1.5161761836424148E-3</v>
      </c>
      <c r="S113" s="13">
        <f t="shared" ref="S113:T113" si="227">N113/L113</f>
        <v>9.9546142208774585E-2</v>
      </c>
      <c r="T113" s="13">
        <f t="shared" si="227"/>
        <v>0.12308738524311459</v>
      </c>
      <c r="U113" s="13">
        <f t="shared" si="6"/>
        <v>-2.3541243034340006E-2</v>
      </c>
      <c r="V113" s="13">
        <f t="shared" si="7"/>
        <v>0.12824114720515079</v>
      </c>
      <c r="W113" s="13">
        <f t="shared" si="8"/>
        <v>0.11361361361361366</v>
      </c>
      <c r="X113" s="13">
        <f t="shared" si="9"/>
        <v>0.12376742604556279</v>
      </c>
      <c r="Y113" s="13">
        <f t="shared" si="10"/>
        <v>-9.1160220994475183E-2</v>
      </c>
    </row>
    <row r="114" spans="1:25" ht="14.4">
      <c r="A114" s="98" t="s">
        <v>322</v>
      </c>
      <c r="B114" s="99">
        <v>500387</v>
      </c>
      <c r="C114" s="98" t="s">
        <v>196</v>
      </c>
      <c r="D114" s="100" t="s">
        <v>109</v>
      </c>
      <c r="E114" s="11">
        <f ca="1">IFERROR(__xludf.DUMMYFUNCTION("GOOGLEFINANCE(""BOM:""&amp;B114,""PRICE"")"),23460)</f>
        <v>23460</v>
      </c>
      <c r="F114" s="20">
        <f ca="1">IFERROR(__xludf.DUMMYFUNCTION("GOOGLEFINANCE(""BOM:""&amp;B114,""MARKETCAP"")/10000000"),84645.41604)</f>
        <v>84645.416039999996</v>
      </c>
      <c r="G114" s="95">
        <f t="shared" ca="1" si="25"/>
        <v>2.1009757393872213E-3</v>
      </c>
      <c r="H114" s="101">
        <v>14842</v>
      </c>
      <c r="I114" s="101">
        <v>13751</v>
      </c>
      <c r="J114" s="101">
        <v>1221</v>
      </c>
      <c r="K114" s="101">
        <v>549</v>
      </c>
      <c r="L114" s="101">
        <v>4800</v>
      </c>
      <c r="M114" s="101">
        <v>4573</v>
      </c>
      <c r="N114" s="101">
        <v>266</v>
      </c>
      <c r="O114" s="101">
        <v>194</v>
      </c>
      <c r="P114" s="13">
        <f t="shared" ref="P114:Q114" si="228">J114/H114</f>
        <v>8.226654089745318E-2</v>
      </c>
      <c r="Q114" s="13">
        <f t="shared" si="228"/>
        <v>3.9924369136790053E-2</v>
      </c>
      <c r="R114" s="13">
        <f t="shared" si="4"/>
        <v>4.2342171760663128E-2</v>
      </c>
      <c r="S114" s="13">
        <f t="shared" ref="S114:T114" si="229">N114/L114</f>
        <v>5.541666666666667E-2</v>
      </c>
      <c r="T114" s="13">
        <f t="shared" si="229"/>
        <v>4.242291712223923E-2</v>
      </c>
      <c r="U114" s="13">
        <f t="shared" si="6"/>
        <v>1.299374954442744E-2</v>
      </c>
      <c r="V114" s="13">
        <f t="shared" si="7"/>
        <v>7.9339684386590115E-2</v>
      </c>
      <c r="W114" s="13">
        <f t="shared" si="8"/>
        <v>1.2240437158469946</v>
      </c>
      <c r="X114" s="13">
        <f t="shared" si="9"/>
        <v>4.9639186529630397E-2</v>
      </c>
      <c r="Y114" s="13">
        <f t="shared" si="10"/>
        <v>0.37113402061855671</v>
      </c>
    </row>
    <row r="115" spans="1:25" ht="14.4">
      <c r="A115" s="98" t="s">
        <v>323</v>
      </c>
      <c r="B115" s="99">
        <v>500850</v>
      </c>
      <c r="C115" s="98" t="s">
        <v>187</v>
      </c>
      <c r="D115" s="100" t="s">
        <v>78</v>
      </c>
      <c r="E115" s="11">
        <f ca="1">IFERROR(__xludf.DUMMYFUNCTION("GOOGLEFINANCE(""BOM:""&amp;B115,""PRICE"")"),597.3)</f>
        <v>597.29999999999995</v>
      </c>
      <c r="F115" s="20">
        <f ca="1">IFERROR(__xludf.DUMMYFUNCTION("GOOGLEFINANCE(""BOM:""&amp;B115,""MARKETCAP"")/10000000"),84986.7651416)</f>
        <v>84986.765141600001</v>
      </c>
      <c r="G115" s="95">
        <f t="shared" ca="1" si="25"/>
        <v>2.1094483326435927E-3</v>
      </c>
      <c r="H115" s="101">
        <v>6923</v>
      </c>
      <c r="I115" s="101">
        <v>5909</v>
      </c>
      <c r="J115" s="101">
        <v>1601</v>
      </c>
      <c r="K115" s="101">
        <v>1475</v>
      </c>
      <c r="L115" s="101">
        <v>2841</v>
      </c>
      <c r="M115" s="101">
        <v>2533</v>
      </c>
      <c r="N115" s="101">
        <v>954</v>
      </c>
      <c r="O115" s="101">
        <v>632</v>
      </c>
      <c r="P115" s="13">
        <f t="shared" ref="P115:Q115" si="230">J115/H115</f>
        <v>0.23125812509027879</v>
      </c>
      <c r="Q115" s="13">
        <f t="shared" si="230"/>
        <v>0.24961922491115249</v>
      </c>
      <c r="R115" s="13">
        <f t="shared" si="4"/>
        <v>-1.8361099820873694E-2</v>
      </c>
      <c r="S115" s="13">
        <f t="shared" ref="S115:T115" si="231">N115/L115</f>
        <v>0.33579725448785641</v>
      </c>
      <c r="T115" s="13">
        <f t="shared" si="231"/>
        <v>0.24950651401500198</v>
      </c>
      <c r="U115" s="13">
        <f t="shared" si="6"/>
        <v>8.6290740472854427E-2</v>
      </c>
      <c r="V115" s="13">
        <f t="shared" si="7"/>
        <v>0.17160264004061609</v>
      </c>
      <c r="W115" s="13">
        <f t="shared" si="8"/>
        <v>8.5423728813559308E-2</v>
      </c>
      <c r="X115" s="13">
        <f t="shared" si="9"/>
        <v>0.12159494670351356</v>
      </c>
      <c r="Y115" s="13">
        <f t="shared" si="10"/>
        <v>0.509493670886076</v>
      </c>
    </row>
    <row r="116" spans="1:25" ht="14.4">
      <c r="A116" s="98" t="s">
        <v>324</v>
      </c>
      <c r="B116" s="99">
        <v>543904</v>
      </c>
      <c r="C116" s="98" t="s">
        <v>190</v>
      </c>
      <c r="D116" s="70" t="s">
        <v>100</v>
      </c>
      <c r="E116" s="11">
        <f ca="1">IFERROR(__xludf.DUMMYFUNCTION("GOOGLEFINANCE(""BOM:""&amp;B116,""PRICE"")"),2013.7)</f>
        <v>2013.7</v>
      </c>
      <c r="F116" s="20">
        <f ca="1">IFERROR(__xludf.DUMMYFUNCTION("GOOGLEFINANCE(""BOM:""&amp;B116,""MARKETCAP"")/10000000"),83139.4923448)</f>
        <v>83139.492344800005</v>
      </c>
      <c r="G116" s="95">
        <f t="shared" ca="1" si="25"/>
        <v>2.0635973520273152E-3</v>
      </c>
      <c r="H116" s="101">
        <v>10835</v>
      </c>
      <c r="I116" s="101">
        <v>9128</v>
      </c>
      <c r="J116" s="101">
        <v>1379</v>
      </c>
      <c r="K116" s="101">
        <v>1586</v>
      </c>
      <c r="L116" s="101">
        <v>3567</v>
      </c>
      <c r="M116" s="101">
        <v>3199</v>
      </c>
      <c r="N116" s="101">
        <v>414</v>
      </c>
      <c r="O116" s="101">
        <v>386</v>
      </c>
      <c r="P116" s="13">
        <f t="shared" ref="P116:Q116" si="232">J116/H116</f>
        <v>0.12727272727272726</v>
      </c>
      <c r="Q116" s="13">
        <f t="shared" si="232"/>
        <v>0.17375109553023663</v>
      </c>
      <c r="R116" s="13">
        <f t="shared" si="4"/>
        <v>-4.6478368257509367E-2</v>
      </c>
      <c r="S116" s="13">
        <f t="shared" ref="S116:T116" si="233">N116/L116</f>
        <v>0.11606391925988226</v>
      </c>
      <c r="T116" s="13">
        <f t="shared" si="233"/>
        <v>0.12066270709596749</v>
      </c>
      <c r="U116" s="13">
        <f t="shared" si="6"/>
        <v>-4.5987878360852358E-3</v>
      </c>
      <c r="V116" s="13">
        <f t="shared" si="7"/>
        <v>0.1870070113935145</v>
      </c>
      <c r="W116" s="13">
        <f t="shared" si="8"/>
        <v>-0.13051702395964693</v>
      </c>
      <c r="X116" s="13">
        <f t="shared" si="9"/>
        <v>0.11503594873397938</v>
      </c>
      <c r="Y116" s="13">
        <f t="shared" si="10"/>
        <v>7.2538860103626979E-2</v>
      </c>
    </row>
    <row r="117" spans="1:25" ht="14.4">
      <c r="A117" s="98" t="s">
        <v>325</v>
      </c>
      <c r="B117" s="99">
        <v>500103</v>
      </c>
      <c r="C117" s="98" t="s">
        <v>180</v>
      </c>
      <c r="D117" s="102" t="s">
        <v>275</v>
      </c>
      <c r="E117" s="11">
        <f ca="1">IFERROR(__xludf.DUMMYFUNCTION("GOOGLEFINANCE(""BOM:""&amp;B117,""PRICE"")"),246.1)</f>
        <v>246.1</v>
      </c>
      <c r="F117" s="20">
        <f ca="1">IFERROR(__xludf.DUMMYFUNCTION("GOOGLEFINANCE(""BOM:""&amp;B117,""MARKETCAP"")/10000000"),85710.9786197)</f>
        <v>85710.978619700007</v>
      </c>
      <c r="G117" s="95">
        <f t="shared" ca="1" si="25"/>
        <v>2.1274239658061293E-3</v>
      </c>
      <c r="H117" s="101">
        <v>21472</v>
      </c>
      <c r="I117" s="101">
        <v>19346</v>
      </c>
      <c r="J117" s="101">
        <v>310</v>
      </c>
      <c r="K117" s="101">
        <v>29</v>
      </c>
      <c r="L117" s="101">
        <v>8473</v>
      </c>
      <c r="M117" s="101">
        <v>7277</v>
      </c>
      <c r="N117" s="101">
        <v>390</v>
      </c>
      <c r="O117" s="101">
        <v>135</v>
      </c>
      <c r="P117" s="13">
        <f t="shared" ref="P117:Q117" si="234">J117/H117</f>
        <v>1.4437406855439643E-2</v>
      </c>
      <c r="Q117" s="13">
        <f t="shared" si="234"/>
        <v>1.4990178848340741E-3</v>
      </c>
      <c r="R117" s="13">
        <f t="shared" si="4"/>
        <v>1.2938388970605568E-2</v>
      </c>
      <c r="S117" s="13">
        <f t="shared" ref="S117:T117" si="235">N117/L117</f>
        <v>4.6028561312404105E-2</v>
      </c>
      <c r="T117" s="13">
        <f t="shared" si="235"/>
        <v>1.8551600934451011E-2</v>
      </c>
      <c r="U117" s="13">
        <f t="shared" si="6"/>
        <v>2.7476960377953094E-2</v>
      </c>
      <c r="V117" s="13">
        <f t="shared" si="7"/>
        <v>0.10989351803990499</v>
      </c>
      <c r="W117" s="13">
        <f t="shared" si="8"/>
        <v>9.6896551724137936</v>
      </c>
      <c r="X117" s="13">
        <f t="shared" si="9"/>
        <v>0.16435344235261784</v>
      </c>
      <c r="Y117" s="13">
        <f t="shared" si="10"/>
        <v>1.8888888888888888</v>
      </c>
    </row>
    <row r="118" spans="1:25" ht="14.4">
      <c r="A118" s="98" t="s">
        <v>326</v>
      </c>
      <c r="B118" s="99">
        <v>532321</v>
      </c>
      <c r="C118" s="98" t="s">
        <v>190</v>
      </c>
      <c r="D118" s="70" t="s">
        <v>105</v>
      </c>
      <c r="E118" s="11">
        <f ca="1">IFERROR(__xludf.DUMMYFUNCTION("GOOGLEFINANCE(""BOM:""&amp;B118,""PRICE"")"),862.8)</f>
        <v>862.8</v>
      </c>
      <c r="F118" s="20">
        <f ca="1">IFERROR(__xludf.DUMMYFUNCTION("GOOGLEFINANCE(""BOM:""&amp;B118,""MARKETCAP"")/10000000"),86777.6226166)</f>
        <v>86777.622616599998</v>
      </c>
      <c r="G118" s="95">
        <f t="shared" ca="1" si="25"/>
        <v>2.1538990339774631E-3</v>
      </c>
      <c r="H118" s="101">
        <v>2463</v>
      </c>
      <c r="I118" s="101">
        <v>1780</v>
      </c>
      <c r="J118" s="101">
        <v>35</v>
      </c>
      <c r="K118" s="101">
        <v>175</v>
      </c>
      <c r="L118" s="101">
        <v>963</v>
      </c>
      <c r="M118" s="101">
        <v>450</v>
      </c>
      <c r="N118" s="101">
        <v>-39</v>
      </c>
      <c r="O118" s="101">
        <v>6</v>
      </c>
      <c r="P118" s="13">
        <f t="shared" ref="P118:Q118" si="236">J118/H118</f>
        <v>1.4210312626877792E-2</v>
      </c>
      <c r="Q118" s="13">
        <f t="shared" si="236"/>
        <v>9.8314606741573038E-2</v>
      </c>
      <c r="R118" s="13">
        <f t="shared" si="4"/>
        <v>-8.4104294114695249E-2</v>
      </c>
      <c r="S118" s="13">
        <f t="shared" ref="S118:T118" si="237">N118/L118</f>
        <v>-4.0498442367601244E-2</v>
      </c>
      <c r="T118" s="13">
        <f t="shared" si="237"/>
        <v>1.3333333333333334E-2</v>
      </c>
      <c r="U118" s="13">
        <f t="shared" si="6"/>
        <v>-5.383177570093458E-2</v>
      </c>
      <c r="V118" s="13">
        <f t="shared" si="7"/>
        <v>0.38370786516853927</v>
      </c>
      <c r="W118" s="13">
        <f t="shared" si="8"/>
        <v>-0.8</v>
      </c>
      <c r="X118" s="13">
        <f t="shared" si="9"/>
        <v>1.1400000000000001</v>
      </c>
      <c r="Y118" s="13">
        <f t="shared" si="10"/>
        <v>-7.5</v>
      </c>
    </row>
    <row r="119" spans="1:25" ht="14.4">
      <c r="A119" s="98" t="s">
        <v>327</v>
      </c>
      <c r="B119" s="99">
        <v>500096</v>
      </c>
      <c r="C119" s="98" t="s">
        <v>183</v>
      </c>
      <c r="D119" s="101" t="s">
        <v>282</v>
      </c>
      <c r="E119" s="11">
        <f ca="1">IFERROR(__xludf.DUMMYFUNCTION("GOOGLEFINANCE(""BOM:""&amp;B119,""PRICE"")"),411.55)</f>
        <v>411.55</v>
      </c>
      <c r="F119" s="20">
        <f ca="1">IFERROR(__xludf.DUMMYFUNCTION("GOOGLEFINANCE(""BOM:""&amp;B119,""MARKETCAP"")/10000000"),72779.9097698)</f>
        <v>72779.909769799997</v>
      </c>
      <c r="G119" s="95">
        <f t="shared" ca="1" si="25"/>
        <v>1.8064631482097304E-3</v>
      </c>
      <c r="H119" s="101">
        <v>10155</v>
      </c>
      <c r="I119" s="101">
        <v>9733</v>
      </c>
      <c r="J119" s="101">
        <v>1507</v>
      </c>
      <c r="K119" s="101">
        <v>1428</v>
      </c>
      <c r="L119" s="101">
        <v>3559</v>
      </c>
      <c r="M119" s="101">
        <v>3355</v>
      </c>
      <c r="N119" s="101">
        <v>554</v>
      </c>
      <c r="O119" s="101">
        <v>516</v>
      </c>
      <c r="P119" s="13">
        <f t="shared" ref="P119:Q119" si="238">J119/H119</f>
        <v>0.14839980305268341</v>
      </c>
      <c r="Q119" s="13">
        <f t="shared" si="238"/>
        <v>0.14671735333401828</v>
      </c>
      <c r="R119" s="13">
        <f t="shared" si="4"/>
        <v>1.6824497186651299E-3</v>
      </c>
      <c r="S119" s="13">
        <f t="shared" ref="S119:T119" si="239">N119/L119</f>
        <v>0.15566170272548469</v>
      </c>
      <c r="T119" s="13">
        <f t="shared" si="239"/>
        <v>0.15380029806259315</v>
      </c>
      <c r="U119" s="13">
        <f t="shared" si="6"/>
        <v>1.8614046628915304E-3</v>
      </c>
      <c r="V119" s="13">
        <f t="shared" si="7"/>
        <v>4.3357649234562867E-2</v>
      </c>
      <c r="W119" s="13">
        <f t="shared" si="8"/>
        <v>5.5322128851540642E-2</v>
      </c>
      <c r="X119" s="13">
        <f t="shared" si="9"/>
        <v>6.0804769001490344E-2</v>
      </c>
      <c r="Y119" s="13">
        <f t="shared" si="10"/>
        <v>7.3643410852713087E-2</v>
      </c>
    </row>
    <row r="120" spans="1:25" ht="14.4">
      <c r="A120" s="98" t="s">
        <v>328</v>
      </c>
      <c r="B120" s="99">
        <v>500104</v>
      </c>
      <c r="C120" s="98" t="s">
        <v>91</v>
      </c>
      <c r="D120" s="102" t="s">
        <v>168</v>
      </c>
      <c r="E120" s="11">
        <f ca="1">IFERROR(__xludf.DUMMYFUNCTION("GOOGLEFINANCE(""BOM:""&amp;B120,""PRICE"")"),327.75)</f>
        <v>327.75</v>
      </c>
      <c r="F120" s="20">
        <f ca="1">IFERROR(__xludf.DUMMYFUNCTION("GOOGLEFINANCE(""BOM:""&amp;B120,""MARKETCAP"")/10000000"),69813.8411187)</f>
        <v>69813.841118700002</v>
      </c>
      <c r="G120" s="95">
        <f t="shared" ca="1" si="25"/>
        <v>1.7328426431799807E-3</v>
      </c>
      <c r="H120" s="101">
        <v>356808</v>
      </c>
      <c r="I120" s="101">
        <v>349756</v>
      </c>
      <c r="J120" s="101">
        <v>11981</v>
      </c>
      <c r="K120" s="101">
        <v>3320</v>
      </c>
      <c r="L120" s="101">
        <v>125189</v>
      </c>
      <c r="M120" s="101">
        <v>119493</v>
      </c>
      <c r="N120" s="101">
        <v>4011</v>
      </c>
      <c r="O120" s="101">
        <v>2543</v>
      </c>
      <c r="P120" s="13">
        <f t="shared" ref="P120:Q120" si="240">J120/H120</f>
        <v>3.3578282998139058E-2</v>
      </c>
      <c r="Q120" s="13">
        <f t="shared" si="240"/>
        <v>9.4923317970242119E-3</v>
      </c>
      <c r="R120" s="13">
        <f t="shared" si="4"/>
        <v>2.4085951201114848E-2</v>
      </c>
      <c r="S120" s="13">
        <f t="shared" ref="S120:T120" si="241">N120/L120</f>
        <v>3.2039556191039147E-2</v>
      </c>
      <c r="T120" s="13">
        <f t="shared" si="241"/>
        <v>2.1281581347861379E-2</v>
      </c>
      <c r="U120" s="13">
        <f t="shared" si="6"/>
        <v>1.0757974843177767E-2</v>
      </c>
      <c r="V120" s="13">
        <f t="shared" si="7"/>
        <v>2.0162627660426091E-2</v>
      </c>
      <c r="W120" s="13">
        <f t="shared" si="8"/>
        <v>2.608734939759036</v>
      </c>
      <c r="X120" s="13">
        <f t="shared" si="9"/>
        <v>4.7668064238072461E-2</v>
      </c>
      <c r="Y120" s="13">
        <f t="shared" si="10"/>
        <v>0.57727093983484079</v>
      </c>
    </row>
    <row r="121" spans="1:25" ht="14.4">
      <c r="A121" s="98" t="s">
        <v>329</v>
      </c>
      <c r="B121" s="99">
        <v>500493</v>
      </c>
      <c r="C121" s="98" t="s">
        <v>187</v>
      </c>
      <c r="D121" s="101" t="s">
        <v>312</v>
      </c>
      <c r="E121" s="11">
        <f ca="1">IFERROR(__xludf.DUMMYFUNCTION("GOOGLEFINANCE(""BOM:""&amp;B121,""PRICE"")"),1663.1)</f>
        <v>1663.1</v>
      </c>
      <c r="F121" s="20">
        <f ca="1">IFERROR(__xludf.DUMMYFUNCTION("GOOGLEFINANCE(""BOM:""&amp;B121,""MARKETCAP"")/10000000"),79525.2588912)</f>
        <v>79525.258891200006</v>
      </c>
      <c r="G121" s="95">
        <f t="shared" ca="1" si="25"/>
        <v>1.9738888107058697E-3</v>
      </c>
      <c r="H121" s="101">
        <v>12283</v>
      </c>
      <c r="I121" s="101">
        <v>11270</v>
      </c>
      <c r="J121" s="101">
        <v>855</v>
      </c>
      <c r="K121" s="101">
        <v>630</v>
      </c>
      <c r="L121" s="101">
        <v>4342</v>
      </c>
      <c r="M121" s="101">
        <v>3475</v>
      </c>
      <c r="N121" s="101">
        <v>272</v>
      </c>
      <c r="O121" s="101">
        <v>212</v>
      </c>
      <c r="P121" s="13">
        <f t="shared" ref="P121:Q121" si="242">J121/H121</f>
        <v>6.960840185622405E-2</v>
      </c>
      <c r="Q121" s="13">
        <f t="shared" si="242"/>
        <v>5.5900621118012424E-2</v>
      </c>
      <c r="R121" s="13">
        <f t="shared" si="4"/>
        <v>1.3707780738211627E-2</v>
      </c>
      <c r="S121" s="13">
        <f t="shared" ref="S121:T121" si="243">N121/L121</f>
        <v>6.2643942883463838E-2</v>
      </c>
      <c r="T121" s="13">
        <f t="shared" si="243"/>
        <v>6.1007194244604317E-2</v>
      </c>
      <c r="U121" s="13">
        <f t="shared" si="6"/>
        <v>1.6367486388595212E-3</v>
      </c>
      <c r="V121" s="13">
        <f t="shared" si="7"/>
        <v>8.988464951197872E-2</v>
      </c>
      <c r="W121" s="13">
        <f t="shared" si="8"/>
        <v>0.35714285714285721</v>
      </c>
      <c r="X121" s="13">
        <f t="shared" si="9"/>
        <v>0.24949640287769781</v>
      </c>
      <c r="Y121" s="13">
        <f t="shared" si="10"/>
        <v>0.28301886792452824</v>
      </c>
    </row>
    <row r="122" spans="1:25" ht="14.4">
      <c r="A122" s="98" t="s">
        <v>330</v>
      </c>
      <c r="B122" s="99">
        <v>543237</v>
      </c>
      <c r="C122" s="98" t="s">
        <v>180</v>
      </c>
      <c r="D122" s="102" t="s">
        <v>331</v>
      </c>
      <c r="E122" s="11">
        <f ca="1">IFERROR(__xludf.DUMMYFUNCTION("GOOGLEFINANCE(""BOM:""&amp;B122,""PRICE"")"),2316.3)</f>
        <v>2316.3000000000002</v>
      </c>
      <c r="F122" s="20">
        <f ca="1">IFERROR(__xludf.DUMMYFUNCTION("GOOGLEFINANCE(""BOM:""&amp;B122,""MARKETCAP"")/10000000"),93480.23665)</f>
        <v>93480.236650000006</v>
      </c>
      <c r="G122" s="95">
        <f t="shared" ca="1" si="25"/>
        <v>2.3202639729600436E-3</v>
      </c>
      <c r="H122" s="101">
        <v>9155</v>
      </c>
      <c r="I122" s="101">
        <v>8257</v>
      </c>
      <c r="J122" s="101">
        <v>2081</v>
      </c>
      <c r="K122" s="101">
        <v>2088</v>
      </c>
      <c r="L122" s="101">
        <v>3601</v>
      </c>
      <c r="M122" s="101">
        <v>3143</v>
      </c>
      <c r="N122" s="101">
        <v>879</v>
      </c>
      <c r="O122" s="101">
        <v>807</v>
      </c>
      <c r="P122" s="13">
        <f t="shared" ref="P122:Q122" si="244">J122/H122</f>
        <v>0.22730748225013653</v>
      </c>
      <c r="Q122" s="13">
        <f t="shared" si="244"/>
        <v>0.25287634734164949</v>
      </c>
      <c r="R122" s="13">
        <f t="shared" si="4"/>
        <v>-2.556886509151296E-2</v>
      </c>
      <c r="S122" s="13">
        <f t="shared" ref="S122:T122" si="245">N122/L122</f>
        <v>0.24409886142738127</v>
      </c>
      <c r="T122" s="13">
        <f t="shared" si="245"/>
        <v>0.25676105631562202</v>
      </c>
      <c r="U122" s="13">
        <f t="shared" si="6"/>
        <v>-1.2662194888240746E-2</v>
      </c>
      <c r="V122" s="13">
        <f t="shared" si="7"/>
        <v>0.10875620685478982</v>
      </c>
      <c r="W122" s="13">
        <f t="shared" si="8"/>
        <v>-3.3524904214559115E-3</v>
      </c>
      <c r="X122" s="13">
        <f t="shared" si="9"/>
        <v>0.14572064906140625</v>
      </c>
      <c r="Y122" s="13">
        <f t="shared" si="10"/>
        <v>8.9219330855018653E-2</v>
      </c>
    </row>
    <row r="123" spans="1:25" ht="14.4">
      <c r="A123" s="98" t="s">
        <v>332</v>
      </c>
      <c r="B123" s="99">
        <v>532955</v>
      </c>
      <c r="C123" s="98" t="s">
        <v>172</v>
      </c>
      <c r="D123" s="101" t="s">
        <v>266</v>
      </c>
      <c r="E123" s="11">
        <f ca="1">IFERROR(__xludf.DUMMYFUNCTION("GOOGLEFINANCE(""BOM:""&amp;B123,""PRICE"")"),327.9)</f>
        <v>327.9</v>
      </c>
      <c r="F123" s="20">
        <f ca="1">IFERROR(__xludf.DUMMYFUNCTION("GOOGLEFINANCE(""BOM:""&amp;B123,""MARKETCAP"")/10000000"),86332.854973)</f>
        <v>86332.854972999994</v>
      </c>
      <c r="G123" s="95">
        <f t="shared" ca="1" si="25"/>
        <v>2.1428594990258428E-3</v>
      </c>
      <c r="H123" s="101">
        <v>45045</v>
      </c>
      <c r="I123" s="101">
        <v>41086</v>
      </c>
      <c r="J123" s="101">
        <v>12933</v>
      </c>
      <c r="K123" s="101">
        <v>11574</v>
      </c>
      <c r="L123" s="101">
        <v>15058</v>
      </c>
      <c r="M123" s="101">
        <v>14287</v>
      </c>
      <c r="N123" s="101">
        <v>4052</v>
      </c>
      <c r="O123" s="101">
        <v>4076</v>
      </c>
      <c r="P123" s="13">
        <f t="shared" ref="P123:Q123" si="246">J123/H123</f>
        <v>0.28711288711288713</v>
      </c>
      <c r="Q123" s="13">
        <f t="shared" si="246"/>
        <v>0.28170179623229324</v>
      </c>
      <c r="R123" s="13">
        <f t="shared" si="4"/>
        <v>5.4110908805938829E-3</v>
      </c>
      <c r="S123" s="13">
        <f t="shared" ref="S123:T123" si="247">N123/L123</f>
        <v>0.26909284101474301</v>
      </c>
      <c r="T123" s="13">
        <f t="shared" si="247"/>
        <v>0.28529432351088402</v>
      </c>
      <c r="U123" s="13">
        <f t="shared" si="6"/>
        <v>-1.6201482496141006E-2</v>
      </c>
      <c r="V123" s="13">
        <f t="shared" si="7"/>
        <v>9.6358857031592304E-2</v>
      </c>
      <c r="W123" s="13">
        <f t="shared" si="8"/>
        <v>0.11741835147744939</v>
      </c>
      <c r="X123" s="13">
        <f t="shared" si="9"/>
        <v>5.3965143137117755E-2</v>
      </c>
      <c r="Y123" s="13">
        <f t="shared" si="10"/>
        <v>-5.8881256133463955E-3</v>
      </c>
    </row>
    <row r="124" spans="1:25" ht="14.4">
      <c r="A124" s="98" t="s">
        <v>333</v>
      </c>
      <c r="B124" s="99">
        <v>540691</v>
      </c>
      <c r="C124" s="98" t="s">
        <v>172</v>
      </c>
      <c r="D124" s="109" t="s">
        <v>243</v>
      </c>
      <c r="E124" s="11">
        <f ca="1">IFERROR(__xludf.DUMMYFUNCTION("GOOGLEFINANCE(""BOM:""&amp;B124,""PRICE"")"),310.4)</f>
        <v>310.39999999999998</v>
      </c>
      <c r="F124" s="20">
        <f ca="1">IFERROR(__xludf.DUMMYFUNCTION("GOOGLEFINANCE(""BOM:""&amp;B124,""MARKETCAP"")/10000000"),80974.7361)</f>
        <v>80974.736099999995</v>
      </c>
      <c r="G124" s="95">
        <f t="shared" ca="1" si="25"/>
        <v>2.0098661452498264E-3</v>
      </c>
      <c r="H124" s="101">
        <v>32142</v>
      </c>
      <c r="I124" s="101">
        <v>28485</v>
      </c>
      <c r="J124" s="101">
        <v>2635</v>
      </c>
      <c r="K124" s="101">
        <v>2468</v>
      </c>
      <c r="L124" s="101">
        <v>12001</v>
      </c>
      <c r="M124" s="101">
        <v>9404</v>
      </c>
      <c r="N124" s="101">
        <v>945</v>
      </c>
      <c r="O124" s="101">
        <v>708</v>
      </c>
      <c r="P124" s="13">
        <f t="shared" ref="P124:Q124" si="248">J124/H124</f>
        <v>8.1979963910148709E-2</v>
      </c>
      <c r="Q124" s="13">
        <f t="shared" si="248"/>
        <v>8.6642092329296122E-2</v>
      </c>
      <c r="R124" s="13">
        <f t="shared" si="4"/>
        <v>-4.6621284191474127E-3</v>
      </c>
      <c r="S124" s="13">
        <f t="shared" ref="S124:T124" si="249">N124/L124</f>
        <v>7.8743438046829428E-2</v>
      </c>
      <c r="T124" s="13">
        <f t="shared" si="249"/>
        <v>7.5287111867290521E-2</v>
      </c>
      <c r="U124" s="13">
        <f t="shared" si="6"/>
        <v>3.4563261795389072E-3</v>
      </c>
      <c r="V124" s="13">
        <f t="shared" si="7"/>
        <v>0.12838335966298042</v>
      </c>
      <c r="W124" s="13">
        <f t="shared" si="8"/>
        <v>6.7666126418152395E-2</v>
      </c>
      <c r="X124" s="13">
        <f t="shared" si="9"/>
        <v>0.27615908124202471</v>
      </c>
      <c r="Y124" s="13">
        <f t="shared" si="10"/>
        <v>0.3347457627118644</v>
      </c>
    </row>
    <row r="125" spans="1:25" ht="14.4">
      <c r="A125" s="98" t="s">
        <v>334</v>
      </c>
      <c r="B125" s="99">
        <v>517334</v>
      </c>
      <c r="C125" s="98" t="s">
        <v>187</v>
      </c>
      <c r="D125" s="101" t="s">
        <v>312</v>
      </c>
      <c r="E125" s="11">
        <f ca="1">IFERROR(__xludf.DUMMYFUNCTION("GOOGLEFINANCE(""BOM:""&amp;B125,""PRICE"")"),108.4)</f>
        <v>108.4</v>
      </c>
      <c r="F125" s="20">
        <f ca="1">IFERROR(__xludf.DUMMYFUNCTION("GOOGLEFINANCE(""BOM:""&amp;B125,""MARKETCAP"")/10000000"),114226.4478252)</f>
        <v>114226.4478252</v>
      </c>
      <c r="G125" s="95">
        <f t="shared" ca="1" si="25"/>
        <v>2.8352036873883083E-3</v>
      </c>
      <c r="H125" s="101">
        <v>91794</v>
      </c>
      <c r="I125" s="101">
        <v>84346</v>
      </c>
      <c r="J125" s="101">
        <v>2524</v>
      </c>
      <c r="K125" s="101">
        <v>3030</v>
      </c>
      <c r="L125" s="101">
        <v>31409</v>
      </c>
      <c r="M125" s="101">
        <v>27666</v>
      </c>
      <c r="N125" s="101">
        <v>1072</v>
      </c>
      <c r="O125" s="101">
        <v>984</v>
      </c>
      <c r="P125" s="13">
        <f t="shared" ref="P125:Q125" si="250">J125/H125</f>
        <v>2.7496350523999388E-2</v>
      </c>
      <c r="Q125" s="13">
        <f t="shared" si="250"/>
        <v>3.5923458136722548E-2</v>
      </c>
      <c r="R125" s="13">
        <f t="shared" si="4"/>
        <v>-8.4271076127231601E-3</v>
      </c>
      <c r="S125" s="13">
        <f t="shared" ref="S125:T125" si="251">N125/L125</f>
        <v>3.4130344805628959E-2</v>
      </c>
      <c r="T125" s="13">
        <f t="shared" si="251"/>
        <v>3.5567122099327692E-2</v>
      </c>
      <c r="U125" s="13">
        <f t="shared" si="6"/>
        <v>-1.4367772936987322E-3</v>
      </c>
      <c r="V125" s="13">
        <f t="shared" si="7"/>
        <v>8.8302942641026227E-2</v>
      </c>
      <c r="W125" s="13">
        <f t="shared" si="8"/>
        <v>-0.166996699669967</v>
      </c>
      <c r="X125" s="13">
        <f t="shared" si="9"/>
        <v>0.13529241668473935</v>
      </c>
      <c r="Y125" s="13">
        <f t="shared" si="10"/>
        <v>8.9430894308943021E-2</v>
      </c>
    </row>
    <row r="126" spans="1:25" ht="14.4">
      <c r="A126" s="98" t="s">
        <v>335</v>
      </c>
      <c r="B126" s="99">
        <v>533148</v>
      </c>
      <c r="C126" s="98" t="s">
        <v>198</v>
      </c>
      <c r="D126" s="101" t="s">
        <v>199</v>
      </c>
      <c r="E126" s="11">
        <f ca="1">IFERROR(__xludf.DUMMYFUNCTION("GOOGLEFINANCE(""BOM:""&amp;B126,""PRICE"")"),497.15)</f>
        <v>497.15</v>
      </c>
      <c r="F126" s="20">
        <f ca="1">IFERROR(__xludf.DUMMYFUNCTION("GOOGLEFINANCE(""BOM:""&amp;B126,""MARKETCAP"")/10000000"),89727.2972268)</f>
        <v>89727.297226800001</v>
      </c>
      <c r="G126" s="95">
        <f t="shared" ca="1" si="25"/>
        <v>2.2271126240930592E-3</v>
      </c>
      <c r="H126" s="101">
        <v>15026</v>
      </c>
      <c r="I126" s="101">
        <v>9142</v>
      </c>
      <c r="J126" s="101">
        <v>2188</v>
      </c>
      <c r="K126" s="101">
        <v>1568</v>
      </c>
      <c r="L126" s="101">
        <v>4254</v>
      </c>
      <c r="M126" s="101">
        <v>2640</v>
      </c>
      <c r="N126" s="101">
        <v>528</v>
      </c>
      <c r="O126" s="101">
        <v>157</v>
      </c>
      <c r="P126" s="13">
        <f t="shared" ref="P126:Q126" si="252">J126/H126</f>
        <v>0.14561426860109145</v>
      </c>
      <c r="Q126" s="13">
        <f t="shared" si="252"/>
        <v>0.17151607963246554</v>
      </c>
      <c r="R126" s="13">
        <f t="shared" si="4"/>
        <v>-2.5901811031374095E-2</v>
      </c>
      <c r="S126" s="13">
        <f t="shared" ref="S126:T126" si="253">N126/L126</f>
        <v>0.12411847672778561</v>
      </c>
      <c r="T126" s="13">
        <f t="shared" si="253"/>
        <v>5.9469696969696971E-2</v>
      </c>
      <c r="U126" s="13">
        <f t="shared" si="6"/>
        <v>6.4648779758088637E-2</v>
      </c>
      <c r="V126" s="13">
        <f t="shared" si="7"/>
        <v>0.64362283964121647</v>
      </c>
      <c r="W126" s="13">
        <f t="shared" si="8"/>
        <v>0.39540816326530615</v>
      </c>
      <c r="X126" s="13">
        <f t="shared" si="9"/>
        <v>0.61136363636363633</v>
      </c>
      <c r="Y126" s="13">
        <f t="shared" si="10"/>
        <v>2.3630573248407645</v>
      </c>
    </row>
    <row r="127" spans="1:25" ht="14.4">
      <c r="A127" s="98" t="s">
        <v>336</v>
      </c>
      <c r="B127" s="99">
        <v>517354</v>
      </c>
      <c r="C127" s="98" t="s">
        <v>187</v>
      </c>
      <c r="D127" s="102" t="s">
        <v>111</v>
      </c>
      <c r="E127" s="11">
        <f ca="1">IFERROR(__xludf.DUMMYFUNCTION("GOOGLEFINANCE(""BOM:""&amp;B127,""PRICE"")"),1201.4)</f>
        <v>1201.4000000000001</v>
      </c>
      <c r="F127" s="20">
        <f ca="1">IFERROR(__xludf.DUMMYFUNCTION("GOOGLEFINANCE(""BOM:""&amp;B127,""MARKETCAP"")/10000000"),75364.90452)</f>
        <v>75364.904519999996</v>
      </c>
      <c r="G127" s="95">
        <f t="shared" ca="1" si="25"/>
        <v>1.8706250545561657E-3</v>
      </c>
      <c r="H127" s="101">
        <v>15823</v>
      </c>
      <c r="I127" s="101">
        <v>15234</v>
      </c>
      <c r="J127" s="101">
        <v>966</v>
      </c>
      <c r="K127" s="101">
        <v>953</v>
      </c>
      <c r="L127" s="101">
        <v>5588</v>
      </c>
      <c r="M127" s="101">
        <v>4889</v>
      </c>
      <c r="N127" s="101">
        <v>300</v>
      </c>
      <c r="O127" s="101">
        <v>278</v>
      </c>
      <c r="P127" s="13">
        <f t="shared" ref="P127:Q127" si="254">J127/H127</f>
        <v>6.1050369714971874E-2</v>
      </c>
      <c r="Q127" s="13">
        <f t="shared" si="254"/>
        <v>6.25574373112774E-2</v>
      </c>
      <c r="R127" s="13">
        <f t="shared" si="4"/>
        <v>-1.5070675963055266E-3</v>
      </c>
      <c r="S127" s="13">
        <f t="shared" ref="S127:T127" si="255">N127/L127</f>
        <v>5.3686471009305653E-2</v>
      </c>
      <c r="T127" s="13">
        <f t="shared" si="255"/>
        <v>5.6862344037635508E-2</v>
      </c>
      <c r="U127" s="13">
        <f t="shared" si="6"/>
        <v>-3.175873028329855E-3</v>
      </c>
      <c r="V127" s="13">
        <f t="shared" si="7"/>
        <v>3.8663515819876482E-2</v>
      </c>
      <c r="W127" s="13">
        <f t="shared" si="8"/>
        <v>1.3641133263378791E-2</v>
      </c>
      <c r="X127" s="13">
        <f t="shared" si="9"/>
        <v>0.14297402331765197</v>
      </c>
      <c r="Y127" s="13">
        <f t="shared" si="10"/>
        <v>7.9136690647481966E-2</v>
      </c>
    </row>
    <row r="128" spans="1:25" ht="14.4">
      <c r="A128" s="98" t="s">
        <v>337</v>
      </c>
      <c r="B128" s="99">
        <v>500247</v>
      </c>
      <c r="C128" s="98" t="s">
        <v>172</v>
      </c>
      <c r="D128" s="70" t="s">
        <v>72</v>
      </c>
      <c r="E128" s="11">
        <f ca="1">IFERROR(__xludf.DUMMYFUNCTION("GOOGLEFINANCE(""BOM:""&amp;B128,""PRICE"")"),359.9)</f>
        <v>359.9</v>
      </c>
      <c r="F128" s="20">
        <f ca="1">IFERROR(__xludf.DUMMYFUNCTION("GOOGLEFINANCE(""BOM:""&amp;B128,""MARKETCAP"")/10000000"),357873.8345383)</f>
        <v>357873.8345383</v>
      </c>
      <c r="G128" s="95">
        <f t="shared" ca="1" si="25"/>
        <v>8.8827520650514007E-3</v>
      </c>
      <c r="H128" s="101">
        <v>79456</v>
      </c>
      <c r="I128" s="101">
        <v>75901</v>
      </c>
      <c r="J128" s="101">
        <v>13864</v>
      </c>
      <c r="K128" s="101">
        <v>17193</v>
      </c>
      <c r="L128" s="101">
        <v>27850</v>
      </c>
      <c r="M128" s="101">
        <v>23945</v>
      </c>
      <c r="N128" s="101">
        <v>4924</v>
      </c>
      <c r="O128" s="101">
        <v>4701</v>
      </c>
      <c r="P128" s="13">
        <f t="shared" ref="P128:Q128" si="256">J128/H128</f>
        <v>0.17448650825614176</v>
      </c>
      <c r="Q128" s="13">
        <f t="shared" si="256"/>
        <v>0.22651875469361404</v>
      </c>
      <c r="R128" s="13">
        <f t="shared" si="4"/>
        <v>-5.2032246437472285E-2</v>
      </c>
      <c r="S128" s="13">
        <f t="shared" ref="S128:T128" si="257">N128/L128</f>
        <v>0.17680430879712747</v>
      </c>
      <c r="T128" s="13">
        <f t="shared" si="257"/>
        <v>0.19632491125495929</v>
      </c>
      <c r="U128" s="13">
        <f t="shared" si="6"/>
        <v>-1.9520602457831826E-2</v>
      </c>
      <c r="V128" s="13">
        <f t="shared" si="7"/>
        <v>4.6837327571441767E-2</v>
      </c>
      <c r="W128" s="13">
        <f t="shared" si="8"/>
        <v>-0.19362531262723204</v>
      </c>
      <c r="X128" s="13">
        <f t="shared" si="9"/>
        <v>0.16308206306118178</v>
      </c>
      <c r="Y128" s="13">
        <f t="shared" si="10"/>
        <v>4.7436715592427126E-2</v>
      </c>
    </row>
    <row r="129" spans="1:25" ht="14.4">
      <c r="A129" s="98" t="s">
        <v>338</v>
      </c>
      <c r="B129" s="99">
        <v>500547</v>
      </c>
      <c r="C129" s="98" t="s">
        <v>91</v>
      </c>
      <c r="D129" s="101" t="s">
        <v>168</v>
      </c>
      <c r="E129" s="11">
        <f ca="1">IFERROR(__xludf.DUMMYFUNCTION("GOOGLEFINANCE(""BOM:""&amp;B129,""PRICE"")"),278.1)</f>
        <v>278.10000000000002</v>
      </c>
      <c r="F129" s="20">
        <f ca="1">IFERROR(__xludf.DUMMYFUNCTION("GOOGLEFINANCE(""BOM:""&amp;B129,""MARKETCAP"")/10000000"),120653.798888)</f>
        <v>120653.798888</v>
      </c>
      <c r="G129" s="95">
        <f t="shared" ca="1" si="25"/>
        <v>2.9947363506229738E-3</v>
      </c>
      <c r="H129" s="101">
        <v>390220</v>
      </c>
      <c r="I129" s="101">
        <v>375481</v>
      </c>
      <c r="J129" s="101">
        <v>20218</v>
      </c>
      <c r="K129" s="101">
        <v>8944</v>
      </c>
      <c r="L129" s="101">
        <v>137298</v>
      </c>
      <c r="M129" s="101">
        <v>128158</v>
      </c>
      <c r="N129" s="101">
        <v>7188</v>
      </c>
      <c r="O129" s="101">
        <v>3805</v>
      </c>
      <c r="P129" s="13">
        <f t="shared" ref="P129:Q129" si="258">J129/H129</f>
        <v>5.1811798472656448E-2</v>
      </c>
      <c r="Q129" s="13">
        <f t="shared" si="258"/>
        <v>2.3820113401210714E-2</v>
      </c>
      <c r="R129" s="13">
        <f t="shared" si="4"/>
        <v>2.7991685071445734E-2</v>
      </c>
      <c r="S129" s="13">
        <f t="shared" ref="S129:T129" si="259">N129/L129</f>
        <v>5.2353275357252108E-2</v>
      </c>
      <c r="T129" s="13">
        <f t="shared" si="259"/>
        <v>2.9689914012390954E-2</v>
      </c>
      <c r="U129" s="13">
        <f t="shared" si="6"/>
        <v>2.2663361344861153E-2</v>
      </c>
      <c r="V129" s="13">
        <f t="shared" si="7"/>
        <v>3.9253650650765248E-2</v>
      </c>
      <c r="W129" s="13">
        <f t="shared" si="8"/>
        <v>1.2605098389982112</v>
      </c>
      <c r="X129" s="13">
        <f t="shared" si="9"/>
        <v>7.1318216576413462E-2</v>
      </c>
      <c r="Y129" s="13">
        <f t="shared" si="10"/>
        <v>0.88909329829172146</v>
      </c>
    </row>
    <row r="130" spans="1:25" ht="14.4">
      <c r="A130" s="98" t="s">
        <v>339</v>
      </c>
      <c r="B130" s="99">
        <v>533106</v>
      </c>
      <c r="C130" s="98" t="s">
        <v>91</v>
      </c>
      <c r="D130" s="102" t="s">
        <v>202</v>
      </c>
      <c r="E130" s="11">
        <f ca="1">IFERROR(__xludf.DUMMYFUNCTION("GOOGLEFINANCE(""BOM:""&amp;B130,""PRICE"")"),474.65)</f>
        <v>474.65</v>
      </c>
      <c r="F130" s="20">
        <f ca="1">IFERROR(__xludf.DUMMYFUNCTION("GOOGLEFINANCE(""BOM:""&amp;B130,""MARKETCAP"")/10000000"),77263.8325)</f>
        <v>77263.832500000004</v>
      </c>
      <c r="G130" s="95">
        <f t="shared" ca="1" si="25"/>
        <v>1.9177581635119805E-3</v>
      </c>
      <c r="H130" s="101">
        <v>27037</v>
      </c>
      <c r="I130" s="101">
        <v>26576</v>
      </c>
      <c r="J130" s="101">
        <v>5126</v>
      </c>
      <c r="K130" s="101">
        <v>5543</v>
      </c>
      <c r="L130" s="101">
        <v>9111</v>
      </c>
      <c r="M130" s="101">
        <v>9089</v>
      </c>
      <c r="N130" s="101">
        <v>1436</v>
      </c>
      <c r="O130" s="101">
        <v>1457</v>
      </c>
      <c r="P130" s="13">
        <f t="shared" ref="P130:Q130" si="260">J130/H130</f>
        <v>0.18959204053704184</v>
      </c>
      <c r="Q130" s="13">
        <f t="shared" si="260"/>
        <v>0.20857164358819988</v>
      </c>
      <c r="R130" s="13">
        <f t="shared" si="4"/>
        <v>-1.8979603051158034E-2</v>
      </c>
      <c r="S130" s="13">
        <f t="shared" ref="S130:T130" si="261">N130/L130</f>
        <v>0.15761167819119745</v>
      </c>
      <c r="T130" s="13">
        <f t="shared" si="261"/>
        <v>0.16030366376939156</v>
      </c>
      <c r="U130" s="13">
        <f t="shared" si="6"/>
        <v>-2.6919855781941116E-3</v>
      </c>
      <c r="V130" s="13">
        <f t="shared" si="7"/>
        <v>1.7346478025285883E-2</v>
      </c>
      <c r="W130" s="13">
        <f t="shared" si="8"/>
        <v>-7.5230019844849338E-2</v>
      </c>
      <c r="X130" s="13">
        <f t="shared" si="9"/>
        <v>2.42050830674434E-3</v>
      </c>
      <c r="Y130" s="13">
        <f t="shared" si="10"/>
        <v>-1.4413177762525708E-2</v>
      </c>
    </row>
    <row r="131" spans="1:25" ht="14.4">
      <c r="A131" s="98" t="s">
        <v>340</v>
      </c>
      <c r="B131" s="99">
        <v>544162</v>
      </c>
      <c r="C131" s="98" t="s">
        <v>170</v>
      </c>
      <c r="D131" s="102" t="s">
        <v>128</v>
      </c>
      <c r="E131" s="11">
        <f ca="1">IFERROR(__xludf.DUMMYFUNCTION("GOOGLEFINANCE(""BOM:""&amp;B131,""PRICE"")"),1519.95)</f>
        <v>1519.95</v>
      </c>
      <c r="F131" s="20">
        <f ca="1">IFERROR(__xludf.DUMMYFUNCTION("GOOGLEFINANCE(""BOM:""&amp;B131,""MARKETCAP"")/10000000"),76009.9975585)</f>
        <v>76009.997558500007</v>
      </c>
      <c r="G131" s="95">
        <f t="shared" ca="1" si="25"/>
        <v>1.8866368468887314E-3</v>
      </c>
      <c r="H131" s="101">
        <v>6940</v>
      </c>
      <c r="I131" s="101">
        <v>6258</v>
      </c>
      <c r="J131" s="101">
        <v>1286</v>
      </c>
      <c r="K131" s="101">
        <v>1025</v>
      </c>
      <c r="L131" s="101">
        <v>2359</v>
      </c>
      <c r="M131" s="101">
        <v>2250</v>
      </c>
      <c r="N131" s="101">
        <v>473</v>
      </c>
      <c r="O131" s="101">
        <v>260</v>
      </c>
      <c r="P131" s="13">
        <f t="shared" ref="P131:Q131" si="262">J131/H131</f>
        <v>0.18530259365994237</v>
      </c>
      <c r="Q131" s="13">
        <f t="shared" si="262"/>
        <v>0.16379034835410675</v>
      </c>
      <c r="R131" s="13">
        <f t="shared" si="4"/>
        <v>2.151224530583562E-2</v>
      </c>
      <c r="S131" s="13">
        <f t="shared" ref="S131:T131" si="263">N131/L131</f>
        <v>0.20050869012293346</v>
      </c>
      <c r="T131" s="13">
        <f t="shared" si="263"/>
        <v>0.11555555555555555</v>
      </c>
      <c r="U131" s="13">
        <f t="shared" si="6"/>
        <v>8.4953134567377908E-2</v>
      </c>
      <c r="V131" s="13">
        <f t="shared" si="7"/>
        <v>0.10898050495365941</v>
      </c>
      <c r="W131" s="13">
        <f t="shared" si="8"/>
        <v>0.25463414634146342</v>
      </c>
      <c r="X131" s="13">
        <f t="shared" si="9"/>
        <v>4.8444444444444512E-2</v>
      </c>
      <c r="Y131" s="13">
        <f t="shared" si="10"/>
        <v>0.81923076923076921</v>
      </c>
    </row>
    <row r="132" spans="1:25" ht="14.4">
      <c r="A132" s="98" t="s">
        <v>341</v>
      </c>
      <c r="B132" s="99">
        <v>532149</v>
      </c>
      <c r="C132" s="98" t="s">
        <v>172</v>
      </c>
      <c r="D132" s="102" t="s">
        <v>107</v>
      </c>
      <c r="E132" s="11">
        <f ca="1">IFERROR(__xludf.DUMMYFUNCTION("GOOGLEFINANCE(""BOM:""&amp;B132,""PRICE"")"),142.95)</f>
        <v>142.94999999999999</v>
      </c>
      <c r="F132" s="20">
        <f ca="1">IFERROR(__xludf.DUMMYFUNCTION("GOOGLEFINANCE(""BOM:""&amp;B132,""MARKETCAP"")/10000000"),65116.8098482)</f>
        <v>65116.809848199999</v>
      </c>
      <c r="G132" s="95">
        <f t="shared" ca="1" si="25"/>
        <v>1.6162580812729276E-3</v>
      </c>
      <c r="H132" s="101">
        <v>62796</v>
      </c>
      <c r="I132" s="101">
        <v>58478</v>
      </c>
      <c r="J132" s="101">
        <v>7218</v>
      </c>
      <c r="K132" s="101">
        <v>6946</v>
      </c>
      <c r="L132" s="101">
        <v>21379</v>
      </c>
      <c r="M132" s="101">
        <v>20739</v>
      </c>
      <c r="N132" s="101">
        <v>2812</v>
      </c>
      <c r="O132" s="101">
        <v>2636</v>
      </c>
      <c r="P132" s="13">
        <f t="shared" ref="P132:Q132" si="264">J132/H132</f>
        <v>0.11494362698261036</v>
      </c>
      <c r="Q132" s="13">
        <f t="shared" si="264"/>
        <v>0.11877971202845515</v>
      </c>
      <c r="R132" s="13">
        <f t="shared" si="4"/>
        <v>-3.8360850458447893E-3</v>
      </c>
      <c r="S132" s="13">
        <f t="shared" ref="S132:T132" si="265">N132/L132</f>
        <v>0.13153094157818421</v>
      </c>
      <c r="T132" s="13">
        <f t="shared" si="265"/>
        <v>0.1271035247601138</v>
      </c>
      <c r="U132" s="13">
        <f t="shared" si="6"/>
        <v>4.4274168180704065E-3</v>
      </c>
      <c r="V132" s="13">
        <f t="shared" si="7"/>
        <v>7.3839734601046647E-2</v>
      </c>
      <c r="W132" s="13">
        <f t="shared" si="8"/>
        <v>3.9159228332853457E-2</v>
      </c>
      <c r="X132" s="13">
        <f t="shared" si="9"/>
        <v>3.0859732870437417E-2</v>
      </c>
      <c r="Y132" s="13">
        <f t="shared" si="10"/>
        <v>6.6767830045523446E-2</v>
      </c>
    </row>
    <row r="133" spans="1:25" ht="14.4">
      <c r="A133" s="98" t="s">
        <v>342</v>
      </c>
      <c r="B133" s="99">
        <v>532779</v>
      </c>
      <c r="C133" s="98" t="s">
        <v>198</v>
      </c>
      <c r="D133" s="100" t="s">
        <v>288</v>
      </c>
      <c r="E133" s="11">
        <f ca="1">IFERROR(__xludf.DUMMYFUNCTION("GOOGLEFINANCE(""BOM:""&amp;B133,""PRICE"")"),1383.6)</f>
        <v>1383.6</v>
      </c>
      <c r="F133" s="20">
        <f ca="1">IFERROR(__xludf.DUMMYFUNCTION("GOOGLEFINANCE(""BOM:""&amp;B133,""MARKETCAP"")/10000000"),69810.7921202)</f>
        <v>69810.7921202</v>
      </c>
      <c r="G133" s="95">
        <f t="shared" ca="1" si="25"/>
        <v>1.7327669642811388E-3</v>
      </c>
      <c r="H133" s="101">
        <v>22560</v>
      </c>
      <c r="I133" s="101">
        <v>22709</v>
      </c>
      <c r="J133" s="101">
        <v>2138</v>
      </c>
      <c r="K133" s="101">
        <v>1981</v>
      </c>
      <c r="L133" s="101">
        <v>6778</v>
      </c>
      <c r="M133" s="101">
        <v>6499</v>
      </c>
      <c r="N133" s="101">
        <v>655</v>
      </c>
      <c r="O133" s="101">
        <v>489</v>
      </c>
      <c r="P133" s="13">
        <f t="shared" ref="P133:Q133" si="266">J133/H133</f>
        <v>9.4769503546099296E-2</v>
      </c>
      <c r="Q133" s="13">
        <f t="shared" si="266"/>
        <v>8.723413624554141E-2</v>
      </c>
      <c r="R133" s="13">
        <f t="shared" si="4"/>
        <v>7.5353673005578853E-3</v>
      </c>
      <c r="S133" s="13">
        <f t="shared" ref="S133:T133" si="267">N133/L133</f>
        <v>9.6636175863086454E-2</v>
      </c>
      <c r="T133" s="13">
        <f t="shared" si="267"/>
        <v>7.5242344976150177E-2</v>
      </c>
      <c r="U133" s="13">
        <f t="shared" si="6"/>
        <v>2.1393830886936277E-2</v>
      </c>
      <c r="V133" s="13">
        <f t="shared" si="7"/>
        <v>-6.5612752653133599E-3</v>
      </c>
      <c r="W133" s="13">
        <f t="shared" si="8"/>
        <v>7.9252902574457273E-2</v>
      </c>
      <c r="X133" s="13">
        <f t="shared" si="9"/>
        <v>4.292968148945997E-2</v>
      </c>
      <c r="Y133" s="13">
        <f t="shared" si="10"/>
        <v>0.3394683026584866</v>
      </c>
    </row>
    <row r="134" spans="1:25" ht="14.4">
      <c r="A134" s="98" t="s">
        <v>343</v>
      </c>
      <c r="B134" s="99">
        <v>544277</v>
      </c>
      <c r="C134" s="98" t="s">
        <v>180</v>
      </c>
      <c r="D134" s="70" t="s">
        <v>344</v>
      </c>
      <c r="E134" s="11">
        <f ca="1">IFERROR(__xludf.DUMMYFUNCTION("GOOGLEFINANCE(""BOM:""&amp;B134,""PRICE"")"),3081)</f>
        <v>3081</v>
      </c>
      <c r="F134" s="20">
        <f ca="1">IFERROR(__xludf.DUMMYFUNCTION("GOOGLEFINANCE(""BOM:""&amp;B134,""MARKETCAP"")/10000000"),88573.32744)</f>
        <v>88573.327439999994</v>
      </c>
      <c r="G134" s="95">
        <f t="shared" ca="1" si="25"/>
        <v>2.1984700508802706E-3</v>
      </c>
      <c r="H134" s="101">
        <v>18056</v>
      </c>
      <c r="I134" s="101">
        <v>10440</v>
      </c>
      <c r="J134" s="101">
        <v>2757</v>
      </c>
      <c r="K134" s="101">
        <v>1283</v>
      </c>
      <c r="L134" s="101">
        <v>7565</v>
      </c>
      <c r="M134" s="101">
        <v>3457</v>
      </c>
      <c r="N134" s="101">
        <v>1106</v>
      </c>
      <c r="O134" s="101">
        <v>506</v>
      </c>
      <c r="P134" s="13">
        <f t="shared" ref="P134:Q134" si="268">J134/H134</f>
        <v>0.15269162605228179</v>
      </c>
      <c r="Q134" s="13">
        <f t="shared" si="268"/>
        <v>0.12289272030651341</v>
      </c>
      <c r="R134" s="13">
        <f t="shared" si="4"/>
        <v>2.9798905745768378E-2</v>
      </c>
      <c r="S134" s="13">
        <f t="shared" ref="S134:T134" si="269">N134/L134</f>
        <v>0.14619960343688038</v>
      </c>
      <c r="T134" s="13">
        <f t="shared" si="269"/>
        <v>0.14636968469771477</v>
      </c>
      <c r="U134" s="13">
        <f t="shared" si="6"/>
        <v>-1.7008126083439823E-4</v>
      </c>
      <c r="V134" s="13">
        <f t="shared" si="7"/>
        <v>0.72950191570881229</v>
      </c>
      <c r="W134" s="13">
        <f t="shared" si="8"/>
        <v>1.1488698363211225</v>
      </c>
      <c r="X134" s="13">
        <f t="shared" si="9"/>
        <v>1.1883135666763089</v>
      </c>
      <c r="Y134" s="13">
        <f t="shared" si="10"/>
        <v>1.1857707509881421</v>
      </c>
    </row>
    <row r="135" spans="1:25" ht="14.4">
      <c r="A135" s="98" t="s">
        <v>345</v>
      </c>
      <c r="B135" s="99">
        <v>503806</v>
      </c>
      <c r="C135" s="98" t="s">
        <v>196</v>
      </c>
      <c r="D135" s="70" t="s">
        <v>346</v>
      </c>
      <c r="E135" s="11">
        <f ca="1">IFERROR(__xludf.DUMMYFUNCTION("GOOGLEFINANCE(""BOM:""&amp;B135,""PRICE"")"),2422.8)</f>
        <v>2422.8000000000002</v>
      </c>
      <c r="F135" s="20">
        <f ca="1">IFERROR(__xludf.DUMMYFUNCTION("GOOGLEFINANCE(""BOM:""&amp;B135,""MARKETCAP"")/10000000"),71880.0468572)</f>
        <v>71880.046857199995</v>
      </c>
      <c r="G135" s="95">
        <f t="shared" ca="1" si="25"/>
        <v>1.7841277373086427E-3</v>
      </c>
      <c r="H135" s="101">
        <v>11171</v>
      </c>
      <c r="I135" s="101">
        <v>10380</v>
      </c>
      <c r="J135" s="101">
        <v>1253</v>
      </c>
      <c r="K135" s="101">
        <v>725</v>
      </c>
      <c r="L135" s="101">
        <v>3713</v>
      </c>
      <c r="M135" s="101">
        <v>3419</v>
      </c>
      <c r="N135" s="101">
        <v>433</v>
      </c>
      <c r="O135" s="101">
        <v>271</v>
      </c>
      <c r="P135" s="13">
        <f t="shared" ref="P135:Q135" si="270">J135/H135</f>
        <v>0.11216542834124071</v>
      </c>
      <c r="Q135" s="13">
        <f t="shared" si="270"/>
        <v>6.9845857418111751E-2</v>
      </c>
      <c r="R135" s="13">
        <f t="shared" si="4"/>
        <v>4.2319570923128963E-2</v>
      </c>
      <c r="S135" s="13">
        <f t="shared" ref="S135:T135" si="271">N135/L135</f>
        <v>0.11661729060059252</v>
      </c>
      <c r="T135" s="13">
        <f t="shared" si="271"/>
        <v>7.9262942380813106E-2</v>
      </c>
      <c r="U135" s="13">
        <f t="shared" si="6"/>
        <v>3.7354348219779412E-2</v>
      </c>
      <c r="V135" s="13">
        <f t="shared" si="7"/>
        <v>7.6204238921002032E-2</v>
      </c>
      <c r="W135" s="13">
        <f t="shared" si="8"/>
        <v>0.72827586206896555</v>
      </c>
      <c r="X135" s="13">
        <f t="shared" si="9"/>
        <v>8.5990055571804724E-2</v>
      </c>
      <c r="Y135" s="13">
        <f t="shared" si="10"/>
        <v>0.59778597785977849</v>
      </c>
    </row>
    <row r="136" spans="1:25" ht="14.4">
      <c r="A136" s="98" t="s">
        <v>347</v>
      </c>
      <c r="B136" s="99">
        <v>544289</v>
      </c>
      <c r="C136" s="98" t="s">
        <v>198</v>
      </c>
      <c r="D136" s="102" t="s">
        <v>199</v>
      </c>
      <c r="E136" s="11">
        <f ca="1">IFERROR(__xludf.DUMMYFUNCTION("GOOGLEFINANCE(""BOM:""&amp;B136,""PRICE"")"),98.58)</f>
        <v>98.58</v>
      </c>
      <c r="F136" s="20">
        <f ca="1">IFERROR(__xludf.DUMMYFUNCTION("GOOGLEFINANCE(""BOM:""&amp;B136,""MARKETCAP"")/10000000"),83134.1649998)</f>
        <v>83134.164999800007</v>
      </c>
      <c r="G136" s="95">
        <f t="shared" ca="1" si="25"/>
        <v>2.0634651225088846E-3</v>
      </c>
      <c r="H136" s="101">
        <v>1946</v>
      </c>
      <c r="I136" s="101">
        <v>1587</v>
      </c>
      <c r="J136" s="101">
        <v>324</v>
      </c>
      <c r="K136" s="101">
        <v>241</v>
      </c>
      <c r="L136" s="101">
        <v>653</v>
      </c>
      <c r="M136" s="101">
        <v>505</v>
      </c>
      <c r="N136" s="101">
        <v>17</v>
      </c>
      <c r="O136" s="101">
        <v>66</v>
      </c>
      <c r="P136" s="13">
        <f t="shared" ref="P136:Q136" si="272">J136/H136</f>
        <v>0.16649537512846865</v>
      </c>
      <c r="Q136" s="13">
        <f t="shared" si="272"/>
        <v>0.1518588531821046</v>
      </c>
      <c r="R136" s="13">
        <f t="shared" si="4"/>
        <v>1.4636521946364056E-2</v>
      </c>
      <c r="S136" s="13">
        <f t="shared" ref="S136:T136" si="273">N136/L136</f>
        <v>2.6033690658499236E-2</v>
      </c>
      <c r="T136" s="13">
        <f t="shared" si="273"/>
        <v>0.1306930693069307</v>
      </c>
      <c r="U136" s="13">
        <f t="shared" si="6"/>
        <v>-0.10465937864843146</v>
      </c>
      <c r="V136" s="13">
        <f t="shared" si="7"/>
        <v>0.22621298046628868</v>
      </c>
      <c r="W136" s="13">
        <f t="shared" si="8"/>
        <v>0.34439834024896276</v>
      </c>
      <c r="X136" s="13">
        <f t="shared" si="9"/>
        <v>0.29306930693069311</v>
      </c>
      <c r="Y136" s="13">
        <f t="shared" si="10"/>
        <v>-0.74242424242424243</v>
      </c>
    </row>
    <row r="137" spans="1:25" ht="14.4">
      <c r="A137" s="98" t="s">
        <v>348</v>
      </c>
      <c r="B137" s="99">
        <v>543384</v>
      </c>
      <c r="C137" s="98" t="s">
        <v>187</v>
      </c>
      <c r="D137" s="100" t="s">
        <v>120</v>
      </c>
      <c r="E137" s="11">
        <f ca="1">IFERROR(__xludf.DUMMYFUNCTION("GOOGLEFINANCE(""BOM:""&amp;B137,""PRICE"")"),252.8)</f>
        <v>252.8</v>
      </c>
      <c r="F137" s="20">
        <f ca="1">IFERROR(__xludf.DUMMYFUNCTION("GOOGLEFINANCE(""BOM:""&amp;B137,""MARKETCAP"")/10000000"),72436.7814458)</f>
        <v>72436.781445800007</v>
      </c>
      <c r="G137" s="95">
        <f t="shared" ca="1" si="25"/>
        <v>1.7979463930451044E-3</v>
      </c>
      <c r="H137" s="101">
        <v>7374</v>
      </c>
      <c r="I137" s="101">
        <v>5888</v>
      </c>
      <c r="J137" s="101">
        <v>125</v>
      </c>
      <c r="K137" s="101">
        <v>53</v>
      </c>
      <c r="L137" s="101">
        <v>2873</v>
      </c>
      <c r="M137" s="101">
        <v>2267</v>
      </c>
      <c r="N137" s="101">
        <v>68</v>
      </c>
      <c r="O137" s="101">
        <v>26</v>
      </c>
      <c r="P137" s="13">
        <f t="shared" ref="P137:Q137" si="274">J137/H137</f>
        <v>1.6951451044209385E-2</v>
      </c>
      <c r="Q137" s="13">
        <f t="shared" si="274"/>
        <v>9.001358695652174E-3</v>
      </c>
      <c r="R137" s="13">
        <f t="shared" si="4"/>
        <v>7.9500923485572115E-3</v>
      </c>
      <c r="S137" s="13">
        <f t="shared" ref="S137:T137" si="275">N137/L137</f>
        <v>2.3668639053254437E-2</v>
      </c>
      <c r="T137" s="13">
        <f t="shared" si="275"/>
        <v>1.1468901632112925E-2</v>
      </c>
      <c r="U137" s="13">
        <f t="shared" si="6"/>
        <v>1.2199737421141513E-2</v>
      </c>
      <c r="V137" s="13">
        <f t="shared" si="7"/>
        <v>0.25237771739130443</v>
      </c>
      <c r="W137" s="13">
        <f t="shared" si="8"/>
        <v>1.358490566037736</v>
      </c>
      <c r="X137" s="13">
        <f t="shared" si="9"/>
        <v>0.26731363034847822</v>
      </c>
      <c r="Y137" s="13">
        <f t="shared" si="10"/>
        <v>1.6153846153846154</v>
      </c>
    </row>
    <row r="138" spans="1:25" ht="14.4">
      <c r="A138" s="98" t="s">
        <v>349</v>
      </c>
      <c r="B138" s="99">
        <v>532187</v>
      </c>
      <c r="C138" s="98" t="s">
        <v>172</v>
      </c>
      <c r="D138" s="101" t="s">
        <v>72</v>
      </c>
      <c r="E138" s="11">
        <f ca="1">IFERROR(__xludf.DUMMYFUNCTION("GOOGLEFINANCE(""BOM:""&amp;B138,""PRICE"")"),784.4)</f>
        <v>784.4</v>
      </c>
      <c r="F138" s="20">
        <f ca="1">IFERROR(__xludf.DUMMYFUNCTION("GOOGLEFINANCE(""BOM:""&amp;B138,""MARKETCAP"")/10000000"),61083.4811291)</f>
        <v>61083.481129100001</v>
      </c>
      <c r="G138" s="95">
        <f t="shared" ca="1" si="25"/>
        <v>1.5161472166302589E-3</v>
      </c>
      <c r="H138" s="101">
        <v>40760</v>
      </c>
      <c r="I138" s="101">
        <v>45015</v>
      </c>
      <c r="J138" s="101">
        <v>295</v>
      </c>
      <c r="K138" s="101">
        <v>4904</v>
      </c>
      <c r="L138" s="101">
        <v>13080</v>
      </c>
      <c r="M138" s="101">
        <v>15155</v>
      </c>
      <c r="N138" s="101">
        <v>127</v>
      </c>
      <c r="O138" s="101">
        <v>1402</v>
      </c>
      <c r="P138" s="13">
        <f t="shared" ref="P138:Q138" si="276">J138/H138</f>
        <v>7.2374877330716389E-3</v>
      </c>
      <c r="Q138" s="13">
        <f t="shared" si="276"/>
        <v>0.10894146395645896</v>
      </c>
      <c r="R138" s="13">
        <f t="shared" si="4"/>
        <v>-0.10170397622338731</v>
      </c>
      <c r="S138" s="13">
        <f t="shared" ref="S138:T138" si="277">N138/L138</f>
        <v>9.709480122324159E-3</v>
      </c>
      <c r="T138" s="13">
        <f t="shared" si="277"/>
        <v>9.2510722533817216E-2</v>
      </c>
      <c r="U138" s="13">
        <f t="shared" si="6"/>
        <v>-8.2801242411493059E-2</v>
      </c>
      <c r="V138" s="13">
        <f t="shared" si="7"/>
        <v>-9.4524047539709E-2</v>
      </c>
      <c r="W138" s="13">
        <f t="shared" si="8"/>
        <v>-0.93984502446982054</v>
      </c>
      <c r="X138" s="13">
        <f t="shared" si="9"/>
        <v>-0.13691850874298916</v>
      </c>
      <c r="Y138" s="13">
        <f t="shared" si="10"/>
        <v>-0.90941512125534951</v>
      </c>
    </row>
    <row r="139" spans="1:25" ht="14.4">
      <c r="A139" s="98" t="s">
        <v>350</v>
      </c>
      <c r="B139" s="99">
        <v>533179</v>
      </c>
      <c r="C139" s="98" t="s">
        <v>174</v>
      </c>
      <c r="D139" s="102" t="s">
        <v>175</v>
      </c>
      <c r="E139" s="11">
        <f ca="1">IFERROR(__xludf.DUMMYFUNCTION("GOOGLEFINANCE(""BOM:""&amp;B139,""PRICE"")"),5309.7)</f>
        <v>5309.7</v>
      </c>
      <c r="F139" s="20">
        <f ca="1">IFERROR(__xludf.DUMMYFUNCTION("GOOGLEFINANCE(""BOM:""&amp;B139,""MARKETCAP"")/10000000"),82992.766611)</f>
        <v>82992.766610999999</v>
      </c>
      <c r="G139" s="95">
        <f t="shared" ca="1" si="25"/>
        <v>2.0599554866850512E-3</v>
      </c>
      <c r="H139" s="101">
        <v>10692</v>
      </c>
      <c r="I139" s="101">
        <v>8696</v>
      </c>
      <c r="J139" s="101">
        <v>1335</v>
      </c>
      <c r="K139" s="101">
        <v>1004</v>
      </c>
      <c r="L139" s="101">
        <v>3778</v>
      </c>
      <c r="M139" s="101">
        <v>3062</v>
      </c>
      <c r="N139" s="101">
        <v>439</v>
      </c>
      <c r="O139" s="101">
        <v>372</v>
      </c>
      <c r="P139" s="13">
        <f t="shared" ref="P139:Q139" si="278">J139/H139</f>
        <v>0.12485970819304153</v>
      </c>
      <c r="Q139" s="13">
        <f t="shared" si="278"/>
        <v>0.11545538178472861</v>
      </c>
      <c r="R139" s="13">
        <f t="shared" si="4"/>
        <v>9.4043264083129158E-3</v>
      </c>
      <c r="S139" s="13">
        <f t="shared" ref="S139:T139" si="279">N139/L139</f>
        <v>0.11619904711487559</v>
      </c>
      <c r="T139" s="13">
        <f t="shared" si="279"/>
        <v>0.12148922273024167</v>
      </c>
      <c r="U139" s="13">
        <f t="shared" si="6"/>
        <v>-5.2901756153660717E-3</v>
      </c>
      <c r="V139" s="13">
        <f t="shared" si="7"/>
        <v>0.22953081876724934</v>
      </c>
      <c r="W139" s="13">
        <f t="shared" si="8"/>
        <v>0.32968127490039834</v>
      </c>
      <c r="X139" s="13">
        <f t="shared" si="9"/>
        <v>0.23383409536250821</v>
      </c>
      <c r="Y139" s="13">
        <f t="shared" si="10"/>
        <v>0.18010752688172049</v>
      </c>
    </row>
    <row r="140" spans="1:25" ht="14.4">
      <c r="A140" s="98" t="s">
        <v>351</v>
      </c>
      <c r="B140" s="99">
        <v>533098</v>
      </c>
      <c r="C140" s="98" t="s">
        <v>198</v>
      </c>
      <c r="D140" s="102" t="s">
        <v>199</v>
      </c>
      <c r="E140" s="11">
        <f ca="1">IFERROR(__xludf.DUMMYFUNCTION("GOOGLEFINANCE(""BOM:""&amp;B140,""PRICE"")"),76.02)</f>
        <v>76.02</v>
      </c>
      <c r="F140" s="20">
        <f ca="1">IFERROR(__xludf.DUMMYFUNCTION("GOOGLEFINANCE(""BOM:""&amp;B140,""MARKETCAP"")/10000000"),76382.4090396)</f>
        <v>76382.409039599996</v>
      </c>
      <c r="G140" s="95">
        <f t="shared" ca="1" si="25"/>
        <v>1.8958804364824148E-3</v>
      </c>
      <c r="H140" s="101">
        <v>8800</v>
      </c>
      <c r="I140" s="101">
        <v>8033</v>
      </c>
      <c r="J140" s="101">
        <v>2671</v>
      </c>
      <c r="K140" s="101">
        <v>2492</v>
      </c>
      <c r="L140" s="101">
        <v>2221</v>
      </c>
      <c r="M140" s="101">
        <v>2287</v>
      </c>
      <c r="N140" s="101">
        <v>321</v>
      </c>
      <c r="O140" s="101">
        <v>330</v>
      </c>
      <c r="P140" s="13">
        <f t="shared" ref="P140:Q140" si="280">J140/H140</f>
        <v>0.30352272727272728</v>
      </c>
      <c r="Q140" s="13">
        <f t="shared" si="280"/>
        <v>0.3102203410929914</v>
      </c>
      <c r="R140" s="13">
        <f t="shared" si="4"/>
        <v>-6.6976138202641256E-3</v>
      </c>
      <c r="S140" s="13">
        <f t="shared" ref="S140:T140" si="281">N140/L140</f>
        <v>0.14452949122017109</v>
      </c>
      <c r="T140" s="13">
        <f t="shared" si="281"/>
        <v>0.14429383471797114</v>
      </c>
      <c r="U140" s="13">
        <f t="shared" si="6"/>
        <v>2.3565650219994905E-4</v>
      </c>
      <c r="V140" s="13">
        <f t="shared" si="7"/>
        <v>9.5481140296277855E-2</v>
      </c>
      <c r="W140" s="13">
        <f t="shared" si="8"/>
        <v>7.182985553772081E-2</v>
      </c>
      <c r="X140" s="13">
        <f t="shared" si="9"/>
        <v>-2.8858766943594238E-2</v>
      </c>
      <c r="Y140" s="13">
        <f t="shared" si="10"/>
        <v>-2.7272727272727226E-2</v>
      </c>
    </row>
    <row r="141" spans="1:25" ht="14.4">
      <c r="A141" s="98" t="s">
        <v>352</v>
      </c>
      <c r="B141" s="99">
        <v>500469</v>
      </c>
      <c r="C141" s="98" t="s">
        <v>172</v>
      </c>
      <c r="D141" s="102" t="s">
        <v>72</v>
      </c>
      <c r="E141" s="11">
        <f ca="1">IFERROR(__xludf.DUMMYFUNCTION("GOOGLEFINANCE(""BOM:""&amp;B141,""PRICE"")"),271.05)</f>
        <v>271.05</v>
      </c>
      <c r="F141" s="20">
        <f ca="1">IFERROR(__xludf.DUMMYFUNCTION("GOOGLEFINANCE(""BOM:""&amp;B141,""MARKETCAP"")/10000000"),66755.0681359)</f>
        <v>66755.068135900001</v>
      </c>
      <c r="G141" s="95">
        <f t="shared" ca="1" si="25"/>
        <v>1.6569211328394914E-3</v>
      </c>
      <c r="H141" s="101">
        <v>25139</v>
      </c>
      <c r="I141" s="101">
        <v>23874</v>
      </c>
      <c r="J141" s="101">
        <v>3090</v>
      </c>
      <c r="K141" s="101">
        <v>3093</v>
      </c>
      <c r="L141" s="101">
        <v>8503</v>
      </c>
      <c r="M141" s="101">
        <v>8196</v>
      </c>
      <c r="N141" s="101">
        <v>1123</v>
      </c>
      <c r="O141" s="101">
        <v>948</v>
      </c>
      <c r="P141" s="13">
        <f t="shared" ref="P141:Q141" si="282">J141/H141</f>
        <v>0.12291658379410478</v>
      </c>
      <c r="Q141" s="13">
        <f t="shared" si="282"/>
        <v>0.12955516461422467</v>
      </c>
      <c r="R141" s="13">
        <f t="shared" si="4"/>
        <v>-6.6385808201198937E-3</v>
      </c>
      <c r="S141" s="13">
        <f t="shared" ref="S141:T141" si="283">N141/L141</f>
        <v>0.13207103375279314</v>
      </c>
      <c r="T141" s="13">
        <f t="shared" si="283"/>
        <v>0.11566617862371889</v>
      </c>
      <c r="U141" s="13">
        <f t="shared" si="6"/>
        <v>1.6404855129074247E-2</v>
      </c>
      <c r="V141" s="13">
        <f t="shared" si="7"/>
        <v>5.2986512524084706E-2</v>
      </c>
      <c r="W141" s="13">
        <f t="shared" si="8"/>
        <v>-9.6993210475271319E-4</v>
      </c>
      <c r="X141" s="13">
        <f t="shared" si="9"/>
        <v>3.7457296242069393E-2</v>
      </c>
      <c r="Y141" s="13">
        <f t="shared" si="10"/>
        <v>0.18459915611814348</v>
      </c>
    </row>
    <row r="142" spans="1:25" ht="14.4">
      <c r="A142" s="98" t="s">
        <v>353</v>
      </c>
      <c r="B142" s="99">
        <v>543066</v>
      </c>
      <c r="C142" s="98" t="s">
        <v>172</v>
      </c>
      <c r="D142" s="101" t="s">
        <v>178</v>
      </c>
      <c r="E142" s="11">
        <f ca="1">IFERROR(__xludf.DUMMYFUNCTION("GOOGLEFINANCE(""BOM:""&amp;B142,""PRICE"")"),637.55)</f>
        <v>637.54999999999995</v>
      </c>
      <c r="F142" s="20">
        <f ca="1">IFERROR(__xludf.DUMMYFUNCTION("GOOGLEFINANCE(""BOM:""&amp;B142,""MARKETCAP"")/10000000"),60654.9990712)</f>
        <v>60654.9990712</v>
      </c>
      <c r="G142" s="95">
        <f t="shared" ca="1" si="25"/>
        <v>1.5055119046366926E-3</v>
      </c>
      <c r="H142" s="101">
        <v>15520</v>
      </c>
      <c r="I142" s="101">
        <v>13804</v>
      </c>
      <c r="J142" s="101">
        <v>1557</v>
      </c>
      <c r="K142" s="101">
        <v>1382</v>
      </c>
      <c r="L142" s="101">
        <v>5353</v>
      </c>
      <c r="M142" s="101">
        <v>4767</v>
      </c>
      <c r="N142" s="101">
        <v>557</v>
      </c>
      <c r="O142" s="101">
        <v>383</v>
      </c>
      <c r="P142" s="13">
        <f t="shared" ref="P142:Q142" si="284">J142/H142</f>
        <v>0.10032216494845361</v>
      </c>
      <c r="Q142" s="13">
        <f t="shared" si="284"/>
        <v>0.10011590843233845</v>
      </c>
      <c r="R142" s="13">
        <f t="shared" si="4"/>
        <v>2.0625651611516638E-4</v>
      </c>
      <c r="S142" s="13">
        <f t="shared" ref="S142:T142" si="285">N142/L142</f>
        <v>0.10405380160657575</v>
      </c>
      <c r="T142" s="13">
        <f t="shared" si="285"/>
        <v>8.03440318858821E-2</v>
      </c>
      <c r="U142" s="13">
        <f t="shared" si="6"/>
        <v>2.3709769720693649E-2</v>
      </c>
      <c r="V142" s="13">
        <f t="shared" si="7"/>
        <v>0.1243117936829905</v>
      </c>
      <c r="W142" s="13">
        <f t="shared" si="8"/>
        <v>0.12662807525325626</v>
      </c>
      <c r="X142" s="13">
        <f t="shared" si="9"/>
        <v>0.12292846654080125</v>
      </c>
      <c r="Y142" s="13">
        <f t="shared" si="10"/>
        <v>0.45430809399477812</v>
      </c>
    </row>
    <row r="143" spans="1:25" ht="14.4">
      <c r="A143" s="98" t="s">
        <v>354</v>
      </c>
      <c r="B143" s="99">
        <v>540611</v>
      </c>
      <c r="C143" s="98" t="s">
        <v>172</v>
      </c>
      <c r="D143" s="102" t="s">
        <v>355</v>
      </c>
      <c r="E143" s="11">
        <f ca="1">IFERROR(__xludf.DUMMYFUNCTION("GOOGLEFINANCE(""BOM:""&amp;B143,""PRICE"")"),882.2)</f>
        <v>882.2</v>
      </c>
      <c r="F143" s="20">
        <f ca="1">IFERROR(__xludf.DUMMYFUNCTION("GOOGLEFINANCE(""BOM:""&amp;B143,""MARKETCAP"")/10000000"),66030.8223284)</f>
        <v>66030.822328399998</v>
      </c>
      <c r="G143" s="95">
        <f t="shared" ca="1" si="25"/>
        <v>1.6389446972320232E-3</v>
      </c>
      <c r="H143" s="101">
        <v>15864</v>
      </c>
      <c r="I143" s="101">
        <v>13558</v>
      </c>
      <c r="J143" s="101">
        <v>1809</v>
      </c>
      <c r="K143" s="101">
        <v>1602</v>
      </c>
      <c r="L143" s="101">
        <v>5451</v>
      </c>
      <c r="M143" s="101">
        <v>4731</v>
      </c>
      <c r="N143" s="101">
        <v>667</v>
      </c>
      <c r="O143" s="101">
        <v>528</v>
      </c>
      <c r="P143" s="13">
        <f t="shared" ref="P143:Q143" si="286">J143/H143</f>
        <v>0.11403177004538578</v>
      </c>
      <c r="Q143" s="13">
        <f t="shared" si="286"/>
        <v>0.11815902050449918</v>
      </c>
      <c r="R143" s="13">
        <f t="shared" si="4"/>
        <v>-4.1272504591133991E-3</v>
      </c>
      <c r="S143" s="13">
        <f t="shared" ref="S143:T143" si="287">N143/L143</f>
        <v>0.12236286919831224</v>
      </c>
      <c r="T143" s="13">
        <f t="shared" si="287"/>
        <v>0.11160431198478123</v>
      </c>
      <c r="U143" s="13">
        <f t="shared" si="6"/>
        <v>1.0758557213531014E-2</v>
      </c>
      <c r="V143" s="13">
        <f t="shared" si="7"/>
        <v>0.17008408319811186</v>
      </c>
      <c r="W143" s="13">
        <f t="shared" si="8"/>
        <v>0.1292134831460674</v>
      </c>
      <c r="X143" s="13">
        <f t="shared" si="9"/>
        <v>0.15218769816106525</v>
      </c>
      <c r="Y143" s="13">
        <f t="shared" si="10"/>
        <v>0.26325757575757569</v>
      </c>
    </row>
    <row r="144" spans="1:25" ht="14.4">
      <c r="A144" s="98" t="s">
        <v>356</v>
      </c>
      <c r="B144" s="99">
        <v>526371</v>
      </c>
      <c r="C144" s="98" t="s">
        <v>196</v>
      </c>
      <c r="D144" s="101" t="s">
        <v>357</v>
      </c>
      <c r="E144" s="11">
        <f ca="1">IFERROR(__xludf.DUMMYFUNCTION("GOOGLEFINANCE(""BOM:""&amp;B144,""PRICE"")"),81.7)</f>
        <v>81.7</v>
      </c>
      <c r="F144" s="20">
        <f ca="1">IFERROR(__xludf.DUMMYFUNCTION("GOOGLEFINANCE(""BOM:""&amp;B144,""MARKETCAP"")/10000000"),71811.5615243)</f>
        <v>71811.561524300007</v>
      </c>
      <c r="G144" s="95">
        <f t="shared" ca="1" si="25"/>
        <v>1.7824278694403256E-3</v>
      </c>
      <c r="H144" s="101">
        <v>20728</v>
      </c>
      <c r="I144" s="101">
        <v>16901</v>
      </c>
      <c r="J144" s="101">
        <v>5397</v>
      </c>
      <c r="K144" s="101">
        <v>5056</v>
      </c>
      <c r="L144" s="101">
        <v>7611</v>
      </c>
      <c r="M144" s="101">
        <v>6568</v>
      </c>
      <c r="N144" s="101">
        <v>1747</v>
      </c>
      <c r="O144" s="101">
        <v>1897</v>
      </c>
      <c r="P144" s="13">
        <f t="shared" ref="P144:Q144" si="288">J144/H144</f>
        <v>0.26037244307217289</v>
      </c>
      <c r="Q144" s="13">
        <f t="shared" si="288"/>
        <v>0.29915389621915861</v>
      </c>
      <c r="R144" s="13">
        <f t="shared" si="4"/>
        <v>-3.8781453146985723E-2</v>
      </c>
      <c r="S144" s="13">
        <f t="shared" ref="S144:T144" si="289">N144/L144</f>
        <v>0.22953619760872421</v>
      </c>
      <c r="T144" s="13">
        <f t="shared" si="289"/>
        <v>0.28882460414129113</v>
      </c>
      <c r="U144" s="13">
        <f t="shared" si="6"/>
        <v>-5.9288406532566923E-2</v>
      </c>
      <c r="V144" s="13">
        <f t="shared" si="7"/>
        <v>0.22643630554405059</v>
      </c>
      <c r="W144" s="13">
        <f t="shared" si="8"/>
        <v>6.7444620253164667E-2</v>
      </c>
      <c r="X144" s="13">
        <f t="shared" si="9"/>
        <v>0.15880024360535927</v>
      </c>
      <c r="Y144" s="13">
        <f t="shared" si="10"/>
        <v>-7.9072219293621515E-2</v>
      </c>
    </row>
    <row r="145" spans="1:25" ht="14.4">
      <c r="A145" s="98" t="s">
        <v>358</v>
      </c>
      <c r="B145" s="99">
        <v>533519</v>
      </c>
      <c r="C145" s="98" t="s">
        <v>172</v>
      </c>
      <c r="D145" s="102" t="s">
        <v>178</v>
      </c>
      <c r="E145" s="11">
        <f ca="1">IFERROR(__xludf.DUMMYFUNCTION("GOOGLEFINANCE(""BOM:""&amp;B145,""PRICE"")"),257.15)</f>
        <v>257.14999999999998</v>
      </c>
      <c r="F145" s="20">
        <f ca="1">IFERROR(__xludf.DUMMYFUNCTION("GOOGLEFINANCE(""BOM:""&amp;B145,""MARKETCAP"")/10000000"),60192.92)</f>
        <v>60192.92</v>
      </c>
      <c r="G145" s="95">
        <f t="shared" ca="1" si="25"/>
        <v>1.494042684403774E-3</v>
      </c>
      <c r="H145" s="101">
        <v>13165</v>
      </c>
      <c r="I145" s="101">
        <v>11913</v>
      </c>
      <c r="J145" s="101">
        <v>2174</v>
      </c>
      <c r="K145" s="101">
        <v>2007</v>
      </c>
      <c r="L145" s="101">
        <v>4581</v>
      </c>
      <c r="M145" s="101">
        <v>4105</v>
      </c>
      <c r="N145" s="101">
        <v>738</v>
      </c>
      <c r="O145" s="101">
        <v>626</v>
      </c>
      <c r="P145" s="13">
        <f t="shared" ref="P145:Q145" si="290">J145/H145</f>
        <v>0.1651348271933156</v>
      </c>
      <c r="Q145" s="13">
        <f t="shared" si="290"/>
        <v>0.16847141777889701</v>
      </c>
      <c r="R145" s="13">
        <f t="shared" si="4"/>
        <v>-3.3365905855814171E-3</v>
      </c>
      <c r="S145" s="13">
        <f t="shared" ref="S145:T145" si="291">N145/L145</f>
        <v>0.16110019646365423</v>
      </c>
      <c r="T145" s="13">
        <f t="shared" si="291"/>
        <v>0.15249695493300852</v>
      </c>
      <c r="U145" s="13">
        <f t="shared" si="6"/>
        <v>8.6032415306457055E-3</v>
      </c>
      <c r="V145" s="13">
        <f t="shared" si="7"/>
        <v>0.10509527407034325</v>
      </c>
      <c r="W145" s="13">
        <f t="shared" si="8"/>
        <v>8.3208769307423935E-2</v>
      </c>
      <c r="X145" s="13">
        <f t="shared" si="9"/>
        <v>0.11595615103532286</v>
      </c>
      <c r="Y145" s="13">
        <f t="shared" si="10"/>
        <v>0.17891373801916943</v>
      </c>
    </row>
    <row r="146" spans="1:25" ht="14.4">
      <c r="A146" s="98" t="s">
        <v>359</v>
      </c>
      <c r="B146" s="99">
        <v>532843</v>
      </c>
      <c r="C146" s="98" t="s">
        <v>190</v>
      </c>
      <c r="D146" s="109" t="s">
        <v>113</v>
      </c>
      <c r="E146" s="11">
        <f ca="1">IFERROR(__xludf.DUMMYFUNCTION("GOOGLEFINANCE(""BOM:""&amp;B146,""PRICE"")"),807)</f>
        <v>807</v>
      </c>
      <c r="F146" s="20">
        <f ca="1">IFERROR(__xludf.DUMMYFUNCTION("GOOGLEFINANCE(""BOM:""&amp;B146,""MARKETCAP"")/10000000"),60932.6744788)</f>
        <v>60932.6744788</v>
      </c>
      <c r="G146" s="95">
        <f t="shared" ca="1" si="25"/>
        <v>1.5124040592516144E-3</v>
      </c>
      <c r="H146" s="101">
        <v>6763</v>
      </c>
      <c r="I146" s="101">
        <v>5775</v>
      </c>
      <c r="J146" s="101">
        <v>793</v>
      </c>
      <c r="K146" s="101">
        <v>621</v>
      </c>
      <c r="L146" s="101">
        <v>2265</v>
      </c>
      <c r="M146" s="101">
        <v>1928</v>
      </c>
      <c r="N146" s="101">
        <v>197</v>
      </c>
      <c r="O146" s="101">
        <v>254</v>
      </c>
      <c r="P146" s="13">
        <f t="shared" ref="P146:Q146" si="292">J146/H146</f>
        <v>0.11725565577406477</v>
      </c>
      <c r="Q146" s="13">
        <f t="shared" si="292"/>
        <v>0.10753246753246753</v>
      </c>
      <c r="R146" s="13">
        <f t="shared" si="4"/>
        <v>9.7231882415972359E-3</v>
      </c>
      <c r="S146" s="13">
        <f t="shared" ref="S146:T146" si="293">N146/L146</f>
        <v>8.6975717439293596E-2</v>
      </c>
      <c r="T146" s="13">
        <f t="shared" si="293"/>
        <v>0.13174273858921162</v>
      </c>
      <c r="U146" s="13">
        <f t="shared" si="6"/>
        <v>-4.4767021149918027E-2</v>
      </c>
      <c r="V146" s="13">
        <f t="shared" si="7"/>
        <v>0.17108225108225117</v>
      </c>
      <c r="W146" s="13">
        <f t="shared" si="8"/>
        <v>0.27697262479871165</v>
      </c>
      <c r="X146" s="13">
        <f t="shared" si="9"/>
        <v>0.174792531120332</v>
      </c>
      <c r="Y146" s="13">
        <f t="shared" si="10"/>
        <v>-0.22440944881889768</v>
      </c>
    </row>
    <row r="147" spans="1:25" ht="14.4">
      <c r="A147" s="98" t="s">
        <v>360</v>
      </c>
      <c r="B147" s="99">
        <v>544252</v>
      </c>
      <c r="C147" s="98" t="s">
        <v>172</v>
      </c>
      <c r="D147" s="101" t="s">
        <v>80</v>
      </c>
      <c r="E147" s="11">
        <f ca="1">IFERROR(__xludf.DUMMYFUNCTION("GOOGLEFINANCE(""BOM:""&amp;B147,""PRICE"")"),79.55)</f>
        <v>79.55</v>
      </c>
      <c r="F147" s="20">
        <f ca="1">IFERROR(__xludf.DUMMYFUNCTION("GOOGLEFINANCE(""BOM:""&amp;B147,""MARKETCAP"")/10000000"),66246.1703565)</f>
        <v>66246.170356500006</v>
      </c>
      <c r="G147" s="95">
        <f t="shared" ca="1" si="25"/>
        <v>1.6442898299483559E-3</v>
      </c>
      <c r="H147" s="101">
        <v>8259</v>
      </c>
      <c r="I147" s="101">
        <v>7068</v>
      </c>
      <c r="J147" s="101">
        <v>1891</v>
      </c>
      <c r="K147" s="101">
        <v>1576</v>
      </c>
      <c r="L147" s="101">
        <v>2886</v>
      </c>
      <c r="M147" s="101">
        <v>2449</v>
      </c>
      <c r="N147" s="101">
        <v>654</v>
      </c>
      <c r="O147" s="101">
        <v>548</v>
      </c>
      <c r="P147" s="13">
        <f t="shared" ref="P147:Q147" si="294">J147/H147</f>
        <v>0.22896234410945634</v>
      </c>
      <c r="Q147" s="13">
        <f t="shared" si="294"/>
        <v>0.22297679683078664</v>
      </c>
      <c r="R147" s="13">
        <f t="shared" si="4"/>
        <v>5.9855472786697062E-3</v>
      </c>
      <c r="S147" s="13">
        <f t="shared" ref="S147:T147" si="295">N147/L147</f>
        <v>0.22661122661122662</v>
      </c>
      <c r="T147" s="13">
        <f t="shared" si="295"/>
        <v>0.22376480195998366</v>
      </c>
      <c r="U147" s="13">
        <f t="shared" si="6"/>
        <v>2.8464246512429625E-3</v>
      </c>
      <c r="V147" s="13">
        <f t="shared" si="7"/>
        <v>0.16850594227504234</v>
      </c>
      <c r="W147" s="13">
        <f t="shared" si="8"/>
        <v>0.19987309644670059</v>
      </c>
      <c r="X147" s="13">
        <f t="shared" si="9"/>
        <v>0.17844017966516956</v>
      </c>
      <c r="Y147" s="13">
        <f t="shared" si="10"/>
        <v>0.1934306569343065</v>
      </c>
    </row>
    <row r="148" spans="1:25" ht="14.4">
      <c r="A148" s="98" t="s">
        <v>361</v>
      </c>
      <c r="B148" s="99">
        <v>524804</v>
      </c>
      <c r="C148" s="98" t="s">
        <v>190</v>
      </c>
      <c r="D148" s="102" t="s">
        <v>100</v>
      </c>
      <c r="E148" s="11">
        <f ca="1">IFERROR(__xludf.DUMMYFUNCTION("GOOGLEFINANCE(""BOM:""&amp;B148,""PRICE"")"),1336.65)</f>
        <v>1336.65</v>
      </c>
      <c r="F148" s="20">
        <f ca="1">IFERROR(__xludf.DUMMYFUNCTION("GOOGLEFINANCE(""BOM:""&amp;B148,""MARKETCAP"")/10000000"),77670.6008039)</f>
        <v>77670.600803900001</v>
      </c>
      <c r="G148" s="95">
        <f t="shared" ca="1" si="25"/>
        <v>1.9278545205036188E-3</v>
      </c>
      <c r="H148" s="101">
        <v>24633</v>
      </c>
      <c r="I148" s="101">
        <v>22997</v>
      </c>
      <c r="J148" s="101">
        <v>2582</v>
      </c>
      <c r="K148" s="101">
        <v>2580</v>
      </c>
      <c r="L148" s="101">
        <v>8604</v>
      </c>
      <c r="M148" s="101">
        <v>7893</v>
      </c>
      <c r="N148" s="101">
        <v>909</v>
      </c>
      <c r="O148" s="101">
        <v>845</v>
      </c>
      <c r="P148" s="13">
        <f t="shared" ref="P148:Q148" si="296">J148/H148</f>
        <v>0.10481873908983884</v>
      </c>
      <c r="Q148" s="13">
        <f t="shared" si="296"/>
        <v>0.11218854633213028</v>
      </c>
      <c r="R148" s="13">
        <f t="shared" si="4"/>
        <v>-7.3698072422914429E-3</v>
      </c>
      <c r="S148" s="13">
        <f t="shared" ref="S148:T148" si="297">N148/L148</f>
        <v>0.10564853556485355</v>
      </c>
      <c r="T148" s="13">
        <f t="shared" si="297"/>
        <v>0.10705688584821994</v>
      </c>
      <c r="U148" s="13">
        <f t="shared" si="6"/>
        <v>-1.4083502833663886E-3</v>
      </c>
      <c r="V148" s="13">
        <f t="shared" si="7"/>
        <v>7.1139713875722821E-2</v>
      </c>
      <c r="W148" s="13">
        <f t="shared" si="8"/>
        <v>7.751937984497026E-4</v>
      </c>
      <c r="X148" s="13">
        <f t="shared" si="9"/>
        <v>9.0079817559863162E-2</v>
      </c>
      <c r="Y148" s="13">
        <f t="shared" si="10"/>
        <v>7.5739644970414188E-2</v>
      </c>
    </row>
    <row r="149" spans="1:25" ht="14.4">
      <c r="A149" s="98" t="s">
        <v>362</v>
      </c>
      <c r="B149" s="99">
        <v>532539</v>
      </c>
      <c r="C149" s="98" t="s">
        <v>187</v>
      </c>
      <c r="D149" s="102" t="s">
        <v>312</v>
      </c>
      <c r="E149" s="11">
        <f ca="1">IFERROR(__xludf.DUMMYFUNCTION("GOOGLEFINANCE(""BOM:""&amp;B149,""PRICE"")"),1043.2)</f>
        <v>1043.2</v>
      </c>
      <c r="F149" s="20">
        <f ca="1">IFERROR(__xludf.DUMMYFUNCTION("GOOGLEFINANCE(""BOM:""&amp;B149,""MARKETCAP"")/10000000"),59208.83)</f>
        <v>59208.83</v>
      </c>
      <c r="G149" s="95">
        <f t="shared" ca="1" si="25"/>
        <v>1.4696166810582824E-3</v>
      </c>
      <c r="H149" s="101">
        <v>14321</v>
      </c>
      <c r="I149" s="101">
        <v>12246</v>
      </c>
      <c r="J149" s="101">
        <v>932</v>
      </c>
      <c r="K149" s="101">
        <v>731</v>
      </c>
      <c r="L149" s="101">
        <v>5018</v>
      </c>
      <c r="M149" s="101">
        <v>4184</v>
      </c>
      <c r="N149" s="101">
        <v>300</v>
      </c>
      <c r="O149" s="101">
        <v>254</v>
      </c>
      <c r="P149" s="13">
        <f t="shared" ref="P149:Q149" si="298">J149/H149</f>
        <v>6.5079254242022211E-2</v>
      </c>
      <c r="Q149" s="13">
        <f t="shared" si="298"/>
        <v>5.9692960966846315E-2</v>
      </c>
      <c r="R149" s="13">
        <f t="shared" si="4"/>
        <v>5.3862932751758963E-3</v>
      </c>
      <c r="S149" s="13">
        <f t="shared" ref="S149:T149" si="299">N149/L149</f>
        <v>5.9784774810681549E-2</v>
      </c>
      <c r="T149" s="13">
        <f t="shared" si="299"/>
        <v>6.0707456978967497E-2</v>
      </c>
      <c r="U149" s="13">
        <f t="shared" si="6"/>
        <v>-9.2268216828594873E-4</v>
      </c>
      <c r="V149" s="13">
        <f t="shared" si="7"/>
        <v>0.16944308345582226</v>
      </c>
      <c r="W149" s="13">
        <f t="shared" si="8"/>
        <v>0.27496580027359774</v>
      </c>
      <c r="X149" s="13">
        <f t="shared" si="9"/>
        <v>0.19933078393881454</v>
      </c>
      <c r="Y149" s="13">
        <f t="shared" si="10"/>
        <v>0.18110236220472431</v>
      </c>
    </row>
    <row r="150" spans="1:25" ht="14.4">
      <c r="A150" s="98" t="s">
        <v>363</v>
      </c>
      <c r="B150" s="99">
        <v>500113</v>
      </c>
      <c r="C150" s="98" t="s">
        <v>196</v>
      </c>
      <c r="D150" s="102" t="s">
        <v>211</v>
      </c>
      <c r="E150" s="11">
        <f ca="1">IFERROR(__xludf.DUMMYFUNCTION("GOOGLEFINANCE(""BOM:""&amp;B150,""PRICE"")"),160.85)</f>
        <v>160.85</v>
      </c>
      <c r="F150" s="20">
        <f ca="1">IFERROR(__xludf.DUMMYFUNCTION("GOOGLEFINANCE(""BOM:""&amp;B150,""MARKETCAP"")/10000000"),66418.8432605)</f>
        <v>66418.843260499998</v>
      </c>
      <c r="G150" s="95">
        <f t="shared" ca="1" si="25"/>
        <v>1.6485757275093306E-3</v>
      </c>
      <c r="H150" s="101">
        <v>79997</v>
      </c>
      <c r="I150" s="101">
        <v>73163</v>
      </c>
      <c r="J150" s="101">
        <v>1537</v>
      </c>
      <c r="K150" s="101">
        <v>1121</v>
      </c>
      <c r="L150" s="101">
        <v>27371</v>
      </c>
      <c r="M150" s="101">
        <v>24490</v>
      </c>
      <c r="N150" s="101">
        <v>374</v>
      </c>
      <c r="O150" s="101">
        <v>142</v>
      </c>
      <c r="P150" s="13">
        <f t="shared" ref="P150:Q150" si="300">J150/H150</f>
        <v>1.9213220495768592E-2</v>
      </c>
      <c r="Q150" s="13">
        <f t="shared" si="300"/>
        <v>1.5321952352965297E-2</v>
      </c>
      <c r="R150" s="13">
        <f t="shared" si="4"/>
        <v>3.891268142803295E-3</v>
      </c>
      <c r="S150" s="13">
        <f t="shared" ref="S150:T150" si="301">N150/L150</f>
        <v>1.3664097037009973E-2</v>
      </c>
      <c r="T150" s="13">
        <f t="shared" si="301"/>
        <v>5.7982850142915474E-3</v>
      </c>
      <c r="U150" s="13">
        <f t="shared" si="6"/>
        <v>7.8658120227184259E-3</v>
      </c>
      <c r="V150" s="13">
        <f t="shared" si="7"/>
        <v>9.3407870098273671E-2</v>
      </c>
      <c r="W150" s="13">
        <f t="shared" si="8"/>
        <v>0.37109723461195365</v>
      </c>
      <c r="X150" s="13">
        <f t="shared" si="9"/>
        <v>0.11763985300122504</v>
      </c>
      <c r="Y150" s="13">
        <f t="shared" si="10"/>
        <v>1.6338028169014085</v>
      </c>
    </row>
    <row r="151" spans="1:25" ht="14.4">
      <c r="A151" s="98" t="s">
        <v>364</v>
      </c>
      <c r="B151" s="99">
        <v>543390</v>
      </c>
      <c r="C151" s="98" t="s">
        <v>172</v>
      </c>
      <c r="D151" s="70" t="s">
        <v>365</v>
      </c>
      <c r="E151" s="11">
        <f ca="1">IFERROR(__xludf.DUMMYFUNCTION("GOOGLEFINANCE(""BOM:""&amp;B151,""PRICE"")"),1472.75)</f>
        <v>1472.75</v>
      </c>
      <c r="F151" s="20">
        <f ca="1">IFERROR(__xludf.DUMMYFUNCTION("GOOGLEFINANCE(""BOM:""&amp;B151,""MARKETCAP"")/10000000"),68051.2804239)</f>
        <v>68051.280423899996</v>
      </c>
      <c r="G151" s="95">
        <f t="shared" ca="1" si="25"/>
        <v>1.6890942935088968E-3</v>
      </c>
      <c r="H151" s="101">
        <v>5000</v>
      </c>
      <c r="I151" s="101">
        <v>3776</v>
      </c>
      <c r="J151" s="101">
        <v>408</v>
      </c>
      <c r="K151" s="101">
        <v>182</v>
      </c>
      <c r="L151" s="101">
        <v>1856</v>
      </c>
      <c r="M151" s="101">
        <v>1392</v>
      </c>
      <c r="N151" s="101">
        <v>189</v>
      </c>
      <c r="O151" s="101">
        <v>71</v>
      </c>
      <c r="P151" s="13">
        <f t="shared" ref="P151:Q151" si="302">J151/H151</f>
        <v>8.1600000000000006E-2</v>
      </c>
      <c r="Q151" s="13">
        <f t="shared" si="302"/>
        <v>4.8199152542372885E-2</v>
      </c>
      <c r="R151" s="13">
        <f t="shared" si="4"/>
        <v>3.3400847457627121E-2</v>
      </c>
      <c r="S151" s="13">
        <f t="shared" ref="S151:T151" si="303">N151/L151</f>
        <v>0.10183189655172414</v>
      </c>
      <c r="T151" s="13">
        <f t="shared" si="303"/>
        <v>5.1005747126436782E-2</v>
      </c>
      <c r="U151" s="13">
        <f t="shared" si="6"/>
        <v>5.0826149425287362E-2</v>
      </c>
      <c r="V151" s="13">
        <f t="shared" si="7"/>
        <v>0.32415254237288127</v>
      </c>
      <c r="W151" s="13">
        <f t="shared" si="8"/>
        <v>1.2417582417582418</v>
      </c>
      <c r="X151" s="13">
        <f t="shared" si="9"/>
        <v>0.33333333333333326</v>
      </c>
      <c r="Y151" s="13">
        <f t="shared" si="10"/>
        <v>1.6619718309859155</v>
      </c>
    </row>
    <row r="152" spans="1:25" ht="14.4">
      <c r="A152" s="98" t="s">
        <v>366</v>
      </c>
      <c r="B152" s="99">
        <v>532388</v>
      </c>
      <c r="C152" s="98" t="s">
        <v>172</v>
      </c>
      <c r="D152" s="102" t="s">
        <v>107</v>
      </c>
      <c r="E152" s="11">
        <f ca="1">IFERROR(__xludf.DUMMYFUNCTION("GOOGLEFINANCE(""BOM:""&amp;B152,""PRICE"")"),32.96)</f>
        <v>32.96</v>
      </c>
      <c r="F152" s="20">
        <f ca="1">IFERROR(__xludf.DUMMYFUNCTION("GOOGLEFINANCE(""BOM:""&amp;B152,""MARKETCAP"")/10000000"),63508.2329385)</f>
        <v>63508.232938499998</v>
      </c>
      <c r="G152" s="95">
        <f t="shared" ca="1" si="25"/>
        <v>1.5763317483381222E-3</v>
      </c>
      <c r="H152" s="101">
        <v>27752</v>
      </c>
      <c r="I152" s="101">
        <v>24473</v>
      </c>
      <c r="J152" s="101">
        <v>3862</v>
      </c>
      <c r="K152" s="101">
        <v>2303</v>
      </c>
      <c r="L152" s="101">
        <v>9671</v>
      </c>
      <c r="M152" s="101">
        <v>8413</v>
      </c>
      <c r="N152" s="101">
        <v>1427</v>
      </c>
      <c r="O152" s="101">
        <v>875</v>
      </c>
      <c r="P152" s="13">
        <f t="shared" ref="P152:Q152" si="304">J152/H152</f>
        <v>0.13916114153934853</v>
      </c>
      <c r="Q152" s="13">
        <f t="shared" si="304"/>
        <v>9.4103706125117481E-2</v>
      </c>
      <c r="R152" s="13">
        <f t="shared" si="4"/>
        <v>4.5057435414231045E-2</v>
      </c>
      <c r="S152" s="13">
        <f t="shared" ref="S152:T152" si="305">N152/L152</f>
        <v>0.14755454451452796</v>
      </c>
      <c r="T152" s="13">
        <f t="shared" si="305"/>
        <v>0.10400570545584215</v>
      </c>
      <c r="U152" s="13">
        <f t="shared" si="6"/>
        <v>4.3548839058685812E-2</v>
      </c>
      <c r="V152" s="13">
        <f t="shared" si="7"/>
        <v>0.13398439096146775</v>
      </c>
      <c r="W152" s="13">
        <f t="shared" si="8"/>
        <v>0.67694311767260085</v>
      </c>
      <c r="X152" s="13">
        <f t="shared" si="9"/>
        <v>0.14953048852965645</v>
      </c>
      <c r="Y152" s="13">
        <f t="shared" si="10"/>
        <v>0.63085714285714278</v>
      </c>
    </row>
    <row r="153" spans="1:25" ht="14.4">
      <c r="A153" s="98" t="s">
        <v>367</v>
      </c>
      <c r="B153" s="99">
        <v>505790</v>
      </c>
      <c r="C153" s="98" t="s">
        <v>187</v>
      </c>
      <c r="D153" s="102" t="s">
        <v>312</v>
      </c>
      <c r="E153" s="11">
        <f ca="1">IFERROR(__xludf.DUMMYFUNCTION("GOOGLEFINANCE(""BOM:""&amp;B153,""PRICE"")"),3789.8)</f>
        <v>3789.8</v>
      </c>
      <c r="F153" s="20">
        <f ca="1">IFERROR(__xludf.DUMMYFUNCTION("GOOGLEFINANCE(""BOM:""&amp;B153,""MARKETCAP"")/10000000"),59184.35814)</f>
        <v>59184.358139999997</v>
      </c>
      <c r="G153" s="95">
        <f t="shared" ca="1" si="25"/>
        <v>1.469009267372308E-3</v>
      </c>
      <c r="H153" s="101">
        <v>9685</v>
      </c>
      <c r="I153" s="101">
        <v>8232</v>
      </c>
      <c r="J153" s="101">
        <v>1150</v>
      </c>
      <c r="K153" s="101">
        <v>939</v>
      </c>
      <c r="L153" s="101">
        <v>2724</v>
      </c>
      <c r="M153" s="101">
        <v>2136</v>
      </c>
      <c r="N153" s="101">
        <v>322</v>
      </c>
      <c r="O153" s="101">
        <v>237</v>
      </c>
      <c r="P153" s="13">
        <f t="shared" ref="P153:Q153" si="306">J153/H153</f>
        <v>0.11874032008260196</v>
      </c>
      <c r="Q153" s="13">
        <f t="shared" si="306"/>
        <v>0.11406705539358601</v>
      </c>
      <c r="R153" s="13">
        <f t="shared" si="4"/>
        <v>4.6732646890159518E-3</v>
      </c>
      <c r="S153" s="13">
        <f t="shared" ref="S153:T153" si="307">N153/L153</f>
        <v>0.11820851688693099</v>
      </c>
      <c r="T153" s="13">
        <f t="shared" si="307"/>
        <v>0.11095505617977527</v>
      </c>
      <c r="U153" s="13">
        <f t="shared" si="6"/>
        <v>7.2534607071557122E-3</v>
      </c>
      <c r="V153" s="13">
        <f t="shared" si="7"/>
        <v>0.17650631681243922</v>
      </c>
      <c r="W153" s="13">
        <f t="shared" si="8"/>
        <v>0.22470713525026631</v>
      </c>
      <c r="X153" s="13">
        <f t="shared" si="9"/>
        <v>0.27528089887640439</v>
      </c>
      <c r="Y153" s="13">
        <f t="shared" si="10"/>
        <v>0.35864978902953593</v>
      </c>
    </row>
    <row r="154" spans="1:25" ht="14.4">
      <c r="A154" s="104" t="s">
        <v>368</v>
      </c>
      <c r="B154" s="99">
        <v>543396</v>
      </c>
      <c r="C154" s="98" t="s">
        <v>172</v>
      </c>
      <c r="D154" s="102" t="s">
        <v>365</v>
      </c>
      <c r="E154" s="11">
        <f ca="1">IFERROR(__xludf.DUMMYFUNCTION("GOOGLEFINANCE(""BOM:""&amp;B154,""PRICE"")"),1026.8)</f>
        <v>1026.8</v>
      </c>
      <c r="F154" s="20">
        <f ca="1">IFERROR(__xludf.DUMMYFUNCTION("GOOGLEFINANCE(""BOM:""&amp;B154,""MARKETCAP"")/10000000"),65736.0522464)</f>
        <v>65736.052246399995</v>
      </c>
      <c r="G154" s="95">
        <f t="shared" ca="1" si="25"/>
        <v>1.6316282373461562E-3</v>
      </c>
      <c r="H154" s="101">
        <v>6849</v>
      </c>
      <c r="I154" s="101">
        <v>5490</v>
      </c>
      <c r="J154" s="101">
        <v>369</v>
      </c>
      <c r="K154" s="101">
        <v>-119</v>
      </c>
      <c r="L154" s="101">
        <v>2406</v>
      </c>
      <c r="M154" s="101">
        <v>2017</v>
      </c>
      <c r="N154" s="101">
        <v>225</v>
      </c>
      <c r="O154" s="101">
        <v>-208</v>
      </c>
      <c r="P154" s="13">
        <f t="shared" ref="P154:Q154" si="308">J154/H154</f>
        <v>5.387647831800263E-2</v>
      </c>
      <c r="Q154" s="13">
        <f t="shared" si="308"/>
        <v>-2.1675774134790528E-2</v>
      </c>
      <c r="R154" s="13">
        <f t="shared" si="4"/>
        <v>7.555225245279315E-2</v>
      </c>
      <c r="S154" s="13">
        <f t="shared" ref="S154:T154" si="309">N154/L154</f>
        <v>9.3516209476309231E-2</v>
      </c>
      <c r="T154" s="13">
        <f t="shared" si="309"/>
        <v>-0.10312345066931086</v>
      </c>
      <c r="U154" s="13">
        <f t="shared" si="6"/>
        <v>0.19663966014562009</v>
      </c>
      <c r="V154" s="13">
        <f t="shared" si="7"/>
        <v>0.24754098360655741</v>
      </c>
      <c r="W154" s="13">
        <f t="shared" si="8"/>
        <v>-4.1008403361344534</v>
      </c>
      <c r="X154" s="13">
        <f t="shared" si="9"/>
        <v>0.19286068418443225</v>
      </c>
      <c r="Y154" s="13">
        <f t="shared" si="10"/>
        <v>-2.0817307692307692</v>
      </c>
    </row>
    <row r="155" spans="1:25" ht="14.4">
      <c r="A155" s="98" t="s">
        <v>369</v>
      </c>
      <c r="B155" s="99">
        <v>539523</v>
      </c>
      <c r="C155" s="98" t="s">
        <v>190</v>
      </c>
      <c r="D155" s="102" t="s">
        <v>100</v>
      </c>
      <c r="E155" s="11">
        <f ca="1">IFERROR(__xludf.DUMMYFUNCTION("GOOGLEFINANCE(""BOM:""&amp;B155,""PRICE"")"),5218.5)</f>
        <v>5218.5</v>
      </c>
      <c r="F155" s="20">
        <f ca="1">IFERROR(__xludf.DUMMYFUNCTION("GOOGLEFINANCE(""BOM:""&amp;B155,""MARKETCAP"")/10000000"),62383.03875)</f>
        <v>62383.03875</v>
      </c>
      <c r="G155" s="95">
        <f t="shared" ca="1" si="25"/>
        <v>1.548403411486179E-3</v>
      </c>
      <c r="H155" s="101">
        <v>11108</v>
      </c>
      <c r="I155" s="101">
        <v>9820</v>
      </c>
      <c r="J155" s="101">
        <v>2100</v>
      </c>
      <c r="K155" s="101">
        <v>1892</v>
      </c>
      <c r="L155" s="101">
        <v>3736</v>
      </c>
      <c r="M155" s="101">
        <v>3374</v>
      </c>
      <c r="N155" s="101">
        <v>653</v>
      </c>
      <c r="O155" s="101">
        <v>640</v>
      </c>
      <c r="P155" s="13">
        <f t="shared" ref="P155:Q155" si="310">J155/H155</f>
        <v>0.18905293482175009</v>
      </c>
      <c r="Q155" s="13">
        <f t="shared" si="310"/>
        <v>0.19266802443991854</v>
      </c>
      <c r="R155" s="13">
        <f t="shared" si="4"/>
        <v>-3.6150896181684489E-3</v>
      </c>
      <c r="S155" s="13">
        <f t="shared" ref="S155:T155" si="311">N155/L155</f>
        <v>0.17478586723768735</v>
      </c>
      <c r="T155" s="13">
        <f t="shared" si="311"/>
        <v>0.1896858328393598</v>
      </c>
      <c r="U155" s="13">
        <f t="shared" si="6"/>
        <v>-1.4899965601672449E-2</v>
      </c>
      <c r="V155" s="13">
        <f t="shared" si="7"/>
        <v>0.13116089613034632</v>
      </c>
      <c r="W155" s="13">
        <f t="shared" si="8"/>
        <v>0.10993657505285404</v>
      </c>
      <c r="X155" s="13">
        <f t="shared" si="9"/>
        <v>0.10729104919976296</v>
      </c>
      <c r="Y155" s="13">
        <f t="shared" si="10"/>
        <v>2.0312499999999956E-2</v>
      </c>
    </row>
    <row r="156" spans="1:25" ht="14.4">
      <c r="A156" s="98" t="s">
        <v>370</v>
      </c>
      <c r="B156" s="99">
        <v>532234</v>
      </c>
      <c r="C156" s="98" t="s">
        <v>196</v>
      </c>
      <c r="D156" s="102" t="s">
        <v>232</v>
      </c>
      <c r="E156" s="11">
        <f ca="1">IFERROR(__xludf.DUMMYFUNCTION("GOOGLEFINANCE(""BOM:""&amp;B156,""PRICE"")"),409.35)</f>
        <v>409.35</v>
      </c>
      <c r="F156" s="20">
        <f ca="1">IFERROR(__xludf.DUMMYFUNCTION("GOOGLEFINANCE(""BOM:""&amp;B156,""MARKETCAP"")/10000000"),75154.9427619)</f>
        <v>75154.942761900005</v>
      </c>
      <c r="G156" s="95">
        <f t="shared" ca="1" si="25"/>
        <v>1.8654136139300281E-3</v>
      </c>
      <c r="H156" s="101">
        <v>12830</v>
      </c>
      <c r="I156" s="101">
        <v>11520</v>
      </c>
      <c r="J156" s="101">
        <v>4075</v>
      </c>
      <c r="K156" s="101">
        <v>3201</v>
      </c>
      <c r="L156" s="101">
        <v>4731</v>
      </c>
      <c r="M156" s="101">
        <v>4662</v>
      </c>
      <c r="N156" s="101">
        <v>1595</v>
      </c>
      <c r="O156" s="101">
        <v>1566</v>
      </c>
      <c r="P156" s="13">
        <f t="shared" ref="P156:Q156" si="312">J156/H156</f>
        <v>0.31761496492595481</v>
      </c>
      <c r="Q156" s="13">
        <f t="shared" si="312"/>
        <v>0.27786458333333336</v>
      </c>
      <c r="R156" s="13">
        <f t="shared" si="4"/>
        <v>3.9750381592621453E-2</v>
      </c>
      <c r="S156" s="13">
        <f t="shared" ref="S156:T156" si="313">N156/L156</f>
        <v>0.33713802578735996</v>
      </c>
      <c r="T156" s="13">
        <f t="shared" si="313"/>
        <v>0.3359073359073359</v>
      </c>
      <c r="U156" s="13">
        <f t="shared" si="6"/>
        <v>1.2306898800240607E-3</v>
      </c>
      <c r="V156" s="13">
        <f t="shared" si="7"/>
        <v>0.11371527777777768</v>
      </c>
      <c r="W156" s="13">
        <f t="shared" si="8"/>
        <v>0.27303967510153071</v>
      </c>
      <c r="X156" s="13">
        <f t="shared" si="9"/>
        <v>1.4800514800514808E-2</v>
      </c>
      <c r="Y156" s="13">
        <f t="shared" si="10"/>
        <v>1.8518518518518601E-2</v>
      </c>
    </row>
    <row r="157" spans="1:25" ht="14.4">
      <c r="A157" s="104" t="s">
        <v>371</v>
      </c>
      <c r="B157" s="99">
        <v>544285</v>
      </c>
      <c r="C157" s="98" t="s">
        <v>187</v>
      </c>
      <c r="D157" s="70" t="s">
        <v>120</v>
      </c>
      <c r="E157" s="11">
        <f ca="1">IFERROR(__xludf.DUMMYFUNCTION("GOOGLEFINANCE(""BOM:""&amp;B157,""PRICE"")"),272.7)</f>
        <v>272.7</v>
      </c>
      <c r="F157" s="20">
        <f ca="1">IFERROR(__xludf.DUMMYFUNCTION("GOOGLEFINANCE(""BOM:""&amp;B157,""MARKETCAP"")/10000000"),62350.9063924)</f>
        <v>62350.9063924</v>
      </c>
      <c r="G157" s="95">
        <f t="shared" ca="1" si="25"/>
        <v>1.5476058573252423E-3</v>
      </c>
      <c r="H157" s="101">
        <v>166</v>
      </c>
      <c r="I157" s="101">
        <v>108</v>
      </c>
      <c r="J157" s="101">
        <v>-33</v>
      </c>
      <c r="K157" s="101">
        <v>-20</v>
      </c>
      <c r="L157" s="101">
        <v>61</v>
      </c>
      <c r="M157" s="101">
        <v>39</v>
      </c>
      <c r="N157" s="101">
        <v>-10</v>
      </c>
      <c r="O157" s="101">
        <v>-7</v>
      </c>
      <c r="P157" s="13">
        <f t="shared" ref="P157:Q157" si="314">J157/H157</f>
        <v>-0.19879518072289157</v>
      </c>
      <c r="Q157" s="13">
        <f t="shared" si="314"/>
        <v>-0.18518518518518517</v>
      </c>
      <c r="R157" s="13">
        <f t="shared" si="4"/>
        <v>-1.3609995537706393E-2</v>
      </c>
      <c r="S157" s="13">
        <f t="shared" ref="S157:T157" si="315">N157/L157</f>
        <v>-0.16393442622950818</v>
      </c>
      <c r="T157" s="13">
        <f t="shared" si="315"/>
        <v>-0.17948717948717949</v>
      </c>
      <c r="U157" s="13">
        <f t="shared" si="6"/>
        <v>1.5552753257671303E-2</v>
      </c>
      <c r="V157" s="13">
        <f t="shared" si="7"/>
        <v>0.53703703703703698</v>
      </c>
      <c r="W157" s="13">
        <f t="shared" si="8"/>
        <v>0.64999999999999991</v>
      </c>
      <c r="X157" s="13">
        <f t="shared" si="9"/>
        <v>0.5641025641025641</v>
      </c>
      <c r="Y157" s="13">
        <f t="shared" si="10"/>
        <v>0.4285714285714286</v>
      </c>
    </row>
    <row r="158" spans="1:25" ht="14.4">
      <c r="A158" s="98" t="s">
        <v>372</v>
      </c>
      <c r="B158" s="99">
        <v>512455</v>
      </c>
      <c r="C158" s="98" t="s">
        <v>196</v>
      </c>
      <c r="D158" s="101" t="s">
        <v>357</v>
      </c>
      <c r="E158" s="11">
        <f ca="1">IFERROR(__xludf.DUMMYFUNCTION("GOOGLEFINANCE(""BOM:""&amp;B158,""PRICE"")"),1434.9)</f>
        <v>1434.9</v>
      </c>
      <c r="F158" s="20">
        <f ca="1">IFERROR(__xludf.DUMMYFUNCTION("GOOGLEFINANCE(""BOM:""&amp;B158,""MARKETCAP"")/10000000"),80729.2301153)</f>
        <v>80729.230115300001</v>
      </c>
      <c r="G158" s="95">
        <f t="shared" ca="1" si="25"/>
        <v>2.0037724647900918E-3</v>
      </c>
      <c r="H158" s="101">
        <v>10827</v>
      </c>
      <c r="I158" s="101">
        <v>5444</v>
      </c>
      <c r="J158" s="101">
        <v>2299</v>
      </c>
      <c r="K158" s="101">
        <v>1248</v>
      </c>
      <c r="L158" s="101">
        <v>4909</v>
      </c>
      <c r="M158" s="101">
        <v>1671</v>
      </c>
      <c r="N158" s="101">
        <v>1090</v>
      </c>
      <c r="O158" s="101">
        <v>389</v>
      </c>
      <c r="P158" s="13">
        <f t="shared" ref="P158:Q158" si="316">J158/H158</f>
        <v>0.21233952156645425</v>
      </c>
      <c r="Q158" s="13">
        <f t="shared" si="316"/>
        <v>0.22924320352681851</v>
      </c>
      <c r="R158" s="13">
        <f t="shared" si="4"/>
        <v>-1.6903681960364264E-2</v>
      </c>
      <c r="S158" s="13">
        <f t="shared" ref="S158:T158" si="317">N158/L158</f>
        <v>0.22204114891016499</v>
      </c>
      <c r="T158" s="13">
        <f t="shared" si="317"/>
        <v>0.23279473369239975</v>
      </c>
      <c r="U158" s="13">
        <f t="shared" si="6"/>
        <v>-1.075358478223476E-2</v>
      </c>
      <c r="V158" s="13">
        <f t="shared" si="7"/>
        <v>0.98879500367376938</v>
      </c>
      <c r="W158" s="13">
        <f t="shared" si="8"/>
        <v>0.8421474358974359</v>
      </c>
      <c r="X158" s="13">
        <f t="shared" si="9"/>
        <v>1.9377618192698982</v>
      </c>
      <c r="Y158" s="13">
        <f t="shared" si="10"/>
        <v>1.8020565552699228</v>
      </c>
    </row>
    <row r="159" spans="1:25" ht="14.4">
      <c r="A159" s="98" t="s">
        <v>373</v>
      </c>
      <c r="B159" s="99">
        <v>532777</v>
      </c>
      <c r="C159" s="98" t="s">
        <v>187</v>
      </c>
      <c r="D159" s="109" t="s">
        <v>122</v>
      </c>
      <c r="E159" s="11">
        <f ca="1">IFERROR(__xludf.DUMMYFUNCTION("GOOGLEFINANCE(""BOM:""&amp;B159,""PRICE"")"),988.65)</f>
        <v>988.65</v>
      </c>
      <c r="F159" s="20">
        <f ca="1">IFERROR(__xludf.DUMMYFUNCTION("GOOGLEFINANCE(""BOM:""&amp;B159,""MARKETCAP"")/10000000"),64015.1286268)</f>
        <v>64015.128626799997</v>
      </c>
      <c r="G159" s="95">
        <f t="shared" ca="1" si="25"/>
        <v>1.5889133575184115E-3</v>
      </c>
      <c r="H159" s="101">
        <v>2415</v>
      </c>
      <c r="I159" s="101">
        <v>2099</v>
      </c>
      <c r="J159" s="101">
        <v>1007</v>
      </c>
      <c r="K159" s="101">
        <v>632</v>
      </c>
      <c r="L159" s="101">
        <v>819</v>
      </c>
      <c r="M159" s="101">
        <v>722</v>
      </c>
      <c r="N159" s="101">
        <v>316</v>
      </c>
      <c r="O159" s="101">
        <v>288</v>
      </c>
      <c r="P159" s="13">
        <f t="shared" ref="P159:Q159" si="318">J159/H159</f>
        <v>0.41697722567287787</v>
      </c>
      <c r="Q159" s="13">
        <f t="shared" si="318"/>
        <v>0.30109575988565984</v>
      </c>
      <c r="R159" s="13">
        <f t="shared" si="4"/>
        <v>0.11588146578721803</v>
      </c>
      <c r="S159" s="13">
        <f t="shared" ref="S159:T159" si="319">N159/L159</f>
        <v>0.38583638583638585</v>
      </c>
      <c r="T159" s="13">
        <f t="shared" si="319"/>
        <v>0.39889196675900279</v>
      </c>
      <c r="U159" s="13">
        <f t="shared" si="6"/>
        <v>-1.3055580922616938E-2</v>
      </c>
      <c r="V159" s="13">
        <f t="shared" si="7"/>
        <v>0.15054787994282992</v>
      </c>
      <c r="W159" s="13">
        <f t="shared" si="8"/>
        <v>0.59335443037974689</v>
      </c>
      <c r="X159" s="13">
        <f t="shared" si="9"/>
        <v>0.13434903047091407</v>
      </c>
      <c r="Y159" s="13">
        <f t="shared" si="10"/>
        <v>9.7222222222222321E-2</v>
      </c>
    </row>
    <row r="160" spans="1:25" ht="14.4">
      <c r="A160" s="98" t="s">
        <v>374</v>
      </c>
      <c r="B160" s="99">
        <v>540755</v>
      </c>
      <c r="C160" s="98" t="s">
        <v>172</v>
      </c>
      <c r="D160" s="100" t="s">
        <v>86</v>
      </c>
      <c r="E160" s="11">
        <f ca="1">IFERROR(__xludf.DUMMYFUNCTION("GOOGLEFINANCE(""BOM:""&amp;B160,""PRICE"")"),385.9)</f>
        <v>385.9</v>
      </c>
      <c r="F160" s="20">
        <f ca="1">IFERROR(__xludf.DUMMYFUNCTION("GOOGLEFINANCE(""BOM:""&amp;B160,""MARKETCAP"")/10000000"),67803.9023975)</f>
        <v>67803.902397500002</v>
      </c>
      <c r="G160" s="95">
        <f t="shared" ca="1" si="25"/>
        <v>1.6829541472819791E-3</v>
      </c>
      <c r="H160" s="101">
        <v>37014</v>
      </c>
      <c r="I160" s="101">
        <v>33646</v>
      </c>
      <c r="J160" s="101">
        <v>6622</v>
      </c>
      <c r="K160" s="101">
        <v>4610</v>
      </c>
      <c r="L160" s="101">
        <v>11616</v>
      </c>
      <c r="M160" s="101">
        <v>10420</v>
      </c>
      <c r="N160" s="101">
        <v>1751</v>
      </c>
      <c r="O160" s="101">
        <v>1623</v>
      </c>
      <c r="P160" s="13">
        <f t="shared" ref="P160:Q160" si="320">J160/H160</f>
        <v>0.17890527908359</v>
      </c>
      <c r="Q160" s="13">
        <f t="shared" si="320"/>
        <v>0.13701480116507161</v>
      </c>
      <c r="R160" s="13">
        <f t="shared" si="4"/>
        <v>4.1890477918518382E-2</v>
      </c>
      <c r="S160" s="13">
        <f t="shared" ref="S160:T160" si="321">N160/L160</f>
        <v>0.15074035812672176</v>
      </c>
      <c r="T160" s="13">
        <f t="shared" si="321"/>
        <v>0.1557581573896353</v>
      </c>
      <c r="U160" s="13">
        <f t="shared" si="6"/>
        <v>-5.0177992629135415E-3</v>
      </c>
      <c r="V160" s="13">
        <f t="shared" si="7"/>
        <v>0.10010105213101106</v>
      </c>
      <c r="W160" s="13">
        <f t="shared" si="8"/>
        <v>0.43644251626898045</v>
      </c>
      <c r="X160" s="13">
        <f t="shared" si="9"/>
        <v>0.11477927063339721</v>
      </c>
      <c r="Y160" s="13">
        <f t="shared" si="10"/>
        <v>7.8866296980899531E-2</v>
      </c>
    </row>
    <row r="161" spans="1:25" ht="14.4">
      <c r="A161" s="98" t="s">
        <v>375</v>
      </c>
      <c r="B161" s="99">
        <v>506395</v>
      </c>
      <c r="C161" s="98" t="s">
        <v>196</v>
      </c>
      <c r="D161" s="109" t="s">
        <v>376</v>
      </c>
      <c r="E161" s="11">
        <f ca="1">IFERROR(__xludf.DUMMYFUNCTION("GOOGLEFINANCE(""BOM:""&amp;B161,""PRICE"")"),1892.65)</f>
        <v>1892.65</v>
      </c>
      <c r="F161" s="20">
        <f ca="1">IFERROR(__xludf.DUMMYFUNCTION("GOOGLEFINANCE(""BOM:""&amp;B161,""MARKETCAP"")/10000000"),55760.70236)</f>
        <v>55760.702360000003</v>
      </c>
      <c r="G161" s="95">
        <f t="shared" ca="1" si="25"/>
        <v>1.3840310361779137E-3</v>
      </c>
      <c r="H161" s="101">
        <v>25476</v>
      </c>
      <c r="I161" s="101">
        <v>19097</v>
      </c>
      <c r="J161" s="101">
        <v>1783</v>
      </c>
      <c r="K161" s="101">
        <v>1476</v>
      </c>
      <c r="L161" s="101">
        <v>8779</v>
      </c>
      <c r="M161" s="101">
        <v>6935</v>
      </c>
      <c r="N161" s="101">
        <v>488</v>
      </c>
      <c r="O161" s="101">
        <v>508</v>
      </c>
      <c r="P161" s="13">
        <f t="shared" ref="P161:Q161" si="322">J161/H161</f>
        <v>6.998743915842362E-2</v>
      </c>
      <c r="Q161" s="13">
        <f t="shared" si="322"/>
        <v>7.7289626642928211E-2</v>
      </c>
      <c r="R161" s="13">
        <f t="shared" si="4"/>
        <v>-7.3021874845045909E-3</v>
      </c>
      <c r="S161" s="13">
        <f t="shared" ref="S161:T161" si="323">N161/L161</f>
        <v>5.5587196719444128E-2</v>
      </c>
      <c r="T161" s="13">
        <f t="shared" si="323"/>
        <v>7.3251622206200434E-2</v>
      </c>
      <c r="U161" s="13">
        <f t="shared" si="6"/>
        <v>-1.7664425486756306E-2</v>
      </c>
      <c r="V161" s="13">
        <f t="shared" si="7"/>
        <v>0.33403152327590724</v>
      </c>
      <c r="W161" s="13">
        <f t="shared" si="8"/>
        <v>0.2079945799457994</v>
      </c>
      <c r="X161" s="13">
        <f t="shared" si="9"/>
        <v>0.2658976207642394</v>
      </c>
      <c r="Y161" s="13">
        <f t="shared" si="10"/>
        <v>-3.9370078740157521E-2</v>
      </c>
    </row>
    <row r="162" spans="1:25" ht="14.4">
      <c r="A162" s="98" t="s">
        <v>377</v>
      </c>
      <c r="B162" s="99">
        <v>532508</v>
      </c>
      <c r="C162" s="98" t="s">
        <v>196</v>
      </c>
      <c r="D162" s="102" t="s">
        <v>211</v>
      </c>
      <c r="E162" s="11">
        <f ca="1">IFERROR(__xludf.DUMMYFUNCTION("GOOGLEFINANCE(""BOM:""&amp;B162,""PRICE"")"),723.05)</f>
        <v>723.05</v>
      </c>
      <c r="F162" s="20">
        <f ca="1">IFERROR(__xludf.DUMMYFUNCTION("GOOGLEFINANCE(""BOM:""&amp;B162,""MARKETCAP"")/10000000"),59570.4623175)</f>
        <v>59570.462317500002</v>
      </c>
      <c r="G162" s="95">
        <f t="shared" ca="1" si="25"/>
        <v>1.4785927220678373E-3</v>
      </c>
      <c r="H162" s="101">
        <v>31617</v>
      </c>
      <c r="I162" s="101">
        <v>29113</v>
      </c>
      <c r="J162" s="101">
        <v>2350</v>
      </c>
      <c r="K162" s="101">
        <v>1909</v>
      </c>
      <c r="L162" s="101">
        <v>10517</v>
      </c>
      <c r="M162" s="101">
        <v>9907</v>
      </c>
      <c r="N162" s="101">
        <v>827</v>
      </c>
      <c r="O162" s="101">
        <v>654</v>
      </c>
      <c r="P162" s="13">
        <f t="shared" ref="P162:Q162" si="324">J162/H162</f>
        <v>7.4327102508144352E-2</v>
      </c>
      <c r="Q162" s="13">
        <f t="shared" si="324"/>
        <v>6.5572081200838114E-2</v>
      </c>
      <c r="R162" s="13">
        <f t="shared" si="4"/>
        <v>8.7550213073062377E-3</v>
      </c>
      <c r="S162" s="13">
        <f t="shared" ref="S162:T162" si="325">N162/L162</f>
        <v>7.8634591613578012E-2</v>
      </c>
      <c r="T162" s="13">
        <f t="shared" si="325"/>
        <v>6.6013929544766328E-2</v>
      </c>
      <c r="U162" s="13">
        <f t="shared" si="6"/>
        <v>1.2620662068811683E-2</v>
      </c>
      <c r="V162" s="13">
        <f t="shared" si="7"/>
        <v>8.6009686394394214E-2</v>
      </c>
      <c r="W162" s="13">
        <f t="shared" si="8"/>
        <v>0.23101100052383439</v>
      </c>
      <c r="X162" s="13">
        <f t="shared" si="9"/>
        <v>6.1572625416372206E-2</v>
      </c>
      <c r="Y162" s="13">
        <f t="shared" si="10"/>
        <v>0.26452599388379205</v>
      </c>
    </row>
    <row r="163" spans="1:25" ht="14.4">
      <c r="A163" s="98" t="s">
        <v>378</v>
      </c>
      <c r="B163" s="99">
        <v>534091</v>
      </c>
      <c r="C163" s="98" t="s">
        <v>172</v>
      </c>
      <c r="D163" s="70" t="s">
        <v>304</v>
      </c>
      <c r="E163" s="11">
        <f ca="1">IFERROR(__xludf.DUMMYFUNCTION("GOOGLEFINANCE(""BOM:""&amp;B163,""PRICE"")"),2562.9)</f>
        <v>2562.9</v>
      </c>
      <c r="F163" s="20">
        <f ca="1">IFERROR(__xludf.DUMMYFUNCTION("GOOGLEFINANCE(""BOM:""&amp;B163,""MARKETCAP"")/10000000"),65231.9382)</f>
        <v>65231.938199999997</v>
      </c>
      <c r="G163" s="95">
        <f t="shared" ca="1" si="25"/>
        <v>1.6191156710322258E-3</v>
      </c>
      <c r="H163" s="101">
        <v>1503</v>
      </c>
      <c r="I163" s="101">
        <v>888</v>
      </c>
      <c r="J163" s="101">
        <v>801</v>
      </c>
      <c r="K163" s="101">
        <v>424</v>
      </c>
      <c r="L163" s="101">
        <v>697</v>
      </c>
      <c r="M163" s="101">
        <v>324</v>
      </c>
      <c r="N163" s="101">
        <v>401</v>
      </c>
      <c r="O163" s="101">
        <v>160</v>
      </c>
      <c r="P163" s="13">
        <f t="shared" ref="P163:Q163" si="326">J163/H163</f>
        <v>0.53293413173652693</v>
      </c>
      <c r="Q163" s="13">
        <f t="shared" si="326"/>
        <v>0.47747747747747749</v>
      </c>
      <c r="R163" s="13">
        <f t="shared" si="4"/>
        <v>5.5456654259049443E-2</v>
      </c>
      <c r="S163" s="13">
        <f t="shared" ref="S163:T163" si="327">N163/L163</f>
        <v>0.57532281205164992</v>
      </c>
      <c r="T163" s="13">
        <f t="shared" si="327"/>
        <v>0.49382716049382713</v>
      </c>
      <c r="U163" s="13">
        <f t="shared" si="6"/>
        <v>8.149565155782279E-2</v>
      </c>
      <c r="V163" s="13">
        <f t="shared" si="7"/>
        <v>0.69256756756756754</v>
      </c>
      <c r="W163" s="13">
        <f t="shared" si="8"/>
        <v>0.88915094339622636</v>
      </c>
      <c r="X163" s="13">
        <f t="shared" si="9"/>
        <v>1.1512345679012346</v>
      </c>
      <c r="Y163" s="13">
        <f t="shared" si="10"/>
        <v>1.5062500000000001</v>
      </c>
    </row>
    <row r="164" spans="1:25" ht="14.4">
      <c r="A164" s="98" t="s">
        <v>379</v>
      </c>
      <c r="B164" s="99">
        <v>532648</v>
      </c>
      <c r="C164" s="98" t="s">
        <v>172</v>
      </c>
      <c r="D164" s="101" t="s">
        <v>72</v>
      </c>
      <c r="E164" s="11">
        <f ca="1">IFERROR(__xludf.DUMMYFUNCTION("GOOGLEFINANCE(""BOM:""&amp;B164,""PRICE"")"),18.08)</f>
        <v>18.079999999999998</v>
      </c>
      <c r="F164" s="20">
        <f ca="1">IFERROR(__xludf.DUMMYFUNCTION("GOOGLEFINANCE(""BOM:""&amp;B164,""MARKETCAP"")/10000000"),56725.6924006)</f>
        <v>56725.692400599997</v>
      </c>
      <c r="G164" s="95">
        <f t="shared" ca="1" si="25"/>
        <v>1.4079829612661287E-3</v>
      </c>
      <c r="H164" s="101">
        <v>27814</v>
      </c>
      <c r="I164" s="101">
        <v>27637</v>
      </c>
      <c r="J164" s="101">
        <v>2429</v>
      </c>
      <c r="K164" s="101">
        <v>1701</v>
      </c>
      <c r="L164" s="101">
        <v>9272</v>
      </c>
      <c r="M164" s="101">
        <v>9416</v>
      </c>
      <c r="N164" s="101">
        <v>956</v>
      </c>
      <c r="O164" s="101">
        <v>619</v>
      </c>
      <c r="P164" s="13">
        <f t="shared" ref="P164:Q164" si="328">J164/H164</f>
        <v>8.7330121521535922E-2</v>
      </c>
      <c r="Q164" s="13">
        <f t="shared" si="328"/>
        <v>6.1547924883308611E-2</v>
      </c>
      <c r="R164" s="13">
        <f t="shared" si="4"/>
        <v>2.5782196638227312E-2</v>
      </c>
      <c r="S164" s="13">
        <f t="shared" ref="S164:T164" si="329">N164/L164</f>
        <v>0.10310612597066436</v>
      </c>
      <c r="T164" s="13">
        <f t="shared" si="329"/>
        <v>6.5739167374681398E-2</v>
      </c>
      <c r="U164" s="13">
        <f t="shared" si="6"/>
        <v>3.7366958595982963E-2</v>
      </c>
      <c r="V164" s="13">
        <f t="shared" si="7"/>
        <v>6.4044577920903123E-3</v>
      </c>
      <c r="W164" s="13">
        <f t="shared" si="8"/>
        <v>0.42798353909465026</v>
      </c>
      <c r="X164" s="13">
        <f t="shared" si="9"/>
        <v>-1.5293118096856406E-2</v>
      </c>
      <c r="Y164" s="13">
        <f t="shared" si="10"/>
        <v>0.54442649434571888</v>
      </c>
    </row>
    <row r="165" spans="1:25" ht="14.4">
      <c r="A165" s="104" t="s">
        <v>380</v>
      </c>
      <c r="B165" s="99">
        <v>532523</v>
      </c>
      <c r="C165" s="98" t="s">
        <v>190</v>
      </c>
      <c r="D165" s="102" t="s">
        <v>100</v>
      </c>
      <c r="E165" s="11">
        <f ca="1">IFERROR(__xludf.DUMMYFUNCTION("GOOGLEFINANCE(""BOM:""&amp;B165,""PRICE"")"),354.8)</f>
        <v>354.8</v>
      </c>
      <c r="F165" s="20">
        <f ca="1">IFERROR(__xludf.DUMMYFUNCTION("GOOGLEFINANCE(""BOM:""&amp;B165,""MARKETCAP"")/10000000"),57453.8619032)</f>
        <v>57453.861903199999</v>
      </c>
      <c r="G165" s="95">
        <f t="shared" ca="1" si="25"/>
        <v>1.4260567865327126E-3</v>
      </c>
      <c r="H165" s="101">
        <v>12410</v>
      </c>
      <c r="I165" s="101">
        <v>10844</v>
      </c>
      <c r="J165" s="101">
        <v>170</v>
      </c>
      <c r="K165" s="101">
        <v>970</v>
      </c>
      <c r="L165" s="101">
        <v>4173</v>
      </c>
      <c r="M165" s="101">
        <v>3821</v>
      </c>
      <c r="N165" s="101">
        <v>-51</v>
      </c>
      <c r="O165" s="101">
        <v>81</v>
      </c>
      <c r="P165" s="13">
        <f t="shared" ref="P165:Q165" si="330">J165/H165</f>
        <v>1.3698630136986301E-2</v>
      </c>
      <c r="Q165" s="13">
        <f t="shared" si="330"/>
        <v>8.9450387310955365E-2</v>
      </c>
      <c r="R165" s="13">
        <f t="shared" si="4"/>
        <v>-7.5751757173969064E-2</v>
      </c>
      <c r="S165" s="13">
        <f t="shared" ref="S165:T165" si="331">N165/L165</f>
        <v>-1.2221423436376708E-2</v>
      </c>
      <c r="T165" s="13">
        <f t="shared" si="331"/>
        <v>2.1198639099712119E-2</v>
      </c>
      <c r="U165" s="13">
        <f t="shared" si="6"/>
        <v>-3.3420062536088826E-2</v>
      </c>
      <c r="V165" s="13">
        <f t="shared" si="7"/>
        <v>0.14441165621541874</v>
      </c>
      <c r="W165" s="13">
        <f t="shared" si="8"/>
        <v>-0.82474226804123707</v>
      </c>
      <c r="X165" s="13">
        <f t="shared" si="9"/>
        <v>9.2122481025909364E-2</v>
      </c>
      <c r="Y165" s="13">
        <f t="shared" si="10"/>
        <v>-1.6296296296296298</v>
      </c>
    </row>
    <row r="166" spans="1:25" ht="14.4">
      <c r="A166" s="98" t="s">
        <v>381</v>
      </c>
      <c r="B166" s="99">
        <v>542649</v>
      </c>
      <c r="C166" s="98" t="s">
        <v>180</v>
      </c>
      <c r="D166" s="100" t="s">
        <v>181</v>
      </c>
      <c r="E166" s="11">
        <f ca="1">IFERROR(__xludf.DUMMYFUNCTION("GOOGLEFINANCE(""BOM:""&amp;B166,""PRICE"")"),260.7)</f>
        <v>260.7</v>
      </c>
      <c r="F166" s="20">
        <f ca="1">IFERROR(__xludf.DUMMYFUNCTION("GOOGLEFINANCE(""BOM:""&amp;B166,""MARKETCAP"")/10000000"),54379.3800299)</f>
        <v>54379.380029899999</v>
      </c>
      <c r="G166" s="95">
        <f t="shared" ca="1" si="25"/>
        <v>1.3497453673303236E-3</v>
      </c>
      <c r="H166" s="101">
        <v>13716</v>
      </c>
      <c r="I166" s="101">
        <v>13496</v>
      </c>
      <c r="J166" s="101">
        <v>689</v>
      </c>
      <c r="K166" s="101">
        <v>822</v>
      </c>
      <c r="L166" s="101">
        <v>4684</v>
      </c>
      <c r="M166" s="101">
        <v>4567</v>
      </c>
      <c r="N166" s="101">
        <v>324</v>
      </c>
      <c r="O166" s="101">
        <v>312</v>
      </c>
      <c r="P166" s="13">
        <f t="shared" ref="P166:Q166" si="332">J166/H166</f>
        <v>5.0233304170312042E-2</v>
      </c>
      <c r="Q166" s="13">
        <f t="shared" si="332"/>
        <v>6.0906935388263188E-2</v>
      </c>
      <c r="R166" s="13">
        <f t="shared" si="4"/>
        <v>-1.0673631217951146E-2</v>
      </c>
      <c r="S166" s="13">
        <f t="shared" ref="S166:T166" si="333">N166/L166</f>
        <v>6.9171648163962429E-2</v>
      </c>
      <c r="T166" s="13">
        <f t="shared" si="333"/>
        <v>6.8316181300634993E-2</v>
      </c>
      <c r="U166" s="13">
        <f t="shared" si="6"/>
        <v>8.5546686332743649E-4</v>
      </c>
      <c r="V166" s="13">
        <f t="shared" si="7"/>
        <v>1.6301126259632426E-2</v>
      </c>
      <c r="W166" s="13">
        <f t="shared" si="8"/>
        <v>-0.16180048661800484</v>
      </c>
      <c r="X166" s="13">
        <f t="shared" si="9"/>
        <v>2.5618567987738095E-2</v>
      </c>
      <c r="Y166" s="13">
        <f t="shared" si="10"/>
        <v>3.8461538461538547E-2</v>
      </c>
    </row>
    <row r="167" spans="1:25" ht="14.4">
      <c r="A167" s="98" t="s">
        <v>382</v>
      </c>
      <c r="B167" s="99">
        <v>500271</v>
      </c>
      <c r="C167" s="98" t="s">
        <v>172</v>
      </c>
      <c r="D167" s="109" t="s">
        <v>137</v>
      </c>
      <c r="E167" s="11">
        <f ca="1">IFERROR(__xludf.DUMMYFUNCTION("GOOGLEFINANCE(""BOM:""&amp;B167,""PRICE"")"),1501.5)</f>
        <v>1501.5</v>
      </c>
      <c r="F167" s="20">
        <f ca="1">IFERROR(__xludf.DUMMYFUNCTION("GOOGLEFINANCE(""BOM:""&amp;B167,""MARKETCAP"")/10000000"),51839.6932654)</f>
        <v>51839.693265399997</v>
      </c>
      <c r="G167" s="95">
        <f t="shared" ca="1" si="25"/>
        <v>1.2867080461440724E-3</v>
      </c>
      <c r="H167" s="101">
        <v>36891</v>
      </c>
      <c r="I167" s="101">
        <v>34101</v>
      </c>
      <c r="J167" s="101">
        <v>137</v>
      </c>
      <c r="K167" s="101">
        <v>365</v>
      </c>
      <c r="L167" s="101">
        <v>14267</v>
      </c>
      <c r="M167" s="101">
        <v>8923</v>
      </c>
      <c r="N167" s="101">
        <v>45</v>
      </c>
      <c r="O167" s="101">
        <v>70</v>
      </c>
      <c r="P167" s="13">
        <f t="shared" ref="P167:Q167" si="334">J167/H167</f>
        <v>3.7136428939307689E-3</v>
      </c>
      <c r="Q167" s="13">
        <f t="shared" si="334"/>
        <v>1.0703498431131052E-2</v>
      </c>
      <c r="R167" s="13">
        <f t="shared" si="4"/>
        <v>-6.9898555372002822E-3</v>
      </c>
      <c r="S167" s="13">
        <f t="shared" ref="S167:T167" si="335">N167/L167</f>
        <v>3.1541319128057755E-3</v>
      </c>
      <c r="T167" s="13">
        <f t="shared" si="335"/>
        <v>7.8448952146139197E-3</v>
      </c>
      <c r="U167" s="13">
        <f t="shared" si="6"/>
        <v>-4.6907633018081442E-3</v>
      </c>
      <c r="V167" s="13">
        <f t="shared" si="7"/>
        <v>8.1815782528371628E-2</v>
      </c>
      <c r="W167" s="13">
        <f t="shared" si="8"/>
        <v>-0.62465753424657533</v>
      </c>
      <c r="X167" s="13">
        <f t="shared" si="9"/>
        <v>0.59890171466995401</v>
      </c>
      <c r="Y167" s="13">
        <f t="shared" si="10"/>
        <v>-0.3571428571428571</v>
      </c>
    </row>
    <row r="168" spans="1:25" ht="14.4">
      <c r="A168" s="98" t="s">
        <v>383</v>
      </c>
      <c r="B168" s="99">
        <v>533758</v>
      </c>
      <c r="C168" s="98" t="s">
        <v>180</v>
      </c>
      <c r="D168" s="70" t="s">
        <v>384</v>
      </c>
      <c r="E168" s="11">
        <f ca="1">IFERROR(__xludf.DUMMYFUNCTION("GOOGLEFINANCE(""BOM:""&amp;B168,""PRICE"")"),1919.7)</f>
        <v>1919.7</v>
      </c>
      <c r="F168" s="20">
        <f ca="1">IFERROR(__xludf.DUMMYFUNCTION("GOOGLEFINANCE(""BOM:""&amp;B168,""MARKETCAP"")/10000000"),53257.6378451)</f>
        <v>53257.637845099998</v>
      </c>
      <c r="G168" s="95">
        <f t="shared" ca="1" si="25"/>
        <v>1.3219027123305737E-3</v>
      </c>
      <c r="H168" s="101">
        <v>16191</v>
      </c>
      <c r="I168" s="101">
        <v>15180</v>
      </c>
      <c r="J168" s="101">
        <v>848</v>
      </c>
      <c r="K168" s="101">
        <v>463</v>
      </c>
      <c r="L168" s="101">
        <v>5815</v>
      </c>
      <c r="M168" s="101">
        <v>5432</v>
      </c>
      <c r="N168" s="101">
        <v>310</v>
      </c>
      <c r="O168" s="101">
        <v>216</v>
      </c>
      <c r="P168" s="13">
        <f t="shared" ref="P168:Q168" si="336">J168/H168</f>
        <v>5.2374776110184672E-2</v>
      </c>
      <c r="Q168" s="13">
        <f t="shared" si="336"/>
        <v>3.0500658761528326E-2</v>
      </c>
      <c r="R168" s="13">
        <f t="shared" si="4"/>
        <v>2.1874117348656345E-2</v>
      </c>
      <c r="S168" s="13">
        <f t="shared" ref="S168:T168" si="337">N168/L168</f>
        <v>5.3310404127257092E-2</v>
      </c>
      <c r="T168" s="13">
        <f t="shared" si="337"/>
        <v>3.9764359351988215E-2</v>
      </c>
      <c r="U168" s="13">
        <f t="shared" si="6"/>
        <v>1.3546044775268877E-2</v>
      </c>
      <c r="V168" s="13">
        <f t="shared" si="7"/>
        <v>6.6600790513833941E-2</v>
      </c>
      <c r="W168" s="13">
        <f t="shared" si="8"/>
        <v>0.83153347732181415</v>
      </c>
      <c r="X168" s="13">
        <f t="shared" si="9"/>
        <v>7.0508100147275377E-2</v>
      </c>
      <c r="Y168" s="13">
        <f t="shared" si="10"/>
        <v>0.43518518518518512</v>
      </c>
    </row>
    <row r="169" spans="1:25" ht="14.4">
      <c r="A169" s="98" t="s">
        <v>385</v>
      </c>
      <c r="B169" s="99">
        <v>540699</v>
      </c>
      <c r="C169" s="98" t="s">
        <v>187</v>
      </c>
      <c r="D169" s="70" t="s">
        <v>111</v>
      </c>
      <c r="E169" s="11">
        <f ca="1">IFERROR(__xludf.DUMMYFUNCTION("GOOGLEFINANCE(""BOM:""&amp;B169,""PRICE"")"),10045.95)</f>
        <v>10045.950000000001</v>
      </c>
      <c r="F169" s="20">
        <f ca="1">IFERROR(__xludf.DUMMYFUNCTION("GOOGLEFINANCE(""BOM:""&amp;B169,""MARKETCAP"")/10000000"),61057.257938)</f>
        <v>61057.257938000002</v>
      </c>
      <c r="G169" s="95">
        <f t="shared" ca="1" si="25"/>
        <v>1.5154963333233072E-3</v>
      </c>
      <c r="H169" s="101">
        <v>38362</v>
      </c>
      <c r="I169" s="101">
        <v>28567</v>
      </c>
      <c r="J169" s="101">
        <v>1346</v>
      </c>
      <c r="K169" s="101">
        <v>767</v>
      </c>
      <c r="L169" s="101">
        <v>10671</v>
      </c>
      <c r="M169" s="101">
        <v>10453</v>
      </c>
      <c r="N169" s="101">
        <v>320</v>
      </c>
      <c r="O169" s="101">
        <v>216</v>
      </c>
      <c r="P169" s="13">
        <f t="shared" ref="P169:Q169" si="338">J169/H169</f>
        <v>3.508680465043533E-2</v>
      </c>
      <c r="Q169" s="13">
        <f t="shared" si="338"/>
        <v>2.6849161620051108E-2</v>
      </c>
      <c r="R169" s="13">
        <f t="shared" si="4"/>
        <v>8.2376430303842223E-3</v>
      </c>
      <c r="S169" s="13">
        <f t="shared" ref="S169:T169" si="339">N169/L169</f>
        <v>2.9987817449161278E-2</v>
      </c>
      <c r="T169" s="13">
        <f t="shared" si="339"/>
        <v>2.0663924232277815E-2</v>
      </c>
      <c r="U169" s="13">
        <f t="shared" si="6"/>
        <v>9.3238932168834623E-3</v>
      </c>
      <c r="V169" s="13">
        <f t="shared" si="7"/>
        <v>0.34287814611264755</v>
      </c>
      <c r="W169" s="13">
        <f t="shared" si="8"/>
        <v>0.7548891786179921</v>
      </c>
      <c r="X169" s="13">
        <f t="shared" si="9"/>
        <v>2.0855256864058092E-2</v>
      </c>
      <c r="Y169" s="13">
        <f t="shared" si="10"/>
        <v>0.4814814814814814</v>
      </c>
    </row>
    <row r="170" spans="1:25" ht="14.4">
      <c r="A170" s="98" t="s">
        <v>386</v>
      </c>
      <c r="B170" s="99">
        <v>500830</v>
      </c>
      <c r="C170" s="98" t="s">
        <v>183</v>
      </c>
      <c r="D170" s="101" t="s">
        <v>282</v>
      </c>
      <c r="E170" s="11">
        <f ca="1">IFERROR(__xludf.DUMMYFUNCTION("GOOGLEFINANCE(""BOM:""&amp;B170,""PRICE"")"),1825)</f>
        <v>1825</v>
      </c>
      <c r="F170" s="20">
        <f ca="1">IFERROR(__xludf.DUMMYFUNCTION("GOOGLEFINANCE(""BOM:""&amp;B170,""MARKETCAP"")/10000000"),49661.851368)</f>
        <v>49661.851368000003</v>
      </c>
      <c r="G170" s="95">
        <f t="shared" ca="1" si="25"/>
        <v>1.2326520416405778E-3</v>
      </c>
      <c r="H170" s="101">
        <v>4511</v>
      </c>
      <c r="I170" s="101">
        <v>4697</v>
      </c>
      <c r="J170" s="101">
        <v>971</v>
      </c>
      <c r="K170" s="101">
        <v>1081</v>
      </c>
      <c r="L170" s="101">
        <v>1525</v>
      </c>
      <c r="M170" s="101">
        <v>1482</v>
      </c>
      <c r="N170" s="101">
        <v>323</v>
      </c>
      <c r="O170" s="101">
        <v>322</v>
      </c>
      <c r="P170" s="13">
        <f t="shared" ref="P170:Q170" si="340">J170/H170</f>
        <v>0.21525160718244291</v>
      </c>
      <c r="Q170" s="13">
        <f t="shared" si="340"/>
        <v>0.23014690227804982</v>
      </c>
      <c r="R170" s="13">
        <f t="shared" si="4"/>
        <v>-1.4895295095606914E-2</v>
      </c>
      <c r="S170" s="13">
        <f t="shared" ref="S170:T170" si="341">N170/L170</f>
        <v>0.21180327868852458</v>
      </c>
      <c r="T170" s="13">
        <f t="shared" si="341"/>
        <v>0.21727395411605938</v>
      </c>
      <c r="U170" s="13">
        <f t="shared" si="6"/>
        <v>-5.4706754275347935E-3</v>
      </c>
      <c r="V170" s="13">
        <f t="shared" si="7"/>
        <v>-3.9599744517777258E-2</v>
      </c>
      <c r="W170" s="13">
        <f t="shared" si="8"/>
        <v>-0.10175763182238673</v>
      </c>
      <c r="X170" s="13">
        <f t="shared" si="9"/>
        <v>2.9014844804318596E-2</v>
      </c>
      <c r="Y170" s="13">
        <f t="shared" si="10"/>
        <v>3.1055900621117516E-3</v>
      </c>
    </row>
    <row r="171" spans="1:25" ht="14.4">
      <c r="A171" s="98" t="s">
        <v>387</v>
      </c>
      <c r="B171" s="99">
        <v>532296</v>
      </c>
      <c r="C171" s="98" t="s">
        <v>190</v>
      </c>
      <c r="D171" s="102" t="s">
        <v>100</v>
      </c>
      <c r="E171" s="11">
        <f ca="1">IFERROR(__xludf.DUMMYFUNCTION("GOOGLEFINANCE(""BOM:""&amp;B171,""PRICE"")"),2105.3)</f>
        <v>2105.3000000000002</v>
      </c>
      <c r="F171" s="20">
        <f ca="1">IFERROR(__xludf.DUMMYFUNCTION("GOOGLEFINANCE(""BOM:""&amp;B171,""MARKETCAP"")/10000000"),59406.0721128)</f>
        <v>59406.0721128</v>
      </c>
      <c r="G171" s="95">
        <f t="shared" ca="1" si="25"/>
        <v>1.4745124085904437E-3</v>
      </c>
      <c r="H171" s="101">
        <v>13211</v>
      </c>
      <c r="I171" s="101">
        <v>10065</v>
      </c>
      <c r="J171" s="101">
        <v>1060</v>
      </c>
      <c r="K171" s="101">
        <v>1042</v>
      </c>
      <c r="L171" s="101">
        <v>3900</v>
      </c>
      <c r="M171" s="101">
        <v>3387</v>
      </c>
      <c r="N171" s="101">
        <v>403</v>
      </c>
      <c r="O171" s="101">
        <v>348</v>
      </c>
      <c r="P171" s="13">
        <f t="shared" ref="P171:Q171" si="342">J171/H171</f>
        <v>8.0236166830671404E-2</v>
      </c>
      <c r="Q171" s="13">
        <f t="shared" si="342"/>
        <v>0.1035270740188773</v>
      </c>
      <c r="R171" s="13">
        <f t="shared" si="4"/>
        <v>-2.3290907188205895E-2</v>
      </c>
      <c r="S171" s="13">
        <f t="shared" ref="S171:T171" si="343">N171/L171</f>
        <v>0.10333333333333333</v>
      </c>
      <c r="T171" s="13">
        <f t="shared" si="343"/>
        <v>0.10274579273693533</v>
      </c>
      <c r="U171" s="13">
        <f t="shared" si="6"/>
        <v>5.8754059639799794E-4</v>
      </c>
      <c r="V171" s="13">
        <f t="shared" si="7"/>
        <v>0.312568306010929</v>
      </c>
      <c r="W171" s="13">
        <f t="shared" si="8"/>
        <v>1.7274472168905985E-2</v>
      </c>
      <c r="X171" s="13">
        <f t="shared" si="9"/>
        <v>0.15146147032772372</v>
      </c>
      <c r="Y171" s="13">
        <f t="shared" si="10"/>
        <v>0.15804597701149414</v>
      </c>
    </row>
    <row r="172" spans="1:25" ht="14.4">
      <c r="A172" s="98" t="s">
        <v>388</v>
      </c>
      <c r="B172" s="99">
        <v>532466</v>
      </c>
      <c r="C172" s="98" t="s">
        <v>174</v>
      </c>
      <c r="D172" s="102" t="s">
        <v>389</v>
      </c>
      <c r="E172" s="11">
        <f ca="1">IFERROR(__xludf.DUMMYFUNCTION("GOOGLEFINANCE(""BOM:""&amp;B172,""PRICE"")"),7033.25)</f>
        <v>7033.25</v>
      </c>
      <c r="F172" s="20">
        <f ca="1">IFERROR(__xludf.DUMMYFUNCTION("GOOGLEFINANCE(""BOM:""&amp;B172,""MARKETCAP"")/10000000"),61216.1586855)</f>
        <v>61216.158685499999</v>
      </c>
      <c r="G172" s="95">
        <f t="shared" ca="1" si="25"/>
        <v>1.5194403935109282E-3</v>
      </c>
      <c r="H172" s="101">
        <v>5606</v>
      </c>
      <c r="I172" s="101">
        <v>5130</v>
      </c>
      <c r="J172" s="101">
        <v>1797</v>
      </c>
      <c r="K172" s="101">
        <v>1735</v>
      </c>
      <c r="L172" s="101">
        <v>1965</v>
      </c>
      <c r="M172" s="101">
        <v>1715</v>
      </c>
      <c r="N172" s="101">
        <v>609</v>
      </c>
      <c r="O172" s="101">
        <v>541</v>
      </c>
      <c r="P172" s="13">
        <f t="shared" ref="P172:Q172" si="344">J172/H172</f>
        <v>0.32054941134498749</v>
      </c>
      <c r="Q172" s="13">
        <f t="shared" si="344"/>
        <v>0.3382066276803119</v>
      </c>
      <c r="R172" s="13">
        <f t="shared" si="4"/>
        <v>-1.765721633532441E-2</v>
      </c>
      <c r="S172" s="13">
        <f t="shared" ref="S172:T172" si="345">N172/L172</f>
        <v>0.3099236641221374</v>
      </c>
      <c r="T172" s="13">
        <f t="shared" si="345"/>
        <v>0.31545189504373178</v>
      </c>
      <c r="U172" s="13">
        <f t="shared" si="6"/>
        <v>-5.5282309215943792E-3</v>
      </c>
      <c r="V172" s="13">
        <f t="shared" si="7"/>
        <v>9.2787524366471752E-2</v>
      </c>
      <c r="W172" s="13">
        <f t="shared" si="8"/>
        <v>3.5734870317002843E-2</v>
      </c>
      <c r="X172" s="13">
        <f t="shared" si="9"/>
        <v>0.14577259475218662</v>
      </c>
      <c r="Y172" s="13">
        <f t="shared" si="10"/>
        <v>0.12569316081330872</v>
      </c>
    </row>
    <row r="173" spans="1:25" ht="14.4">
      <c r="A173" s="98" t="s">
        <v>390</v>
      </c>
      <c r="B173" s="99">
        <v>533274</v>
      </c>
      <c r="C173" s="98" t="s">
        <v>187</v>
      </c>
      <c r="D173" s="101" t="s">
        <v>131</v>
      </c>
      <c r="E173" s="11">
        <f ca="1">IFERROR(__xludf.DUMMYFUNCTION("GOOGLEFINANCE(""BOM:""&amp;B173,""PRICE"")"),1193.3)</f>
        <v>1193.3</v>
      </c>
      <c r="F173" s="20">
        <f ca="1">IFERROR(__xludf.DUMMYFUNCTION("GOOGLEFINANCE(""BOM:""&amp;B173,""MARKETCAP"")/10000000"),51386.11286)</f>
        <v>51386.112860000001</v>
      </c>
      <c r="G173" s="95">
        <f t="shared" ca="1" si="25"/>
        <v>1.2754497704784832E-3</v>
      </c>
      <c r="H173" s="101">
        <v>8611</v>
      </c>
      <c r="I173" s="101">
        <v>5821</v>
      </c>
      <c r="J173" s="101">
        <v>1013</v>
      </c>
      <c r="K173" s="101">
        <v>573</v>
      </c>
      <c r="L173" s="101">
        <v>3872</v>
      </c>
      <c r="M173" s="101">
        <v>1654</v>
      </c>
      <c r="N173" s="101">
        <v>244</v>
      </c>
      <c r="O173" s="101">
        <v>32</v>
      </c>
      <c r="P173" s="13">
        <f t="shared" ref="P173:Q173" si="346">J173/H173</f>
        <v>0.1176402276158402</v>
      </c>
      <c r="Q173" s="13">
        <f t="shared" si="346"/>
        <v>9.8436694725992091E-2</v>
      </c>
      <c r="R173" s="13">
        <f t="shared" si="4"/>
        <v>1.9203532889848107E-2</v>
      </c>
      <c r="S173" s="13">
        <f t="shared" ref="S173:T173" si="347">N173/L173</f>
        <v>6.3016528925619833E-2</v>
      </c>
      <c r="T173" s="13">
        <f t="shared" si="347"/>
        <v>1.9347037484885126E-2</v>
      </c>
      <c r="U173" s="13">
        <f t="shared" si="6"/>
        <v>4.3669491440734703E-2</v>
      </c>
      <c r="V173" s="13">
        <f t="shared" si="7"/>
        <v>0.47929908950352162</v>
      </c>
      <c r="W173" s="13">
        <f t="shared" si="8"/>
        <v>0.76788830715532286</v>
      </c>
      <c r="X173" s="13">
        <f t="shared" si="9"/>
        <v>1.3409915356711002</v>
      </c>
      <c r="Y173" s="13">
        <f t="shared" si="10"/>
        <v>6.625</v>
      </c>
    </row>
    <row r="174" spans="1:25" ht="14.4">
      <c r="A174" s="98" t="s">
        <v>391</v>
      </c>
      <c r="B174" s="99">
        <v>500290</v>
      </c>
      <c r="C174" s="98" t="s">
        <v>187</v>
      </c>
      <c r="D174" s="101" t="s">
        <v>392</v>
      </c>
      <c r="E174" s="11">
        <f ca="1">IFERROR(__xludf.DUMMYFUNCTION("GOOGLEFINANCE(""BOM:""&amp;B174,""PRICE"")"),126670)</f>
        <v>126670</v>
      </c>
      <c r="F174" s="20">
        <f ca="1">IFERROR(__xludf.DUMMYFUNCTION("GOOGLEFINANCE(""BOM:""&amp;B174,""MARKETCAP"")/10000000"),53658.941236)</f>
        <v>53658.941235999999</v>
      </c>
      <c r="G174" s="95">
        <f t="shared" ca="1" si="25"/>
        <v>1.3318634252416698E-3</v>
      </c>
      <c r="H174" s="101">
        <v>23105</v>
      </c>
      <c r="I174" s="101">
        <v>21078</v>
      </c>
      <c r="J174" s="101">
        <v>1718</v>
      </c>
      <c r="K174" s="101">
        <v>1357</v>
      </c>
      <c r="L174" s="101">
        <v>8050</v>
      </c>
      <c r="M174" s="101">
        <v>7001</v>
      </c>
      <c r="N174" s="101">
        <v>692</v>
      </c>
      <c r="O174" s="101">
        <v>315</v>
      </c>
      <c r="P174" s="13">
        <f t="shared" ref="P174:Q174" si="348">J174/H174</f>
        <v>7.4356199956719327E-2</v>
      </c>
      <c r="Q174" s="13">
        <f t="shared" si="348"/>
        <v>6.4379922193756517E-2</v>
      </c>
      <c r="R174" s="13">
        <f t="shared" si="4"/>
        <v>9.9762777629628097E-3</v>
      </c>
      <c r="S174" s="13">
        <f t="shared" ref="S174:T174" si="349">N174/L174</f>
        <v>8.5962732919254659E-2</v>
      </c>
      <c r="T174" s="13">
        <f t="shared" si="349"/>
        <v>4.4993572346807599E-2</v>
      </c>
      <c r="U174" s="13">
        <f t="shared" si="6"/>
        <v>4.0969160572447059E-2</v>
      </c>
      <c r="V174" s="13">
        <f t="shared" si="7"/>
        <v>9.6166619223835292E-2</v>
      </c>
      <c r="W174" s="13">
        <f t="shared" si="8"/>
        <v>0.2660280029476787</v>
      </c>
      <c r="X174" s="13">
        <f t="shared" si="9"/>
        <v>0.14983573775174985</v>
      </c>
      <c r="Y174" s="13">
        <f t="shared" si="10"/>
        <v>1.196825396825397</v>
      </c>
    </row>
    <row r="175" spans="1:25" ht="14.4">
      <c r="A175" s="98" t="s">
        <v>393</v>
      </c>
      <c r="B175" s="99">
        <v>503100</v>
      </c>
      <c r="C175" s="98" t="s">
        <v>187</v>
      </c>
      <c r="D175" s="109" t="s">
        <v>131</v>
      </c>
      <c r="E175" s="11">
        <f ca="1">IFERROR(__xludf.DUMMYFUNCTION("GOOGLEFINANCE(""BOM:""&amp;B175,""PRICE"")"),1551.7)</f>
        <v>1551.7</v>
      </c>
      <c r="F175" s="20">
        <f ca="1">IFERROR(__xludf.DUMMYFUNCTION("GOOGLEFINANCE(""BOM:""&amp;B175,""MARKETCAP"")/10000000"),55533.5024342)</f>
        <v>55533.502434200003</v>
      </c>
      <c r="G175" s="95">
        <f t="shared" ca="1" si="25"/>
        <v>1.3783917286474172E-3</v>
      </c>
      <c r="H175" s="101">
        <v>3189</v>
      </c>
      <c r="I175" s="101">
        <v>2797</v>
      </c>
      <c r="J175" s="101">
        <v>1070</v>
      </c>
      <c r="K175" s="101">
        <v>1015</v>
      </c>
      <c r="L175" s="101">
        <v>1121</v>
      </c>
      <c r="M175" s="101">
        <v>975</v>
      </c>
      <c r="N175" s="101">
        <v>368</v>
      </c>
      <c r="O175" s="101">
        <v>350</v>
      </c>
      <c r="P175" s="13">
        <f t="shared" ref="P175:Q175" si="350">J175/H175</f>
        <v>0.33552837880213232</v>
      </c>
      <c r="Q175" s="13">
        <f t="shared" si="350"/>
        <v>0.36288880943868429</v>
      </c>
      <c r="R175" s="13">
        <f t="shared" si="4"/>
        <v>-2.7360430636551969E-2</v>
      </c>
      <c r="S175" s="13">
        <f t="shared" ref="S175:T175" si="351">N175/L175</f>
        <v>0.32827832292595899</v>
      </c>
      <c r="T175" s="13">
        <f t="shared" si="351"/>
        <v>0.35897435897435898</v>
      </c>
      <c r="U175" s="13">
        <f t="shared" si="6"/>
        <v>-3.0696036048399988E-2</v>
      </c>
      <c r="V175" s="13">
        <f t="shared" si="7"/>
        <v>0.14015016088666421</v>
      </c>
      <c r="W175" s="13">
        <f t="shared" si="8"/>
        <v>5.4187192118226646E-2</v>
      </c>
      <c r="X175" s="13">
        <f t="shared" si="9"/>
        <v>0.1497435897435897</v>
      </c>
      <c r="Y175" s="13">
        <f t="shared" si="10"/>
        <v>5.1428571428571379E-2</v>
      </c>
    </row>
    <row r="176" spans="1:25" ht="14.4">
      <c r="A176" s="98" t="s">
        <v>394</v>
      </c>
      <c r="B176" s="99">
        <v>544429</v>
      </c>
      <c r="C176" s="98" t="s">
        <v>172</v>
      </c>
      <c r="D176" s="102" t="s">
        <v>178</v>
      </c>
      <c r="E176" s="11">
        <f ca="1">IFERROR(__xludf.DUMMYFUNCTION("GOOGLEFINANCE(""BOM:""&amp;B176,""PRICE"")"),587.55)</f>
        <v>587.54999999999995</v>
      </c>
      <c r="F176" s="20">
        <f ca="1">IFERROR(__xludf.DUMMYFUNCTION("GOOGLEFINANCE(""BOM:""&amp;B176,""MARKETCAP"")/10000000"),48677.0816535)</f>
        <v>48677.081653499998</v>
      </c>
      <c r="G176" s="95">
        <f t="shared" ca="1" si="25"/>
        <v>1.2082091671667837E-3</v>
      </c>
      <c r="H176" s="101">
        <v>13684</v>
      </c>
      <c r="I176" s="101">
        <v>12034</v>
      </c>
      <c r="J176" s="101">
        <v>1793</v>
      </c>
      <c r="K176" s="101">
        <v>1645</v>
      </c>
      <c r="L176" s="101">
        <v>4673</v>
      </c>
      <c r="M176" s="101">
        <v>4143</v>
      </c>
      <c r="N176" s="101">
        <v>643</v>
      </c>
      <c r="O176" s="101">
        <v>472</v>
      </c>
      <c r="P176" s="13">
        <f t="shared" ref="P176:Q176" si="352">J176/H176</f>
        <v>0.13102893890675241</v>
      </c>
      <c r="Q176" s="13">
        <f t="shared" si="352"/>
        <v>0.13669602792089081</v>
      </c>
      <c r="R176" s="13">
        <f t="shared" si="4"/>
        <v>-5.6670890141383989E-3</v>
      </c>
      <c r="S176" s="13">
        <f t="shared" ref="S176:T176" si="353">N176/L176</f>
        <v>0.13759897282259789</v>
      </c>
      <c r="T176" s="13">
        <f t="shared" si="353"/>
        <v>0.11392710596186338</v>
      </c>
      <c r="U176" s="13">
        <f t="shared" si="6"/>
        <v>2.3671866860734511E-2</v>
      </c>
      <c r="V176" s="13">
        <f t="shared" si="7"/>
        <v>0.13711151736745886</v>
      </c>
      <c r="W176" s="13">
        <f t="shared" si="8"/>
        <v>8.9969604863221919E-2</v>
      </c>
      <c r="X176" s="13">
        <f t="shared" si="9"/>
        <v>0.12792662321988901</v>
      </c>
      <c r="Y176" s="13">
        <f t="shared" si="10"/>
        <v>0.36228813559322037</v>
      </c>
    </row>
    <row r="177" spans="1:25" ht="14.4">
      <c r="A177" s="98" t="s">
        <v>395</v>
      </c>
      <c r="B177" s="99">
        <v>540767</v>
      </c>
      <c r="C177" s="98" t="s">
        <v>172</v>
      </c>
      <c r="D177" s="70" t="s">
        <v>246</v>
      </c>
      <c r="E177" s="11">
        <f ca="1">IFERROR(__xludf.DUMMYFUNCTION("GOOGLEFINANCE(""BOM:""&amp;B177,""PRICE"")"),838.95)</f>
        <v>838.95</v>
      </c>
      <c r="F177" s="20">
        <f ca="1">IFERROR(__xludf.DUMMYFUNCTION("GOOGLEFINANCE(""BOM:""&amp;B177,""MARKETCAP"")/10000000"),53598.5457994)</f>
        <v>53598.545799400003</v>
      </c>
      <c r="G177" s="95">
        <f t="shared" ca="1" si="25"/>
        <v>1.3303643559121937E-3</v>
      </c>
      <c r="H177" s="101">
        <v>2228</v>
      </c>
      <c r="I177" s="101">
        <v>1931</v>
      </c>
      <c r="J177" s="101">
        <v>1144</v>
      </c>
      <c r="K177" s="101">
        <v>987</v>
      </c>
      <c r="L177" s="101">
        <v>781</v>
      </c>
      <c r="M177" s="101">
        <v>603</v>
      </c>
      <c r="N177" s="101">
        <v>404</v>
      </c>
      <c r="O177" s="101">
        <v>295</v>
      </c>
      <c r="P177" s="13">
        <f t="shared" ref="P177:Q177" si="354">J177/H177</f>
        <v>0.51346499102333931</v>
      </c>
      <c r="Q177" s="13">
        <f t="shared" si="354"/>
        <v>0.51113412739513209</v>
      </c>
      <c r="R177" s="13">
        <f t="shared" si="4"/>
        <v>2.3308636282072248E-3</v>
      </c>
      <c r="S177" s="13">
        <f t="shared" ref="S177:T177" si="355">N177/L177</f>
        <v>0.51728553137003841</v>
      </c>
      <c r="T177" s="13">
        <f t="shared" si="355"/>
        <v>0.48922056384742951</v>
      </c>
      <c r="U177" s="13">
        <f t="shared" si="6"/>
        <v>2.8064967522608897E-2</v>
      </c>
      <c r="V177" s="13">
        <f t="shared" si="7"/>
        <v>0.1538063179699638</v>
      </c>
      <c r="W177" s="13">
        <f t="shared" si="8"/>
        <v>0.15906788247213788</v>
      </c>
      <c r="X177" s="13">
        <f t="shared" si="9"/>
        <v>0.29519071310116085</v>
      </c>
      <c r="Y177" s="13">
        <f t="shared" si="10"/>
        <v>0.36949152542372876</v>
      </c>
    </row>
    <row r="178" spans="1:25" ht="14.4">
      <c r="A178" s="98" t="s">
        <v>396</v>
      </c>
      <c r="B178" s="99">
        <v>540222</v>
      </c>
      <c r="C178" s="98" t="s">
        <v>190</v>
      </c>
      <c r="D178" s="102" t="s">
        <v>100</v>
      </c>
      <c r="E178" s="11">
        <f ca="1">IFERROR(__xludf.DUMMYFUNCTION("GOOGLEFINANCE(""BOM:""&amp;B178,""PRICE"")"),1058.4)</f>
        <v>1058.4000000000001</v>
      </c>
      <c r="F178" s="20">
        <f ca="1">IFERROR(__xludf.DUMMYFUNCTION("GOOGLEFINANCE(""BOM:""&amp;B178,""MARKETCAP"")/10000000"),57168.1014314)</f>
        <v>57168.101431399999</v>
      </c>
      <c r="G178" s="95">
        <f t="shared" ca="1" si="25"/>
        <v>1.4189639533160393E-3</v>
      </c>
      <c r="H178" s="101">
        <v>5001</v>
      </c>
      <c r="I178" s="101">
        <v>3833</v>
      </c>
      <c r="J178" s="101">
        <v>607</v>
      </c>
      <c r="K178" s="101">
        <v>120</v>
      </c>
      <c r="L178" s="101">
        <v>1778</v>
      </c>
      <c r="M178" s="101">
        <v>1415</v>
      </c>
      <c r="N178" s="101">
        <v>253</v>
      </c>
      <c r="O178" s="101">
        <v>90</v>
      </c>
      <c r="P178" s="13">
        <f t="shared" ref="P178:Q178" si="356">J178/H178</f>
        <v>0.121375724855029</v>
      </c>
      <c r="Q178" s="13">
        <f t="shared" si="356"/>
        <v>3.1307070180015655E-2</v>
      </c>
      <c r="R178" s="13">
        <f t="shared" si="4"/>
        <v>9.0068654675013349E-2</v>
      </c>
      <c r="S178" s="13">
        <f t="shared" ref="S178:T178" si="357">N178/L178</f>
        <v>0.1422947131608549</v>
      </c>
      <c r="T178" s="13">
        <f t="shared" si="357"/>
        <v>6.3604240282685506E-2</v>
      </c>
      <c r="U178" s="13">
        <f t="shared" si="6"/>
        <v>7.8690472878169396E-2</v>
      </c>
      <c r="V178" s="13">
        <f t="shared" si="7"/>
        <v>0.30472214975215239</v>
      </c>
      <c r="W178" s="13">
        <f t="shared" si="8"/>
        <v>4.0583333333333336</v>
      </c>
      <c r="X178" s="13">
        <f t="shared" si="9"/>
        <v>0.25653710247349815</v>
      </c>
      <c r="Y178" s="13">
        <f t="shared" si="10"/>
        <v>1.8111111111111109</v>
      </c>
    </row>
    <row r="179" spans="1:25" ht="17.399999999999999">
      <c r="A179" s="110" t="s">
        <v>397</v>
      </c>
      <c r="B179" s="111">
        <v>590071</v>
      </c>
      <c r="C179" s="102" t="s">
        <v>172</v>
      </c>
      <c r="D179" s="100" t="s">
        <v>178</v>
      </c>
      <c r="E179" s="11">
        <f ca="1">IFERROR(__xludf.DUMMYFUNCTION("GOOGLEFINANCE(""BOM:""&amp;B179,""PRICE"")"),4598.1)</f>
        <v>4598.1000000000004</v>
      </c>
      <c r="F179" s="20">
        <f ca="1">IFERROR(__xludf.DUMMYFUNCTION("GOOGLEFINANCE(""BOM:""&amp;B179,""MARKETCAP"")/10000000"),50755.3002699)</f>
        <v>50755.300269899999</v>
      </c>
      <c r="G179" s="95">
        <f t="shared" ca="1" si="25"/>
        <v>1.259792431783688E-3</v>
      </c>
      <c r="H179" s="101">
        <v>7284</v>
      </c>
      <c r="I179" s="101">
        <v>6263</v>
      </c>
      <c r="J179" s="101">
        <v>1425</v>
      </c>
      <c r="K179" s="101">
        <v>1259</v>
      </c>
      <c r="L179" s="101">
        <v>2530</v>
      </c>
      <c r="M179" s="101">
        <v>2207</v>
      </c>
      <c r="N179" s="101">
        <v>522</v>
      </c>
      <c r="O179" s="101">
        <v>451</v>
      </c>
      <c r="P179" s="13">
        <f t="shared" ref="P179:Q179" si="358">J179/H179</f>
        <v>0.19563426688632621</v>
      </c>
      <c r="Q179" s="13">
        <f t="shared" si="358"/>
        <v>0.20102187450103784</v>
      </c>
      <c r="R179" s="13">
        <f t="shared" si="4"/>
        <v>-5.3876076147116314E-3</v>
      </c>
      <c r="S179" s="13">
        <f t="shared" ref="S179:T179" si="359">N179/L179</f>
        <v>0.20632411067193676</v>
      </c>
      <c r="T179" s="13">
        <f t="shared" si="359"/>
        <v>0.20434979610330767</v>
      </c>
      <c r="U179" s="13">
        <f t="shared" si="6"/>
        <v>1.974314568629093E-3</v>
      </c>
      <c r="V179" s="13">
        <f t="shared" si="7"/>
        <v>0.1630209164936931</v>
      </c>
      <c r="W179" s="13">
        <f t="shared" si="8"/>
        <v>0.13185067513899917</v>
      </c>
      <c r="X179" s="13">
        <f t="shared" si="9"/>
        <v>0.14635251472587218</v>
      </c>
      <c r="Y179" s="13">
        <f t="shared" si="10"/>
        <v>0.15742793791574283</v>
      </c>
    </row>
    <row r="180" spans="1:25" ht="14.4">
      <c r="A180" s="98" t="s">
        <v>398</v>
      </c>
      <c r="B180" s="99">
        <v>523457</v>
      </c>
      <c r="C180" s="98" t="s">
        <v>196</v>
      </c>
      <c r="D180" s="102" t="s">
        <v>399</v>
      </c>
      <c r="E180" s="11">
        <f ca="1">IFERROR(__xludf.DUMMYFUNCTION("GOOGLEFINANCE(""BOM:""&amp;B180,""PRICE"")"),7190)</f>
        <v>7190</v>
      </c>
      <c r="F180" s="20">
        <f ca="1">IFERROR(__xludf.DUMMYFUNCTION("GOOGLEFINANCE(""BOM:""&amp;B180,""MARKETCAP"")/10000000"),61302.290148)</f>
        <v>61302.290148</v>
      </c>
      <c r="G180" s="95">
        <f t="shared" ca="1" si="25"/>
        <v>1.5215782542667303E-3</v>
      </c>
      <c r="H180" s="101">
        <v>1916</v>
      </c>
      <c r="I180" s="101">
        <v>1893</v>
      </c>
      <c r="J180" s="101">
        <v>471</v>
      </c>
      <c r="K180" s="101">
        <v>336</v>
      </c>
      <c r="L180" s="101">
        <v>701</v>
      </c>
      <c r="M180" s="101">
        <v>605</v>
      </c>
      <c r="N180" s="101">
        <v>192</v>
      </c>
      <c r="O180" s="101">
        <v>114</v>
      </c>
      <c r="P180" s="13">
        <f t="shared" ref="P180:Q180" si="360">J180/H180</f>
        <v>0.24582463465553236</v>
      </c>
      <c r="Q180" s="13">
        <f t="shared" si="360"/>
        <v>0.1774960380348653</v>
      </c>
      <c r="R180" s="13">
        <f t="shared" si="4"/>
        <v>6.8328596620667065E-2</v>
      </c>
      <c r="S180" s="13">
        <f t="shared" ref="S180:T180" si="361">N180/L180</f>
        <v>0.27389443651925821</v>
      </c>
      <c r="T180" s="13">
        <f t="shared" si="361"/>
        <v>0.1884297520661157</v>
      </c>
      <c r="U180" s="13">
        <f t="shared" si="6"/>
        <v>8.5464684453142509E-2</v>
      </c>
      <c r="V180" s="13">
        <f t="shared" si="7"/>
        <v>1.2150026413100923E-2</v>
      </c>
      <c r="W180" s="13">
        <f t="shared" si="8"/>
        <v>0.40178571428571419</v>
      </c>
      <c r="X180" s="13">
        <f t="shared" si="9"/>
        <v>0.15867768595041332</v>
      </c>
      <c r="Y180" s="13">
        <f t="shared" si="10"/>
        <v>0.68421052631578938</v>
      </c>
    </row>
    <row r="181" spans="1:25" ht="14.4">
      <c r="A181" s="98" t="s">
        <v>400</v>
      </c>
      <c r="B181" s="99">
        <v>500488</v>
      </c>
      <c r="C181" s="98" t="s">
        <v>190</v>
      </c>
      <c r="D181" s="102" t="s">
        <v>100</v>
      </c>
      <c r="E181" s="11">
        <f ca="1">IFERROR(__xludf.DUMMYFUNCTION("GOOGLEFINANCE(""BOM:""&amp;B181,""PRICE"")"),25905.55)</f>
        <v>25905.55</v>
      </c>
      <c r="F181" s="20">
        <f ca="1">IFERROR(__xludf.DUMMYFUNCTION("GOOGLEFINANCE(""BOM:""&amp;B181,""MARKETCAP"")/10000000"),55035.687)</f>
        <v>55035.686999999998</v>
      </c>
      <c r="G181" s="95">
        <f t="shared" ca="1" si="25"/>
        <v>1.3660354995817762E-3</v>
      </c>
      <c r="H181" s="101">
        <v>5220</v>
      </c>
      <c r="I181" s="101">
        <v>4805</v>
      </c>
      <c r="J181" s="101">
        <v>1157</v>
      </c>
      <c r="K181" s="101">
        <v>1047</v>
      </c>
      <c r="L181" s="101">
        <v>1724</v>
      </c>
      <c r="M181" s="101">
        <v>1614</v>
      </c>
      <c r="N181" s="101">
        <v>376</v>
      </c>
      <c r="O181" s="101">
        <v>361</v>
      </c>
      <c r="P181" s="13">
        <f t="shared" ref="P181:Q181" si="362">J181/H181</f>
        <v>0.22164750957854407</v>
      </c>
      <c r="Q181" s="13">
        <f t="shared" si="362"/>
        <v>0.21789802289281998</v>
      </c>
      <c r="R181" s="13">
        <f t="shared" si="4"/>
        <v>3.7494866857240849E-3</v>
      </c>
      <c r="S181" s="13">
        <f t="shared" ref="S181:T181" si="363">N181/L181</f>
        <v>0.21809744779582366</v>
      </c>
      <c r="T181" s="13">
        <f t="shared" si="363"/>
        <v>0.22366790582403964</v>
      </c>
      <c r="U181" s="13">
        <f t="shared" si="6"/>
        <v>-5.5704580282159855E-3</v>
      </c>
      <c r="V181" s="13">
        <f t="shared" si="7"/>
        <v>8.6368366285119569E-2</v>
      </c>
      <c r="W181" s="13">
        <f t="shared" si="8"/>
        <v>0.10506208213944612</v>
      </c>
      <c r="X181" s="13">
        <f t="shared" si="9"/>
        <v>6.8153655514250344E-2</v>
      </c>
      <c r="Y181" s="13">
        <f t="shared" si="10"/>
        <v>4.1551246537396169E-2</v>
      </c>
    </row>
    <row r="182" spans="1:25" ht="14.4">
      <c r="A182" s="98" t="s">
        <v>401</v>
      </c>
      <c r="B182" s="99">
        <v>532667</v>
      </c>
      <c r="C182" s="98" t="s">
        <v>180</v>
      </c>
      <c r="D182" s="100" t="s">
        <v>275</v>
      </c>
      <c r="E182" s="11">
        <f ca="1">IFERROR(__xludf.DUMMYFUNCTION("GOOGLEFINANCE(""BOM:""&amp;B182,""PRICE"")"),41.38)</f>
        <v>41.38</v>
      </c>
      <c r="F182" s="20">
        <f ca="1">IFERROR(__xludf.DUMMYFUNCTION("GOOGLEFINANCE(""BOM:""&amp;B182,""MARKETCAP"")/10000000"),56765.0596829)</f>
        <v>56765.059682899999</v>
      </c>
      <c r="G182" s="95">
        <f t="shared" ca="1" si="25"/>
        <v>1.408960092797963E-3</v>
      </c>
      <c r="H182" s="101">
        <v>11211</v>
      </c>
      <c r="I182" s="101">
        <v>7078</v>
      </c>
      <c r="J182" s="101">
        <v>2049</v>
      </c>
      <c r="K182" s="101">
        <v>891</v>
      </c>
      <c r="L182" s="101">
        <v>4228</v>
      </c>
      <c r="M182" s="101">
        <v>2969</v>
      </c>
      <c r="N182" s="101">
        <v>445</v>
      </c>
      <c r="O182" s="101">
        <v>388</v>
      </c>
      <c r="P182" s="13">
        <f t="shared" ref="P182:Q182" si="364">J182/H182</f>
        <v>0.18276692534118277</v>
      </c>
      <c r="Q182" s="13">
        <f t="shared" si="364"/>
        <v>0.12588301780163888</v>
      </c>
      <c r="R182" s="13">
        <f t="shared" si="4"/>
        <v>5.6883907539543893E-2</v>
      </c>
      <c r="S182" s="13">
        <f t="shared" ref="S182:T182" si="365">N182/L182</f>
        <v>0.10525070955534532</v>
      </c>
      <c r="T182" s="13">
        <f t="shared" si="365"/>
        <v>0.13068373189626137</v>
      </c>
      <c r="U182" s="13">
        <f t="shared" si="6"/>
        <v>-2.5433022340916045E-2</v>
      </c>
      <c r="V182" s="13">
        <f t="shared" si="7"/>
        <v>0.58392201186775927</v>
      </c>
      <c r="W182" s="13">
        <f t="shared" si="8"/>
        <v>1.2996632996632997</v>
      </c>
      <c r="X182" s="13">
        <f t="shared" si="9"/>
        <v>0.42404850117884818</v>
      </c>
      <c r="Y182" s="13">
        <f t="shared" si="10"/>
        <v>0.14690721649484528</v>
      </c>
    </row>
    <row r="183" spans="1:25" ht="14.4">
      <c r="A183" s="98" t="s">
        <v>402</v>
      </c>
      <c r="B183" s="99">
        <v>513599</v>
      </c>
      <c r="C183" s="98" t="s">
        <v>196</v>
      </c>
      <c r="D183" s="102" t="s">
        <v>403</v>
      </c>
      <c r="E183" s="11">
        <f ca="1">IFERROR(__xludf.DUMMYFUNCTION("GOOGLEFINANCE(""BOM:""&amp;B183,""PRICE"")"),507.5)</f>
        <v>507.5</v>
      </c>
      <c r="F183" s="20">
        <f ca="1">IFERROR(__xludf.DUMMYFUNCTION("GOOGLEFINANCE(""BOM:""&amp;B183,""MARKETCAP"")/10000000"),49090.9676932)</f>
        <v>49090.9676932</v>
      </c>
      <c r="G183" s="95">
        <f t="shared" ca="1" si="25"/>
        <v>1.2184821927948915E-3</v>
      </c>
      <c r="H183" s="101">
        <v>1922</v>
      </c>
      <c r="I183" s="101">
        <v>1340</v>
      </c>
      <c r="J183" s="101">
        <v>477</v>
      </c>
      <c r="K183" s="101">
        <v>278</v>
      </c>
      <c r="L183" s="101">
        <v>687</v>
      </c>
      <c r="M183" s="101">
        <v>328</v>
      </c>
      <c r="N183" s="101">
        <v>156</v>
      </c>
      <c r="O183" s="101">
        <v>63</v>
      </c>
      <c r="P183" s="13">
        <f t="shared" ref="P183:Q183" si="366">J183/H183</f>
        <v>0.2481789802289282</v>
      </c>
      <c r="Q183" s="13">
        <f t="shared" si="366"/>
        <v>0.20746268656716418</v>
      </c>
      <c r="R183" s="13">
        <f t="shared" si="4"/>
        <v>4.0716293661764019E-2</v>
      </c>
      <c r="S183" s="13">
        <f t="shared" ref="S183:T183" si="367">N183/L183</f>
        <v>0.22707423580786026</v>
      </c>
      <c r="T183" s="13">
        <f t="shared" si="367"/>
        <v>0.19207317073170732</v>
      </c>
      <c r="U183" s="13">
        <f t="shared" si="6"/>
        <v>3.5001065076152943E-2</v>
      </c>
      <c r="V183" s="13">
        <f t="shared" si="7"/>
        <v>0.43432835820895521</v>
      </c>
      <c r="W183" s="13">
        <f t="shared" si="8"/>
        <v>0.71582733812949639</v>
      </c>
      <c r="X183" s="13">
        <f t="shared" si="9"/>
        <v>1.0945121951219514</v>
      </c>
      <c r="Y183" s="13">
        <f t="shared" si="10"/>
        <v>1.4761904761904763</v>
      </c>
    </row>
    <row r="184" spans="1:25" ht="14.4">
      <c r="A184" s="98" t="s">
        <v>404</v>
      </c>
      <c r="B184" s="99">
        <v>532525</v>
      </c>
      <c r="C184" s="98" t="s">
        <v>172</v>
      </c>
      <c r="D184" s="100" t="s">
        <v>107</v>
      </c>
      <c r="E184" s="11">
        <f ca="1">IFERROR(__xludf.DUMMYFUNCTION("GOOGLEFINANCE(""BOM:""&amp;B184,""PRICE"")"),66.06)</f>
        <v>66.06</v>
      </c>
      <c r="F184" s="20">
        <f ca="1">IFERROR(__xludf.DUMMYFUNCTION("GOOGLEFINANCE(""BOM:""&amp;B184,""MARKETCAP"")/10000000"),50818.0970432)</f>
        <v>50818.097043200003</v>
      </c>
      <c r="G184" s="95">
        <f t="shared" ca="1" si="25"/>
        <v>1.2613511044606911E-3</v>
      </c>
      <c r="H184" s="101">
        <v>24129</v>
      </c>
      <c r="I184" s="101">
        <v>20690</v>
      </c>
      <c r="J184" s="101">
        <v>5005</v>
      </c>
      <c r="K184" s="101">
        <v>4026</v>
      </c>
      <c r="L184" s="101">
        <v>8277</v>
      </c>
      <c r="M184" s="101">
        <v>7112</v>
      </c>
      <c r="N184" s="101">
        <v>1779</v>
      </c>
      <c r="O184" s="101">
        <v>1406</v>
      </c>
      <c r="P184" s="13">
        <f t="shared" ref="P184:Q184" si="368">J184/H184</f>
        <v>0.20742674789672177</v>
      </c>
      <c r="Q184" s="13">
        <f t="shared" si="368"/>
        <v>0.19458675688738522</v>
      </c>
      <c r="R184" s="13">
        <f t="shared" si="4"/>
        <v>1.2839991009336554E-2</v>
      </c>
      <c r="S184" s="13">
        <f t="shared" ref="S184:T184" si="369">N184/L184</f>
        <v>0.21493294671982602</v>
      </c>
      <c r="T184" s="13">
        <f t="shared" si="369"/>
        <v>0.19769403824521936</v>
      </c>
      <c r="U184" s="13">
        <f t="shared" si="6"/>
        <v>1.7238908474606657E-2</v>
      </c>
      <c r="V184" s="13">
        <f t="shared" si="7"/>
        <v>0.1662155630739488</v>
      </c>
      <c r="W184" s="13">
        <f t="shared" si="8"/>
        <v>0.24316939890710376</v>
      </c>
      <c r="X184" s="13">
        <f t="shared" si="9"/>
        <v>0.16380764904386957</v>
      </c>
      <c r="Y184" s="13">
        <f t="shared" si="10"/>
        <v>0.26529160739687052</v>
      </c>
    </row>
    <row r="185" spans="1:25" ht="14.4">
      <c r="A185" s="98" t="s">
        <v>405</v>
      </c>
      <c r="B185" s="99">
        <v>500368</v>
      </c>
      <c r="C185" s="98" t="s">
        <v>183</v>
      </c>
      <c r="D185" s="70" t="s">
        <v>406</v>
      </c>
      <c r="E185" s="11">
        <f ca="1">IFERROR(__xludf.DUMMYFUNCTION("GOOGLEFINANCE(""BOM:""&amp;B185,""PRICE"")"),471.9)</f>
        <v>471.9</v>
      </c>
      <c r="F185" s="20">
        <f ca="1">IFERROR(__xludf.DUMMYFUNCTION("GOOGLEFINANCE(""BOM:""&amp;B185,""MARKETCAP"")/10000000"),51325.8670082)</f>
        <v>51325.867008200003</v>
      </c>
      <c r="G185" s="95">
        <f t="shared" ca="1" si="25"/>
        <v>1.2739544139789569E-3</v>
      </c>
      <c r="H185" s="101">
        <v>29013</v>
      </c>
      <c r="I185" s="101">
        <v>24246</v>
      </c>
      <c r="J185" s="101">
        <v>1290</v>
      </c>
      <c r="K185" s="101">
        <v>942</v>
      </c>
      <c r="L185" s="101">
        <v>10483</v>
      </c>
      <c r="M185" s="101">
        <v>8996</v>
      </c>
      <c r="N185" s="101">
        <v>590</v>
      </c>
      <c r="O185" s="101">
        <v>370</v>
      </c>
      <c r="P185" s="13">
        <f t="shared" ref="P185:Q185" si="370">J185/H185</f>
        <v>4.446282700858236E-2</v>
      </c>
      <c r="Q185" s="13">
        <f t="shared" si="370"/>
        <v>3.8851769364018809E-2</v>
      </c>
      <c r="R185" s="13">
        <f t="shared" si="4"/>
        <v>5.611057644563551E-3</v>
      </c>
      <c r="S185" s="13">
        <f t="shared" ref="S185:T185" si="371">N185/L185</f>
        <v>5.6281598778975483E-2</v>
      </c>
      <c r="T185" s="13">
        <f t="shared" si="371"/>
        <v>4.1129390840373502E-2</v>
      </c>
      <c r="U185" s="13">
        <f t="shared" si="6"/>
        <v>1.5152207938601982E-2</v>
      </c>
      <c r="V185" s="13">
        <f t="shared" si="7"/>
        <v>0.19660975006186598</v>
      </c>
      <c r="W185" s="13">
        <f t="shared" si="8"/>
        <v>0.36942675159235661</v>
      </c>
      <c r="X185" s="13">
        <f t="shared" si="9"/>
        <v>0.16529568697198749</v>
      </c>
      <c r="Y185" s="13">
        <f t="shared" si="10"/>
        <v>0.59459459459459452</v>
      </c>
    </row>
    <row r="186" spans="1:25" ht="14.4">
      <c r="A186" s="98" t="s">
        <v>407</v>
      </c>
      <c r="B186" s="99">
        <v>544307</v>
      </c>
      <c r="C186" s="98" t="s">
        <v>187</v>
      </c>
      <c r="D186" s="101" t="s">
        <v>84</v>
      </c>
      <c r="E186" s="11">
        <f ca="1">IFERROR(__xludf.DUMMYFUNCTION("GOOGLEFINANCE(""BOM:""&amp;B186,""PRICE"")"),113)</f>
        <v>113</v>
      </c>
      <c r="F186" s="20">
        <f ca="1">IFERROR(__xludf.DUMMYFUNCTION("GOOGLEFINANCE(""BOM:""&amp;B186,""MARKETCAP"")/10000000"),52829.5891111)</f>
        <v>52829.589111100002</v>
      </c>
      <c r="G186" s="95">
        <f t="shared" ca="1" si="25"/>
        <v>1.3112781558278987E-3</v>
      </c>
      <c r="H186" s="101">
        <v>9792</v>
      </c>
      <c r="I186" s="101">
        <v>8168</v>
      </c>
      <c r="J186" s="101">
        <v>671</v>
      </c>
      <c r="K186" s="101">
        <v>516</v>
      </c>
      <c r="L186" s="101">
        <v>3670</v>
      </c>
      <c r="M186" s="101">
        <v>3135</v>
      </c>
      <c r="N186" s="101">
        <v>312</v>
      </c>
      <c r="O186" s="101">
        <v>262</v>
      </c>
      <c r="P186" s="13">
        <f t="shared" ref="P186:Q186" si="372">J186/H186</f>
        <v>6.8525326797385627E-2</v>
      </c>
      <c r="Q186" s="13">
        <f t="shared" si="372"/>
        <v>6.3173359451518113E-2</v>
      </c>
      <c r="R186" s="13">
        <f t="shared" si="4"/>
        <v>5.3519673458675143E-3</v>
      </c>
      <c r="S186" s="13">
        <f t="shared" ref="S186:T186" si="373">N186/L186</f>
        <v>8.5013623978201641E-2</v>
      </c>
      <c r="T186" s="13">
        <f t="shared" si="373"/>
        <v>8.3572567783094104E-2</v>
      </c>
      <c r="U186" s="13">
        <f t="shared" si="6"/>
        <v>1.4410561951075374E-3</v>
      </c>
      <c r="V186" s="13">
        <f t="shared" si="7"/>
        <v>0.19882468168462286</v>
      </c>
      <c r="W186" s="13">
        <f t="shared" si="8"/>
        <v>0.3003875968992249</v>
      </c>
      <c r="X186" s="13">
        <f t="shared" si="9"/>
        <v>0.17065390749601272</v>
      </c>
      <c r="Y186" s="13">
        <f t="shared" si="10"/>
        <v>0.19083969465648853</v>
      </c>
    </row>
    <row r="187" spans="1:25" ht="14.4">
      <c r="A187" s="98" t="s">
        <v>408</v>
      </c>
      <c r="B187" s="99">
        <v>540762</v>
      </c>
      <c r="C187" s="98" t="s">
        <v>187</v>
      </c>
      <c r="D187" s="108" t="s">
        <v>312</v>
      </c>
      <c r="E187" s="11">
        <f ca="1">IFERROR(__xludf.DUMMYFUNCTION("GOOGLEFINANCE(""BOM:""&amp;B187,""PRICE"")"),2576.6)</f>
        <v>2576.6</v>
      </c>
      <c r="F187" s="20">
        <f ca="1">IFERROR(__xludf.DUMMYFUNCTION("GOOGLEFINANCE(""BOM:""&amp;B187,""MARKETCAP"")/10000000"),49849.3790253)</f>
        <v>49849.379025299997</v>
      </c>
      <c r="G187" s="95">
        <f t="shared" ca="1" si="25"/>
        <v>1.2373066476060706E-3</v>
      </c>
      <c r="H187" s="101">
        <v>16633</v>
      </c>
      <c r="I187" s="101">
        <v>14315</v>
      </c>
      <c r="J187" s="101">
        <v>884</v>
      </c>
      <c r="K187" s="101">
        <v>896</v>
      </c>
      <c r="L187" s="101">
        <v>5801</v>
      </c>
      <c r="M187" s="101">
        <v>4812</v>
      </c>
      <c r="N187" s="101">
        <v>279</v>
      </c>
      <c r="O187" s="101">
        <v>280</v>
      </c>
      <c r="P187" s="13">
        <f t="shared" ref="P187:Q187" si="374">J187/H187</f>
        <v>5.3147357662478203E-2</v>
      </c>
      <c r="Q187" s="13">
        <f t="shared" si="374"/>
        <v>6.2591687041564786E-2</v>
      </c>
      <c r="R187" s="13">
        <f t="shared" si="4"/>
        <v>-9.4443293790865829E-3</v>
      </c>
      <c r="S187" s="13">
        <f t="shared" ref="S187:T187" si="375">N187/L187</f>
        <v>4.8095156007584898E-2</v>
      </c>
      <c r="T187" s="13">
        <f t="shared" si="375"/>
        <v>5.8187863674147966E-2</v>
      </c>
      <c r="U187" s="13">
        <f t="shared" si="6"/>
        <v>-1.0092707666563068E-2</v>
      </c>
      <c r="V187" s="13">
        <f t="shared" si="7"/>
        <v>0.16192804750261969</v>
      </c>
      <c r="W187" s="13">
        <f t="shared" si="8"/>
        <v>-1.3392857142857095E-2</v>
      </c>
      <c r="X187" s="13">
        <f t="shared" si="9"/>
        <v>0.20552784704904403</v>
      </c>
      <c r="Y187" s="13">
        <f t="shared" si="10"/>
        <v>-3.5714285714285587E-3</v>
      </c>
    </row>
    <row r="188" spans="1:25" ht="14.4">
      <c r="A188" s="98" t="s">
        <v>409</v>
      </c>
      <c r="B188" s="99">
        <v>542066</v>
      </c>
      <c r="C188" s="98" t="s">
        <v>91</v>
      </c>
      <c r="D188" s="100" t="s">
        <v>410</v>
      </c>
      <c r="E188" s="11">
        <f ca="1">IFERROR(__xludf.DUMMYFUNCTION("GOOGLEFINANCE(""BOM:""&amp;B188,""PRICE"")"),525.05)</f>
        <v>525.04999999999995</v>
      </c>
      <c r="F188" s="20">
        <f ca="1">IFERROR(__xludf.DUMMYFUNCTION("GOOGLEFINANCE(""BOM:""&amp;B188,""MARKETCAP"")/10000000"),57762.0225425)</f>
        <v>57762.022542500003</v>
      </c>
      <c r="G188" s="95">
        <f t="shared" ca="1" si="25"/>
        <v>1.4337056121548517E-3</v>
      </c>
      <c r="H188" s="101">
        <v>4739</v>
      </c>
      <c r="I188" s="101">
        <v>3980</v>
      </c>
      <c r="J188" s="101">
        <v>487</v>
      </c>
      <c r="K188" s="101">
        <v>499</v>
      </c>
      <c r="L188" s="101">
        <v>1648</v>
      </c>
      <c r="M188" s="101">
        <v>1407</v>
      </c>
      <c r="N188" s="101">
        <v>158</v>
      </c>
      <c r="O188" s="101">
        <v>142</v>
      </c>
      <c r="P188" s="13">
        <f t="shared" ref="P188:Q188" si="376">J188/H188</f>
        <v>0.10276429626503482</v>
      </c>
      <c r="Q188" s="13">
        <f t="shared" si="376"/>
        <v>0.12537688442211056</v>
      </c>
      <c r="R188" s="13">
        <f t="shared" si="4"/>
        <v>-2.2612588157075744E-2</v>
      </c>
      <c r="S188" s="13">
        <f t="shared" ref="S188:T188" si="377">N188/L188</f>
        <v>9.5873786407766989E-2</v>
      </c>
      <c r="T188" s="13">
        <f t="shared" si="377"/>
        <v>0.10092395167022032</v>
      </c>
      <c r="U188" s="13">
        <f t="shared" si="6"/>
        <v>-5.0501652624533322E-3</v>
      </c>
      <c r="V188" s="13">
        <f t="shared" si="7"/>
        <v>0.19070351758793969</v>
      </c>
      <c r="W188" s="13">
        <f t="shared" si="8"/>
        <v>-2.4048096192384794E-2</v>
      </c>
      <c r="X188" s="13">
        <f t="shared" si="9"/>
        <v>0.17128642501776836</v>
      </c>
      <c r="Y188" s="13">
        <f t="shared" si="10"/>
        <v>0.11267605633802824</v>
      </c>
    </row>
    <row r="189" spans="1:25" ht="14.4">
      <c r="A189" s="98" t="s">
        <v>411</v>
      </c>
      <c r="B189" s="99">
        <v>533273</v>
      </c>
      <c r="C189" s="98" t="s">
        <v>187</v>
      </c>
      <c r="D189" s="102" t="s">
        <v>131</v>
      </c>
      <c r="E189" s="11">
        <f ca="1">IFERROR(__xludf.DUMMYFUNCTION("GOOGLEFINANCE(""BOM:""&amp;B189,""PRICE"")"),1519.95)</f>
        <v>1519.95</v>
      </c>
      <c r="F189" s="20">
        <f ca="1">IFERROR(__xludf.DUMMYFUNCTION("GOOGLEFINANCE(""BOM:""&amp;B189,""MARKETCAP"")/10000000"),55311.1648885)</f>
        <v>55311.164888500003</v>
      </c>
      <c r="G189" s="95">
        <f t="shared" ca="1" si="25"/>
        <v>1.3728731097862393E-3</v>
      </c>
      <c r="H189" s="101">
        <v>4259</v>
      </c>
      <c r="I189" s="101">
        <v>4136</v>
      </c>
      <c r="J189" s="101">
        <v>1804</v>
      </c>
      <c r="K189" s="101">
        <v>1792</v>
      </c>
      <c r="L189" s="101">
        <v>1492</v>
      </c>
      <c r="M189" s="101">
        <v>1411</v>
      </c>
      <c r="N189" s="101">
        <v>622</v>
      </c>
      <c r="O189" s="101">
        <v>618</v>
      </c>
      <c r="P189" s="13">
        <f t="shared" ref="P189:Q189" si="378">J189/H189</f>
        <v>0.42357360882836348</v>
      </c>
      <c r="Q189" s="13">
        <f t="shared" si="378"/>
        <v>0.4332688588007737</v>
      </c>
      <c r="R189" s="13">
        <f t="shared" si="4"/>
        <v>-9.6952499724102248E-3</v>
      </c>
      <c r="S189" s="13">
        <f t="shared" ref="S189:T189" si="379">N189/L189</f>
        <v>0.41689008042895442</v>
      </c>
      <c r="T189" s="13">
        <f t="shared" si="379"/>
        <v>0.43798724309000708</v>
      </c>
      <c r="U189" s="13">
        <f t="shared" si="6"/>
        <v>-2.109716266105266E-2</v>
      </c>
      <c r="V189" s="13">
        <f t="shared" si="7"/>
        <v>2.9738878143133363E-2</v>
      </c>
      <c r="W189" s="13">
        <f t="shared" si="8"/>
        <v>6.6964285714286031E-3</v>
      </c>
      <c r="X189" s="13">
        <f t="shared" si="9"/>
        <v>5.7406094968107668E-2</v>
      </c>
      <c r="Y189" s="13">
        <f t="shared" si="10"/>
        <v>6.4724919093850364E-3</v>
      </c>
    </row>
    <row r="190" spans="1:25" ht="14.4">
      <c r="A190" s="98" t="s">
        <v>412</v>
      </c>
      <c r="B190" s="99">
        <v>533096</v>
      </c>
      <c r="C190" s="98" t="s">
        <v>198</v>
      </c>
      <c r="D190" s="101" t="s">
        <v>288</v>
      </c>
      <c r="E190" s="11">
        <f ca="1">IFERROR(__xludf.DUMMYFUNCTION("GOOGLEFINANCE(""BOM:""&amp;B190,""PRICE"")"),164.15)</f>
        <v>164.15</v>
      </c>
      <c r="F190" s="20">
        <f ca="1">IFERROR(__xludf.DUMMYFUNCTION("GOOGLEFINANCE(""BOM:""&amp;B190,""MARKETCAP"")/10000000"),316751.03325)</f>
        <v>316751.03324999998</v>
      </c>
      <c r="G190" s="95">
        <f t="shared" ca="1" si="25"/>
        <v>7.8620469650666405E-3</v>
      </c>
      <c r="H190" s="101">
        <v>40017</v>
      </c>
      <c r="I190" s="101">
        <v>41965</v>
      </c>
      <c r="J190" s="101">
        <v>8700</v>
      </c>
      <c r="K190" s="101">
        <v>10150</v>
      </c>
      <c r="L190" s="101">
        <v>12451</v>
      </c>
      <c r="M190" s="101">
        <v>13671</v>
      </c>
      <c r="N190" s="101">
        <v>2488</v>
      </c>
      <c r="O190" s="101">
        <v>2940</v>
      </c>
      <c r="P190" s="13">
        <f t="shared" ref="P190:Q190" si="380">J190/H190</f>
        <v>0.21740760176924806</v>
      </c>
      <c r="Q190" s="13">
        <f t="shared" si="380"/>
        <v>0.24186822351959966</v>
      </c>
      <c r="R190" s="13">
        <f t="shared" si="4"/>
        <v>-2.4460621750351602E-2</v>
      </c>
      <c r="S190" s="13">
        <f t="shared" ref="S190:T190" si="381">N190/L190</f>
        <v>0.19982330736487028</v>
      </c>
      <c r="T190" s="13">
        <f t="shared" si="381"/>
        <v>0.21505376344086022</v>
      </c>
      <c r="U190" s="13">
        <f t="shared" si="6"/>
        <v>-1.523045607598994E-2</v>
      </c>
      <c r="V190" s="13">
        <f t="shared" si="7"/>
        <v>-4.6419635410461124E-2</v>
      </c>
      <c r="W190" s="13">
        <f t="shared" si="8"/>
        <v>-0.1428571428571429</v>
      </c>
      <c r="X190" s="13">
        <f t="shared" si="9"/>
        <v>-8.9239997074098465E-2</v>
      </c>
      <c r="Y190" s="13">
        <f t="shared" si="10"/>
        <v>-0.15374149659863945</v>
      </c>
    </row>
    <row r="191" spans="1:25" ht="14.4">
      <c r="A191" s="104" t="s">
        <v>413</v>
      </c>
      <c r="B191" s="99">
        <v>512070</v>
      </c>
      <c r="C191" s="98" t="s">
        <v>196</v>
      </c>
      <c r="D191" s="70" t="s">
        <v>414</v>
      </c>
      <c r="E191" s="11">
        <f ca="1">IFERROR(__xludf.DUMMYFUNCTION("GOOGLEFINANCE(""BOM:""&amp;B191,""PRICE"")"),605.95)</f>
        <v>605.95000000000005</v>
      </c>
      <c r="F191" s="20">
        <f ca="1">IFERROR(__xludf.DUMMYFUNCTION("GOOGLEFINANCE(""BOM:""&amp;B191,""MARKETCAP"")/10000000"),51257.674285)</f>
        <v>51257.674285000001</v>
      </c>
      <c r="G191" s="95">
        <f t="shared" ca="1" si="25"/>
        <v>1.2722618089478911E-3</v>
      </c>
      <c r="H191" s="101">
        <v>33504</v>
      </c>
      <c r="I191" s="101">
        <v>31064</v>
      </c>
      <c r="J191" s="101">
        <v>926</v>
      </c>
      <c r="K191" s="101">
        <v>-259</v>
      </c>
      <c r="L191" s="101">
        <v>12269</v>
      </c>
      <c r="M191" s="101">
        <v>10907</v>
      </c>
      <c r="N191" s="101">
        <v>490</v>
      </c>
      <c r="O191" s="101">
        <v>853</v>
      </c>
      <c r="P191" s="13">
        <f t="shared" ref="P191:Q191" si="382">J191/H191</f>
        <v>2.7638490926456542E-2</v>
      </c>
      <c r="Q191" s="13">
        <f t="shared" si="382"/>
        <v>-8.3376255472572755E-3</v>
      </c>
      <c r="R191" s="13">
        <f t="shared" si="4"/>
        <v>3.5976116473713821E-2</v>
      </c>
      <c r="S191" s="13">
        <f t="shared" ref="S191:T191" si="383">N191/L191</f>
        <v>3.9938055261227484E-2</v>
      </c>
      <c r="T191" s="13">
        <f t="shared" si="383"/>
        <v>7.8206656275786199E-2</v>
      </c>
      <c r="U191" s="13">
        <f t="shared" si="6"/>
        <v>-3.8268601014558715E-2</v>
      </c>
      <c r="V191" s="13">
        <f t="shared" si="7"/>
        <v>7.8547514808138041E-2</v>
      </c>
      <c r="W191" s="13">
        <f t="shared" si="8"/>
        <v>-4.5752895752895757</v>
      </c>
      <c r="X191" s="13">
        <f t="shared" si="9"/>
        <v>0.12487393417071613</v>
      </c>
      <c r="Y191" s="13">
        <f t="shared" si="10"/>
        <v>-0.42555685814771393</v>
      </c>
    </row>
    <row r="192" spans="1:25" ht="14.4">
      <c r="A192" s="98" t="s">
        <v>415</v>
      </c>
      <c r="B192" s="99">
        <v>539437</v>
      </c>
      <c r="C192" s="98" t="s">
        <v>172</v>
      </c>
      <c r="D192" s="70" t="s">
        <v>72</v>
      </c>
      <c r="E192" s="11">
        <f ca="1">IFERROR(__xludf.DUMMYFUNCTION("GOOGLEFINANCE(""BOM:""&amp;B192,""PRICE"")"),60.59)</f>
        <v>60.59</v>
      </c>
      <c r="F192" s="20">
        <f ca="1">IFERROR(__xludf.DUMMYFUNCTION("GOOGLEFINANCE(""BOM:""&amp;B192,""MARKETCAP"")/10000000"),44367.6404628)</f>
        <v>44367.640462800002</v>
      </c>
      <c r="G192" s="95">
        <f t="shared" ca="1" si="25"/>
        <v>1.101244941393493E-3</v>
      </c>
      <c r="H192" s="101">
        <v>36239</v>
      </c>
      <c r="I192" s="101">
        <v>32169</v>
      </c>
      <c r="J192" s="101">
        <v>1279</v>
      </c>
      <c r="K192" s="101">
        <v>1194</v>
      </c>
      <c r="L192" s="101">
        <v>12541</v>
      </c>
      <c r="M192" s="101">
        <v>11122</v>
      </c>
      <c r="N192" s="101">
        <v>478</v>
      </c>
      <c r="O192" s="101">
        <v>340</v>
      </c>
      <c r="P192" s="13">
        <f t="shared" ref="P192:Q192" si="384">J192/H192</f>
        <v>3.5293468362813545E-2</v>
      </c>
      <c r="Q192" s="13">
        <f t="shared" si="384"/>
        <v>3.7116478597407444E-2</v>
      </c>
      <c r="R192" s="13">
        <f t="shared" si="4"/>
        <v>-1.8230102345938998E-3</v>
      </c>
      <c r="S192" s="13">
        <f t="shared" ref="S192:T192" si="385">N192/L192</f>
        <v>3.8114982856231563E-2</v>
      </c>
      <c r="T192" s="13">
        <f t="shared" si="385"/>
        <v>3.0570041359467722E-2</v>
      </c>
      <c r="U192" s="13">
        <f t="shared" si="6"/>
        <v>7.5449414967638413E-3</v>
      </c>
      <c r="V192" s="13">
        <f t="shared" si="7"/>
        <v>0.12651931984208398</v>
      </c>
      <c r="W192" s="13">
        <f t="shared" si="8"/>
        <v>7.1189279731993294E-2</v>
      </c>
      <c r="X192" s="13">
        <f t="shared" si="9"/>
        <v>0.12758496673260211</v>
      </c>
      <c r="Y192" s="13">
        <f t="shared" si="10"/>
        <v>0.40588235294117636</v>
      </c>
    </row>
    <row r="193" spans="1:25" ht="14.4">
      <c r="A193" s="98" t="s">
        <v>416</v>
      </c>
      <c r="B193" s="99">
        <v>543994</v>
      </c>
      <c r="C193" s="98" t="s">
        <v>206</v>
      </c>
      <c r="D193" s="100" t="s">
        <v>207</v>
      </c>
      <c r="E193" s="11">
        <f ca="1">IFERROR(__xludf.DUMMYFUNCTION("GOOGLEFINANCE(""BOM:""&amp;B193,""PRICE"")"),238.05)</f>
        <v>238.05</v>
      </c>
      <c r="F193" s="20">
        <f ca="1">IFERROR(__xludf.DUMMYFUNCTION("GOOGLEFINANCE(""BOM:""&amp;B193,""MARKETCAP"")/10000000"),49258.5744)</f>
        <v>49258.574399999998</v>
      </c>
      <c r="G193" s="95">
        <f t="shared" ca="1" si="25"/>
        <v>1.22264234276189E-3</v>
      </c>
      <c r="H193" s="101">
        <v>3839</v>
      </c>
      <c r="I193" s="101">
        <v>3192</v>
      </c>
      <c r="J193" s="101">
        <v>1123</v>
      </c>
      <c r="K193" s="101">
        <v>1005</v>
      </c>
      <c r="L193" s="101">
        <v>1349</v>
      </c>
      <c r="M193" s="101">
        <v>1181</v>
      </c>
      <c r="N193" s="101">
        <v>365</v>
      </c>
      <c r="O193" s="101">
        <v>336</v>
      </c>
      <c r="P193" s="13">
        <f t="shared" ref="P193:Q193" si="386">J193/H193</f>
        <v>0.29252409481635844</v>
      </c>
      <c r="Q193" s="13">
        <f t="shared" si="386"/>
        <v>0.31484962406015038</v>
      </c>
      <c r="R193" s="13">
        <f t="shared" si="4"/>
        <v>-2.2325529243791942E-2</v>
      </c>
      <c r="S193" s="13">
        <f t="shared" ref="S193:T193" si="387">N193/L193</f>
        <v>0.27057079318013344</v>
      </c>
      <c r="T193" s="13">
        <f t="shared" si="387"/>
        <v>0.28450465707027944</v>
      </c>
      <c r="U193" s="13">
        <f t="shared" si="6"/>
        <v>-1.3933863890146003E-2</v>
      </c>
      <c r="V193" s="13">
        <f t="shared" si="7"/>
        <v>0.20269423558897248</v>
      </c>
      <c r="W193" s="13">
        <f t="shared" si="8"/>
        <v>0.11741293532338304</v>
      </c>
      <c r="X193" s="13">
        <f t="shared" si="9"/>
        <v>0.1422523285351398</v>
      </c>
      <c r="Y193" s="13">
        <f t="shared" si="10"/>
        <v>8.6309523809523725E-2</v>
      </c>
    </row>
    <row r="194" spans="1:25" ht="14.4">
      <c r="A194" s="98" t="s">
        <v>417</v>
      </c>
      <c r="B194" s="99">
        <v>509480</v>
      </c>
      <c r="C194" s="98" t="s">
        <v>187</v>
      </c>
      <c r="D194" s="100" t="s">
        <v>102</v>
      </c>
      <c r="E194" s="11">
        <f ca="1">IFERROR(__xludf.DUMMYFUNCTION("GOOGLEFINANCE(""BOM:""&amp;B194,""PRICE"")"),430.75)</f>
        <v>430.75</v>
      </c>
      <c r="F194" s="20">
        <f ca="1">IFERROR(__xludf.DUMMYFUNCTION("GOOGLEFINANCE(""BOM:""&amp;B194,""MARKETCAP"")/10000000"),50183.1759283)</f>
        <v>50183.175928299999</v>
      </c>
      <c r="G194" s="95">
        <f t="shared" ca="1" si="25"/>
        <v>1.2455917884665537E-3</v>
      </c>
      <c r="H194" s="101">
        <v>9012</v>
      </c>
      <c r="I194" s="101">
        <v>8841</v>
      </c>
      <c r="J194" s="101">
        <v>793</v>
      </c>
      <c r="K194" s="101">
        <v>920</v>
      </c>
      <c r="L194" s="101">
        <v>2984</v>
      </c>
      <c r="M194" s="101">
        <v>2975</v>
      </c>
      <c r="N194" s="101">
        <v>271</v>
      </c>
      <c r="O194" s="101">
        <v>296</v>
      </c>
      <c r="P194" s="13">
        <v>0.06</v>
      </c>
      <c r="Q194" s="13">
        <f>K194/I194</f>
        <v>0.1040606266259473</v>
      </c>
      <c r="R194" s="13">
        <f t="shared" si="4"/>
        <v>-4.40606266259473E-2</v>
      </c>
      <c r="S194" s="13">
        <f t="shared" ref="S194:T194" si="388">N194/L194</f>
        <v>9.0817694369973195E-2</v>
      </c>
      <c r="T194" s="13">
        <f t="shared" si="388"/>
        <v>9.9495798319327727E-2</v>
      </c>
      <c r="U194" s="13">
        <f t="shared" si="6"/>
        <v>-8.678103949354532E-3</v>
      </c>
      <c r="V194" s="13">
        <f t="shared" si="7"/>
        <v>1.9341703427214085E-2</v>
      </c>
      <c r="W194" s="13">
        <f t="shared" si="8"/>
        <v>-0.1380434782608696</v>
      </c>
      <c r="X194" s="13">
        <f t="shared" si="9"/>
        <v>3.0252100840335583E-3</v>
      </c>
      <c r="Y194" s="13">
        <f t="shared" si="10"/>
        <v>-8.4459459459459429E-2</v>
      </c>
    </row>
    <row r="195" spans="1:25" ht="14.4">
      <c r="A195" s="98" t="s">
        <v>418</v>
      </c>
      <c r="B195" s="99">
        <v>533150</v>
      </c>
      <c r="C195" s="98" t="s">
        <v>187</v>
      </c>
      <c r="D195" s="102" t="s">
        <v>131</v>
      </c>
      <c r="E195" s="11">
        <f ca="1">IFERROR(__xludf.DUMMYFUNCTION("GOOGLEFINANCE(""BOM:""&amp;B195,""PRICE"")"),1576)</f>
        <v>1576</v>
      </c>
      <c r="F195" s="20">
        <f ca="1">IFERROR(__xludf.DUMMYFUNCTION("GOOGLEFINANCE(""BOM:""&amp;B195,""MARKETCAP"")/10000000"),47548.6467866)</f>
        <v>47548.646786600002</v>
      </c>
      <c r="G195" s="95">
        <f t="shared" ca="1" si="25"/>
        <v>1.1802003937476161E-3</v>
      </c>
      <c r="H195" s="101">
        <v>1673</v>
      </c>
      <c r="I195" s="101">
        <v>2801</v>
      </c>
      <c r="J195" s="101">
        <v>1195</v>
      </c>
      <c r="K195" s="101">
        <v>1010</v>
      </c>
      <c r="L195" s="101">
        <v>498</v>
      </c>
      <c r="M195" s="101">
        <v>969</v>
      </c>
      <c r="N195" s="101">
        <v>194</v>
      </c>
      <c r="O195" s="101">
        <v>158</v>
      </c>
      <c r="P195" s="13">
        <f t="shared" ref="P195:Q195" si="389">J195/H195</f>
        <v>0.7142857142857143</v>
      </c>
      <c r="Q195" s="13">
        <f t="shared" si="389"/>
        <v>0.36058550517672261</v>
      </c>
      <c r="R195" s="13">
        <f t="shared" si="4"/>
        <v>0.35370020910899169</v>
      </c>
      <c r="S195" s="13">
        <f t="shared" ref="S195:T195" si="390">N195/L195</f>
        <v>0.38955823293172692</v>
      </c>
      <c r="T195" s="13">
        <f t="shared" si="390"/>
        <v>0.16305469556243551</v>
      </c>
      <c r="U195" s="13">
        <f t="shared" si="6"/>
        <v>0.22650353736929141</v>
      </c>
      <c r="V195" s="13">
        <f t="shared" si="7"/>
        <v>-0.40271331667261689</v>
      </c>
      <c r="W195" s="13">
        <f t="shared" si="8"/>
        <v>0.18316831683168311</v>
      </c>
      <c r="X195" s="13">
        <f t="shared" si="9"/>
        <v>-0.48606811145510831</v>
      </c>
      <c r="Y195" s="13">
        <f t="shared" si="10"/>
        <v>0.22784810126582289</v>
      </c>
    </row>
    <row r="196" spans="1:25" ht="14.4">
      <c r="A196" s="98" t="s">
        <v>419</v>
      </c>
      <c r="B196" s="99">
        <v>509930</v>
      </c>
      <c r="C196" s="98" t="s">
        <v>180</v>
      </c>
      <c r="D196" s="70" t="s">
        <v>420</v>
      </c>
      <c r="E196" s="11">
        <f ca="1">IFERROR(__xludf.DUMMYFUNCTION("GOOGLEFINANCE(""BOM:""&amp;B196,""PRICE"")"),3712.05)</f>
        <v>3712.05</v>
      </c>
      <c r="F196" s="20">
        <f ca="1">IFERROR(__xludf.DUMMYFUNCTION("GOOGLEFINANCE(""BOM:""&amp;B196,""MARKETCAP"")/10000000"),47111.7002042)</f>
        <v>47111.700204200002</v>
      </c>
      <c r="G196" s="95">
        <f t="shared" ca="1" si="25"/>
        <v>1.1693549846046479E-3</v>
      </c>
      <c r="H196" s="101">
        <v>7690</v>
      </c>
      <c r="I196" s="101">
        <v>7419</v>
      </c>
      <c r="J196" s="101">
        <v>520</v>
      </c>
      <c r="K196" s="101">
        <v>666</v>
      </c>
      <c r="L196" s="101">
        <v>2686</v>
      </c>
      <c r="M196" s="101">
        <v>2509</v>
      </c>
      <c r="N196" s="101">
        <v>153</v>
      </c>
      <c r="O196" s="101">
        <v>186</v>
      </c>
      <c r="P196" s="13">
        <f t="shared" ref="P196:Q196" si="391">J196/H196</f>
        <v>6.7620286085825751E-2</v>
      </c>
      <c r="Q196" s="13">
        <f t="shared" si="391"/>
        <v>8.9769510715729889E-2</v>
      </c>
      <c r="R196" s="13">
        <f t="shared" si="4"/>
        <v>-2.2149224629904138E-2</v>
      </c>
      <c r="S196" s="13">
        <f t="shared" ref="S196:T196" si="392">N196/L196</f>
        <v>5.6962025316455694E-2</v>
      </c>
      <c r="T196" s="13">
        <f t="shared" si="392"/>
        <v>7.4133120765245114E-2</v>
      </c>
      <c r="U196" s="13">
        <f t="shared" si="6"/>
        <v>-1.717109544878942E-2</v>
      </c>
      <c r="V196" s="13">
        <f t="shared" si="7"/>
        <v>3.6527833939884014E-2</v>
      </c>
      <c r="W196" s="13">
        <f t="shared" si="8"/>
        <v>-0.21921921921921927</v>
      </c>
      <c r="X196" s="13">
        <f t="shared" si="9"/>
        <v>7.0546034276604219E-2</v>
      </c>
      <c r="Y196" s="13">
        <f t="shared" si="10"/>
        <v>-0.17741935483870963</v>
      </c>
    </row>
    <row r="197" spans="1:25" ht="14.4">
      <c r="A197" s="98" t="s">
        <v>421</v>
      </c>
      <c r="B197" s="99">
        <v>500575</v>
      </c>
      <c r="C197" s="98" t="s">
        <v>187</v>
      </c>
      <c r="D197" s="70" t="s">
        <v>93</v>
      </c>
      <c r="E197" s="11">
        <f ca="1">IFERROR(__xludf.DUMMYFUNCTION("GOOGLEFINANCE(""BOM:""&amp;B197,""PRICE"")"),1242.75)</f>
        <v>1242.75</v>
      </c>
      <c r="F197" s="20">
        <f ca="1">IFERROR(__xludf.DUMMYFUNCTION("GOOGLEFINANCE(""BOM:""&amp;B197,""MARKETCAP"")/10000000"),41138.8963666)</f>
        <v>41138.896366599998</v>
      </c>
      <c r="G197" s="95">
        <f t="shared" ca="1" si="25"/>
        <v>1.0211045943769421E-3</v>
      </c>
      <c r="H197" s="101">
        <v>9357</v>
      </c>
      <c r="I197" s="101">
        <v>10645</v>
      </c>
      <c r="J197" s="101">
        <v>257</v>
      </c>
      <c r="K197" s="101">
        <v>599</v>
      </c>
      <c r="L197" s="101">
        <v>3071</v>
      </c>
      <c r="M197" s="101">
        <v>3105</v>
      </c>
      <c r="N197" s="101">
        <v>84</v>
      </c>
      <c r="O197" s="101">
        <v>131</v>
      </c>
      <c r="P197" s="13">
        <f t="shared" ref="P197:Q197" si="393">J197/H197</f>
        <v>2.7466068184247086E-2</v>
      </c>
      <c r="Q197" s="13">
        <f t="shared" si="393"/>
        <v>5.6270549553781121E-2</v>
      </c>
      <c r="R197" s="13">
        <f t="shared" si="4"/>
        <v>-2.8804481369534035E-2</v>
      </c>
      <c r="S197" s="13">
        <f t="shared" ref="S197:T197" si="394">N197/L197</f>
        <v>2.7352653858677956E-2</v>
      </c>
      <c r="T197" s="13">
        <f t="shared" si="394"/>
        <v>4.2190016103059579E-2</v>
      </c>
      <c r="U197" s="13">
        <f t="shared" si="6"/>
        <v>-1.4837362244381622E-2</v>
      </c>
      <c r="V197" s="13">
        <f t="shared" si="7"/>
        <v>-0.12099577266322215</v>
      </c>
      <c r="W197" s="13">
        <f t="shared" si="8"/>
        <v>-0.57095158597662765</v>
      </c>
      <c r="X197" s="13">
        <f t="shared" si="9"/>
        <v>-1.0950080515297889E-2</v>
      </c>
      <c r="Y197" s="13">
        <f t="shared" si="10"/>
        <v>-0.35877862595419852</v>
      </c>
    </row>
    <row r="198" spans="1:25" ht="14.4">
      <c r="A198" s="98" t="s">
        <v>422</v>
      </c>
      <c r="B198" s="99">
        <v>517569</v>
      </c>
      <c r="C198" s="98" t="s">
        <v>180</v>
      </c>
      <c r="D198" s="102" t="s">
        <v>271</v>
      </c>
      <c r="E198" s="11">
        <f ca="1">IFERROR(__xludf.DUMMYFUNCTION("GOOGLEFINANCE(""BOM:""&amp;B198,""PRICE"")"),4149)</f>
        <v>4149</v>
      </c>
      <c r="F198" s="20">
        <f ca="1">IFERROR(__xludf.DUMMYFUNCTION("GOOGLEFINANCE(""BOM:""&amp;B198,""MARKETCAP"")/10000000"),39655.12888)</f>
        <v>39655.128879999997</v>
      </c>
      <c r="G198" s="95">
        <f t="shared" ca="1" si="25"/>
        <v>9.8427614414208224E-4</v>
      </c>
      <c r="H198" s="101">
        <v>8271</v>
      </c>
      <c r="I198" s="101">
        <v>6821</v>
      </c>
      <c r="J198" s="101">
        <v>634</v>
      </c>
      <c r="K198" s="101">
        <v>469</v>
      </c>
      <c r="L198" s="101">
        <v>2954</v>
      </c>
      <c r="M198" s="101">
        <v>2472</v>
      </c>
      <c r="N198" s="101">
        <v>234</v>
      </c>
      <c r="O198" s="101">
        <v>164</v>
      </c>
      <c r="P198" s="13">
        <f t="shared" ref="P198:Q198" si="395">J198/H198</f>
        <v>7.6653367186555438E-2</v>
      </c>
      <c r="Q198" s="13">
        <f t="shared" si="395"/>
        <v>6.8758246591408889E-2</v>
      </c>
      <c r="R198" s="13">
        <f t="shared" si="4"/>
        <v>7.8951205951465486E-3</v>
      </c>
      <c r="S198" s="13">
        <f t="shared" ref="S198:T198" si="396">N198/L198</f>
        <v>7.9214624238320916E-2</v>
      </c>
      <c r="T198" s="13">
        <f t="shared" si="396"/>
        <v>6.6343042071197414E-2</v>
      </c>
      <c r="U198" s="13">
        <f t="shared" si="6"/>
        <v>1.2871582167123502E-2</v>
      </c>
      <c r="V198" s="13">
        <f t="shared" si="7"/>
        <v>0.21257880076235147</v>
      </c>
      <c r="W198" s="13">
        <f t="shared" si="8"/>
        <v>0.35181236673773997</v>
      </c>
      <c r="X198" s="13">
        <f t="shared" si="9"/>
        <v>0.19498381877022664</v>
      </c>
      <c r="Y198" s="13">
        <f t="shared" si="10"/>
        <v>0.42682926829268286</v>
      </c>
    </row>
    <row r="199" spans="1:25" ht="14.4">
      <c r="A199" s="98" t="s">
        <v>423</v>
      </c>
      <c r="B199" s="99">
        <v>523642</v>
      </c>
      <c r="C199" s="98" t="s">
        <v>196</v>
      </c>
      <c r="D199" s="100" t="s">
        <v>414</v>
      </c>
      <c r="E199" s="11">
        <f ca="1">IFERROR(__xludf.DUMMYFUNCTION("GOOGLEFINANCE(""BOM:""&amp;B199,""PRICE"")"),2833.6)</f>
        <v>2833.6</v>
      </c>
      <c r="F199" s="20">
        <f ca="1">IFERROR(__xludf.DUMMYFUNCTION("GOOGLEFINANCE(""BOM:""&amp;B199,""MARKETCAP"")/10000000"),42994.8660097)</f>
        <v>42994.866009700003</v>
      </c>
      <c r="G199" s="95">
        <f t="shared" ca="1" si="25"/>
        <v>1.0671714385796997E-3</v>
      </c>
      <c r="H199" s="101">
        <v>5148</v>
      </c>
      <c r="I199" s="101">
        <v>6190</v>
      </c>
      <c r="J199" s="101">
        <v>1120</v>
      </c>
      <c r="K199" s="101">
        <v>1329</v>
      </c>
      <c r="L199" s="101">
        <v>1375</v>
      </c>
      <c r="M199" s="101">
        <v>1900</v>
      </c>
      <c r="N199" s="101">
        <v>311</v>
      </c>
      <c r="O199" s="101">
        <v>372</v>
      </c>
      <c r="P199" s="13">
        <f t="shared" ref="P199:Q199" si="397">J199/H199</f>
        <v>0.21756021756021757</v>
      </c>
      <c r="Q199" s="13">
        <f t="shared" si="397"/>
        <v>0.2147011308562197</v>
      </c>
      <c r="R199" s="13">
        <f t="shared" si="4"/>
        <v>2.8590867039978707E-3</v>
      </c>
      <c r="S199" s="13">
        <f t="shared" ref="S199:T199" si="398">N199/L199</f>
        <v>0.22618181818181818</v>
      </c>
      <c r="T199" s="13">
        <f t="shared" si="398"/>
        <v>0.19578947368421051</v>
      </c>
      <c r="U199" s="13">
        <f t="shared" si="6"/>
        <v>3.0392344497607665E-2</v>
      </c>
      <c r="V199" s="13">
        <f t="shared" si="7"/>
        <v>-0.16833602584814211</v>
      </c>
      <c r="W199" s="13">
        <f t="shared" si="8"/>
        <v>-0.15726109857035364</v>
      </c>
      <c r="X199" s="13">
        <f t="shared" si="9"/>
        <v>-0.27631578947368418</v>
      </c>
      <c r="Y199" s="13">
        <f t="shared" si="10"/>
        <v>-0.16397849462365588</v>
      </c>
    </row>
    <row r="200" spans="1:25" ht="14.4">
      <c r="A200" s="98" t="s">
        <v>424</v>
      </c>
      <c r="B200" s="99">
        <v>541143</v>
      </c>
      <c r="C200" s="98" t="s">
        <v>180</v>
      </c>
      <c r="D200" s="101" t="s">
        <v>204</v>
      </c>
      <c r="E200" s="11">
        <f ca="1">IFERROR(__xludf.DUMMYFUNCTION("GOOGLEFINANCE(""BOM:""&amp;B200,""PRICE"")"),1224.35)</f>
        <v>1224.3499999999999</v>
      </c>
      <c r="F200" s="20">
        <f ca="1">IFERROR(__xludf.DUMMYFUNCTION("GOOGLEFINANCE(""BOM:""&amp;B200,""MARKETCAP"")/10000000"),44892.8953381)</f>
        <v>44892.895338100003</v>
      </c>
      <c r="G200" s="95">
        <f t="shared" ca="1" si="25"/>
        <v>1.1142822421904869E-3</v>
      </c>
      <c r="H200" s="101">
        <v>1961</v>
      </c>
      <c r="I200" s="101">
        <v>1568</v>
      </c>
      <c r="J200" s="101">
        <v>307</v>
      </c>
      <c r="K200" s="101">
        <v>276</v>
      </c>
      <c r="L200" s="101">
        <v>566</v>
      </c>
      <c r="M200" s="101">
        <v>832</v>
      </c>
      <c r="N200" s="101">
        <v>72</v>
      </c>
      <c r="O200" s="101">
        <v>147</v>
      </c>
      <c r="P200" s="13">
        <f t="shared" ref="P200:Q200" si="399">J200/H200</f>
        <v>0.15655277919428862</v>
      </c>
      <c r="Q200" s="13">
        <f t="shared" si="399"/>
        <v>0.17602040816326531</v>
      </c>
      <c r="R200" s="13">
        <f t="shared" si="4"/>
        <v>-1.9467628968976691E-2</v>
      </c>
      <c r="S200" s="13">
        <f t="shared" ref="S200:T200" si="400">N200/L200</f>
        <v>0.12720848056537101</v>
      </c>
      <c r="T200" s="13">
        <f t="shared" si="400"/>
        <v>0.17668269230769232</v>
      </c>
      <c r="U200" s="13">
        <f t="shared" si="6"/>
        <v>-4.9474211742321306E-2</v>
      </c>
      <c r="V200" s="13">
        <f t="shared" si="7"/>
        <v>0.25063775510204089</v>
      </c>
      <c r="W200" s="13">
        <f t="shared" si="8"/>
        <v>0.1123188405797102</v>
      </c>
      <c r="X200" s="13">
        <f t="shared" si="9"/>
        <v>-0.31971153846153844</v>
      </c>
      <c r="Y200" s="13">
        <f t="shared" si="10"/>
        <v>-0.51020408163265307</v>
      </c>
    </row>
    <row r="201" spans="1:25" ht="14.4">
      <c r="A201" s="98" t="s">
        <v>425</v>
      </c>
      <c r="B201" s="99">
        <v>532522</v>
      </c>
      <c r="C201" s="98" t="s">
        <v>91</v>
      </c>
      <c r="D201" s="100" t="s">
        <v>410</v>
      </c>
      <c r="E201" s="11">
        <f ca="1">IFERROR(__xludf.DUMMYFUNCTION("GOOGLEFINANCE(""BOM:""&amp;B201,""PRICE"")"),254.4)</f>
        <v>254.4</v>
      </c>
      <c r="F201" s="20">
        <f ca="1">IFERROR(__xludf.DUMMYFUNCTION("GOOGLEFINANCE(""BOM:""&amp;B201,""MARKETCAP"")/10000000"),38150.9994506)</f>
        <v>38150.9994506</v>
      </c>
      <c r="G201" s="95">
        <f t="shared" ca="1" si="25"/>
        <v>9.4694229208121706E-4</v>
      </c>
      <c r="H201" s="101">
        <v>34053</v>
      </c>
      <c r="I201" s="101">
        <v>38666</v>
      </c>
      <c r="J201" s="101">
        <v>2472</v>
      </c>
      <c r="K201" s="101">
        <v>2816</v>
      </c>
      <c r="L201" s="101">
        <v>11164</v>
      </c>
      <c r="M201" s="101">
        <v>12227</v>
      </c>
      <c r="N201" s="101">
        <v>845</v>
      </c>
      <c r="O201" s="101">
        <v>867</v>
      </c>
      <c r="P201" s="13">
        <f t="shared" ref="P201:Q201" si="401">J201/H201</f>
        <v>7.2592723108096197E-2</v>
      </c>
      <c r="Q201" s="13">
        <f t="shared" si="401"/>
        <v>7.2828841876584074E-2</v>
      </c>
      <c r="R201" s="13">
        <f t="shared" si="4"/>
        <v>-2.3611876848787794E-4</v>
      </c>
      <c r="S201" s="13">
        <f t="shared" ref="S201:T201" si="402">N201/L201</f>
        <v>7.5689716947330704E-2</v>
      </c>
      <c r="T201" s="13">
        <f t="shared" si="402"/>
        <v>7.0908644802486306E-2</v>
      </c>
      <c r="U201" s="13">
        <f t="shared" si="6"/>
        <v>4.7810721448443977E-3</v>
      </c>
      <c r="V201" s="13">
        <f t="shared" si="7"/>
        <v>-0.1193037810996741</v>
      </c>
      <c r="W201" s="13">
        <f t="shared" si="8"/>
        <v>-0.12215909090909094</v>
      </c>
      <c r="X201" s="13">
        <f t="shared" si="9"/>
        <v>-8.6938742128077173E-2</v>
      </c>
      <c r="Y201" s="13">
        <f t="shared" si="10"/>
        <v>-2.5374855824682796E-2</v>
      </c>
    </row>
    <row r="202" spans="1:25" ht="14.4">
      <c r="A202" s="98" t="s">
        <v>426</v>
      </c>
      <c r="B202" s="99">
        <v>542830</v>
      </c>
      <c r="C202" s="98" t="s">
        <v>187</v>
      </c>
      <c r="D202" s="70" t="s">
        <v>88</v>
      </c>
      <c r="E202" s="11">
        <f ca="1">IFERROR(__xludf.DUMMYFUNCTION("GOOGLEFINANCE(""BOM:""&amp;B202,""PRICE"")"),513.1)</f>
        <v>513.1</v>
      </c>
      <c r="F202" s="20">
        <f ca="1">IFERROR(__xludf.DUMMYFUNCTION("GOOGLEFINANCE(""BOM:""&amp;B202,""MARKETCAP"")/10000000"),41047.9980468)</f>
        <v>41047.998046799999</v>
      </c>
      <c r="G202" s="95">
        <f t="shared" ca="1" si="25"/>
        <v>1.0188484159140633E-3</v>
      </c>
      <c r="H202" s="101">
        <v>3755</v>
      </c>
      <c r="I202" s="101">
        <v>3406</v>
      </c>
      <c r="J202" s="101">
        <v>1073</v>
      </c>
      <c r="K202" s="101">
        <v>956</v>
      </c>
      <c r="L202" s="101">
        <v>1449</v>
      </c>
      <c r="M202" s="101">
        <v>1224</v>
      </c>
      <c r="N202" s="101">
        <v>395</v>
      </c>
      <c r="O202" s="101">
        <v>342</v>
      </c>
      <c r="P202" s="13">
        <f t="shared" ref="P202:Q202" si="403">J202/H202</f>
        <v>0.28575233022636487</v>
      </c>
      <c r="Q202" s="13">
        <f t="shared" si="403"/>
        <v>0.28068115091015855</v>
      </c>
      <c r="R202" s="13">
        <f t="shared" si="4"/>
        <v>5.0711793162063201E-3</v>
      </c>
      <c r="S202" s="13">
        <f t="shared" ref="S202:T202" si="404">N202/L202</f>
        <v>0.2726017943409248</v>
      </c>
      <c r="T202" s="13">
        <f t="shared" si="404"/>
        <v>0.27941176470588236</v>
      </c>
      <c r="U202" s="13">
        <f t="shared" si="6"/>
        <v>-6.8099703649575627E-3</v>
      </c>
      <c r="V202" s="13">
        <f t="shared" si="7"/>
        <v>0.10246623605402227</v>
      </c>
      <c r="W202" s="13">
        <f t="shared" si="8"/>
        <v>0.12238493723849375</v>
      </c>
      <c r="X202" s="13">
        <f t="shared" si="9"/>
        <v>0.18382352941176472</v>
      </c>
      <c r="Y202" s="13">
        <f t="shared" si="10"/>
        <v>0.15497076023391809</v>
      </c>
    </row>
    <row r="203" spans="1:25" ht="14.4">
      <c r="A203" s="98" t="s">
        <v>427</v>
      </c>
      <c r="B203" s="99">
        <v>532720</v>
      </c>
      <c r="C203" s="98" t="s">
        <v>172</v>
      </c>
      <c r="D203" s="101" t="s">
        <v>178</v>
      </c>
      <c r="E203" s="11">
        <f ca="1">IFERROR(__xludf.DUMMYFUNCTION("GOOGLEFINANCE(""BOM:""&amp;B203,""PRICE"")"),284.7)</f>
        <v>284.7</v>
      </c>
      <c r="F203" s="20">
        <f ca="1">IFERROR(__xludf.DUMMYFUNCTION("GOOGLEFINANCE(""BOM:""&amp;B203,""MARKETCAP"")/10000000"),35161.6757176)</f>
        <v>35161.675717600003</v>
      </c>
      <c r="G203" s="95">
        <f t="shared" ca="1" si="25"/>
        <v>8.7274457489781366E-4</v>
      </c>
      <c r="H203" s="101">
        <v>16527</v>
      </c>
      <c r="I203" s="101">
        <v>13633</v>
      </c>
      <c r="J203" s="101">
        <v>1921</v>
      </c>
      <c r="K203" s="101">
        <v>1805</v>
      </c>
      <c r="L203" s="101">
        <v>5464</v>
      </c>
      <c r="M203" s="101">
        <v>4799</v>
      </c>
      <c r="N203" s="101">
        <v>827</v>
      </c>
      <c r="O203" s="101">
        <v>918</v>
      </c>
      <c r="P203" s="13">
        <f t="shared" ref="P203:Q203" si="405">J203/H203</f>
        <v>0.11623404126580747</v>
      </c>
      <c r="Q203" s="13">
        <f t="shared" si="405"/>
        <v>0.1323993251668745</v>
      </c>
      <c r="R203" s="13">
        <f t="shared" si="4"/>
        <v>-1.6165283901067029E-2</v>
      </c>
      <c r="S203" s="13">
        <f t="shared" ref="S203:T203" si="406">N203/L203</f>
        <v>0.15135431918008785</v>
      </c>
      <c r="T203" s="13">
        <f t="shared" si="406"/>
        <v>0.19128985205251095</v>
      </c>
      <c r="U203" s="13">
        <f t="shared" si="6"/>
        <v>-3.9935532872423102E-2</v>
      </c>
      <c r="V203" s="13">
        <f t="shared" si="7"/>
        <v>0.21227902882711058</v>
      </c>
      <c r="W203" s="13">
        <f t="shared" si="8"/>
        <v>6.4265927977839254E-2</v>
      </c>
      <c r="X203" s="13">
        <f t="shared" si="9"/>
        <v>0.13857053552823495</v>
      </c>
      <c r="Y203" s="13">
        <f t="shared" si="10"/>
        <v>-9.9128540305010948E-2</v>
      </c>
    </row>
    <row r="204" spans="1:25" ht="14.4">
      <c r="A204" s="98" t="s">
        <v>428</v>
      </c>
      <c r="B204" s="99">
        <v>502355</v>
      </c>
      <c r="C204" s="98" t="s">
        <v>187</v>
      </c>
      <c r="D204" s="101" t="s">
        <v>392</v>
      </c>
      <c r="E204" s="11">
        <f ca="1">IFERROR(__xludf.DUMMYFUNCTION("GOOGLEFINANCE(""BOM:""&amp;B204,""PRICE"")"),2130.05)</f>
        <v>2130.0500000000002</v>
      </c>
      <c r="F204" s="20">
        <f ca="1">IFERROR(__xludf.DUMMYFUNCTION("GOOGLEFINANCE(""BOM:""&amp;B204,""MARKETCAP"")/10000000"),41298.3330169)</f>
        <v>41298.333016899996</v>
      </c>
      <c r="G204" s="95">
        <f t="shared" ca="1" si="25"/>
        <v>1.0250619561564763E-3</v>
      </c>
      <c r="H204" s="101">
        <v>7890</v>
      </c>
      <c r="I204" s="101">
        <v>7694</v>
      </c>
      <c r="J204" s="101">
        <v>944</v>
      </c>
      <c r="K204" s="101">
        <v>1286</v>
      </c>
      <c r="L204" s="101">
        <v>2737</v>
      </c>
      <c r="M204" s="101">
        <v>2560</v>
      </c>
      <c r="N204" s="101">
        <v>382</v>
      </c>
      <c r="O204" s="101">
        <v>449</v>
      </c>
      <c r="P204" s="13">
        <f t="shared" ref="P204:Q204" si="407">J204/H204</f>
        <v>0.11964512040557668</v>
      </c>
      <c r="Q204" s="13">
        <f t="shared" si="407"/>
        <v>0.16714322848973226</v>
      </c>
      <c r="R204" s="13">
        <f t="shared" si="4"/>
        <v>-4.7498108084155582E-2</v>
      </c>
      <c r="S204" s="13">
        <f t="shared" ref="S204:T204" si="408">N204/L204</f>
        <v>0.13956887102667154</v>
      </c>
      <c r="T204" s="13">
        <f t="shared" si="408"/>
        <v>0.17539062499999999</v>
      </c>
      <c r="U204" s="13">
        <f t="shared" si="6"/>
        <v>-3.5821753973328457E-2</v>
      </c>
      <c r="V204" s="13">
        <f t="shared" si="7"/>
        <v>2.5474395632960833E-2</v>
      </c>
      <c r="W204" s="13">
        <f t="shared" si="8"/>
        <v>-0.2659409020217729</v>
      </c>
      <c r="X204" s="13">
        <f t="shared" si="9"/>
        <v>6.9140624999999956E-2</v>
      </c>
      <c r="Y204" s="13">
        <f t="shared" si="10"/>
        <v>-0.1492204899777283</v>
      </c>
    </row>
    <row r="205" spans="1:25" ht="14.4">
      <c r="A205" s="98" t="s">
        <v>429</v>
      </c>
      <c r="B205" s="99">
        <v>532830</v>
      </c>
      <c r="C205" s="98" t="s">
        <v>180</v>
      </c>
      <c r="D205" s="100" t="s">
        <v>420</v>
      </c>
      <c r="E205" s="11">
        <f ca="1">IFERROR(__xludf.DUMMYFUNCTION("GOOGLEFINANCE(""BOM:""&amp;B205,""PRICE"")"),1519.7)</f>
        <v>1519.7</v>
      </c>
      <c r="F205" s="20">
        <f ca="1">IFERROR(__xludf.DUMMYFUNCTION("GOOGLEFINANCE(""BOM:""&amp;B205,""MARKETCAP"")/10000000"),40837.5010451)</f>
        <v>40837.501045099998</v>
      </c>
      <c r="G205" s="95">
        <f t="shared" ca="1" si="25"/>
        <v>1.0136236900579524E-3</v>
      </c>
      <c r="H205" s="101">
        <v>4480</v>
      </c>
      <c r="I205" s="101">
        <v>4151</v>
      </c>
      <c r="J205" s="101">
        <v>321</v>
      </c>
      <c r="K205" s="101">
        <v>340</v>
      </c>
      <c r="L205" s="101">
        <v>1541</v>
      </c>
      <c r="M205" s="101">
        <v>1397</v>
      </c>
      <c r="N205" s="101">
        <v>107</v>
      </c>
      <c r="O205" s="101">
        <v>112</v>
      </c>
      <c r="P205" s="13">
        <f t="shared" ref="P205:Q205" si="409">J205/H205</f>
        <v>7.165178571428571E-2</v>
      </c>
      <c r="Q205" s="13">
        <f t="shared" si="409"/>
        <v>8.1907973982172977E-2</v>
      </c>
      <c r="R205" s="13">
        <f t="shared" si="4"/>
        <v>-1.0256188267887267E-2</v>
      </c>
      <c r="S205" s="13">
        <f t="shared" ref="S205:T205" si="410">N205/L205</f>
        <v>6.9435431537962361E-2</v>
      </c>
      <c r="T205" s="13">
        <f t="shared" si="410"/>
        <v>8.0171796707229778E-2</v>
      </c>
      <c r="U205" s="13">
        <f t="shared" si="6"/>
        <v>-1.0736365169267417E-2</v>
      </c>
      <c r="V205" s="13">
        <f t="shared" si="7"/>
        <v>7.9258010118043787E-2</v>
      </c>
      <c r="W205" s="13">
        <f t="shared" si="8"/>
        <v>-5.5882352941176494E-2</v>
      </c>
      <c r="X205" s="13">
        <f t="shared" si="9"/>
        <v>0.10307802433786684</v>
      </c>
      <c r="Y205" s="13">
        <f t="shared" si="10"/>
        <v>-4.4642857142857095E-2</v>
      </c>
    </row>
    <row r="206" spans="1:25" ht="14.4">
      <c r="A206" s="98" t="s">
        <v>430</v>
      </c>
      <c r="B206" s="99">
        <v>500483</v>
      </c>
      <c r="C206" s="98" t="s">
        <v>170</v>
      </c>
      <c r="D206" s="101" t="s">
        <v>128</v>
      </c>
      <c r="E206" s="11">
        <f ca="1">IFERROR(__xludf.DUMMYFUNCTION("GOOGLEFINANCE(""BOM:""&amp;B206,""PRICE"")"),1396.15)</f>
        <v>1396.15</v>
      </c>
      <c r="F206" s="20">
        <f ca="1">IFERROR(__xludf.DUMMYFUNCTION("GOOGLEFINANCE(""BOM:""&amp;B206,""MARKETCAP"")/10000000"),39773.452088)</f>
        <v>39773.452087999998</v>
      </c>
      <c r="G206" s="95">
        <f t="shared" ca="1" si="25"/>
        <v>9.872130331201811E-4</v>
      </c>
      <c r="H206" s="101">
        <v>18248</v>
      </c>
      <c r="I206" s="101">
        <v>17118</v>
      </c>
      <c r="J206" s="101">
        <v>737</v>
      </c>
      <c r="K206" s="101">
        <v>796</v>
      </c>
      <c r="L206" s="101">
        <v>6188</v>
      </c>
      <c r="M206" s="101">
        <v>5798</v>
      </c>
      <c r="N206" s="101">
        <v>364</v>
      </c>
      <c r="O206" s="101">
        <v>236</v>
      </c>
      <c r="P206" s="13">
        <f t="shared" ref="P206:Q206" si="411">J206/H206</f>
        <v>4.0387987724682155E-2</v>
      </c>
      <c r="Q206" s="13">
        <f t="shared" si="411"/>
        <v>4.6500759434513379E-2</v>
      </c>
      <c r="R206" s="13">
        <f t="shared" si="4"/>
        <v>-6.1127717098312245E-3</v>
      </c>
      <c r="S206" s="13">
        <f t="shared" ref="S206:T206" si="412">N206/L206</f>
        <v>5.8823529411764705E-2</v>
      </c>
      <c r="T206" s="13">
        <f t="shared" si="412"/>
        <v>4.0703690927906176E-2</v>
      </c>
      <c r="U206" s="13">
        <f t="shared" si="6"/>
        <v>1.8119838483858529E-2</v>
      </c>
      <c r="V206" s="13">
        <f t="shared" si="7"/>
        <v>6.6012384624372089E-2</v>
      </c>
      <c r="W206" s="13">
        <f t="shared" si="8"/>
        <v>-7.4120603015075393E-2</v>
      </c>
      <c r="X206" s="13">
        <f t="shared" si="9"/>
        <v>6.7264573991031362E-2</v>
      </c>
      <c r="Y206" s="13">
        <f t="shared" si="10"/>
        <v>0.54237288135593231</v>
      </c>
    </row>
    <row r="207" spans="1:25" ht="14.4">
      <c r="A207" s="98" t="s">
        <v>431</v>
      </c>
      <c r="B207" s="99">
        <v>532644</v>
      </c>
      <c r="C207" s="98" t="s">
        <v>196</v>
      </c>
      <c r="D207" s="102" t="s">
        <v>109</v>
      </c>
      <c r="E207" s="11">
        <f ca="1">IFERROR(__xludf.DUMMYFUNCTION("GOOGLEFINANCE(""BOM:""&amp;B207,""PRICE"")"),5295.5)</f>
        <v>5295.5</v>
      </c>
      <c r="F207" s="20">
        <f ca="1">IFERROR(__xludf.DUMMYFUNCTION("GOOGLEFINANCE(""BOM:""&amp;B207,""MARKETCAP"")/10000000"),40944.445675)</f>
        <v>40944.445675000003</v>
      </c>
      <c r="G207" s="95">
        <f t="shared" ca="1" si="25"/>
        <v>1.0162781524422058E-3</v>
      </c>
      <c r="H207" s="101">
        <v>9834</v>
      </c>
      <c r="I207" s="101">
        <v>8297</v>
      </c>
      <c r="J207" s="101">
        <v>657</v>
      </c>
      <c r="K207" s="101">
        <v>511</v>
      </c>
      <c r="L207" s="101">
        <v>3463</v>
      </c>
      <c r="M207" s="101">
        <v>2930</v>
      </c>
      <c r="N207" s="101">
        <v>173</v>
      </c>
      <c r="O207" s="101">
        <v>189</v>
      </c>
      <c r="P207" s="13">
        <f t="shared" ref="P207:Q207" si="413">J207/H207</f>
        <v>6.6809029896278224E-2</v>
      </c>
      <c r="Q207" s="13">
        <f t="shared" si="413"/>
        <v>6.1588525973243338E-2</v>
      </c>
      <c r="R207" s="13">
        <f t="shared" si="4"/>
        <v>5.220503923034886E-3</v>
      </c>
      <c r="S207" s="13">
        <f t="shared" ref="S207:T207" si="414">N207/L207</f>
        <v>4.9956684955241124E-2</v>
      </c>
      <c r="T207" s="13">
        <f t="shared" si="414"/>
        <v>6.4505119453924911E-2</v>
      </c>
      <c r="U207" s="13">
        <f t="shared" si="6"/>
        <v>-1.4548434498683788E-2</v>
      </c>
      <c r="V207" s="13">
        <f t="shared" si="7"/>
        <v>0.18524767988429547</v>
      </c>
      <c r="W207" s="13">
        <f t="shared" si="8"/>
        <v>0.28571428571428581</v>
      </c>
      <c r="X207" s="13">
        <f t="shared" si="9"/>
        <v>0.18191126279863479</v>
      </c>
      <c r="Y207" s="13">
        <f t="shared" si="10"/>
        <v>-8.4656084656084651E-2</v>
      </c>
    </row>
    <row r="208" spans="1:25" ht="14.4">
      <c r="A208" s="98" t="s">
        <v>432</v>
      </c>
      <c r="B208" s="99">
        <v>526299</v>
      </c>
      <c r="C208" s="98" t="s">
        <v>174</v>
      </c>
      <c r="D208" s="70" t="s">
        <v>175</v>
      </c>
      <c r="E208" s="11">
        <f ca="1">IFERROR(__xludf.DUMMYFUNCTION("GOOGLEFINANCE(""BOM:""&amp;B208,""PRICE"")"),2231)</f>
        <v>2231</v>
      </c>
      <c r="F208" s="20">
        <f ca="1">IFERROR(__xludf.DUMMYFUNCTION("GOOGLEFINANCE(""BOM:""&amp;B208,""MARKETCAP"")/10000000"),42550.2809665)</f>
        <v>42550.280966500002</v>
      </c>
      <c r="G208" s="95">
        <f t="shared" ca="1" si="25"/>
        <v>1.0561364359350648E-3</v>
      </c>
      <c r="H208" s="101">
        <v>11636</v>
      </c>
      <c r="I208" s="101">
        <v>10519</v>
      </c>
      <c r="J208" s="101">
        <v>135</v>
      </c>
      <c r="K208" s="101">
        <v>125</v>
      </c>
      <c r="L208" s="101">
        <v>400</v>
      </c>
      <c r="M208" s="101">
        <v>356</v>
      </c>
      <c r="N208" s="101">
        <v>442</v>
      </c>
      <c r="O208" s="101">
        <v>427</v>
      </c>
      <c r="P208" s="13">
        <f t="shared" ref="P208:Q208" si="415">J208/H208</f>
        <v>1.1601925060158129E-2</v>
      </c>
      <c r="Q208" s="13">
        <f t="shared" si="415"/>
        <v>1.1883258864911114E-2</v>
      </c>
      <c r="R208" s="13">
        <f t="shared" si="4"/>
        <v>-2.8133380475298467E-4</v>
      </c>
      <c r="S208" s="13">
        <f t="shared" ref="S208:T208" si="416">N208/L208</f>
        <v>1.105</v>
      </c>
      <c r="T208" s="13">
        <f t="shared" si="416"/>
        <v>1.199438202247191</v>
      </c>
      <c r="U208" s="13">
        <f t="shared" si="6"/>
        <v>-9.4438202247191017E-2</v>
      </c>
      <c r="V208" s="13">
        <f t="shared" si="7"/>
        <v>0.10618880121684571</v>
      </c>
      <c r="W208" s="13">
        <f t="shared" si="8"/>
        <v>8.0000000000000071E-2</v>
      </c>
      <c r="X208" s="13">
        <f t="shared" si="9"/>
        <v>0.12359550561797761</v>
      </c>
      <c r="Y208" s="13">
        <f t="shared" si="10"/>
        <v>3.5128805620608938E-2</v>
      </c>
    </row>
    <row r="209" spans="1:25" ht="14.4">
      <c r="A209" s="98" t="s">
        <v>433</v>
      </c>
      <c r="B209" s="99">
        <v>500660</v>
      </c>
      <c r="C209" s="98" t="s">
        <v>190</v>
      </c>
      <c r="D209" s="100" t="s">
        <v>100</v>
      </c>
      <c r="E209" s="11">
        <f ca="1">IFERROR(__xludf.DUMMYFUNCTION("GOOGLEFINANCE(""BOM:""&amp;B209,""PRICE"")"),2330.7)</f>
        <v>2330.6999999999998</v>
      </c>
      <c r="F209" s="20">
        <f ca="1">IFERROR(__xludf.DUMMYFUNCTION("GOOGLEFINANCE(""BOM:""&amp;B209,""MARKETCAP"")/10000000"),39534.2773928)</f>
        <v>39534.277392800002</v>
      </c>
      <c r="G209" s="95">
        <f t="shared" ca="1" si="25"/>
        <v>9.8127650098885967E-4</v>
      </c>
      <c r="H209" s="101">
        <v>2926</v>
      </c>
      <c r="I209" s="101">
        <v>2774</v>
      </c>
      <c r="J209" s="101">
        <v>758</v>
      </c>
      <c r="K209" s="101">
        <v>664</v>
      </c>
      <c r="L209" s="101">
        <v>1041</v>
      </c>
      <c r="M209" s="101">
        <v>909</v>
      </c>
      <c r="N209" s="101">
        <v>295</v>
      </c>
      <c r="O209" s="101">
        <v>929</v>
      </c>
      <c r="P209" s="13">
        <f t="shared" ref="P209:Q209" si="417">J209/H209</f>
        <v>0.25905673274094326</v>
      </c>
      <c r="Q209" s="13">
        <f t="shared" si="417"/>
        <v>0.23936553713049746</v>
      </c>
      <c r="R209" s="13">
        <f t="shared" si="4"/>
        <v>1.96911956104458E-2</v>
      </c>
      <c r="S209" s="13">
        <f t="shared" ref="S209:T209" si="418">N209/L209</f>
        <v>0.28338136407300674</v>
      </c>
      <c r="T209" s="13">
        <f t="shared" si="418"/>
        <v>1.022002200220022</v>
      </c>
      <c r="U209" s="13">
        <f t="shared" si="6"/>
        <v>-0.73862083614701524</v>
      </c>
      <c r="V209" s="13">
        <f t="shared" si="7"/>
        <v>5.4794520547945202E-2</v>
      </c>
      <c r="W209" s="13">
        <f t="shared" si="8"/>
        <v>0.14156626506024095</v>
      </c>
      <c r="X209" s="13">
        <f t="shared" si="9"/>
        <v>0.1452145214521452</v>
      </c>
      <c r="Y209" s="13">
        <f t="shared" si="10"/>
        <v>-0.68245425188374598</v>
      </c>
    </row>
    <row r="210" spans="1:25" ht="14.4">
      <c r="A210" s="98" t="s">
        <v>434</v>
      </c>
      <c r="B210" s="99">
        <v>532259</v>
      </c>
      <c r="C210" s="98" t="s">
        <v>180</v>
      </c>
      <c r="D210" s="101" t="s">
        <v>344</v>
      </c>
      <c r="E210" s="11">
        <f ca="1">IFERROR(__xludf.DUMMYFUNCTION("GOOGLEFINANCE(""BOM:""&amp;B210,""PRICE"")"),9973.15)</f>
        <v>9973.15</v>
      </c>
      <c r="F210" s="20">
        <f ca="1">IFERROR(__xludf.DUMMYFUNCTION("GOOGLEFINANCE(""BOM:""&amp;B210,""MARKETCAP"")/10000000"),40065.8808095)</f>
        <v>40065.880809499999</v>
      </c>
      <c r="G210" s="95">
        <f t="shared" ca="1" si="25"/>
        <v>9.9447137832201914E-4</v>
      </c>
      <c r="H210" s="101">
        <v>16299</v>
      </c>
      <c r="I210" s="101">
        <v>13371</v>
      </c>
      <c r="J210" s="101">
        <v>724</v>
      </c>
      <c r="K210" s="101">
        <v>571</v>
      </c>
      <c r="L210" s="101">
        <v>5480</v>
      </c>
      <c r="M210" s="101">
        <v>4716</v>
      </c>
      <c r="N210" s="101">
        <v>209</v>
      </c>
      <c r="O210" s="101">
        <v>175</v>
      </c>
      <c r="P210" s="13">
        <f t="shared" ref="P210:Q210" si="419">J210/H210</f>
        <v>4.4419903061537515E-2</v>
      </c>
      <c r="Q210" s="13">
        <f t="shared" si="419"/>
        <v>4.2704360182484483E-2</v>
      </c>
      <c r="R210" s="13">
        <f t="shared" si="4"/>
        <v>1.7155428790530322E-3</v>
      </c>
      <c r="S210" s="13">
        <f t="shared" ref="S210:T210" si="420">N210/L210</f>
        <v>3.8138686131386865E-2</v>
      </c>
      <c r="T210" s="13">
        <f t="shared" si="420"/>
        <v>3.7107718405428328E-2</v>
      </c>
      <c r="U210" s="13">
        <f t="shared" si="6"/>
        <v>1.030967725958537E-3</v>
      </c>
      <c r="V210" s="13">
        <f t="shared" si="7"/>
        <v>0.21898137760825676</v>
      </c>
      <c r="W210" s="13">
        <f t="shared" si="8"/>
        <v>0.26795096322241685</v>
      </c>
      <c r="X210" s="13">
        <f t="shared" si="9"/>
        <v>0.16200169635284145</v>
      </c>
      <c r="Y210" s="13">
        <f t="shared" si="10"/>
        <v>0.19428571428571439</v>
      </c>
    </row>
    <row r="211" spans="1:25" ht="14.4">
      <c r="A211" s="98" t="s">
        <v>435</v>
      </c>
      <c r="B211" s="99">
        <v>532892</v>
      </c>
      <c r="C211" s="98" t="s">
        <v>172</v>
      </c>
      <c r="D211" s="70" t="s">
        <v>436</v>
      </c>
      <c r="E211" s="11">
        <f ca="1">IFERROR(__xludf.DUMMYFUNCTION("GOOGLEFINANCE(""BOM:""&amp;B211,""PRICE"")"),702)</f>
        <v>702</v>
      </c>
      <c r="F211" s="20">
        <f ca="1">IFERROR(__xludf.DUMMYFUNCTION("GOOGLEFINANCE(""BOM:""&amp;B211,""MARKETCAP"")/10000000"),42238.5410833)</f>
        <v>42238.541083299999</v>
      </c>
      <c r="G211" s="95">
        <f t="shared" ca="1" si="25"/>
        <v>1.0483987702439527E-3</v>
      </c>
      <c r="H211" s="101">
        <v>6724</v>
      </c>
      <c r="I211" s="101">
        <v>7208</v>
      </c>
      <c r="J211" s="101">
        <v>2084</v>
      </c>
      <c r="K211" s="101">
        <v>2571</v>
      </c>
      <c r="L211" s="101">
        <v>2120</v>
      </c>
      <c r="M211" s="101">
        <v>2019</v>
      </c>
      <c r="N211" s="101">
        <v>566</v>
      </c>
      <c r="O211" s="101">
        <v>566</v>
      </c>
      <c r="P211" s="13">
        <f t="shared" ref="P211:Q211" si="421">J211/H211</f>
        <v>0.30993456276026177</v>
      </c>
      <c r="Q211" s="13">
        <f t="shared" si="421"/>
        <v>0.35668701442841289</v>
      </c>
      <c r="R211" s="13">
        <f t="shared" si="4"/>
        <v>-4.6752451668151118E-2</v>
      </c>
      <c r="S211" s="13">
        <f t="shared" ref="S211:T211" si="422">N211/L211</f>
        <v>0.26698113207547169</v>
      </c>
      <c r="T211" s="13">
        <f t="shared" si="422"/>
        <v>0.28033680039623576</v>
      </c>
      <c r="U211" s="13">
        <f t="shared" si="6"/>
        <v>-1.3355668320764069E-2</v>
      </c>
      <c r="V211" s="13">
        <f t="shared" si="7"/>
        <v>-6.7147613762486125E-2</v>
      </c>
      <c r="W211" s="13">
        <f t="shared" si="8"/>
        <v>-0.18942045896538307</v>
      </c>
      <c r="X211" s="13">
        <f t="shared" si="9"/>
        <v>5.002476473501738E-2</v>
      </c>
      <c r="Y211" s="13">
        <f t="shared" si="10"/>
        <v>0</v>
      </c>
    </row>
    <row r="212" spans="1:25" ht="14.4">
      <c r="A212" s="98" t="s">
        <v>437</v>
      </c>
      <c r="B212" s="99">
        <v>532478</v>
      </c>
      <c r="C212" s="98" t="s">
        <v>183</v>
      </c>
      <c r="D212" s="102" t="s">
        <v>317</v>
      </c>
      <c r="E212" s="11">
        <f ca="1">IFERROR(__xludf.DUMMYFUNCTION("GOOGLEFINANCE(""BOM:""&amp;B212,""PRICE"")"),1472.8)</f>
        <v>1472.8</v>
      </c>
      <c r="F212" s="20">
        <f ca="1">IFERROR(__xludf.DUMMYFUNCTION("GOOGLEFINANCE(""BOM:""&amp;B212,""MARKETCAP"")/10000000"),38960.091485)</f>
        <v>38960.091484999997</v>
      </c>
      <c r="G212" s="95">
        <f t="shared" ca="1" si="25"/>
        <v>9.6702468773513591E-4</v>
      </c>
      <c r="H212" s="101">
        <v>13055</v>
      </c>
      <c r="I212" s="101">
        <v>14981</v>
      </c>
      <c r="J212" s="101">
        <v>311</v>
      </c>
      <c r="K212" s="101">
        <v>344</v>
      </c>
      <c r="L212" s="101">
        <v>3936</v>
      </c>
      <c r="M212" s="101">
        <v>4426</v>
      </c>
      <c r="N212" s="101">
        <v>81</v>
      </c>
      <c r="O212" s="101">
        <v>38</v>
      </c>
      <c r="P212" s="13">
        <f t="shared" ref="P212:Q212" si="423">J212/H212</f>
        <v>2.3822290310225966E-2</v>
      </c>
      <c r="Q212" s="13">
        <f t="shared" si="423"/>
        <v>2.2962419064147921E-2</v>
      </c>
      <c r="R212" s="13">
        <f t="shared" si="4"/>
        <v>8.5987124607804499E-4</v>
      </c>
      <c r="S212" s="13">
        <f t="shared" ref="S212:T212" si="424">N212/L212</f>
        <v>2.0579268292682928E-2</v>
      </c>
      <c r="T212" s="13">
        <f t="shared" si="424"/>
        <v>8.5856303660189794E-3</v>
      </c>
      <c r="U212" s="13">
        <f t="shared" si="6"/>
        <v>1.1993637926663948E-2</v>
      </c>
      <c r="V212" s="13">
        <f t="shared" si="7"/>
        <v>-0.12856284627194448</v>
      </c>
      <c r="W212" s="13">
        <f t="shared" si="8"/>
        <v>-9.5930232558139483E-2</v>
      </c>
      <c r="X212" s="13">
        <f t="shared" si="9"/>
        <v>-0.11070944419340267</v>
      </c>
      <c r="Y212" s="13">
        <f t="shared" si="10"/>
        <v>1.1315789473684212</v>
      </c>
    </row>
    <row r="213" spans="1:25" ht="14.4">
      <c r="A213" s="98" t="s">
        <v>438</v>
      </c>
      <c r="B213" s="99">
        <v>542772</v>
      </c>
      <c r="C213" s="98" t="s">
        <v>172</v>
      </c>
      <c r="D213" s="102" t="s">
        <v>436</v>
      </c>
      <c r="E213" s="101">
        <f ca="1">IFERROR(__xludf.DUMMYFUNCTION("GOOGLEFINANCE(""BOM:""&amp;B213,""PRICE"")"),931.15)</f>
        <v>931.15</v>
      </c>
      <c r="F213" s="112">
        <f ca="1">IFERROR(__xludf.DUMMYFUNCTION("GOOGLEFINANCE(""BOM:""&amp;B213,""MARKETCAP"")/10000000"),37835.8523524)</f>
        <v>37835.852352399997</v>
      </c>
      <c r="G213" s="95">
        <f t="shared" ca="1" si="25"/>
        <v>9.3912005623393146E-4</v>
      </c>
      <c r="H213" s="101">
        <v>3308</v>
      </c>
      <c r="I213" s="101">
        <v>2763</v>
      </c>
      <c r="J213" s="101">
        <v>927</v>
      </c>
      <c r="K213" s="101">
        <v>766</v>
      </c>
      <c r="L213" s="101">
        <v>1220</v>
      </c>
      <c r="M213" s="101">
        <v>934</v>
      </c>
      <c r="N213" s="101">
        <v>327</v>
      </c>
      <c r="O213" s="101">
        <v>276</v>
      </c>
      <c r="P213" s="13">
        <f t="shared" ref="P213:Q213" si="425">J213/H213</f>
        <v>0.28022974607013301</v>
      </c>
      <c r="Q213" s="13">
        <f t="shared" si="425"/>
        <v>0.27723488961273979</v>
      </c>
      <c r="R213" s="13">
        <f t="shared" si="4"/>
        <v>2.9948564573932246E-3</v>
      </c>
      <c r="S213" s="13">
        <f t="shared" ref="S213:T213" si="426">N213/L213</f>
        <v>0.2680327868852459</v>
      </c>
      <c r="T213" s="13">
        <f t="shared" si="426"/>
        <v>0.2955032119914347</v>
      </c>
      <c r="U213" s="13">
        <f t="shared" si="6"/>
        <v>-2.7470425106188801E-2</v>
      </c>
      <c r="V213" s="13">
        <f t="shared" si="7"/>
        <v>0.19724936663047421</v>
      </c>
      <c r="W213" s="13">
        <f t="shared" si="8"/>
        <v>0.21018276762402088</v>
      </c>
      <c r="X213" s="13">
        <f t="shared" si="9"/>
        <v>0.30620985010706647</v>
      </c>
      <c r="Y213" s="13">
        <f t="shared" si="10"/>
        <v>0.18478260869565211</v>
      </c>
    </row>
    <row r="214" spans="1:25" ht="14.4">
      <c r="A214" s="98" t="s">
        <v>439</v>
      </c>
      <c r="B214" s="99">
        <v>543278</v>
      </c>
      <c r="C214" s="98" t="s">
        <v>187</v>
      </c>
      <c r="D214" s="100" t="s">
        <v>70</v>
      </c>
      <c r="E214" s="11">
        <f ca="1">IFERROR(__xludf.DUMMYFUNCTION("GOOGLEFINANCE(""BOM:""&amp;B214,""PRICE"")"),419.6)</f>
        <v>419.6</v>
      </c>
      <c r="F214" s="20">
        <f ca="1">IFERROR(__xludf.DUMMYFUNCTION("GOOGLEFINANCE(""BOM:""&amp;B214,""MARKETCAP"")/10000000"),43380.2424393)</f>
        <v>43380.242439299996</v>
      </c>
      <c r="G214" s="95">
        <f t="shared" ca="1" si="25"/>
        <v>1.0767368299145197E-3</v>
      </c>
      <c r="H214" s="101">
        <v>25467</v>
      </c>
      <c r="I214" s="101">
        <v>18863</v>
      </c>
      <c r="J214" s="101">
        <v>940</v>
      </c>
      <c r="K214" s="101">
        <v>526</v>
      </c>
      <c r="L214" s="101">
        <v>10343</v>
      </c>
      <c r="M214" s="101">
        <v>7278</v>
      </c>
      <c r="N214" s="101">
        <v>416</v>
      </c>
      <c r="O214" s="101">
        <v>218</v>
      </c>
      <c r="P214" s="13">
        <f t="shared" ref="P214:Q214" si="427">J214/H214</f>
        <v>3.6910511642517768E-2</v>
      </c>
      <c r="Q214" s="13">
        <f t="shared" si="427"/>
        <v>2.7885278057573026E-2</v>
      </c>
      <c r="R214" s="13">
        <f t="shared" si="4"/>
        <v>9.0252335849447425E-3</v>
      </c>
      <c r="S214" s="13">
        <f t="shared" ref="S214:T214" si="428">N214/L214</f>
        <v>4.0220438944213475E-2</v>
      </c>
      <c r="T214" s="13">
        <f t="shared" si="428"/>
        <v>2.9953283869194835E-2</v>
      </c>
      <c r="U214" s="13">
        <f t="shared" si="6"/>
        <v>1.0267155075018641E-2</v>
      </c>
      <c r="V214" s="13">
        <f t="shared" si="7"/>
        <v>0.35010337698139216</v>
      </c>
      <c r="W214" s="13">
        <f t="shared" si="8"/>
        <v>0.78707224334600756</v>
      </c>
      <c r="X214" s="13">
        <f t="shared" si="9"/>
        <v>0.42113217917010171</v>
      </c>
      <c r="Y214" s="13">
        <f t="shared" si="10"/>
        <v>0.90825688073394506</v>
      </c>
    </row>
    <row r="215" spans="1:25" ht="14.4">
      <c r="A215" s="104" t="s">
        <v>440</v>
      </c>
      <c r="B215" s="99">
        <v>523395</v>
      </c>
      <c r="C215" s="98" t="s">
        <v>441</v>
      </c>
      <c r="D215" s="109" t="s">
        <v>441</v>
      </c>
      <c r="E215" s="11">
        <f ca="1">IFERROR(__xludf.DUMMYFUNCTION("GOOGLEFINANCE(""BOM:""&amp;B215,""PRICE"")"),29305)</f>
        <v>29305</v>
      </c>
      <c r="F215" s="20">
        <f ca="1">IFERROR(__xludf.DUMMYFUNCTION("GOOGLEFINANCE(""BOM:""&amp;B215,""MARKETCAP"")/10000000"),33006.6258)</f>
        <v>33006.625800000002</v>
      </c>
      <c r="G215" s="95">
        <f t="shared" ca="1" si="25"/>
        <v>8.1925428793524005E-4</v>
      </c>
      <c r="H215" s="101">
        <v>3690</v>
      </c>
      <c r="I215" s="101">
        <v>3247</v>
      </c>
      <c r="J215" s="101">
        <v>306</v>
      </c>
      <c r="K215" s="101">
        <v>404</v>
      </c>
      <c r="L215" s="101">
        <v>1228</v>
      </c>
      <c r="M215" s="101">
        <v>1089</v>
      </c>
      <c r="N215" s="101">
        <v>-62</v>
      </c>
      <c r="O215" s="101">
        <v>113</v>
      </c>
      <c r="P215" s="13">
        <f t="shared" ref="P215:Q215" si="429">J215/H215</f>
        <v>8.2926829268292687E-2</v>
      </c>
      <c r="Q215" s="13">
        <f t="shared" si="429"/>
        <v>0.12442254388666461</v>
      </c>
      <c r="R215" s="13">
        <f t="shared" si="4"/>
        <v>-4.1495714618371926E-2</v>
      </c>
      <c r="S215" s="13">
        <f t="shared" ref="S215:T215" si="430">N215/L215</f>
        <v>-5.0488599348534204E-2</v>
      </c>
      <c r="T215" s="13">
        <f t="shared" si="430"/>
        <v>0.10376492194674013</v>
      </c>
      <c r="U215" s="13">
        <f t="shared" si="6"/>
        <v>-0.15425352129527434</v>
      </c>
      <c r="V215" s="13">
        <f t="shared" si="7"/>
        <v>0.1364336310440406</v>
      </c>
      <c r="W215" s="13">
        <f t="shared" si="8"/>
        <v>-0.24257425742574257</v>
      </c>
      <c r="X215" s="13">
        <f t="shared" si="9"/>
        <v>0.12764003673094582</v>
      </c>
      <c r="Y215" s="13">
        <f t="shared" si="10"/>
        <v>-1.5486725663716814</v>
      </c>
    </row>
    <row r="216" spans="1:25" ht="14.4">
      <c r="A216" s="98" t="s">
        <v>442</v>
      </c>
      <c r="B216" s="99">
        <v>532541</v>
      </c>
      <c r="C216" s="98" t="s">
        <v>174</v>
      </c>
      <c r="D216" s="70" t="s">
        <v>175</v>
      </c>
      <c r="E216" s="11">
        <f ca="1">IFERROR(__xludf.DUMMYFUNCTION("GOOGLEFINANCE(""BOM:""&amp;B216,""PRICE"")"),1217.65)</f>
        <v>1217.6500000000001</v>
      </c>
      <c r="F216" s="20">
        <f ca="1">IFERROR(__xludf.DUMMYFUNCTION("GOOGLEFINANCE(""BOM:""&amp;B216,""MARKETCAP"")/10000000"),40881.6197858)</f>
        <v>40881.619785800001</v>
      </c>
      <c r="G216" s="95">
        <f t="shared" ca="1" si="25"/>
        <v>1.0147187570822462E-3</v>
      </c>
      <c r="H216" s="101">
        <v>11862</v>
      </c>
      <c r="I216" s="101">
        <v>8640</v>
      </c>
      <c r="J216" s="101">
        <v>1078</v>
      </c>
      <c r="K216" s="101">
        <v>628</v>
      </c>
      <c r="L216" s="101">
        <v>4188</v>
      </c>
      <c r="M216" s="101">
        <v>3258</v>
      </c>
      <c r="N216" s="101">
        <v>296</v>
      </c>
      <c r="O216" s="101">
        <v>255</v>
      </c>
      <c r="P216" s="13">
        <f t="shared" ref="P216:Q216" si="431">J216/H216</f>
        <v>9.087843533974034E-2</v>
      </c>
      <c r="Q216" s="13">
        <f t="shared" si="431"/>
        <v>7.2685185185185186E-2</v>
      </c>
      <c r="R216" s="13">
        <f t="shared" si="4"/>
        <v>1.8193250154555154E-2</v>
      </c>
      <c r="S216" s="13">
        <f t="shared" ref="S216:T216" si="432">N216/L216</f>
        <v>7.0678127984718245E-2</v>
      </c>
      <c r="T216" s="13">
        <f t="shared" si="432"/>
        <v>7.8268876611418042E-2</v>
      </c>
      <c r="U216" s="13">
        <f t="shared" si="6"/>
        <v>-7.5907486266997976E-3</v>
      </c>
      <c r="V216" s="13">
        <f t="shared" si="7"/>
        <v>0.37291666666666656</v>
      </c>
      <c r="W216" s="13">
        <f t="shared" si="8"/>
        <v>0.71656050955414008</v>
      </c>
      <c r="X216" s="13">
        <f t="shared" si="9"/>
        <v>0.28545119705340705</v>
      </c>
      <c r="Y216" s="13">
        <f t="shared" si="10"/>
        <v>0.16078431372549029</v>
      </c>
    </row>
    <row r="217" spans="1:25" ht="17.399999999999999">
      <c r="A217" s="110" t="s">
        <v>443</v>
      </c>
      <c r="B217" s="99">
        <v>544597</v>
      </c>
      <c r="C217" s="102" t="s">
        <v>172</v>
      </c>
      <c r="D217" s="100" t="s">
        <v>178</v>
      </c>
      <c r="E217" s="11">
        <f ca="1">IFERROR(__xludf.DUMMYFUNCTION("GOOGLEFINANCE(""BOM:""&amp;B217,""PRICE"")"),1729)</f>
        <v>1729</v>
      </c>
      <c r="F217" s="20">
        <f ca="1">IFERROR(__xludf.DUMMYFUNCTION("GOOGLEFINANCE(""BOM:""&amp;B217,""MARKETCAP"")/10000000"),38994.9904393)</f>
        <v>38994.990439300003</v>
      </c>
      <c r="G217" s="95">
        <f t="shared" ca="1" si="25"/>
        <v>9.67890911326968E-4</v>
      </c>
      <c r="H217" s="101">
        <v>8567</v>
      </c>
      <c r="I217" s="101">
        <v>7579</v>
      </c>
      <c r="J217" s="101">
        <v>1004</v>
      </c>
      <c r="K217" s="101">
        <v>383</v>
      </c>
      <c r="L217" s="101">
        <v>2975</v>
      </c>
      <c r="M217" s="101">
        <v>2878</v>
      </c>
      <c r="N217" s="101">
        <v>401</v>
      </c>
      <c r="O217" s="101">
        <v>39</v>
      </c>
      <c r="P217" s="13">
        <f t="shared" ref="P217:Q217" si="433">J217/H217</f>
        <v>0.11719388350647834</v>
      </c>
      <c r="Q217" s="13">
        <f t="shared" si="433"/>
        <v>5.0534371289088269E-2</v>
      </c>
      <c r="R217" s="13">
        <f t="shared" si="4"/>
        <v>6.6659512217390082E-2</v>
      </c>
      <c r="S217" s="13">
        <f t="shared" ref="S217:T217" si="434">N217/L217</f>
        <v>0.13478991596638656</v>
      </c>
      <c r="T217" s="13">
        <f t="shared" si="434"/>
        <v>1.3551077136900626E-2</v>
      </c>
      <c r="U217" s="13">
        <f t="shared" si="6"/>
        <v>0.12123883882948594</v>
      </c>
      <c r="V217" s="13">
        <f t="shared" si="7"/>
        <v>0.130360205831904</v>
      </c>
      <c r="W217" s="13">
        <f t="shared" si="8"/>
        <v>1.6214099216710185</v>
      </c>
      <c r="X217" s="13">
        <f t="shared" si="9"/>
        <v>3.3703961084086131E-2</v>
      </c>
      <c r="Y217" s="13">
        <f t="shared" si="10"/>
        <v>9.2820512820512828</v>
      </c>
    </row>
    <row r="218" spans="1:25" ht="14.4">
      <c r="A218" s="98" t="s">
        <v>444</v>
      </c>
      <c r="B218" s="99">
        <v>500067</v>
      </c>
      <c r="C218" s="98" t="s">
        <v>187</v>
      </c>
      <c r="D218" s="70" t="s">
        <v>93</v>
      </c>
      <c r="E218" s="11">
        <f ca="1">IFERROR(__xludf.DUMMYFUNCTION("GOOGLEFINANCE(""BOM:""&amp;B218,""PRICE"")"),1563.45)</f>
        <v>1563.45</v>
      </c>
      <c r="F218" s="20">
        <f ca="1">IFERROR(__xludf.DUMMYFUNCTION("GOOGLEFINANCE(""BOM:""&amp;B218,""MARKETCAP"")/10000000"),32144.9843965)</f>
        <v>32144.9843965</v>
      </c>
      <c r="G218" s="95">
        <f t="shared" ca="1" si="25"/>
        <v>7.9786756943946711E-4</v>
      </c>
      <c r="H218" s="101">
        <v>8330</v>
      </c>
      <c r="I218" s="101">
        <v>7949</v>
      </c>
      <c r="J218" s="101">
        <v>300</v>
      </c>
      <c r="K218" s="101">
        <v>397</v>
      </c>
      <c r="L218" s="101">
        <v>2925</v>
      </c>
      <c r="M218" s="101">
        <v>2807</v>
      </c>
      <c r="N218" s="101">
        <v>81</v>
      </c>
      <c r="O218" s="101">
        <v>132</v>
      </c>
      <c r="P218" s="13">
        <f t="shared" ref="P218:Q218" si="435">J218/H218</f>
        <v>3.601440576230492E-2</v>
      </c>
      <c r="Q218" s="13">
        <f t="shared" si="435"/>
        <v>4.9943389105547867E-2</v>
      </c>
      <c r="R218" s="13">
        <f t="shared" si="4"/>
        <v>-1.3928983343242947E-2</v>
      </c>
      <c r="S218" s="13">
        <f t="shared" ref="S218:T218" si="436">N218/L218</f>
        <v>2.7692307692307693E-2</v>
      </c>
      <c r="T218" s="13">
        <f t="shared" si="436"/>
        <v>4.7025293908086928E-2</v>
      </c>
      <c r="U218" s="13">
        <f t="shared" si="6"/>
        <v>-1.9332986215779235E-2</v>
      </c>
      <c r="V218" s="13">
        <f t="shared" si="7"/>
        <v>4.7930557302805488E-2</v>
      </c>
      <c r="W218" s="13">
        <f t="shared" si="8"/>
        <v>-0.24433249370277077</v>
      </c>
      <c r="X218" s="13">
        <f t="shared" si="9"/>
        <v>4.2037762736017115E-2</v>
      </c>
      <c r="Y218" s="13">
        <f t="shared" si="10"/>
        <v>-0.38636363636363635</v>
      </c>
    </row>
    <row r="219" spans="1:25" ht="14.4">
      <c r="A219" s="113" t="s">
        <v>445</v>
      </c>
      <c r="B219" s="99">
        <v>544449</v>
      </c>
      <c r="C219" s="102" t="s">
        <v>190</v>
      </c>
      <c r="D219" s="102" t="s">
        <v>446</v>
      </c>
      <c r="E219" s="11">
        <f ca="1">IFERROR(__xludf.DUMMYFUNCTION("GOOGLEFINANCE(""BOM:""&amp;B219,""PRICE"")"),662.85)</f>
        <v>662.85</v>
      </c>
      <c r="F219" s="20">
        <f ca="1">IFERROR(__xludf.DUMMYFUNCTION("GOOGLEFINANCE(""BOM:""&amp;B219,""MARKETCAP"")/10000000"),37250.0520183)</f>
        <v>37250.052018299997</v>
      </c>
      <c r="G219" s="95">
        <f t="shared" ca="1" si="25"/>
        <v>9.2457996242084866E-4</v>
      </c>
      <c r="H219" s="101">
        <v>1513</v>
      </c>
      <c r="I219" s="101">
        <v>1361</v>
      </c>
      <c r="J219" s="101">
        <v>402</v>
      </c>
      <c r="K219" s="101">
        <v>368</v>
      </c>
      <c r="L219" s="101">
        <v>423</v>
      </c>
      <c r="M219" s="101">
        <v>497</v>
      </c>
      <c r="N219" s="101">
        <v>92</v>
      </c>
      <c r="O219" s="101">
        <v>124</v>
      </c>
      <c r="P219" s="13">
        <f t="shared" ref="P219:Q219" si="437">J219/H219</f>
        <v>0.26569729015201587</v>
      </c>
      <c r="Q219" s="13">
        <f t="shared" si="437"/>
        <v>0.27038941954445261</v>
      </c>
      <c r="R219" s="13">
        <f t="shared" si="4"/>
        <v>-4.6921293924367391E-3</v>
      </c>
      <c r="S219" s="13">
        <f t="shared" ref="S219:T219" si="438">N219/L219</f>
        <v>0.21749408983451538</v>
      </c>
      <c r="T219" s="13">
        <f t="shared" si="438"/>
        <v>0.24949698189134809</v>
      </c>
      <c r="U219" s="13">
        <f t="shared" si="6"/>
        <v>-3.200289205683271E-2</v>
      </c>
      <c r="V219" s="13">
        <f t="shared" si="7"/>
        <v>0.11168258633357819</v>
      </c>
      <c r="W219" s="13">
        <f t="shared" si="8"/>
        <v>9.2391304347826164E-2</v>
      </c>
      <c r="X219" s="13">
        <f t="shared" si="9"/>
        <v>-0.14889336016096577</v>
      </c>
      <c r="Y219" s="13">
        <f t="shared" si="10"/>
        <v>-0.25806451612903225</v>
      </c>
    </row>
    <row r="220" spans="1:25" ht="14.4">
      <c r="A220" s="98" t="s">
        <v>447</v>
      </c>
      <c r="B220" s="99">
        <v>524494</v>
      </c>
      <c r="C220" s="98" t="s">
        <v>190</v>
      </c>
      <c r="D220" s="102" t="s">
        <v>100</v>
      </c>
      <c r="E220" s="11">
        <f ca="1">IFERROR(__xludf.DUMMYFUNCTION("GOOGLEFINANCE(""BOM:""&amp;B220,""PRICE"")"),1444.3)</f>
        <v>1444.3</v>
      </c>
      <c r="F220" s="20">
        <f ca="1">IFERROR(__xludf.DUMMYFUNCTION("GOOGLEFINANCE(""BOM:""&amp;B220,""MARKETCAP"")/10000000"),36650.1081126)</f>
        <v>36650.108112599999</v>
      </c>
      <c r="G220" s="95">
        <f t="shared" ca="1" si="25"/>
        <v>9.0968881237589796E-4</v>
      </c>
      <c r="H220" s="101">
        <v>7258</v>
      </c>
      <c r="I220" s="101">
        <v>6693</v>
      </c>
      <c r="J220" s="101">
        <v>893</v>
      </c>
      <c r="K220" s="101">
        <v>704</v>
      </c>
      <c r="L220" s="101">
        <v>2352</v>
      </c>
      <c r="M220" s="101">
        <v>2245</v>
      </c>
      <c r="N220" s="101">
        <v>363</v>
      </c>
      <c r="O220" s="101">
        <v>264</v>
      </c>
      <c r="P220" s="13">
        <f t="shared" ref="P220:Q220" si="439">J220/H220</f>
        <v>0.12303664921465969</v>
      </c>
      <c r="Q220" s="13">
        <f t="shared" si="439"/>
        <v>0.10518452114149111</v>
      </c>
      <c r="R220" s="13">
        <f t="shared" si="4"/>
        <v>1.7852128073168577E-2</v>
      </c>
      <c r="S220" s="13">
        <f t="shared" ref="S220:T220" si="440">N220/L220</f>
        <v>0.15433673469387754</v>
      </c>
      <c r="T220" s="13">
        <f t="shared" si="440"/>
        <v>0.11759465478841871</v>
      </c>
      <c r="U220" s="13">
        <f t="shared" si="6"/>
        <v>3.674207990545883E-2</v>
      </c>
      <c r="V220" s="13">
        <f t="shared" si="7"/>
        <v>8.4416554609293204E-2</v>
      </c>
      <c r="W220" s="13">
        <f t="shared" si="8"/>
        <v>0.26846590909090917</v>
      </c>
      <c r="X220" s="13">
        <f t="shared" si="9"/>
        <v>4.7661469933184764E-2</v>
      </c>
      <c r="Y220" s="13">
        <f t="shared" si="10"/>
        <v>0.375</v>
      </c>
    </row>
    <row r="221" spans="1:25" ht="14.4">
      <c r="A221" s="98" t="s">
        <v>448</v>
      </c>
      <c r="B221" s="99">
        <v>540678</v>
      </c>
      <c r="C221" s="98" t="s">
        <v>180</v>
      </c>
      <c r="D221" s="70" t="s">
        <v>331</v>
      </c>
      <c r="E221" s="11">
        <f ca="1">IFERROR(__xludf.DUMMYFUNCTION("GOOGLEFINANCE(""BOM:""&amp;B221,""PRICE"")"),1333.2)</f>
        <v>1333.2</v>
      </c>
      <c r="F221" s="20">
        <f ca="1">IFERROR(__xludf.DUMMYFUNCTION("GOOGLEFINANCE(""BOM:""&amp;B221,""MARKETCAP"")/10000000"),35063.3969805)</f>
        <v>35063.396980500002</v>
      </c>
      <c r="G221" s="95">
        <f t="shared" ca="1" si="25"/>
        <v>8.7030520780619059E-4</v>
      </c>
      <c r="H221" s="101">
        <v>3537</v>
      </c>
      <c r="I221" s="101">
        <v>3062</v>
      </c>
      <c r="J221" s="101">
        <v>440</v>
      </c>
      <c r="K221" s="101">
        <v>540</v>
      </c>
      <c r="L221" s="101">
        <v>1350</v>
      </c>
      <c r="M221" s="101">
        <v>1147</v>
      </c>
      <c r="N221" s="101">
        <v>144</v>
      </c>
      <c r="O221" s="101">
        <v>176</v>
      </c>
      <c r="P221" s="13">
        <f t="shared" ref="P221:Q221" si="441">J221/H221</f>
        <v>0.12439920836867402</v>
      </c>
      <c r="Q221" s="13">
        <f t="shared" si="441"/>
        <v>0.17635532331809275</v>
      </c>
      <c r="R221" s="13">
        <f t="shared" si="4"/>
        <v>-5.1956114949418736E-2</v>
      </c>
      <c r="S221" s="13">
        <f t="shared" ref="S221:T221" si="442">N221/L221</f>
        <v>0.10666666666666667</v>
      </c>
      <c r="T221" s="13">
        <f t="shared" si="442"/>
        <v>0.15344376634699217</v>
      </c>
      <c r="U221" s="13">
        <f t="shared" si="6"/>
        <v>-4.6777099680325493E-2</v>
      </c>
      <c r="V221" s="13">
        <f t="shared" si="7"/>
        <v>0.15512736773350744</v>
      </c>
      <c r="W221" s="13">
        <f t="shared" si="8"/>
        <v>-0.18518518518518523</v>
      </c>
      <c r="X221" s="13">
        <f t="shared" si="9"/>
        <v>0.17698343504795111</v>
      </c>
      <c r="Y221" s="13">
        <f t="shared" si="10"/>
        <v>-0.18181818181818177</v>
      </c>
    </row>
    <row r="222" spans="1:25" ht="14.4">
      <c r="A222" s="98" t="s">
        <v>449</v>
      </c>
      <c r="B222" s="99">
        <v>500495</v>
      </c>
      <c r="C222" s="98" t="s">
        <v>180</v>
      </c>
      <c r="D222" s="102" t="s">
        <v>450</v>
      </c>
      <c r="E222" s="11">
        <f ca="1">IFERROR(__xludf.DUMMYFUNCTION("GOOGLEFINANCE(""BOM:""&amp;B222,""PRICE"")"),2904.55)</f>
        <v>2904.55</v>
      </c>
      <c r="F222" s="20">
        <f ca="1">IFERROR(__xludf.DUMMYFUNCTION("GOOGLEFINANCE(""BOM:""&amp;B222,""MARKETCAP"")/10000000"),31960.0625372)</f>
        <v>31960.062537199999</v>
      </c>
      <c r="G222" s="95">
        <f t="shared" ca="1" si="25"/>
        <v>7.9327764173578517E-4</v>
      </c>
      <c r="H222" s="101">
        <v>8572</v>
      </c>
      <c r="I222" s="101">
        <v>7799</v>
      </c>
      <c r="J222" s="101">
        <v>2073</v>
      </c>
      <c r="K222" s="101">
        <v>946</v>
      </c>
      <c r="L222" s="101">
        <v>3280</v>
      </c>
      <c r="M222" s="101">
        <v>2948</v>
      </c>
      <c r="N222" s="101">
        <v>358</v>
      </c>
      <c r="O222" s="101">
        <v>321</v>
      </c>
      <c r="P222" s="13">
        <f t="shared" ref="P222:Q222" si="443">J222/H222</f>
        <v>0.2418338777414839</v>
      </c>
      <c r="Q222" s="13">
        <f t="shared" si="443"/>
        <v>0.12129760225669958</v>
      </c>
      <c r="R222" s="13">
        <f t="shared" si="4"/>
        <v>0.12053627548478432</v>
      </c>
      <c r="S222" s="13">
        <f t="shared" ref="S222:T222" si="444">N222/L222</f>
        <v>0.10914634146341463</v>
      </c>
      <c r="T222" s="13">
        <f t="shared" si="444"/>
        <v>0.10888738127544098</v>
      </c>
      <c r="U222" s="13">
        <f t="shared" si="6"/>
        <v>2.5896018797365306E-4</v>
      </c>
      <c r="V222" s="13">
        <f t="shared" si="7"/>
        <v>9.9115271188613852E-2</v>
      </c>
      <c r="W222" s="13">
        <f t="shared" si="8"/>
        <v>1.1913319238900635</v>
      </c>
      <c r="X222" s="13">
        <f t="shared" si="9"/>
        <v>0.11261872455902311</v>
      </c>
      <c r="Y222" s="13">
        <f t="shared" si="10"/>
        <v>0.11526479750778806</v>
      </c>
    </row>
    <row r="223" spans="1:25" ht="14.4">
      <c r="A223" s="98" t="s">
        <v>451</v>
      </c>
      <c r="B223" s="99">
        <v>540153</v>
      </c>
      <c r="C223" s="98" t="s">
        <v>187</v>
      </c>
      <c r="D223" s="108" t="s">
        <v>312</v>
      </c>
      <c r="E223" s="11">
        <f ca="1">IFERROR(__xludf.DUMMYFUNCTION("GOOGLEFINANCE(""BOM:""&amp;B223,""PRICE"")"),2190.1)</f>
        <v>2190.1</v>
      </c>
      <c r="F223" s="20">
        <f ca="1">IFERROR(__xludf.DUMMYFUNCTION("GOOGLEFINANCE(""BOM:""&amp;B223,""MARKETCAP"")/10000000"),30908.4227572)</f>
        <v>30908.422757200002</v>
      </c>
      <c r="G223" s="95">
        <f t="shared" ca="1" si="25"/>
        <v>7.6717499179062567E-4</v>
      </c>
      <c r="H223" s="101">
        <v>10510</v>
      </c>
      <c r="I223" s="101">
        <v>8597</v>
      </c>
      <c r="J223" s="101">
        <v>675</v>
      </c>
      <c r="K223" s="101">
        <v>591</v>
      </c>
      <c r="L223" s="101">
        <v>3608</v>
      </c>
      <c r="M223" s="101">
        <v>2859</v>
      </c>
      <c r="N223" s="101">
        <v>222</v>
      </c>
      <c r="O223" s="101">
        <v>184</v>
      </c>
      <c r="P223" s="13">
        <f t="shared" ref="P223:Q223" si="445">J223/H223</f>
        <v>6.4224548049476693E-2</v>
      </c>
      <c r="Q223" s="13">
        <f t="shared" si="445"/>
        <v>6.874491101547052E-2</v>
      </c>
      <c r="R223" s="13">
        <f t="shared" si="4"/>
        <v>-4.5203629659938266E-3</v>
      </c>
      <c r="S223" s="13">
        <f t="shared" ref="S223:T223" si="446">N223/L223</f>
        <v>6.1529933481152994E-2</v>
      </c>
      <c r="T223" s="13">
        <f t="shared" si="446"/>
        <v>6.4358167191325644E-2</v>
      </c>
      <c r="U223" s="13">
        <f t="shared" si="6"/>
        <v>-2.8282337101726493E-3</v>
      </c>
      <c r="V223" s="13">
        <f t="shared" si="7"/>
        <v>0.22251948354077</v>
      </c>
      <c r="W223" s="13">
        <f t="shared" si="8"/>
        <v>0.14213197969543145</v>
      </c>
      <c r="X223" s="13">
        <f t="shared" si="9"/>
        <v>0.26197971318642876</v>
      </c>
      <c r="Y223" s="13">
        <f t="shared" si="10"/>
        <v>0.20652173913043481</v>
      </c>
    </row>
    <row r="224" spans="1:25" ht="14.4">
      <c r="A224" s="98" t="s">
        <v>452</v>
      </c>
      <c r="B224" s="99">
        <v>532331</v>
      </c>
      <c r="C224" s="98" t="s">
        <v>190</v>
      </c>
      <c r="D224" s="100" t="s">
        <v>100</v>
      </c>
      <c r="E224" s="11">
        <f ca="1">IFERROR(__xludf.DUMMYFUNCTION("GOOGLEFINANCE(""BOM:""&amp;B224,""PRICE"")"),2739.9)</f>
        <v>2739.9</v>
      </c>
      <c r="F224" s="20">
        <f ca="1">IFERROR(__xludf.DUMMYFUNCTION("GOOGLEFINANCE(""BOM:""&amp;B224,""MARKETCAP"")/10000000"),34226.10762)</f>
        <v>34226.107620000002</v>
      </c>
      <c r="G224" s="95">
        <f t="shared" ca="1" si="25"/>
        <v>8.4952292903014623E-4</v>
      </c>
      <c r="H224" s="101">
        <v>4031</v>
      </c>
      <c r="I224" s="101">
        <v>3478</v>
      </c>
      <c r="J224" s="101">
        <v>789</v>
      </c>
      <c r="K224" s="101">
        <v>695</v>
      </c>
      <c r="L224" s="101">
        <v>1375</v>
      </c>
      <c r="M224" s="101">
        <v>1146</v>
      </c>
      <c r="N224" s="101">
        <v>274</v>
      </c>
      <c r="O224" s="101">
        <v>233</v>
      </c>
      <c r="P224" s="13">
        <f t="shared" ref="P224:Q224" si="447">J224/H224</f>
        <v>0.19573306871743984</v>
      </c>
      <c r="Q224" s="13">
        <f t="shared" si="447"/>
        <v>0.19982748706152961</v>
      </c>
      <c r="R224" s="13">
        <f t="shared" si="4"/>
        <v>-4.094418344089773E-3</v>
      </c>
      <c r="S224" s="13">
        <f t="shared" ref="S224:T224" si="448">N224/L224</f>
        <v>0.19927272727272727</v>
      </c>
      <c r="T224" s="13">
        <f t="shared" si="448"/>
        <v>0.20331588132635253</v>
      </c>
      <c r="U224" s="13">
        <f t="shared" si="6"/>
        <v>-4.0431540536252641E-3</v>
      </c>
      <c r="V224" s="13">
        <f t="shared" si="7"/>
        <v>0.1589994249568718</v>
      </c>
      <c r="W224" s="13">
        <f t="shared" si="8"/>
        <v>0.13525179856115099</v>
      </c>
      <c r="X224" s="13">
        <f t="shared" si="9"/>
        <v>0.19982547993019195</v>
      </c>
      <c r="Y224" s="13">
        <f t="shared" si="10"/>
        <v>0.17596566523605151</v>
      </c>
    </row>
    <row r="225" spans="1:25" ht="14.4">
      <c r="A225" s="98" t="s">
        <v>453</v>
      </c>
      <c r="B225" s="99">
        <v>542812</v>
      </c>
      <c r="C225" s="98" t="s">
        <v>196</v>
      </c>
      <c r="D225" s="100" t="s">
        <v>251</v>
      </c>
      <c r="E225" s="11">
        <f ca="1">IFERROR(__xludf.DUMMYFUNCTION("GOOGLEFINANCE(""BOM:""&amp;B225,""PRICE"")"),3191.7)</f>
        <v>3191.7</v>
      </c>
      <c r="F225" s="20">
        <f ca="1">IFERROR(__xludf.DUMMYFUNCTION("GOOGLEFINANCE(""BOM:""&amp;B225,""MARKETCAP"")/10000000"),35111.3560363)</f>
        <v>35111.3560363</v>
      </c>
      <c r="G225" s="95">
        <f t="shared" ca="1" si="25"/>
        <v>8.7149559492263049E-4</v>
      </c>
      <c r="H225" s="101">
        <v>3627</v>
      </c>
      <c r="I225" s="101">
        <v>3512</v>
      </c>
      <c r="J225" s="101">
        <v>465</v>
      </c>
      <c r="K225" s="101">
        <v>355</v>
      </c>
      <c r="L225" s="101">
        <v>1136</v>
      </c>
      <c r="M225" s="101">
        <v>1148</v>
      </c>
      <c r="N225" s="101">
        <v>102</v>
      </c>
      <c r="O225" s="101">
        <v>126</v>
      </c>
      <c r="P225" s="13">
        <f t="shared" ref="P225:Q225" si="449">J225/H225</f>
        <v>0.12820512820512819</v>
      </c>
      <c r="Q225" s="13">
        <f t="shared" si="449"/>
        <v>0.10108200455580865</v>
      </c>
      <c r="R225" s="13">
        <f t="shared" si="4"/>
        <v>2.7123123649319542E-2</v>
      </c>
      <c r="S225" s="13">
        <f t="shared" ref="S225:T225" si="450">N225/L225</f>
        <v>8.9788732394366202E-2</v>
      </c>
      <c r="T225" s="13">
        <f t="shared" si="450"/>
        <v>0.10975609756097561</v>
      </c>
      <c r="U225" s="13">
        <f t="shared" si="6"/>
        <v>-1.9967365166609408E-2</v>
      </c>
      <c r="V225" s="13">
        <f t="shared" si="7"/>
        <v>3.2744874715261885E-2</v>
      </c>
      <c r="W225" s="13">
        <f t="shared" si="8"/>
        <v>0.3098591549295775</v>
      </c>
      <c r="X225" s="13">
        <f t="shared" si="9"/>
        <v>-1.0452961672473893E-2</v>
      </c>
      <c r="Y225" s="13">
        <f t="shared" si="10"/>
        <v>-0.19047619047619047</v>
      </c>
    </row>
    <row r="226" spans="1:25" ht="14.4">
      <c r="A226" s="98" t="s">
        <v>454</v>
      </c>
      <c r="B226" s="99">
        <v>540115</v>
      </c>
      <c r="C226" s="98" t="s">
        <v>174</v>
      </c>
      <c r="D226" s="70" t="s">
        <v>455</v>
      </c>
      <c r="E226" s="11">
        <f ca="1">IFERROR(__xludf.DUMMYFUNCTION("GOOGLEFINANCE(""BOM:""&amp;B226,""PRICE"")"),3349.1)</f>
        <v>3349.1</v>
      </c>
      <c r="F226" s="20">
        <f ca="1">IFERROR(__xludf.DUMMYFUNCTION("GOOGLEFINANCE(""BOM:""&amp;B226,""MARKETCAP"")/10000000"),35519.96331)</f>
        <v>35519.963309999999</v>
      </c>
      <c r="G226" s="95">
        <f t="shared" ca="1" si="25"/>
        <v>8.8163759680699922E-4</v>
      </c>
      <c r="H226" s="101">
        <v>8769</v>
      </c>
      <c r="I226" s="101">
        <v>7687</v>
      </c>
      <c r="J226" s="101">
        <v>948</v>
      </c>
      <c r="K226" s="101">
        <v>953</v>
      </c>
      <c r="L226" s="101">
        <v>2923</v>
      </c>
      <c r="M226" s="101">
        <v>2653</v>
      </c>
      <c r="N226" s="101">
        <v>303</v>
      </c>
      <c r="O226" s="101">
        <v>319</v>
      </c>
      <c r="P226" s="13">
        <f t="shared" ref="P226:Q226" si="451">J226/H226</f>
        <v>0.10810810810810811</v>
      </c>
      <c r="Q226" s="13">
        <f t="shared" si="451"/>
        <v>0.12397554312475609</v>
      </c>
      <c r="R226" s="13">
        <f t="shared" si="4"/>
        <v>-1.5867435016647974E-2</v>
      </c>
      <c r="S226" s="13">
        <f t="shared" ref="S226:T226" si="452">N226/L226</f>
        <v>0.10366062264796443</v>
      </c>
      <c r="T226" s="13">
        <f t="shared" si="452"/>
        <v>0.12024123633622315</v>
      </c>
      <c r="U226" s="13">
        <f t="shared" si="6"/>
        <v>-1.6580613688258722E-2</v>
      </c>
      <c r="V226" s="13">
        <f t="shared" si="7"/>
        <v>0.14075712241446592</v>
      </c>
      <c r="W226" s="13">
        <f t="shared" si="8"/>
        <v>-5.2465897166841247E-3</v>
      </c>
      <c r="X226" s="13">
        <f t="shared" si="9"/>
        <v>0.10177157934413872</v>
      </c>
      <c r="Y226" s="13">
        <f t="shared" si="10"/>
        <v>-5.0156739811912265E-2</v>
      </c>
    </row>
    <row r="227" spans="1:25" ht="14.4">
      <c r="A227" s="98" t="s">
        <v>456</v>
      </c>
      <c r="B227" s="99">
        <v>542216</v>
      </c>
      <c r="C227" s="98" t="s">
        <v>196</v>
      </c>
      <c r="D227" s="102" t="s">
        <v>109</v>
      </c>
      <c r="E227" s="11">
        <f ca="1">IFERROR(__xludf.DUMMYFUNCTION("GOOGLEFINANCE(""BOM:""&amp;B227,""PRICE"")"),1871)</f>
        <v>1871</v>
      </c>
      <c r="F227" s="20">
        <f ca="1">IFERROR(__xludf.DUMMYFUNCTION("GOOGLEFINANCE(""BOM:""&amp;B227,""MARKETCAP"")/10000000"),35101.0829839)</f>
        <v>35101.0829839</v>
      </c>
      <c r="G227" s="95">
        <f t="shared" ca="1" si="25"/>
        <v>8.712406084759734E-4</v>
      </c>
      <c r="H227" s="101">
        <v>10559</v>
      </c>
      <c r="I227" s="101">
        <v>9889</v>
      </c>
      <c r="J227" s="101">
        <v>762</v>
      </c>
      <c r="K227" s="101">
        <v>260</v>
      </c>
      <c r="L227" s="101">
        <v>3506</v>
      </c>
      <c r="M227" s="101">
        <v>3181</v>
      </c>
      <c r="N227" s="101">
        <v>128</v>
      </c>
      <c r="O227" s="101">
        <v>66</v>
      </c>
      <c r="P227" s="13">
        <f t="shared" ref="P227:Q227" si="453">J227/H227</f>
        <v>7.2165924803485174E-2</v>
      </c>
      <c r="Q227" s="13">
        <f t="shared" si="453"/>
        <v>2.6291839417534633E-2</v>
      </c>
      <c r="R227" s="13">
        <f t="shared" si="4"/>
        <v>4.5874085385950544E-2</v>
      </c>
      <c r="S227" s="13">
        <f t="shared" ref="S227:T227" si="454">N227/L227</f>
        <v>3.650884198516828E-2</v>
      </c>
      <c r="T227" s="13">
        <f t="shared" si="454"/>
        <v>2.0748192392329456E-2</v>
      </c>
      <c r="U227" s="13">
        <f t="shared" si="6"/>
        <v>1.5760649592838825E-2</v>
      </c>
      <c r="V227" s="13">
        <f t="shared" si="7"/>
        <v>6.7752047729800813E-2</v>
      </c>
      <c r="W227" s="13">
        <f t="shared" si="8"/>
        <v>1.9307692307692306</v>
      </c>
      <c r="X227" s="13">
        <f t="shared" si="9"/>
        <v>0.10216912920465271</v>
      </c>
      <c r="Y227" s="13">
        <f t="shared" si="10"/>
        <v>0.93939393939393945</v>
      </c>
    </row>
    <row r="228" spans="1:25" ht="14.4">
      <c r="A228" s="98" t="s">
        <v>457</v>
      </c>
      <c r="B228" s="99">
        <v>500459</v>
      </c>
      <c r="C228" s="98" t="s">
        <v>183</v>
      </c>
      <c r="D228" s="100" t="s">
        <v>282</v>
      </c>
      <c r="E228" s="11">
        <f ca="1">IFERROR(__xludf.DUMMYFUNCTION("GOOGLEFINANCE(""BOM:""&amp;B228,""PRICE"")"),9632.95)</f>
        <v>9632.9500000000007</v>
      </c>
      <c r="F228" s="20">
        <f ca="1">IFERROR(__xludf.DUMMYFUNCTION("GOOGLEFINANCE(""BOM:""&amp;B228,""MARKETCAP"")/10000000"),31196.3845665)</f>
        <v>31196.384566500001</v>
      </c>
      <c r="G228" s="95">
        <f t="shared" ca="1" si="25"/>
        <v>7.7432246419389733E-4</v>
      </c>
      <c r="H228" s="101">
        <v>3349</v>
      </c>
      <c r="I228" s="101">
        <v>3314</v>
      </c>
      <c r="J228" s="101">
        <v>703</v>
      </c>
      <c r="K228" s="101">
        <v>561</v>
      </c>
      <c r="L228" s="101">
        <v>1251</v>
      </c>
      <c r="M228" s="101">
        <v>1247</v>
      </c>
      <c r="N228" s="101">
        <v>301</v>
      </c>
      <c r="O228" s="101">
        <v>268</v>
      </c>
      <c r="P228" s="13">
        <f t="shared" ref="P228:Q228" si="455">J228/H228</f>
        <v>0.20991340698716035</v>
      </c>
      <c r="Q228" s="13">
        <f t="shared" si="455"/>
        <v>0.16928183464091731</v>
      </c>
      <c r="R228" s="13">
        <f t="shared" si="4"/>
        <v>4.0631572346243039E-2</v>
      </c>
      <c r="S228" s="13">
        <f t="shared" ref="S228:T228" si="456">N228/L228</f>
        <v>0.24060751398880895</v>
      </c>
      <c r="T228" s="13">
        <f t="shared" si="456"/>
        <v>0.21491579791499599</v>
      </c>
      <c r="U228" s="13">
        <f t="shared" si="6"/>
        <v>2.5691716073812959E-2</v>
      </c>
      <c r="V228" s="13">
        <f t="shared" si="7"/>
        <v>1.0561255280627568E-2</v>
      </c>
      <c r="W228" s="13">
        <f t="shared" si="8"/>
        <v>0.25311942959001787</v>
      </c>
      <c r="X228" s="13">
        <f t="shared" si="9"/>
        <v>3.2076984763431682E-3</v>
      </c>
      <c r="Y228" s="13">
        <f t="shared" si="10"/>
        <v>0.12313432835820892</v>
      </c>
    </row>
    <row r="229" spans="1:25" ht="14.4">
      <c r="A229" s="98" t="s">
        <v>458</v>
      </c>
      <c r="B229" s="99">
        <v>539551</v>
      </c>
      <c r="C229" s="98" t="s">
        <v>190</v>
      </c>
      <c r="D229" s="100" t="s">
        <v>113</v>
      </c>
      <c r="E229" s="11">
        <f ca="1">IFERROR(__xludf.DUMMYFUNCTION("GOOGLEFINANCE(""BOM:""&amp;B229,""PRICE"")"),1670)</f>
        <v>1670</v>
      </c>
      <c r="F229" s="20">
        <f ca="1">IFERROR(__xludf.DUMMYFUNCTION("GOOGLEFINANCE(""BOM:""&amp;B229,""MARKETCAP"")/10000000"),33937.97658)</f>
        <v>33937.976580000002</v>
      </c>
      <c r="G229" s="95">
        <f t="shared" ca="1" si="25"/>
        <v>8.423712561679283E-4</v>
      </c>
      <c r="H229" s="101">
        <v>5302</v>
      </c>
      <c r="I229" s="101">
        <v>4007</v>
      </c>
      <c r="J229" s="101">
        <v>582</v>
      </c>
      <c r="K229" s="101">
        <v>593</v>
      </c>
      <c r="L229" s="101">
        <v>2151</v>
      </c>
      <c r="M229" s="101">
        <v>1334</v>
      </c>
      <c r="N229" s="101">
        <v>128</v>
      </c>
      <c r="O229" s="101">
        <v>193</v>
      </c>
      <c r="P229" s="13">
        <f t="shared" ref="P229:Q229" si="457">J229/H229</f>
        <v>0.10976989815164089</v>
      </c>
      <c r="Q229" s="13">
        <f t="shared" si="457"/>
        <v>0.14799101572248566</v>
      </c>
      <c r="R229" s="13">
        <f t="shared" si="4"/>
        <v>-3.8221117570844773E-2</v>
      </c>
      <c r="S229" s="13">
        <f t="shared" ref="S229:T229" si="458">N229/L229</f>
        <v>5.9507205950720593E-2</v>
      </c>
      <c r="T229" s="13">
        <f t="shared" si="458"/>
        <v>0.1446776611694153</v>
      </c>
      <c r="U229" s="13">
        <f t="shared" si="6"/>
        <v>-8.5170455218694707E-2</v>
      </c>
      <c r="V229" s="13">
        <f t="shared" si="7"/>
        <v>0.32318442725230856</v>
      </c>
      <c r="W229" s="13">
        <f t="shared" si="8"/>
        <v>-1.8549747048903886E-2</v>
      </c>
      <c r="X229" s="13">
        <f t="shared" si="9"/>
        <v>0.61244377811094464</v>
      </c>
      <c r="Y229" s="13">
        <f t="shared" si="10"/>
        <v>-0.33678756476683935</v>
      </c>
    </row>
    <row r="230" spans="1:25" ht="14.4">
      <c r="A230" s="98" t="s">
        <v>459</v>
      </c>
      <c r="B230" s="99">
        <v>540530</v>
      </c>
      <c r="C230" s="98" t="s">
        <v>172</v>
      </c>
      <c r="D230" s="101" t="s">
        <v>266</v>
      </c>
      <c r="E230" s="11">
        <f ca="1">IFERROR(__xludf.DUMMYFUNCTION("GOOGLEFINANCE(""BOM:""&amp;B230,""PRICE"")"),169.25)</f>
        <v>169.25</v>
      </c>
      <c r="F230" s="20">
        <f ca="1">IFERROR(__xludf.DUMMYFUNCTION("GOOGLEFINANCE(""BOM:""&amp;B230,""MARKETCAP"")/10000000"),33900.047225)</f>
        <v>33900.047225000002</v>
      </c>
      <c r="G230" s="95">
        <f t="shared" ca="1" si="25"/>
        <v>8.4142981529146139E-4</v>
      </c>
      <c r="H230" s="101">
        <v>9702</v>
      </c>
      <c r="I230" s="101">
        <v>7493</v>
      </c>
      <c r="J230" s="101">
        <v>2053</v>
      </c>
      <c r="K230" s="101">
        <v>1981</v>
      </c>
      <c r="L230" s="101">
        <v>3506</v>
      </c>
      <c r="M230" s="101">
        <v>2770</v>
      </c>
      <c r="N230" s="101">
        <v>713</v>
      </c>
      <c r="O230" s="101">
        <v>735</v>
      </c>
      <c r="P230" s="13">
        <f t="shared" ref="P230:Q230" si="459">J230/H230</f>
        <v>0.21160585446299732</v>
      </c>
      <c r="Q230" s="13">
        <f t="shared" si="459"/>
        <v>0.26438008808221009</v>
      </c>
      <c r="R230" s="13">
        <f t="shared" si="4"/>
        <v>-5.2774233619212768E-2</v>
      </c>
      <c r="S230" s="13">
        <f t="shared" ref="S230:T230" si="460">N230/L230</f>
        <v>0.2033656588705077</v>
      </c>
      <c r="T230" s="13">
        <f t="shared" si="460"/>
        <v>0.26534296028880866</v>
      </c>
      <c r="U230" s="13">
        <f t="shared" si="6"/>
        <v>-6.1977301418300962E-2</v>
      </c>
      <c r="V230" s="13">
        <f t="shared" si="7"/>
        <v>0.29480848792206049</v>
      </c>
      <c r="W230" s="13">
        <f t="shared" si="8"/>
        <v>3.6345280161534488E-2</v>
      </c>
      <c r="X230" s="13">
        <f t="shared" si="9"/>
        <v>0.26570397111913358</v>
      </c>
      <c r="Y230" s="13">
        <f t="shared" si="10"/>
        <v>-2.9931972789115635E-2</v>
      </c>
    </row>
    <row r="231" spans="1:25" ht="14.4">
      <c r="A231" s="98" t="s">
        <v>460</v>
      </c>
      <c r="B231" s="99">
        <v>544325</v>
      </c>
      <c r="C231" s="98" t="s">
        <v>187</v>
      </c>
      <c r="D231" s="109" t="s">
        <v>78</v>
      </c>
      <c r="E231" s="11">
        <f ca="1">IFERROR(__xludf.DUMMYFUNCTION("GOOGLEFINANCE(""BOM:""&amp;B231,""PRICE"")"),150.65)</f>
        <v>150.65</v>
      </c>
      <c r="F231" s="20">
        <f ca="1">IFERROR(__xludf.DUMMYFUNCTION("GOOGLEFINANCE(""BOM:""&amp;B231,""MARKETCAP"")/10000000"),31390.4476843)</f>
        <v>31390.447684300001</v>
      </c>
      <c r="G231" s="95">
        <f t="shared" ca="1" si="25"/>
        <v>7.7913928619657933E-4</v>
      </c>
      <c r="H231" s="101">
        <v>2886</v>
      </c>
      <c r="I231" s="101">
        <v>2499</v>
      </c>
      <c r="J231" s="101">
        <v>504</v>
      </c>
      <c r="K231" s="101">
        <v>380</v>
      </c>
      <c r="L231" s="101">
        <v>1231</v>
      </c>
      <c r="M231" s="101">
        <v>1015</v>
      </c>
      <c r="N231" s="101">
        <v>237</v>
      </c>
      <c r="O231" s="101">
        <v>216</v>
      </c>
      <c r="P231" s="13">
        <f t="shared" ref="P231:Q231" si="461">J231/H231</f>
        <v>0.17463617463617465</v>
      </c>
      <c r="Q231" s="13">
        <f t="shared" si="461"/>
        <v>0.15206082432973189</v>
      </c>
      <c r="R231" s="13">
        <f t="shared" si="4"/>
        <v>2.2575350306442754E-2</v>
      </c>
      <c r="S231" s="13">
        <f t="shared" ref="S231:T231" si="462">N231/L231</f>
        <v>0.19252640129975629</v>
      </c>
      <c r="T231" s="13">
        <f t="shared" si="462"/>
        <v>0.21280788177339902</v>
      </c>
      <c r="U231" s="13">
        <f t="shared" si="6"/>
        <v>-2.0281480473642727E-2</v>
      </c>
      <c r="V231" s="13">
        <f t="shared" si="7"/>
        <v>0.15486194477791115</v>
      </c>
      <c r="W231" s="13">
        <f t="shared" si="8"/>
        <v>0.32631578947368411</v>
      </c>
      <c r="X231" s="13">
        <f t="shared" si="9"/>
        <v>0.21280788177339893</v>
      </c>
      <c r="Y231" s="13">
        <f t="shared" si="10"/>
        <v>9.7222222222222321E-2</v>
      </c>
    </row>
    <row r="232" spans="1:25" ht="14.4">
      <c r="A232" s="98" t="s">
        <v>461</v>
      </c>
      <c r="B232" s="99">
        <v>532505</v>
      </c>
      <c r="C232" s="98" t="s">
        <v>172</v>
      </c>
      <c r="D232" s="102" t="s">
        <v>107</v>
      </c>
      <c r="E232" s="11">
        <f ca="1">IFERROR(__xludf.DUMMYFUNCTION("GOOGLEFINANCE(""BOM:""&amp;B232,""PRICE"")"),24.22)</f>
        <v>24.22</v>
      </c>
      <c r="F232" s="20">
        <f ca="1">IFERROR(__xludf.DUMMYFUNCTION("GOOGLEFINANCE(""BOM:""&amp;B232,""MARKETCAP"")/10000000"),30383.3533059)</f>
        <v>30383.3533059</v>
      </c>
      <c r="G232" s="95">
        <f t="shared" ca="1" si="25"/>
        <v>7.5414229338492168E-4</v>
      </c>
      <c r="H232" s="101">
        <v>22375</v>
      </c>
      <c r="I232" s="101">
        <v>21336</v>
      </c>
      <c r="J232" s="101">
        <v>1966</v>
      </c>
      <c r="K232" s="101">
        <v>1792</v>
      </c>
      <c r="L232" s="101">
        <v>7521</v>
      </c>
      <c r="M232" s="101">
        <v>7405</v>
      </c>
      <c r="N232" s="101">
        <v>739</v>
      </c>
      <c r="O232" s="101">
        <v>638</v>
      </c>
      <c r="P232" s="13">
        <f t="shared" ref="P232:Q232" si="463">J232/H232</f>
        <v>8.7865921787709494E-2</v>
      </c>
      <c r="Q232" s="13">
        <f t="shared" si="463"/>
        <v>8.3989501312335957E-2</v>
      </c>
      <c r="R232" s="13">
        <f t="shared" si="4"/>
        <v>3.8764204753735376E-3</v>
      </c>
      <c r="S232" s="13">
        <f t="shared" ref="S232:T232" si="464">N232/L232</f>
        <v>9.8258210344369101E-2</v>
      </c>
      <c r="T232" s="13">
        <f t="shared" si="464"/>
        <v>8.6158001350438898E-2</v>
      </c>
      <c r="U232" s="13">
        <f t="shared" si="6"/>
        <v>1.2100208993930203E-2</v>
      </c>
      <c r="V232" s="13">
        <f t="shared" si="7"/>
        <v>4.8697037870266247E-2</v>
      </c>
      <c r="W232" s="13">
        <f t="shared" si="8"/>
        <v>9.7098214285714191E-2</v>
      </c>
      <c r="X232" s="13">
        <f t="shared" si="9"/>
        <v>1.5665091154625221E-2</v>
      </c>
      <c r="Y232" s="13">
        <f t="shared" si="10"/>
        <v>0.15830721003134807</v>
      </c>
    </row>
    <row r="233" spans="1:25" ht="14.4">
      <c r="A233" s="98" t="s">
        <v>462</v>
      </c>
      <c r="B233" s="99">
        <v>532683</v>
      </c>
      <c r="C233" s="98" t="s">
        <v>180</v>
      </c>
      <c r="D233" s="102" t="s">
        <v>463</v>
      </c>
      <c r="E233" s="11">
        <f ca="1">IFERROR(__xludf.DUMMYFUNCTION("GOOGLEFINANCE(""BOM:""&amp;B233,""PRICE"")"),3655.05)</f>
        <v>3655.05</v>
      </c>
      <c r="F233" s="20">
        <f ca="1">IFERROR(__xludf.DUMMYFUNCTION("GOOGLEFINANCE(""BOM:""&amp;B233,""MARKETCAP"")/10000000"),34136.591346)</f>
        <v>34136.591346000001</v>
      </c>
      <c r="G233" s="95">
        <f t="shared" ca="1" si="25"/>
        <v>8.4730105419329185E-4</v>
      </c>
      <c r="H233" s="101">
        <v>3153</v>
      </c>
      <c r="I233" s="101">
        <v>3130</v>
      </c>
      <c r="J233" s="101">
        <v>875</v>
      </c>
      <c r="K233" s="101">
        <v>774</v>
      </c>
      <c r="L233" s="101">
        <v>1066</v>
      </c>
      <c r="M233" s="101">
        <v>1066</v>
      </c>
      <c r="N233" s="101">
        <v>292</v>
      </c>
      <c r="O233" s="101">
        <v>258</v>
      </c>
      <c r="P233" s="13">
        <f t="shared" ref="P233:Q233" si="465">J233/H233</f>
        <v>0.27751347922613384</v>
      </c>
      <c r="Q233" s="13">
        <f t="shared" si="465"/>
        <v>0.24728434504792332</v>
      </c>
      <c r="R233" s="13">
        <f t="shared" si="4"/>
        <v>3.0229134178210521E-2</v>
      </c>
      <c r="S233" s="13">
        <f t="shared" ref="S233:T233" si="466">N233/L233</f>
        <v>0.27392120075046905</v>
      </c>
      <c r="T233" s="13">
        <f t="shared" si="466"/>
        <v>0.24202626641651032</v>
      </c>
      <c r="U233" s="13">
        <f t="shared" si="6"/>
        <v>3.1894934333958735E-2</v>
      </c>
      <c r="V233" s="13">
        <f t="shared" si="7"/>
        <v>7.348242811501704E-3</v>
      </c>
      <c r="W233" s="13">
        <f t="shared" si="8"/>
        <v>0.1304909560723515</v>
      </c>
      <c r="X233" s="13">
        <f t="shared" si="9"/>
        <v>0</v>
      </c>
      <c r="Y233" s="13">
        <f t="shared" si="10"/>
        <v>0.13178294573643412</v>
      </c>
    </row>
    <row r="234" spans="1:25" ht="14.4">
      <c r="A234" s="98" t="s">
        <v>464</v>
      </c>
      <c r="B234" s="99">
        <v>532885</v>
      </c>
      <c r="C234" s="98" t="s">
        <v>172</v>
      </c>
      <c r="D234" s="102" t="s">
        <v>107</v>
      </c>
      <c r="E234" s="11">
        <f ca="1">IFERROR(__xludf.DUMMYFUNCTION("GOOGLEFINANCE(""BOM:""&amp;B234,""PRICE"")"),33.76)</f>
        <v>33.76</v>
      </c>
      <c r="F234" s="20">
        <f ca="1">IFERROR(__xludf.DUMMYFUNCTION("GOOGLEFINANCE(""BOM:""&amp;B234,""MARKETCAP"")/10000000"),30557.5316327)</f>
        <v>30557.5316327</v>
      </c>
      <c r="G234" s="95">
        <f t="shared" ca="1" si="25"/>
        <v>7.5846555690058473E-4</v>
      </c>
      <c r="H234" s="101">
        <v>31700</v>
      </c>
      <c r="I234" s="101">
        <v>29191</v>
      </c>
      <c r="J234" s="101">
        <v>3778</v>
      </c>
      <c r="K234" s="101">
        <v>2829</v>
      </c>
      <c r="L234" s="101">
        <v>11006</v>
      </c>
      <c r="M234" s="101">
        <v>9774</v>
      </c>
      <c r="N234" s="101">
        <v>1264</v>
      </c>
      <c r="O234" s="101">
        <v>963</v>
      </c>
      <c r="P234" s="13">
        <f t="shared" ref="P234:Q234" si="467">J234/H234</f>
        <v>0.11917981072555205</v>
      </c>
      <c r="Q234" s="13">
        <f t="shared" si="467"/>
        <v>9.6913432222260287E-2</v>
      </c>
      <c r="R234" s="13">
        <f t="shared" si="4"/>
        <v>2.2266378503291759E-2</v>
      </c>
      <c r="S234" s="13">
        <f t="shared" ref="S234:T234" si="468">N234/L234</f>
        <v>0.11484644739233145</v>
      </c>
      <c r="T234" s="13">
        <f t="shared" si="468"/>
        <v>9.8526703499079188E-2</v>
      </c>
      <c r="U234" s="13">
        <f t="shared" si="6"/>
        <v>1.6319743893252261E-2</v>
      </c>
      <c r="V234" s="13">
        <f t="shared" si="7"/>
        <v>8.595114932684722E-2</v>
      </c>
      <c r="W234" s="13">
        <f t="shared" si="8"/>
        <v>0.33545422410745851</v>
      </c>
      <c r="X234" s="13">
        <f t="shared" si="9"/>
        <v>0.12604870063433604</v>
      </c>
      <c r="Y234" s="13">
        <f t="shared" si="10"/>
        <v>0.31256490134994808</v>
      </c>
    </row>
    <row r="235" spans="1:25" ht="14.4">
      <c r="A235" s="98" t="s">
        <v>465</v>
      </c>
      <c r="B235" s="99">
        <v>532497</v>
      </c>
      <c r="C235" s="98" t="s">
        <v>183</v>
      </c>
      <c r="D235" s="101" t="s">
        <v>317</v>
      </c>
      <c r="E235" s="11">
        <f ca="1">IFERROR(__xludf.DUMMYFUNCTION("GOOGLEFINANCE(""BOM:""&amp;B235,""PRICE"")"),2686.4)</f>
        <v>2686.4</v>
      </c>
      <c r="F235" s="20">
        <f ca="1">IFERROR(__xludf.DUMMYFUNCTION("GOOGLEFINANCE(""BOM:""&amp;B235,""MARKETCAP"")/10000000"),35938.19636)</f>
        <v>35938.196360000002</v>
      </c>
      <c r="G235" s="95">
        <f t="shared" ca="1" si="25"/>
        <v>8.9201851916013281E-4</v>
      </c>
      <c r="H235" s="101">
        <v>15794</v>
      </c>
      <c r="I235" s="101">
        <v>12613</v>
      </c>
      <c r="J235" s="101">
        <v>425</v>
      </c>
      <c r="K235" s="101">
        <v>253</v>
      </c>
      <c r="L235" s="101">
        <v>5423</v>
      </c>
      <c r="M235" s="101">
        <v>4440</v>
      </c>
      <c r="N235" s="101">
        <v>154</v>
      </c>
      <c r="O235" s="101">
        <v>95</v>
      </c>
      <c r="P235" s="13">
        <f t="shared" ref="P235:Q235" si="469">J235/H235</f>
        <v>2.6908952766873495E-2</v>
      </c>
      <c r="Q235" s="13">
        <f t="shared" si="469"/>
        <v>2.0058669626575754E-2</v>
      </c>
      <c r="R235" s="13">
        <f t="shared" si="4"/>
        <v>6.8502831402977409E-3</v>
      </c>
      <c r="S235" s="13">
        <f t="shared" ref="S235:T235" si="470">N235/L235</f>
        <v>2.8397565922920892E-2</v>
      </c>
      <c r="T235" s="13">
        <f t="shared" si="470"/>
        <v>2.1396396396396396E-2</v>
      </c>
      <c r="U235" s="13">
        <f t="shared" si="6"/>
        <v>7.0011695265244957E-3</v>
      </c>
      <c r="V235" s="13">
        <f t="shared" si="7"/>
        <v>0.25220011099659079</v>
      </c>
      <c r="W235" s="13">
        <f t="shared" si="8"/>
        <v>0.67984189723320165</v>
      </c>
      <c r="X235" s="13">
        <f t="shared" si="9"/>
        <v>0.2213963963963963</v>
      </c>
      <c r="Y235" s="13">
        <f t="shared" si="10"/>
        <v>0.6210526315789473</v>
      </c>
    </row>
    <row r="236" spans="1:25" ht="14.4">
      <c r="A236" s="98" t="s">
        <v>466</v>
      </c>
      <c r="B236" s="99">
        <v>513683</v>
      </c>
      <c r="C236" s="98" t="s">
        <v>198</v>
      </c>
      <c r="D236" s="101" t="s">
        <v>199</v>
      </c>
      <c r="E236" s="11">
        <f ca="1">IFERROR(__xludf.DUMMYFUNCTION("GOOGLEFINANCE(""BOM:""&amp;B236,""PRICE"")"),276.15)</f>
        <v>276.14999999999998</v>
      </c>
      <c r="F236" s="20">
        <f ca="1">IFERROR(__xludf.DUMMYFUNCTION("GOOGLEFINANCE(""BOM:""&amp;B236,""MARKETCAP"")/10000000"),38257.2863936)</f>
        <v>38257.286393599999</v>
      </c>
      <c r="G236" s="95">
        <f t="shared" ca="1" si="25"/>
        <v>9.4958043008211131E-4</v>
      </c>
      <c r="H236" s="101">
        <v>12447</v>
      </c>
      <c r="I236" s="101">
        <v>11447</v>
      </c>
      <c r="J236" s="101">
        <v>2288</v>
      </c>
      <c r="K236" s="101">
        <v>2245</v>
      </c>
      <c r="L236" s="101">
        <v>4443</v>
      </c>
      <c r="M236" s="101">
        <v>4411</v>
      </c>
      <c r="N236" s="101">
        <v>724</v>
      </c>
      <c r="O236" s="101">
        <v>696</v>
      </c>
      <c r="P236" s="13">
        <f t="shared" ref="P236:Q236" si="471">J236/H236</f>
        <v>0.18381939423154173</v>
      </c>
      <c r="Q236" s="13">
        <f t="shared" si="471"/>
        <v>0.19612125447715559</v>
      </c>
      <c r="R236" s="13">
        <f t="shared" si="4"/>
        <v>-1.230186024561386E-2</v>
      </c>
      <c r="S236" s="13">
        <f t="shared" ref="S236:T236" si="472">N236/L236</f>
        <v>0.16295295971190638</v>
      </c>
      <c r="T236" s="13">
        <f t="shared" si="472"/>
        <v>0.15778734980729994</v>
      </c>
      <c r="U236" s="13">
        <f t="shared" si="6"/>
        <v>5.165609904606433E-3</v>
      </c>
      <c r="V236" s="13">
        <f t="shared" si="7"/>
        <v>8.7359133397396649E-2</v>
      </c>
      <c r="W236" s="13">
        <f t="shared" si="8"/>
        <v>1.9153674832962153E-2</v>
      </c>
      <c r="X236" s="13">
        <f t="shared" si="9"/>
        <v>7.2545907957379807E-3</v>
      </c>
      <c r="Y236" s="13">
        <f t="shared" si="10"/>
        <v>4.022988505747116E-2</v>
      </c>
    </row>
    <row r="237" spans="1:25" ht="14.4">
      <c r="A237" s="98" t="s">
        <v>467</v>
      </c>
      <c r="B237" s="99">
        <v>532827</v>
      </c>
      <c r="C237" s="98" t="s">
        <v>187</v>
      </c>
      <c r="D237" s="102" t="s">
        <v>96</v>
      </c>
      <c r="E237" s="11">
        <f ca="1">IFERROR(__xludf.DUMMYFUNCTION("GOOGLEFINANCE(""BOM:""&amp;B237,""PRICE"")"),34623.5)</f>
        <v>34623.5</v>
      </c>
      <c r="F237" s="20">
        <f ca="1">IFERROR(__xludf.DUMMYFUNCTION("GOOGLEFINANCE(""BOM:""&amp;B237,""MARKETCAP"")/10000000"),38737.39051)</f>
        <v>38737.390509999997</v>
      </c>
      <c r="G237" s="95">
        <f t="shared" ca="1" si="25"/>
        <v>9.6149704823021839E-4</v>
      </c>
      <c r="H237" s="101">
        <v>3994</v>
      </c>
      <c r="I237" s="101">
        <v>3836</v>
      </c>
      <c r="J237" s="101">
        <v>585</v>
      </c>
      <c r="K237" s="101">
        <v>565</v>
      </c>
      <c r="L237" s="101">
        <v>1386</v>
      </c>
      <c r="M237" s="101">
        <v>1313</v>
      </c>
      <c r="N237" s="101">
        <v>189</v>
      </c>
      <c r="O237" s="101">
        <v>204</v>
      </c>
      <c r="P237" s="13">
        <f t="shared" ref="P237:Q237" si="473">J237/H237</f>
        <v>0.14646970455683525</v>
      </c>
      <c r="Q237" s="13">
        <f t="shared" si="473"/>
        <v>0.14728884254431698</v>
      </c>
      <c r="R237" s="13">
        <f t="shared" si="4"/>
        <v>-8.1913798748173283E-4</v>
      </c>
      <c r="S237" s="13">
        <f t="shared" ref="S237:T237" si="474">N237/L237</f>
        <v>0.13636363636363635</v>
      </c>
      <c r="T237" s="13">
        <f t="shared" si="474"/>
        <v>0.15536938309215537</v>
      </c>
      <c r="U237" s="13">
        <f t="shared" si="6"/>
        <v>-1.9005746728519013E-2</v>
      </c>
      <c r="V237" s="13">
        <f t="shared" si="7"/>
        <v>4.1188738269030134E-2</v>
      </c>
      <c r="W237" s="13">
        <f t="shared" si="8"/>
        <v>3.539823008849563E-2</v>
      </c>
      <c r="X237" s="13">
        <f t="shared" si="9"/>
        <v>5.5597867479055596E-2</v>
      </c>
      <c r="Y237" s="13">
        <f t="shared" si="10"/>
        <v>-7.3529411764705843E-2</v>
      </c>
    </row>
    <row r="238" spans="1:25" ht="14.4">
      <c r="A238" s="98" t="s">
        <v>468</v>
      </c>
      <c r="B238" s="99">
        <v>500411</v>
      </c>
      <c r="C238" s="98" t="s">
        <v>180</v>
      </c>
      <c r="D238" s="101" t="s">
        <v>275</v>
      </c>
      <c r="E238" s="11">
        <f ca="1">IFERROR(__xludf.DUMMYFUNCTION("GOOGLEFINANCE(""BOM:""&amp;B238,""PRICE"")"),3293.6)</f>
        <v>3293.6</v>
      </c>
      <c r="F238" s="20">
        <f ca="1">IFERROR(__xludf.DUMMYFUNCTION("GOOGLEFINANCE(""BOM:""&amp;B238,""MARKETCAP"")/10000000"),37110.8877959)</f>
        <v>37110.887795900002</v>
      </c>
      <c r="G238" s="95">
        <f t="shared" ca="1" si="25"/>
        <v>9.2112578062658688E-4</v>
      </c>
      <c r="H238" s="101">
        <v>7266</v>
      </c>
      <c r="I238" s="101">
        <v>7323</v>
      </c>
      <c r="J238" s="101">
        <v>476</v>
      </c>
      <c r="K238" s="101">
        <v>421</v>
      </c>
      <c r="L238" s="101">
        <v>2635</v>
      </c>
      <c r="M238" s="101">
        <v>2523</v>
      </c>
      <c r="N238" s="101">
        <v>205</v>
      </c>
      <c r="O238" s="101">
        <v>114</v>
      </c>
      <c r="P238" s="13">
        <f t="shared" ref="P238:Q238" si="475">J238/H238</f>
        <v>6.5510597302504817E-2</v>
      </c>
      <c r="Q238" s="13">
        <f t="shared" si="475"/>
        <v>5.7490099685921073E-2</v>
      </c>
      <c r="R238" s="13">
        <f t="shared" si="4"/>
        <v>8.0204976165837438E-3</v>
      </c>
      <c r="S238" s="13">
        <f t="shared" ref="S238:T238" si="476">N238/L238</f>
        <v>7.7798861480075907E-2</v>
      </c>
      <c r="T238" s="13">
        <f t="shared" si="476"/>
        <v>4.5184304399524373E-2</v>
      </c>
      <c r="U238" s="13">
        <f t="shared" si="6"/>
        <v>3.2614557080551533E-2</v>
      </c>
      <c r="V238" s="13">
        <f t="shared" si="7"/>
        <v>-7.7836952068823795E-3</v>
      </c>
      <c r="W238" s="13">
        <f t="shared" si="8"/>
        <v>0.13064133016627077</v>
      </c>
      <c r="X238" s="13">
        <f t="shared" si="9"/>
        <v>4.4391597304795916E-2</v>
      </c>
      <c r="Y238" s="13">
        <f t="shared" si="10"/>
        <v>0.79824561403508776</v>
      </c>
    </row>
    <row r="239" spans="1:25" ht="14.4">
      <c r="A239" s="98" t="s">
        <v>469</v>
      </c>
      <c r="B239" s="99">
        <v>524000</v>
      </c>
      <c r="C239" s="98" t="s">
        <v>172</v>
      </c>
      <c r="D239" s="100" t="s">
        <v>178</v>
      </c>
      <c r="E239" s="11">
        <f ca="1">IFERROR(__xludf.DUMMYFUNCTION("GOOGLEFINANCE(""BOM:""&amp;B239,""PRICE"")"),390.1)</f>
        <v>390.1</v>
      </c>
      <c r="F239" s="20">
        <f ca="1">IFERROR(__xludf.DUMMYFUNCTION("GOOGLEFINANCE(""BOM:""&amp;B239,""MARKETCAP"")/10000000"),31519.5928681)</f>
        <v>31519.5928681</v>
      </c>
      <c r="G239" s="95">
        <f t="shared" ca="1" si="25"/>
        <v>7.8234478639630997E-4</v>
      </c>
      <c r="H239" s="101">
        <v>4675</v>
      </c>
      <c r="I239" s="101">
        <v>3049</v>
      </c>
      <c r="J239" s="101">
        <v>287</v>
      </c>
      <c r="K239" s="101">
        <v>-160</v>
      </c>
      <c r="L239" s="101">
        <v>1818</v>
      </c>
      <c r="M239" s="101">
        <v>1057</v>
      </c>
      <c r="N239" s="101">
        <v>150</v>
      </c>
      <c r="O239" s="101">
        <v>19</v>
      </c>
      <c r="P239" s="13">
        <f t="shared" ref="P239:Q239" si="477">J239/H239</f>
        <v>6.1390374331550805E-2</v>
      </c>
      <c r="Q239" s="13">
        <f t="shared" si="477"/>
        <v>-5.2476221712036732E-2</v>
      </c>
      <c r="R239" s="13">
        <f t="shared" si="4"/>
        <v>0.11386659604358754</v>
      </c>
      <c r="S239" s="13">
        <f t="shared" ref="S239:T239" si="478">N239/L239</f>
        <v>8.2508250825082508E-2</v>
      </c>
      <c r="T239" s="13">
        <f t="shared" si="478"/>
        <v>1.7975402081362345E-2</v>
      </c>
      <c r="U239" s="13">
        <f t="shared" si="6"/>
        <v>6.4532848743720159E-2</v>
      </c>
      <c r="V239" s="13">
        <f t="shared" si="7"/>
        <v>0.53328960314857321</v>
      </c>
      <c r="W239" s="13">
        <f t="shared" si="8"/>
        <v>-2.7937500000000002</v>
      </c>
      <c r="X239" s="13">
        <f t="shared" si="9"/>
        <v>0.71996215704824973</v>
      </c>
      <c r="Y239" s="13">
        <f t="shared" si="10"/>
        <v>6.8947368421052628</v>
      </c>
    </row>
    <row r="240" spans="1:25" ht="14.4">
      <c r="A240" s="98" t="s">
        <v>470</v>
      </c>
      <c r="B240" s="99">
        <v>506943</v>
      </c>
      <c r="C240" s="98" t="s">
        <v>190</v>
      </c>
      <c r="D240" s="100" t="s">
        <v>100</v>
      </c>
      <c r="E240" s="11">
        <f ca="1">IFERROR(__xludf.DUMMYFUNCTION("GOOGLEFINANCE(""BOM:""&amp;B240,""PRICE"")"),1952.45)</f>
        <v>1952.45</v>
      </c>
      <c r="F240" s="20">
        <f ca="1">IFERROR(__xludf.DUMMYFUNCTION("GOOGLEFINANCE(""BOM:""&amp;B240,""MARKETCAP"")/10000000"),31373.16998)</f>
        <v>31373.169979999999</v>
      </c>
      <c r="G240" s="95">
        <f t="shared" ca="1" si="25"/>
        <v>7.7871043795807037E-4</v>
      </c>
      <c r="H240" s="101">
        <v>3243</v>
      </c>
      <c r="I240" s="101">
        <v>2968</v>
      </c>
      <c r="J240" s="101">
        <v>608</v>
      </c>
      <c r="K240" s="101">
        <v>513</v>
      </c>
      <c r="L240" s="101">
        <v>1064</v>
      </c>
      <c r="M240" s="101">
        <v>963</v>
      </c>
      <c r="N240" s="101">
        <v>197</v>
      </c>
      <c r="O240" s="101">
        <v>162</v>
      </c>
      <c r="P240" s="13">
        <f t="shared" ref="P240:Q240" si="479">J240/H240</f>
        <v>0.18748072772124577</v>
      </c>
      <c r="Q240" s="13">
        <f t="shared" si="479"/>
        <v>0.17284366576819407</v>
      </c>
      <c r="R240" s="13">
        <f t="shared" si="4"/>
        <v>1.46370619530517E-2</v>
      </c>
      <c r="S240" s="13">
        <f t="shared" ref="S240:T240" si="480">N240/L240</f>
        <v>0.18515037593984962</v>
      </c>
      <c r="T240" s="13">
        <f t="shared" si="480"/>
        <v>0.16822429906542055</v>
      </c>
      <c r="U240" s="13">
        <f t="shared" si="6"/>
        <v>1.6926076874429069E-2</v>
      </c>
      <c r="V240" s="13">
        <f t="shared" si="7"/>
        <v>9.2654986522911154E-2</v>
      </c>
      <c r="W240" s="13">
        <f t="shared" si="8"/>
        <v>0.18518518518518512</v>
      </c>
      <c r="X240" s="13">
        <f t="shared" si="9"/>
        <v>0.10488058151609558</v>
      </c>
      <c r="Y240" s="13">
        <f t="shared" si="10"/>
        <v>0.21604938271604945</v>
      </c>
    </row>
    <row r="241" spans="1:25" ht="14.4">
      <c r="A241" s="98" t="s">
        <v>471</v>
      </c>
      <c r="B241" s="99">
        <v>540975</v>
      </c>
      <c r="C241" s="98" t="s">
        <v>190</v>
      </c>
      <c r="D241" s="102" t="s">
        <v>113</v>
      </c>
      <c r="E241" s="11">
        <f ca="1">IFERROR(__xludf.DUMMYFUNCTION("GOOGLEFINANCE(""BOM:""&amp;B241,""PRICE"")"),671.95)</f>
        <v>671.95</v>
      </c>
      <c r="F241" s="20">
        <f ca="1">IFERROR(__xludf.DUMMYFUNCTION("GOOGLEFINANCE(""BOM:""&amp;B241,""MARKETCAP"")/10000000"),34668.340928)</f>
        <v>34668.340927999998</v>
      </c>
      <c r="G241" s="95">
        <f t="shared" ca="1" si="25"/>
        <v>8.6049955948132013E-4</v>
      </c>
      <c r="H241" s="101">
        <v>3461</v>
      </c>
      <c r="I241" s="101">
        <v>3138</v>
      </c>
      <c r="J241" s="101">
        <v>274</v>
      </c>
      <c r="K241" s="101">
        <v>251</v>
      </c>
      <c r="L241" s="101">
        <v>1186</v>
      </c>
      <c r="M241" s="101">
        <v>1050</v>
      </c>
      <c r="N241" s="101">
        <v>59</v>
      </c>
      <c r="O241" s="101">
        <v>64</v>
      </c>
      <c r="P241" s="13">
        <f t="shared" ref="P241:Q241" si="481">J241/H241</f>
        <v>7.9167870557642295E-2</v>
      </c>
      <c r="Q241" s="13">
        <f t="shared" si="481"/>
        <v>7.9987253027405988E-2</v>
      </c>
      <c r="R241" s="13">
        <f t="shared" si="4"/>
        <v>-8.1938246976369367E-4</v>
      </c>
      <c r="S241" s="13">
        <f t="shared" ref="S241:T241" si="482">N241/L241</f>
        <v>4.9747048903878585E-2</v>
      </c>
      <c r="T241" s="13">
        <f t="shared" si="482"/>
        <v>6.0952380952380952E-2</v>
      </c>
      <c r="U241" s="13">
        <f t="shared" si="6"/>
        <v>-1.1205332048502367E-2</v>
      </c>
      <c r="V241" s="13">
        <f t="shared" si="7"/>
        <v>0.10293180369662203</v>
      </c>
      <c r="W241" s="13">
        <f t="shared" si="8"/>
        <v>9.1633466135458086E-2</v>
      </c>
      <c r="X241" s="13">
        <f t="shared" si="9"/>
        <v>0.1295238095238096</v>
      </c>
      <c r="Y241" s="13">
        <f t="shared" si="10"/>
        <v>-7.8125E-2</v>
      </c>
    </row>
    <row r="242" spans="1:25" ht="14.4">
      <c r="A242" s="98" t="s">
        <v>472</v>
      </c>
      <c r="B242" s="99">
        <v>533155</v>
      </c>
      <c r="C242" s="98" t="s">
        <v>187</v>
      </c>
      <c r="D242" s="100" t="s">
        <v>124</v>
      </c>
      <c r="E242" s="11">
        <f ca="1">IFERROR(__xludf.DUMMYFUNCTION("GOOGLEFINANCE(""BOM:""&amp;B242,""PRICE"")"),461.15)</f>
        <v>461.15</v>
      </c>
      <c r="F242" s="20">
        <f ca="1">IFERROR(__xludf.DUMMYFUNCTION("GOOGLEFINANCE(""BOM:""&amp;B242,""MARKETCAP"")/10000000"),30350.0619213)</f>
        <v>30350.061921299999</v>
      </c>
      <c r="G242" s="95">
        <f t="shared" ca="1" si="25"/>
        <v>7.5331597112616923E-4</v>
      </c>
      <c r="H242" s="101">
        <v>7038</v>
      </c>
      <c r="I242" s="101">
        <v>6038</v>
      </c>
      <c r="J242" s="101">
        <v>361</v>
      </c>
      <c r="K242" s="101">
        <v>167</v>
      </c>
      <c r="L242" s="101">
        <v>2437</v>
      </c>
      <c r="M242" s="101">
        <v>2150</v>
      </c>
      <c r="N242" s="101">
        <v>72</v>
      </c>
      <c r="O242" s="101">
        <v>43</v>
      </c>
      <c r="P242" s="13">
        <f t="shared" ref="P242:Q242" si="483">J242/H242</f>
        <v>5.129298096050014E-2</v>
      </c>
      <c r="Q242" s="13">
        <f t="shared" si="483"/>
        <v>2.7658164955283206E-2</v>
      </c>
      <c r="R242" s="13">
        <f t="shared" si="4"/>
        <v>2.3634816005216934E-2</v>
      </c>
      <c r="S242" s="13">
        <f t="shared" ref="S242:T242" si="484">N242/L242</f>
        <v>2.9544521953221173E-2</v>
      </c>
      <c r="T242" s="13">
        <f t="shared" si="484"/>
        <v>0.02</v>
      </c>
      <c r="U242" s="13">
        <f t="shared" si="6"/>
        <v>9.5445219532211724E-3</v>
      </c>
      <c r="V242" s="13">
        <f t="shared" si="7"/>
        <v>0.16561775422325264</v>
      </c>
      <c r="W242" s="13">
        <f t="shared" si="8"/>
        <v>1.1616766467065869</v>
      </c>
      <c r="X242" s="13">
        <f t="shared" si="9"/>
        <v>0.13348837209302333</v>
      </c>
      <c r="Y242" s="13">
        <f t="shared" si="10"/>
        <v>0.67441860465116288</v>
      </c>
    </row>
    <row r="243" spans="1:25" ht="14.4">
      <c r="A243" s="98" t="s">
        <v>473</v>
      </c>
      <c r="B243" s="99">
        <v>500109</v>
      </c>
      <c r="C243" s="98" t="s">
        <v>91</v>
      </c>
      <c r="D243" s="100" t="s">
        <v>168</v>
      </c>
      <c r="E243" s="11">
        <f ca="1">IFERROR(__xludf.DUMMYFUNCTION("GOOGLEFINANCE(""BOM:""&amp;B243,""PRICE"")"),179.8)</f>
        <v>179.8</v>
      </c>
      <c r="F243" s="20">
        <f ca="1">IFERROR(__xludf.DUMMYFUNCTION("GOOGLEFINANCE(""BOM:""&amp;B243,""MARKETCAP"")/10000000"),31498.785845)</f>
        <v>31498.785844999999</v>
      </c>
      <c r="G243" s="95">
        <f t="shared" ca="1" si="25"/>
        <v>7.8182833727493859E-4</v>
      </c>
      <c r="H243" s="101">
        <v>76661</v>
      </c>
      <c r="I243" s="101">
        <v>81676</v>
      </c>
      <c r="J243" s="101">
        <v>1807</v>
      </c>
      <c r="K243" s="101">
        <v>-314</v>
      </c>
      <c r="L243" s="101">
        <v>29720</v>
      </c>
      <c r="M243" s="101">
        <v>25600</v>
      </c>
      <c r="N243" s="101">
        <v>1450</v>
      </c>
      <c r="O243" s="101">
        <v>309</v>
      </c>
      <c r="P243" s="13">
        <f t="shared" ref="P243:Q243" si="485">J243/H243</f>
        <v>2.3571307444463285E-2</v>
      </c>
      <c r="Q243" s="13">
        <f t="shared" si="485"/>
        <v>-3.8444585924873893E-3</v>
      </c>
      <c r="R243" s="13">
        <f t="shared" si="4"/>
        <v>2.7415766036950673E-2</v>
      </c>
      <c r="S243" s="13">
        <f t="shared" ref="S243:T243" si="486">N243/L243</f>
        <v>4.8788694481830416E-2</v>
      </c>
      <c r="T243" s="13">
        <f t="shared" si="486"/>
        <v>1.2070312499999999E-2</v>
      </c>
      <c r="U243" s="13">
        <f t="shared" si="6"/>
        <v>3.6718381981830417E-2</v>
      </c>
      <c r="V243" s="13">
        <f t="shared" si="7"/>
        <v>-6.1401145991478501E-2</v>
      </c>
      <c r="W243" s="13">
        <f t="shared" si="8"/>
        <v>-6.7547770700636942</v>
      </c>
      <c r="X243" s="13">
        <f t="shared" si="9"/>
        <v>0.16093749999999996</v>
      </c>
      <c r="Y243" s="13">
        <f t="shared" si="10"/>
        <v>3.6925566343042071</v>
      </c>
    </row>
    <row r="244" spans="1:25" ht="14.4">
      <c r="A244" s="98" t="s">
        <v>474</v>
      </c>
      <c r="B244" s="99">
        <v>500164</v>
      </c>
      <c r="C244" s="98" t="s">
        <v>441</v>
      </c>
      <c r="D244" s="98" t="s">
        <v>441</v>
      </c>
      <c r="E244" s="11">
        <f ca="1">IFERROR(__xludf.DUMMYFUNCTION("GOOGLEFINANCE(""BOM:""&amp;B244,""PRICE"")"),839.6)</f>
        <v>839.6</v>
      </c>
      <c r="F244" s="20">
        <f ca="1">IFERROR(__xludf.DUMMYFUNCTION("GOOGLEFINANCE(""BOM:""&amp;B244,""MARKETCAP"")/10000000"),28198.98188)</f>
        <v>28198.981879999999</v>
      </c>
      <c r="G244" s="95">
        <f t="shared" ca="1" si="25"/>
        <v>6.9992422008183989E-4</v>
      </c>
      <c r="H244" s="101">
        <v>14543</v>
      </c>
      <c r="I244" s="101">
        <v>13873</v>
      </c>
      <c r="J244" s="101">
        <v>1571</v>
      </c>
      <c r="K244" s="101">
        <v>1442</v>
      </c>
      <c r="L244" s="101">
        <v>5051</v>
      </c>
      <c r="M244" s="101">
        <v>4825</v>
      </c>
      <c r="N244" s="101">
        <v>353</v>
      </c>
      <c r="O244" s="101">
        <v>312</v>
      </c>
      <c r="P244" s="13">
        <f t="shared" ref="P244:Q244" si="487">J244/H244</f>
        <v>0.10802447913085333</v>
      </c>
      <c r="Q244" s="13">
        <f t="shared" si="487"/>
        <v>0.10394291068982917</v>
      </c>
      <c r="R244" s="13">
        <f t="shared" si="4"/>
        <v>4.0815684410241693E-3</v>
      </c>
      <c r="S244" s="13">
        <f t="shared" ref="S244:T244" si="488">N244/L244</f>
        <v>6.9887151059196198E-2</v>
      </c>
      <c r="T244" s="13">
        <f t="shared" si="488"/>
        <v>6.4663212435233167E-2</v>
      </c>
      <c r="U244" s="13">
        <f t="shared" si="6"/>
        <v>5.2239386239630314E-3</v>
      </c>
      <c r="V244" s="13">
        <f t="shared" si="7"/>
        <v>4.8295249765732073E-2</v>
      </c>
      <c r="W244" s="13">
        <f t="shared" si="8"/>
        <v>8.9459084604715633E-2</v>
      </c>
      <c r="X244" s="13">
        <f t="shared" si="9"/>
        <v>4.6839378238342055E-2</v>
      </c>
      <c r="Y244" s="13">
        <f t="shared" si="10"/>
        <v>0.13141025641025639</v>
      </c>
    </row>
    <row r="245" spans="1:25" ht="14.4">
      <c r="A245" s="98" t="s">
        <v>475</v>
      </c>
      <c r="B245" s="99">
        <v>543529</v>
      </c>
      <c r="C245" s="98" t="s">
        <v>206</v>
      </c>
      <c r="D245" s="70" t="s">
        <v>476</v>
      </c>
      <c r="E245" s="11">
        <f ca="1">IFERROR(__xludf.DUMMYFUNCTION("GOOGLEFINANCE(""BOM:""&amp;B245,""PRICE"")"),433.05)</f>
        <v>433.05</v>
      </c>
      <c r="F245" s="20">
        <f ca="1">IFERROR(__xludf.DUMMYFUNCTION("GOOGLEFINANCE(""BOM:""&amp;B245,""MARKETCAP"")/10000000"),32452.1568)</f>
        <v>32452.156800000001</v>
      </c>
      <c r="G245" s="95">
        <f t="shared" ca="1" si="25"/>
        <v>8.0549186615575701E-4</v>
      </c>
      <c r="H245" s="101">
        <v>7658</v>
      </c>
      <c r="I245" s="101">
        <v>6740</v>
      </c>
      <c r="J245" s="101">
        <v>80</v>
      </c>
      <c r="K245" s="101">
        <v>89</v>
      </c>
      <c r="L245" s="101">
        <v>2804</v>
      </c>
      <c r="M245" s="101">
        <v>2378</v>
      </c>
      <c r="N245" s="101">
        <v>39</v>
      </c>
      <c r="O245" s="101">
        <v>24</v>
      </c>
      <c r="P245" s="13">
        <f t="shared" ref="P245:Q245" si="489">J245/H245</f>
        <v>1.0446591799425437E-2</v>
      </c>
      <c r="Q245" s="13">
        <f t="shared" si="489"/>
        <v>1.3204747774480712E-2</v>
      </c>
      <c r="R245" s="13">
        <f t="shared" si="4"/>
        <v>-2.7581559750552744E-3</v>
      </c>
      <c r="S245" s="13">
        <f t="shared" ref="S245:T245" si="490">N245/L245</f>
        <v>1.3908701854493581E-2</v>
      </c>
      <c r="T245" s="13">
        <f t="shared" si="490"/>
        <v>1.0092514718250631E-2</v>
      </c>
      <c r="U245" s="13">
        <f t="shared" si="6"/>
        <v>3.8161871362429496E-3</v>
      </c>
      <c r="V245" s="13">
        <f t="shared" si="7"/>
        <v>0.1362017804154303</v>
      </c>
      <c r="W245" s="13">
        <f t="shared" si="8"/>
        <v>-0.101123595505618</v>
      </c>
      <c r="X245" s="13">
        <f t="shared" si="9"/>
        <v>0.1791421362489487</v>
      </c>
      <c r="Y245" s="13">
        <f t="shared" si="10"/>
        <v>0.625</v>
      </c>
    </row>
    <row r="246" spans="1:25" ht="14.4">
      <c r="A246" s="98" t="s">
        <v>477</v>
      </c>
      <c r="B246" s="99">
        <v>543300</v>
      </c>
      <c r="C246" s="98" t="s">
        <v>187</v>
      </c>
      <c r="D246" s="70" t="s">
        <v>312</v>
      </c>
      <c r="E246" s="11">
        <f ca="1">IFERROR(__xludf.DUMMYFUNCTION("GOOGLEFINANCE(""BOM:""&amp;B246,""PRICE"")"),509.9)</f>
        <v>509.9</v>
      </c>
      <c r="F246" s="20">
        <f ca="1">IFERROR(__xludf.DUMMYFUNCTION("GOOGLEFINANCE(""BOM:""&amp;B246,""MARKETCAP"")/10000000"),31692.4268789)</f>
        <v>31692.426878900002</v>
      </c>
      <c r="G246" s="95">
        <f t="shared" ca="1" si="25"/>
        <v>7.8663468277368961E-4</v>
      </c>
      <c r="H246" s="101">
        <v>3191</v>
      </c>
      <c r="I246" s="101">
        <v>2381</v>
      </c>
      <c r="J246" s="101">
        <v>442</v>
      </c>
      <c r="K246" s="101">
        <v>436</v>
      </c>
      <c r="L246" s="101">
        <v>1199</v>
      </c>
      <c r="M246" s="101">
        <v>867</v>
      </c>
      <c r="N246" s="101">
        <v>150</v>
      </c>
      <c r="O246" s="101">
        <v>150</v>
      </c>
      <c r="P246" s="13">
        <f t="shared" ref="P246:Q246" si="491">J246/H246</f>
        <v>0.13851457223440927</v>
      </c>
      <c r="Q246" s="13">
        <f t="shared" si="491"/>
        <v>0.18311633767324653</v>
      </c>
      <c r="R246" s="13">
        <f t="shared" si="4"/>
        <v>-4.460176543883726E-2</v>
      </c>
      <c r="S246" s="13">
        <f t="shared" ref="S246:T246" si="492">N246/L246</f>
        <v>0.12510425354462051</v>
      </c>
      <c r="T246" s="13">
        <f t="shared" si="492"/>
        <v>0.17301038062283736</v>
      </c>
      <c r="U246" s="13">
        <f t="shared" si="6"/>
        <v>-4.7906127078216842E-2</v>
      </c>
      <c r="V246" s="13">
        <f t="shared" si="7"/>
        <v>0.34019319613607735</v>
      </c>
      <c r="W246" s="13">
        <f t="shared" si="8"/>
        <v>1.3761467889908285E-2</v>
      </c>
      <c r="X246" s="13">
        <f t="shared" si="9"/>
        <v>0.38292964244521333</v>
      </c>
      <c r="Y246" s="13">
        <f t="shared" si="10"/>
        <v>0</v>
      </c>
    </row>
    <row r="247" spans="1:25" ht="14.4">
      <c r="A247" s="98" t="s">
        <v>478</v>
      </c>
      <c r="B247" s="99">
        <v>544238</v>
      </c>
      <c r="C247" s="98" t="s">
        <v>180</v>
      </c>
      <c r="D247" s="101" t="s">
        <v>344</v>
      </c>
      <c r="E247" s="11">
        <f ca="1">IFERROR(__xludf.DUMMYFUNCTION("GOOGLEFINANCE(""BOM:""&amp;B247,""PRICE"")"),928.95)</f>
        <v>928.95</v>
      </c>
      <c r="F247" s="20">
        <f ca="1">IFERROR(__xludf.DUMMYFUNCTION("GOOGLEFINANCE(""BOM:""&amp;B247,""MARKETCAP"")/10000000"),41744.1152245)</f>
        <v>41744.115224499998</v>
      </c>
      <c r="G247" s="95">
        <f t="shared" ca="1" si="25"/>
        <v>1.0361266735036683E-3</v>
      </c>
      <c r="H247" s="101">
        <v>5594</v>
      </c>
      <c r="I247" s="101">
        <v>4897</v>
      </c>
      <c r="J247" s="101">
        <v>1052</v>
      </c>
      <c r="K247" s="101">
        <v>659</v>
      </c>
      <c r="L247" s="101">
        <v>1936</v>
      </c>
      <c r="M247" s="101">
        <v>1713</v>
      </c>
      <c r="N247" s="101">
        <v>391</v>
      </c>
      <c r="O247" s="101">
        <v>255</v>
      </c>
      <c r="P247" s="13">
        <f t="shared" ref="P247:Q247" si="493">J247/H247</f>
        <v>0.18805863425098321</v>
      </c>
      <c r="Q247" s="13">
        <f t="shared" si="493"/>
        <v>0.13457218705329793</v>
      </c>
      <c r="R247" s="13">
        <f t="shared" si="4"/>
        <v>5.3486447197685277E-2</v>
      </c>
      <c r="S247" s="13">
        <f t="shared" ref="S247:T247" si="494">N247/L247</f>
        <v>0.20196280991735538</v>
      </c>
      <c r="T247" s="13">
        <f t="shared" si="494"/>
        <v>0.14886164623467601</v>
      </c>
      <c r="U247" s="13">
        <f t="shared" si="6"/>
        <v>5.3101163682679364E-2</v>
      </c>
      <c r="V247" s="13">
        <f t="shared" si="7"/>
        <v>0.14233204002450472</v>
      </c>
      <c r="W247" s="13">
        <f t="shared" si="8"/>
        <v>0.59635811836115327</v>
      </c>
      <c r="X247" s="13">
        <f t="shared" si="9"/>
        <v>0.13018096906012833</v>
      </c>
      <c r="Y247" s="13">
        <f t="shared" si="10"/>
        <v>0.53333333333333344</v>
      </c>
    </row>
    <row r="248" spans="1:25" ht="14.4">
      <c r="A248" s="98" t="s">
        <v>479</v>
      </c>
      <c r="B248" s="99">
        <v>500163</v>
      </c>
      <c r="C248" s="98" t="s">
        <v>183</v>
      </c>
      <c r="D248" s="100" t="s">
        <v>480</v>
      </c>
      <c r="E248" s="11">
        <f ca="1">IFERROR(__xludf.DUMMYFUNCTION("GOOGLEFINANCE(""BOM:""&amp;B248,""PRICE"")"),1921)</f>
        <v>1921</v>
      </c>
      <c r="F248" s="20">
        <f ca="1">IFERROR(__xludf.DUMMYFUNCTION("GOOGLEFINANCE(""BOM:""&amp;B248,""MARKETCAP"")/10000000"),29962.5251338)</f>
        <v>29962.525133800002</v>
      </c>
      <c r="G248" s="95">
        <f t="shared" ca="1" si="25"/>
        <v>7.4369695775546528E-4</v>
      </c>
      <c r="H248" s="101">
        <v>5635</v>
      </c>
      <c r="I248" s="101">
        <v>4879</v>
      </c>
      <c r="J248" s="101">
        <v>1004</v>
      </c>
      <c r="K248" s="101">
        <v>792</v>
      </c>
      <c r="L248" s="101">
        <v>2189</v>
      </c>
      <c r="M248" s="101">
        <v>1893</v>
      </c>
      <c r="N248" s="101">
        <v>343</v>
      </c>
      <c r="O248" s="101">
        <v>315</v>
      </c>
      <c r="P248" s="13">
        <f t="shared" ref="P248:Q248" si="495">J248/H248</f>
        <v>0.17817213842058563</v>
      </c>
      <c r="Q248" s="13">
        <f t="shared" si="495"/>
        <v>0.16232834597253534</v>
      </c>
      <c r="R248" s="13">
        <f t="shared" si="4"/>
        <v>1.5843792448050287E-2</v>
      </c>
      <c r="S248" s="13">
        <f t="shared" ref="S248:T248" si="496">N248/L248</f>
        <v>0.15669255367747831</v>
      </c>
      <c r="T248" s="13">
        <f t="shared" si="496"/>
        <v>0.1664025356576862</v>
      </c>
      <c r="U248" s="13">
        <f t="shared" si="6"/>
        <v>-9.7099819802078935E-3</v>
      </c>
      <c r="V248" s="13">
        <f t="shared" si="7"/>
        <v>0.15494978479196564</v>
      </c>
      <c r="W248" s="13">
        <f t="shared" si="8"/>
        <v>0.26767676767676774</v>
      </c>
      <c r="X248" s="13">
        <f t="shared" si="9"/>
        <v>0.15636555731642887</v>
      </c>
      <c r="Y248" s="13">
        <f t="shared" si="10"/>
        <v>8.8888888888888795E-2</v>
      </c>
    </row>
    <row r="249" spans="1:25" ht="14.4">
      <c r="A249" s="98" t="s">
        <v>481</v>
      </c>
      <c r="B249" s="99">
        <v>500092</v>
      </c>
      <c r="C249" s="98" t="s">
        <v>172</v>
      </c>
      <c r="D249" s="70" t="s">
        <v>482</v>
      </c>
      <c r="E249" s="11">
        <f ca="1">IFERROR(__xludf.DUMMYFUNCTION("GOOGLEFINANCE(""BOM:""&amp;B249,""PRICE"")"),3784.3)</f>
        <v>3784.3</v>
      </c>
      <c r="F249" s="20">
        <f ca="1">IFERROR(__xludf.DUMMYFUNCTION("GOOGLEFINANCE(""BOM:""&amp;B249,""MARKETCAP"")/10000000"),27600.0181001)</f>
        <v>27600.018100099998</v>
      </c>
      <c r="G249" s="95">
        <f t="shared" ca="1" si="25"/>
        <v>6.8505739764520733E-4</v>
      </c>
      <c r="H249" s="101">
        <v>3756</v>
      </c>
      <c r="I249" s="101">
        <v>3349</v>
      </c>
      <c r="J249" s="101">
        <v>766</v>
      </c>
      <c r="K249" s="101">
        <v>684</v>
      </c>
      <c r="L249" s="101">
        <v>1109</v>
      </c>
      <c r="M249" s="101">
        <v>943</v>
      </c>
      <c r="N249" s="101">
        <v>241</v>
      </c>
      <c r="O249" s="101">
        <v>225</v>
      </c>
      <c r="P249" s="13">
        <f t="shared" ref="P249:Q249" si="497">J249/H249</f>
        <v>0.20394036208732694</v>
      </c>
      <c r="Q249" s="13">
        <f t="shared" si="497"/>
        <v>0.20424007166318303</v>
      </c>
      <c r="R249" s="13">
        <f t="shared" si="4"/>
        <v>-2.9970957585609415E-4</v>
      </c>
      <c r="S249" s="13">
        <f t="shared" ref="S249:T249" si="498">N249/L249</f>
        <v>0.21731289449954913</v>
      </c>
      <c r="T249" s="13">
        <f t="shared" si="498"/>
        <v>0.23860021208907742</v>
      </c>
      <c r="U249" s="13">
        <f t="shared" si="6"/>
        <v>-2.1287317589528287E-2</v>
      </c>
      <c r="V249" s="13">
        <f t="shared" si="7"/>
        <v>0.12152881457151388</v>
      </c>
      <c r="W249" s="13">
        <f t="shared" si="8"/>
        <v>0.11988304093567259</v>
      </c>
      <c r="X249" s="13">
        <f t="shared" si="9"/>
        <v>0.176033934252386</v>
      </c>
      <c r="Y249" s="13">
        <f t="shared" si="10"/>
        <v>7.1111111111111125E-2</v>
      </c>
    </row>
    <row r="250" spans="1:25" ht="14.4">
      <c r="A250" s="98" t="s">
        <v>483</v>
      </c>
      <c r="B250" s="99">
        <v>544026</v>
      </c>
      <c r="C250" s="98" t="s">
        <v>172</v>
      </c>
      <c r="D250" s="100" t="s">
        <v>266</v>
      </c>
      <c r="E250" s="11">
        <f ca="1">IFERROR(__xludf.DUMMYFUNCTION("GOOGLEFINANCE(""BOM:""&amp;B250,""PRICE"")"),115.25)</f>
        <v>115.25</v>
      </c>
      <c r="F250" s="20">
        <f ca="1">IFERROR(__xludf.DUMMYFUNCTION("GOOGLEFINANCE(""BOM:""&amp;B250,""MARKETCAP"")/10000000"),30938.0048298)</f>
        <v>30938.0048298</v>
      </c>
      <c r="G250" s="95">
        <f t="shared" ca="1" si="25"/>
        <v>7.679092455725909E-4</v>
      </c>
      <c r="H250" s="101">
        <v>6157</v>
      </c>
      <c r="I250" s="101">
        <v>4840</v>
      </c>
      <c r="J250" s="101">
        <v>1381</v>
      </c>
      <c r="K250" s="101">
        <v>1197</v>
      </c>
      <c r="L250" s="101">
        <v>2139</v>
      </c>
      <c r="M250" s="101">
        <v>1698</v>
      </c>
      <c r="N250" s="101">
        <v>585</v>
      </c>
      <c r="O250" s="101">
        <v>425</v>
      </c>
      <c r="P250" s="13">
        <f t="shared" ref="P250:Q250" si="499">J250/H250</f>
        <v>0.2242975475069027</v>
      </c>
      <c r="Q250" s="13">
        <f t="shared" si="499"/>
        <v>0.24731404958677686</v>
      </c>
      <c r="R250" s="13">
        <f t="shared" si="4"/>
        <v>-2.3016502079874157E-2</v>
      </c>
      <c r="S250" s="13">
        <f t="shared" ref="S250:T250" si="500">N250/L250</f>
        <v>0.27349228611500703</v>
      </c>
      <c r="T250" s="13">
        <f t="shared" si="500"/>
        <v>0.25029446407538281</v>
      </c>
      <c r="U250" s="13">
        <f t="shared" si="6"/>
        <v>2.3197822039624227E-2</v>
      </c>
      <c r="V250" s="13">
        <f t="shared" si="7"/>
        <v>0.27210743801652892</v>
      </c>
      <c r="W250" s="13">
        <f t="shared" si="8"/>
        <v>0.15371762740183792</v>
      </c>
      <c r="X250" s="13">
        <f t="shared" si="9"/>
        <v>0.25971731448763258</v>
      </c>
      <c r="Y250" s="13">
        <f t="shared" si="10"/>
        <v>0.37647058823529411</v>
      </c>
    </row>
    <row r="251" spans="1:25" ht="14.4">
      <c r="A251" s="98" t="s">
        <v>484</v>
      </c>
      <c r="B251" s="99">
        <v>500033</v>
      </c>
      <c r="C251" s="98" t="s">
        <v>187</v>
      </c>
      <c r="D251" s="100" t="s">
        <v>76</v>
      </c>
      <c r="E251" s="11">
        <f ca="1">IFERROR(__xludf.DUMMYFUNCTION("GOOGLEFINANCE(""BOM:""&amp;B251,""PRICE"")"),21260)</f>
        <v>21260</v>
      </c>
      <c r="F251" s="20">
        <f ca="1">IFERROR(__xludf.DUMMYFUNCTION("GOOGLEFINANCE(""BOM:""&amp;B251,""MARKETCAP"")/10000000"),28015.364012)</f>
        <v>28015.364011999998</v>
      </c>
      <c r="G251" s="95">
        <f t="shared" ca="1" si="25"/>
        <v>6.9536665862093686E-4</v>
      </c>
      <c r="H251" s="101">
        <v>6507</v>
      </c>
      <c r="I251" s="101">
        <v>5715</v>
      </c>
      <c r="J251" s="101">
        <v>933</v>
      </c>
      <c r="K251" s="101">
        <v>366</v>
      </c>
      <c r="L251" s="101">
        <v>2128</v>
      </c>
      <c r="M251" s="101">
        <v>1889</v>
      </c>
      <c r="N251" s="101">
        <v>406</v>
      </c>
      <c r="O251" s="101">
        <v>115</v>
      </c>
      <c r="P251" s="13">
        <f t="shared" ref="P251:Q251" si="501">J251/H251</f>
        <v>0.14338404794836329</v>
      </c>
      <c r="Q251" s="13">
        <f t="shared" si="501"/>
        <v>6.4041994750656167E-2</v>
      </c>
      <c r="R251" s="13">
        <f t="shared" si="4"/>
        <v>7.9342053197707124E-2</v>
      </c>
      <c r="S251" s="13">
        <f t="shared" ref="S251:T251" si="502">N251/L251</f>
        <v>0.19078947368421054</v>
      </c>
      <c r="T251" s="13">
        <f t="shared" si="502"/>
        <v>6.0878771836950771E-2</v>
      </c>
      <c r="U251" s="13">
        <f t="shared" si="6"/>
        <v>0.12991070184725978</v>
      </c>
      <c r="V251" s="13">
        <f t="shared" si="7"/>
        <v>0.13858267716535444</v>
      </c>
      <c r="W251" s="13">
        <f t="shared" si="8"/>
        <v>1.5491803278688523</v>
      </c>
      <c r="X251" s="13">
        <f t="shared" si="9"/>
        <v>0.12652196929592385</v>
      </c>
      <c r="Y251" s="13">
        <f t="shared" si="10"/>
        <v>2.5304347826086957</v>
      </c>
    </row>
    <row r="252" spans="1:25" ht="14.4">
      <c r="A252" s="98" t="s">
        <v>485</v>
      </c>
      <c r="B252" s="99">
        <v>532504</v>
      </c>
      <c r="C252" s="98" t="s">
        <v>196</v>
      </c>
      <c r="D252" s="102" t="s">
        <v>251</v>
      </c>
      <c r="E252" s="11">
        <f ca="1">IFERROR(__xludf.DUMMYFUNCTION("GOOGLEFINANCE(""BOM:""&amp;B252,""PRICE"")"),5848.5)</f>
        <v>5848.5</v>
      </c>
      <c r="F252" s="20">
        <f ca="1">IFERROR(__xludf.DUMMYFUNCTION("GOOGLEFINANCE(""BOM:""&amp;B252,""MARKETCAP"")/10000000"),29980.4076)</f>
        <v>29980.407599999999</v>
      </c>
      <c r="G252" s="95">
        <f t="shared" ca="1" si="25"/>
        <v>7.4414081673099275E-4</v>
      </c>
      <c r="H252" s="101">
        <v>2376</v>
      </c>
      <c r="I252" s="101">
        <v>1648</v>
      </c>
      <c r="J252" s="101">
        <v>451</v>
      </c>
      <c r="K252" s="101">
        <v>193</v>
      </c>
      <c r="L252" s="101">
        <v>892</v>
      </c>
      <c r="M252" s="101">
        <v>606</v>
      </c>
      <c r="N252" s="101">
        <v>185</v>
      </c>
      <c r="O252" s="101">
        <v>84</v>
      </c>
      <c r="P252" s="13">
        <f t="shared" ref="P252:Q252" si="503">J252/H252</f>
        <v>0.18981481481481483</v>
      </c>
      <c r="Q252" s="13">
        <f t="shared" si="503"/>
        <v>0.1171116504854369</v>
      </c>
      <c r="R252" s="13">
        <f t="shared" si="4"/>
        <v>7.2703164329377928E-2</v>
      </c>
      <c r="S252" s="13">
        <f t="shared" ref="S252:T252" si="504">N252/L252</f>
        <v>0.20739910313901344</v>
      </c>
      <c r="T252" s="13">
        <f t="shared" si="504"/>
        <v>0.13861386138613863</v>
      </c>
      <c r="U252" s="13">
        <f t="shared" si="6"/>
        <v>6.8785241752874815E-2</v>
      </c>
      <c r="V252" s="13">
        <f t="shared" si="7"/>
        <v>0.44174757281553401</v>
      </c>
      <c r="W252" s="13">
        <f t="shared" si="8"/>
        <v>1.3367875647668392</v>
      </c>
      <c r="X252" s="13">
        <f t="shared" si="9"/>
        <v>0.471947194719472</v>
      </c>
      <c r="Y252" s="13">
        <f t="shared" si="10"/>
        <v>1.2023809523809526</v>
      </c>
    </row>
    <row r="253" spans="1:25" ht="14.4">
      <c r="A253" s="98" t="s">
        <v>486</v>
      </c>
      <c r="B253" s="99">
        <v>544179</v>
      </c>
      <c r="C253" s="98" t="s">
        <v>172</v>
      </c>
      <c r="D253" s="70" t="s">
        <v>86</v>
      </c>
      <c r="E253" s="11">
        <f ca="1">IFERROR(__xludf.DUMMYFUNCTION("GOOGLEFINANCE(""BOM:""&amp;B253,""PRICE"")"),319.5)</f>
        <v>319.5</v>
      </c>
      <c r="F253" s="20">
        <f ca="1">IFERROR(__xludf.DUMMYFUNCTION("GOOGLEFINANCE(""BOM:""&amp;B253,""MARKETCAP"")/10000000"),29533.1216835)</f>
        <v>29533.121683500001</v>
      </c>
      <c r="G253" s="95">
        <f t="shared" ca="1" si="25"/>
        <v>7.3303877596965971E-4</v>
      </c>
      <c r="H253" s="101">
        <v>7085</v>
      </c>
      <c r="I253" s="101">
        <v>6624</v>
      </c>
      <c r="J253" s="101">
        <v>394</v>
      </c>
      <c r="K253" s="101">
        <v>309</v>
      </c>
      <c r="L253" s="101">
        <v>2497</v>
      </c>
      <c r="M253" s="101">
        <v>2371</v>
      </c>
      <c r="N253" s="101">
        <v>140</v>
      </c>
      <c r="O253" s="101">
        <v>118</v>
      </c>
      <c r="P253" s="13">
        <f t="shared" ref="P253:Q253" si="505">J253/H253</f>
        <v>5.5610444601270292E-2</v>
      </c>
      <c r="Q253" s="13">
        <f t="shared" si="505"/>
        <v>4.664855072463768E-2</v>
      </c>
      <c r="R253" s="13">
        <f t="shared" si="4"/>
        <v>8.9618938766326123E-3</v>
      </c>
      <c r="S253" s="13">
        <f t="shared" ref="S253:T253" si="506">N253/L253</f>
        <v>5.6067280736884259E-2</v>
      </c>
      <c r="T253" s="13">
        <f t="shared" si="506"/>
        <v>4.976803036693378E-2</v>
      </c>
      <c r="U253" s="13">
        <f t="shared" si="6"/>
        <v>6.2992503699504793E-3</v>
      </c>
      <c r="V253" s="13">
        <f t="shared" si="7"/>
        <v>6.9595410628019216E-2</v>
      </c>
      <c r="W253" s="13">
        <f t="shared" si="8"/>
        <v>0.27508090614886727</v>
      </c>
      <c r="X253" s="13">
        <f t="shared" si="9"/>
        <v>5.3142134120624185E-2</v>
      </c>
      <c r="Y253" s="13">
        <f t="shared" si="10"/>
        <v>0.18644067796610164</v>
      </c>
    </row>
    <row r="254" spans="1:25" ht="14.4">
      <c r="A254" s="113" t="s">
        <v>487</v>
      </c>
      <c r="B254" s="99">
        <v>590003</v>
      </c>
      <c r="C254" s="102" t="s">
        <v>172</v>
      </c>
      <c r="D254" s="109" t="s">
        <v>72</v>
      </c>
      <c r="E254" s="11">
        <f ca="1">IFERROR(__xludf.DUMMYFUNCTION("GOOGLEFINANCE(""BOM:""&amp;B254,""PRICE"")"),269.1)</f>
        <v>269.10000000000002</v>
      </c>
      <c r="F254" s="20">
        <f ca="1">IFERROR(__xludf.DUMMYFUNCTION("GOOGLEFINANCE(""BOM:""&amp;B254,""MARKETCAP"")/10000000"),26002.78278)</f>
        <v>26002.782780000001</v>
      </c>
      <c r="G254" s="95">
        <f t="shared" ca="1" si="25"/>
        <v>6.4541257321624253E-4</v>
      </c>
      <c r="H254" s="101">
        <v>9639</v>
      </c>
      <c r="I254" s="101">
        <v>8482</v>
      </c>
      <c r="J254" s="101">
        <v>1785</v>
      </c>
      <c r="K254" s="101">
        <v>1428</v>
      </c>
      <c r="L254" s="101">
        <v>3303</v>
      </c>
      <c r="M254" s="101">
        <v>2953</v>
      </c>
      <c r="N254" s="101">
        <v>689</v>
      </c>
      <c r="O254" s="101">
        <v>496</v>
      </c>
      <c r="P254" s="13">
        <f t="shared" ref="P254:Q254" si="507">J254/H254</f>
        <v>0.18518518518518517</v>
      </c>
      <c r="Q254" s="13">
        <f t="shared" si="507"/>
        <v>0.16835651968875265</v>
      </c>
      <c r="R254" s="13">
        <f t="shared" si="4"/>
        <v>1.6828665496432527E-2</v>
      </c>
      <c r="S254" s="13">
        <f t="shared" ref="S254:T254" si="508">N254/L254</f>
        <v>0.20859824402058735</v>
      </c>
      <c r="T254" s="13">
        <f t="shared" si="508"/>
        <v>0.16796478157805622</v>
      </c>
      <c r="U254" s="13">
        <f t="shared" si="6"/>
        <v>4.0633462442531132E-2</v>
      </c>
      <c r="V254" s="13">
        <f t="shared" si="7"/>
        <v>0.13640650789908038</v>
      </c>
      <c r="W254" s="13">
        <f t="shared" si="8"/>
        <v>0.25</v>
      </c>
      <c r="X254" s="13">
        <f t="shared" si="9"/>
        <v>0.11852353538774119</v>
      </c>
      <c r="Y254" s="13">
        <f t="shared" si="10"/>
        <v>0.38911290322580649</v>
      </c>
    </row>
    <row r="255" spans="1:25" ht="14.4">
      <c r="A255" s="98" t="s">
        <v>488</v>
      </c>
      <c r="B255" s="99">
        <v>520056</v>
      </c>
      <c r="C255" s="98" t="s">
        <v>172</v>
      </c>
      <c r="D255" s="70" t="s">
        <v>243</v>
      </c>
      <c r="E255" s="11">
        <f ca="1">IFERROR(__xludf.DUMMYFUNCTION("GOOGLEFINANCE(""BOM:""&amp;B255,""PRICE"")"),13965)</f>
        <v>13965</v>
      </c>
      <c r="F255" s="20">
        <f ca="1">IFERROR(__xludf.DUMMYFUNCTION("GOOGLEFINANCE(""BOM:""&amp;B255,""MARKETCAP"")/10000000"),28290.55)</f>
        <v>28290.55</v>
      </c>
      <c r="G255" s="95">
        <f t="shared" ca="1" si="25"/>
        <v>7.0219702359113306E-4</v>
      </c>
      <c r="H255" s="101">
        <v>42607</v>
      </c>
      <c r="I255" s="101">
        <v>33225</v>
      </c>
      <c r="J255" s="101">
        <v>2525</v>
      </c>
      <c r="K255" s="101">
        <v>1746</v>
      </c>
      <c r="L255" s="101">
        <v>15291</v>
      </c>
      <c r="M255" s="101">
        <v>11377</v>
      </c>
      <c r="N255" s="101">
        <v>969</v>
      </c>
      <c r="O255" s="101">
        <v>681</v>
      </c>
      <c r="P255" s="13">
        <f t="shared" ref="P255:Q255" si="509">J255/H255</f>
        <v>5.9262562489731732E-2</v>
      </c>
      <c r="Q255" s="13">
        <f t="shared" si="509"/>
        <v>5.2550790067720093E-2</v>
      </c>
      <c r="R255" s="13">
        <f t="shared" si="4"/>
        <v>6.7117724220116387E-3</v>
      </c>
      <c r="S255" s="13">
        <f t="shared" ref="S255:T255" si="510">N255/L255</f>
        <v>6.3370610162840887E-2</v>
      </c>
      <c r="T255" s="13">
        <f t="shared" si="510"/>
        <v>5.9857607453634526E-2</v>
      </c>
      <c r="U255" s="13">
        <f t="shared" si="6"/>
        <v>3.5130027092063615E-3</v>
      </c>
      <c r="V255" s="13">
        <f t="shared" si="7"/>
        <v>0.28237772761474789</v>
      </c>
      <c r="W255" s="13">
        <f t="shared" si="8"/>
        <v>0.44616265750286366</v>
      </c>
      <c r="X255" s="13">
        <f t="shared" si="9"/>
        <v>0.34402742374967032</v>
      </c>
      <c r="Y255" s="13">
        <f t="shared" si="10"/>
        <v>0.4229074889867841</v>
      </c>
    </row>
    <row r="256" spans="1:25" ht="14.4">
      <c r="A256" s="98" t="s">
        <v>489</v>
      </c>
      <c r="B256" s="99">
        <v>543654</v>
      </c>
      <c r="C256" s="98" t="s">
        <v>190</v>
      </c>
      <c r="D256" s="100" t="s">
        <v>113</v>
      </c>
      <c r="E256" s="11">
        <f ca="1">IFERROR(__xludf.DUMMYFUNCTION("GOOGLEFINANCE(""BOM:""&amp;B256,""PRICE"")"),1032.6)</f>
        <v>1032.5999999999999</v>
      </c>
      <c r="F256" s="20">
        <f ca="1">IFERROR(__xludf.DUMMYFUNCTION("GOOGLEFINANCE(""BOM:""&amp;B256,""MARKETCAP"")/10000000"),27696.51594)</f>
        <v>27696.515940000001</v>
      </c>
      <c r="G256" s="95">
        <f t="shared" ca="1" si="25"/>
        <v>6.874525612585254E-4</v>
      </c>
      <c r="H256" s="101">
        <v>3251</v>
      </c>
      <c r="I256" s="101">
        <v>2761</v>
      </c>
      <c r="J256" s="101">
        <v>412</v>
      </c>
      <c r="K256" s="101">
        <v>379</v>
      </c>
      <c r="L256" s="101">
        <v>1121</v>
      </c>
      <c r="M256" s="101">
        <v>943</v>
      </c>
      <c r="N256" s="101">
        <v>95</v>
      </c>
      <c r="O256" s="101">
        <v>142</v>
      </c>
      <c r="P256" s="13">
        <f t="shared" ref="P256:Q256" si="511">J256/H256</f>
        <v>0.12673023685019993</v>
      </c>
      <c r="Q256" s="13">
        <f t="shared" si="511"/>
        <v>0.13726910539659543</v>
      </c>
      <c r="R256" s="13">
        <f t="shared" si="4"/>
        <v>-1.0538868546395491E-2</v>
      </c>
      <c r="S256" s="13">
        <f t="shared" ref="S256:T256" si="512">N256/L256</f>
        <v>8.4745762711864403E-2</v>
      </c>
      <c r="T256" s="13">
        <f t="shared" si="512"/>
        <v>0.15058324496288442</v>
      </c>
      <c r="U256" s="13">
        <f t="shared" si="6"/>
        <v>-6.5837482251020013E-2</v>
      </c>
      <c r="V256" s="13">
        <f t="shared" si="7"/>
        <v>0.17747193045997833</v>
      </c>
      <c r="W256" s="13">
        <f t="shared" si="8"/>
        <v>8.7071240105540904E-2</v>
      </c>
      <c r="X256" s="13">
        <f t="shared" si="9"/>
        <v>0.18875927889713684</v>
      </c>
      <c r="Y256" s="13">
        <f t="shared" si="10"/>
        <v>-0.33098591549295775</v>
      </c>
    </row>
    <row r="257" spans="1:25" ht="14.4">
      <c r="A257" s="98" t="s">
        <v>490</v>
      </c>
      <c r="B257" s="99">
        <v>504973</v>
      </c>
      <c r="C257" s="98" t="s">
        <v>172</v>
      </c>
      <c r="D257" s="101" t="s">
        <v>243</v>
      </c>
      <c r="E257" s="11">
        <f ca="1">IFERROR(__xludf.DUMMYFUNCTION("GOOGLEFINANCE(""BOM:""&amp;B257,""PRICE"")"),1416.9)</f>
        <v>1416.9</v>
      </c>
      <c r="F257" s="20">
        <f ca="1">IFERROR(__xludf.DUMMYFUNCTION("GOOGLEFINANCE(""BOM:""&amp;B257,""MARKETCAP"")/10000000"),26660.6361688)</f>
        <v>26660.6361688</v>
      </c>
      <c r="G257" s="95">
        <f t="shared" ca="1" si="25"/>
        <v>6.6174108897767883E-4</v>
      </c>
      <c r="H257" s="101">
        <v>21695</v>
      </c>
      <c r="I257" s="101">
        <v>18146</v>
      </c>
      <c r="J257" s="101">
        <v>3860</v>
      </c>
      <c r="K257" s="101">
        <v>3378</v>
      </c>
      <c r="L257" s="101">
        <v>7539</v>
      </c>
      <c r="M257" s="101">
        <v>6451</v>
      </c>
      <c r="N257" s="101">
        <v>1386</v>
      </c>
      <c r="O257" s="101">
        <v>1093</v>
      </c>
      <c r="P257" s="13">
        <f t="shared" ref="P257:Q257" si="513">J257/H257</f>
        <v>0.17792117999539064</v>
      </c>
      <c r="Q257" s="13">
        <f t="shared" si="513"/>
        <v>0.18615672875564862</v>
      </c>
      <c r="R257" s="13">
        <f t="shared" si="4"/>
        <v>-8.2355487602579769E-3</v>
      </c>
      <c r="S257" s="13">
        <f t="shared" ref="S257:T257" si="514">N257/L257</f>
        <v>0.18384401114206128</v>
      </c>
      <c r="T257" s="13">
        <f t="shared" si="514"/>
        <v>0.16943109595411565</v>
      </c>
      <c r="U257" s="13">
        <f t="shared" si="6"/>
        <v>1.441291518794563E-2</v>
      </c>
      <c r="V257" s="13">
        <f t="shared" si="7"/>
        <v>0.19558029317755987</v>
      </c>
      <c r="W257" s="13">
        <f t="shared" si="8"/>
        <v>0.14268798105387814</v>
      </c>
      <c r="X257" s="13">
        <f t="shared" si="9"/>
        <v>0.16865602232212051</v>
      </c>
      <c r="Y257" s="13">
        <f t="shared" si="10"/>
        <v>0.26806953339432749</v>
      </c>
    </row>
    <row r="258" spans="1:25" ht="14.4">
      <c r="A258" s="98" t="s">
        <v>491</v>
      </c>
      <c r="B258" s="99">
        <v>532889</v>
      </c>
      <c r="C258" s="98" t="s">
        <v>187</v>
      </c>
      <c r="D258" s="109" t="s">
        <v>492</v>
      </c>
      <c r="E258" s="11">
        <f ca="1">IFERROR(__xludf.DUMMYFUNCTION("GOOGLEFINANCE(""BOM:""&amp;B258,""PRICE"")"),836.15)</f>
        <v>836.15</v>
      </c>
      <c r="F258" s="20">
        <f ca="1">IFERROR(__xludf.DUMMYFUNCTION("GOOGLEFINANCE(""BOM:""&amp;B258,""MARKETCAP"")/10000000"),28572.2247355)</f>
        <v>28572.2247355</v>
      </c>
      <c r="G258" s="95">
        <f t="shared" ca="1" si="25"/>
        <v>7.0918844513963319E-4</v>
      </c>
      <c r="H258" s="101">
        <v>4661</v>
      </c>
      <c r="I258" s="101">
        <v>4434</v>
      </c>
      <c r="J258" s="101">
        <v>639</v>
      </c>
      <c r="K258" s="101">
        <v>610</v>
      </c>
      <c r="L258" s="101">
        <v>1406</v>
      </c>
      <c r="M258" s="101">
        <v>1467</v>
      </c>
      <c r="N258" s="101">
        <v>208</v>
      </c>
      <c r="O258" s="101">
        <v>202</v>
      </c>
      <c r="P258" s="13">
        <f t="shared" ref="P258:Q258" si="515">J258/H258</f>
        <v>0.13709504398197811</v>
      </c>
      <c r="Q258" s="13">
        <f t="shared" si="515"/>
        <v>0.13757329724853407</v>
      </c>
      <c r="R258" s="13">
        <f t="shared" si="4"/>
        <v>-4.7825326655595579E-4</v>
      </c>
      <c r="S258" s="13">
        <f t="shared" ref="S258:T258" si="516">N258/L258</f>
        <v>0.14793741109530584</v>
      </c>
      <c r="T258" s="13">
        <f t="shared" si="516"/>
        <v>0.13769597818677573</v>
      </c>
      <c r="U258" s="13">
        <f t="shared" si="6"/>
        <v>1.0241432908530107E-2</v>
      </c>
      <c r="V258" s="13">
        <f t="shared" si="7"/>
        <v>5.1195308976093923E-2</v>
      </c>
      <c r="W258" s="13">
        <f t="shared" si="8"/>
        <v>4.7540983606557452E-2</v>
      </c>
      <c r="X258" s="13">
        <f t="shared" si="9"/>
        <v>-4.1581458759372913E-2</v>
      </c>
      <c r="Y258" s="13">
        <f t="shared" si="10"/>
        <v>2.9702970297029729E-2</v>
      </c>
    </row>
    <row r="259" spans="1:25" ht="14.4">
      <c r="A259" s="98" t="s">
        <v>493</v>
      </c>
      <c r="B259" s="99">
        <v>543245</v>
      </c>
      <c r="C259" s="98" t="s">
        <v>190</v>
      </c>
      <c r="D259" s="101" t="s">
        <v>100</v>
      </c>
      <c r="E259" s="11">
        <f ca="1">IFERROR(__xludf.DUMMYFUNCTION("GOOGLEFINANCE(""BOM:""&amp;B259,""PRICE"")"),1698.45)</f>
        <v>1698.45</v>
      </c>
      <c r="F259" s="20">
        <f ca="1">IFERROR(__xludf.DUMMYFUNCTION("GOOGLEFINANCE(""BOM:""&amp;B259,""MARKETCAP"")/10000000"),27960.8082417)</f>
        <v>27960.808241700001</v>
      </c>
      <c r="G259" s="95">
        <f t="shared" ca="1" si="25"/>
        <v>6.9401253508765879E-4</v>
      </c>
      <c r="H259" s="101">
        <v>4687</v>
      </c>
      <c r="I259" s="101">
        <v>4191</v>
      </c>
      <c r="J259" s="101">
        <v>660</v>
      </c>
      <c r="K259" s="101">
        <v>511</v>
      </c>
      <c r="L259" s="101">
        <v>1695</v>
      </c>
      <c r="M259" s="101">
        <v>1384</v>
      </c>
      <c r="N259" s="101">
        <v>261</v>
      </c>
      <c r="O259" s="101">
        <v>204</v>
      </c>
      <c r="P259" s="13">
        <f t="shared" ref="P259:Q259" si="517">J259/H259</f>
        <v>0.14081502026882867</v>
      </c>
      <c r="Q259" s="13">
        <f t="shared" si="517"/>
        <v>0.12192794082557862</v>
      </c>
      <c r="R259" s="13">
        <f t="shared" si="4"/>
        <v>1.8887079443250049E-2</v>
      </c>
      <c r="S259" s="13">
        <f t="shared" ref="S259:T259" si="518">N259/L259</f>
        <v>0.15398230088495576</v>
      </c>
      <c r="T259" s="13">
        <f t="shared" si="518"/>
        <v>0.14739884393063585</v>
      </c>
      <c r="U259" s="13">
        <f t="shared" si="6"/>
        <v>6.5834569543199162E-3</v>
      </c>
      <c r="V259" s="13">
        <f t="shared" si="7"/>
        <v>0.11834884275829149</v>
      </c>
      <c r="W259" s="13">
        <f t="shared" si="8"/>
        <v>0.29158512720156549</v>
      </c>
      <c r="X259" s="13">
        <f t="shared" si="9"/>
        <v>0.2247109826589595</v>
      </c>
      <c r="Y259" s="13">
        <f t="shared" si="10"/>
        <v>0.27941176470588225</v>
      </c>
    </row>
    <row r="260" spans="1:25" ht="14.4">
      <c r="A260" s="98" t="s">
        <v>494</v>
      </c>
      <c r="B260" s="99">
        <v>531344</v>
      </c>
      <c r="C260" s="98" t="s">
        <v>206</v>
      </c>
      <c r="D260" s="101" t="s">
        <v>476</v>
      </c>
      <c r="E260" s="11">
        <f ca="1">IFERROR(__xludf.DUMMYFUNCTION("GOOGLEFINANCE(""BOM:""&amp;B260,""PRICE"")"),451.2)</f>
        <v>451.2</v>
      </c>
      <c r="F260" s="20">
        <f ca="1">IFERROR(__xludf.DUMMYFUNCTION("GOOGLEFINANCE(""BOM:""&amp;B260,""MARKETCAP"")/10000000"),34364.2005777)</f>
        <v>34364.200577700001</v>
      </c>
      <c r="G260" s="95">
        <f t="shared" ca="1" si="25"/>
        <v>8.5295052106620895E-4</v>
      </c>
      <c r="H260" s="101">
        <v>6816</v>
      </c>
      <c r="I260" s="101">
        <v>6599</v>
      </c>
      <c r="J260" s="101">
        <v>982</v>
      </c>
      <c r="K260" s="101">
        <v>993</v>
      </c>
      <c r="L260" s="101">
        <v>2308</v>
      </c>
      <c r="M260" s="101">
        <v>2208</v>
      </c>
      <c r="N260" s="101">
        <v>335</v>
      </c>
      <c r="O260" s="101">
        <v>367</v>
      </c>
      <c r="P260" s="13">
        <f t="shared" ref="P260:Q260" si="519">J260/H260</f>
        <v>0.14407276995305165</v>
      </c>
      <c r="Q260" s="13">
        <f t="shared" si="519"/>
        <v>0.15047734505228064</v>
      </c>
      <c r="R260" s="13">
        <f t="shared" ref="R260:R513" si="520">P260-Q260</f>
        <v>-6.4045750992289818E-3</v>
      </c>
      <c r="S260" s="13">
        <f t="shared" ref="S260:T260" si="521">N260/L260</f>
        <v>0.1451473136915078</v>
      </c>
      <c r="T260" s="13">
        <f t="shared" si="521"/>
        <v>0.16621376811594202</v>
      </c>
      <c r="U260" s="13">
        <f t="shared" ref="U260:U513" si="522">S260-T260</f>
        <v>-2.1066454424434222E-2</v>
      </c>
      <c r="V260" s="13">
        <f t="shared" ref="V260:V513" si="523">(H260/I260)-1</f>
        <v>3.2883770268222534E-2</v>
      </c>
      <c r="W260" s="13">
        <f t="shared" ref="W260:W513" si="524">(J260/K260)-1</f>
        <v>-1.1077542799597162E-2</v>
      </c>
      <c r="X260" s="13">
        <f t="shared" ref="X260:X513" si="525">(L260/M260)-1</f>
        <v>4.5289855072463858E-2</v>
      </c>
      <c r="Y260" s="13">
        <f t="shared" ref="Y260:Y513" si="526">(N260/O260)-1</f>
        <v>-8.719346049046317E-2</v>
      </c>
    </row>
    <row r="261" spans="1:25" ht="14.4">
      <c r="A261" s="98" t="s">
        <v>495</v>
      </c>
      <c r="B261" s="99">
        <v>500410</v>
      </c>
      <c r="C261" s="98" t="s">
        <v>196</v>
      </c>
      <c r="D261" s="101" t="s">
        <v>109</v>
      </c>
      <c r="E261" s="11">
        <f ca="1">IFERROR(__xludf.DUMMYFUNCTION("GOOGLEFINANCE(""BOM:""&amp;B261,""PRICE"")"),1356)</f>
        <v>1356</v>
      </c>
      <c r="F261" s="20">
        <f ca="1">IFERROR(__xludf.DUMMYFUNCTION("GOOGLEFINANCE(""BOM:""&amp;B261,""MARKETCAP"")/10000000"),25445.1656)</f>
        <v>25445.1656</v>
      </c>
      <c r="G261" s="95">
        <f t="shared" ca="1" si="25"/>
        <v>6.315720107634348E-4</v>
      </c>
      <c r="H261" s="101">
        <v>18637</v>
      </c>
      <c r="I261" s="101">
        <v>14906</v>
      </c>
      <c r="J261" s="101">
        <v>1898</v>
      </c>
      <c r="K261" s="101">
        <v>1651</v>
      </c>
      <c r="L261" s="101">
        <v>6391</v>
      </c>
      <c r="M261" s="101">
        <v>5251</v>
      </c>
      <c r="N261" s="101">
        <v>404</v>
      </c>
      <c r="O261" s="101">
        <v>1091</v>
      </c>
      <c r="P261" s="13">
        <f t="shared" ref="P261:Q261" si="527">J261/H261</f>
        <v>0.10184042496109889</v>
      </c>
      <c r="Q261" s="13">
        <f t="shared" si="527"/>
        <v>0.11076076747618409</v>
      </c>
      <c r="R261" s="13">
        <f t="shared" si="520"/>
        <v>-8.9203425150851945E-3</v>
      </c>
      <c r="S261" s="13">
        <f t="shared" ref="S261:T261" si="528">N261/L261</f>
        <v>6.321389453919575E-2</v>
      </c>
      <c r="T261" s="13">
        <f t="shared" si="528"/>
        <v>0.20776994858122264</v>
      </c>
      <c r="U261" s="13">
        <f t="shared" si="522"/>
        <v>-0.14455605404202687</v>
      </c>
      <c r="V261" s="13">
        <f t="shared" si="523"/>
        <v>0.25030189185562857</v>
      </c>
      <c r="W261" s="13">
        <f t="shared" si="524"/>
        <v>0.14960629921259838</v>
      </c>
      <c r="X261" s="13">
        <f t="shared" si="525"/>
        <v>0.21710150447533794</v>
      </c>
      <c r="Y261" s="13">
        <f t="shared" si="526"/>
        <v>-0.62969752520623279</v>
      </c>
    </row>
    <row r="262" spans="1:25" ht="14.4">
      <c r="A262" s="98" t="s">
        <v>496</v>
      </c>
      <c r="B262" s="99">
        <v>500253</v>
      </c>
      <c r="C262" s="98" t="s">
        <v>172</v>
      </c>
      <c r="D262" s="102" t="s">
        <v>80</v>
      </c>
      <c r="E262" s="11">
        <f ca="1">IFERROR(__xludf.DUMMYFUNCTION("GOOGLEFINANCE(""BOM:""&amp;B262,""PRICE"")"),516.4)</f>
        <v>516.4</v>
      </c>
      <c r="F262" s="20">
        <f ca="1">IFERROR(__xludf.DUMMYFUNCTION("GOOGLEFINANCE(""BOM:""&amp;B262,""MARKETCAP"")/10000000"),28471.259537)</f>
        <v>28471.259537000002</v>
      </c>
      <c r="G262" s="95">
        <f t="shared" ca="1" si="25"/>
        <v>7.0668239764769736E-4</v>
      </c>
      <c r="H262" s="101">
        <v>21644</v>
      </c>
      <c r="I262" s="101">
        <v>20805</v>
      </c>
      <c r="J262" s="101">
        <v>4112</v>
      </c>
      <c r="K262" s="101">
        <v>4069</v>
      </c>
      <c r="L262" s="101">
        <v>7214</v>
      </c>
      <c r="M262" s="101">
        <v>7070</v>
      </c>
      <c r="N262" s="101">
        <v>1398</v>
      </c>
      <c r="O262" s="101">
        <v>1435</v>
      </c>
      <c r="P262" s="13">
        <f t="shared" ref="P262:Q262" si="529">J262/H262</f>
        <v>0.18998336721493256</v>
      </c>
      <c r="Q262" s="13">
        <f t="shared" si="529"/>
        <v>0.19557798606104301</v>
      </c>
      <c r="R262" s="13">
        <f t="shared" si="520"/>
        <v>-5.5946188461104551E-3</v>
      </c>
      <c r="S262" s="13">
        <f t="shared" ref="S262:T262" si="530">N262/L262</f>
        <v>0.19378985306348767</v>
      </c>
      <c r="T262" s="13">
        <f t="shared" si="530"/>
        <v>0.20297029702970298</v>
      </c>
      <c r="U262" s="13">
        <f t="shared" si="522"/>
        <v>-9.1804439662153126E-3</v>
      </c>
      <c r="V262" s="13">
        <f t="shared" si="523"/>
        <v>4.0326844508531634E-2</v>
      </c>
      <c r="W262" s="13">
        <f t="shared" si="524"/>
        <v>1.05677070533301E-2</v>
      </c>
      <c r="X262" s="13">
        <f t="shared" si="525"/>
        <v>2.0367751060820449E-2</v>
      </c>
      <c r="Y262" s="13">
        <f t="shared" si="526"/>
        <v>-2.5783972125435595E-2</v>
      </c>
    </row>
    <row r="263" spans="1:25" ht="14.4">
      <c r="A263" s="98" t="s">
        <v>497</v>
      </c>
      <c r="B263" s="99">
        <v>544362</v>
      </c>
      <c r="C263" s="98" t="s">
        <v>174</v>
      </c>
      <c r="D263" s="100" t="s">
        <v>175</v>
      </c>
      <c r="E263" s="11">
        <f ca="1">IFERROR(__xludf.DUMMYFUNCTION("GOOGLEFINANCE(""BOM:""&amp;B263,""PRICE"")"),449.95)</f>
        <v>449.95</v>
      </c>
      <c r="F263" s="20">
        <f ca="1">IFERROR(__xludf.DUMMYFUNCTION("GOOGLEFINANCE(""BOM:""&amp;B263,""MARKETCAP"")/10000000"),27420.57)</f>
        <v>27420.57</v>
      </c>
      <c r="G263" s="95">
        <f t="shared" ca="1" si="25"/>
        <v>6.8060333359274805E-4</v>
      </c>
      <c r="H263" s="101">
        <v>13430</v>
      </c>
      <c r="I263" s="101">
        <v>11974</v>
      </c>
      <c r="J263" s="101">
        <v>1368</v>
      </c>
      <c r="K263" s="101">
        <v>1174</v>
      </c>
      <c r="L263" s="101">
        <v>3478</v>
      </c>
      <c r="M263" s="101">
        <v>3154</v>
      </c>
      <c r="N263" s="101">
        <v>29</v>
      </c>
      <c r="O263" s="101">
        <v>32</v>
      </c>
      <c r="P263" s="13">
        <f t="shared" ref="P263:Q263" si="531">J263/H263</f>
        <v>0.10186150409530902</v>
      </c>
      <c r="Q263" s="13">
        <f t="shared" si="531"/>
        <v>9.8045765825956241E-2</v>
      </c>
      <c r="R263" s="13">
        <f t="shared" si="520"/>
        <v>3.8157382693527753E-3</v>
      </c>
      <c r="S263" s="13">
        <f t="shared" ref="S263:T263" si="532">N263/L263</f>
        <v>8.3381253594019544E-3</v>
      </c>
      <c r="T263" s="13">
        <f t="shared" si="532"/>
        <v>1.0145846544071021E-2</v>
      </c>
      <c r="U263" s="13">
        <f t="shared" si="522"/>
        <v>-1.8077211846690665E-3</v>
      </c>
      <c r="V263" s="13">
        <f t="shared" si="523"/>
        <v>0.12159679305161175</v>
      </c>
      <c r="W263" s="13">
        <f t="shared" si="524"/>
        <v>0.16524701873935266</v>
      </c>
      <c r="X263" s="13">
        <f t="shared" si="525"/>
        <v>0.102726696258719</v>
      </c>
      <c r="Y263" s="13">
        <f t="shared" si="526"/>
        <v>-9.375E-2</v>
      </c>
    </row>
    <row r="264" spans="1:25" ht="14.4">
      <c r="A264" s="98" t="s">
        <v>498</v>
      </c>
      <c r="B264" s="99">
        <v>541153</v>
      </c>
      <c r="C264" s="98" t="s">
        <v>172</v>
      </c>
      <c r="D264" s="70" t="s">
        <v>72</v>
      </c>
      <c r="E264" s="11">
        <f ca="1">IFERROR(__xludf.DUMMYFUNCTION("GOOGLEFINANCE(""BOM:""&amp;B264,""PRICE"")"),151.2)</f>
        <v>151.19999999999999</v>
      </c>
      <c r="F264" s="20">
        <f ca="1">IFERROR(__xludf.DUMMYFUNCTION("GOOGLEFINANCE(""BOM:""&amp;B264,""MARKETCAP"")/10000000"),24348.6880685)</f>
        <v>24348.6880685</v>
      </c>
      <c r="G264" s="95">
        <f t="shared" ca="1" si="25"/>
        <v>6.0435644729599236E-4</v>
      </c>
      <c r="H264" s="101">
        <v>18224</v>
      </c>
      <c r="I264" s="101">
        <v>18781</v>
      </c>
      <c r="J264" s="101">
        <v>689</v>
      </c>
      <c r="K264" s="101">
        <v>2427</v>
      </c>
      <c r="L264" s="101">
        <v>6122</v>
      </c>
      <c r="M264" s="101">
        <v>6590</v>
      </c>
      <c r="N264" s="101">
        <v>205</v>
      </c>
      <c r="O264" s="101">
        <v>426</v>
      </c>
      <c r="P264" s="13">
        <f t="shared" ref="P264:Q264" si="533">J264/H264</f>
        <v>3.7807287093942057E-2</v>
      </c>
      <c r="Q264" s="13">
        <f t="shared" si="533"/>
        <v>0.12922634577498535</v>
      </c>
      <c r="R264" s="13">
        <f t="shared" si="520"/>
        <v>-9.1419058681043289E-2</v>
      </c>
      <c r="S264" s="13">
        <f t="shared" ref="S264:T264" si="534">N264/L264</f>
        <v>3.3485788957856907E-2</v>
      </c>
      <c r="T264" s="13">
        <f t="shared" si="534"/>
        <v>6.4643399089529596E-2</v>
      </c>
      <c r="U264" s="13">
        <f t="shared" si="522"/>
        <v>-3.1157610131672689E-2</v>
      </c>
      <c r="V264" s="13">
        <f t="shared" si="523"/>
        <v>-2.9657632713912974E-2</v>
      </c>
      <c r="W264" s="13">
        <f t="shared" si="524"/>
        <v>-0.71611042439225381</v>
      </c>
      <c r="X264" s="13">
        <f t="shared" si="525"/>
        <v>-7.1016691957511369E-2</v>
      </c>
      <c r="Y264" s="13">
        <f t="shared" si="526"/>
        <v>-0.51877934272300474</v>
      </c>
    </row>
    <row r="265" spans="1:25" ht="14.4">
      <c r="A265" s="98" t="s">
        <v>499</v>
      </c>
      <c r="B265" s="99">
        <v>543308</v>
      </c>
      <c r="C265" s="98" t="s">
        <v>190</v>
      </c>
      <c r="D265" s="101" t="s">
        <v>113</v>
      </c>
      <c r="E265" s="11">
        <f ca="1">IFERROR(__xludf.DUMMYFUNCTION("GOOGLEFINANCE(""BOM:""&amp;B265,""PRICE"")"),621.75)</f>
        <v>621.75</v>
      </c>
      <c r="F265" s="20">
        <f ca="1">IFERROR(__xludf.DUMMYFUNCTION("GOOGLEFINANCE(""BOM:""&amp;B265,""MARKETCAP"")/10000000"),24878.6361075)</f>
        <v>24878.636107499999</v>
      </c>
      <c r="G265" s="95">
        <f t="shared" ca="1" si="25"/>
        <v>6.1751023665829728E-4</v>
      </c>
      <c r="H265" s="101">
        <v>2830</v>
      </c>
      <c r="I265" s="101">
        <v>2238</v>
      </c>
      <c r="J265" s="101">
        <v>208</v>
      </c>
      <c r="K265" s="101">
        <v>308</v>
      </c>
      <c r="L265" s="101">
        <v>997</v>
      </c>
      <c r="M265" s="101">
        <v>772</v>
      </c>
      <c r="N265" s="101">
        <v>51</v>
      </c>
      <c r="O265" s="101">
        <v>92</v>
      </c>
      <c r="P265" s="13">
        <f t="shared" ref="P265:Q265" si="535">J265/H265</f>
        <v>7.3498233215547701E-2</v>
      </c>
      <c r="Q265" s="13">
        <f t="shared" si="535"/>
        <v>0.13762287756925826</v>
      </c>
      <c r="R265" s="13">
        <f t="shared" si="520"/>
        <v>-6.4124644353710555E-2</v>
      </c>
      <c r="S265" s="13">
        <f t="shared" ref="S265:T265" si="536">N265/L265</f>
        <v>5.1153460381143427E-2</v>
      </c>
      <c r="T265" s="13">
        <f t="shared" si="536"/>
        <v>0.11917098445595854</v>
      </c>
      <c r="U265" s="13">
        <f t="shared" si="522"/>
        <v>-6.8017524074815122E-2</v>
      </c>
      <c r="V265" s="13">
        <f t="shared" si="523"/>
        <v>0.26452189454870423</v>
      </c>
      <c r="W265" s="13">
        <f t="shared" si="524"/>
        <v>-0.32467532467532467</v>
      </c>
      <c r="X265" s="13">
        <f t="shared" si="525"/>
        <v>0.29145077720207246</v>
      </c>
      <c r="Y265" s="13">
        <f t="shared" si="526"/>
        <v>-0.44565217391304346</v>
      </c>
    </row>
    <row r="266" spans="1:25" ht="14.4">
      <c r="A266" s="98" t="s">
        <v>500</v>
      </c>
      <c r="B266" s="99">
        <v>500877</v>
      </c>
      <c r="C266" s="98" t="s">
        <v>187</v>
      </c>
      <c r="D266" s="102" t="s">
        <v>392</v>
      </c>
      <c r="E266" s="11">
        <f ca="1">IFERROR(__xludf.DUMMYFUNCTION("GOOGLEFINANCE(""BOM:""&amp;B266,""PRICE"")"),409.45)</f>
        <v>409.45</v>
      </c>
      <c r="F266" s="20">
        <f ca="1">IFERROR(__xludf.DUMMYFUNCTION("GOOGLEFINANCE(""BOM:""&amp;B266,""MARKETCAP"")/10000000"),25979.92674)</f>
        <v>25979.926739999999</v>
      </c>
      <c r="G266" s="95">
        <f t="shared" ca="1" si="25"/>
        <v>6.4484526564325155E-4</v>
      </c>
      <c r="H266" s="101">
        <v>21134</v>
      </c>
      <c r="I266" s="101">
        <v>19699</v>
      </c>
      <c r="J266" s="101">
        <v>741</v>
      </c>
      <c r="K266" s="101">
        <v>936</v>
      </c>
      <c r="L266" s="101">
        <v>7743</v>
      </c>
      <c r="M266" s="101">
        <v>6927</v>
      </c>
      <c r="N266" s="101">
        <v>470</v>
      </c>
      <c r="O266" s="101">
        <v>337</v>
      </c>
      <c r="P266" s="13">
        <f t="shared" ref="P266:Q266" si="537">J266/H266</f>
        <v>3.5061985426327248E-2</v>
      </c>
      <c r="Q266" s="13">
        <f t="shared" si="537"/>
        <v>4.7515102289456317E-2</v>
      </c>
      <c r="R266" s="13">
        <f t="shared" si="520"/>
        <v>-1.2453116863129068E-2</v>
      </c>
      <c r="S266" s="13">
        <f t="shared" ref="S266:T266" si="538">N266/L266</f>
        <v>6.0699987085109132E-2</v>
      </c>
      <c r="T266" s="13">
        <f t="shared" si="538"/>
        <v>4.8650209325826477E-2</v>
      </c>
      <c r="U266" s="13">
        <f t="shared" si="522"/>
        <v>1.2049777759282655E-2</v>
      </c>
      <c r="V266" s="13">
        <f t="shared" si="523"/>
        <v>7.2846337377531878E-2</v>
      </c>
      <c r="W266" s="13">
        <f t="shared" si="524"/>
        <v>-0.20833333333333337</v>
      </c>
      <c r="X266" s="13">
        <f t="shared" si="525"/>
        <v>0.11779991338241658</v>
      </c>
      <c r="Y266" s="13">
        <f t="shared" si="526"/>
        <v>0.39465875370919878</v>
      </c>
    </row>
    <row r="267" spans="1:25" ht="14.4">
      <c r="A267" s="98" t="s">
        <v>501</v>
      </c>
      <c r="B267" s="99">
        <v>533023</v>
      </c>
      <c r="C267" s="98" t="s">
        <v>187</v>
      </c>
      <c r="D267" s="102" t="s">
        <v>312</v>
      </c>
      <c r="E267" s="11">
        <f ca="1">IFERROR(__xludf.DUMMYFUNCTION("GOOGLEFINANCE(""BOM:""&amp;B267,""PRICE"")"),13778.85)</f>
        <v>13778.85</v>
      </c>
      <c r="F267" s="20">
        <f ca="1">IFERROR(__xludf.DUMMYFUNCTION("GOOGLEFINANCE(""BOM:""&amp;B267,""MARKETCAP"")/10000000"),26135.428482)</f>
        <v>26135.428481999999</v>
      </c>
      <c r="G267" s="95">
        <f t="shared" ca="1" si="25"/>
        <v>6.4870495944190998E-4</v>
      </c>
      <c r="H267" s="101">
        <v>2963</v>
      </c>
      <c r="I267" s="101">
        <v>2819</v>
      </c>
      <c r="J267" s="101">
        <v>370</v>
      </c>
      <c r="K267" s="101">
        <v>334</v>
      </c>
      <c r="L267" s="101">
        <v>1074</v>
      </c>
      <c r="M267" s="101">
        <v>962</v>
      </c>
      <c r="N267" s="101">
        <v>140</v>
      </c>
      <c r="O267" s="101">
        <v>125</v>
      </c>
      <c r="P267" s="13">
        <f t="shared" ref="P267:Q267" si="539">J267/H267</f>
        <v>0.12487343908201147</v>
      </c>
      <c r="Q267" s="13">
        <f t="shared" si="539"/>
        <v>0.11848173111032281</v>
      </c>
      <c r="R267" s="13">
        <f t="shared" si="520"/>
        <v>6.3917079716886566E-3</v>
      </c>
      <c r="S267" s="13">
        <f t="shared" ref="S267:T267" si="540">N267/L267</f>
        <v>0.13035381750465549</v>
      </c>
      <c r="T267" s="13">
        <f t="shared" si="540"/>
        <v>0.12993762993762994</v>
      </c>
      <c r="U267" s="13">
        <f t="shared" si="522"/>
        <v>4.1618756702554993E-4</v>
      </c>
      <c r="V267" s="13">
        <f t="shared" si="523"/>
        <v>5.1081943951756026E-2</v>
      </c>
      <c r="W267" s="13">
        <f t="shared" si="524"/>
        <v>0.10778443113772451</v>
      </c>
      <c r="X267" s="13">
        <f t="shared" si="525"/>
        <v>0.11642411642411643</v>
      </c>
      <c r="Y267" s="13">
        <f t="shared" si="526"/>
        <v>0.12000000000000011</v>
      </c>
    </row>
    <row r="268" spans="1:25" ht="14.4">
      <c r="A268" s="98" t="s">
        <v>502</v>
      </c>
      <c r="B268" s="99">
        <v>500408</v>
      </c>
      <c r="C268" s="98" t="s">
        <v>174</v>
      </c>
      <c r="D268" s="101" t="s">
        <v>175</v>
      </c>
      <c r="E268" s="11">
        <f ca="1">IFERROR(__xludf.DUMMYFUNCTION("GOOGLEFINANCE(""BOM:""&amp;B268,""PRICE"")"),4257.9)</f>
        <v>4257.8999999999996</v>
      </c>
      <c r="F268" s="20">
        <f ca="1">IFERROR(__xludf.DUMMYFUNCTION("GOOGLEFINANCE(""BOM:""&amp;B268,""MARKETCAP"")/10000000"),26538.38142)</f>
        <v>26538.381420000002</v>
      </c>
      <c r="G268" s="95">
        <f t="shared" ref="G268:G521" ca="1" si="541">F268/$F$2</f>
        <v>6.5870661560309823E-4</v>
      </c>
      <c r="H268" s="101">
        <v>2763</v>
      </c>
      <c r="I268" s="101">
        <v>2820</v>
      </c>
      <c r="J268" s="101">
        <v>408</v>
      </c>
      <c r="K268" s="101">
        <v>612</v>
      </c>
      <c r="L268" s="101">
        <v>953</v>
      </c>
      <c r="M268" s="101">
        <v>939</v>
      </c>
      <c r="N268" s="101">
        <v>108</v>
      </c>
      <c r="O268" s="101">
        <v>199</v>
      </c>
      <c r="P268" s="13">
        <f t="shared" ref="P268:Q268" si="542">J268/H268</f>
        <v>0.1476655808903366</v>
      </c>
      <c r="Q268" s="13">
        <f t="shared" si="542"/>
        <v>0.21702127659574469</v>
      </c>
      <c r="R268" s="13">
        <f t="shared" si="520"/>
        <v>-6.9355695705408088E-2</v>
      </c>
      <c r="S268" s="13">
        <f t="shared" ref="S268:T268" si="543">N268/L268</f>
        <v>0.11332633788037776</v>
      </c>
      <c r="T268" s="13">
        <f t="shared" si="543"/>
        <v>0.21192758253461128</v>
      </c>
      <c r="U268" s="13">
        <f t="shared" si="522"/>
        <v>-9.8601244654233519E-2</v>
      </c>
      <c r="V268" s="13">
        <f t="shared" si="523"/>
        <v>-2.021276595744681E-2</v>
      </c>
      <c r="W268" s="13">
        <f t="shared" si="524"/>
        <v>-0.33333333333333337</v>
      </c>
      <c r="X268" s="13">
        <f t="shared" si="525"/>
        <v>1.4909478168264156E-2</v>
      </c>
      <c r="Y268" s="13">
        <f t="shared" si="526"/>
        <v>-0.457286432160804</v>
      </c>
    </row>
    <row r="269" spans="1:25" ht="14.4">
      <c r="A269" s="98" t="s">
        <v>503</v>
      </c>
      <c r="B269" s="99">
        <v>533206</v>
      </c>
      <c r="C269" s="98" t="s">
        <v>198</v>
      </c>
      <c r="D269" s="102" t="s">
        <v>199</v>
      </c>
      <c r="E269" s="11">
        <f ca="1">IFERROR(__xludf.DUMMYFUNCTION("GOOGLEFINANCE(""BOM:""&amp;B269,""PRICE"")"),67.54)</f>
        <v>67.540000000000006</v>
      </c>
      <c r="F269" s="20">
        <f ca="1">IFERROR(__xludf.DUMMYFUNCTION("GOOGLEFINANCE(""BOM:""&amp;B269,""MARKETCAP"")/10000000"),26545.7664242)</f>
        <v>26545.766424199999</v>
      </c>
      <c r="G269" s="95">
        <f t="shared" ca="1" si="541"/>
        <v>6.5888991808284658E-4</v>
      </c>
      <c r="H269" s="101">
        <v>3032</v>
      </c>
      <c r="I269" s="101">
        <v>2568</v>
      </c>
      <c r="J269" s="101">
        <v>760</v>
      </c>
      <c r="K269" s="101">
        <v>946</v>
      </c>
      <c r="L269" s="101">
        <v>1082</v>
      </c>
      <c r="M269" s="101">
        <v>671</v>
      </c>
      <c r="N269" s="101">
        <v>224</v>
      </c>
      <c r="O269" s="101">
        <v>149</v>
      </c>
      <c r="P269" s="13">
        <f t="shared" ref="P269:Q269" si="544">J269/H269</f>
        <v>0.25065963060686014</v>
      </c>
      <c r="Q269" s="13">
        <f t="shared" si="544"/>
        <v>0.36838006230529596</v>
      </c>
      <c r="R269" s="13">
        <f t="shared" si="520"/>
        <v>-0.11772043169843582</v>
      </c>
      <c r="S269" s="13">
        <f t="shared" ref="S269:T269" si="545">N269/L269</f>
        <v>0.20702402957486138</v>
      </c>
      <c r="T269" s="13">
        <f t="shared" si="545"/>
        <v>0.22205663189269748</v>
      </c>
      <c r="U269" s="13">
        <f t="shared" si="522"/>
        <v>-1.5032602317836097E-2</v>
      </c>
      <c r="V269" s="13">
        <f t="shared" si="523"/>
        <v>0.18068535825545173</v>
      </c>
      <c r="W269" s="13">
        <f t="shared" si="524"/>
        <v>-0.19661733615221988</v>
      </c>
      <c r="X269" s="13">
        <f t="shared" si="525"/>
        <v>0.61251862891207143</v>
      </c>
      <c r="Y269" s="13">
        <f t="shared" si="526"/>
        <v>0.50335570469798663</v>
      </c>
    </row>
    <row r="270" spans="1:25" ht="14.4">
      <c r="A270" s="98" t="s">
        <v>504</v>
      </c>
      <c r="B270" s="99">
        <v>500086</v>
      </c>
      <c r="C270" s="98" t="s">
        <v>187</v>
      </c>
      <c r="D270" s="100" t="s">
        <v>312</v>
      </c>
      <c r="E270" s="11">
        <f ca="1">IFERROR(__xludf.DUMMYFUNCTION("GOOGLEFINANCE(""BOM:""&amp;B270,""PRICE"")"),298.6)</f>
        <v>298.60000000000002</v>
      </c>
      <c r="F270" s="20">
        <f ca="1">IFERROR(__xludf.DUMMYFUNCTION("GOOGLEFINANCE(""BOM:""&amp;B270,""MARKETCAP"")/10000000"),25388.0504649)</f>
        <v>25388.050464899999</v>
      </c>
      <c r="G270" s="95">
        <f t="shared" ca="1" si="541"/>
        <v>6.3015436148234174E-4</v>
      </c>
      <c r="H270" s="101">
        <v>13260</v>
      </c>
      <c r="I270" s="101">
        <v>12902</v>
      </c>
      <c r="J270" s="101">
        <v>643</v>
      </c>
      <c r="K270" s="101">
        <v>613</v>
      </c>
      <c r="L270" s="101">
        <v>4201</v>
      </c>
      <c r="M270" s="101">
        <v>4017</v>
      </c>
      <c r="N270" s="101">
        <v>195</v>
      </c>
      <c r="O270" s="101">
        <v>158</v>
      </c>
      <c r="P270" s="13">
        <f t="shared" ref="P270:Q270" si="546">J270/H270</f>
        <v>4.8491704374057316E-2</v>
      </c>
      <c r="Q270" s="13">
        <f t="shared" si="546"/>
        <v>4.7512013641295925E-2</v>
      </c>
      <c r="R270" s="13">
        <f t="shared" si="520"/>
        <v>9.7969073276139157E-4</v>
      </c>
      <c r="S270" s="13">
        <f t="shared" ref="S270:T270" si="547">N270/L270</f>
        <v>4.6417519638181387E-2</v>
      </c>
      <c r="T270" s="13">
        <f t="shared" si="547"/>
        <v>3.9332835449340305E-2</v>
      </c>
      <c r="U270" s="13">
        <f t="shared" si="522"/>
        <v>7.0846841888410825E-3</v>
      </c>
      <c r="V270" s="13">
        <f t="shared" si="523"/>
        <v>2.7747636025422517E-2</v>
      </c>
      <c r="W270" s="13">
        <f t="shared" si="524"/>
        <v>4.8939641109298604E-2</v>
      </c>
      <c r="X270" s="13">
        <f t="shared" si="525"/>
        <v>4.5805327358725334E-2</v>
      </c>
      <c r="Y270" s="13">
        <f t="shared" si="526"/>
        <v>0.23417721518987333</v>
      </c>
    </row>
    <row r="271" spans="1:25" ht="14.4">
      <c r="A271" s="98" t="s">
        <v>505</v>
      </c>
      <c r="B271" s="99">
        <v>543426</v>
      </c>
      <c r="C271" s="98" t="s">
        <v>187</v>
      </c>
      <c r="D271" s="102" t="s">
        <v>506</v>
      </c>
      <c r="E271" s="11">
        <f ca="1">IFERROR(__xludf.DUMMYFUNCTION("GOOGLEFINANCE(""BOM:""&amp;B271,""PRICE"")"),960)</f>
        <v>960</v>
      </c>
      <c r="F271" s="20">
        <f ca="1">IFERROR(__xludf.DUMMYFUNCTION("GOOGLEFINANCE(""BOM:""&amp;B271,""MARKETCAP"")/10000000"),26164.4736)</f>
        <v>26164.473600000001</v>
      </c>
      <c r="G271" s="95">
        <f t="shared" ca="1" si="541"/>
        <v>6.4942588552533548E-4</v>
      </c>
      <c r="H271" s="101">
        <v>2090</v>
      </c>
      <c r="I271" s="101">
        <v>1864</v>
      </c>
      <c r="J271" s="101">
        <v>298</v>
      </c>
      <c r="K271" s="101">
        <v>259</v>
      </c>
      <c r="L271" s="101">
        <v>811</v>
      </c>
      <c r="M271" s="101">
        <v>703</v>
      </c>
      <c r="N271" s="101">
        <v>130</v>
      </c>
      <c r="O271" s="101">
        <v>99</v>
      </c>
      <c r="P271" s="13">
        <f t="shared" ref="P271:Q271" si="548">J271/H271</f>
        <v>0.14258373205741626</v>
      </c>
      <c r="Q271" s="13">
        <f t="shared" si="548"/>
        <v>0.13894849785407726</v>
      </c>
      <c r="R271" s="13">
        <f t="shared" si="520"/>
        <v>3.6352342033389995E-3</v>
      </c>
      <c r="S271" s="13">
        <f t="shared" ref="S271:T271" si="549">N271/L271</f>
        <v>0.16029593094944514</v>
      </c>
      <c r="T271" s="13">
        <f t="shared" si="549"/>
        <v>0.14082503556187767</v>
      </c>
      <c r="U271" s="13">
        <f t="shared" si="522"/>
        <v>1.9470895387567466E-2</v>
      </c>
      <c r="V271" s="13">
        <f t="shared" si="523"/>
        <v>0.12124463519313311</v>
      </c>
      <c r="W271" s="13">
        <f t="shared" si="524"/>
        <v>0.1505791505791505</v>
      </c>
      <c r="X271" s="13">
        <f t="shared" si="525"/>
        <v>0.15362731152204834</v>
      </c>
      <c r="Y271" s="13">
        <f t="shared" si="526"/>
        <v>0.31313131313131315</v>
      </c>
    </row>
    <row r="272" spans="1:25" ht="14.4">
      <c r="A272" s="98" t="s">
        <v>507</v>
      </c>
      <c r="B272" s="99">
        <v>539336</v>
      </c>
      <c r="C272" s="98" t="s">
        <v>91</v>
      </c>
      <c r="D272" s="102" t="s">
        <v>410</v>
      </c>
      <c r="E272" s="11">
        <f ca="1">IFERROR(__xludf.DUMMYFUNCTION("GOOGLEFINANCE(""BOM:""&amp;B272,""PRICE"")"),316.25)</f>
        <v>316.25</v>
      </c>
      <c r="F272" s="20">
        <f ca="1">IFERROR(__xludf.DUMMYFUNCTION("GOOGLEFINANCE(""BOM:""&amp;B272,""MARKETCAP"")/10000000"),21787.546665)</f>
        <v>21787.546665000002</v>
      </c>
      <c r="G272" s="95">
        <f t="shared" ca="1" si="541"/>
        <v>5.4078660257633456E-4</v>
      </c>
      <c r="H272" s="101">
        <v>11909</v>
      </c>
      <c r="I272" s="101">
        <v>12895</v>
      </c>
      <c r="J272" s="101">
        <v>874</v>
      </c>
      <c r="K272" s="101">
        <v>860</v>
      </c>
      <c r="L272" s="101">
        <v>3865</v>
      </c>
      <c r="M272" s="101">
        <v>4332</v>
      </c>
      <c r="N272" s="101">
        <v>267</v>
      </c>
      <c r="O272" s="101">
        <v>221</v>
      </c>
      <c r="P272" s="13">
        <f t="shared" ref="P272:Q272" si="550">J272/H272</f>
        <v>7.338987320513897E-2</v>
      </c>
      <c r="Q272" s="13">
        <f t="shared" si="550"/>
        <v>6.6692516479255531E-2</v>
      </c>
      <c r="R272" s="13">
        <f t="shared" si="520"/>
        <v>6.6973567258834382E-3</v>
      </c>
      <c r="S272" s="13">
        <f t="shared" ref="S272:T272" si="551">N272/L272</f>
        <v>6.9081500646830524E-2</v>
      </c>
      <c r="T272" s="13">
        <f t="shared" si="551"/>
        <v>5.1015697137580793E-2</v>
      </c>
      <c r="U272" s="13">
        <f t="shared" si="522"/>
        <v>1.8065803509249731E-2</v>
      </c>
      <c r="V272" s="13">
        <f t="shared" si="523"/>
        <v>-7.6463745637844083E-2</v>
      </c>
      <c r="W272" s="13">
        <f t="shared" si="524"/>
        <v>1.6279069767441756E-2</v>
      </c>
      <c r="X272" s="13">
        <f t="shared" si="525"/>
        <v>-0.10780240073868885</v>
      </c>
      <c r="Y272" s="13">
        <f t="shared" si="526"/>
        <v>0.20814479638009042</v>
      </c>
    </row>
    <row r="273" spans="1:25" ht="14.4">
      <c r="A273" s="98" t="s">
        <v>508</v>
      </c>
      <c r="B273" s="99">
        <v>544210</v>
      </c>
      <c r="C273" s="98" t="s">
        <v>190</v>
      </c>
      <c r="D273" s="70" t="s">
        <v>100</v>
      </c>
      <c r="E273" s="11">
        <f ca="1">IFERROR(__xludf.DUMMYFUNCTION("GOOGLEFINANCE(""BOM:""&amp;B273,""PRICE"")"),1553.5)</f>
        <v>1553.5</v>
      </c>
      <c r="F273" s="20">
        <f ca="1">IFERROR(__xludf.DUMMYFUNCTION("GOOGLEFINANCE(""BOM:""&amp;B273,""MARKETCAP"")/10000000"),29435.6653071)</f>
        <v>29435.6653071</v>
      </c>
      <c r="G273" s="95">
        <f t="shared" ca="1" si="541"/>
        <v>7.3061982061396464E-4</v>
      </c>
      <c r="H273" s="101">
        <v>6733</v>
      </c>
      <c r="I273" s="101">
        <v>5779</v>
      </c>
      <c r="J273" s="101">
        <v>697</v>
      </c>
      <c r="K273" s="101">
        <v>510</v>
      </c>
      <c r="L273" s="101">
        <v>2363</v>
      </c>
      <c r="M273" s="101">
        <v>1962</v>
      </c>
      <c r="N273" s="101">
        <v>231</v>
      </c>
      <c r="O273" s="101">
        <v>156</v>
      </c>
      <c r="P273" s="13">
        <f t="shared" ref="P273:Q273" si="552">J273/H273</f>
        <v>0.10351997623644735</v>
      </c>
      <c r="Q273" s="13">
        <f t="shared" si="552"/>
        <v>8.8250562381034778E-2</v>
      </c>
      <c r="R273" s="13">
        <f t="shared" si="520"/>
        <v>1.526941385541257E-2</v>
      </c>
      <c r="S273" s="13">
        <f t="shared" ref="S273:T273" si="553">N273/L273</f>
        <v>9.7757088446889545E-2</v>
      </c>
      <c r="T273" s="13">
        <f t="shared" si="553"/>
        <v>7.9510703363914373E-2</v>
      </c>
      <c r="U273" s="13">
        <f t="shared" si="522"/>
        <v>1.8246385082975172E-2</v>
      </c>
      <c r="V273" s="13">
        <f t="shared" si="523"/>
        <v>0.16508046374805319</v>
      </c>
      <c r="W273" s="13">
        <f t="shared" si="524"/>
        <v>0.3666666666666667</v>
      </c>
      <c r="X273" s="13">
        <f t="shared" si="525"/>
        <v>0.20438328236493364</v>
      </c>
      <c r="Y273" s="13">
        <f t="shared" si="526"/>
        <v>0.48076923076923084</v>
      </c>
    </row>
    <row r="274" spans="1:25" ht="14.4">
      <c r="A274" s="98" t="s">
        <v>509</v>
      </c>
      <c r="B274" s="99">
        <v>543412</v>
      </c>
      <c r="C274" s="98" t="s">
        <v>172</v>
      </c>
      <c r="D274" s="70" t="s">
        <v>86</v>
      </c>
      <c r="E274" s="11">
        <f ca="1">IFERROR(__xludf.DUMMYFUNCTION("GOOGLEFINANCE(""BOM:""&amp;B274,""PRICE"")"),453.7)</f>
        <v>453.7</v>
      </c>
      <c r="F274" s="20">
        <f ca="1">IFERROR(__xludf.DUMMYFUNCTION("GOOGLEFINANCE(""BOM:""&amp;B274,""MARKETCAP"")/10000000"),26687.0354887)</f>
        <v>26687.035488699999</v>
      </c>
      <c r="G274" s="95">
        <f t="shared" ca="1" si="541"/>
        <v>6.62396343960654E-4</v>
      </c>
      <c r="H274" s="101">
        <v>12825</v>
      </c>
      <c r="I274" s="101">
        <v>11607</v>
      </c>
      <c r="J274" s="101">
        <v>445</v>
      </c>
      <c r="K274" s="101">
        <v>645</v>
      </c>
      <c r="L274" s="101">
        <v>4444</v>
      </c>
      <c r="M274" s="101">
        <v>4001</v>
      </c>
      <c r="N274" s="101">
        <v>128</v>
      </c>
      <c r="O274" s="101">
        <v>215</v>
      </c>
      <c r="P274" s="13">
        <f t="shared" ref="P274:Q274" si="554">J274/H274</f>
        <v>3.4697855750487332E-2</v>
      </c>
      <c r="Q274" s="13">
        <f t="shared" si="554"/>
        <v>5.5569914706642541E-2</v>
      </c>
      <c r="R274" s="13">
        <f t="shared" si="520"/>
        <v>-2.0872058956155209E-2</v>
      </c>
      <c r="S274" s="13">
        <f t="shared" ref="S274:T274" si="555">N274/L274</f>
        <v>2.8802880288028802E-2</v>
      </c>
      <c r="T274" s="13">
        <f t="shared" si="555"/>
        <v>5.3736565858535368E-2</v>
      </c>
      <c r="U274" s="13">
        <f t="shared" si="522"/>
        <v>-2.4933685570506566E-2</v>
      </c>
      <c r="V274" s="13">
        <f t="shared" si="523"/>
        <v>0.10493667614370628</v>
      </c>
      <c r="W274" s="13">
        <f t="shared" si="524"/>
        <v>-0.31007751937984496</v>
      </c>
      <c r="X274" s="13">
        <f t="shared" si="525"/>
        <v>0.11072231942014499</v>
      </c>
      <c r="Y274" s="13">
        <f t="shared" si="526"/>
        <v>-0.40465116279069768</v>
      </c>
    </row>
    <row r="275" spans="1:25" ht="14.4">
      <c r="A275" s="98" t="s">
        <v>510</v>
      </c>
      <c r="B275" s="99">
        <v>542011</v>
      </c>
      <c r="C275" s="98" t="s">
        <v>180</v>
      </c>
      <c r="D275" s="109" t="s">
        <v>204</v>
      </c>
      <c r="E275" s="11">
        <f ca="1">IFERROR(__xludf.DUMMYFUNCTION("GOOGLEFINANCE(""BOM:""&amp;B275,""PRICE"")"),2265.9)</f>
        <v>2265.9</v>
      </c>
      <c r="F275" s="20">
        <f ca="1">IFERROR(__xludf.DUMMYFUNCTION("GOOGLEFINANCE(""BOM:""&amp;B275,""MARKETCAP"")/10000000"),25940.277755)</f>
        <v>25940.277754999999</v>
      </c>
      <c r="G275" s="95">
        <f t="shared" ca="1" si="541"/>
        <v>6.4386114199576467E-4</v>
      </c>
      <c r="H275" s="101">
        <v>4882</v>
      </c>
      <c r="I275" s="101">
        <v>3433</v>
      </c>
      <c r="J275" s="101">
        <v>444</v>
      </c>
      <c r="K275" s="101">
        <v>283</v>
      </c>
      <c r="L275" s="101">
        <v>1895</v>
      </c>
      <c r="M275" s="101">
        <v>1271</v>
      </c>
      <c r="N275" s="101">
        <v>170</v>
      </c>
      <c r="O275" s="101">
        <v>98</v>
      </c>
      <c r="P275" s="13">
        <f t="shared" ref="P275:Q275" si="556">J275/H275</f>
        <v>9.0946333469889395E-2</v>
      </c>
      <c r="Q275" s="13">
        <f t="shared" si="556"/>
        <v>8.243518788231867E-2</v>
      </c>
      <c r="R275" s="13">
        <f t="shared" si="520"/>
        <v>8.5111455875707259E-3</v>
      </c>
      <c r="S275" s="13">
        <f t="shared" ref="S275:T275" si="557">N275/L275</f>
        <v>8.9709762532981532E-2</v>
      </c>
      <c r="T275" s="13">
        <f t="shared" si="557"/>
        <v>7.7104642014162075E-2</v>
      </c>
      <c r="U275" s="13">
        <f t="shared" si="522"/>
        <v>1.2605120518819457E-2</v>
      </c>
      <c r="V275" s="13">
        <f t="shared" si="523"/>
        <v>0.42207981357413349</v>
      </c>
      <c r="W275" s="13">
        <f t="shared" si="524"/>
        <v>0.56890459363957602</v>
      </c>
      <c r="X275" s="13">
        <f t="shared" si="525"/>
        <v>0.4909520062942565</v>
      </c>
      <c r="Y275" s="13">
        <f t="shared" si="526"/>
        <v>0.73469387755102034</v>
      </c>
    </row>
    <row r="276" spans="1:25" ht="14.4">
      <c r="A276" s="98" t="s">
        <v>511</v>
      </c>
      <c r="B276" s="99">
        <v>539006</v>
      </c>
      <c r="C276" s="98" t="s">
        <v>180</v>
      </c>
      <c r="D276" s="102" t="s">
        <v>512</v>
      </c>
      <c r="E276" s="11">
        <f ca="1">IFERROR(__xludf.DUMMYFUNCTION("GOOGLEFINANCE(""BOM:""&amp;B276,""PRICE"")"),15423)</f>
        <v>15423</v>
      </c>
      <c r="F276" s="20">
        <f ca="1">IFERROR(__xludf.DUMMYFUNCTION("GOOGLEFINANCE(""BOM:""&amp;B276,""MARKETCAP"")/10000000"),23045.048605)</f>
        <v>23045.048605</v>
      </c>
      <c r="G276" s="95">
        <f t="shared" ca="1" si="541"/>
        <v>5.7199893741705251E-4</v>
      </c>
      <c r="H276" s="101">
        <v>377</v>
      </c>
      <c r="I276" s="101">
        <v>186</v>
      </c>
      <c r="J276" s="101">
        <v>41</v>
      </c>
      <c r="K276" s="101">
        <v>36</v>
      </c>
      <c r="L276" s="101">
        <v>155</v>
      </c>
      <c r="M276" s="101">
        <v>66</v>
      </c>
      <c r="N276" s="101">
        <v>18</v>
      </c>
      <c r="O276" s="101">
        <v>14</v>
      </c>
      <c r="P276" s="13">
        <f t="shared" ref="P276:Q276" si="558">J276/H276</f>
        <v>0.10875331564986737</v>
      </c>
      <c r="Q276" s="13">
        <f t="shared" si="558"/>
        <v>0.19354838709677419</v>
      </c>
      <c r="R276" s="13">
        <f t="shared" si="520"/>
        <v>-8.4795071446906817E-2</v>
      </c>
      <c r="S276" s="13">
        <f t="shared" ref="S276:T276" si="559">N276/L276</f>
        <v>0.11612903225806452</v>
      </c>
      <c r="T276" s="13">
        <f t="shared" si="559"/>
        <v>0.21212121212121213</v>
      </c>
      <c r="U276" s="13">
        <f t="shared" si="522"/>
        <v>-9.5992179863147606E-2</v>
      </c>
      <c r="V276" s="13">
        <f t="shared" si="523"/>
        <v>1.0268817204301075</v>
      </c>
      <c r="W276" s="13">
        <f t="shared" si="524"/>
        <v>0.13888888888888884</v>
      </c>
      <c r="X276" s="13">
        <f t="shared" si="525"/>
        <v>1.3484848484848486</v>
      </c>
      <c r="Y276" s="13">
        <f t="shared" si="526"/>
        <v>0.28571428571428581</v>
      </c>
    </row>
    <row r="277" spans="1:25" ht="14.4">
      <c r="A277" s="98" t="s">
        <v>513</v>
      </c>
      <c r="B277" s="99">
        <v>517174</v>
      </c>
      <c r="C277" s="98" t="s">
        <v>180</v>
      </c>
      <c r="D277" s="101" t="s">
        <v>514</v>
      </c>
      <c r="E277" s="11">
        <f ca="1">IFERROR(__xludf.DUMMYFUNCTION("GOOGLEFINANCE(""BOM:""&amp;B277,""PRICE"")"),27346.7)</f>
        <v>27346.7</v>
      </c>
      <c r="F277" s="20">
        <f ca="1">IFERROR(__xludf.DUMMYFUNCTION("GOOGLEFINANCE(""BOM:""&amp;B277,""MARKETCAP"")/10000000"),24216.926019)</f>
        <v>24216.926018999999</v>
      </c>
      <c r="G277" s="95">
        <f t="shared" ca="1" si="541"/>
        <v>6.010859941241322E-4</v>
      </c>
      <c r="H277" s="101">
        <v>3501</v>
      </c>
      <c r="I277" s="101">
        <v>3075</v>
      </c>
      <c r="J277" s="101">
        <v>365</v>
      </c>
      <c r="K277" s="101">
        <v>383</v>
      </c>
      <c r="L277" s="101">
        <v>1168</v>
      </c>
      <c r="M277" s="101">
        <v>1090</v>
      </c>
      <c r="N277" s="101">
        <v>121</v>
      </c>
      <c r="O277" s="101">
        <v>132</v>
      </c>
      <c r="P277" s="13">
        <f t="shared" ref="P277:Q277" si="560">J277/H277</f>
        <v>0.10425592687803485</v>
      </c>
      <c r="Q277" s="13">
        <f t="shared" si="560"/>
        <v>0.12455284552845529</v>
      </c>
      <c r="R277" s="13">
        <f t="shared" si="520"/>
        <v>-2.0296918650420437E-2</v>
      </c>
      <c r="S277" s="13">
        <f t="shared" ref="S277:T277" si="561">N277/L277</f>
        <v>0.1035958904109589</v>
      </c>
      <c r="T277" s="13">
        <f t="shared" si="561"/>
        <v>0.12110091743119267</v>
      </c>
      <c r="U277" s="13">
        <f t="shared" si="522"/>
        <v>-1.7505027020233765E-2</v>
      </c>
      <c r="V277" s="13">
        <f t="shared" si="523"/>
        <v>0.13853658536585356</v>
      </c>
      <c r="W277" s="13">
        <f t="shared" si="524"/>
        <v>-4.6997389033942572E-2</v>
      </c>
      <c r="X277" s="13">
        <f t="shared" si="525"/>
        <v>7.1559633027522995E-2</v>
      </c>
      <c r="Y277" s="13">
        <f t="shared" si="526"/>
        <v>-8.333333333333337E-2</v>
      </c>
    </row>
    <row r="278" spans="1:25" ht="14.4">
      <c r="A278" s="98" t="s">
        <v>515</v>
      </c>
      <c r="B278" s="99">
        <v>540902</v>
      </c>
      <c r="C278" s="98" t="s">
        <v>187</v>
      </c>
      <c r="D278" s="102" t="s">
        <v>93</v>
      </c>
      <c r="E278" s="11">
        <f ca="1">IFERROR(__xludf.DUMMYFUNCTION("GOOGLEFINANCE(""BOM:""&amp;B278,""PRICE"")"),6390)</f>
        <v>6390</v>
      </c>
      <c r="F278" s="20">
        <f ca="1">IFERROR(__xludf.DUMMYFUNCTION("GOOGLEFINANCE(""BOM:""&amp;B278,""MARKETCAP"")/10000000"),22464.6025445)</f>
        <v>22464.602544500001</v>
      </c>
      <c r="G278" s="95">
        <f t="shared" ca="1" si="541"/>
        <v>5.5759174151459394E-4</v>
      </c>
      <c r="H278" s="101">
        <v>8038</v>
      </c>
      <c r="I278" s="101">
        <v>6219</v>
      </c>
      <c r="J278" s="101">
        <v>64</v>
      </c>
      <c r="K278" s="101">
        <v>132</v>
      </c>
      <c r="L278" s="101">
        <v>2942</v>
      </c>
      <c r="M278" s="101">
        <v>2133</v>
      </c>
      <c r="N278" s="101">
        <v>-9</v>
      </c>
      <c r="O278" s="101">
        <v>37</v>
      </c>
      <c r="P278" s="13">
        <f t="shared" ref="P278:Q278" si="562">J278/H278</f>
        <v>7.9621796466782784E-3</v>
      </c>
      <c r="Q278" s="13">
        <f t="shared" si="562"/>
        <v>2.1225277375783887E-2</v>
      </c>
      <c r="R278" s="13">
        <f t="shared" si="520"/>
        <v>-1.3263097729105609E-2</v>
      </c>
      <c r="S278" s="13">
        <f t="shared" ref="S278:T278" si="563">N278/L278</f>
        <v>-3.0591434398368456E-3</v>
      </c>
      <c r="T278" s="13">
        <f t="shared" si="563"/>
        <v>1.7346460384435068E-2</v>
      </c>
      <c r="U278" s="13">
        <f t="shared" si="522"/>
        <v>-2.0405603824271912E-2</v>
      </c>
      <c r="V278" s="13">
        <f t="shared" si="523"/>
        <v>0.29249075414053705</v>
      </c>
      <c r="W278" s="13">
        <f t="shared" si="524"/>
        <v>-0.51515151515151514</v>
      </c>
      <c r="X278" s="13">
        <f t="shared" si="525"/>
        <v>0.3792780121894046</v>
      </c>
      <c r="Y278" s="13">
        <f t="shared" si="526"/>
        <v>-1.2432432432432432</v>
      </c>
    </row>
    <row r="279" spans="1:25" ht="14.4">
      <c r="A279" s="98" t="s">
        <v>516</v>
      </c>
      <c r="B279" s="99">
        <v>507815</v>
      </c>
      <c r="C279" s="98" t="s">
        <v>183</v>
      </c>
      <c r="D279" s="70" t="s">
        <v>282</v>
      </c>
      <c r="E279" s="11">
        <f ca="1">IFERROR(__xludf.DUMMYFUNCTION("GOOGLEFINANCE(""BOM:""&amp;B279,""PRICE"")"),7502.3)</f>
        <v>7502.3</v>
      </c>
      <c r="F279" s="20">
        <f ca="1">IFERROR(__xludf.DUMMYFUNCTION("GOOGLEFINANCE(""BOM:""&amp;B279,""MARKETCAP"")/10000000"),24434.0197185)</f>
        <v>24434.0197185</v>
      </c>
      <c r="G279" s="95">
        <f t="shared" ca="1" si="541"/>
        <v>6.0647445598257209E-4</v>
      </c>
      <c r="H279" s="101">
        <v>2307</v>
      </c>
      <c r="I279" s="101">
        <v>2112</v>
      </c>
      <c r="J279" s="101">
        <v>461</v>
      </c>
      <c r="K279" s="101">
        <v>374</v>
      </c>
      <c r="L279" s="101">
        <v>790</v>
      </c>
      <c r="M279" s="101">
        <v>685</v>
      </c>
      <c r="N279" s="101">
        <v>172</v>
      </c>
      <c r="O279" s="101">
        <v>125</v>
      </c>
      <c r="P279" s="13">
        <f t="shared" ref="P279:Q279" si="564">J279/H279</f>
        <v>0.199826614651062</v>
      </c>
      <c r="Q279" s="13">
        <f t="shared" si="564"/>
        <v>0.17708333333333334</v>
      </c>
      <c r="R279" s="13">
        <f t="shared" si="520"/>
        <v>2.2743281317728653E-2</v>
      </c>
      <c r="S279" s="13">
        <f t="shared" ref="S279:T279" si="565">N279/L279</f>
        <v>0.21772151898734177</v>
      </c>
      <c r="T279" s="13">
        <f t="shared" si="565"/>
        <v>0.18248175182481752</v>
      </c>
      <c r="U279" s="13">
        <f t="shared" si="522"/>
        <v>3.5239767162524249E-2</v>
      </c>
      <c r="V279" s="13">
        <f t="shared" si="523"/>
        <v>9.2329545454545414E-2</v>
      </c>
      <c r="W279" s="13">
        <f t="shared" si="524"/>
        <v>0.23262032085561501</v>
      </c>
      <c r="X279" s="13">
        <f t="shared" si="525"/>
        <v>0.15328467153284664</v>
      </c>
      <c r="Y279" s="13">
        <f t="shared" si="526"/>
        <v>0.37599999999999989</v>
      </c>
    </row>
    <row r="280" spans="1:25" ht="14.4">
      <c r="A280" s="98" t="s">
        <v>517</v>
      </c>
      <c r="B280" s="99">
        <v>543415</v>
      </c>
      <c r="C280" s="98" t="s">
        <v>172</v>
      </c>
      <c r="D280" s="100" t="s">
        <v>518</v>
      </c>
      <c r="E280" s="11">
        <f ca="1">IFERROR(__xludf.DUMMYFUNCTION("GOOGLEFINANCE(""BOM:""&amp;B280,""PRICE"")"),3252.3)</f>
        <v>3252.3</v>
      </c>
      <c r="F280" s="20">
        <f ca="1">IFERROR(__xludf.DUMMYFUNCTION("GOOGLEFINANCE(""BOM:""&amp;B280,""MARKETCAP"")/10000000"),26981.70475)</f>
        <v>26981.704750000001</v>
      </c>
      <c r="G280" s="95">
        <f t="shared" ca="1" si="541"/>
        <v>6.6971030138561244E-4</v>
      </c>
      <c r="H280" s="101">
        <v>896</v>
      </c>
      <c r="I280" s="101">
        <v>738</v>
      </c>
      <c r="J280" s="101">
        <v>293</v>
      </c>
      <c r="K280" s="101">
        <v>227</v>
      </c>
      <c r="L280" s="101">
        <v>305</v>
      </c>
      <c r="M280" s="101">
        <v>244</v>
      </c>
      <c r="N280" s="101">
        <v>100</v>
      </c>
      <c r="O280" s="101">
        <v>77</v>
      </c>
      <c r="P280" s="13">
        <f t="shared" ref="P280:Q280" si="566">J280/H280</f>
        <v>0.32700892857142855</v>
      </c>
      <c r="Q280" s="13">
        <f t="shared" si="566"/>
        <v>0.30758807588075882</v>
      </c>
      <c r="R280" s="13">
        <f t="shared" si="520"/>
        <v>1.9420852690669732E-2</v>
      </c>
      <c r="S280" s="13">
        <f t="shared" ref="S280:T280" si="567">N280/L280</f>
        <v>0.32786885245901637</v>
      </c>
      <c r="T280" s="13">
        <f t="shared" si="567"/>
        <v>0.3155737704918033</v>
      </c>
      <c r="U280" s="13">
        <f t="shared" si="522"/>
        <v>1.2295081967213073E-2</v>
      </c>
      <c r="V280" s="13">
        <f t="shared" si="523"/>
        <v>0.21409214092140916</v>
      </c>
      <c r="W280" s="13">
        <f t="shared" si="524"/>
        <v>0.29074889867841414</v>
      </c>
      <c r="X280" s="13">
        <f t="shared" si="525"/>
        <v>0.25</v>
      </c>
      <c r="Y280" s="13">
        <f t="shared" si="526"/>
        <v>0.29870129870129869</v>
      </c>
    </row>
    <row r="281" spans="1:25" ht="14.4">
      <c r="A281" s="98" t="s">
        <v>519</v>
      </c>
      <c r="B281" s="99">
        <v>500260</v>
      </c>
      <c r="C281" s="98" t="s">
        <v>196</v>
      </c>
      <c r="D281" s="102" t="s">
        <v>109</v>
      </c>
      <c r="E281" s="11">
        <f ca="1">IFERROR(__xludf.DUMMYFUNCTION("GOOGLEFINANCE(""BOM:""&amp;B281,""PRICE"")"),935)</f>
        <v>935</v>
      </c>
      <c r="F281" s="20">
        <f ca="1">IFERROR(__xludf.DUMMYFUNCTION("GOOGLEFINANCE(""BOM:""&amp;B281,""MARKETCAP"")/10000000"),22090.9677038)</f>
        <v>22090.967703800001</v>
      </c>
      <c r="G281" s="95">
        <f t="shared" ca="1" si="541"/>
        <v>5.4831778702981067E-4</v>
      </c>
      <c r="H281" s="101">
        <v>6418</v>
      </c>
      <c r="I281" s="101">
        <v>6121</v>
      </c>
      <c r="J281" s="101">
        <v>548</v>
      </c>
      <c r="K281" s="101">
        <v>243</v>
      </c>
      <c r="L281" s="101">
        <v>2106</v>
      </c>
      <c r="M281" s="101">
        <v>1983</v>
      </c>
      <c r="N281" s="101">
        <v>386</v>
      </c>
      <c r="O281" s="101">
        <v>182</v>
      </c>
      <c r="P281" s="13">
        <f t="shared" ref="P281:Q281" si="568">J281/H281</f>
        <v>8.538485509504519E-2</v>
      </c>
      <c r="Q281" s="13">
        <f t="shared" si="568"/>
        <v>3.9699395523607253E-2</v>
      </c>
      <c r="R281" s="13">
        <f t="shared" si="520"/>
        <v>4.5685459571437936E-2</v>
      </c>
      <c r="S281" s="13">
        <f t="shared" ref="S281:T281" si="569">N281/L281</f>
        <v>0.18328584995251662</v>
      </c>
      <c r="T281" s="13">
        <f t="shared" si="569"/>
        <v>9.1780131114473015E-2</v>
      </c>
      <c r="U281" s="13">
        <f t="shared" si="522"/>
        <v>9.1505718838043607E-2</v>
      </c>
      <c r="V281" s="13">
        <f t="shared" si="523"/>
        <v>4.8521483417742095E-2</v>
      </c>
      <c r="W281" s="13">
        <f t="shared" si="524"/>
        <v>1.2551440329218106</v>
      </c>
      <c r="X281" s="13">
        <f t="shared" si="525"/>
        <v>6.2027231467473465E-2</v>
      </c>
      <c r="Y281" s="13">
        <f t="shared" si="526"/>
        <v>1.1208791208791209</v>
      </c>
    </row>
    <row r="282" spans="1:25" ht="14.4">
      <c r="A282" s="104" t="s">
        <v>520</v>
      </c>
      <c r="B282" s="99">
        <v>544397</v>
      </c>
      <c r="C282" s="98" t="s">
        <v>187</v>
      </c>
      <c r="D282" s="101" t="s">
        <v>82</v>
      </c>
      <c r="E282" s="11">
        <f ca="1">IFERROR(__xludf.DUMMYFUNCTION("GOOGLEFINANCE(""BOM:""&amp;B282,""PRICE"")"),790.25)</f>
        <v>790.25</v>
      </c>
      <c r="F282" s="20">
        <f ca="1">IFERROR(__xludf.DUMMYFUNCTION("GOOGLEFINANCE(""BOM:""&amp;B282,""MARKETCAP"")/10000000"),30240.733825)</f>
        <v>30240.733824999999</v>
      </c>
      <c r="G282" s="95">
        <f t="shared" ca="1" si="541"/>
        <v>7.5060234895138846E-4</v>
      </c>
      <c r="H282" s="101">
        <v>2497</v>
      </c>
      <c r="I282" s="101">
        <v>1578</v>
      </c>
      <c r="J282" s="101">
        <v>-416</v>
      </c>
      <c r="K282" s="101">
        <v>-577</v>
      </c>
      <c r="L282" s="101">
        <v>953</v>
      </c>
      <c r="M282" s="101">
        <v>634</v>
      </c>
      <c r="N282" s="101">
        <v>-84</v>
      </c>
      <c r="O282" s="101">
        <v>-197</v>
      </c>
      <c r="P282" s="13">
        <f t="shared" ref="P282:Q282" si="570">J282/H282</f>
        <v>-0.16659991990388467</v>
      </c>
      <c r="Q282" s="13">
        <f t="shared" si="570"/>
        <v>-0.3656527249683143</v>
      </c>
      <c r="R282" s="13">
        <f t="shared" si="520"/>
        <v>0.19905280506442963</v>
      </c>
      <c r="S282" s="13">
        <f t="shared" ref="S282:T282" si="571">N282/L282</f>
        <v>-8.8142707240293813E-2</v>
      </c>
      <c r="T282" s="13">
        <f t="shared" si="571"/>
        <v>-0.3107255520504732</v>
      </c>
      <c r="U282" s="13">
        <f t="shared" si="522"/>
        <v>0.22258284481017937</v>
      </c>
      <c r="V282" s="13">
        <f t="shared" si="523"/>
        <v>0.58238276299112801</v>
      </c>
      <c r="W282" s="13">
        <f t="shared" si="524"/>
        <v>-0.27902946273830154</v>
      </c>
      <c r="X282" s="13">
        <f t="shared" si="525"/>
        <v>0.50315457413249209</v>
      </c>
      <c r="Y282" s="13">
        <f t="shared" si="526"/>
        <v>-0.57360406091370564</v>
      </c>
    </row>
    <row r="283" spans="1:25" ht="15.6">
      <c r="A283" s="98" t="s">
        <v>139</v>
      </c>
      <c r="B283" s="99" t="s">
        <v>139</v>
      </c>
      <c r="C283" s="114" t="s">
        <v>172</v>
      </c>
      <c r="D283" s="115" t="s">
        <v>521</v>
      </c>
      <c r="E283" s="11">
        <f ca="1">IFERROR(__xludf.DUMMYFUNCTION("GOOGLEFINANCE(""NSE:""&amp;B283,""PRICE"")"),1202)</f>
        <v>1202</v>
      </c>
      <c r="F283" s="20">
        <f ca="1">IFERROR(__xludf.DUMMYFUNCTION("GOOGLEFINANCE(""NSE:""&amp;B283,""MARKETCAP"")/10000000"),25119.7105102)</f>
        <v>25119.710510199999</v>
      </c>
      <c r="G283" s="95">
        <f t="shared" ca="1" si="541"/>
        <v>6.2349392124696557E-4</v>
      </c>
      <c r="H283" s="101">
        <v>970</v>
      </c>
      <c r="I283" s="101">
        <v>943</v>
      </c>
      <c r="J283" s="101">
        <v>375</v>
      </c>
      <c r="K283" s="101">
        <v>426</v>
      </c>
      <c r="L283" s="101">
        <v>334</v>
      </c>
      <c r="M283" s="101">
        <v>298</v>
      </c>
      <c r="N283" s="101">
        <v>133</v>
      </c>
      <c r="O283" s="101">
        <v>130</v>
      </c>
      <c r="P283" s="13">
        <f t="shared" ref="P283:Q283" si="572">J283/H283</f>
        <v>0.38659793814432991</v>
      </c>
      <c r="Q283" s="13">
        <f t="shared" si="572"/>
        <v>0.45174973488865322</v>
      </c>
      <c r="R283" s="13">
        <f t="shared" si="520"/>
        <v>-6.5151796744323309E-2</v>
      </c>
      <c r="S283" s="13">
        <f t="shared" ref="S283:T283" si="573">N283/L283</f>
        <v>0.39820359281437123</v>
      </c>
      <c r="T283" s="13">
        <f t="shared" si="573"/>
        <v>0.43624161073825501</v>
      </c>
      <c r="U283" s="13">
        <f t="shared" si="522"/>
        <v>-3.8038017923883782E-2</v>
      </c>
      <c r="V283" s="13">
        <f t="shared" si="523"/>
        <v>2.8632025450689325E-2</v>
      </c>
      <c r="W283" s="13">
        <f t="shared" si="524"/>
        <v>-0.11971830985915488</v>
      </c>
      <c r="X283" s="13">
        <f t="shared" si="525"/>
        <v>0.12080536912751683</v>
      </c>
      <c r="Y283" s="13">
        <f t="shared" si="526"/>
        <v>2.3076923076922995E-2</v>
      </c>
    </row>
    <row r="284" spans="1:25" ht="14.4">
      <c r="A284" s="98" t="s">
        <v>522</v>
      </c>
      <c r="B284" s="99">
        <v>543374</v>
      </c>
      <c r="C284" s="98" t="s">
        <v>172</v>
      </c>
      <c r="D284" s="102" t="s">
        <v>246</v>
      </c>
      <c r="E284" s="11">
        <f ca="1">IFERROR(__xludf.DUMMYFUNCTION("GOOGLEFINANCE(""BOM:""&amp;B284,""PRICE"")"),952.45)</f>
        <v>952.45</v>
      </c>
      <c r="F284" s="20">
        <f ca="1">IFERROR(__xludf.DUMMYFUNCTION("GOOGLEFINANCE(""BOM:""&amp;B284,""MARKETCAP"")/10000000"),27522.0526997)</f>
        <v>27522.052699700002</v>
      </c>
      <c r="G284" s="95">
        <f t="shared" ca="1" si="541"/>
        <v>6.831222259322513E-4</v>
      </c>
      <c r="H284" s="101">
        <v>1634</v>
      </c>
      <c r="I284" s="101">
        <v>1485</v>
      </c>
      <c r="J284" s="101">
        <v>787</v>
      </c>
      <c r="K284" s="101">
        <v>702</v>
      </c>
      <c r="L284" s="101">
        <v>562</v>
      </c>
      <c r="M284" s="101">
        <v>483</v>
      </c>
      <c r="N284" s="101">
        <v>269</v>
      </c>
      <c r="O284" s="101">
        <v>224</v>
      </c>
      <c r="P284" s="13">
        <f t="shared" ref="P284:Q284" si="574">J284/H284</f>
        <v>0.48164014687882495</v>
      </c>
      <c r="Q284" s="13">
        <f t="shared" si="574"/>
        <v>0.47272727272727272</v>
      </c>
      <c r="R284" s="13">
        <f t="shared" si="520"/>
        <v>8.9128741515522303E-3</v>
      </c>
      <c r="S284" s="13">
        <f t="shared" ref="S284:T284" si="575">N284/L284</f>
        <v>0.47864768683274023</v>
      </c>
      <c r="T284" s="13">
        <f t="shared" si="575"/>
        <v>0.46376811594202899</v>
      </c>
      <c r="U284" s="13">
        <f t="shared" si="522"/>
        <v>1.4879570890711236E-2</v>
      </c>
      <c r="V284" s="13">
        <f t="shared" si="523"/>
        <v>0.10033670033670039</v>
      </c>
      <c r="W284" s="13">
        <f t="shared" si="524"/>
        <v>0.12108262108262102</v>
      </c>
      <c r="X284" s="13">
        <f t="shared" si="525"/>
        <v>0.16356107660455477</v>
      </c>
      <c r="Y284" s="13">
        <f t="shared" si="526"/>
        <v>0.20089285714285721</v>
      </c>
    </row>
    <row r="285" spans="1:25" ht="14.4">
      <c r="A285" s="98" t="s">
        <v>523</v>
      </c>
      <c r="B285" s="99">
        <v>522113</v>
      </c>
      <c r="C285" s="98" t="s">
        <v>180</v>
      </c>
      <c r="D285" s="102" t="s">
        <v>524</v>
      </c>
      <c r="E285" s="11">
        <f ca="1">IFERROR(__xludf.DUMMYFUNCTION("GOOGLEFINANCE(""BOM:""&amp;B285,""PRICE"")"),3335.45)</f>
        <v>3335.45</v>
      </c>
      <c r="F285" s="20">
        <f ca="1">IFERROR(__xludf.DUMMYFUNCTION("GOOGLEFINANCE(""BOM:""&amp;B285,""MARKETCAP"")/10000000"),25044.9878612)</f>
        <v>25044.987861199999</v>
      </c>
      <c r="G285" s="95">
        <f t="shared" ca="1" si="541"/>
        <v>6.21639237554968E-4</v>
      </c>
      <c r="H285" s="101">
        <v>2388</v>
      </c>
      <c r="I285" s="101">
        <v>2243</v>
      </c>
      <c r="J285" s="101">
        <v>256</v>
      </c>
      <c r="K285" s="101">
        <v>271</v>
      </c>
      <c r="L285" s="101">
        <v>779</v>
      </c>
      <c r="M285" s="101">
        <v>683</v>
      </c>
      <c r="N285" s="101">
        <v>74</v>
      </c>
      <c r="O285" s="101">
        <v>78</v>
      </c>
      <c r="P285" s="13">
        <f t="shared" ref="P285:Q285" si="576">J285/H285</f>
        <v>0.10720268006700168</v>
      </c>
      <c r="Q285" s="13">
        <f t="shared" si="576"/>
        <v>0.12082032991529201</v>
      </c>
      <c r="R285" s="13">
        <f t="shared" si="520"/>
        <v>-1.3617649848290336E-2</v>
      </c>
      <c r="S285" s="13">
        <f t="shared" ref="S285:T285" si="577">N285/L285</f>
        <v>9.4993581514762518E-2</v>
      </c>
      <c r="T285" s="13">
        <f t="shared" si="577"/>
        <v>0.11420204978038068</v>
      </c>
      <c r="U285" s="13">
        <f t="shared" si="522"/>
        <v>-1.9208468265618159E-2</v>
      </c>
      <c r="V285" s="13">
        <f t="shared" si="523"/>
        <v>6.4645563976816867E-2</v>
      </c>
      <c r="W285" s="13">
        <f t="shared" si="524"/>
        <v>-5.5350553505535083E-2</v>
      </c>
      <c r="X285" s="13">
        <f t="shared" si="525"/>
        <v>0.14055636896046853</v>
      </c>
      <c r="Y285" s="13">
        <f t="shared" si="526"/>
        <v>-5.1282051282051322E-2</v>
      </c>
    </row>
    <row r="286" spans="1:25" ht="14.4">
      <c r="A286" s="104" t="s">
        <v>525</v>
      </c>
      <c r="B286" s="99">
        <v>523610</v>
      </c>
      <c r="C286" s="98" t="s">
        <v>170</v>
      </c>
      <c r="D286" s="102" t="s">
        <v>526</v>
      </c>
      <c r="E286" s="11">
        <f ca="1">IFERROR(__xludf.DUMMYFUNCTION("GOOGLEFINANCE(""BOM:""&amp;B286,""PRICE"")"),256.9)</f>
        <v>256.89999999999998</v>
      </c>
      <c r="F286" s="20">
        <f ca="1">IFERROR(__xludf.DUMMYFUNCTION("GOOGLEFINANCE(""BOM:""&amp;B286,""MARKETCAP"")/10000000"),24741.4441692)</f>
        <v>24741.4441692</v>
      </c>
      <c r="G286" s="95">
        <f t="shared" ca="1" si="541"/>
        <v>6.1410500873819831E-4</v>
      </c>
      <c r="H286" s="101">
        <v>1556</v>
      </c>
      <c r="I286" s="101">
        <v>2570</v>
      </c>
      <c r="J286" s="101">
        <v>-143</v>
      </c>
      <c r="K286" s="101">
        <v>-210</v>
      </c>
      <c r="L286" s="101">
        <v>514</v>
      </c>
      <c r="M286" s="101">
        <v>1034</v>
      </c>
      <c r="N286" s="101">
        <v>-25</v>
      </c>
      <c r="O286" s="101">
        <v>-48</v>
      </c>
      <c r="P286" s="13">
        <f t="shared" ref="P286:Q286" si="578">J286/H286</f>
        <v>-9.1902313624678669E-2</v>
      </c>
      <c r="Q286" s="13">
        <f t="shared" si="578"/>
        <v>-8.171206225680934E-2</v>
      </c>
      <c r="R286" s="13">
        <f t="shared" si="520"/>
        <v>-1.019025136786933E-2</v>
      </c>
      <c r="S286" s="13">
        <f t="shared" ref="S286:T286" si="579">N286/L286</f>
        <v>-4.8638132295719845E-2</v>
      </c>
      <c r="T286" s="13">
        <f t="shared" si="579"/>
        <v>-4.6421663442940041E-2</v>
      </c>
      <c r="U286" s="13">
        <f t="shared" si="522"/>
        <v>-2.2164688527798043E-3</v>
      </c>
      <c r="V286" s="13">
        <f t="shared" si="523"/>
        <v>-0.39455252918287942</v>
      </c>
      <c r="W286" s="13">
        <f t="shared" si="524"/>
        <v>-0.31904761904761902</v>
      </c>
      <c r="X286" s="13">
        <f t="shared" si="525"/>
        <v>-0.50290135396518376</v>
      </c>
      <c r="Y286" s="13">
        <f t="shared" si="526"/>
        <v>-0.47916666666666663</v>
      </c>
    </row>
    <row r="287" spans="1:25" ht="14.4">
      <c r="A287" s="98" t="s">
        <v>527</v>
      </c>
      <c r="B287" s="99">
        <v>532733</v>
      </c>
      <c r="C287" s="98" t="s">
        <v>187</v>
      </c>
      <c r="D287" s="100" t="s">
        <v>528</v>
      </c>
      <c r="E287" s="11">
        <f ca="1">IFERROR(__xludf.DUMMYFUNCTION("GOOGLEFINANCE(""BOM:""&amp;B287,""PRICE"")"),589.8)</f>
        <v>589.79999999999995</v>
      </c>
      <c r="F287" s="20">
        <f ca="1">IFERROR(__xludf.DUMMYFUNCTION("GOOGLEFINANCE(""BOM:""&amp;B287,""MARKETCAP"")/10000000"),23215.5228238)</f>
        <v>23215.522823800002</v>
      </c>
      <c r="G287" s="95">
        <f t="shared" ca="1" si="541"/>
        <v>5.7623026162391259E-4</v>
      </c>
      <c r="H287" s="101">
        <v>3452</v>
      </c>
      <c r="I287" s="101">
        <v>3078</v>
      </c>
      <c r="J287" s="101">
        <v>1208</v>
      </c>
      <c r="K287" s="101">
        <v>1333</v>
      </c>
      <c r="L287" s="101">
        <v>862</v>
      </c>
      <c r="M287" s="101">
        <v>829</v>
      </c>
      <c r="N287" s="101">
        <v>324</v>
      </c>
      <c r="O287" s="101">
        <v>363</v>
      </c>
      <c r="P287" s="13">
        <f t="shared" ref="P287:Q287" si="580">J287/H287</f>
        <v>0.34994206257242177</v>
      </c>
      <c r="Q287" s="13">
        <f t="shared" si="580"/>
        <v>0.43307342430149448</v>
      </c>
      <c r="R287" s="13">
        <f t="shared" si="520"/>
        <v>-8.3131361729072706E-2</v>
      </c>
      <c r="S287" s="13">
        <f t="shared" ref="S287:T287" si="581">N287/L287</f>
        <v>0.37587006960556846</v>
      </c>
      <c r="T287" s="13">
        <f t="shared" si="581"/>
        <v>0.43787696019300359</v>
      </c>
      <c r="U287" s="13">
        <f t="shared" si="522"/>
        <v>-6.2006890587435137E-2</v>
      </c>
      <c r="V287" s="13">
        <f t="shared" si="523"/>
        <v>0.12150747238466542</v>
      </c>
      <c r="W287" s="13">
        <f t="shared" si="524"/>
        <v>-9.3773443360840258E-2</v>
      </c>
      <c r="X287" s="13">
        <f t="shared" si="525"/>
        <v>3.9806996381182236E-2</v>
      </c>
      <c r="Y287" s="13">
        <f t="shared" si="526"/>
        <v>-0.1074380165289256</v>
      </c>
    </row>
    <row r="288" spans="1:25" ht="14.4">
      <c r="A288" s="98" t="s">
        <v>529</v>
      </c>
      <c r="B288" s="99">
        <v>532947</v>
      </c>
      <c r="C288" s="98" t="s">
        <v>180</v>
      </c>
      <c r="D288" s="102" t="s">
        <v>181</v>
      </c>
      <c r="E288" s="11">
        <f ca="1">IFERROR(__xludf.DUMMYFUNCTION("GOOGLEFINANCE(""BOM:""&amp;B288,""PRICE"")"),20.64)</f>
        <v>20.64</v>
      </c>
      <c r="F288" s="20">
        <f ca="1">IFERROR(__xludf.DUMMYFUNCTION("GOOGLEFINANCE(""BOM:""&amp;B288,""MARKETCAP"")/10000000"),12450.8422718)</f>
        <v>12450.8422718</v>
      </c>
      <c r="G288" s="95">
        <f t="shared" ca="1" si="541"/>
        <v>3.0904115983820118E-4</v>
      </c>
      <c r="H288" s="101">
        <v>5721</v>
      </c>
      <c r="I288" s="101">
        <v>5464</v>
      </c>
      <c r="J288" s="101">
        <v>554</v>
      </c>
      <c r="K288" s="101">
        <v>6265</v>
      </c>
      <c r="L288" s="101">
        <v>1871</v>
      </c>
      <c r="M288" s="101">
        <v>2025</v>
      </c>
      <c r="N288" s="101">
        <v>210</v>
      </c>
      <c r="O288" s="101">
        <v>6026</v>
      </c>
      <c r="P288" s="13">
        <f t="shared" ref="P288:Q288" si="582">J288/H288</f>
        <v>9.6836217444502715E-2</v>
      </c>
      <c r="Q288" s="13">
        <f t="shared" si="582"/>
        <v>1.1465959004392388</v>
      </c>
      <c r="R288" s="13">
        <f t="shared" si="520"/>
        <v>-1.049759682994736</v>
      </c>
      <c r="S288" s="13">
        <f t="shared" ref="S288:T288" si="583">N288/L288</f>
        <v>0.1122394441475147</v>
      </c>
      <c r="T288" s="13">
        <f t="shared" si="583"/>
        <v>2.9758024691358025</v>
      </c>
      <c r="U288" s="13">
        <f t="shared" si="522"/>
        <v>-2.863563024988288</v>
      </c>
      <c r="V288" s="13">
        <f t="shared" si="523"/>
        <v>4.7035139092240108E-2</v>
      </c>
      <c r="W288" s="13">
        <f t="shared" si="524"/>
        <v>-0.91157222665602555</v>
      </c>
      <c r="X288" s="13">
        <f t="shared" si="525"/>
        <v>-7.604938271604933E-2</v>
      </c>
      <c r="Y288" s="13">
        <f t="shared" si="526"/>
        <v>-0.96515101228011946</v>
      </c>
    </row>
    <row r="289" spans="1:25" ht="14.4">
      <c r="A289" s="98" t="s">
        <v>530</v>
      </c>
      <c r="B289" s="99">
        <v>534309</v>
      </c>
      <c r="C289" s="98" t="s">
        <v>180</v>
      </c>
      <c r="D289" s="102" t="s">
        <v>181</v>
      </c>
      <c r="E289" s="11">
        <f ca="1">IFERROR(__xludf.DUMMYFUNCTION("GOOGLEFINANCE(""BOM:""&amp;B289,""PRICE"")"),84.1)</f>
        <v>84.1</v>
      </c>
      <c r="F289" s="20">
        <f ca="1">IFERROR(__xludf.DUMMYFUNCTION("GOOGLEFINANCE(""BOM:""&amp;B289,""MARKETCAP"")/10000000"),22733.999176)</f>
        <v>22733.999176000001</v>
      </c>
      <c r="G289" s="95">
        <f t="shared" ca="1" si="541"/>
        <v>5.642784094233047E-4</v>
      </c>
      <c r="H289" s="101">
        <v>8328</v>
      </c>
      <c r="I289" s="101">
        <v>7399</v>
      </c>
      <c r="J289" s="101">
        <v>488</v>
      </c>
      <c r="K289" s="101">
        <v>374</v>
      </c>
      <c r="L289" s="101">
        <v>3022</v>
      </c>
      <c r="M289" s="101">
        <v>2809</v>
      </c>
      <c r="N289" s="101">
        <v>197</v>
      </c>
      <c r="O289" s="101">
        <v>142</v>
      </c>
      <c r="P289" s="13">
        <f t="shared" ref="P289:Q289" si="584">J289/H289</f>
        <v>5.8597502401536987E-2</v>
      </c>
      <c r="Q289" s="13">
        <f t="shared" si="584"/>
        <v>5.054737126638735E-2</v>
      </c>
      <c r="R289" s="13">
        <f t="shared" si="520"/>
        <v>8.0501311351496366E-3</v>
      </c>
      <c r="S289" s="13">
        <f t="shared" ref="S289:T289" si="585">N289/L289</f>
        <v>6.5188616810059566E-2</v>
      </c>
      <c r="T289" s="13">
        <f t="shared" si="585"/>
        <v>5.0551797792808828E-2</v>
      </c>
      <c r="U289" s="13">
        <f t="shared" si="522"/>
        <v>1.4636819017250738E-2</v>
      </c>
      <c r="V289" s="13">
        <f t="shared" si="523"/>
        <v>0.12555750777132046</v>
      </c>
      <c r="W289" s="13">
        <f t="shared" si="524"/>
        <v>0.30481283422459904</v>
      </c>
      <c r="X289" s="13">
        <f t="shared" si="525"/>
        <v>7.5827696689213298E-2</v>
      </c>
      <c r="Y289" s="13">
        <f t="shared" si="526"/>
        <v>0.38732394366197176</v>
      </c>
    </row>
    <row r="290" spans="1:25" ht="14.4">
      <c r="A290" s="98" t="s">
        <v>531</v>
      </c>
      <c r="B290" s="99">
        <v>531213</v>
      </c>
      <c r="C290" s="98" t="s">
        <v>172</v>
      </c>
      <c r="D290" s="101" t="s">
        <v>178</v>
      </c>
      <c r="E290" s="11">
        <f ca="1">IFERROR(__xludf.DUMMYFUNCTION("GOOGLEFINANCE(""BOM:""&amp;B290,""PRICE"")"),261.1)</f>
        <v>261.10000000000002</v>
      </c>
      <c r="F290" s="20">
        <f ca="1">IFERROR(__xludf.DUMMYFUNCTION("GOOGLEFINANCE(""BOM:""&amp;B290,""MARKETCAP"")/10000000"),22123.6320789)</f>
        <v>22123.632078899998</v>
      </c>
      <c r="G290" s="95">
        <f t="shared" ca="1" si="541"/>
        <v>5.4912854634600215E-4</v>
      </c>
      <c r="H290" s="101">
        <v>6899</v>
      </c>
      <c r="I290" s="101">
        <v>7712</v>
      </c>
      <c r="J290" s="101">
        <v>588</v>
      </c>
      <c r="K290" s="101">
        <v>1407</v>
      </c>
      <c r="L290" s="101">
        <v>2359</v>
      </c>
      <c r="M290" s="101">
        <v>2563</v>
      </c>
      <c r="N290" s="101">
        <v>239</v>
      </c>
      <c r="O290" s="101">
        <v>278</v>
      </c>
      <c r="P290" s="13">
        <f t="shared" ref="P290:Q290" si="586">J290/H290</f>
        <v>8.522974344107842E-2</v>
      </c>
      <c r="Q290" s="13">
        <f t="shared" si="586"/>
        <v>0.18244294605809128</v>
      </c>
      <c r="R290" s="13">
        <f t="shared" si="520"/>
        <v>-9.7213202617012856E-2</v>
      </c>
      <c r="S290" s="13">
        <f t="shared" ref="S290:T290" si="587">N290/L290</f>
        <v>0.1013141161509114</v>
      </c>
      <c r="T290" s="13">
        <f t="shared" si="587"/>
        <v>0.10846664065548185</v>
      </c>
      <c r="U290" s="13">
        <f t="shared" si="522"/>
        <v>-7.1525245045704483E-3</v>
      </c>
      <c r="V290" s="13">
        <f t="shared" si="523"/>
        <v>-0.10542012448132776</v>
      </c>
      <c r="W290" s="13">
        <f t="shared" si="524"/>
        <v>-0.58208955223880599</v>
      </c>
      <c r="X290" s="13">
        <f t="shared" si="525"/>
        <v>-7.9594225516972261E-2</v>
      </c>
      <c r="Y290" s="13">
        <f t="shared" si="526"/>
        <v>-0.14028776978417268</v>
      </c>
    </row>
    <row r="291" spans="1:25" ht="14.4">
      <c r="A291" s="98" t="s">
        <v>532</v>
      </c>
      <c r="B291" s="99">
        <v>539524</v>
      </c>
      <c r="C291" s="98" t="s">
        <v>190</v>
      </c>
      <c r="D291" s="102" t="s">
        <v>98</v>
      </c>
      <c r="E291" s="11">
        <f ca="1">IFERROR(__xludf.DUMMYFUNCTION("GOOGLEFINANCE(""BOM:""&amp;B291,""PRICE"")"),1349)</f>
        <v>1349</v>
      </c>
      <c r="F291" s="20">
        <f ca="1">IFERROR(__xludf.DUMMYFUNCTION("GOOGLEFINANCE(""BOM:""&amp;B291,""MARKETCAP"")/10000000"),22523.0558226)</f>
        <v>22523.055822599999</v>
      </c>
      <c r="G291" s="95">
        <f t="shared" ca="1" si="541"/>
        <v>5.5904260471453045E-4</v>
      </c>
      <c r="H291" s="101">
        <v>2060</v>
      </c>
      <c r="I291" s="101">
        <v>1858</v>
      </c>
      <c r="J291" s="101">
        <v>377</v>
      </c>
      <c r="K291" s="101">
        <v>336</v>
      </c>
      <c r="L291" s="101">
        <v>659</v>
      </c>
      <c r="M291" s="101">
        <v>596</v>
      </c>
      <c r="N291" s="101">
        <v>91</v>
      </c>
      <c r="O291" s="101">
        <v>98</v>
      </c>
      <c r="P291" s="13">
        <f t="shared" ref="P291:Q291" si="588">J291/H291</f>
        <v>0.18300970873786407</v>
      </c>
      <c r="Q291" s="13">
        <f t="shared" si="588"/>
        <v>0.18083961248654468</v>
      </c>
      <c r="R291" s="13">
        <f t="shared" si="520"/>
        <v>2.1700962513193922E-3</v>
      </c>
      <c r="S291" s="13">
        <f t="shared" ref="S291:T291" si="589">N291/L291</f>
        <v>0.13808801213960548</v>
      </c>
      <c r="T291" s="13">
        <f t="shared" si="589"/>
        <v>0.16442953020134229</v>
      </c>
      <c r="U291" s="13">
        <f t="shared" si="522"/>
        <v>-2.6341518061736818E-2</v>
      </c>
      <c r="V291" s="13">
        <f t="shared" si="523"/>
        <v>0.10871905274488691</v>
      </c>
      <c r="W291" s="13">
        <f t="shared" si="524"/>
        <v>0.12202380952380953</v>
      </c>
      <c r="X291" s="13">
        <f t="shared" si="525"/>
        <v>0.10570469798657722</v>
      </c>
      <c r="Y291" s="13">
        <f t="shared" si="526"/>
        <v>-7.1428571428571397E-2</v>
      </c>
    </row>
    <row r="292" spans="1:25" ht="14.4">
      <c r="A292" s="98" t="s">
        <v>533</v>
      </c>
      <c r="B292" s="99">
        <v>543664</v>
      </c>
      <c r="C292" s="98" t="s">
        <v>180</v>
      </c>
      <c r="D292" s="108" t="s">
        <v>514</v>
      </c>
      <c r="E292" s="11">
        <f ca="1">IFERROR(__xludf.DUMMYFUNCTION("GOOGLEFINANCE(""BOM:""&amp;B292,""PRICE"")"),3675)</f>
        <v>3675</v>
      </c>
      <c r="F292" s="20">
        <f ca="1">IFERROR(__xludf.DUMMYFUNCTION("GOOGLEFINANCE(""BOM:""&amp;B292,""MARKETCAP"")/10000000"),23543.26275)</f>
        <v>23543.262750000002</v>
      </c>
      <c r="G292" s="95">
        <f t="shared" ca="1" si="541"/>
        <v>5.8436506284515485E-4</v>
      </c>
      <c r="H292" s="101">
        <v>2383</v>
      </c>
      <c r="I292" s="101">
        <v>1737</v>
      </c>
      <c r="J292" s="101">
        <v>272</v>
      </c>
      <c r="K292" s="101">
        <v>177</v>
      </c>
      <c r="L292" s="101">
        <v>804</v>
      </c>
      <c r="M292" s="101">
        <v>661</v>
      </c>
      <c r="N292" s="101">
        <v>76</v>
      </c>
      <c r="O292" s="101">
        <v>66</v>
      </c>
      <c r="P292" s="13">
        <f t="shared" ref="P292:Q292" si="590">J292/H292</f>
        <v>0.1141418380193034</v>
      </c>
      <c r="Q292" s="13">
        <f t="shared" si="590"/>
        <v>0.10189982728842832</v>
      </c>
      <c r="R292" s="13">
        <f t="shared" si="520"/>
        <v>1.224201073087508E-2</v>
      </c>
      <c r="S292" s="13">
        <f t="shared" ref="S292:T292" si="591">N292/L292</f>
        <v>9.4527363184079602E-2</v>
      </c>
      <c r="T292" s="13">
        <f t="shared" si="591"/>
        <v>9.9848714069591532E-2</v>
      </c>
      <c r="U292" s="13">
        <f t="shared" si="522"/>
        <v>-5.3213508855119301E-3</v>
      </c>
      <c r="V292" s="13">
        <f t="shared" si="523"/>
        <v>0.37190558434081744</v>
      </c>
      <c r="W292" s="13">
        <f t="shared" si="524"/>
        <v>0.53672316384180796</v>
      </c>
      <c r="X292" s="13">
        <f t="shared" si="525"/>
        <v>0.21633888048411487</v>
      </c>
      <c r="Y292" s="13">
        <f t="shared" si="526"/>
        <v>0.1515151515151516</v>
      </c>
    </row>
    <row r="293" spans="1:25" ht="14.4">
      <c r="A293" s="98" t="s">
        <v>534</v>
      </c>
      <c r="B293" s="99">
        <v>500003</v>
      </c>
      <c r="C293" s="98" t="s">
        <v>91</v>
      </c>
      <c r="D293" s="100" t="s">
        <v>535</v>
      </c>
      <c r="E293" s="11">
        <f ca="1">IFERROR(__xludf.DUMMYFUNCTION("GOOGLEFINANCE(""BOM:""&amp;B293,""PRICE"")"),600)</f>
        <v>600</v>
      </c>
      <c r="F293" s="20">
        <f ca="1">IFERROR(__xludf.DUMMYFUNCTION("GOOGLEFINANCE(""BOM:""&amp;B293,""MARKETCAP"")/10000000"),21059.994)</f>
        <v>21059.993999999999</v>
      </c>
      <c r="G293" s="95">
        <f t="shared" ca="1" si="541"/>
        <v>5.2272808777655867E-4</v>
      </c>
      <c r="H293" s="101">
        <v>5738</v>
      </c>
      <c r="I293" s="101">
        <v>5058</v>
      </c>
      <c r="J293" s="101">
        <v>652</v>
      </c>
      <c r="K293" s="101">
        <v>429</v>
      </c>
      <c r="L293" s="101">
        <v>1725</v>
      </c>
      <c r="M293" s="101">
        <v>1706</v>
      </c>
      <c r="N293" s="101">
        <v>232</v>
      </c>
      <c r="O293" s="101">
        <v>159</v>
      </c>
      <c r="P293" s="13">
        <f t="shared" ref="P293:Q293" si="592">J293/H293</f>
        <v>0.11362844196584175</v>
      </c>
      <c r="Q293" s="13">
        <f t="shared" si="592"/>
        <v>8.481613285883749E-2</v>
      </c>
      <c r="R293" s="13">
        <f t="shared" si="520"/>
        <v>2.8812309107004261E-2</v>
      </c>
      <c r="S293" s="13">
        <f t="shared" ref="S293:T293" si="593">N293/L293</f>
        <v>0.13449275362318841</v>
      </c>
      <c r="T293" s="13">
        <f t="shared" si="593"/>
        <v>9.3200468933177016E-2</v>
      </c>
      <c r="U293" s="13">
        <f t="shared" si="522"/>
        <v>4.1292284690011394E-2</v>
      </c>
      <c r="V293" s="13">
        <f t="shared" si="523"/>
        <v>0.13444049031237637</v>
      </c>
      <c r="W293" s="13">
        <f t="shared" si="524"/>
        <v>0.51981351981351986</v>
      </c>
      <c r="X293" s="13">
        <f t="shared" si="525"/>
        <v>1.1137162954278912E-2</v>
      </c>
      <c r="Y293" s="13">
        <f t="shared" si="526"/>
        <v>0.45911949685534581</v>
      </c>
    </row>
    <row r="294" spans="1:25" ht="14.4">
      <c r="A294" s="98" t="s">
        <v>536</v>
      </c>
      <c r="B294" s="99">
        <v>544407</v>
      </c>
      <c r="C294" s="98" t="s">
        <v>91</v>
      </c>
      <c r="D294" s="101" t="s">
        <v>537</v>
      </c>
      <c r="E294" s="11">
        <f ca="1">IFERROR(__xludf.DUMMYFUNCTION("GOOGLEFINANCE(""BOM:""&amp;B294,""PRICE"")"),174.3)</f>
        <v>174.3</v>
      </c>
      <c r="F294" s="20">
        <f ca="1">IFERROR(__xludf.DUMMYFUNCTION("GOOGLEFINANCE(""BOM:""&amp;B294,""MARKETCAP"")/10000000"),19220.00585)</f>
        <v>19220.005850000001</v>
      </c>
      <c r="G294" s="95">
        <f t="shared" ca="1" si="541"/>
        <v>4.7705791867864598E-4</v>
      </c>
      <c r="H294" s="101">
        <v>562</v>
      </c>
      <c r="I294" s="101">
        <v>476</v>
      </c>
      <c r="J294" s="101">
        <v>467</v>
      </c>
      <c r="K294" s="101">
        <v>85</v>
      </c>
      <c r="L294" s="101">
        <v>200</v>
      </c>
      <c r="M294" s="101">
        <v>169</v>
      </c>
      <c r="N294" s="101">
        <v>61</v>
      </c>
      <c r="O294" s="101">
        <v>37</v>
      </c>
      <c r="P294" s="13">
        <f t="shared" ref="P294:Q294" si="594">J294/H294</f>
        <v>0.83096085409252674</v>
      </c>
      <c r="Q294" s="13">
        <f t="shared" si="594"/>
        <v>0.17857142857142858</v>
      </c>
      <c r="R294" s="13">
        <f t="shared" si="520"/>
        <v>0.65238942552109813</v>
      </c>
      <c r="S294" s="13">
        <f t="shared" ref="S294:T294" si="595">N294/L294</f>
        <v>0.30499999999999999</v>
      </c>
      <c r="T294" s="13">
        <f t="shared" si="595"/>
        <v>0.21893491124260356</v>
      </c>
      <c r="U294" s="13">
        <f t="shared" si="522"/>
        <v>8.6065088757396435E-2</v>
      </c>
      <c r="V294" s="13">
        <f t="shared" si="523"/>
        <v>0.18067226890756305</v>
      </c>
      <c r="W294" s="13">
        <f t="shared" si="524"/>
        <v>4.4941176470588236</v>
      </c>
      <c r="X294" s="13">
        <f t="shared" si="525"/>
        <v>0.18343195266272194</v>
      </c>
      <c r="Y294" s="13">
        <f t="shared" si="526"/>
        <v>0.64864864864864868</v>
      </c>
    </row>
    <row r="295" spans="1:25" ht="14.4">
      <c r="A295" s="98" t="s">
        <v>538</v>
      </c>
      <c r="B295" s="99">
        <v>544028</v>
      </c>
      <c r="C295" s="98" t="s">
        <v>174</v>
      </c>
      <c r="D295" s="100" t="s">
        <v>455</v>
      </c>
      <c r="E295" s="11">
        <f ca="1">IFERROR(__xludf.DUMMYFUNCTION("GOOGLEFINANCE(""BOM:""&amp;B295,""PRICE"")"),543.45)</f>
        <v>543.45000000000005</v>
      </c>
      <c r="F295" s="20">
        <f ca="1">IFERROR(__xludf.DUMMYFUNCTION("GOOGLEFINANCE(""BOM:""&amp;B295,""MARKETCAP"")/10000000"),22052.7960715)</f>
        <v>22052.796071500001</v>
      </c>
      <c r="G295" s="95">
        <f t="shared" ca="1" si="541"/>
        <v>5.4737033261175675E-4</v>
      </c>
      <c r="H295" s="101">
        <v>3933</v>
      </c>
      <c r="I295" s="101">
        <v>3882</v>
      </c>
      <c r="J295" s="101">
        <v>342</v>
      </c>
      <c r="K295" s="101">
        <v>448</v>
      </c>
      <c r="L295" s="101">
        <v>1365</v>
      </c>
      <c r="M295" s="101">
        <v>1317</v>
      </c>
      <c r="N295" s="101">
        <v>7</v>
      </c>
      <c r="O295" s="101">
        <v>169</v>
      </c>
      <c r="P295" s="13">
        <f t="shared" ref="P295:Q295" si="596">J295/H295</f>
        <v>8.6956521739130432E-2</v>
      </c>
      <c r="Q295" s="13">
        <f t="shared" si="596"/>
        <v>0.11540443070582174</v>
      </c>
      <c r="R295" s="13">
        <f t="shared" si="520"/>
        <v>-2.8447908966691304E-2</v>
      </c>
      <c r="S295" s="13">
        <f t="shared" ref="S295:T295" si="597">N295/L295</f>
        <v>5.1282051282051282E-3</v>
      </c>
      <c r="T295" s="13">
        <f t="shared" si="597"/>
        <v>0.12832194381169323</v>
      </c>
      <c r="U295" s="13">
        <f t="shared" si="522"/>
        <v>-0.12319373868348811</v>
      </c>
      <c r="V295" s="13">
        <f t="shared" si="523"/>
        <v>1.3137557959814528E-2</v>
      </c>
      <c r="W295" s="13">
        <f t="shared" si="524"/>
        <v>-0.2366071428571429</v>
      </c>
      <c r="X295" s="13">
        <f t="shared" si="525"/>
        <v>3.6446469248291535E-2</v>
      </c>
      <c r="Y295" s="13">
        <f t="shared" si="526"/>
        <v>-0.95857988165680474</v>
      </c>
    </row>
    <row r="296" spans="1:25" ht="14.4">
      <c r="A296" s="98" t="s">
        <v>539</v>
      </c>
      <c r="B296" s="99">
        <v>540769</v>
      </c>
      <c r="C296" s="98" t="s">
        <v>172</v>
      </c>
      <c r="D296" s="102" t="s">
        <v>86</v>
      </c>
      <c r="E296" s="11">
        <f ca="1">IFERROR(__xludf.DUMMYFUNCTION("GOOGLEFINANCE(""BOM:""&amp;B296,""PRICE"")"),123.5)</f>
        <v>123.5</v>
      </c>
      <c r="F296" s="20">
        <f ca="1">IFERROR(__xludf.DUMMYFUNCTION("GOOGLEFINANCE(""BOM:""&amp;B296,""MARKETCAP"")/10000000"),20410.4673635)</f>
        <v>20410.4673635</v>
      </c>
      <c r="G296" s="95">
        <f t="shared" ca="1" si="541"/>
        <v>5.0660624953398434E-4</v>
      </c>
      <c r="H296" s="101">
        <v>34848</v>
      </c>
      <c r="I296" s="101">
        <v>30229</v>
      </c>
      <c r="J296" s="101">
        <v>789</v>
      </c>
      <c r="K296" s="101">
        <v>650</v>
      </c>
      <c r="L296" s="101">
        <v>11428</v>
      </c>
      <c r="M296" s="101">
        <v>10229</v>
      </c>
      <c r="N296" s="101">
        <v>376</v>
      </c>
      <c r="O296" s="101">
        <v>344</v>
      </c>
      <c r="P296" s="13">
        <f t="shared" ref="P296:Q296" si="598">J296/H296</f>
        <v>2.2641184573002755E-2</v>
      </c>
      <c r="Q296" s="13">
        <f t="shared" si="598"/>
        <v>2.1502530682457242E-2</v>
      </c>
      <c r="R296" s="13">
        <f t="shared" si="520"/>
        <v>1.1386538905455122E-3</v>
      </c>
      <c r="S296" s="13">
        <f t="shared" ref="S296:T296" si="599">N296/L296</f>
        <v>3.2901645082254113E-2</v>
      </c>
      <c r="T296" s="13">
        <f t="shared" si="599"/>
        <v>3.362987584319093E-2</v>
      </c>
      <c r="U296" s="13">
        <f t="shared" si="522"/>
        <v>-7.2823076093681688E-4</v>
      </c>
      <c r="V296" s="13">
        <f t="shared" si="523"/>
        <v>0.15280029111118454</v>
      </c>
      <c r="W296" s="13">
        <f t="shared" si="524"/>
        <v>0.2138461538461538</v>
      </c>
      <c r="X296" s="13">
        <f t="shared" si="525"/>
        <v>0.11721575911623816</v>
      </c>
      <c r="Y296" s="13">
        <f t="shared" si="526"/>
        <v>9.3023255813953432E-2</v>
      </c>
    </row>
    <row r="297" spans="1:25" ht="14.4">
      <c r="A297" s="98" t="s">
        <v>540</v>
      </c>
      <c r="B297" s="99">
        <v>532514</v>
      </c>
      <c r="C297" s="98" t="s">
        <v>91</v>
      </c>
      <c r="D297" s="100" t="s">
        <v>410</v>
      </c>
      <c r="E297" s="11">
        <f ca="1">IFERROR(__xludf.DUMMYFUNCTION("GOOGLEFINANCE(""BOM:""&amp;B297,""PRICE"")"),148.05)</f>
        <v>148.05000000000001</v>
      </c>
      <c r="F297" s="20">
        <f ca="1">IFERROR(__xludf.DUMMYFUNCTION("GOOGLEFINANCE(""BOM:""&amp;B297,""MARKETCAP"")/10000000"),20716.414852)</f>
        <v>20716.414852000002</v>
      </c>
      <c r="G297" s="95">
        <f t="shared" ca="1" si="541"/>
        <v>5.1420014275274065E-4</v>
      </c>
      <c r="H297" s="101">
        <v>13262</v>
      </c>
      <c r="I297" s="101">
        <v>12114</v>
      </c>
      <c r="J297" s="101">
        <v>1205</v>
      </c>
      <c r="K297" s="101">
        <v>1260</v>
      </c>
      <c r="L297" s="101">
        <v>4489</v>
      </c>
      <c r="M297" s="101">
        <v>4142</v>
      </c>
      <c r="N297" s="101">
        <v>392</v>
      </c>
      <c r="O297" s="101">
        <v>325</v>
      </c>
      <c r="P297" s="13">
        <f t="shared" ref="P297:Q297" si="600">J297/H297</f>
        <v>9.0861106922032878E-2</v>
      </c>
      <c r="Q297" s="13">
        <f t="shared" si="600"/>
        <v>0.10401188707280833</v>
      </c>
      <c r="R297" s="13">
        <f t="shared" si="520"/>
        <v>-1.3150780150775448E-2</v>
      </c>
      <c r="S297" s="13">
        <f t="shared" ref="S297:T297" si="601">N297/L297</f>
        <v>8.7324571173980847E-2</v>
      </c>
      <c r="T297" s="13">
        <f t="shared" si="601"/>
        <v>7.846450989859971E-2</v>
      </c>
      <c r="U297" s="13">
        <f t="shared" si="522"/>
        <v>8.860061275381137E-3</v>
      </c>
      <c r="V297" s="13">
        <f t="shared" si="523"/>
        <v>9.4766385999669911E-2</v>
      </c>
      <c r="W297" s="13">
        <f t="shared" si="524"/>
        <v>-4.3650793650793607E-2</v>
      </c>
      <c r="X297" s="13">
        <f t="shared" si="525"/>
        <v>8.3775953645581769E-2</v>
      </c>
      <c r="Y297" s="13">
        <f t="shared" si="526"/>
        <v>0.20615384615384613</v>
      </c>
    </row>
    <row r="298" spans="1:25" ht="14.4">
      <c r="A298" s="98" t="s">
        <v>541</v>
      </c>
      <c r="B298" s="99">
        <v>543458</v>
      </c>
      <c r="C298" s="98" t="s">
        <v>183</v>
      </c>
      <c r="D298" s="101" t="s">
        <v>130</v>
      </c>
      <c r="E298" s="11">
        <f ca="1">IFERROR(__xludf.DUMMYFUNCTION("GOOGLEFINANCE(""BOM:""&amp;B298,""PRICE"")"),180)</f>
        <v>180</v>
      </c>
      <c r="F298" s="20">
        <f ca="1">IFERROR(__xludf.DUMMYFUNCTION("GOOGLEFINANCE(""BOM:""&amp;B298,""MARKETCAP"")/10000000"),23320.2562583)</f>
        <v>23320.2562583</v>
      </c>
      <c r="G298" s="95">
        <f t="shared" ca="1" si="541"/>
        <v>5.7882984013957856E-4</v>
      </c>
      <c r="H298" s="101">
        <v>53266</v>
      </c>
      <c r="I298" s="101">
        <v>45443</v>
      </c>
      <c r="J298" s="101">
        <v>752</v>
      </c>
      <c r="K298" s="101">
        <v>1035</v>
      </c>
      <c r="L298" s="101">
        <v>18603</v>
      </c>
      <c r="M298" s="101">
        <v>16839</v>
      </c>
      <c r="N298" s="101">
        <v>269</v>
      </c>
      <c r="O298" s="101">
        <v>411</v>
      </c>
      <c r="P298" s="13">
        <f t="shared" ref="P298:Q298" si="602">J298/H298</f>
        <v>1.4117823752487515E-2</v>
      </c>
      <c r="Q298" s="13">
        <f t="shared" si="602"/>
        <v>2.2775785049402548E-2</v>
      </c>
      <c r="R298" s="13">
        <f t="shared" si="520"/>
        <v>-8.657961296915033E-3</v>
      </c>
      <c r="S298" s="13">
        <f t="shared" ref="S298:T298" si="603">N298/L298</f>
        <v>1.4460033327957856E-2</v>
      </c>
      <c r="T298" s="13">
        <f t="shared" si="603"/>
        <v>2.4407625155888117E-2</v>
      </c>
      <c r="U298" s="13">
        <f t="shared" si="522"/>
        <v>-9.9475918279302612E-3</v>
      </c>
      <c r="V298" s="13">
        <f t="shared" si="523"/>
        <v>0.17214972603041168</v>
      </c>
      <c r="W298" s="13">
        <f t="shared" si="524"/>
        <v>-0.27342995169082129</v>
      </c>
      <c r="X298" s="13">
        <f t="shared" si="525"/>
        <v>0.10475681453768049</v>
      </c>
      <c r="Y298" s="13">
        <f t="shared" si="526"/>
        <v>-0.34549878345498786</v>
      </c>
    </row>
    <row r="299" spans="1:25" ht="14.4">
      <c r="A299" s="98" t="s">
        <v>542</v>
      </c>
      <c r="B299" s="99">
        <v>543299</v>
      </c>
      <c r="C299" s="98" t="s">
        <v>180</v>
      </c>
      <c r="D299" s="109" t="s">
        <v>384</v>
      </c>
      <c r="E299" s="11">
        <f ca="1">IFERROR(__xludf.DUMMYFUNCTION("GOOGLEFINANCE(""BOM:""&amp;B299,""PRICE"")"),791.85)</f>
        <v>791.85</v>
      </c>
      <c r="F299" s="20">
        <f ca="1">IFERROR(__xludf.DUMMYFUNCTION("GOOGLEFINANCE(""BOM:""&amp;B299,""MARKETCAP"")/10000000"),22031.5151747)</f>
        <v>22031.515174700002</v>
      </c>
      <c r="G299" s="95">
        <f t="shared" ca="1" si="541"/>
        <v>5.4684212151680418E-4</v>
      </c>
      <c r="H299" s="101">
        <v>13311</v>
      </c>
      <c r="I299" s="101">
        <v>11010</v>
      </c>
      <c r="J299" s="101">
        <v>748</v>
      </c>
      <c r="K299" s="101">
        <v>689</v>
      </c>
      <c r="L299" s="101">
        <v>4421</v>
      </c>
      <c r="M299" s="101">
        <v>3756</v>
      </c>
      <c r="N299" s="101">
        <v>197</v>
      </c>
      <c r="O299" s="101">
        <v>197</v>
      </c>
      <c r="P299" s="13">
        <f t="shared" ref="P299:Q299" si="604">J299/H299</f>
        <v>5.6194125159642401E-2</v>
      </c>
      <c r="Q299" s="13">
        <f t="shared" si="604"/>
        <v>6.2579473206176198E-2</v>
      </c>
      <c r="R299" s="13">
        <f t="shared" si="520"/>
        <v>-6.3853480465337967E-3</v>
      </c>
      <c r="S299" s="13">
        <f t="shared" ref="S299:T299" si="605">N299/L299</f>
        <v>4.4560054286360555E-2</v>
      </c>
      <c r="T299" s="13">
        <f t="shared" si="605"/>
        <v>5.2449414270500531E-2</v>
      </c>
      <c r="U299" s="13">
        <f t="shared" si="522"/>
        <v>-7.8893599841399764E-3</v>
      </c>
      <c r="V299" s="13">
        <f t="shared" si="523"/>
        <v>0.20899182561307894</v>
      </c>
      <c r="W299" s="13">
        <f t="shared" si="524"/>
        <v>8.5631349782293142E-2</v>
      </c>
      <c r="X299" s="13">
        <f t="shared" si="525"/>
        <v>0.17705005324813627</v>
      </c>
      <c r="Y299" s="13">
        <f t="shared" si="526"/>
        <v>0</v>
      </c>
    </row>
    <row r="300" spans="1:25" ht="14.4">
      <c r="A300" s="98" t="s">
        <v>543</v>
      </c>
      <c r="B300" s="99">
        <v>500184</v>
      </c>
      <c r="C300" s="98" t="s">
        <v>196</v>
      </c>
      <c r="D300" s="100" t="s">
        <v>544</v>
      </c>
      <c r="E300" s="11">
        <f ca="1">IFERROR(__xludf.DUMMYFUNCTION("GOOGLEFINANCE(""BOM:""&amp;B300,""PRICE"")"),451.9)</f>
        <v>451.9</v>
      </c>
      <c r="F300" s="20">
        <f ca="1">IFERROR(__xludf.DUMMYFUNCTION("GOOGLEFINANCE(""BOM:""&amp;B300,""MARKETCAP"")/10000000"),22752.2995583)</f>
        <v>22752.299558300001</v>
      </c>
      <c r="G300" s="95">
        <f t="shared" ca="1" si="541"/>
        <v>5.6473264145419984E-4</v>
      </c>
      <c r="H300" s="101">
        <v>3372</v>
      </c>
      <c r="I300" s="101">
        <v>3477</v>
      </c>
      <c r="J300" s="101">
        <v>547</v>
      </c>
      <c r="K300" s="101">
        <v>399</v>
      </c>
      <c r="L300" s="101">
        <v>1183</v>
      </c>
      <c r="M300" s="101">
        <v>1140</v>
      </c>
      <c r="N300" s="101">
        <v>192</v>
      </c>
      <c r="O300" s="101">
        <v>141</v>
      </c>
      <c r="P300" s="13">
        <f t="shared" ref="P300:Q300" si="606">J300/H300</f>
        <v>0.16221826809015422</v>
      </c>
      <c r="Q300" s="13">
        <f t="shared" si="606"/>
        <v>0.11475409836065574</v>
      </c>
      <c r="R300" s="13">
        <f t="shared" si="520"/>
        <v>4.7464169729498476E-2</v>
      </c>
      <c r="S300" s="13">
        <f t="shared" ref="S300:T300" si="607">N300/L300</f>
        <v>0.16229923922231615</v>
      </c>
      <c r="T300" s="13">
        <f t="shared" si="607"/>
        <v>0.12368421052631579</v>
      </c>
      <c r="U300" s="13">
        <f t="shared" si="522"/>
        <v>3.8615028696000364E-2</v>
      </c>
      <c r="V300" s="13">
        <f t="shared" si="523"/>
        <v>-3.0198446937014678E-2</v>
      </c>
      <c r="W300" s="13">
        <f t="shared" si="524"/>
        <v>0.37092731829573933</v>
      </c>
      <c r="X300" s="13">
        <f t="shared" si="525"/>
        <v>3.7719298245614041E-2</v>
      </c>
      <c r="Y300" s="13">
        <f t="shared" si="526"/>
        <v>0.36170212765957444</v>
      </c>
    </row>
    <row r="301" spans="1:25" ht="14.4">
      <c r="A301" s="98" t="s">
        <v>545</v>
      </c>
      <c r="B301" s="99">
        <v>544309</v>
      </c>
      <c r="C301" s="98" t="s">
        <v>174</v>
      </c>
      <c r="D301" s="102" t="s">
        <v>455</v>
      </c>
      <c r="E301" s="11">
        <f ca="1">IFERROR(__xludf.DUMMYFUNCTION("GOOGLEFINANCE(""BOM:""&amp;B301,""PRICE"")"),1358.9)</f>
        <v>1358.9</v>
      </c>
      <c r="F301" s="20">
        <f ca="1">IFERROR(__xludf.DUMMYFUNCTION("GOOGLEFINANCE(""BOM:""&amp;B301,""MARKETCAP"")/10000000"),22743.089845)</f>
        <v>22743.089844999999</v>
      </c>
      <c r="G301" s="95">
        <f t="shared" ca="1" si="541"/>
        <v>5.6450404804518552E-4</v>
      </c>
      <c r="H301" s="101">
        <v>2336</v>
      </c>
      <c r="I301" s="101">
        <v>1940</v>
      </c>
      <c r="J301" s="101">
        <v>515</v>
      </c>
      <c r="K301" s="101">
        <v>338</v>
      </c>
      <c r="L301" s="101">
        <v>814</v>
      </c>
      <c r="M301" s="101">
        <v>657</v>
      </c>
      <c r="N301" s="101">
        <v>183</v>
      </c>
      <c r="O301" s="101">
        <v>129</v>
      </c>
      <c r="P301" s="13">
        <f t="shared" ref="P301:Q301" si="608">J301/H301</f>
        <v>0.22046232876712329</v>
      </c>
      <c r="Q301" s="13">
        <f t="shared" si="608"/>
        <v>0.17422680412371133</v>
      </c>
      <c r="R301" s="13">
        <f t="shared" si="520"/>
        <v>4.6235524643411963E-2</v>
      </c>
      <c r="S301" s="13">
        <f t="shared" ref="S301:T301" si="609">N301/L301</f>
        <v>0.22481572481572482</v>
      </c>
      <c r="T301" s="13">
        <f t="shared" si="609"/>
        <v>0.19634703196347031</v>
      </c>
      <c r="U301" s="13">
        <f t="shared" si="522"/>
        <v>2.8468692852254507E-2</v>
      </c>
      <c r="V301" s="13">
        <f t="shared" si="523"/>
        <v>0.20412371134020613</v>
      </c>
      <c r="W301" s="13">
        <f t="shared" si="524"/>
        <v>0.52366863905325434</v>
      </c>
      <c r="X301" s="13">
        <f t="shared" si="525"/>
        <v>0.23896499238964997</v>
      </c>
      <c r="Y301" s="13">
        <f t="shared" si="526"/>
        <v>0.41860465116279078</v>
      </c>
    </row>
    <row r="302" spans="1:25" ht="14.4">
      <c r="A302" s="98" t="s">
        <v>546</v>
      </c>
      <c r="B302" s="99">
        <v>500680</v>
      </c>
      <c r="C302" s="98" t="s">
        <v>190</v>
      </c>
      <c r="D302" s="109" t="s">
        <v>100</v>
      </c>
      <c r="E302" s="11">
        <f ca="1">IFERROR(__xludf.DUMMYFUNCTION("GOOGLEFINANCE(""BOM:""&amp;B302,""PRICE"")"),4835.3)</f>
        <v>4835.3</v>
      </c>
      <c r="F302" s="20">
        <f ca="1">IFERROR(__xludf.DUMMYFUNCTION("GOOGLEFINANCE(""BOM:""&amp;B302,""MARKETCAP"")/10000000"),22110.7889239)</f>
        <v>22110.7889239</v>
      </c>
      <c r="G302" s="95">
        <f t="shared" ca="1" si="541"/>
        <v>5.4880976762962798E-4</v>
      </c>
      <c r="H302" s="101">
        <v>1890</v>
      </c>
      <c r="I302" s="101">
        <v>1689</v>
      </c>
      <c r="J302" s="101">
        <v>523</v>
      </c>
      <c r="K302" s="101">
        <v>437</v>
      </c>
      <c r="L302" s="101">
        <v>645</v>
      </c>
      <c r="M302" s="101">
        <v>538</v>
      </c>
      <c r="N302" s="101">
        <v>142</v>
      </c>
      <c r="O302" s="101">
        <v>128</v>
      </c>
      <c r="P302" s="13">
        <f t="shared" ref="P302:Q302" si="610">J302/H302</f>
        <v>0.2767195767195767</v>
      </c>
      <c r="Q302" s="13">
        <f t="shared" si="610"/>
        <v>0.25873297809354645</v>
      </c>
      <c r="R302" s="13">
        <f t="shared" si="520"/>
        <v>1.7986598626030248E-2</v>
      </c>
      <c r="S302" s="13">
        <f t="shared" ref="S302:T302" si="611">N302/L302</f>
        <v>0.22015503875968992</v>
      </c>
      <c r="T302" s="13">
        <f t="shared" si="611"/>
        <v>0.23791821561338289</v>
      </c>
      <c r="U302" s="13">
        <f t="shared" si="522"/>
        <v>-1.7763176853692969E-2</v>
      </c>
      <c r="V302" s="13">
        <f t="shared" si="523"/>
        <v>0.11900532859680291</v>
      </c>
      <c r="W302" s="13">
        <f t="shared" si="524"/>
        <v>0.19679633867276891</v>
      </c>
      <c r="X302" s="13">
        <f t="shared" si="525"/>
        <v>0.1988847583643123</v>
      </c>
      <c r="Y302" s="13">
        <f t="shared" si="526"/>
        <v>0.109375</v>
      </c>
    </row>
    <row r="303" spans="1:25" ht="14.4">
      <c r="A303" s="98" t="s">
        <v>547</v>
      </c>
      <c r="B303" s="99">
        <v>543988</v>
      </c>
      <c r="C303" s="98" t="s">
        <v>172</v>
      </c>
      <c r="D303" s="101" t="s">
        <v>436</v>
      </c>
      <c r="E303" s="11">
        <f ca="1">IFERROR(__xludf.DUMMYFUNCTION("GOOGLEFINANCE(""BOM:""&amp;B303,""PRICE"")"),1175.5)</f>
        <v>1175.5</v>
      </c>
      <c r="F303" s="20">
        <f ca="1">IFERROR(__xludf.DUMMYFUNCTION("GOOGLEFINANCE(""BOM:""&amp;B303,""MARKETCAP"")/10000000"),4213.864221)</f>
        <v>4213.8642209999998</v>
      </c>
      <c r="G303" s="95">
        <f t="shared" ca="1" si="541"/>
        <v>1.0459191899073608E-4</v>
      </c>
      <c r="H303" s="101">
        <v>3368</v>
      </c>
      <c r="I303" s="101">
        <v>3044</v>
      </c>
      <c r="J303" s="101">
        <v>771</v>
      </c>
      <c r="K303" s="101">
        <v>729</v>
      </c>
      <c r="L303" s="101">
        <v>1105</v>
      </c>
      <c r="M303" s="101">
        <v>1034</v>
      </c>
      <c r="N303" s="101">
        <v>253</v>
      </c>
      <c r="O303" s="101">
        <v>251</v>
      </c>
      <c r="P303" s="13">
        <f t="shared" ref="P303:Q303" si="612">J303/H303</f>
        <v>0.22891923990498814</v>
      </c>
      <c r="Q303" s="13">
        <f t="shared" si="612"/>
        <v>0.23948751642575558</v>
      </c>
      <c r="R303" s="13">
        <f t="shared" si="520"/>
        <v>-1.0568276520767445E-2</v>
      </c>
      <c r="S303" s="13">
        <f t="shared" ref="S303:T303" si="613">N303/L303</f>
        <v>0.22895927601809954</v>
      </c>
      <c r="T303" s="13">
        <f t="shared" si="613"/>
        <v>0.24274661508704062</v>
      </c>
      <c r="U303" s="13">
        <f t="shared" si="522"/>
        <v>-1.3787339068941085E-2</v>
      </c>
      <c r="V303" s="13">
        <f t="shared" si="523"/>
        <v>0.10643889618922464</v>
      </c>
      <c r="W303" s="13">
        <f t="shared" si="524"/>
        <v>5.7613168724279795E-2</v>
      </c>
      <c r="X303" s="13">
        <f t="shared" si="525"/>
        <v>6.8665377176015507E-2</v>
      </c>
      <c r="Y303" s="13">
        <f t="shared" si="526"/>
        <v>7.9681274900398336E-3</v>
      </c>
    </row>
    <row r="304" spans="1:25" ht="14.4">
      <c r="A304" s="98" t="s">
        <v>548</v>
      </c>
      <c r="B304" s="99">
        <v>506820</v>
      </c>
      <c r="C304" s="98" t="s">
        <v>190</v>
      </c>
      <c r="D304" s="100" t="s">
        <v>100</v>
      </c>
      <c r="E304" s="11">
        <f ca="1">IFERROR(__xludf.DUMMYFUNCTION("GOOGLEFINANCE(""BOM:""&amp;B304,""PRICE"")"),7758.05)</f>
        <v>7758.05</v>
      </c>
      <c r="F304" s="20">
        <f ca="1">IFERROR(__xludf.DUMMYFUNCTION("GOOGLEFINANCE(""BOM:""&amp;B304,""MARKETCAP"")/10000000"),19420)</f>
        <v>19420</v>
      </c>
      <c r="G304" s="95">
        <f t="shared" ca="1" si="541"/>
        <v>4.8202195426175188E-4</v>
      </c>
      <c r="H304" s="101">
        <v>1696</v>
      </c>
      <c r="I304" s="101">
        <v>1235</v>
      </c>
      <c r="J304" s="101">
        <v>142</v>
      </c>
      <c r="K304" s="101">
        <v>57</v>
      </c>
      <c r="L304" s="101">
        <v>611</v>
      </c>
      <c r="M304" s="101">
        <v>440</v>
      </c>
      <c r="N304" s="101">
        <v>32</v>
      </c>
      <c r="O304" s="101">
        <v>30</v>
      </c>
      <c r="P304" s="13">
        <f t="shared" ref="P304:Q304" si="614">J304/H304</f>
        <v>8.3726415094339618E-2</v>
      </c>
      <c r="Q304" s="13">
        <f t="shared" si="614"/>
        <v>4.6153846153846156E-2</v>
      </c>
      <c r="R304" s="13">
        <f t="shared" si="520"/>
        <v>3.7572568940493462E-2</v>
      </c>
      <c r="S304" s="13">
        <f t="shared" ref="S304:T304" si="615">N304/L304</f>
        <v>5.2373158756137482E-2</v>
      </c>
      <c r="T304" s="13">
        <f t="shared" si="615"/>
        <v>6.8181818181818177E-2</v>
      </c>
      <c r="U304" s="13">
        <f t="shared" si="522"/>
        <v>-1.5808659425680695E-2</v>
      </c>
      <c r="V304" s="13">
        <f t="shared" si="523"/>
        <v>0.3732793522267206</v>
      </c>
      <c r="W304" s="13">
        <f t="shared" si="524"/>
        <v>1.4912280701754388</v>
      </c>
      <c r="X304" s="13">
        <f t="shared" si="525"/>
        <v>0.38863636363636367</v>
      </c>
      <c r="Y304" s="13">
        <f t="shared" si="526"/>
        <v>6.6666666666666652E-2</v>
      </c>
    </row>
    <row r="305" spans="1:25" ht="14.4">
      <c r="A305" s="98" t="s">
        <v>549</v>
      </c>
      <c r="B305" s="99">
        <v>515030</v>
      </c>
      <c r="C305" s="98" t="s">
        <v>187</v>
      </c>
      <c r="D305" s="100" t="s">
        <v>312</v>
      </c>
      <c r="E305" s="11">
        <f ca="1">IFERROR(__xludf.DUMMYFUNCTION("GOOGLEFINANCE(""BOM:""&amp;B305,""PRICE"")"),809.4)</f>
        <v>809.4</v>
      </c>
      <c r="F305" s="20">
        <f ca="1">IFERROR(__xludf.DUMMYFUNCTION("GOOGLEFINANCE(""BOM:""&amp;B305,""MARKETCAP"")/10000000"),20661.84956)</f>
        <v>20661.849559999999</v>
      </c>
      <c r="G305" s="95">
        <f t="shared" ca="1" si="541"/>
        <v>5.1284578288226146E-4</v>
      </c>
      <c r="H305" s="101">
        <v>3635</v>
      </c>
      <c r="I305" s="101">
        <v>3414</v>
      </c>
      <c r="J305" s="101">
        <v>212</v>
      </c>
      <c r="K305" s="101">
        <v>275</v>
      </c>
      <c r="L305" s="101">
        <v>1255</v>
      </c>
      <c r="M305" s="101">
        <v>1124</v>
      </c>
      <c r="N305" s="101">
        <v>99</v>
      </c>
      <c r="O305" s="101">
        <v>104</v>
      </c>
      <c r="P305" s="13">
        <f t="shared" ref="P305:Q305" si="616">J305/H305</f>
        <v>5.8321870701513068E-2</v>
      </c>
      <c r="Q305" s="13">
        <f t="shared" si="616"/>
        <v>8.0550673696543645E-2</v>
      </c>
      <c r="R305" s="13">
        <f t="shared" si="520"/>
        <v>-2.2228802995030578E-2</v>
      </c>
      <c r="S305" s="13">
        <f t="shared" ref="S305:T305" si="617">N305/L305</f>
        <v>7.8884462151394427E-2</v>
      </c>
      <c r="T305" s="13">
        <f t="shared" si="617"/>
        <v>9.2526690391459068E-2</v>
      </c>
      <c r="U305" s="13">
        <f t="shared" si="522"/>
        <v>-1.3642228240064641E-2</v>
      </c>
      <c r="V305" s="13">
        <f t="shared" si="523"/>
        <v>6.4733450497949541E-2</v>
      </c>
      <c r="W305" s="13">
        <f t="shared" si="524"/>
        <v>-0.22909090909090912</v>
      </c>
      <c r="X305" s="13">
        <f t="shared" si="525"/>
        <v>0.11654804270462638</v>
      </c>
      <c r="Y305" s="13">
        <f t="shared" si="526"/>
        <v>-4.8076923076923128E-2</v>
      </c>
    </row>
    <row r="306" spans="1:25" ht="14.4">
      <c r="A306" s="98" t="s">
        <v>550</v>
      </c>
      <c r="B306" s="99">
        <v>532144</v>
      </c>
      <c r="C306" s="98" t="s">
        <v>180</v>
      </c>
      <c r="D306" s="100" t="s">
        <v>384</v>
      </c>
      <c r="E306" s="11">
        <f ca="1">IFERROR(__xludf.DUMMYFUNCTION("GOOGLEFINANCE(""BOM:""&amp;B306,""PRICE"")"),853.6)</f>
        <v>853.6</v>
      </c>
      <c r="F306" s="20">
        <f ca="1">IFERROR(__xludf.DUMMYFUNCTION("GOOGLEFINANCE(""BOM:""&amp;B306,""MARKETCAP"")/10000000"),22501.853465)</f>
        <v>22501.853465</v>
      </c>
      <c r="G306" s="95">
        <f t="shared" ca="1" si="541"/>
        <v>5.5851634303351566E-4</v>
      </c>
      <c r="H306" s="101">
        <v>12458</v>
      </c>
      <c r="I306" s="101">
        <v>10053</v>
      </c>
      <c r="J306" s="101">
        <v>1249</v>
      </c>
      <c r="K306" s="101">
        <v>1203</v>
      </c>
      <c r="L306" s="101">
        <v>4532</v>
      </c>
      <c r="M306" s="101">
        <v>3614</v>
      </c>
      <c r="N306" s="101">
        <v>456</v>
      </c>
      <c r="O306" s="101">
        <v>672</v>
      </c>
      <c r="P306" s="13">
        <f t="shared" ref="P306:Q306" si="618">J306/H306</f>
        <v>0.1002568630598812</v>
      </c>
      <c r="Q306" s="13">
        <f t="shared" si="618"/>
        <v>0.11966577141151895</v>
      </c>
      <c r="R306" s="13">
        <f t="shared" si="520"/>
        <v>-1.9408908351637749E-2</v>
      </c>
      <c r="S306" s="13">
        <f t="shared" ref="S306:T306" si="619">N306/L306</f>
        <v>0.10061782877316858</v>
      </c>
      <c r="T306" s="13">
        <f t="shared" si="619"/>
        <v>0.18594355285002767</v>
      </c>
      <c r="U306" s="13">
        <f t="shared" si="522"/>
        <v>-8.5325724076859094E-2</v>
      </c>
      <c r="V306" s="13">
        <f t="shared" si="523"/>
        <v>0.23923207002884705</v>
      </c>
      <c r="W306" s="13">
        <f t="shared" si="524"/>
        <v>3.8237738985868575E-2</v>
      </c>
      <c r="X306" s="13">
        <f t="shared" si="525"/>
        <v>0.25401217487548422</v>
      </c>
      <c r="Y306" s="13">
        <f t="shared" si="526"/>
        <v>-0.3214285714285714</v>
      </c>
    </row>
    <row r="307" spans="1:25" ht="14.4">
      <c r="A307" s="104" t="s">
        <v>551</v>
      </c>
      <c r="B307" s="99">
        <v>532300</v>
      </c>
      <c r="C307" s="98" t="s">
        <v>190</v>
      </c>
      <c r="D307" s="100" t="s">
        <v>100</v>
      </c>
      <c r="E307" s="11">
        <f ca="1">IFERROR(__xludf.DUMMYFUNCTION("GOOGLEFINANCE(""BOM:""&amp;B307,""PRICE"")"),1272.25)</f>
        <v>1272.25</v>
      </c>
      <c r="F307" s="20">
        <f ca="1">IFERROR(__xludf.DUMMYFUNCTION("GOOGLEFINANCE(""BOM:""&amp;B307,""MARKETCAP"")/10000000"),20670.6196442)</f>
        <v>20670.6196442</v>
      </c>
      <c r="G307" s="95">
        <f t="shared" ca="1" si="541"/>
        <v>5.1306346429962112E-4</v>
      </c>
      <c r="H307" s="101">
        <v>2408</v>
      </c>
      <c r="I307" s="101">
        <v>2269</v>
      </c>
      <c r="J307" s="101">
        <v>35</v>
      </c>
      <c r="K307" s="101">
        <v>-12</v>
      </c>
      <c r="L307" s="101">
        <v>888</v>
      </c>
      <c r="M307" s="101">
        <v>721</v>
      </c>
      <c r="N307" s="101">
        <v>61</v>
      </c>
      <c r="O307" s="101">
        <v>20</v>
      </c>
      <c r="P307" s="13">
        <f t="shared" ref="P307:Q307" si="620">J307/H307</f>
        <v>1.4534883720930232E-2</v>
      </c>
      <c r="Q307" s="13">
        <f t="shared" si="620"/>
        <v>-5.2886734244160421E-3</v>
      </c>
      <c r="R307" s="13">
        <f t="shared" si="520"/>
        <v>1.9823557145346275E-2</v>
      </c>
      <c r="S307" s="13">
        <f t="shared" ref="S307:T307" si="621">N307/L307</f>
        <v>6.86936936936937E-2</v>
      </c>
      <c r="T307" s="13">
        <f t="shared" si="621"/>
        <v>2.7739251040221916E-2</v>
      </c>
      <c r="U307" s="13">
        <f t="shared" si="522"/>
        <v>4.0954442653471784E-2</v>
      </c>
      <c r="V307" s="13">
        <f t="shared" si="523"/>
        <v>6.1260467166152521E-2</v>
      </c>
      <c r="W307" s="13">
        <f t="shared" si="524"/>
        <v>-3.9166666666666665</v>
      </c>
      <c r="X307" s="13">
        <f t="shared" si="525"/>
        <v>0.23162274618585288</v>
      </c>
      <c r="Y307" s="13">
        <f t="shared" si="526"/>
        <v>2.0499999999999998</v>
      </c>
    </row>
    <row r="308" spans="1:25" ht="14.4">
      <c r="A308" s="98" t="s">
        <v>552</v>
      </c>
      <c r="B308" s="99">
        <v>522287</v>
      </c>
      <c r="C308" s="98" t="s">
        <v>180</v>
      </c>
      <c r="D308" s="102" t="s">
        <v>181</v>
      </c>
      <c r="E308" s="11">
        <f ca="1">IFERROR(__xludf.DUMMYFUNCTION("GOOGLEFINANCE(""BOM:""&amp;B308,""PRICE"")"),1084)</f>
        <v>1084</v>
      </c>
      <c r="F308" s="20">
        <f ca="1">IFERROR(__xludf.DUMMYFUNCTION("GOOGLEFINANCE(""BOM:""&amp;B308,""MARKETCAP"")/10000000"),18889.15)</f>
        <v>18889.150000000001</v>
      </c>
      <c r="G308" s="95">
        <f t="shared" ca="1" si="541"/>
        <v>4.6884577741212005E-4</v>
      </c>
      <c r="H308" s="101">
        <v>19365</v>
      </c>
      <c r="I308" s="101">
        <v>15249</v>
      </c>
      <c r="J308" s="101">
        <v>600</v>
      </c>
      <c r="K308" s="101">
        <v>349</v>
      </c>
      <c r="L308" s="101">
        <v>6665</v>
      </c>
      <c r="M308" s="101">
        <v>5732</v>
      </c>
      <c r="N308" s="101">
        <v>149</v>
      </c>
      <c r="O308" s="101">
        <v>140</v>
      </c>
      <c r="P308" s="13">
        <f t="shared" ref="P308:Q308" si="622">J308/H308</f>
        <v>3.0983733539891558E-2</v>
      </c>
      <c r="Q308" s="13">
        <f t="shared" si="622"/>
        <v>2.2886746671912914E-2</v>
      </c>
      <c r="R308" s="13">
        <f t="shared" si="520"/>
        <v>8.0969868679786443E-3</v>
      </c>
      <c r="S308" s="13">
        <f t="shared" ref="S308:T308" si="623">N308/L308</f>
        <v>2.2355588897224304E-2</v>
      </c>
      <c r="T308" s="13">
        <f t="shared" si="623"/>
        <v>2.4424284717376135E-2</v>
      </c>
      <c r="U308" s="13">
        <f t="shared" si="522"/>
        <v>-2.0686958201518307E-3</v>
      </c>
      <c r="V308" s="13">
        <f t="shared" si="523"/>
        <v>0.26991933897304743</v>
      </c>
      <c r="W308" s="13">
        <f t="shared" si="524"/>
        <v>0.71919770773638958</v>
      </c>
      <c r="X308" s="13">
        <f t="shared" si="525"/>
        <v>0.16277041172365658</v>
      </c>
      <c r="Y308" s="13">
        <f t="shared" si="526"/>
        <v>6.4285714285714279E-2</v>
      </c>
    </row>
    <row r="309" spans="1:25" ht="14.4">
      <c r="A309" s="98" t="s">
        <v>553</v>
      </c>
      <c r="B309" s="99">
        <v>540173</v>
      </c>
      <c r="C309" s="98" t="s">
        <v>172</v>
      </c>
      <c r="D309" s="101" t="s">
        <v>80</v>
      </c>
      <c r="E309" s="11">
        <f ca="1">IFERROR(__xludf.DUMMYFUNCTION("GOOGLEFINANCE(""BOM:""&amp;B309,""PRICE"")"),813.8)</f>
        <v>813.8</v>
      </c>
      <c r="F309" s="20">
        <f ca="1">IFERROR(__xludf.DUMMYFUNCTION("GOOGLEFINANCE(""BOM:""&amp;B309,""MARKETCAP"")/10000000"),21246.5092955)</f>
        <v>21246.5092955</v>
      </c>
      <c r="G309" s="95">
        <f t="shared" ca="1" si="541"/>
        <v>5.2735756600707454E-4</v>
      </c>
      <c r="H309" s="101">
        <v>6333</v>
      </c>
      <c r="I309" s="101">
        <v>5654</v>
      </c>
      <c r="J309" s="101">
        <v>1635</v>
      </c>
      <c r="K309" s="101">
        <v>1385</v>
      </c>
      <c r="L309" s="101">
        <v>2120</v>
      </c>
      <c r="M309" s="101">
        <v>1943</v>
      </c>
      <c r="N309" s="101">
        <v>520</v>
      </c>
      <c r="O309" s="101">
        <v>483</v>
      </c>
      <c r="P309" s="13">
        <f t="shared" ref="P309:Q309" si="624">J309/H309</f>
        <v>0.25817148270961632</v>
      </c>
      <c r="Q309" s="13">
        <f t="shared" si="624"/>
        <v>0.2449593208348072</v>
      </c>
      <c r="R309" s="13">
        <f t="shared" si="520"/>
        <v>1.3212161874809114E-2</v>
      </c>
      <c r="S309" s="13">
        <f t="shared" ref="S309:T309" si="625">N309/L309</f>
        <v>0.24528301886792453</v>
      </c>
      <c r="T309" s="13">
        <f t="shared" si="625"/>
        <v>0.24858466289243439</v>
      </c>
      <c r="U309" s="13">
        <f t="shared" si="522"/>
        <v>-3.3016440245098588E-3</v>
      </c>
      <c r="V309" s="13">
        <f t="shared" si="523"/>
        <v>0.12009197028652285</v>
      </c>
      <c r="W309" s="13">
        <f t="shared" si="524"/>
        <v>0.18050541516245477</v>
      </c>
      <c r="X309" s="13">
        <f t="shared" si="525"/>
        <v>9.1096242923314419E-2</v>
      </c>
      <c r="Y309" s="13">
        <f t="shared" si="526"/>
        <v>7.660455486542439E-2</v>
      </c>
    </row>
    <row r="310" spans="1:25" ht="14.4">
      <c r="A310" s="98" t="s">
        <v>554</v>
      </c>
      <c r="B310" s="99">
        <v>544306</v>
      </c>
      <c r="C310" s="98" t="s">
        <v>190</v>
      </c>
      <c r="D310" s="100" t="s">
        <v>100</v>
      </c>
      <c r="E310" s="11">
        <f ca="1">IFERROR(__xludf.DUMMYFUNCTION("GOOGLEFINANCE(""BOM:""&amp;B310,""PRICE"")"),937.1)</f>
        <v>937.1</v>
      </c>
      <c r="F310" s="20">
        <f ca="1">IFERROR(__xludf.DUMMYFUNCTION("GOOGLEFINANCE(""BOM:""&amp;B310,""MARKETCAP"")/10000000"),19843.71104)</f>
        <v>19843.711039999998</v>
      </c>
      <c r="G310" s="95">
        <f t="shared" ca="1" si="541"/>
        <v>4.9253884527838824E-4</v>
      </c>
      <c r="H310" s="101">
        <v>1590</v>
      </c>
      <c r="I310" s="101">
        <v>1115</v>
      </c>
      <c r="J310" s="101">
        <v>244</v>
      </c>
      <c r="K310" s="101">
        <v>81</v>
      </c>
      <c r="L310" s="101">
        <v>556</v>
      </c>
      <c r="M310" s="101">
        <v>439</v>
      </c>
      <c r="N310" s="101">
        <v>100</v>
      </c>
      <c r="O310" s="101">
        <v>53</v>
      </c>
      <c r="P310" s="13">
        <f t="shared" ref="P310:Q310" si="626">J310/H310</f>
        <v>0.15345911949685534</v>
      </c>
      <c r="Q310" s="13">
        <f t="shared" si="626"/>
        <v>7.2645739910313895E-2</v>
      </c>
      <c r="R310" s="13">
        <f t="shared" si="520"/>
        <v>8.0813379586541445E-2</v>
      </c>
      <c r="S310" s="13">
        <f t="shared" ref="S310:T310" si="627">N310/L310</f>
        <v>0.17985611510791366</v>
      </c>
      <c r="T310" s="13">
        <f t="shared" si="627"/>
        <v>0.12072892938496584</v>
      </c>
      <c r="U310" s="13">
        <f t="shared" si="522"/>
        <v>5.9127185722947825E-2</v>
      </c>
      <c r="V310" s="13">
        <f t="shared" si="523"/>
        <v>0.42600896860986537</v>
      </c>
      <c r="W310" s="13">
        <f t="shared" si="524"/>
        <v>2.0123456790123457</v>
      </c>
      <c r="X310" s="13">
        <f t="shared" si="525"/>
        <v>0.26651480637813219</v>
      </c>
      <c r="Y310" s="13">
        <f t="shared" si="526"/>
        <v>0.8867924528301887</v>
      </c>
    </row>
    <row r="311" spans="1:25" ht="14.4">
      <c r="A311" s="98" t="s">
        <v>555</v>
      </c>
      <c r="B311" s="99">
        <v>532636</v>
      </c>
      <c r="C311" s="98" t="s">
        <v>172</v>
      </c>
      <c r="D311" s="101" t="s">
        <v>178</v>
      </c>
      <c r="E311" s="11">
        <f ca="1">IFERROR(__xludf.DUMMYFUNCTION("GOOGLEFINANCE(""BOM:""&amp;B311,""PRICE"")"),439.2)</f>
        <v>439.2</v>
      </c>
      <c r="F311" s="20">
        <f ca="1">IFERROR(__xludf.DUMMYFUNCTION("GOOGLEFINANCE(""BOM:""&amp;B311,""MARKETCAP"")/10000000"),18680.836895)</f>
        <v>18680.836895</v>
      </c>
      <c r="G311" s="95">
        <f t="shared" ca="1" si="541"/>
        <v>4.6367525784618628E-4</v>
      </c>
      <c r="H311" s="101">
        <v>9688</v>
      </c>
      <c r="I311" s="101">
        <v>7642</v>
      </c>
      <c r="J311" s="101">
        <v>1193</v>
      </c>
      <c r="K311" s="101">
        <v>326</v>
      </c>
      <c r="L311" s="101">
        <v>3432</v>
      </c>
      <c r="M311" s="101">
        <v>2448</v>
      </c>
      <c r="N311" s="101">
        <v>501</v>
      </c>
      <c r="O311" s="101">
        <v>81</v>
      </c>
      <c r="P311" s="13">
        <f t="shared" ref="P311:Q311" si="628">J311/H311</f>
        <v>0.1231420313790256</v>
      </c>
      <c r="Q311" s="13">
        <f t="shared" si="628"/>
        <v>4.2658989793247844E-2</v>
      </c>
      <c r="R311" s="13">
        <f t="shared" si="520"/>
        <v>8.0483041585777765E-2</v>
      </c>
      <c r="S311" s="13">
        <f t="shared" ref="S311:T311" si="629">N311/L311</f>
        <v>0.14597902097902099</v>
      </c>
      <c r="T311" s="13">
        <f t="shared" si="629"/>
        <v>3.3088235294117647E-2</v>
      </c>
      <c r="U311" s="13">
        <f t="shared" si="522"/>
        <v>0.11289078568490335</v>
      </c>
      <c r="V311" s="13">
        <f t="shared" si="523"/>
        <v>0.26773096048154943</v>
      </c>
      <c r="W311" s="13">
        <f t="shared" si="524"/>
        <v>2.6595092024539877</v>
      </c>
      <c r="X311" s="13">
        <f t="shared" si="525"/>
        <v>0.40196078431372539</v>
      </c>
      <c r="Y311" s="13">
        <f t="shared" si="526"/>
        <v>5.1851851851851851</v>
      </c>
    </row>
    <row r="312" spans="1:25" ht="14.4">
      <c r="A312" s="98" t="s">
        <v>556</v>
      </c>
      <c r="B312" s="99">
        <v>506401</v>
      </c>
      <c r="C312" s="98" t="s">
        <v>196</v>
      </c>
      <c r="D312" s="100" t="s">
        <v>251</v>
      </c>
      <c r="E312" s="11">
        <f ca="1">IFERROR(__xludf.DUMMYFUNCTION("GOOGLEFINANCE(""BOM:""&amp;B312,""PRICE"")"),1386)</f>
        <v>1386</v>
      </c>
      <c r="F312" s="20">
        <f ca="1">IFERROR(__xludf.DUMMYFUNCTION("GOOGLEFINANCE(""BOM:""&amp;B312,""MARKETCAP"")/10000000"),18899.977344)</f>
        <v>18899.977343999999</v>
      </c>
      <c r="G312" s="95">
        <f t="shared" ca="1" si="541"/>
        <v>4.6911452187732827E-4</v>
      </c>
      <c r="H312" s="101">
        <v>5767</v>
      </c>
      <c r="I312" s="101">
        <v>6102</v>
      </c>
      <c r="J312" s="101">
        <v>331</v>
      </c>
      <c r="K312" s="101">
        <v>495</v>
      </c>
      <c r="L312" s="101">
        <v>1975</v>
      </c>
      <c r="M312" s="101">
        <v>1903</v>
      </c>
      <c r="N312" s="101">
        <v>100</v>
      </c>
      <c r="O312" s="101">
        <v>98</v>
      </c>
      <c r="P312" s="13">
        <f t="shared" ref="P312:Q312" si="630">J312/H312</f>
        <v>5.7395526270157794E-2</v>
      </c>
      <c r="Q312" s="13">
        <f t="shared" si="630"/>
        <v>8.1120943952802366E-2</v>
      </c>
      <c r="R312" s="13">
        <f t="shared" si="520"/>
        <v>-2.3725417682644571E-2</v>
      </c>
      <c r="S312" s="13">
        <f t="shared" ref="S312:T312" si="631">N312/L312</f>
        <v>5.0632911392405063E-2</v>
      </c>
      <c r="T312" s="13">
        <f t="shared" si="631"/>
        <v>5.1497635312664214E-2</v>
      </c>
      <c r="U312" s="13">
        <f t="shared" si="522"/>
        <v>-8.647239202591514E-4</v>
      </c>
      <c r="V312" s="13">
        <f t="shared" si="523"/>
        <v>-5.4900032776138974E-2</v>
      </c>
      <c r="W312" s="13">
        <f t="shared" si="524"/>
        <v>-0.33131313131313134</v>
      </c>
      <c r="X312" s="13">
        <f t="shared" si="525"/>
        <v>3.7834997372569568E-2</v>
      </c>
      <c r="Y312" s="13">
        <f t="shared" si="526"/>
        <v>2.0408163265306145E-2</v>
      </c>
    </row>
    <row r="313" spans="1:25" ht="14.4">
      <c r="A313" s="104" t="s">
        <v>557</v>
      </c>
      <c r="B313" s="99">
        <v>532748</v>
      </c>
      <c r="C313" s="98" t="s">
        <v>187</v>
      </c>
      <c r="D313" s="101" t="s">
        <v>558</v>
      </c>
      <c r="E313" s="11">
        <f ca="1">IFERROR(__xludf.DUMMYFUNCTION("GOOGLEFINANCE(""BOM:""&amp;B313,""PRICE"")"),351.85)</f>
        <v>351.85</v>
      </c>
      <c r="F313" s="20">
        <f ca="1">IFERROR(__xludf.DUMMYFUNCTION("GOOGLEFINANCE(""BOM:""&amp;B313,""MARKETCAP"")/10000000"),27291.5903492)</f>
        <v>27291.5903492</v>
      </c>
      <c r="G313" s="95">
        <f t="shared" ca="1" si="541"/>
        <v>6.774019420717071E-4</v>
      </c>
      <c r="H313" s="101">
        <v>3211</v>
      </c>
      <c r="I313" s="101">
        <v>2570</v>
      </c>
      <c r="J313" s="101">
        <v>183</v>
      </c>
      <c r="K313" s="101">
        <v>-206</v>
      </c>
      <c r="L313" s="101">
        <v>1192</v>
      </c>
      <c r="M313" s="101">
        <v>889</v>
      </c>
      <c r="N313" s="101">
        <v>69</v>
      </c>
      <c r="O313" s="101">
        <v>-98</v>
      </c>
      <c r="P313" s="13">
        <f t="shared" ref="P313:Q313" si="632">J313/H313</f>
        <v>5.6991591404546869E-2</v>
      </c>
      <c r="Q313" s="13">
        <f t="shared" si="632"/>
        <v>-8.015564202334631E-2</v>
      </c>
      <c r="R313" s="13">
        <f t="shared" si="520"/>
        <v>0.13714723342789317</v>
      </c>
      <c r="S313" s="13">
        <f t="shared" ref="S313:T313" si="633">N313/L313</f>
        <v>5.7885906040268456E-2</v>
      </c>
      <c r="T313" s="13">
        <f t="shared" si="633"/>
        <v>-0.11023622047244094</v>
      </c>
      <c r="U313" s="13">
        <f t="shared" si="522"/>
        <v>0.16812212651270941</v>
      </c>
      <c r="V313" s="13">
        <f t="shared" si="523"/>
        <v>0.24941634241245136</v>
      </c>
      <c r="W313" s="13">
        <f t="shared" si="524"/>
        <v>-1.8883495145631068</v>
      </c>
      <c r="X313" s="13">
        <f t="shared" si="525"/>
        <v>0.34083239595050618</v>
      </c>
      <c r="Y313" s="13">
        <f t="shared" si="526"/>
        <v>-1.7040816326530612</v>
      </c>
    </row>
    <row r="314" spans="1:25" ht="14.4">
      <c r="A314" s="98" t="s">
        <v>559</v>
      </c>
      <c r="B314" s="99">
        <v>534139</v>
      </c>
      <c r="C314" s="98" t="s">
        <v>180</v>
      </c>
      <c r="D314" s="102" t="s">
        <v>275</v>
      </c>
      <c r="E314" s="11">
        <f ca="1">IFERROR(__xludf.DUMMYFUNCTION("GOOGLEFINANCE(""BOM:""&amp;B314,""PRICE"")"),928.95)</f>
        <v>928.95</v>
      </c>
      <c r="F314" s="20">
        <f ca="1">IFERROR(__xludf.DUMMYFUNCTION("GOOGLEFINANCE(""BOM:""&amp;B314,""MARKETCAP"")/10000000"),22210.3711437)</f>
        <v>22210.371143699998</v>
      </c>
      <c r="G314" s="95">
        <f t="shared" ca="1" si="541"/>
        <v>5.5128148834011816E-4</v>
      </c>
      <c r="H314" s="101">
        <v>2300</v>
      </c>
      <c r="I314" s="101">
        <v>2049</v>
      </c>
      <c r="J314" s="101">
        <v>190</v>
      </c>
      <c r="K314" s="101">
        <v>213</v>
      </c>
      <c r="L314" s="101">
        <v>1029</v>
      </c>
      <c r="M314" s="101">
        <v>857</v>
      </c>
      <c r="N314" s="101">
        <v>97</v>
      </c>
      <c r="O314" s="101">
        <v>110</v>
      </c>
      <c r="P314" s="13">
        <f t="shared" ref="P314:Q314" si="634">J314/H314</f>
        <v>8.2608695652173908E-2</v>
      </c>
      <c r="Q314" s="13">
        <f t="shared" si="634"/>
        <v>0.10395314787701318</v>
      </c>
      <c r="R314" s="13">
        <f t="shared" si="520"/>
        <v>-2.1344452224839272E-2</v>
      </c>
      <c r="S314" s="13">
        <f t="shared" ref="S314:T314" si="635">N314/L314</f>
        <v>9.4266277939747331E-2</v>
      </c>
      <c r="T314" s="13">
        <f t="shared" si="635"/>
        <v>0.12835472578763127</v>
      </c>
      <c r="U314" s="13">
        <f t="shared" si="522"/>
        <v>-3.4088447847883938E-2</v>
      </c>
      <c r="V314" s="13">
        <f t="shared" si="523"/>
        <v>0.12249877989263047</v>
      </c>
      <c r="W314" s="13">
        <f t="shared" si="524"/>
        <v>-0.107981220657277</v>
      </c>
      <c r="X314" s="13">
        <f t="shared" si="525"/>
        <v>0.20070011668611443</v>
      </c>
      <c r="Y314" s="13">
        <f t="shared" si="526"/>
        <v>-0.11818181818181817</v>
      </c>
    </row>
    <row r="315" spans="1:25" ht="14.4">
      <c r="A315" s="98" t="s">
        <v>560</v>
      </c>
      <c r="B315" s="99">
        <v>543945</v>
      </c>
      <c r="C315" s="98" t="s">
        <v>174</v>
      </c>
      <c r="D315" s="116" t="s">
        <v>455</v>
      </c>
      <c r="E315" s="11">
        <f ca="1">IFERROR(__xludf.DUMMYFUNCTION("GOOGLEFINANCE(""BOM:""&amp;B315,""PRICE"")"),3214.6)</f>
        <v>3214.6</v>
      </c>
      <c r="F315" s="20">
        <f ca="1">IFERROR(__xludf.DUMMYFUNCTION("GOOGLEFINANCE(""BOM:""&amp;B315,""MARKETCAP"")/10000000"),18300.737766)</f>
        <v>18300.737765999998</v>
      </c>
      <c r="G315" s="95">
        <f t="shared" ca="1" si="541"/>
        <v>4.5424085388255235E-4</v>
      </c>
      <c r="H315" s="101">
        <v>1409</v>
      </c>
      <c r="I315" s="54">
        <v>734</v>
      </c>
      <c r="J315" s="101">
        <v>135</v>
      </c>
      <c r="K315" s="101">
        <v>71</v>
      </c>
      <c r="L315" s="101">
        <v>804</v>
      </c>
      <c r="M315" s="101">
        <v>333</v>
      </c>
      <c r="N315" s="101">
        <v>73</v>
      </c>
      <c r="O315" s="101">
        <v>29</v>
      </c>
      <c r="P315" s="13">
        <f t="shared" ref="P315:Q315" si="636">J315/H315</f>
        <v>9.5812633073101491E-2</v>
      </c>
      <c r="Q315" s="13">
        <f t="shared" si="636"/>
        <v>9.6730245231607628E-2</v>
      </c>
      <c r="R315" s="13">
        <f t="shared" si="520"/>
        <v>-9.1761215850613698E-4</v>
      </c>
      <c r="S315" s="13">
        <f t="shared" ref="S315:T315" si="637">N315/L315</f>
        <v>9.0796019900497515E-2</v>
      </c>
      <c r="T315" s="13">
        <f t="shared" si="637"/>
        <v>8.7087087087087081E-2</v>
      </c>
      <c r="U315" s="13">
        <f t="shared" si="522"/>
        <v>3.7089328134104343E-3</v>
      </c>
      <c r="V315" s="13">
        <f t="shared" si="523"/>
        <v>0.9196185286103542</v>
      </c>
      <c r="W315" s="13">
        <f t="shared" si="524"/>
        <v>0.90140845070422526</v>
      </c>
      <c r="X315" s="13">
        <f t="shared" si="525"/>
        <v>1.4144144144144146</v>
      </c>
      <c r="Y315" s="13">
        <f t="shared" si="526"/>
        <v>1.5172413793103448</v>
      </c>
    </row>
    <row r="316" spans="1:25" ht="14.4">
      <c r="A316" s="98" t="s">
        <v>561</v>
      </c>
      <c r="B316" s="99">
        <v>532210</v>
      </c>
      <c r="C316" s="98" t="s">
        <v>172</v>
      </c>
      <c r="D316" s="101" t="s">
        <v>72</v>
      </c>
      <c r="E316" s="11">
        <f ca="1">IFERROR(__xludf.DUMMYFUNCTION("GOOGLEFINANCE(""BOM:""&amp;B316,""PRICE"")"),249.35)</f>
        <v>249.35</v>
      </c>
      <c r="F316" s="20">
        <f ca="1">IFERROR(__xludf.DUMMYFUNCTION("GOOGLEFINANCE(""BOM:""&amp;B316,""MARKETCAP"")/10000000"),18575.434861)</f>
        <v>18575.434861000002</v>
      </c>
      <c r="G316" s="95">
        <f t="shared" ca="1" si="541"/>
        <v>4.6105908408656512E-4</v>
      </c>
      <c r="H316" s="101">
        <v>5762</v>
      </c>
      <c r="I316" s="101">
        <v>4948</v>
      </c>
      <c r="J316" s="101">
        <v>966</v>
      </c>
      <c r="K316" s="101">
        <v>835</v>
      </c>
      <c r="L316" s="101">
        <v>2001</v>
      </c>
      <c r="M316" s="101">
        <v>1707</v>
      </c>
      <c r="N316" s="101">
        <v>332</v>
      </c>
      <c r="O316" s="101">
        <v>285</v>
      </c>
      <c r="P316" s="13">
        <f t="shared" ref="P316:Q316" si="638">J316/H316</f>
        <v>0.16765012148559527</v>
      </c>
      <c r="Q316" s="13">
        <f t="shared" si="638"/>
        <v>0.16875505254648343</v>
      </c>
      <c r="R316" s="13">
        <f t="shared" si="520"/>
        <v>-1.1049310608881591E-3</v>
      </c>
      <c r="S316" s="13">
        <f t="shared" ref="S316:T316" si="639">N316/L316</f>
        <v>0.16591704147926037</v>
      </c>
      <c r="T316" s="13">
        <f t="shared" si="639"/>
        <v>0.16695957820738136</v>
      </c>
      <c r="U316" s="13">
        <f t="shared" si="522"/>
        <v>-1.0425367281209907E-3</v>
      </c>
      <c r="V316" s="13">
        <f t="shared" si="523"/>
        <v>0.16451091350040414</v>
      </c>
      <c r="W316" s="13">
        <f t="shared" si="524"/>
        <v>0.15688622754491011</v>
      </c>
      <c r="X316" s="13">
        <f t="shared" si="525"/>
        <v>0.17223198594024614</v>
      </c>
      <c r="Y316" s="13">
        <f t="shared" si="526"/>
        <v>0.16491228070175445</v>
      </c>
    </row>
    <row r="317" spans="1:25" ht="14.4">
      <c r="A317" s="98" t="s">
        <v>562</v>
      </c>
      <c r="B317" s="99">
        <v>532805</v>
      </c>
      <c r="C317" s="98" t="s">
        <v>206</v>
      </c>
      <c r="D317" s="102" t="s">
        <v>563</v>
      </c>
      <c r="E317" s="11">
        <f ca="1">IFERROR(__xludf.DUMMYFUNCTION("GOOGLEFINANCE(""BOM:""&amp;B317,""PRICE"")"),207.85)</f>
        <v>207.85</v>
      </c>
      <c r="F317" s="20">
        <f ca="1">IFERROR(__xludf.DUMMYFUNCTION("GOOGLEFINANCE(""BOM:""&amp;B317,""MARKETCAP"")/10000000"),16257.0025684)</f>
        <v>16257.002568399999</v>
      </c>
      <c r="G317" s="95">
        <f t="shared" ca="1" si="541"/>
        <v>4.0351349889075633E-4</v>
      </c>
      <c r="H317" s="101">
        <v>85949</v>
      </c>
      <c r="I317" s="101">
        <v>72894</v>
      </c>
      <c r="J317" s="101">
        <v>997</v>
      </c>
      <c r="K317" s="101">
        <v>903</v>
      </c>
      <c r="L317" s="101">
        <v>30922</v>
      </c>
      <c r="M317" s="101">
        <v>26716</v>
      </c>
      <c r="N317" s="101">
        <v>413</v>
      </c>
      <c r="O317" s="101">
        <v>403</v>
      </c>
      <c r="P317" s="13">
        <f t="shared" ref="P317:Q317" si="640">J317/H317</f>
        <v>1.1599902267623823E-2</v>
      </c>
      <c r="Q317" s="13">
        <f t="shared" si="640"/>
        <v>1.2387850851921969E-2</v>
      </c>
      <c r="R317" s="13">
        <f t="shared" si="520"/>
        <v>-7.8794858429814645E-4</v>
      </c>
      <c r="S317" s="13">
        <f t="shared" ref="S317:T317" si="641">N317/L317</f>
        <v>1.3356186533859388E-2</v>
      </c>
      <c r="T317" s="13">
        <f t="shared" si="641"/>
        <v>1.508459350202126E-2</v>
      </c>
      <c r="U317" s="13">
        <f t="shared" si="522"/>
        <v>-1.7284069681618719E-3</v>
      </c>
      <c r="V317" s="13">
        <f t="shared" si="523"/>
        <v>0.17909567316925945</v>
      </c>
      <c r="W317" s="13">
        <f t="shared" si="524"/>
        <v>0.10409745293466233</v>
      </c>
      <c r="X317" s="13">
        <f t="shared" si="525"/>
        <v>0.15743374756700113</v>
      </c>
      <c r="Y317" s="13">
        <f t="shared" si="526"/>
        <v>2.4813895781637729E-2</v>
      </c>
    </row>
    <row r="318" spans="1:25" ht="14.4">
      <c r="A318" s="98" t="s">
        <v>564</v>
      </c>
      <c r="B318" s="99">
        <v>542651</v>
      </c>
      <c r="C318" s="98" t="s">
        <v>174</v>
      </c>
      <c r="D318" s="101" t="s">
        <v>175</v>
      </c>
      <c r="E318" s="11">
        <f ca="1">IFERROR(__xludf.DUMMYFUNCTION("GOOGLEFINANCE(""BOM:""&amp;B318,""PRICE"")"),698.85)</f>
        <v>698.85</v>
      </c>
      <c r="F318" s="20">
        <f ca="1">IFERROR(__xludf.DUMMYFUNCTION("GOOGLEFINANCE(""BOM:""&amp;B318,""MARKETCAP"")/10000000"),18990.1718575)</f>
        <v>18990.171857500001</v>
      </c>
      <c r="G318" s="95">
        <f t="shared" ca="1" si="541"/>
        <v>4.713532312316516E-4</v>
      </c>
      <c r="H318" s="101">
        <v>4743</v>
      </c>
      <c r="I318" s="101">
        <v>4314</v>
      </c>
      <c r="J318" s="101">
        <v>474</v>
      </c>
      <c r="K318" s="101">
        <v>594</v>
      </c>
      <c r="L318" s="101">
        <v>1617</v>
      </c>
      <c r="M318" s="101">
        <v>1477</v>
      </c>
      <c r="N318" s="101">
        <v>133</v>
      </c>
      <c r="O318" s="101">
        <v>186</v>
      </c>
      <c r="P318" s="13">
        <f t="shared" ref="P318:Q318" si="642">J318/H318</f>
        <v>9.9936748893105623E-2</v>
      </c>
      <c r="Q318" s="13">
        <f t="shared" si="642"/>
        <v>0.13769123783031989</v>
      </c>
      <c r="R318" s="13">
        <f t="shared" si="520"/>
        <v>-3.7754488937214267E-2</v>
      </c>
      <c r="S318" s="13">
        <f t="shared" ref="S318:T318" si="643">N318/L318</f>
        <v>8.2251082251082255E-2</v>
      </c>
      <c r="T318" s="13">
        <f t="shared" si="643"/>
        <v>0.12593094109681788</v>
      </c>
      <c r="U318" s="13">
        <f t="shared" si="522"/>
        <v>-4.3679858845735622E-2</v>
      </c>
      <c r="V318" s="13">
        <f t="shared" si="523"/>
        <v>9.9443671766342057E-2</v>
      </c>
      <c r="W318" s="13">
        <f t="shared" si="524"/>
        <v>-0.20202020202020199</v>
      </c>
      <c r="X318" s="13">
        <f t="shared" si="525"/>
        <v>9.4786729857819996E-2</v>
      </c>
      <c r="Y318" s="13">
        <f t="shared" si="526"/>
        <v>-0.28494623655913975</v>
      </c>
    </row>
    <row r="319" spans="1:25" ht="14.4">
      <c r="A319" s="98" t="s">
        <v>565</v>
      </c>
      <c r="B319" s="99">
        <v>506285</v>
      </c>
      <c r="C319" s="98" t="s">
        <v>196</v>
      </c>
      <c r="D319" s="102" t="s">
        <v>414</v>
      </c>
      <c r="E319" s="11">
        <f ca="1">IFERROR(__xludf.DUMMYFUNCTION("GOOGLEFINANCE(""BOM:""&amp;B319,""PRICE"")"),4665.05)</f>
        <v>4665.05</v>
      </c>
      <c r="F319" s="20">
        <f ca="1">IFERROR(__xludf.DUMMYFUNCTION("GOOGLEFINANCE(""BOM:""&amp;B319,""MARKETCAP"")/10000000"),20965.484985)</f>
        <v>20965.484984999999</v>
      </c>
      <c r="G319" s="95">
        <f t="shared" ca="1" si="541"/>
        <v>5.2038228859501107E-4</v>
      </c>
      <c r="H319" s="101">
        <v>4574</v>
      </c>
      <c r="I319" s="101">
        <v>4427</v>
      </c>
      <c r="J319" s="101">
        <v>527</v>
      </c>
      <c r="K319" s="101">
        <v>424</v>
      </c>
      <c r="L319" s="101">
        <v>1106</v>
      </c>
      <c r="M319" s="101">
        <v>1057</v>
      </c>
      <c r="N319" s="101">
        <v>95</v>
      </c>
      <c r="O319" s="101">
        <v>34</v>
      </c>
      <c r="P319" s="13">
        <f t="shared" ref="P319:Q319" si="644">J319/H319</f>
        <v>0.11521644075207696</v>
      </c>
      <c r="Q319" s="13">
        <f t="shared" si="644"/>
        <v>9.577592048791507E-2</v>
      </c>
      <c r="R319" s="13">
        <f t="shared" si="520"/>
        <v>1.944052026416189E-2</v>
      </c>
      <c r="S319" s="13">
        <f t="shared" ref="S319:T319" si="645">N319/L319</f>
        <v>8.5895117540687155E-2</v>
      </c>
      <c r="T319" s="13">
        <f t="shared" si="645"/>
        <v>3.2166508987701042E-2</v>
      </c>
      <c r="U319" s="13">
        <f t="shared" si="522"/>
        <v>5.3728608552986112E-2</v>
      </c>
      <c r="V319" s="13">
        <f t="shared" si="523"/>
        <v>3.3205330923876231E-2</v>
      </c>
      <c r="W319" s="13">
        <f t="shared" si="524"/>
        <v>0.24292452830188682</v>
      </c>
      <c r="X319" s="13">
        <f t="shared" si="525"/>
        <v>4.635761589403975E-2</v>
      </c>
      <c r="Y319" s="13">
        <f t="shared" si="526"/>
        <v>1.7941176470588234</v>
      </c>
    </row>
    <row r="320" spans="1:25" ht="14.4">
      <c r="A320" s="98" t="s">
        <v>566</v>
      </c>
      <c r="B320" s="99">
        <v>500084</v>
      </c>
      <c r="C320" s="98" t="s">
        <v>198</v>
      </c>
      <c r="D320" s="109" t="s">
        <v>288</v>
      </c>
      <c r="E320" s="11">
        <f ca="1">IFERROR(__xludf.DUMMYFUNCTION("GOOGLEFINANCE(""BOM:""&amp;B320,""PRICE"")"),153.35)</f>
        <v>153.35</v>
      </c>
      <c r="F320" s="20">
        <f ca="1">IFERROR(__xludf.DUMMYFUNCTION("GOOGLEFINANCE(""BOM:""&amp;B320,""MARKETCAP"")/10000000"),20298.4540572)</f>
        <v>20298.454057200001</v>
      </c>
      <c r="G320" s="95">
        <f t="shared" ca="1" si="541"/>
        <v>5.0382597801976983E-4</v>
      </c>
      <c r="H320" s="101">
        <v>14474</v>
      </c>
      <c r="I320" s="101">
        <v>13124</v>
      </c>
      <c r="J320" s="101">
        <v>1159</v>
      </c>
      <c r="K320" s="101">
        <v>1043</v>
      </c>
      <c r="L320" s="101">
        <v>4005</v>
      </c>
      <c r="M320" s="101">
        <v>3561</v>
      </c>
      <c r="N320" s="101">
        <v>304</v>
      </c>
      <c r="O320" s="101">
        <v>282</v>
      </c>
      <c r="P320" s="13">
        <f t="shared" ref="P320:Q320" si="646">J320/H320</f>
        <v>8.0074616553820643E-2</v>
      </c>
      <c r="Q320" s="13">
        <f t="shared" si="646"/>
        <v>7.9472721731179516E-2</v>
      </c>
      <c r="R320" s="13">
        <f t="shared" si="520"/>
        <v>6.0189482264112748E-4</v>
      </c>
      <c r="S320" s="13">
        <f t="shared" ref="S320:T320" si="647">N320/L320</f>
        <v>7.5905118601747812E-2</v>
      </c>
      <c r="T320" s="13">
        <f t="shared" si="647"/>
        <v>7.919123841617523E-2</v>
      </c>
      <c r="U320" s="13">
        <f t="shared" si="522"/>
        <v>-3.2861198144274184E-3</v>
      </c>
      <c r="V320" s="13">
        <f t="shared" si="523"/>
        <v>0.10286498018896673</v>
      </c>
      <c r="W320" s="13">
        <f t="shared" si="524"/>
        <v>0.1112176414189836</v>
      </c>
      <c r="X320" s="13">
        <f t="shared" si="525"/>
        <v>0.12468407750631849</v>
      </c>
      <c r="Y320" s="13">
        <f t="shared" si="526"/>
        <v>7.8014184397163122E-2</v>
      </c>
    </row>
    <row r="321" spans="1:25" ht="14.4">
      <c r="A321" s="104" t="s">
        <v>567</v>
      </c>
      <c r="B321" s="99">
        <v>543635</v>
      </c>
      <c r="C321" s="98" t="s">
        <v>190</v>
      </c>
      <c r="D321" s="102" t="s">
        <v>100</v>
      </c>
      <c r="E321" s="11">
        <f ca="1">IFERROR(__xludf.DUMMYFUNCTION("GOOGLEFINANCE(""BOM:""&amp;B321,""PRICE"")"),140.35)</f>
        <v>140.35</v>
      </c>
      <c r="F321" s="20">
        <f ca="1">IFERROR(__xludf.DUMMYFUNCTION("GOOGLEFINANCE(""BOM:""&amp;B321,""MARKETCAP"")/10000000"),18535.491976)</f>
        <v>18535.491976000001</v>
      </c>
      <c r="G321" s="95">
        <f t="shared" ca="1" si="541"/>
        <v>4.600676655754141E-4</v>
      </c>
      <c r="H321" s="101">
        <v>6117</v>
      </c>
      <c r="I321" s="101">
        <v>6397</v>
      </c>
      <c r="J321" s="101">
        <v>-317</v>
      </c>
      <c r="K321" s="101">
        <v>-62</v>
      </c>
      <c r="L321" s="101">
        <v>2140</v>
      </c>
      <c r="M321" s="101">
        <v>2204</v>
      </c>
      <c r="N321" s="101">
        <v>-136</v>
      </c>
      <c r="O321" s="101">
        <v>4</v>
      </c>
      <c r="P321" s="13">
        <f t="shared" ref="P321:Q321" si="648">J321/H321</f>
        <v>-5.1822788948831126E-2</v>
      </c>
      <c r="Q321" s="13">
        <f t="shared" si="648"/>
        <v>-9.6920431452243248E-3</v>
      </c>
      <c r="R321" s="13">
        <f t="shared" si="520"/>
        <v>-4.2130745803606803E-2</v>
      </c>
      <c r="S321" s="13">
        <f t="shared" ref="S321:T321" si="649">N321/L321</f>
        <v>-6.3551401869158877E-2</v>
      </c>
      <c r="T321" s="13">
        <f t="shared" si="649"/>
        <v>1.8148820326678765E-3</v>
      </c>
      <c r="U321" s="13">
        <f t="shared" si="522"/>
        <v>-6.5366283901826749E-2</v>
      </c>
      <c r="V321" s="13">
        <f t="shared" si="523"/>
        <v>-4.3770517430045341E-2</v>
      </c>
      <c r="W321" s="13">
        <f t="shared" si="524"/>
        <v>4.112903225806452</v>
      </c>
      <c r="X321" s="13">
        <f t="shared" si="525"/>
        <v>-2.9038112522686066E-2</v>
      </c>
      <c r="Y321" s="13">
        <f t="shared" si="526"/>
        <v>-35</v>
      </c>
    </row>
    <row r="322" spans="1:25" ht="14.4">
      <c r="A322" s="98" t="s">
        <v>568</v>
      </c>
      <c r="B322" s="99">
        <v>531531</v>
      </c>
      <c r="C322" s="98" t="s">
        <v>183</v>
      </c>
      <c r="D322" s="100" t="s">
        <v>569</v>
      </c>
      <c r="E322" s="11">
        <f ca="1">IFERROR(__xludf.DUMMYFUNCTION("GOOGLEFINANCE(""BOM:""&amp;B322,""PRICE"")"),894.85)</f>
        <v>894.85</v>
      </c>
      <c r="F322" s="20">
        <f ca="1">IFERROR(__xludf.DUMMYFUNCTION("GOOGLEFINANCE(""BOM:""&amp;B322,""MARKETCAP"")/10000000"),19958.23872)</f>
        <v>19958.238720000001</v>
      </c>
      <c r="G322" s="95">
        <f t="shared" ca="1" si="541"/>
        <v>4.9538152582064704E-4</v>
      </c>
      <c r="H322" s="101">
        <v>7382</v>
      </c>
      <c r="I322" s="101">
        <v>6457</v>
      </c>
      <c r="J322" s="101">
        <v>305</v>
      </c>
      <c r="K322" s="101">
        <v>236</v>
      </c>
      <c r="L322" s="101">
        <v>2364</v>
      </c>
      <c r="M322" s="101">
        <v>2010</v>
      </c>
      <c r="N322" s="101">
        <v>61</v>
      </c>
      <c r="O322" s="101">
        <v>41</v>
      </c>
      <c r="P322" s="13">
        <f t="shared" ref="P322:Q322" si="650">J322/H322</f>
        <v>4.1316716337036034E-2</v>
      </c>
      <c r="Q322" s="13">
        <f t="shared" si="650"/>
        <v>3.6549481183212017E-2</v>
      </c>
      <c r="R322" s="13">
        <f t="shared" si="520"/>
        <v>4.7672351538240176E-3</v>
      </c>
      <c r="S322" s="13">
        <f t="shared" ref="S322:T322" si="651">N322/L322</f>
        <v>2.5803722504230117E-2</v>
      </c>
      <c r="T322" s="13">
        <f t="shared" si="651"/>
        <v>2.0398009950248756E-2</v>
      </c>
      <c r="U322" s="13">
        <f t="shared" si="522"/>
        <v>5.4057125539813608E-3</v>
      </c>
      <c r="V322" s="13">
        <f t="shared" si="523"/>
        <v>0.14325538175623365</v>
      </c>
      <c r="W322" s="13">
        <f t="shared" si="524"/>
        <v>0.29237288135593231</v>
      </c>
      <c r="X322" s="13">
        <f t="shared" si="525"/>
        <v>0.17611940298507456</v>
      </c>
      <c r="Y322" s="13">
        <f t="shared" si="526"/>
        <v>0.48780487804878048</v>
      </c>
    </row>
    <row r="323" spans="1:25" ht="14.4">
      <c r="A323" s="98" t="s">
        <v>570</v>
      </c>
      <c r="B323" s="99">
        <v>542920</v>
      </c>
      <c r="C323" s="98" t="s">
        <v>196</v>
      </c>
      <c r="D323" s="101" t="s">
        <v>414</v>
      </c>
      <c r="E323" s="11">
        <f ca="1">IFERROR(__xludf.DUMMYFUNCTION("GOOGLEFINANCE(""BOM:""&amp;B323,""PRICE"")"),396)</f>
        <v>396</v>
      </c>
      <c r="F323" s="20">
        <f ca="1">IFERROR(__xludf.DUMMYFUNCTION("GOOGLEFINANCE(""BOM:""&amp;B323,""MARKETCAP"")/10000000"),19852.8911915)</f>
        <v>19852.891191499999</v>
      </c>
      <c r="G323" s="95">
        <f t="shared" ca="1" si="541"/>
        <v>4.9276670493680484E-4</v>
      </c>
      <c r="H323" s="101">
        <v>2554</v>
      </c>
      <c r="I323" s="101">
        <v>2469</v>
      </c>
      <c r="J323" s="101">
        <v>431</v>
      </c>
      <c r="K323" s="101">
        <v>406</v>
      </c>
      <c r="L323" s="101">
        <v>567</v>
      </c>
      <c r="M323" s="101">
        <v>641</v>
      </c>
      <c r="N323" s="101">
        <v>75</v>
      </c>
      <c r="O323" s="101">
        <v>87</v>
      </c>
      <c r="P323" s="13">
        <f t="shared" ref="P323:Q323" si="652">J323/H323</f>
        <v>0.1687548942834769</v>
      </c>
      <c r="Q323" s="13">
        <f t="shared" si="652"/>
        <v>0.1644390441474281</v>
      </c>
      <c r="R323" s="13">
        <f t="shared" si="520"/>
        <v>4.3158501360487933E-3</v>
      </c>
      <c r="S323" s="13">
        <f t="shared" ref="S323:T323" si="653">N323/L323</f>
        <v>0.13227513227513227</v>
      </c>
      <c r="T323" s="13">
        <f t="shared" si="653"/>
        <v>0.1357254290171607</v>
      </c>
      <c r="U323" s="13">
        <f t="shared" si="522"/>
        <v>-3.4502967420284303E-3</v>
      </c>
      <c r="V323" s="13">
        <f t="shared" si="523"/>
        <v>3.4426893479141407E-2</v>
      </c>
      <c r="W323" s="13">
        <f t="shared" si="524"/>
        <v>6.1576354679802936E-2</v>
      </c>
      <c r="X323" s="13">
        <f t="shared" si="525"/>
        <v>-0.11544461778471138</v>
      </c>
      <c r="Y323" s="13">
        <f t="shared" si="526"/>
        <v>-0.13793103448275867</v>
      </c>
    </row>
    <row r="324" spans="1:25" ht="14.4">
      <c r="A324" s="98" t="s">
        <v>571</v>
      </c>
      <c r="B324" s="99">
        <v>531162</v>
      </c>
      <c r="C324" s="98" t="s">
        <v>183</v>
      </c>
      <c r="D324" s="102" t="s">
        <v>282</v>
      </c>
      <c r="E324" s="11">
        <f ca="1">IFERROR(__xludf.DUMMYFUNCTION("GOOGLEFINANCE(""BOM:""&amp;B324,""PRICE"")"),398.7)</f>
        <v>398.7</v>
      </c>
      <c r="F324" s="20">
        <f ca="1">IFERROR(__xludf.DUMMYFUNCTION("GOOGLEFINANCE(""BOM:""&amp;B324,""MARKETCAP"")/10000000"),17401.07622)</f>
        <v>17401.076219999999</v>
      </c>
      <c r="G324" s="95">
        <f t="shared" ca="1" si="541"/>
        <v>4.3191044108249733E-4</v>
      </c>
      <c r="H324" s="101">
        <v>2854</v>
      </c>
      <c r="I324" s="101">
        <v>2846</v>
      </c>
      <c r="J324" s="101">
        <v>632</v>
      </c>
      <c r="K324" s="101">
        <v>640</v>
      </c>
      <c r="L324" s="101">
        <v>1151</v>
      </c>
      <c r="M324" s="101">
        <v>1049</v>
      </c>
      <c r="N324" s="101">
        <v>319</v>
      </c>
      <c r="O324" s="101">
        <v>278</v>
      </c>
      <c r="P324" s="13">
        <f t="shared" ref="P324:Q324" si="654">J324/H324</f>
        <v>0.2214435879467414</v>
      </c>
      <c r="Q324" s="13">
        <f t="shared" si="654"/>
        <v>0.22487702037947996</v>
      </c>
      <c r="R324" s="13">
        <f t="shared" si="520"/>
        <v>-3.4334324327385535E-3</v>
      </c>
      <c r="S324" s="13">
        <f t="shared" ref="S324:T324" si="655">N324/L324</f>
        <v>0.27715030408340574</v>
      </c>
      <c r="T324" s="13">
        <f t="shared" si="655"/>
        <v>0.26501429933269782</v>
      </c>
      <c r="U324" s="13">
        <f t="shared" si="522"/>
        <v>1.2136004750707918E-2</v>
      </c>
      <c r="V324" s="13">
        <f t="shared" si="523"/>
        <v>2.8109627547434624E-3</v>
      </c>
      <c r="W324" s="13">
        <f t="shared" si="524"/>
        <v>-1.2499999999999956E-2</v>
      </c>
      <c r="X324" s="13">
        <f t="shared" si="525"/>
        <v>9.7235462345090617E-2</v>
      </c>
      <c r="Y324" s="13">
        <f t="shared" si="526"/>
        <v>0.14748201438848918</v>
      </c>
    </row>
    <row r="325" spans="1:25" ht="14.4">
      <c r="A325" s="98" t="s">
        <v>572</v>
      </c>
      <c r="B325" s="99">
        <v>533293</v>
      </c>
      <c r="C325" s="98" t="s">
        <v>180</v>
      </c>
      <c r="D325" s="100" t="s">
        <v>264</v>
      </c>
      <c r="E325" s="11">
        <f ca="1">IFERROR(__xludf.DUMMYFUNCTION("GOOGLEFINANCE(""BOM:""&amp;B325,""PRICE"")"),1415)</f>
        <v>1415</v>
      </c>
      <c r="F325" s="20">
        <f ca="1">IFERROR(__xludf.DUMMYFUNCTION("GOOGLEFINANCE(""BOM:""&amp;B325,""MARKETCAP"")/10000000"),20548.347)</f>
        <v>20548.347000000002</v>
      </c>
      <c r="G325" s="95">
        <f t="shared" ca="1" si="541"/>
        <v>5.1002854674503644E-4</v>
      </c>
      <c r="H325" s="101">
        <v>5585</v>
      </c>
      <c r="I325" s="101">
        <v>4580</v>
      </c>
      <c r="J325" s="101">
        <v>407</v>
      </c>
      <c r="K325" s="101">
        <v>349</v>
      </c>
      <c r="L325" s="101">
        <v>1872</v>
      </c>
      <c r="M325" s="101">
        <v>1449</v>
      </c>
      <c r="N325" s="101">
        <v>109</v>
      </c>
      <c r="O325" s="101">
        <v>68</v>
      </c>
      <c r="P325" s="13">
        <f t="shared" ref="P325:Q325" si="656">J325/H325</f>
        <v>7.2873769024171892E-2</v>
      </c>
      <c r="Q325" s="13">
        <f t="shared" si="656"/>
        <v>7.6200873362445409E-2</v>
      </c>
      <c r="R325" s="13">
        <f t="shared" si="520"/>
        <v>-3.3271043382735177E-3</v>
      </c>
      <c r="S325" s="13">
        <f t="shared" ref="S325:T325" si="657">N325/L325</f>
        <v>5.8226495726495728E-2</v>
      </c>
      <c r="T325" s="13">
        <f t="shared" si="657"/>
        <v>4.6928916494133888E-2</v>
      </c>
      <c r="U325" s="13">
        <f t="shared" si="522"/>
        <v>1.129757923236184E-2</v>
      </c>
      <c r="V325" s="13">
        <f t="shared" si="523"/>
        <v>0.21943231441048039</v>
      </c>
      <c r="W325" s="13">
        <f t="shared" si="524"/>
        <v>0.16618911174785089</v>
      </c>
      <c r="X325" s="13">
        <f t="shared" si="525"/>
        <v>0.29192546583850931</v>
      </c>
      <c r="Y325" s="13">
        <f t="shared" si="526"/>
        <v>0.60294117647058831</v>
      </c>
    </row>
    <row r="326" spans="1:25" ht="14.4">
      <c r="A326" s="104" t="s">
        <v>573</v>
      </c>
      <c r="B326" s="99">
        <v>540680</v>
      </c>
      <c r="C326" s="98" t="s">
        <v>196</v>
      </c>
      <c r="D326" s="100" t="s">
        <v>574</v>
      </c>
      <c r="E326" s="11">
        <f ca="1">IFERROR(__xludf.DUMMYFUNCTION("GOOGLEFINANCE(""BOM:""&amp;B326,""PRICE"")"),345.85)</f>
        <v>345.85</v>
      </c>
      <c r="F326" s="20">
        <f ca="1">IFERROR(__xludf.DUMMYFUNCTION("GOOGLEFINANCE(""BOM:""&amp;B326,""MARKETCAP"")/10000000"),20970.4475131)</f>
        <v>20970.4475131</v>
      </c>
      <c r="G326" s="95">
        <f t="shared" ca="1" si="541"/>
        <v>5.2050546302821613E-4</v>
      </c>
      <c r="H326" s="101">
        <v>393</v>
      </c>
      <c r="I326" s="101">
        <v>344</v>
      </c>
      <c r="J326" s="101">
        <v>-36</v>
      </c>
      <c r="K326" s="101">
        <v>-167</v>
      </c>
      <c r="L326" s="101">
        <v>159</v>
      </c>
      <c r="M326" s="101">
        <v>180</v>
      </c>
      <c r="N326" s="101">
        <v>18</v>
      </c>
      <c r="O326" s="101">
        <v>-47</v>
      </c>
      <c r="P326" s="13">
        <f t="shared" ref="P326:Q326" si="658">J326/H326</f>
        <v>-9.1603053435114504E-2</v>
      </c>
      <c r="Q326" s="13">
        <f t="shared" si="658"/>
        <v>-0.48546511627906974</v>
      </c>
      <c r="R326" s="13">
        <f t="shared" si="520"/>
        <v>0.39386206284395525</v>
      </c>
      <c r="S326" s="13">
        <f t="shared" ref="S326:T326" si="659">N326/L326</f>
        <v>0.11320754716981132</v>
      </c>
      <c r="T326" s="13">
        <f t="shared" si="659"/>
        <v>-0.26111111111111113</v>
      </c>
      <c r="U326" s="13">
        <f t="shared" si="522"/>
        <v>0.37431865828092248</v>
      </c>
      <c r="V326" s="13">
        <f t="shared" si="523"/>
        <v>0.14244186046511631</v>
      </c>
      <c r="W326" s="13">
        <f t="shared" si="524"/>
        <v>-0.78443113772455086</v>
      </c>
      <c r="X326" s="13">
        <f t="shared" si="525"/>
        <v>-0.1166666666666667</v>
      </c>
      <c r="Y326" s="13">
        <f t="shared" si="526"/>
        <v>-1.3829787234042552</v>
      </c>
    </row>
    <row r="327" spans="1:25" ht="14.4">
      <c r="A327" s="98" t="s">
        <v>575</v>
      </c>
      <c r="B327" s="99">
        <v>544176</v>
      </c>
      <c r="C327" s="98" t="s">
        <v>172</v>
      </c>
      <c r="D327" s="100" t="s">
        <v>80</v>
      </c>
      <c r="E327" s="11">
        <f ca="1">IFERROR(__xludf.DUMMYFUNCTION("GOOGLEFINANCE(""BOM:""&amp;B327,""PRICE"")"),452.25)</f>
        <v>452.25</v>
      </c>
      <c r="F327" s="20">
        <f ca="1">IFERROR(__xludf.DUMMYFUNCTION("GOOGLEFINANCE(""BOM:""&amp;B327,""MARKETCAP"")/10000000"),19711.235122)</f>
        <v>19711.235121999998</v>
      </c>
      <c r="G327" s="95">
        <f t="shared" ca="1" si="541"/>
        <v>4.8925067324507318E-4</v>
      </c>
      <c r="H327" s="101">
        <v>2694</v>
      </c>
      <c r="I327" s="101">
        <v>2275</v>
      </c>
      <c r="J327" s="101">
        <v>784</v>
      </c>
      <c r="K327" s="101">
        <v>666</v>
      </c>
      <c r="L327" s="101">
        <v>943</v>
      </c>
      <c r="M327" s="101">
        <v>797</v>
      </c>
      <c r="N327" s="101">
        <v>281</v>
      </c>
      <c r="O327" s="101">
        <v>239</v>
      </c>
      <c r="P327" s="13">
        <f t="shared" ref="P327:Q327" si="660">J327/H327</f>
        <v>0.29101707498144025</v>
      </c>
      <c r="Q327" s="13">
        <f t="shared" si="660"/>
        <v>0.29274725274725277</v>
      </c>
      <c r="R327" s="13">
        <f t="shared" si="520"/>
        <v>-1.7301777658125239E-3</v>
      </c>
      <c r="S327" s="13">
        <f t="shared" ref="S327:T327" si="661">N327/L327</f>
        <v>0.29798515376458112</v>
      </c>
      <c r="T327" s="13">
        <f t="shared" si="661"/>
        <v>0.29987452948557092</v>
      </c>
      <c r="U327" s="13">
        <f t="shared" si="522"/>
        <v>-1.8893757209897943E-3</v>
      </c>
      <c r="V327" s="13">
        <f t="shared" si="523"/>
        <v>0.18417582417582423</v>
      </c>
      <c r="W327" s="13">
        <f t="shared" si="524"/>
        <v>0.17717717717717707</v>
      </c>
      <c r="X327" s="13">
        <f t="shared" si="525"/>
        <v>0.1831869510664994</v>
      </c>
      <c r="Y327" s="13">
        <f t="shared" si="526"/>
        <v>0.17573221757322166</v>
      </c>
    </row>
    <row r="328" spans="1:25" ht="14.4">
      <c r="A328" s="98" t="s">
        <v>576</v>
      </c>
      <c r="B328" s="99">
        <v>500840</v>
      </c>
      <c r="C328" s="98" t="s">
        <v>187</v>
      </c>
      <c r="D328" s="102" t="s">
        <v>78</v>
      </c>
      <c r="E328" s="11">
        <f ca="1">IFERROR(__xludf.DUMMYFUNCTION("GOOGLEFINANCE(""BOM:""&amp;B328,""PRICE"")"),306.5)</f>
        <v>306.5</v>
      </c>
      <c r="F328" s="20">
        <f ca="1">IFERROR(__xludf.DUMMYFUNCTION("GOOGLEFINANCE(""BOM:""&amp;B328,""MARKETCAP"")/10000000"),19109.63135)</f>
        <v>19109.63135</v>
      </c>
      <c r="G328" s="95">
        <f t="shared" ca="1" si="541"/>
        <v>4.7431832381815859E-4</v>
      </c>
      <c r="H328" s="101">
        <v>2044</v>
      </c>
      <c r="I328" s="101">
        <v>1916</v>
      </c>
      <c r="J328" s="101">
        <v>408</v>
      </c>
      <c r="K328" s="101">
        <v>508</v>
      </c>
      <c r="L328" s="101">
        <v>873</v>
      </c>
      <c r="M328" s="101">
        <v>800</v>
      </c>
      <c r="N328" s="101">
        <v>255</v>
      </c>
      <c r="O328" s="101">
        <v>279</v>
      </c>
      <c r="P328" s="13">
        <f t="shared" ref="P328:Q328" si="662">J328/H328</f>
        <v>0.19960861056751467</v>
      </c>
      <c r="Q328" s="13">
        <f t="shared" si="662"/>
        <v>0.26513569937369519</v>
      </c>
      <c r="R328" s="13">
        <f t="shared" si="520"/>
        <v>-6.5527088806180522E-2</v>
      </c>
      <c r="S328" s="13">
        <f t="shared" ref="S328:T328" si="663">N328/L328</f>
        <v>0.29209621993127149</v>
      </c>
      <c r="T328" s="13">
        <f t="shared" si="663"/>
        <v>0.34875</v>
      </c>
      <c r="U328" s="13">
        <f t="shared" si="522"/>
        <v>-5.665378006872851E-2</v>
      </c>
      <c r="V328" s="13">
        <f t="shared" si="523"/>
        <v>6.6805845511482165E-2</v>
      </c>
      <c r="W328" s="13">
        <f t="shared" si="524"/>
        <v>-0.19685039370078738</v>
      </c>
      <c r="X328" s="13">
        <f t="shared" si="525"/>
        <v>9.1250000000000053E-2</v>
      </c>
      <c r="Y328" s="13">
        <f t="shared" si="526"/>
        <v>-8.6021505376344121E-2</v>
      </c>
    </row>
    <row r="329" spans="1:25" ht="14.4">
      <c r="A329" s="98" t="s">
        <v>577</v>
      </c>
      <c r="B329" s="99">
        <v>500027</v>
      </c>
      <c r="C329" s="98" t="s">
        <v>196</v>
      </c>
      <c r="D329" s="101" t="s">
        <v>251</v>
      </c>
      <c r="E329" s="11">
        <f ca="1">IFERROR(__xludf.DUMMYFUNCTION("GOOGLEFINANCE(""NSE:""&amp;A329,""PRICE"")"),6162)</f>
        <v>6162</v>
      </c>
      <c r="F329" s="20">
        <f ca="1">IFERROR(__xludf.DUMMYFUNCTION("GOOGLEFINANCE(""NSE:""&amp;A329,""MARKETCAP"")/10000000"),18142.00635)</f>
        <v>18142.00635</v>
      </c>
      <c r="G329" s="95">
        <f t="shared" ca="1" si="541"/>
        <v>4.5030099665582454E-4</v>
      </c>
      <c r="H329" s="101">
        <v>4716</v>
      </c>
      <c r="I329" s="101">
        <v>4192</v>
      </c>
      <c r="J329" s="101">
        <v>478</v>
      </c>
      <c r="K329" s="101">
        <v>368</v>
      </c>
      <c r="L329" s="101">
        <v>1612</v>
      </c>
      <c r="M329" s="101">
        <v>1432</v>
      </c>
      <c r="N329" s="101">
        <v>163</v>
      </c>
      <c r="O329" s="101">
        <v>117</v>
      </c>
      <c r="P329" s="13">
        <f t="shared" ref="P329:Q329" si="664">J329/H329</f>
        <v>0.10135708227311281</v>
      </c>
      <c r="Q329" s="13">
        <f t="shared" si="664"/>
        <v>8.7786259541984726E-2</v>
      </c>
      <c r="R329" s="13">
        <f t="shared" si="520"/>
        <v>1.3570822731128085E-2</v>
      </c>
      <c r="S329" s="13">
        <f t="shared" ref="S329:T329" si="665">N329/L329</f>
        <v>0.10111662531017369</v>
      </c>
      <c r="T329" s="13">
        <f t="shared" si="665"/>
        <v>8.1703910614525144E-2</v>
      </c>
      <c r="U329" s="13">
        <f t="shared" si="522"/>
        <v>1.941271469564855E-2</v>
      </c>
      <c r="V329" s="13">
        <f t="shared" si="523"/>
        <v>0.125</v>
      </c>
      <c r="W329" s="13">
        <f t="shared" si="524"/>
        <v>0.29891304347826098</v>
      </c>
      <c r="X329" s="13">
        <f t="shared" si="525"/>
        <v>0.12569832402234637</v>
      </c>
      <c r="Y329" s="13">
        <f t="shared" si="526"/>
        <v>0.3931623931623931</v>
      </c>
    </row>
    <row r="330" spans="1:25" ht="14.4">
      <c r="A330" s="98" t="s">
        <v>578</v>
      </c>
      <c r="B330" s="99">
        <v>541770</v>
      </c>
      <c r="C330" s="98" t="s">
        <v>172</v>
      </c>
      <c r="D330" s="102" t="s">
        <v>579</v>
      </c>
      <c r="E330" s="11">
        <f ca="1">IFERROR(__xludf.DUMMYFUNCTION("GOOGLEFINANCE(""BOM:""&amp;B330,""PRICE"")"),1186.45)</f>
        <v>1186.45</v>
      </c>
      <c r="F330" s="20">
        <f ca="1">IFERROR(__xludf.DUMMYFUNCTION("GOOGLEFINANCE(""BOM:""&amp;B330,""MARKETCAP"")/10000000"),19048.9059688)</f>
        <v>19048.905968800002</v>
      </c>
      <c r="G330" s="95">
        <f t="shared" ca="1" si="541"/>
        <v>4.7281106496546482E-4</v>
      </c>
      <c r="H330" s="101">
        <v>4464</v>
      </c>
      <c r="I330" s="101">
        <v>4348</v>
      </c>
      <c r="J330" s="101">
        <v>438</v>
      </c>
      <c r="K330" s="101">
        <v>484</v>
      </c>
      <c r="L330" s="101">
        <v>1491</v>
      </c>
      <c r="M330" s="101">
        <v>1382</v>
      </c>
      <c r="N330" s="101">
        <v>252</v>
      </c>
      <c r="O330" s="101">
        <v>-99</v>
      </c>
      <c r="P330" s="13">
        <f t="shared" ref="P330:Q330" si="666">J330/H330</f>
        <v>9.8118279569892469E-2</v>
      </c>
      <c r="Q330" s="13">
        <f t="shared" si="666"/>
        <v>0.11131554737810488</v>
      </c>
      <c r="R330" s="13">
        <f t="shared" si="520"/>
        <v>-1.3197267808212412E-2</v>
      </c>
      <c r="S330" s="13">
        <f t="shared" ref="S330:T330" si="667">N330/L330</f>
        <v>0.16901408450704225</v>
      </c>
      <c r="T330" s="13">
        <f t="shared" si="667"/>
        <v>-7.1635311143270625E-2</v>
      </c>
      <c r="U330" s="13">
        <f t="shared" si="522"/>
        <v>0.24064939565031288</v>
      </c>
      <c r="V330" s="13">
        <f t="shared" si="523"/>
        <v>2.6678932842686187E-2</v>
      </c>
      <c r="W330" s="13">
        <f t="shared" si="524"/>
        <v>-9.5041322314049603E-2</v>
      </c>
      <c r="X330" s="13">
        <f t="shared" si="525"/>
        <v>7.8871201157742377E-2</v>
      </c>
      <c r="Y330" s="13">
        <f t="shared" si="526"/>
        <v>-3.5454545454545454</v>
      </c>
    </row>
    <row r="331" spans="1:25" ht="14.4">
      <c r="A331" s="98" t="s">
        <v>580</v>
      </c>
      <c r="B331" s="99">
        <v>540065</v>
      </c>
      <c r="C331" s="98" t="s">
        <v>172</v>
      </c>
      <c r="D331" s="102" t="s">
        <v>72</v>
      </c>
      <c r="E331" s="11">
        <f ca="1">IFERROR(__xludf.DUMMYFUNCTION("GOOGLEFINANCE(""BOM:""&amp;B331,""PRICE"")"),317.7)</f>
        <v>317.7</v>
      </c>
      <c r="F331" s="20">
        <f ca="1">IFERROR(__xludf.DUMMYFUNCTION("GOOGLEFINANCE(""BOM:""&amp;B331,""MARKETCAP"")/10000000"),19632.456925)</f>
        <v>19632.456924999999</v>
      </c>
      <c r="G331" s="95">
        <f t="shared" ca="1" si="541"/>
        <v>4.8729532718579625E-4</v>
      </c>
      <c r="H331" s="101">
        <v>13672</v>
      </c>
      <c r="I331" s="101">
        <v>13341</v>
      </c>
      <c r="J331" s="101">
        <v>634</v>
      </c>
      <c r="K331" s="101">
        <v>630</v>
      </c>
      <c r="L331" s="101">
        <v>4718</v>
      </c>
      <c r="M331" s="101">
        <v>4610</v>
      </c>
      <c r="N331" s="101">
        <v>227</v>
      </c>
      <c r="O331" s="101">
        <v>47</v>
      </c>
      <c r="P331" s="13">
        <f t="shared" ref="P331:Q331" si="668">J331/H331</f>
        <v>4.6372147454651846E-2</v>
      </c>
      <c r="Q331" s="13">
        <f t="shared" si="668"/>
        <v>4.7222846863053745E-2</v>
      </c>
      <c r="R331" s="13">
        <f t="shared" si="520"/>
        <v>-8.50699408401899E-4</v>
      </c>
      <c r="S331" s="13">
        <f t="shared" ref="S331:T331" si="669">N331/L331</f>
        <v>4.8113607460788473E-2</v>
      </c>
      <c r="T331" s="13">
        <f t="shared" si="669"/>
        <v>1.0195227765726681E-2</v>
      </c>
      <c r="U331" s="13">
        <f t="shared" si="522"/>
        <v>3.7918379695061788E-2</v>
      </c>
      <c r="V331" s="13">
        <f t="shared" si="523"/>
        <v>2.481073382804877E-2</v>
      </c>
      <c r="W331" s="13">
        <f t="shared" si="524"/>
        <v>6.3492063492063266E-3</v>
      </c>
      <c r="X331" s="13">
        <f t="shared" si="525"/>
        <v>2.3427331887201808E-2</v>
      </c>
      <c r="Y331" s="13">
        <f t="shared" si="526"/>
        <v>3.8297872340425529</v>
      </c>
    </row>
    <row r="332" spans="1:25" ht="14.4">
      <c r="A332" s="98" t="s">
        <v>581</v>
      </c>
      <c r="B332" s="99">
        <v>542752</v>
      </c>
      <c r="C332" s="98" t="s">
        <v>174</v>
      </c>
      <c r="D332" s="70" t="s">
        <v>455</v>
      </c>
      <c r="E332" s="11">
        <f ca="1">IFERROR(__xludf.DUMMYFUNCTION("GOOGLEFINANCE(""BOM:""&amp;B332,""PRICE"")"),1418.8)</f>
        <v>1418.8</v>
      </c>
      <c r="F332" s="20">
        <f ca="1">IFERROR(__xludf.DUMMYFUNCTION("GOOGLEFINANCE(""BOM:""&amp;B332,""MARKETCAP"")/10000000"),19947.3327364)</f>
        <v>19947.3327364</v>
      </c>
      <c r="G332" s="95">
        <f t="shared" ca="1" si="541"/>
        <v>4.9511082944948229E-4</v>
      </c>
      <c r="H332" s="101">
        <v>1984</v>
      </c>
      <c r="I332" s="101">
        <v>1664</v>
      </c>
      <c r="J332" s="101">
        <v>335</v>
      </c>
      <c r="K332" s="101">
        <v>278</v>
      </c>
      <c r="L332" s="101">
        <v>717</v>
      </c>
      <c r="M332" s="101">
        <v>601</v>
      </c>
      <c r="N332" s="101">
        <v>119</v>
      </c>
      <c r="O332" s="101">
        <v>100</v>
      </c>
      <c r="P332" s="13">
        <f t="shared" ref="P332:Q332" si="670">J332/H332</f>
        <v>0.16885080645161291</v>
      </c>
      <c r="Q332" s="13">
        <f t="shared" si="670"/>
        <v>0.16706730769230768</v>
      </c>
      <c r="R332" s="13">
        <f t="shared" si="520"/>
        <v>1.7834987593052243E-3</v>
      </c>
      <c r="S332" s="13">
        <f t="shared" ref="S332:T332" si="671">N332/L332</f>
        <v>0.16596931659693165</v>
      </c>
      <c r="T332" s="13">
        <f t="shared" si="671"/>
        <v>0.16638935108153077</v>
      </c>
      <c r="U332" s="13">
        <f t="shared" si="522"/>
        <v>-4.200344845991244E-4</v>
      </c>
      <c r="V332" s="13">
        <f t="shared" si="523"/>
        <v>0.19230769230769229</v>
      </c>
      <c r="W332" s="13">
        <f t="shared" si="524"/>
        <v>0.20503597122302164</v>
      </c>
      <c r="X332" s="13">
        <f t="shared" si="525"/>
        <v>0.19301164725457576</v>
      </c>
      <c r="Y332" s="13">
        <f t="shared" si="526"/>
        <v>0.18999999999999995</v>
      </c>
    </row>
    <row r="333" spans="1:25" ht="14.4">
      <c r="A333" s="98" t="s">
        <v>582</v>
      </c>
      <c r="B333" s="99">
        <v>504614</v>
      </c>
      <c r="C333" s="98" t="s">
        <v>196</v>
      </c>
      <c r="D333" s="102" t="s">
        <v>211</v>
      </c>
      <c r="E333" s="11">
        <f ca="1">IFERROR(__xludf.DUMMYFUNCTION("GOOGLEFINANCE(""BOM:""&amp;B333,""PRICE"")"),522.6)</f>
        <v>522.6</v>
      </c>
      <c r="F333" s="20">
        <f ca="1">IFERROR(__xludf.DUMMYFUNCTION("GOOGLEFINANCE(""BOM:""&amp;B333,""MARKETCAP"")/10000000"),18411.922925)</f>
        <v>18411.922924999999</v>
      </c>
      <c r="G333" s="95">
        <f t="shared" ca="1" si="541"/>
        <v>4.5700057003219625E-4</v>
      </c>
      <c r="H333" s="101">
        <v>4437</v>
      </c>
      <c r="I333" s="101">
        <v>3404</v>
      </c>
      <c r="J333" s="101">
        <v>922</v>
      </c>
      <c r="K333" s="101">
        <v>587</v>
      </c>
      <c r="L333" s="101">
        <v>1276</v>
      </c>
      <c r="M333" s="101">
        <v>1319</v>
      </c>
      <c r="N333" s="101">
        <v>184</v>
      </c>
      <c r="O333" s="101">
        <v>188</v>
      </c>
      <c r="P333" s="13">
        <f t="shared" ref="P333:Q333" si="672">J333/H333</f>
        <v>0.20779806175343701</v>
      </c>
      <c r="Q333" s="13">
        <f t="shared" si="672"/>
        <v>0.17244418331374853</v>
      </c>
      <c r="R333" s="13">
        <f t="shared" si="520"/>
        <v>3.5353878439688485E-2</v>
      </c>
      <c r="S333" s="13">
        <f t="shared" ref="S333:T333" si="673">N333/L333</f>
        <v>0.14420062695924765</v>
      </c>
      <c r="T333" s="13">
        <f t="shared" si="673"/>
        <v>0.14253222137983321</v>
      </c>
      <c r="U333" s="13">
        <f t="shared" si="522"/>
        <v>1.6684055794144448E-3</v>
      </c>
      <c r="V333" s="13">
        <f t="shared" si="523"/>
        <v>0.3034665099882492</v>
      </c>
      <c r="W333" s="13">
        <f t="shared" si="524"/>
        <v>0.57069846678023861</v>
      </c>
      <c r="X333" s="13">
        <f t="shared" si="525"/>
        <v>-3.2600454890068242E-2</v>
      </c>
      <c r="Y333" s="13">
        <f t="shared" si="526"/>
        <v>-2.1276595744680882E-2</v>
      </c>
    </row>
    <row r="334" spans="1:25" ht="14.4">
      <c r="A334" s="98" t="s">
        <v>583</v>
      </c>
      <c r="B334" s="99">
        <v>540596</v>
      </c>
      <c r="C334" s="98" t="s">
        <v>190</v>
      </c>
      <c r="D334" s="102" t="s">
        <v>100</v>
      </c>
      <c r="E334" s="11">
        <f ca="1">IFERROR(__xludf.DUMMYFUNCTION("GOOGLEFINANCE(""BOM:""&amp;B334,""PRICE"")"),1335.05)</f>
        <v>1335.05</v>
      </c>
      <c r="F334" s="20">
        <f ca="1">IFERROR(__xludf.DUMMYFUNCTION("GOOGLEFINANCE(""BOM:""&amp;B334,""MARKETCAP"")/10000000"),18528.7277842)</f>
        <v>18528.7277842</v>
      </c>
      <c r="G334" s="95">
        <f t="shared" ca="1" si="541"/>
        <v>4.5989977222060267E-4</v>
      </c>
      <c r="H334" s="101">
        <v>2373</v>
      </c>
      <c r="I334" s="101">
        <v>2188</v>
      </c>
      <c r="J334" s="101">
        <v>479</v>
      </c>
      <c r="K334" s="101">
        <v>361</v>
      </c>
      <c r="L334" s="101">
        <v>807</v>
      </c>
      <c r="M334" s="101">
        <v>727</v>
      </c>
      <c r="N334" s="101">
        <v>109</v>
      </c>
      <c r="O334" s="101">
        <v>87</v>
      </c>
      <c r="P334" s="13">
        <f t="shared" ref="P334:Q334" si="674">J334/H334</f>
        <v>0.20185419300463547</v>
      </c>
      <c r="Q334" s="13">
        <f t="shared" si="674"/>
        <v>0.16499085923217549</v>
      </c>
      <c r="R334" s="13">
        <f t="shared" si="520"/>
        <v>3.6863333772459983E-2</v>
      </c>
      <c r="S334" s="13">
        <f t="shared" ref="S334:T334" si="675">N334/L334</f>
        <v>0.13506815365551425</v>
      </c>
      <c r="T334" s="13">
        <f t="shared" si="675"/>
        <v>0.11966987620357634</v>
      </c>
      <c r="U334" s="13">
        <f t="shared" si="522"/>
        <v>1.5398277451937906E-2</v>
      </c>
      <c r="V334" s="13">
        <f t="shared" si="523"/>
        <v>8.4552102376599603E-2</v>
      </c>
      <c r="W334" s="13">
        <f t="shared" si="524"/>
        <v>0.32686980609418281</v>
      </c>
      <c r="X334" s="13">
        <f t="shared" si="525"/>
        <v>0.11004126547455306</v>
      </c>
      <c r="Y334" s="13">
        <f t="shared" si="526"/>
        <v>0.25287356321839072</v>
      </c>
    </row>
    <row r="335" spans="1:25" ht="14.4">
      <c r="A335" s="98" t="s">
        <v>584</v>
      </c>
      <c r="B335" s="99">
        <v>500620</v>
      </c>
      <c r="C335" s="98" t="s">
        <v>206</v>
      </c>
      <c r="D335" s="100" t="s">
        <v>585</v>
      </c>
      <c r="E335" s="11">
        <f ca="1">IFERROR(__xludf.DUMMYFUNCTION("GOOGLEFINANCE(""BOM:""&amp;B335,""PRICE"")"),1465)</f>
        <v>1465</v>
      </c>
      <c r="F335" s="20">
        <f ca="1">IFERROR(__xludf.DUMMYFUNCTION("GOOGLEFINANCE(""BOM:""&amp;B335,""MARKETCAP"")/10000000"),20923.9458274)</f>
        <v>20923.945827399999</v>
      </c>
      <c r="G335" s="95">
        <f t="shared" ca="1" si="541"/>
        <v>5.1935124915501426E-4</v>
      </c>
      <c r="H335" s="101">
        <v>3898</v>
      </c>
      <c r="I335" s="101">
        <v>4099</v>
      </c>
      <c r="J335" s="101">
        <v>1898</v>
      </c>
      <c r="K335" s="101">
        <v>1981</v>
      </c>
      <c r="L335" s="101">
        <v>1454</v>
      </c>
      <c r="M335" s="101">
        <v>1237</v>
      </c>
      <c r="N335" s="101">
        <v>819</v>
      </c>
      <c r="O335" s="101">
        <v>594</v>
      </c>
      <c r="P335" s="13">
        <f t="shared" ref="P335:Q335" si="676">J335/H335</f>
        <v>0.48691636736788096</v>
      </c>
      <c r="Q335" s="13">
        <f t="shared" si="676"/>
        <v>0.48328860697731152</v>
      </c>
      <c r="R335" s="13">
        <f t="shared" si="520"/>
        <v>3.6277603905694455E-3</v>
      </c>
      <c r="S335" s="13">
        <f t="shared" ref="S335:T335" si="677">N335/L335</f>
        <v>0.56327372764786798</v>
      </c>
      <c r="T335" s="13">
        <f t="shared" si="677"/>
        <v>0.48019401778496362</v>
      </c>
      <c r="U335" s="13">
        <f t="shared" si="522"/>
        <v>8.3079709862904361E-2</v>
      </c>
      <c r="V335" s="13">
        <f t="shared" si="523"/>
        <v>-4.903635032934861E-2</v>
      </c>
      <c r="W335" s="13">
        <f t="shared" si="524"/>
        <v>-4.1898031297324612E-2</v>
      </c>
      <c r="X335" s="13">
        <f t="shared" si="525"/>
        <v>0.17542441390460795</v>
      </c>
      <c r="Y335" s="13">
        <f t="shared" si="526"/>
        <v>0.3787878787878789</v>
      </c>
    </row>
    <row r="336" spans="1:25" ht="14.4">
      <c r="A336" s="98" t="s">
        <v>586</v>
      </c>
      <c r="B336" s="99">
        <v>543498</v>
      </c>
      <c r="C336" s="98" t="s">
        <v>187</v>
      </c>
      <c r="D336" s="102" t="s">
        <v>312</v>
      </c>
      <c r="E336" s="11">
        <f ca="1">IFERROR(__xludf.DUMMYFUNCTION("GOOGLEFINANCE(""BOM:""&amp;B336,""PRICE"")"),36.78)</f>
        <v>36.78</v>
      </c>
      <c r="F336" s="20">
        <f ca="1">IFERROR(__xludf.DUMMYFUNCTION("GOOGLEFINANCE(""BOM:""&amp;B336,""MARKETCAP"")/10000000"),24377.9847228)</f>
        <v>24377.9847228</v>
      </c>
      <c r="G336" s="95">
        <f t="shared" ca="1" si="541"/>
        <v>6.0508361673775426E-4</v>
      </c>
      <c r="H336" s="101">
        <v>8143</v>
      </c>
      <c r="I336" s="101">
        <v>6811</v>
      </c>
      <c r="J336" s="101">
        <v>458</v>
      </c>
      <c r="K336" s="101">
        <v>441</v>
      </c>
      <c r="L336" s="101">
        <v>2887</v>
      </c>
      <c r="M336" s="101">
        <v>2300</v>
      </c>
      <c r="N336" s="101">
        <v>149</v>
      </c>
      <c r="O336" s="101">
        <v>140</v>
      </c>
      <c r="P336" s="13">
        <f t="shared" ref="P336:Q336" si="678">J336/H336</f>
        <v>5.6244627287240577E-2</v>
      </c>
      <c r="Q336" s="13">
        <f t="shared" si="678"/>
        <v>6.4748201438848921E-2</v>
      </c>
      <c r="R336" s="13">
        <f t="shared" si="520"/>
        <v>-8.5035741516083438E-3</v>
      </c>
      <c r="S336" s="13">
        <f t="shared" ref="S336:T336" si="679">N336/L336</f>
        <v>5.1610668514028402E-2</v>
      </c>
      <c r="T336" s="13">
        <f t="shared" si="679"/>
        <v>6.0869565217391307E-2</v>
      </c>
      <c r="U336" s="13">
        <f t="shared" si="522"/>
        <v>-9.2588967033629052E-3</v>
      </c>
      <c r="V336" s="13">
        <f t="shared" si="523"/>
        <v>0.1955659961826457</v>
      </c>
      <c r="W336" s="13">
        <f t="shared" si="524"/>
        <v>3.8548752834467015E-2</v>
      </c>
      <c r="X336" s="13">
        <f t="shared" si="525"/>
        <v>0.25521739130434784</v>
      </c>
      <c r="Y336" s="13">
        <f t="shared" si="526"/>
        <v>6.4285714285714279E-2</v>
      </c>
    </row>
    <row r="337" spans="1:25" ht="14.4">
      <c r="A337" s="98" t="s">
        <v>587</v>
      </c>
      <c r="B337" s="99">
        <v>517271</v>
      </c>
      <c r="C337" s="98" t="s">
        <v>180</v>
      </c>
      <c r="D337" s="102" t="s">
        <v>512</v>
      </c>
      <c r="E337" s="11">
        <f ca="1">IFERROR(__xludf.DUMMYFUNCTION("GOOGLEFINANCE(""BOM:""&amp;B337,""PRICE"")"),677.55)</f>
        <v>677.55</v>
      </c>
      <c r="F337" s="20">
        <f ca="1">IFERROR(__xludf.DUMMYFUNCTION("GOOGLEFINANCE(""BOM:""&amp;B337,""MARKETCAP"")/10000000"),18771.6389663)</f>
        <v>18771.638966300001</v>
      </c>
      <c r="G337" s="95">
        <f t="shared" ca="1" si="541"/>
        <v>4.6592904733429346E-4</v>
      </c>
      <c r="H337" s="101">
        <v>2699</v>
      </c>
      <c r="I337" s="101">
        <v>1492</v>
      </c>
      <c r="J337" s="101">
        <v>746</v>
      </c>
      <c r="K337" s="101">
        <v>210</v>
      </c>
      <c r="L337" s="101">
        <v>874</v>
      </c>
      <c r="M337" s="101">
        <v>450</v>
      </c>
      <c r="N337" s="101">
        <v>217</v>
      </c>
      <c r="O337" s="101">
        <v>58</v>
      </c>
      <c r="P337" s="13">
        <f t="shared" ref="P337:Q337" si="680">J337/H337</f>
        <v>0.27639866617265652</v>
      </c>
      <c r="Q337" s="13">
        <f t="shared" si="680"/>
        <v>0.14075067024128687</v>
      </c>
      <c r="R337" s="13">
        <f t="shared" si="520"/>
        <v>0.13564799593136964</v>
      </c>
      <c r="S337" s="13">
        <f t="shared" ref="S337:T337" si="681">N337/L337</f>
        <v>0.2482837528604119</v>
      </c>
      <c r="T337" s="13">
        <f t="shared" si="681"/>
        <v>0.12888888888888889</v>
      </c>
      <c r="U337" s="13">
        <f t="shared" si="522"/>
        <v>0.11939486397152302</v>
      </c>
      <c r="V337" s="13">
        <f t="shared" si="523"/>
        <v>0.80898123324396787</v>
      </c>
      <c r="W337" s="13">
        <f t="shared" si="524"/>
        <v>2.5523809523809522</v>
      </c>
      <c r="X337" s="13">
        <f t="shared" si="525"/>
        <v>0.94222222222222229</v>
      </c>
      <c r="Y337" s="13">
        <f t="shared" si="526"/>
        <v>2.7413793103448274</v>
      </c>
    </row>
    <row r="338" spans="1:25" ht="14.4">
      <c r="A338" s="98" t="s">
        <v>588</v>
      </c>
      <c r="B338" s="99">
        <v>500870</v>
      </c>
      <c r="C338" s="98" t="s">
        <v>91</v>
      </c>
      <c r="D338" s="101" t="s">
        <v>589</v>
      </c>
      <c r="E338" s="11">
        <f ca="1">IFERROR(__xludf.DUMMYFUNCTION("GOOGLEFINANCE(""BOM:""&amp;B338,""PRICE"")"),178.65)</f>
        <v>178.65</v>
      </c>
      <c r="F338" s="20">
        <f ca="1">IFERROR(__xludf.DUMMYFUNCTION("GOOGLEFINANCE(""BOM:""&amp;B338,""MARKETCAP"")/10000000"),17672.653313)</f>
        <v>17672.653312999999</v>
      </c>
      <c r="G338" s="95">
        <f t="shared" ca="1" si="541"/>
        <v>4.3865123001661608E-4</v>
      </c>
      <c r="H338" s="101">
        <v>5721</v>
      </c>
      <c r="I338" s="101">
        <v>5365</v>
      </c>
      <c r="J338" s="101">
        <v>950</v>
      </c>
      <c r="K338" s="101">
        <v>927</v>
      </c>
      <c r="L338" s="101">
        <v>1440</v>
      </c>
      <c r="M338" s="101">
        <v>1354</v>
      </c>
      <c r="N338" s="101">
        <v>245</v>
      </c>
      <c r="O338" s="101">
        <v>271</v>
      </c>
      <c r="P338" s="13">
        <f t="shared" ref="P338:Q338" si="682">J338/H338</f>
        <v>0.1660548855095263</v>
      </c>
      <c r="Q338" s="13">
        <f t="shared" si="682"/>
        <v>0.17278657968313141</v>
      </c>
      <c r="R338" s="13">
        <f t="shared" si="520"/>
        <v>-6.7316941736051128E-3</v>
      </c>
      <c r="S338" s="13">
        <f t="shared" ref="S338:T338" si="683">N338/L338</f>
        <v>0.1701388888888889</v>
      </c>
      <c r="T338" s="13">
        <f t="shared" si="683"/>
        <v>0.20014771048744462</v>
      </c>
      <c r="U338" s="13">
        <f t="shared" si="522"/>
        <v>-3.0008821598555724E-2</v>
      </c>
      <c r="V338" s="13">
        <f t="shared" si="523"/>
        <v>6.6356011183597463E-2</v>
      </c>
      <c r="W338" s="13">
        <f t="shared" si="524"/>
        <v>2.4811218985976158E-2</v>
      </c>
      <c r="X338" s="13">
        <f t="shared" si="525"/>
        <v>6.3515509601181686E-2</v>
      </c>
      <c r="Y338" s="13">
        <f t="shared" si="526"/>
        <v>-9.5940959409594129E-2</v>
      </c>
    </row>
    <row r="339" spans="1:25" ht="14.4">
      <c r="A339" s="98" t="s">
        <v>590</v>
      </c>
      <c r="B339" s="99">
        <v>515055</v>
      </c>
      <c r="C339" s="98" t="s">
        <v>187</v>
      </c>
      <c r="D339" s="102" t="s">
        <v>131</v>
      </c>
      <c r="E339" s="11">
        <f ca="1">IFERROR(__xludf.DUMMYFUNCTION("GOOGLEFINANCE(""BOM:""&amp;B339,""PRICE"")"),453.85)</f>
        <v>453.85</v>
      </c>
      <c r="F339" s="20">
        <f ca="1">IFERROR(__xludf.DUMMYFUNCTION("GOOGLEFINANCE(""BOM:""&amp;B339,""MARKETCAP"")/10000000"),15627.0010262)</f>
        <v>15627.0010262</v>
      </c>
      <c r="G339" s="95">
        <f t="shared" ca="1" si="541"/>
        <v>3.8787629113796736E-4</v>
      </c>
      <c r="H339" s="101">
        <v>1864</v>
      </c>
      <c r="I339" s="101">
        <v>1519</v>
      </c>
      <c r="J339" s="101">
        <v>408</v>
      </c>
      <c r="K339" s="101">
        <v>307</v>
      </c>
      <c r="L339" s="101">
        <v>641</v>
      </c>
      <c r="M339" s="101">
        <v>534</v>
      </c>
      <c r="N339" s="101">
        <v>144</v>
      </c>
      <c r="O339" s="101">
        <v>108</v>
      </c>
      <c r="P339" s="13">
        <f t="shared" ref="P339:Q339" si="684">J339/H339</f>
        <v>0.21888412017167383</v>
      </c>
      <c r="Q339" s="13">
        <f t="shared" si="684"/>
        <v>0.20210664911125742</v>
      </c>
      <c r="R339" s="13">
        <f t="shared" si="520"/>
        <v>1.677747106041641E-2</v>
      </c>
      <c r="S339" s="13">
        <f t="shared" ref="S339:T339" si="685">N339/L339</f>
        <v>0.22464898595943839</v>
      </c>
      <c r="T339" s="13">
        <f t="shared" si="685"/>
        <v>0.20224719101123595</v>
      </c>
      <c r="U339" s="13">
        <f t="shared" si="522"/>
        <v>2.2401794948202436E-2</v>
      </c>
      <c r="V339" s="13">
        <f t="shared" si="523"/>
        <v>0.22712310730743912</v>
      </c>
      <c r="W339" s="13">
        <f t="shared" si="524"/>
        <v>0.32899022801302924</v>
      </c>
      <c r="X339" s="13">
        <f t="shared" si="525"/>
        <v>0.20037453183520593</v>
      </c>
      <c r="Y339" s="13">
        <f t="shared" si="526"/>
        <v>0.33333333333333326</v>
      </c>
    </row>
    <row r="340" spans="1:25" ht="14.4">
      <c r="A340" s="98" t="s">
        <v>591</v>
      </c>
      <c r="B340" s="99">
        <v>543276</v>
      </c>
      <c r="C340" s="98" t="s">
        <v>187</v>
      </c>
      <c r="D340" s="70" t="s">
        <v>312</v>
      </c>
      <c r="E340" s="11">
        <f ca="1">IFERROR(__xludf.DUMMYFUNCTION("GOOGLEFINANCE(""BOM:""&amp;B340,""PRICE"")"),6758)</f>
        <v>6758</v>
      </c>
      <c r="F340" s="20">
        <f ca="1">IFERROR(__xludf.DUMMYFUNCTION("GOOGLEFINANCE(""BOM:""&amp;B340,""MARKETCAP"")/10000000"),16120.4014275)</f>
        <v>16120.401427500001</v>
      </c>
      <c r="G340" s="95">
        <f t="shared" ca="1" si="541"/>
        <v>4.0012293509616298E-4</v>
      </c>
      <c r="H340" s="101">
        <v>5842</v>
      </c>
      <c r="I340" s="101">
        <v>3941</v>
      </c>
      <c r="J340" s="101">
        <v>267</v>
      </c>
      <c r="K340" s="101">
        <v>134</v>
      </c>
      <c r="L340" s="101">
        <v>2057</v>
      </c>
      <c r="M340" s="101">
        <v>1576</v>
      </c>
      <c r="N340" s="101">
        <v>107</v>
      </c>
      <c r="O340" s="101">
        <v>12</v>
      </c>
      <c r="P340" s="13">
        <f t="shared" ref="P340:Q340" si="686">J340/H340</f>
        <v>4.5703526189661073E-2</v>
      </c>
      <c r="Q340" s="13">
        <f t="shared" si="686"/>
        <v>3.400152245622938E-2</v>
      </c>
      <c r="R340" s="13">
        <f t="shared" si="520"/>
        <v>1.1702003733431693E-2</v>
      </c>
      <c r="S340" s="13">
        <f t="shared" ref="S340:T340" si="687">N340/L340</f>
        <v>5.201750121536218E-2</v>
      </c>
      <c r="T340" s="13">
        <f t="shared" si="687"/>
        <v>7.6142131979695434E-3</v>
      </c>
      <c r="U340" s="13">
        <f t="shared" si="522"/>
        <v>4.4403288017392635E-2</v>
      </c>
      <c r="V340" s="13">
        <f t="shared" si="523"/>
        <v>0.48236488200964223</v>
      </c>
      <c r="W340" s="13">
        <f t="shared" si="524"/>
        <v>0.99253731343283591</v>
      </c>
      <c r="X340" s="13">
        <f t="shared" si="525"/>
        <v>0.30520304568527923</v>
      </c>
      <c r="Y340" s="13">
        <f t="shared" si="526"/>
        <v>7.9166666666666661</v>
      </c>
    </row>
    <row r="341" spans="1:25" ht="14.4">
      <c r="A341" s="98" t="s">
        <v>592</v>
      </c>
      <c r="B341" s="99">
        <v>533295</v>
      </c>
      <c r="C341" s="98" t="s">
        <v>172</v>
      </c>
      <c r="D341" s="100" t="s">
        <v>107</v>
      </c>
      <c r="E341" s="11">
        <f ca="1">IFERROR(__xludf.DUMMYFUNCTION("GOOGLEFINANCE(""BOM:""&amp;B341,""PRICE"")"),22.9)</f>
        <v>22.9</v>
      </c>
      <c r="F341" s="20">
        <f ca="1">IFERROR(__xludf.DUMMYFUNCTION("GOOGLEFINANCE(""BOM:""&amp;B341,""MARKETCAP"")/10000000"),15486.449922)</f>
        <v>15486.449922</v>
      </c>
      <c r="G341" s="95">
        <f t="shared" ca="1" si="541"/>
        <v>3.8438768568378967E-4</v>
      </c>
      <c r="H341" s="101">
        <v>10301</v>
      </c>
      <c r="I341" s="101">
        <v>9213</v>
      </c>
      <c r="J341" s="101">
        <v>900</v>
      </c>
      <c r="K341" s="101">
        <v>703</v>
      </c>
      <c r="L341" s="101">
        <v>3549</v>
      </c>
      <c r="M341" s="101">
        <v>3269</v>
      </c>
      <c r="N341" s="101">
        <v>336</v>
      </c>
      <c r="O341" s="101">
        <v>281</v>
      </c>
      <c r="P341" s="13">
        <f t="shared" ref="P341:Q341" si="688">J341/H341</f>
        <v>8.7370158237064358E-2</v>
      </c>
      <c r="Q341" s="13">
        <f t="shared" si="688"/>
        <v>7.6305220883534142E-2</v>
      </c>
      <c r="R341" s="13">
        <f t="shared" si="520"/>
        <v>1.1064937353530216E-2</v>
      </c>
      <c r="S341" s="13">
        <f t="shared" ref="S341:T341" si="689">N341/L341</f>
        <v>9.4674556213017749E-2</v>
      </c>
      <c r="T341" s="13">
        <f t="shared" si="689"/>
        <v>8.5959008871214437E-2</v>
      </c>
      <c r="U341" s="13">
        <f t="shared" si="522"/>
        <v>8.7155473418033119E-3</v>
      </c>
      <c r="V341" s="13">
        <f t="shared" si="523"/>
        <v>0.11809399761206985</v>
      </c>
      <c r="W341" s="13">
        <f t="shared" si="524"/>
        <v>0.2802275960170697</v>
      </c>
      <c r="X341" s="13">
        <f t="shared" si="525"/>
        <v>8.5653104925053514E-2</v>
      </c>
      <c r="Y341" s="13">
        <f t="shared" si="526"/>
        <v>0.19572953736654797</v>
      </c>
    </row>
    <row r="342" spans="1:25" ht="14.4">
      <c r="A342" s="98" t="s">
        <v>593</v>
      </c>
      <c r="B342" s="99">
        <v>544081</v>
      </c>
      <c r="C342" s="98" t="s">
        <v>180</v>
      </c>
      <c r="D342" s="100" t="s">
        <v>514</v>
      </c>
      <c r="E342" s="11">
        <f ca="1">IFERROR(__xludf.DUMMYFUNCTION("GOOGLEFINANCE(""BOM:""&amp;B342,""PRICE"")"),768.7)</f>
        <v>768.7</v>
      </c>
      <c r="F342" s="20">
        <f ca="1">IFERROR(__xludf.DUMMYFUNCTION("GOOGLEFINANCE(""BOM:""&amp;B342,""MARKETCAP"")/10000000"),17471.771975)</f>
        <v>17471.771975</v>
      </c>
      <c r="G342" s="95">
        <f t="shared" ca="1" si="541"/>
        <v>4.3366517362539695E-4</v>
      </c>
      <c r="H342" s="101">
        <v>1494</v>
      </c>
      <c r="I342" s="101">
        <v>1242</v>
      </c>
      <c r="J342" s="101">
        <v>245</v>
      </c>
      <c r="K342" s="101">
        <v>207</v>
      </c>
      <c r="L342" s="101">
        <v>576</v>
      </c>
      <c r="M342" s="101">
        <v>450</v>
      </c>
      <c r="N342" s="101">
        <v>88.5</v>
      </c>
      <c r="O342" s="101">
        <v>80</v>
      </c>
      <c r="P342" s="13">
        <f t="shared" ref="P342:Q342" si="690">J342/H342</f>
        <v>0.1639892904953146</v>
      </c>
      <c r="Q342" s="13">
        <f t="shared" si="690"/>
        <v>0.16666666666666666</v>
      </c>
      <c r="R342" s="13">
        <f t="shared" si="520"/>
        <v>-2.6773761713520527E-3</v>
      </c>
      <c r="S342" s="13">
        <f t="shared" ref="S342:T342" si="691">N342/L342</f>
        <v>0.15364583333333334</v>
      </c>
      <c r="T342" s="13">
        <f t="shared" si="691"/>
        <v>0.17777777777777778</v>
      </c>
      <c r="U342" s="13">
        <f t="shared" si="522"/>
        <v>-2.4131944444444442E-2</v>
      </c>
      <c r="V342" s="13">
        <f t="shared" si="523"/>
        <v>0.20289855072463769</v>
      </c>
      <c r="W342" s="13">
        <f t="shared" si="524"/>
        <v>0.18357487922705307</v>
      </c>
      <c r="X342" s="13">
        <f t="shared" si="525"/>
        <v>0.28000000000000003</v>
      </c>
      <c r="Y342" s="13">
        <f t="shared" si="526"/>
        <v>0.10624999999999996</v>
      </c>
    </row>
    <row r="343" spans="1:25" ht="14.4">
      <c r="A343" s="98" t="s">
        <v>594</v>
      </c>
      <c r="B343" s="99">
        <v>532642</v>
      </c>
      <c r="C343" s="98" t="s">
        <v>172</v>
      </c>
      <c r="D343" s="101" t="s">
        <v>243</v>
      </c>
      <c r="E343" s="11">
        <f ca="1">IFERROR(__xludf.DUMMYFUNCTION("GOOGLEFINANCE(""BOM:""&amp;B343,""PRICE"")"),11938)</f>
        <v>11938</v>
      </c>
      <c r="F343" s="20">
        <f ca="1">IFERROR(__xludf.DUMMYFUNCTION("GOOGLEFINANCE(""BOM:""&amp;B343,""MARKETCAP"")/10000000"),13256.155896)</f>
        <v>13256.155896</v>
      </c>
      <c r="G343" s="95">
        <f t="shared" ca="1" si="541"/>
        <v>3.2902977193554917E-4</v>
      </c>
      <c r="H343" s="101">
        <v>146</v>
      </c>
      <c r="I343" s="101">
        <v>218</v>
      </c>
      <c r="J343" s="101">
        <v>133</v>
      </c>
      <c r="K343" s="101">
        <v>186</v>
      </c>
      <c r="L343" s="101">
        <v>32</v>
      </c>
      <c r="M343" s="101">
        <v>29</v>
      </c>
      <c r="N343" s="101">
        <v>32</v>
      </c>
      <c r="O343" s="101">
        <v>13</v>
      </c>
      <c r="P343" s="13">
        <f t="shared" ref="P343:Q343" si="692">J343/H343</f>
        <v>0.91095890410958902</v>
      </c>
      <c r="Q343" s="13">
        <f t="shared" si="692"/>
        <v>0.85321100917431192</v>
      </c>
      <c r="R343" s="13">
        <f t="shared" si="520"/>
        <v>5.77478949352771E-2</v>
      </c>
      <c r="S343" s="13">
        <f t="shared" ref="S343:T343" si="693">N343/L343</f>
        <v>1</v>
      </c>
      <c r="T343" s="13">
        <f t="shared" si="693"/>
        <v>0.44827586206896552</v>
      </c>
      <c r="U343" s="13">
        <f t="shared" si="522"/>
        <v>0.55172413793103448</v>
      </c>
      <c r="V343" s="13">
        <f t="shared" si="523"/>
        <v>-0.33027522935779818</v>
      </c>
      <c r="W343" s="13">
        <f t="shared" si="524"/>
        <v>-0.28494623655913975</v>
      </c>
      <c r="X343" s="13">
        <f t="shared" si="525"/>
        <v>0.10344827586206895</v>
      </c>
      <c r="Y343" s="13">
        <f t="shared" si="526"/>
        <v>1.4615384615384617</v>
      </c>
    </row>
    <row r="344" spans="1:25" ht="14.4">
      <c r="A344" s="98" t="s">
        <v>595</v>
      </c>
      <c r="B344" s="99">
        <v>544282</v>
      </c>
      <c r="C344" s="98" t="s">
        <v>174</v>
      </c>
      <c r="D344" s="101" t="s">
        <v>455</v>
      </c>
      <c r="E344" s="11">
        <f ca="1">IFERROR(__xludf.DUMMYFUNCTION("GOOGLEFINANCE(""BOM:""&amp;B344,""PRICE"")"),42.44)</f>
        <v>42.44</v>
      </c>
      <c r="F344" s="20">
        <f ca="1">IFERROR(__xludf.DUMMYFUNCTION("GOOGLEFINANCE(""BOM:""&amp;B344,""MARKETCAP"")/10000000"),19951.6035623)</f>
        <v>19951.603562299999</v>
      </c>
      <c r="G344" s="95">
        <f t="shared" ca="1" si="541"/>
        <v>4.9521683520883507E-4</v>
      </c>
      <c r="H344" s="101">
        <v>5168</v>
      </c>
      <c r="I344" s="101">
        <v>4001</v>
      </c>
      <c r="J344" s="101">
        <v>667</v>
      </c>
      <c r="K344" s="101">
        <v>356</v>
      </c>
      <c r="L344" s="101">
        <v>1971</v>
      </c>
      <c r="M344" s="101">
        <v>1453</v>
      </c>
      <c r="N344" s="101">
        <v>267</v>
      </c>
      <c r="O344" s="101">
        <v>216</v>
      </c>
      <c r="P344" s="13">
        <f t="shared" ref="P344:Q344" si="694">J344/H344</f>
        <v>0.12906346749226005</v>
      </c>
      <c r="Q344" s="13">
        <f t="shared" si="694"/>
        <v>8.897775556110972E-2</v>
      </c>
      <c r="R344" s="13">
        <f t="shared" si="520"/>
        <v>4.0085711931150333E-2</v>
      </c>
      <c r="S344" s="13">
        <f t="shared" ref="S344:T344" si="695">N344/L344</f>
        <v>0.13546423135464231</v>
      </c>
      <c r="T344" s="13">
        <f t="shared" si="695"/>
        <v>0.14865794907088781</v>
      </c>
      <c r="U344" s="13">
        <f t="shared" si="522"/>
        <v>-1.3193717716245501E-2</v>
      </c>
      <c r="V344" s="13">
        <f t="shared" si="523"/>
        <v>0.29167708072981746</v>
      </c>
      <c r="W344" s="13">
        <f t="shared" si="524"/>
        <v>0.87359550561797761</v>
      </c>
      <c r="X344" s="13">
        <f t="shared" si="525"/>
        <v>0.35650378527185134</v>
      </c>
      <c r="Y344" s="13">
        <f t="shared" si="526"/>
        <v>0.23611111111111116</v>
      </c>
    </row>
    <row r="345" spans="1:25" ht="14.4">
      <c r="A345" s="98" t="s">
        <v>596</v>
      </c>
      <c r="B345" s="99">
        <v>543428</v>
      </c>
      <c r="C345" s="98" t="s">
        <v>180</v>
      </c>
      <c r="D345" s="102" t="s">
        <v>204</v>
      </c>
      <c r="E345" s="11">
        <f ca="1">IFERROR(__xludf.DUMMYFUNCTION("GOOGLEFINANCE(""BOM:""&amp;B345,""PRICE"")"),3138.7)</f>
        <v>3138.7</v>
      </c>
      <c r="F345" s="20">
        <f ca="1">IFERROR(__xludf.DUMMYFUNCTION("GOOGLEFINANCE(""BOM:""&amp;B345,""MARKETCAP"")/10000000"),17562.168252)</f>
        <v>17562.168251999999</v>
      </c>
      <c r="G345" s="95">
        <f t="shared" ca="1" si="541"/>
        <v>4.3590889093216966E-4</v>
      </c>
      <c r="H345" s="101">
        <v>580</v>
      </c>
      <c r="I345" s="101">
        <v>312</v>
      </c>
      <c r="J345" s="101">
        <v>133</v>
      </c>
      <c r="K345" s="101">
        <v>108</v>
      </c>
      <c r="L345" s="101">
        <v>173</v>
      </c>
      <c r="M345" s="101">
        <v>117</v>
      </c>
      <c r="N345" s="101">
        <v>58</v>
      </c>
      <c r="O345" s="101">
        <v>45</v>
      </c>
      <c r="P345" s="13">
        <f t="shared" ref="P345:Q345" si="696">J345/H345</f>
        <v>0.22931034482758619</v>
      </c>
      <c r="Q345" s="13">
        <f t="shared" si="696"/>
        <v>0.34615384615384615</v>
      </c>
      <c r="R345" s="13">
        <f t="shared" si="520"/>
        <v>-0.11684350132625995</v>
      </c>
      <c r="S345" s="13">
        <f t="shared" ref="S345:T345" si="697">N345/L345</f>
        <v>0.33526011560693642</v>
      </c>
      <c r="T345" s="13">
        <f t="shared" si="697"/>
        <v>0.38461538461538464</v>
      </c>
      <c r="U345" s="13">
        <f t="shared" si="522"/>
        <v>-4.9355269008448222E-2</v>
      </c>
      <c r="V345" s="13">
        <f t="shared" si="523"/>
        <v>0.85897435897435903</v>
      </c>
      <c r="W345" s="13">
        <f t="shared" si="524"/>
        <v>0.2314814814814814</v>
      </c>
      <c r="X345" s="13">
        <f t="shared" si="525"/>
        <v>0.47863247863247871</v>
      </c>
      <c r="Y345" s="13">
        <f t="shared" si="526"/>
        <v>0.28888888888888897</v>
      </c>
    </row>
    <row r="346" spans="1:25" ht="14.4">
      <c r="A346" s="104" t="s">
        <v>597</v>
      </c>
      <c r="B346" s="99">
        <v>500770</v>
      </c>
      <c r="C346" s="98" t="s">
        <v>196</v>
      </c>
      <c r="D346" s="101" t="s">
        <v>346</v>
      </c>
      <c r="E346" s="11">
        <f ca="1">IFERROR(__xludf.DUMMYFUNCTION("GOOGLEFINANCE(""BOM:""&amp;B346,""PRICE"")"),632.4)</f>
        <v>632.4</v>
      </c>
      <c r="F346" s="20">
        <f ca="1">IFERROR(__xludf.DUMMYFUNCTION("GOOGLEFINANCE(""BOM:""&amp;B346,""MARKETCAP"")/10000000"),16099.3931855)</f>
        <v>16099.393185499999</v>
      </c>
      <c r="G346" s="95">
        <f t="shared" ca="1" si="541"/>
        <v>3.9960149153980644E-4</v>
      </c>
      <c r="H346" s="101">
        <v>11146</v>
      </c>
      <c r="I346" s="101">
        <v>11378</v>
      </c>
      <c r="J346" s="101">
        <v>401</v>
      </c>
      <c r="K346" s="101">
        <v>436</v>
      </c>
      <c r="L346" s="101">
        <v>3550</v>
      </c>
      <c r="M346" s="101">
        <v>3590</v>
      </c>
      <c r="N346" s="101">
        <v>-69</v>
      </c>
      <c r="O346" s="101">
        <v>-21</v>
      </c>
      <c r="P346" s="13">
        <f t="shared" ref="P346:Q346" si="698">J346/H346</f>
        <v>3.597703211914588E-2</v>
      </c>
      <c r="Q346" s="13">
        <f t="shared" si="698"/>
        <v>3.8319564071014237E-2</v>
      </c>
      <c r="R346" s="13">
        <f t="shared" si="520"/>
        <v>-2.3425319518683568E-3</v>
      </c>
      <c r="S346" s="13">
        <f t="shared" ref="S346:T346" si="699">N346/L346</f>
        <v>-1.9436619718309858E-2</v>
      </c>
      <c r="T346" s="13">
        <f t="shared" si="699"/>
        <v>-5.8495821727019498E-3</v>
      </c>
      <c r="U346" s="13">
        <f t="shared" si="522"/>
        <v>-1.3587037545607909E-2</v>
      </c>
      <c r="V346" s="13">
        <f t="shared" si="523"/>
        <v>-2.0390226753383756E-2</v>
      </c>
      <c r="W346" s="13">
        <f t="shared" si="524"/>
        <v>-8.0275229357798183E-2</v>
      </c>
      <c r="X346" s="13">
        <f t="shared" si="525"/>
        <v>-1.1142061281337101E-2</v>
      </c>
      <c r="Y346" s="13">
        <f t="shared" si="526"/>
        <v>2.2857142857142856</v>
      </c>
    </row>
    <row r="347" spans="1:25" ht="14.4">
      <c r="A347" s="98" t="s">
        <v>598</v>
      </c>
      <c r="B347" s="99">
        <v>506076</v>
      </c>
      <c r="C347" s="98" t="s">
        <v>180</v>
      </c>
      <c r="D347" s="109" t="s">
        <v>524</v>
      </c>
      <c r="E347" s="11">
        <f ca="1">IFERROR(__xludf.DUMMYFUNCTION("GOOGLEFINANCE(""BOM:""&amp;B347,""PRICE"")"),1441.7)</f>
        <v>1441.7</v>
      </c>
      <c r="F347" s="20">
        <f ca="1">IFERROR(__xludf.DUMMYFUNCTION("GOOGLEFINANCE(""BOM:""&amp;B347,""MARKETCAP"")/10000000"),15942.5730703)</f>
        <v>15942.573070300001</v>
      </c>
      <c r="G347" s="95">
        <f t="shared" ca="1" si="541"/>
        <v>3.9570907452661096E-4</v>
      </c>
      <c r="H347" s="101">
        <v>2221</v>
      </c>
      <c r="I347" s="101">
        <v>2093</v>
      </c>
      <c r="J347" s="101">
        <v>297</v>
      </c>
      <c r="K347" s="101">
        <v>278</v>
      </c>
      <c r="L347" s="101">
        <v>749</v>
      </c>
      <c r="M347" s="101">
        <v>699</v>
      </c>
      <c r="N347" s="101">
        <v>95</v>
      </c>
      <c r="O347" s="101">
        <v>87</v>
      </c>
      <c r="P347" s="13">
        <f t="shared" ref="P347:Q347" si="700">J347/H347</f>
        <v>0.13372354795137326</v>
      </c>
      <c r="Q347" s="13">
        <f t="shared" si="700"/>
        <v>0.13282369804108934</v>
      </c>
      <c r="R347" s="13">
        <f t="shared" si="520"/>
        <v>8.9984991028391192E-4</v>
      </c>
      <c r="S347" s="13">
        <f t="shared" ref="S347:T347" si="701">N347/L347</f>
        <v>0.12683578104138851</v>
      </c>
      <c r="T347" s="13">
        <f t="shared" si="701"/>
        <v>0.12446351931330472</v>
      </c>
      <c r="U347" s="13">
        <f t="shared" si="522"/>
        <v>2.3722617280837882E-3</v>
      </c>
      <c r="V347" s="13">
        <f t="shared" si="523"/>
        <v>6.1156235069278475E-2</v>
      </c>
      <c r="W347" s="13">
        <f t="shared" si="524"/>
        <v>6.8345323741007213E-2</v>
      </c>
      <c r="X347" s="13">
        <f t="shared" si="525"/>
        <v>7.1530758226037161E-2</v>
      </c>
      <c r="Y347" s="13">
        <f t="shared" si="526"/>
        <v>9.1954022988505857E-2</v>
      </c>
    </row>
    <row r="348" spans="1:25" ht="14.4">
      <c r="A348" s="98" t="s">
        <v>599</v>
      </c>
      <c r="B348" s="99">
        <v>500085</v>
      </c>
      <c r="C348" s="98" t="s">
        <v>196</v>
      </c>
      <c r="D348" s="102" t="s">
        <v>376</v>
      </c>
      <c r="E348" s="11">
        <f ca="1">IFERROR(__xludf.DUMMYFUNCTION("GOOGLEFINANCE(""BOM:""&amp;B348,""PRICE"")"),446.6)</f>
        <v>446.6</v>
      </c>
      <c r="F348" s="20">
        <f ca="1">IFERROR(__xludf.DUMMYFUNCTION("GOOGLEFINANCE(""BOM:""&amp;B348,""MARKETCAP"")/10000000"),17909.15334)</f>
        <v>17909.153340000001</v>
      </c>
      <c r="G348" s="95">
        <f t="shared" ca="1" si="541"/>
        <v>4.4452137446550886E-4</v>
      </c>
      <c r="H348" s="101">
        <v>18009</v>
      </c>
      <c r="I348" s="101">
        <v>14197</v>
      </c>
      <c r="J348" s="101">
        <v>1784</v>
      </c>
      <c r="K348" s="101">
        <v>1519</v>
      </c>
      <c r="L348" s="101">
        <v>5898</v>
      </c>
      <c r="M348" s="101">
        <v>4918</v>
      </c>
      <c r="N348" s="101">
        <v>586</v>
      </c>
      <c r="O348" s="101">
        <v>534</v>
      </c>
      <c r="P348" s="13">
        <f t="shared" ref="P348:Q348" si="702">J348/H348</f>
        <v>9.9061580320950637E-2</v>
      </c>
      <c r="Q348" s="13">
        <f t="shared" si="702"/>
        <v>0.10699443544410792</v>
      </c>
      <c r="R348" s="13">
        <f t="shared" si="520"/>
        <v>-7.9328551231572786E-3</v>
      </c>
      <c r="S348" s="13">
        <f t="shared" ref="S348:T348" si="703">N348/L348</f>
        <v>9.9355713801288575E-2</v>
      </c>
      <c r="T348" s="13">
        <f t="shared" si="703"/>
        <v>0.10858072387149248</v>
      </c>
      <c r="U348" s="13">
        <f t="shared" si="522"/>
        <v>-9.225010070203904E-3</v>
      </c>
      <c r="V348" s="13">
        <f t="shared" si="523"/>
        <v>0.26850743114742559</v>
      </c>
      <c r="W348" s="13">
        <f t="shared" si="524"/>
        <v>0.17445687952600397</v>
      </c>
      <c r="X348" s="13">
        <f t="shared" si="525"/>
        <v>0.1992679951199674</v>
      </c>
      <c r="Y348" s="13">
        <f t="shared" si="526"/>
        <v>9.7378277153558068E-2</v>
      </c>
    </row>
    <row r="349" spans="1:25" ht="14.4">
      <c r="A349" s="98" t="s">
        <v>600</v>
      </c>
      <c r="B349" s="99">
        <v>532756</v>
      </c>
      <c r="C349" s="98" t="s">
        <v>187</v>
      </c>
      <c r="D349" s="117" t="s">
        <v>312</v>
      </c>
      <c r="E349" s="11">
        <f ca="1">IFERROR(__xludf.DUMMYFUNCTION("GOOGLEFINANCE(""BOM:""&amp;B349,""PRICE"")"),466.7)</f>
        <v>466.7</v>
      </c>
      <c r="F349" s="20">
        <f ca="1">IFERROR(__xludf.DUMMYFUNCTION("GOOGLEFINANCE(""BOM:""&amp;B349,""MARKETCAP"")/10000000"),17666.8988625)</f>
        <v>17666.898862499998</v>
      </c>
      <c r="G349" s="95">
        <f t="shared" ca="1" si="541"/>
        <v>4.3850839935360303E-4</v>
      </c>
      <c r="H349" s="101">
        <v>9406</v>
      </c>
      <c r="I349" s="101">
        <v>8964</v>
      </c>
      <c r="J349" s="101">
        <v>828</v>
      </c>
      <c r="K349" s="101">
        <v>827</v>
      </c>
      <c r="L349" s="101">
        <v>2392</v>
      </c>
      <c r="M349" s="101">
        <v>2109</v>
      </c>
      <c r="N349" s="101">
        <v>204</v>
      </c>
      <c r="O349" s="101">
        <v>184</v>
      </c>
      <c r="P349" s="13">
        <f t="shared" ref="P349:Q349" si="704">J349/H349</f>
        <v>8.8028917712098656E-2</v>
      </c>
      <c r="Q349" s="13">
        <f t="shared" si="704"/>
        <v>9.2257920571173588E-2</v>
      </c>
      <c r="R349" s="13">
        <f t="shared" si="520"/>
        <v>-4.2290028590749318E-3</v>
      </c>
      <c r="S349" s="13">
        <f t="shared" ref="S349:T349" si="705">N349/L349</f>
        <v>8.5284280936454848E-2</v>
      </c>
      <c r="T349" s="13">
        <f t="shared" si="705"/>
        <v>8.7245139876718822E-2</v>
      </c>
      <c r="U349" s="13">
        <f t="shared" si="522"/>
        <v>-1.9608589402639737E-3</v>
      </c>
      <c r="V349" s="13">
        <f t="shared" si="523"/>
        <v>4.9308344489067402E-2</v>
      </c>
      <c r="W349" s="13">
        <f t="shared" si="524"/>
        <v>1.2091898428052694E-3</v>
      </c>
      <c r="X349" s="13">
        <f t="shared" si="525"/>
        <v>0.1341868183973447</v>
      </c>
      <c r="Y349" s="13">
        <f t="shared" si="526"/>
        <v>0.10869565217391308</v>
      </c>
    </row>
    <row r="350" spans="1:25" ht="14.4">
      <c r="A350" s="98" t="s">
        <v>601</v>
      </c>
      <c r="B350" s="99">
        <v>500403</v>
      </c>
      <c r="C350" s="98" t="s">
        <v>187</v>
      </c>
      <c r="D350" s="101" t="s">
        <v>312</v>
      </c>
      <c r="E350" s="11">
        <f ca="1">IFERROR(__xludf.DUMMYFUNCTION("GOOGLEFINANCE(""BOM:""&amp;B350,""PRICE"")"),761.75)</f>
        <v>761.75</v>
      </c>
      <c r="F350" s="20">
        <f ca="1">IFERROR(__xludf.DUMMYFUNCTION("GOOGLEFINANCE(""BOM:""&amp;B350,""MARKETCAP"")/10000000"),16018.0876754)</f>
        <v>16018.0876754</v>
      </c>
      <c r="G350" s="95">
        <f t="shared" ca="1" si="541"/>
        <v>3.975834152848811E-4</v>
      </c>
      <c r="H350" s="101">
        <v>4596</v>
      </c>
      <c r="I350" s="101">
        <v>4425</v>
      </c>
      <c r="J350" s="101">
        <v>431</v>
      </c>
      <c r="K350" s="101">
        <v>417</v>
      </c>
      <c r="L350" s="101">
        <v>1541</v>
      </c>
      <c r="M350" s="101">
        <v>1441</v>
      </c>
      <c r="N350" s="101">
        <v>131</v>
      </c>
      <c r="O350" s="101">
        <v>131</v>
      </c>
      <c r="P350" s="13">
        <f t="shared" ref="P350:Q350" si="706">J350/H350</f>
        <v>9.3777197563098352E-2</v>
      </c>
      <c r="Q350" s="13">
        <f t="shared" si="706"/>
        <v>9.423728813559322E-2</v>
      </c>
      <c r="R350" s="13">
        <f t="shared" si="520"/>
        <v>-4.6009057249486729E-4</v>
      </c>
      <c r="S350" s="13">
        <f t="shared" ref="S350:T350" si="707">N350/L350</f>
        <v>8.5009733939000645E-2</v>
      </c>
      <c r="T350" s="13">
        <f t="shared" si="707"/>
        <v>9.0909090909090912E-2</v>
      </c>
      <c r="U350" s="13">
        <f t="shared" si="522"/>
        <v>-5.8993569700902665E-3</v>
      </c>
      <c r="V350" s="13">
        <f t="shared" si="523"/>
        <v>3.8644067796610226E-2</v>
      </c>
      <c r="W350" s="13">
        <f t="shared" si="524"/>
        <v>3.3573141486810565E-2</v>
      </c>
      <c r="X350" s="13">
        <f t="shared" si="525"/>
        <v>6.9396252602359487E-2</v>
      </c>
      <c r="Y350" s="13">
        <f t="shared" si="526"/>
        <v>0</v>
      </c>
    </row>
    <row r="351" spans="1:25" ht="14.4">
      <c r="A351" s="98" t="s">
        <v>602</v>
      </c>
      <c r="B351" s="99">
        <v>543349</v>
      </c>
      <c r="C351" s="98" t="s">
        <v>190</v>
      </c>
      <c r="D351" s="101" t="s">
        <v>100</v>
      </c>
      <c r="E351" s="11">
        <f ca="1">IFERROR(__xludf.DUMMYFUNCTION("GOOGLEFINANCE(""BOM:""&amp;B351,""PRICE"")"),2227.7)</f>
        <v>2227.6999999999998</v>
      </c>
      <c r="F351" s="20">
        <f ca="1">IFERROR(__xludf.DUMMYFUNCTION("GOOGLEFINANCE(""BOM:""&amp;B351,""MARKETCAP"")/10000000"),18239.2440577)</f>
        <v>18239.244057700002</v>
      </c>
      <c r="G351" s="95">
        <f t="shared" ca="1" si="541"/>
        <v>4.5271452445672507E-4</v>
      </c>
      <c r="H351" s="101">
        <v>906</v>
      </c>
      <c r="I351" s="101">
        <v>698</v>
      </c>
      <c r="J351" s="101">
        <v>222</v>
      </c>
      <c r="K351" s="101">
        <v>97</v>
      </c>
      <c r="L351" s="101">
        <v>393</v>
      </c>
      <c r="M351" s="101">
        <v>274</v>
      </c>
      <c r="N351" s="101">
        <v>106</v>
      </c>
      <c r="O351" s="101">
        <v>45</v>
      </c>
      <c r="P351" s="13">
        <f t="shared" ref="P351:Q351" si="708">J351/H351</f>
        <v>0.24503311258278146</v>
      </c>
      <c r="Q351" s="13">
        <f t="shared" si="708"/>
        <v>0.13896848137535817</v>
      </c>
      <c r="R351" s="13">
        <f t="shared" si="520"/>
        <v>0.10606463120742329</v>
      </c>
      <c r="S351" s="13">
        <f t="shared" ref="S351:T351" si="709">N351/L351</f>
        <v>0.26972010178117051</v>
      </c>
      <c r="T351" s="13">
        <f t="shared" si="709"/>
        <v>0.16423357664233576</v>
      </c>
      <c r="U351" s="13">
        <f t="shared" si="522"/>
        <v>0.10548652513883475</v>
      </c>
      <c r="V351" s="13">
        <f t="shared" si="523"/>
        <v>0.29799426934097428</v>
      </c>
      <c r="W351" s="13">
        <f t="shared" si="524"/>
        <v>1.2886597938144329</v>
      </c>
      <c r="X351" s="13">
        <f t="shared" si="525"/>
        <v>0.43430656934306566</v>
      </c>
      <c r="Y351" s="13">
        <f t="shared" si="526"/>
        <v>1.3555555555555556</v>
      </c>
    </row>
    <row r="352" spans="1:25" ht="14.4">
      <c r="A352" s="98" t="s">
        <v>603</v>
      </c>
      <c r="B352" s="99">
        <v>512573</v>
      </c>
      <c r="C352" s="98" t="s">
        <v>183</v>
      </c>
      <c r="D352" s="102" t="s">
        <v>604</v>
      </c>
      <c r="E352" s="11">
        <f ca="1">IFERROR(__xludf.DUMMYFUNCTION("GOOGLEFINANCE(""BOM:""&amp;B352,""PRICE"")"),1240.9)</f>
        <v>1240.9000000000001</v>
      </c>
      <c r="F352" s="20">
        <f ca="1">IFERROR(__xludf.DUMMYFUNCTION("GOOGLEFINANCE(""BOM:""&amp;B352,""MARKETCAP"")/10000000"),16880.82984)</f>
        <v>16880.829839999999</v>
      </c>
      <c r="G352" s="95">
        <f t="shared" ca="1" si="541"/>
        <v>4.1899745566616355E-4</v>
      </c>
      <c r="H352" s="101">
        <v>4598</v>
      </c>
      <c r="I352" s="101">
        <v>4225</v>
      </c>
      <c r="J352" s="101">
        <v>517</v>
      </c>
      <c r="K352" s="101">
        <v>399</v>
      </c>
      <c r="L352" s="101">
        <v>1383</v>
      </c>
      <c r="M352" s="101">
        <v>1365</v>
      </c>
      <c r="N352" s="101">
        <v>163</v>
      </c>
      <c r="O352" s="101">
        <v>141</v>
      </c>
      <c r="P352" s="13">
        <f t="shared" ref="P352:Q352" si="710">J352/H352</f>
        <v>0.11244019138755981</v>
      </c>
      <c r="Q352" s="13">
        <f t="shared" si="710"/>
        <v>9.4437869822485213E-2</v>
      </c>
      <c r="R352" s="13">
        <f t="shared" si="520"/>
        <v>1.80023215650746E-2</v>
      </c>
      <c r="S352" s="13">
        <f t="shared" ref="S352:T352" si="711">N352/L352</f>
        <v>0.11785972523499638</v>
      </c>
      <c r="T352" s="13">
        <f t="shared" si="711"/>
        <v>0.10329670329670329</v>
      </c>
      <c r="U352" s="13">
        <f t="shared" si="522"/>
        <v>1.4563021938293091E-2</v>
      </c>
      <c r="V352" s="13">
        <f t="shared" si="523"/>
        <v>8.8284023668639078E-2</v>
      </c>
      <c r="W352" s="13">
        <f t="shared" si="524"/>
        <v>0.29573934837092741</v>
      </c>
      <c r="X352" s="13">
        <f t="shared" si="525"/>
        <v>1.318681318681314E-2</v>
      </c>
      <c r="Y352" s="13">
        <f t="shared" si="526"/>
        <v>0.15602836879432624</v>
      </c>
    </row>
    <row r="353" spans="1:25" ht="14.4">
      <c r="A353" s="98" t="s">
        <v>605</v>
      </c>
      <c r="B353" s="99">
        <v>532181</v>
      </c>
      <c r="C353" s="98" t="s">
        <v>196</v>
      </c>
      <c r="D353" s="102" t="s">
        <v>357</v>
      </c>
      <c r="E353" s="11">
        <f ca="1">IFERROR(__xludf.DUMMYFUNCTION("GOOGLEFINANCE(""BOM:""&amp;B353,""PRICE"")"),597.95)</f>
        <v>597.95000000000005</v>
      </c>
      <c r="F353" s="20">
        <f ca="1">IFERROR(__xludf.DUMMYFUNCTION("GOOGLEFINANCE(""BOM:""&amp;B353,""MARKETCAP"")/10000000"),18984.1003933)</f>
        <v>18984.100393299999</v>
      </c>
      <c r="G353" s="95">
        <f t="shared" ca="1" si="541"/>
        <v>4.7120253200204728E-4</v>
      </c>
      <c r="H353" s="101">
        <v>1839</v>
      </c>
      <c r="I353" s="101">
        <v>2064</v>
      </c>
      <c r="J353" s="101">
        <v>763</v>
      </c>
      <c r="K353" s="101">
        <v>459</v>
      </c>
      <c r="L353" s="101">
        <v>579</v>
      </c>
      <c r="M353" s="101">
        <v>653</v>
      </c>
      <c r="N353" s="101">
        <v>133</v>
      </c>
      <c r="O353" s="101">
        <v>148</v>
      </c>
      <c r="P353" s="13">
        <f t="shared" ref="P353:Q353" si="712">J353/H353</f>
        <v>0.4148994018488309</v>
      </c>
      <c r="Q353" s="13">
        <f t="shared" si="712"/>
        <v>0.22238372093023256</v>
      </c>
      <c r="R353" s="13">
        <f t="shared" si="520"/>
        <v>0.19251568091859833</v>
      </c>
      <c r="S353" s="13">
        <f t="shared" ref="S353:T353" si="713">N353/L353</f>
        <v>0.22970639032815199</v>
      </c>
      <c r="T353" s="13">
        <f t="shared" si="713"/>
        <v>0.22664624808575803</v>
      </c>
      <c r="U353" s="13">
        <f t="shared" si="522"/>
        <v>3.0601422423939539E-3</v>
      </c>
      <c r="V353" s="13">
        <f t="shared" si="523"/>
        <v>-0.10901162790697672</v>
      </c>
      <c r="W353" s="13">
        <f t="shared" si="524"/>
        <v>0.66230936819172115</v>
      </c>
      <c r="X353" s="13">
        <f t="shared" si="525"/>
        <v>-0.11332312404287903</v>
      </c>
      <c r="Y353" s="13">
        <f t="shared" si="526"/>
        <v>-0.10135135135135132</v>
      </c>
    </row>
    <row r="354" spans="1:25" ht="14.4">
      <c r="A354" s="98" t="s">
        <v>606</v>
      </c>
      <c r="B354" s="99">
        <v>532734</v>
      </c>
      <c r="C354" s="98" t="s">
        <v>180</v>
      </c>
      <c r="D354" s="102" t="s">
        <v>384</v>
      </c>
      <c r="E354" s="11">
        <f ca="1">IFERROR(__xludf.DUMMYFUNCTION("GOOGLEFINANCE(""BOM:""&amp;B354,""PRICE"")"),275.55)</f>
        <v>275.55</v>
      </c>
      <c r="F354" s="20">
        <f ca="1">IFERROR(__xludf.DUMMYFUNCTION("GOOGLEFINANCE(""BOM:""&amp;B354,""MARKETCAP"")/10000000"),18496.097485)</f>
        <v>18496.097484999998</v>
      </c>
      <c r="G354" s="95">
        <f t="shared" ca="1" si="541"/>
        <v>4.5908985869905119E-4</v>
      </c>
      <c r="H354" s="101">
        <v>3770</v>
      </c>
      <c r="I354" s="101">
        <v>3908</v>
      </c>
      <c r="J354" s="101">
        <v>521</v>
      </c>
      <c r="K354" s="101">
        <v>591</v>
      </c>
      <c r="L354" s="101">
        <v>1139</v>
      </c>
      <c r="M354" s="101">
        <v>1298</v>
      </c>
      <c r="N354" s="101">
        <v>143</v>
      </c>
      <c r="O354" s="101">
        <v>145</v>
      </c>
      <c r="P354" s="13">
        <f t="shared" ref="P354:Q354" si="714">J354/H354</f>
        <v>0.13819628647214854</v>
      </c>
      <c r="Q354" s="13">
        <f t="shared" si="714"/>
        <v>0.15122824974411464</v>
      </c>
      <c r="R354" s="13">
        <f t="shared" si="520"/>
        <v>-1.3031963271966096E-2</v>
      </c>
      <c r="S354" s="13">
        <f t="shared" ref="S354:T354" si="715">N354/L354</f>
        <v>0.12554872695346794</v>
      </c>
      <c r="T354" s="13">
        <f t="shared" si="715"/>
        <v>0.11171032357473036</v>
      </c>
      <c r="U354" s="13">
        <f t="shared" si="522"/>
        <v>1.3838403378737582E-2</v>
      </c>
      <c r="V354" s="13">
        <f t="shared" si="523"/>
        <v>-3.5312180143295846E-2</v>
      </c>
      <c r="W354" s="13">
        <f t="shared" si="524"/>
        <v>-0.11844331641285955</v>
      </c>
      <c r="X354" s="13">
        <f t="shared" si="525"/>
        <v>-0.12249614791987673</v>
      </c>
      <c r="Y354" s="13">
        <f t="shared" si="526"/>
        <v>-1.379310344827589E-2</v>
      </c>
    </row>
    <row r="355" spans="1:25" ht="14.4">
      <c r="A355" s="98" t="s">
        <v>607</v>
      </c>
      <c r="B355" s="99">
        <v>543981</v>
      </c>
      <c r="C355" s="98" t="s">
        <v>180</v>
      </c>
      <c r="D355" s="70" t="s">
        <v>271</v>
      </c>
      <c r="E355" s="11">
        <f ca="1">IFERROR(__xludf.DUMMYFUNCTION("GOOGLEFINANCE(""BOM:""&amp;B355,""PRICE"")"),1330.75)</f>
        <v>1330.75</v>
      </c>
      <c r="F355" s="20">
        <f ca="1">IFERROR(__xludf.DUMMYFUNCTION("GOOGLEFINANCE(""BOM:""&amp;B355,""MARKETCAP"")/10000000"),15061.3703798)</f>
        <v>15061.370379800001</v>
      </c>
      <c r="G355" s="95">
        <f t="shared" ca="1" si="541"/>
        <v>3.7383682720552321E-4</v>
      </c>
      <c r="H355" s="101">
        <v>6758</v>
      </c>
      <c r="I355" s="101">
        <v>5400</v>
      </c>
      <c r="J355" s="101">
        <v>324</v>
      </c>
      <c r="K355" s="101">
        <v>182</v>
      </c>
      <c r="L355" s="101">
        <v>2535</v>
      </c>
      <c r="M355" s="101">
        <v>1782</v>
      </c>
      <c r="N355" s="101">
        <v>118</v>
      </c>
      <c r="O355" s="101">
        <v>68</v>
      </c>
      <c r="P355" s="13">
        <f t="shared" ref="P355:Q355" si="716">J355/H355</f>
        <v>4.794317845516425E-2</v>
      </c>
      <c r="Q355" s="13">
        <f t="shared" si="716"/>
        <v>3.3703703703703701E-2</v>
      </c>
      <c r="R355" s="13">
        <f t="shared" si="520"/>
        <v>1.4239474751460549E-2</v>
      </c>
      <c r="S355" s="13">
        <f t="shared" ref="S355:T355" si="717">N355/L355</f>
        <v>4.6548323471400394E-2</v>
      </c>
      <c r="T355" s="13">
        <f t="shared" si="717"/>
        <v>3.8159371492704826E-2</v>
      </c>
      <c r="U355" s="13">
        <f t="shared" si="522"/>
        <v>8.3889519786955677E-3</v>
      </c>
      <c r="V355" s="13">
        <f t="shared" si="523"/>
        <v>0.25148148148148142</v>
      </c>
      <c r="W355" s="13">
        <f t="shared" si="524"/>
        <v>0.78021978021978011</v>
      </c>
      <c r="X355" s="13">
        <f t="shared" si="525"/>
        <v>0.42255892255892258</v>
      </c>
      <c r="Y355" s="13">
        <f t="shared" si="526"/>
        <v>0.73529411764705888</v>
      </c>
    </row>
    <row r="356" spans="1:25" ht="14.4">
      <c r="A356" s="98" t="s">
        <v>608</v>
      </c>
      <c r="B356" s="99">
        <v>533581</v>
      </c>
      <c r="C356" s="98" t="s">
        <v>187</v>
      </c>
      <c r="D356" s="101" t="s">
        <v>111</v>
      </c>
      <c r="E356" s="11">
        <f ca="1">IFERROR(__xludf.DUMMYFUNCTION("GOOGLEFINANCE(""BOM:""&amp;B356,""PRICE"")"),452.55)</f>
        <v>452.55</v>
      </c>
      <c r="F356" s="20">
        <f ca="1">IFERROR(__xludf.DUMMYFUNCTION("GOOGLEFINANCE(""BOM:""&amp;B356,""MARKETCAP"")/10000000"),12882.6381653)</f>
        <v>12882.638165300001</v>
      </c>
      <c r="G356" s="95">
        <f t="shared" ca="1" si="541"/>
        <v>3.1975872422682473E-4</v>
      </c>
      <c r="H356" s="101">
        <v>3571</v>
      </c>
      <c r="I356" s="101">
        <v>2959</v>
      </c>
      <c r="J356" s="101">
        <v>129</v>
      </c>
      <c r="K356" s="101">
        <v>144</v>
      </c>
      <c r="L356" s="101">
        <v>1412</v>
      </c>
      <c r="M356" s="101">
        <v>967</v>
      </c>
      <c r="N356" s="101">
        <v>60</v>
      </c>
      <c r="O356" s="101">
        <v>40</v>
      </c>
      <c r="P356" s="13">
        <f t="shared" ref="P356:Q356" si="718">J356/H356</f>
        <v>3.6124334920190425E-2</v>
      </c>
      <c r="Q356" s="13">
        <f t="shared" si="718"/>
        <v>4.8665089557282867E-2</v>
      </c>
      <c r="R356" s="13">
        <f t="shared" si="520"/>
        <v>-1.2540754637092442E-2</v>
      </c>
      <c r="S356" s="13">
        <f t="shared" ref="S356:T356" si="719">N356/L356</f>
        <v>4.2492917847025496E-2</v>
      </c>
      <c r="T356" s="13">
        <f t="shared" si="719"/>
        <v>4.1365046535677352E-2</v>
      </c>
      <c r="U356" s="13">
        <f t="shared" si="522"/>
        <v>1.1278713113481442E-3</v>
      </c>
      <c r="V356" s="13">
        <f t="shared" si="523"/>
        <v>0.20682663061845208</v>
      </c>
      <c r="W356" s="13">
        <f t="shared" si="524"/>
        <v>-0.10416666666666663</v>
      </c>
      <c r="X356" s="13">
        <f t="shared" si="525"/>
        <v>0.4601861427094105</v>
      </c>
      <c r="Y356" s="13">
        <f t="shared" si="526"/>
        <v>0.5</v>
      </c>
    </row>
    <row r="357" spans="1:25" ht="14.4">
      <c r="A357" s="98" t="s">
        <v>609</v>
      </c>
      <c r="B357" s="99">
        <v>542399</v>
      </c>
      <c r="C357" s="98" t="s">
        <v>187</v>
      </c>
      <c r="D357" s="70" t="s">
        <v>78</v>
      </c>
      <c r="E357" s="11">
        <f ca="1">IFERROR(__xludf.DUMMYFUNCTION("GOOGLEFINANCE(""BOM:""&amp;B357,""PRICE"")"),731.65)</f>
        <v>731.65</v>
      </c>
      <c r="F357" s="20">
        <f ca="1">IFERROR(__xludf.DUMMYFUNCTION("GOOGLEFINANCE(""BOM:""&amp;B357,""MARKETCAP"")/10000000"),16010.6508053)</f>
        <v>16010.6508053</v>
      </c>
      <c r="G357" s="95">
        <f t="shared" ca="1" si="541"/>
        <v>3.9739882544661165E-4</v>
      </c>
      <c r="H357" s="101">
        <v>2211</v>
      </c>
      <c r="I357" s="101">
        <v>1195</v>
      </c>
      <c r="J357" s="101">
        <v>482</v>
      </c>
      <c r="K357" s="101">
        <v>18</v>
      </c>
      <c r="L357" s="101">
        <v>581</v>
      </c>
      <c r="M357" s="101">
        <v>457</v>
      </c>
      <c r="N357" s="101">
        <v>124</v>
      </c>
      <c r="O357" s="101">
        <v>96</v>
      </c>
      <c r="P357" s="13">
        <f t="shared" ref="P357:Q357" si="720">J357/H357</f>
        <v>0.21800090456806875</v>
      </c>
      <c r="Q357" s="13">
        <f t="shared" si="720"/>
        <v>1.506276150627615E-2</v>
      </c>
      <c r="R357" s="13">
        <f t="shared" si="520"/>
        <v>0.20293814306179261</v>
      </c>
      <c r="S357" s="13">
        <f t="shared" ref="S357:T357" si="721">N357/L357</f>
        <v>0.21342512908777969</v>
      </c>
      <c r="T357" s="13">
        <f t="shared" si="721"/>
        <v>0.21006564551422319</v>
      </c>
      <c r="U357" s="13">
        <f t="shared" si="522"/>
        <v>3.3594835735565043E-3</v>
      </c>
      <c r="V357" s="13">
        <f t="shared" si="523"/>
        <v>0.85020920502092046</v>
      </c>
      <c r="W357" s="13">
        <f t="shared" si="524"/>
        <v>25.777777777777779</v>
      </c>
      <c r="X357" s="13">
        <f t="shared" si="525"/>
        <v>0.27133479212253819</v>
      </c>
      <c r="Y357" s="13">
        <f t="shared" si="526"/>
        <v>0.29166666666666674</v>
      </c>
    </row>
    <row r="358" spans="1:25" ht="14.4">
      <c r="A358" s="98" t="s">
        <v>610</v>
      </c>
      <c r="B358" s="99">
        <v>524816</v>
      </c>
      <c r="C358" s="98" t="s">
        <v>190</v>
      </c>
      <c r="D358" s="100" t="s">
        <v>100</v>
      </c>
      <c r="E358" s="11">
        <f ca="1">IFERROR(__xludf.DUMMYFUNCTION("GOOGLEFINANCE(""BOM:""&amp;B358,""PRICE"")"),1026.5)</f>
        <v>1026.5</v>
      </c>
      <c r="F358" s="20">
        <f ca="1">IFERROR(__xludf.DUMMYFUNCTION("GOOGLEFINANCE(""BOM:""&amp;B358,""MARKETCAP"")/10000000"),18397.2635442)</f>
        <v>18397.263544199999</v>
      </c>
      <c r="G358" s="95">
        <f t="shared" ca="1" si="541"/>
        <v>4.5663671094973057E-4</v>
      </c>
      <c r="H358" s="101">
        <v>3339</v>
      </c>
      <c r="I358" s="101">
        <v>3208</v>
      </c>
      <c r="J358" s="101">
        <v>1149</v>
      </c>
      <c r="K358" s="101">
        <v>1477</v>
      </c>
      <c r="L358" s="101">
        <v>647</v>
      </c>
      <c r="M358" s="101">
        <v>474</v>
      </c>
      <c r="N358" s="101">
        <v>151</v>
      </c>
      <c r="O358" s="101">
        <v>132</v>
      </c>
      <c r="P358" s="13">
        <f t="shared" ref="P358:Q358" si="722">J358/H358</f>
        <v>0.34411500449236299</v>
      </c>
      <c r="Q358" s="13">
        <f t="shared" si="722"/>
        <v>0.46041147132169574</v>
      </c>
      <c r="R358" s="13">
        <f t="shared" si="520"/>
        <v>-0.11629646682933276</v>
      </c>
      <c r="S358" s="13">
        <f t="shared" ref="S358:T358" si="723">N358/L358</f>
        <v>0.23338485316846985</v>
      </c>
      <c r="T358" s="13">
        <f t="shared" si="723"/>
        <v>0.27848101265822783</v>
      </c>
      <c r="U358" s="13">
        <f t="shared" si="522"/>
        <v>-4.5096159489757981E-2</v>
      </c>
      <c r="V358" s="13">
        <f t="shared" si="523"/>
        <v>4.0835411471321637E-2</v>
      </c>
      <c r="W358" s="13">
        <f t="shared" si="524"/>
        <v>-0.22207176709546372</v>
      </c>
      <c r="X358" s="13">
        <f t="shared" si="525"/>
        <v>0.36497890295358659</v>
      </c>
      <c r="Y358" s="13">
        <f t="shared" si="526"/>
        <v>0.14393939393939403</v>
      </c>
    </row>
    <row r="359" spans="1:25" ht="14.4">
      <c r="A359" s="98" t="s">
        <v>611</v>
      </c>
      <c r="B359" s="99">
        <v>532702</v>
      </c>
      <c r="C359" s="98" t="s">
        <v>91</v>
      </c>
      <c r="D359" s="70" t="s">
        <v>300</v>
      </c>
      <c r="E359" s="11">
        <f ca="1">IFERROR(__xludf.DUMMYFUNCTION("GOOGLEFINANCE(""BOM:""&amp;B359,""PRICE"")"),237.2)</f>
        <v>237.2</v>
      </c>
      <c r="F359" s="20">
        <f ca="1">IFERROR(__xludf.DUMMYFUNCTION("GOOGLEFINANCE(""BOM:""&amp;B359,""MARKETCAP"")/10000000"),13385.3491911)</f>
        <v>13385.3491911</v>
      </c>
      <c r="G359" s="95">
        <f t="shared" ca="1" si="541"/>
        <v>3.322364663012349E-4</v>
      </c>
      <c r="H359" s="101">
        <v>12599</v>
      </c>
      <c r="I359" s="101">
        <v>13590</v>
      </c>
      <c r="J359" s="101">
        <v>1232</v>
      </c>
      <c r="K359" s="101">
        <v>1285</v>
      </c>
      <c r="L359" s="101">
        <v>4091</v>
      </c>
      <c r="M359" s="101">
        <v>4540</v>
      </c>
      <c r="N359" s="101">
        <v>379</v>
      </c>
      <c r="O359" s="101">
        <v>335</v>
      </c>
      <c r="P359" s="13">
        <f t="shared" ref="P359:Q359" si="724">J359/H359</f>
        <v>9.7785538534804345E-2</v>
      </c>
      <c r="Q359" s="13">
        <f t="shared" si="724"/>
        <v>9.4554819720382641E-2</v>
      </c>
      <c r="R359" s="13">
        <f t="shared" si="520"/>
        <v>3.2307188144217042E-3</v>
      </c>
      <c r="S359" s="13">
        <f t="shared" ref="S359:T359" si="725">N359/L359</f>
        <v>9.2642385724761675E-2</v>
      </c>
      <c r="T359" s="13">
        <f t="shared" si="725"/>
        <v>7.3788546255506612E-2</v>
      </c>
      <c r="U359" s="13">
        <f t="shared" si="522"/>
        <v>1.8853839469255063E-2</v>
      </c>
      <c r="V359" s="13">
        <f t="shared" si="523"/>
        <v>-7.2921265636497479E-2</v>
      </c>
      <c r="W359" s="13">
        <f t="shared" si="524"/>
        <v>-4.1245136186770393E-2</v>
      </c>
      <c r="X359" s="13">
        <f t="shared" si="525"/>
        <v>-9.8898678414096941E-2</v>
      </c>
      <c r="Y359" s="13">
        <f t="shared" si="526"/>
        <v>0.13134328358208958</v>
      </c>
    </row>
    <row r="360" spans="1:25" ht="14.4">
      <c r="A360" s="98" t="s">
        <v>612</v>
      </c>
      <c r="B360" s="99">
        <v>513023</v>
      </c>
      <c r="C360" s="98" t="s">
        <v>198</v>
      </c>
      <c r="D360" s="102" t="s">
        <v>199</v>
      </c>
      <c r="E360" s="11">
        <f ca="1">IFERROR(__xludf.DUMMYFUNCTION("GOOGLEFINANCE(""BOM:""&amp;B360,""PRICE"")"),561.25)</f>
        <v>561.25</v>
      </c>
      <c r="F360" s="20">
        <f ca="1">IFERROR(__xludf.DUMMYFUNCTION("GOOGLEFINANCE(""BOM:""&amp;B360,""MARKETCAP"")/10000000"),15900.421731)</f>
        <v>15900.421731</v>
      </c>
      <c r="G360" s="95">
        <f t="shared" ca="1" si="541"/>
        <v>3.9466284018345254E-4</v>
      </c>
      <c r="H360" s="101">
        <v>3148</v>
      </c>
      <c r="I360" s="101">
        <v>2965</v>
      </c>
      <c r="J360" s="101">
        <v>902</v>
      </c>
      <c r="K360" s="101">
        <v>1131</v>
      </c>
      <c r="L360" s="101">
        <v>991</v>
      </c>
      <c r="M360" s="101">
        <v>842</v>
      </c>
      <c r="N360" s="101">
        <v>325</v>
      </c>
      <c r="O360" s="101">
        <v>352</v>
      </c>
      <c r="P360" s="13">
        <f t="shared" ref="P360:Q360" si="726">J360/H360</f>
        <v>0.28653113087674714</v>
      </c>
      <c r="Q360" s="13">
        <f t="shared" si="726"/>
        <v>0.38145025295109614</v>
      </c>
      <c r="R360" s="13">
        <f t="shared" si="520"/>
        <v>-9.4919122074348994E-2</v>
      </c>
      <c r="S360" s="13">
        <f t="shared" ref="S360:T360" si="727">N360/L360</f>
        <v>0.32795156407669024</v>
      </c>
      <c r="T360" s="13">
        <f t="shared" si="727"/>
        <v>0.41805225653206651</v>
      </c>
      <c r="U360" s="13">
        <f t="shared" si="522"/>
        <v>-9.0100692455376274E-2</v>
      </c>
      <c r="V360" s="13">
        <f t="shared" si="523"/>
        <v>6.1720067453625571E-2</v>
      </c>
      <c r="W360" s="13">
        <f t="shared" si="524"/>
        <v>-0.20247568523430592</v>
      </c>
      <c r="X360" s="13">
        <f t="shared" si="525"/>
        <v>0.1769596199524941</v>
      </c>
      <c r="Y360" s="13">
        <f t="shared" si="526"/>
        <v>-7.6704545454545414E-2</v>
      </c>
    </row>
    <row r="361" spans="1:25" ht="14.4">
      <c r="A361" s="98" t="s">
        <v>613</v>
      </c>
      <c r="B361" s="99">
        <v>532929</v>
      </c>
      <c r="C361" s="98" t="s">
        <v>187</v>
      </c>
      <c r="D361" s="102" t="s">
        <v>131</v>
      </c>
      <c r="E361" s="11">
        <f ca="1">IFERROR(__xludf.DUMMYFUNCTION("GOOGLEFINANCE(""BOM:""&amp;B361,""PRICE"")"),690.1)</f>
        <v>690.1</v>
      </c>
      <c r="F361" s="20">
        <f ca="1">IFERROR(__xludf.DUMMYFUNCTION("GOOGLEFINANCE(""BOM:""&amp;B361,""MARKETCAP"")/10000000"),16842.7009268)</f>
        <v>16842.7009268</v>
      </c>
      <c r="G361" s="95">
        <f t="shared" ca="1" si="541"/>
        <v>4.1805106157478662E-4</v>
      </c>
      <c r="H361" s="101">
        <v>4239</v>
      </c>
      <c r="I361" s="101">
        <v>3613</v>
      </c>
      <c r="J361" s="101">
        <v>534</v>
      </c>
      <c r="K361" s="101">
        <v>431</v>
      </c>
      <c r="L361" s="101">
        <v>1575</v>
      </c>
      <c r="M361" s="101">
        <v>1463</v>
      </c>
      <c r="N361" s="101">
        <v>205</v>
      </c>
      <c r="O361" s="101">
        <v>235</v>
      </c>
      <c r="P361" s="13">
        <f t="shared" ref="P361:Q361" si="728">J361/H361</f>
        <v>0.1259731068648266</v>
      </c>
      <c r="Q361" s="13">
        <f t="shared" si="728"/>
        <v>0.11929144755051203</v>
      </c>
      <c r="R361" s="13">
        <f t="shared" si="520"/>
        <v>6.6816593143145669E-3</v>
      </c>
      <c r="S361" s="13">
        <f t="shared" ref="S361:T361" si="729">N361/L361</f>
        <v>0.13015873015873017</v>
      </c>
      <c r="T361" s="13">
        <f t="shared" si="729"/>
        <v>0.16062884483937115</v>
      </c>
      <c r="U361" s="13">
        <f t="shared" si="522"/>
        <v>-3.0470114680640981E-2</v>
      </c>
      <c r="V361" s="13">
        <f t="shared" si="523"/>
        <v>0.17326321616385276</v>
      </c>
      <c r="W361" s="13">
        <f t="shared" si="524"/>
        <v>0.23897911832946628</v>
      </c>
      <c r="X361" s="13">
        <f t="shared" si="525"/>
        <v>7.6555023923444931E-2</v>
      </c>
      <c r="Y361" s="13">
        <f t="shared" si="526"/>
        <v>-0.12765957446808507</v>
      </c>
    </row>
    <row r="362" spans="1:25" ht="14.4">
      <c r="A362" s="98" t="s">
        <v>614</v>
      </c>
      <c r="B362" s="99">
        <v>524558</v>
      </c>
      <c r="C362" s="98" t="s">
        <v>190</v>
      </c>
      <c r="D362" s="109" t="s">
        <v>100</v>
      </c>
      <c r="E362" s="11">
        <f ca="1">IFERROR(__xludf.DUMMYFUNCTION("GOOGLEFINANCE(""BOM:""&amp;B362,""PRICE"")"),13147)</f>
        <v>13147</v>
      </c>
      <c r="F362" s="20">
        <f ca="1">IFERROR(__xludf.DUMMYFUNCTION("GOOGLEFINANCE(""BOM:""&amp;B362,""MARKETCAP"")/10000000"),16858.910833)</f>
        <v>16858.910833000002</v>
      </c>
      <c r="G362" s="95">
        <f t="shared" ca="1" si="541"/>
        <v>4.1845340609924207E-4</v>
      </c>
      <c r="H362" s="101">
        <v>1246</v>
      </c>
      <c r="I362" s="101">
        <v>1148</v>
      </c>
      <c r="J362" s="101">
        <v>151</v>
      </c>
      <c r="K362" s="101">
        <v>232</v>
      </c>
      <c r="L362" s="101">
        <v>439</v>
      </c>
      <c r="M362" s="101">
        <v>398</v>
      </c>
      <c r="N362" s="101">
        <v>40</v>
      </c>
      <c r="O362" s="101">
        <v>101</v>
      </c>
      <c r="P362" s="13">
        <f t="shared" ref="P362:Q362" si="730">J362/H362</f>
        <v>0.12118780096308186</v>
      </c>
      <c r="Q362" s="13">
        <f t="shared" si="730"/>
        <v>0.20209059233449478</v>
      </c>
      <c r="R362" s="13">
        <f t="shared" si="520"/>
        <v>-8.0902791371412916E-2</v>
      </c>
      <c r="S362" s="13">
        <f t="shared" ref="S362:T362" si="731">N362/L362</f>
        <v>9.1116173120728935E-2</v>
      </c>
      <c r="T362" s="13">
        <f t="shared" si="731"/>
        <v>0.25376884422110552</v>
      </c>
      <c r="U362" s="13">
        <f t="shared" si="522"/>
        <v>-0.16265267110037657</v>
      </c>
      <c r="V362" s="13">
        <f t="shared" si="523"/>
        <v>8.5365853658536661E-2</v>
      </c>
      <c r="W362" s="13">
        <f t="shared" si="524"/>
        <v>-0.34913793103448276</v>
      </c>
      <c r="X362" s="13">
        <f t="shared" si="525"/>
        <v>0.10301507537688437</v>
      </c>
      <c r="Y362" s="13">
        <f t="shared" si="526"/>
        <v>-0.60396039603960394</v>
      </c>
    </row>
    <row r="363" spans="1:25" ht="14.4">
      <c r="A363" s="98" t="s">
        <v>615</v>
      </c>
      <c r="B363" s="99">
        <v>520111</v>
      </c>
      <c r="C363" s="98" t="s">
        <v>180</v>
      </c>
      <c r="D363" s="102" t="s">
        <v>384</v>
      </c>
      <c r="E363" s="11">
        <f ca="1">IFERROR(__xludf.DUMMYFUNCTION("GOOGLEFINANCE(""BOM:""&amp;B363,""PRICE"")"),2223)</f>
        <v>2223</v>
      </c>
      <c r="F363" s="20">
        <f ca="1">IFERROR(__xludf.DUMMYFUNCTION("GOOGLEFINANCE(""BOM:""&amp;B363,""MARKETCAP"")/10000000"),15594.7683955)</f>
        <v>15594.768395499999</v>
      </c>
      <c r="G363" s="95">
        <f t="shared" ca="1" si="541"/>
        <v>3.8707624810804917E-4</v>
      </c>
      <c r="H363" s="101">
        <v>3409</v>
      </c>
      <c r="I363" s="101">
        <v>3471</v>
      </c>
      <c r="J363" s="101">
        <v>418</v>
      </c>
      <c r="K363" s="101">
        <v>338</v>
      </c>
      <c r="L363" s="101">
        <v>1065</v>
      </c>
      <c r="M363" s="101">
        <v>1316</v>
      </c>
      <c r="N363" s="101">
        <v>135</v>
      </c>
      <c r="O363" s="101">
        <v>133</v>
      </c>
      <c r="P363" s="13">
        <f t="shared" ref="P363:Q363" si="732">J363/H363</f>
        <v>0.12261660310941624</v>
      </c>
      <c r="Q363" s="13">
        <f t="shared" si="732"/>
        <v>9.7378277153558054E-2</v>
      </c>
      <c r="R363" s="13">
        <f t="shared" si="520"/>
        <v>2.523832595585819E-2</v>
      </c>
      <c r="S363" s="13">
        <f t="shared" ref="S363:T363" si="733">N363/L363</f>
        <v>0.12676056338028169</v>
      </c>
      <c r="T363" s="13">
        <f t="shared" si="733"/>
        <v>0.10106382978723404</v>
      </c>
      <c r="U363" s="13">
        <f t="shared" si="522"/>
        <v>2.5696733593047652E-2</v>
      </c>
      <c r="V363" s="13">
        <f t="shared" si="523"/>
        <v>-1.7862287525208909E-2</v>
      </c>
      <c r="W363" s="13">
        <f t="shared" si="524"/>
        <v>0.23668639053254448</v>
      </c>
      <c r="X363" s="13">
        <f t="shared" si="525"/>
        <v>-0.19072948328267481</v>
      </c>
      <c r="Y363" s="13">
        <f t="shared" si="526"/>
        <v>1.5037593984962516E-2</v>
      </c>
    </row>
    <row r="364" spans="1:25" ht="14.4">
      <c r="A364" s="98" t="s">
        <v>616</v>
      </c>
      <c r="B364" s="99">
        <v>544405</v>
      </c>
      <c r="C364" s="98" t="s">
        <v>187</v>
      </c>
      <c r="D364" s="70" t="s">
        <v>312</v>
      </c>
      <c r="E364" s="11">
        <f ca="1">IFERROR(__xludf.DUMMYFUNCTION("GOOGLEFINANCE(""BOM:""&amp;B364,""PRICE"")"),192.05)</f>
        <v>192.05</v>
      </c>
      <c r="F364" s="20">
        <f ca="1">IFERROR(__xludf.DUMMYFUNCTION("GOOGLEFINANCE(""BOM:""&amp;B364,""MARKETCAP"")/10000000"),17086.5738705)</f>
        <v>17086.5738705</v>
      </c>
      <c r="G364" s="95">
        <f t="shared" ca="1" si="541"/>
        <v>4.2410420848075161E-4</v>
      </c>
      <c r="H364" s="101">
        <v>6956</v>
      </c>
      <c r="I364" s="101">
        <v>6016</v>
      </c>
      <c r="J364" s="101">
        <v>366</v>
      </c>
      <c r="K364" s="101">
        <v>245</v>
      </c>
      <c r="L364" s="101">
        <v>2340</v>
      </c>
      <c r="M364" s="101">
        <v>2166</v>
      </c>
      <c r="N364" s="101">
        <v>121</v>
      </c>
      <c r="O364" s="101">
        <v>100</v>
      </c>
      <c r="P364" s="13">
        <f t="shared" ref="P364:Q364" si="734">J364/H364</f>
        <v>5.2616446233467513E-2</v>
      </c>
      <c r="Q364" s="13">
        <f t="shared" si="734"/>
        <v>4.0724734042553189E-2</v>
      </c>
      <c r="R364" s="13">
        <f t="shared" si="520"/>
        <v>1.1891712190914325E-2</v>
      </c>
      <c r="S364" s="13">
        <f t="shared" ref="S364:T364" si="735">N364/L364</f>
        <v>5.1709401709401706E-2</v>
      </c>
      <c r="T364" s="13">
        <f t="shared" si="735"/>
        <v>4.6168051708217916E-2</v>
      </c>
      <c r="U364" s="13">
        <f t="shared" si="522"/>
        <v>5.5413500011837896E-3</v>
      </c>
      <c r="V364" s="13">
        <f t="shared" si="523"/>
        <v>0.15625</v>
      </c>
      <c r="W364" s="13">
        <f t="shared" si="524"/>
        <v>0.49387755102040809</v>
      </c>
      <c r="X364" s="13">
        <f t="shared" si="525"/>
        <v>8.0332409972299068E-2</v>
      </c>
      <c r="Y364" s="13">
        <f t="shared" si="526"/>
        <v>0.20999999999999996</v>
      </c>
    </row>
    <row r="365" spans="1:25" ht="14.4">
      <c r="A365" s="98" t="s">
        <v>617</v>
      </c>
      <c r="B365" s="99">
        <v>539268</v>
      </c>
      <c r="C365" s="98" t="s">
        <v>190</v>
      </c>
      <c r="D365" s="101" t="s">
        <v>618</v>
      </c>
      <c r="E365" s="11">
        <f ca="1">IFERROR(__xludf.DUMMYFUNCTION("GOOGLEFINANCE(""BOM:""&amp;B365,""PRICE"")"),398.75)</f>
        <v>398.75</v>
      </c>
      <c r="F365" s="20">
        <f ca="1">IFERROR(__xludf.DUMMYFUNCTION("GOOGLEFINANCE(""BOM:""&amp;B365,""MARKETCAP"")/10000000"),16007.7969769)</f>
        <v>16007.796976899999</v>
      </c>
      <c r="G365" s="95">
        <f t="shared" ca="1" si="541"/>
        <v>3.9732799084607115E-4</v>
      </c>
      <c r="H365" s="101">
        <v>2702</v>
      </c>
      <c r="I365" s="101">
        <v>2624</v>
      </c>
      <c r="J365" s="101">
        <v>168</v>
      </c>
      <c r="K365" s="101">
        <v>312</v>
      </c>
      <c r="L365" s="101">
        <v>917</v>
      </c>
      <c r="M365" s="101">
        <v>943</v>
      </c>
      <c r="N365" s="101">
        <v>15</v>
      </c>
      <c r="O365" s="101">
        <v>131</v>
      </c>
      <c r="P365" s="13">
        <f t="shared" ref="P365:Q365" si="736">J365/H365</f>
        <v>6.2176165803108807E-2</v>
      </c>
      <c r="Q365" s="13">
        <f t="shared" si="736"/>
        <v>0.11890243902439024</v>
      </c>
      <c r="R365" s="13">
        <f t="shared" si="520"/>
        <v>-5.6726273221281431E-2</v>
      </c>
      <c r="S365" s="13">
        <f t="shared" ref="S365:T365" si="737">N365/L365</f>
        <v>1.6357688113413305E-2</v>
      </c>
      <c r="T365" s="13">
        <f t="shared" si="737"/>
        <v>0.13891834570519618</v>
      </c>
      <c r="U365" s="13">
        <f t="shared" si="522"/>
        <v>-0.12256065759178288</v>
      </c>
      <c r="V365" s="13">
        <f t="shared" si="523"/>
        <v>2.9725609756097615E-2</v>
      </c>
      <c r="W365" s="13">
        <f t="shared" si="524"/>
        <v>-0.46153846153846156</v>
      </c>
      <c r="X365" s="13">
        <f t="shared" si="525"/>
        <v>-2.7571580063626699E-2</v>
      </c>
      <c r="Y365" s="13">
        <f t="shared" si="526"/>
        <v>-0.8854961832061069</v>
      </c>
    </row>
    <row r="366" spans="1:25" ht="14.4">
      <c r="A366" s="98" t="s">
        <v>619</v>
      </c>
      <c r="B366" s="99">
        <v>544321</v>
      </c>
      <c r="C366" s="98" t="s">
        <v>187</v>
      </c>
      <c r="D366" s="101" t="s">
        <v>78</v>
      </c>
      <c r="E366" s="11">
        <f ca="1">IFERROR(__xludf.DUMMYFUNCTION("GOOGLEFINANCE(""BOM:""&amp;B366,""PRICE"")"),567.3)</f>
        <v>567.29999999999995</v>
      </c>
      <c r="F366" s="20">
        <f ca="1">IFERROR(__xludf.DUMMYFUNCTION("GOOGLEFINANCE(""BOM:""&amp;B366,""MARKETCAP"")/10000000"),13273.3362658)</f>
        <v>13273.336265800001</v>
      </c>
      <c r="G366" s="95">
        <f t="shared" ca="1" si="541"/>
        <v>3.2945620424378481E-4</v>
      </c>
      <c r="H366" s="101">
        <v>1682</v>
      </c>
      <c r="I366" s="101">
        <v>906</v>
      </c>
      <c r="J366" s="101">
        <v>242</v>
      </c>
      <c r="K366" s="101">
        <v>13</v>
      </c>
      <c r="L366" s="101">
        <v>685</v>
      </c>
      <c r="M366" s="101">
        <v>533</v>
      </c>
      <c r="N366" s="101">
        <v>140</v>
      </c>
      <c r="O366" s="101">
        <v>34</v>
      </c>
      <c r="P366" s="13">
        <f t="shared" ref="P366:Q366" si="738">J366/H366</f>
        <v>0.14387633769322236</v>
      </c>
      <c r="Q366" s="13">
        <f t="shared" si="738"/>
        <v>1.434878587196468E-2</v>
      </c>
      <c r="R366" s="13">
        <f t="shared" si="520"/>
        <v>0.12952755182125769</v>
      </c>
      <c r="S366" s="13">
        <f t="shared" ref="S366:T366" si="739">N366/L366</f>
        <v>0.20437956204379562</v>
      </c>
      <c r="T366" s="13">
        <f t="shared" si="739"/>
        <v>6.3789868667917443E-2</v>
      </c>
      <c r="U366" s="13">
        <f t="shared" si="522"/>
        <v>0.14058969337587818</v>
      </c>
      <c r="V366" s="13">
        <f t="shared" si="523"/>
        <v>0.85651214128035313</v>
      </c>
      <c r="W366" s="13">
        <f t="shared" si="524"/>
        <v>17.615384615384617</v>
      </c>
      <c r="X366" s="13">
        <f t="shared" si="525"/>
        <v>0.28517823639774864</v>
      </c>
      <c r="Y366" s="13">
        <f t="shared" si="526"/>
        <v>3.117647058823529</v>
      </c>
    </row>
    <row r="367" spans="1:25" ht="14.4">
      <c r="A367" s="104" t="s">
        <v>620</v>
      </c>
      <c r="B367" s="99">
        <v>544480</v>
      </c>
      <c r="C367" s="102" t="s">
        <v>196</v>
      </c>
      <c r="D367" s="100" t="s">
        <v>109</v>
      </c>
      <c r="E367" s="11">
        <f ca="1">IFERROR(__xludf.DUMMYFUNCTION("GOOGLEFINANCE(""BOM:""&amp;B367,""PRICE"")"),118.25)</f>
        <v>118.25</v>
      </c>
      <c r="F367" s="20">
        <f ca="1">IFERROR(__xludf.DUMMYFUNCTION("GOOGLEFINANCE(""BOM:""&amp;B367,""MARKETCAP"")/10000000"),15813.9249682)</f>
        <v>15813.924968200001</v>
      </c>
      <c r="G367" s="95">
        <f t="shared" ca="1" si="541"/>
        <v>3.9251591234399985E-4</v>
      </c>
      <c r="H367" s="101">
        <v>4618</v>
      </c>
      <c r="I367" s="101">
        <v>4104</v>
      </c>
      <c r="J367" s="101">
        <v>-1160</v>
      </c>
      <c r="K367" s="101">
        <v>-180</v>
      </c>
      <c r="L367" s="101">
        <v>1621</v>
      </c>
      <c r="M367" s="101">
        <v>1433</v>
      </c>
      <c r="N367" s="101">
        <v>131</v>
      </c>
      <c r="O367" s="101">
        <v>-80</v>
      </c>
      <c r="P367" s="13">
        <f t="shared" ref="P367:Q367" si="740">J367/H367</f>
        <v>-0.25119099177132959</v>
      </c>
      <c r="Q367" s="13">
        <f t="shared" si="740"/>
        <v>-4.3859649122807015E-2</v>
      </c>
      <c r="R367" s="13">
        <f t="shared" si="520"/>
        <v>-0.20733134264852257</v>
      </c>
      <c r="S367" s="13">
        <f t="shared" ref="S367:T367" si="741">N367/L367</f>
        <v>8.0814312152991979E-2</v>
      </c>
      <c r="T367" s="13">
        <f t="shared" si="741"/>
        <v>-5.5826936496859735E-2</v>
      </c>
      <c r="U367" s="13">
        <f t="shared" si="522"/>
        <v>0.13664124864985172</v>
      </c>
      <c r="V367" s="13">
        <f t="shared" si="523"/>
        <v>0.12524366471734893</v>
      </c>
      <c r="W367" s="13">
        <f t="shared" si="524"/>
        <v>5.4444444444444446</v>
      </c>
      <c r="X367" s="13">
        <f t="shared" si="525"/>
        <v>0.13119330076762048</v>
      </c>
      <c r="Y367" s="13">
        <f t="shared" si="526"/>
        <v>-2.6375000000000002</v>
      </c>
    </row>
    <row r="368" spans="1:25" ht="14.4">
      <c r="A368" s="98" t="s">
        <v>621</v>
      </c>
      <c r="B368" s="99">
        <v>522074</v>
      </c>
      <c r="C368" s="98" t="s">
        <v>180</v>
      </c>
      <c r="D368" s="102" t="s">
        <v>264</v>
      </c>
      <c r="E368" s="11">
        <f ca="1">IFERROR(__xludf.DUMMYFUNCTION("GOOGLEFINANCE(""BOM:""&amp;B368,""PRICE"")"),478)</f>
        <v>478</v>
      </c>
      <c r="F368" s="20">
        <f ca="1">IFERROR(__xludf.DUMMYFUNCTION("GOOGLEFINANCE(""BOM:""&amp;B368,""MARKETCAP"")/10000000"),15101.1499154)</f>
        <v>15101.149915399999</v>
      </c>
      <c r="G368" s="95">
        <f t="shared" ca="1" si="541"/>
        <v>3.7482419123691026E-4</v>
      </c>
      <c r="H368" s="101">
        <v>2838</v>
      </c>
      <c r="I368" s="101">
        <v>2517</v>
      </c>
      <c r="J368" s="101">
        <v>302</v>
      </c>
      <c r="K368" s="101">
        <v>248</v>
      </c>
      <c r="L368" s="101">
        <v>1003</v>
      </c>
      <c r="M368" s="101">
        <v>847</v>
      </c>
      <c r="N368" s="101">
        <v>95</v>
      </c>
      <c r="O368" s="101">
        <v>80</v>
      </c>
      <c r="P368" s="13">
        <f t="shared" ref="P368:Q368" si="742">J368/H368</f>
        <v>0.10641296687808316</v>
      </c>
      <c r="Q368" s="13">
        <f t="shared" si="742"/>
        <v>9.8529996027016287E-2</v>
      </c>
      <c r="R368" s="13">
        <f t="shared" si="520"/>
        <v>7.8829708510668728E-3</v>
      </c>
      <c r="S368" s="13">
        <f t="shared" ref="S368:T368" si="743">N368/L368</f>
        <v>9.4715852442671986E-2</v>
      </c>
      <c r="T368" s="13">
        <f t="shared" si="743"/>
        <v>9.4451003541912631E-2</v>
      </c>
      <c r="U368" s="13">
        <f t="shared" si="522"/>
        <v>2.6484890075935408E-4</v>
      </c>
      <c r="V368" s="13">
        <f t="shared" si="523"/>
        <v>0.12753277711561384</v>
      </c>
      <c r="W368" s="13">
        <f t="shared" si="524"/>
        <v>0.217741935483871</v>
      </c>
      <c r="X368" s="13">
        <f t="shared" si="525"/>
        <v>0.18417945690672965</v>
      </c>
      <c r="Y368" s="13">
        <f t="shared" si="526"/>
        <v>0.1875</v>
      </c>
    </row>
    <row r="369" spans="1:25" ht="14.4">
      <c r="A369" s="98" t="s">
        <v>622</v>
      </c>
      <c r="B369" s="99">
        <v>539876</v>
      </c>
      <c r="C369" s="98" t="s">
        <v>187</v>
      </c>
      <c r="D369" s="100" t="s">
        <v>93</v>
      </c>
      <c r="E369" s="11">
        <f ca="1">IFERROR(__xludf.DUMMYFUNCTION("GOOGLEFINANCE(""BOM:""&amp;B369,""PRICE"")"),233.2)</f>
        <v>233.2</v>
      </c>
      <c r="F369" s="20">
        <f ca="1">IFERROR(__xludf.DUMMYFUNCTION("GOOGLEFINANCE(""BOM:""&amp;B369,""MARKETCAP"")/10000000"),15020.6008147)</f>
        <v>15020.600814699999</v>
      </c>
      <c r="G369" s="95">
        <f t="shared" ca="1" si="541"/>
        <v>3.7282488974703176E-4</v>
      </c>
      <c r="H369" s="101">
        <v>5812</v>
      </c>
      <c r="I369" s="101">
        <v>5803</v>
      </c>
      <c r="J369" s="101">
        <v>300</v>
      </c>
      <c r="K369" s="101">
        <v>392</v>
      </c>
      <c r="L369" s="101">
        <v>1898</v>
      </c>
      <c r="M369" s="101">
        <v>1769</v>
      </c>
      <c r="N369" s="101">
        <v>101</v>
      </c>
      <c r="O369" s="101">
        <v>112</v>
      </c>
      <c r="P369" s="13">
        <f t="shared" ref="P369:Q369" si="744">J369/H369</f>
        <v>5.1617343427391604E-2</v>
      </c>
      <c r="Q369" s="13">
        <f t="shared" si="744"/>
        <v>6.7551266586248493E-2</v>
      </c>
      <c r="R369" s="13">
        <f t="shared" si="520"/>
        <v>-1.5933923158856889E-2</v>
      </c>
      <c r="S369" s="13">
        <f t="shared" ref="S369:T369" si="745">N369/L369</f>
        <v>5.3213909378292942E-2</v>
      </c>
      <c r="T369" s="13">
        <f t="shared" si="745"/>
        <v>6.3312605992085921E-2</v>
      </c>
      <c r="U369" s="13">
        <f t="shared" si="522"/>
        <v>-1.0098696613792979E-2</v>
      </c>
      <c r="V369" s="13">
        <f t="shared" si="523"/>
        <v>1.5509219369291838E-3</v>
      </c>
      <c r="W369" s="13">
        <f t="shared" si="524"/>
        <v>-0.23469387755102045</v>
      </c>
      <c r="X369" s="13">
        <f t="shared" si="525"/>
        <v>7.2922555115884746E-2</v>
      </c>
      <c r="Y369" s="13">
        <f t="shared" si="526"/>
        <v>-9.8214285714285698E-2</v>
      </c>
    </row>
    <row r="370" spans="1:25" ht="14.4">
      <c r="A370" s="98" t="s">
        <v>623</v>
      </c>
      <c r="B370" s="99">
        <v>532548</v>
      </c>
      <c r="C370" s="98" t="s">
        <v>187</v>
      </c>
      <c r="D370" s="100" t="s">
        <v>624</v>
      </c>
      <c r="E370" s="11">
        <f ca="1">IFERROR(__xludf.DUMMYFUNCTION("GOOGLEFINANCE(""BOM:""&amp;B370,""PRICE"")"),718.25)</f>
        <v>718.25</v>
      </c>
      <c r="F370" s="20">
        <f ca="1">IFERROR(__xludf.DUMMYFUNCTION("GOOGLEFINANCE(""BOM:""&amp;B370,""MARKETCAP"")/10000000"),15962.0122717)</f>
        <v>15962.012271699999</v>
      </c>
      <c r="G370" s="95">
        <f t="shared" ca="1" si="541"/>
        <v>3.9619157307697731E-4</v>
      </c>
      <c r="H370" s="101">
        <v>3904</v>
      </c>
      <c r="I370" s="101">
        <v>3329</v>
      </c>
      <c r="J370" s="101">
        <v>188</v>
      </c>
      <c r="K370" s="101">
        <v>132</v>
      </c>
      <c r="L370" s="101">
        <v>1350</v>
      </c>
      <c r="M370" s="101">
        <v>1140</v>
      </c>
      <c r="N370" s="101">
        <v>65</v>
      </c>
      <c r="O370" s="101">
        <v>58</v>
      </c>
      <c r="P370" s="13">
        <f t="shared" ref="P370:Q370" si="746">J370/H370</f>
        <v>4.8155737704918031E-2</v>
      </c>
      <c r="Q370" s="13">
        <f t="shared" si="746"/>
        <v>3.9651547011114452E-2</v>
      </c>
      <c r="R370" s="13">
        <f t="shared" si="520"/>
        <v>8.5041906938035788E-3</v>
      </c>
      <c r="S370" s="13">
        <f t="shared" ref="S370:T370" si="747">N370/L370</f>
        <v>4.8148148148148148E-2</v>
      </c>
      <c r="T370" s="13">
        <f t="shared" si="747"/>
        <v>5.0877192982456139E-2</v>
      </c>
      <c r="U370" s="13">
        <f t="shared" si="522"/>
        <v>-2.7290448343079907E-3</v>
      </c>
      <c r="V370" s="13">
        <f t="shared" si="523"/>
        <v>0.17272454190447584</v>
      </c>
      <c r="W370" s="13">
        <f t="shared" si="524"/>
        <v>0.42424242424242431</v>
      </c>
      <c r="X370" s="13">
        <f t="shared" si="525"/>
        <v>0.18421052631578938</v>
      </c>
      <c r="Y370" s="13">
        <f t="shared" si="526"/>
        <v>0.1206896551724137</v>
      </c>
    </row>
    <row r="371" spans="1:25" ht="14.4">
      <c r="A371" s="98" t="s">
        <v>625</v>
      </c>
      <c r="B371" s="99">
        <v>543232</v>
      </c>
      <c r="C371" s="98" t="s">
        <v>172</v>
      </c>
      <c r="D371" s="102" t="s">
        <v>626</v>
      </c>
      <c r="E371" s="11">
        <f ca="1">IFERROR(__xludf.DUMMYFUNCTION("GOOGLEFINANCE(""BOM:""&amp;B371,""PRICE"")"),667.3)</f>
        <v>667.3</v>
      </c>
      <c r="F371" s="20">
        <f ca="1">IFERROR(__xludf.DUMMYFUNCTION("GOOGLEFINANCE(""BOM:""&amp;B371,""MARKETCAP"")/10000000"),16539.3265302)</f>
        <v>16539.3265302</v>
      </c>
      <c r="G371" s="95">
        <f t="shared" ca="1" si="541"/>
        <v>4.105210348228756E-4</v>
      </c>
      <c r="H371" s="101">
        <v>1159</v>
      </c>
      <c r="I371" s="101">
        <v>1105</v>
      </c>
      <c r="J371" s="101">
        <v>346</v>
      </c>
      <c r="K371" s="101">
        <v>351</v>
      </c>
      <c r="L371" s="101">
        <v>403</v>
      </c>
      <c r="M371" s="101">
        <v>384</v>
      </c>
      <c r="N371" s="101">
        <v>124</v>
      </c>
      <c r="O371" s="101">
        <v>124</v>
      </c>
      <c r="P371" s="13">
        <f t="shared" ref="P371:Q371" si="748">J371/H371</f>
        <v>0.29853321829163071</v>
      </c>
      <c r="Q371" s="13">
        <f t="shared" si="748"/>
        <v>0.31764705882352939</v>
      </c>
      <c r="R371" s="13">
        <f t="shared" si="520"/>
        <v>-1.9113840531898685E-2</v>
      </c>
      <c r="S371" s="13">
        <f t="shared" ref="S371:T371" si="749">N371/L371</f>
        <v>0.30769230769230771</v>
      </c>
      <c r="T371" s="13">
        <f t="shared" si="749"/>
        <v>0.32291666666666669</v>
      </c>
      <c r="U371" s="13">
        <f t="shared" si="522"/>
        <v>-1.5224358974358976E-2</v>
      </c>
      <c r="V371" s="13">
        <f t="shared" si="523"/>
        <v>4.8868778280543035E-2</v>
      </c>
      <c r="W371" s="13">
        <f t="shared" si="524"/>
        <v>-1.4245014245014231E-2</v>
      </c>
      <c r="X371" s="13">
        <f t="shared" si="525"/>
        <v>4.9479166666666741E-2</v>
      </c>
      <c r="Y371" s="13">
        <f t="shared" si="526"/>
        <v>0</v>
      </c>
    </row>
    <row r="372" spans="1:25" ht="14.4">
      <c r="A372" s="98" t="s">
        <v>627</v>
      </c>
      <c r="B372" s="99">
        <v>543720</v>
      </c>
      <c r="C372" s="98" t="s">
        <v>172</v>
      </c>
      <c r="D372" s="109" t="s">
        <v>626</v>
      </c>
      <c r="E372" s="11">
        <f ca="1">IFERROR(__xludf.DUMMYFUNCTION("GOOGLEFINANCE(""BOM:""&amp;B372,""PRICE"")"),917.1)</f>
        <v>917.1</v>
      </c>
      <c r="F372" s="20">
        <f ca="1">IFERROR(__xludf.DUMMYFUNCTION("GOOGLEFINANCE(""BOM:""&amp;B372,""MARKETCAP"")/10000000"),15822.1756187)</f>
        <v>15822.175618699999</v>
      </c>
      <c r="G372" s="95">
        <f t="shared" ca="1" si="541"/>
        <v>3.9272070094739534E-4</v>
      </c>
      <c r="H372" s="101">
        <v>981</v>
      </c>
      <c r="I372" s="101">
        <v>835</v>
      </c>
      <c r="J372" s="101">
        <v>262</v>
      </c>
      <c r="K372" s="101">
        <v>247</v>
      </c>
      <c r="L372" s="101">
        <v>377</v>
      </c>
      <c r="M372" s="101">
        <v>299</v>
      </c>
      <c r="N372" s="101">
        <v>91</v>
      </c>
      <c r="O372" s="101">
        <v>90</v>
      </c>
      <c r="P372" s="13">
        <f t="shared" ref="P372:Q372" si="750">J372/H372</f>
        <v>0.26707441386340469</v>
      </c>
      <c r="Q372" s="13">
        <f t="shared" si="750"/>
        <v>0.29580838323353292</v>
      </c>
      <c r="R372" s="13">
        <f t="shared" si="520"/>
        <v>-2.8733969370128232E-2</v>
      </c>
      <c r="S372" s="13">
        <f t="shared" ref="S372:T372" si="751">N372/L372</f>
        <v>0.2413793103448276</v>
      </c>
      <c r="T372" s="13">
        <f t="shared" si="751"/>
        <v>0.30100334448160537</v>
      </c>
      <c r="U372" s="13">
        <f t="shared" si="522"/>
        <v>-5.9624034136777776E-2</v>
      </c>
      <c r="V372" s="13">
        <f t="shared" si="523"/>
        <v>0.17485029940119756</v>
      </c>
      <c r="W372" s="13">
        <f t="shared" si="524"/>
        <v>6.0728744939271273E-2</v>
      </c>
      <c r="X372" s="13">
        <f t="shared" si="525"/>
        <v>0.26086956521739135</v>
      </c>
      <c r="Y372" s="13">
        <f t="shared" si="526"/>
        <v>1.1111111111111072E-2</v>
      </c>
    </row>
    <row r="373" spans="1:25" ht="14.4">
      <c r="A373" s="98" t="s">
        <v>628</v>
      </c>
      <c r="B373" s="99">
        <v>543653</v>
      </c>
      <c r="C373" s="98" t="s">
        <v>183</v>
      </c>
      <c r="D373" s="101" t="s">
        <v>105</v>
      </c>
      <c r="E373" s="11">
        <f ca="1">IFERROR(__xludf.DUMMYFUNCTION("GOOGLEFINANCE(""BOM:""&amp;B373,""PRICE"")"),631.2)</f>
        <v>631.20000000000005</v>
      </c>
      <c r="F373" s="20">
        <f ca="1">IFERROR(__xludf.DUMMYFUNCTION("GOOGLEFINANCE(""BOM:""&amp;B373,""MARKETCAP"")/10000000"),15791.3718679)</f>
        <v>15791.371867899999</v>
      </c>
      <c r="G373" s="95">
        <f t="shared" ca="1" si="541"/>
        <v>3.9195612400819819E-4</v>
      </c>
      <c r="H373" s="101">
        <v>2272</v>
      </c>
      <c r="I373" s="101">
        <v>2005</v>
      </c>
      <c r="J373" s="101">
        <v>198</v>
      </c>
      <c r="K373" s="101">
        <v>154</v>
      </c>
      <c r="L373" s="101">
        <v>790</v>
      </c>
      <c r="M373" s="101">
        <v>713</v>
      </c>
      <c r="N373" s="101">
        <v>62</v>
      </c>
      <c r="O373" s="101">
        <v>27</v>
      </c>
      <c r="P373" s="13">
        <f t="shared" ref="P373:Q373" si="752">J373/H373</f>
        <v>8.7147887323943657E-2</v>
      </c>
      <c r="Q373" s="13">
        <f t="shared" si="752"/>
        <v>7.680798004987531E-2</v>
      </c>
      <c r="R373" s="13">
        <f t="shared" si="520"/>
        <v>1.0339907274068347E-2</v>
      </c>
      <c r="S373" s="13">
        <f t="shared" ref="S373:T373" si="753">N373/L373</f>
        <v>7.848101265822785E-2</v>
      </c>
      <c r="T373" s="13">
        <f t="shared" si="753"/>
        <v>3.7868162692847124E-2</v>
      </c>
      <c r="U373" s="13">
        <f t="shared" si="522"/>
        <v>4.0612849965380726E-2</v>
      </c>
      <c r="V373" s="13">
        <f t="shared" si="523"/>
        <v>0.13316708229426433</v>
      </c>
      <c r="W373" s="13">
        <f t="shared" si="524"/>
        <v>0.28571428571428581</v>
      </c>
      <c r="X373" s="13">
        <f t="shared" si="525"/>
        <v>0.1079943899018232</v>
      </c>
      <c r="Y373" s="13">
        <f t="shared" si="526"/>
        <v>1.2962962962962963</v>
      </c>
    </row>
    <row r="374" spans="1:25" ht="14.4">
      <c r="A374" s="98" t="s">
        <v>629</v>
      </c>
      <c r="B374" s="99">
        <v>531358</v>
      </c>
      <c r="C374" s="98" t="s">
        <v>172</v>
      </c>
      <c r="D374" s="102" t="s">
        <v>209</v>
      </c>
      <c r="E374" s="11">
        <f ca="1">IFERROR(__xludf.DUMMYFUNCTION("GOOGLEFINANCE(""BOM:""&amp;B374,""PRICE"")"),639.85)</f>
        <v>639.85</v>
      </c>
      <c r="F374" s="20">
        <f ca="1">IFERROR(__xludf.DUMMYFUNCTION("GOOGLEFINANCE(""BOM:""&amp;B374,""MARKETCAP"")/10000000"),14268.834825)</f>
        <v>14268.834825</v>
      </c>
      <c r="G374" s="95">
        <f t="shared" ca="1" si="541"/>
        <v>3.5416537834112474E-4</v>
      </c>
      <c r="H374" s="101">
        <v>812</v>
      </c>
      <c r="I374" s="101">
        <v>657</v>
      </c>
      <c r="J374" s="101">
        <v>170</v>
      </c>
      <c r="K374" s="101">
        <v>109</v>
      </c>
      <c r="L374" s="101">
        <v>303</v>
      </c>
      <c r="M374" s="101">
        <v>209</v>
      </c>
      <c r="N374" s="101">
        <v>65</v>
      </c>
      <c r="O374" s="101">
        <v>30</v>
      </c>
      <c r="P374" s="13">
        <f t="shared" ref="P374:Q374" si="754">J374/H374</f>
        <v>0.20935960591133004</v>
      </c>
      <c r="Q374" s="13">
        <f t="shared" si="754"/>
        <v>0.16590563165905631</v>
      </c>
      <c r="R374" s="13">
        <f t="shared" si="520"/>
        <v>4.3453974252273736E-2</v>
      </c>
      <c r="S374" s="13">
        <f t="shared" ref="S374:T374" si="755">N374/L374</f>
        <v>0.21452145214521451</v>
      </c>
      <c r="T374" s="13">
        <f t="shared" si="755"/>
        <v>0.14354066985645933</v>
      </c>
      <c r="U374" s="13">
        <f t="shared" si="522"/>
        <v>7.0980782288755179E-2</v>
      </c>
      <c r="V374" s="13">
        <f t="shared" si="523"/>
        <v>0.23592085235920845</v>
      </c>
      <c r="W374" s="13">
        <f t="shared" si="524"/>
        <v>0.55963302752293576</v>
      </c>
      <c r="X374" s="13">
        <f t="shared" si="525"/>
        <v>0.44976076555023914</v>
      </c>
      <c r="Y374" s="13">
        <f t="shared" si="526"/>
        <v>1.1666666666666665</v>
      </c>
    </row>
    <row r="375" spans="1:25" ht="14.4">
      <c r="A375" s="98" t="s">
        <v>630</v>
      </c>
      <c r="B375" s="99">
        <v>500165</v>
      </c>
      <c r="C375" s="98" t="s">
        <v>187</v>
      </c>
      <c r="D375" s="100" t="s">
        <v>102</v>
      </c>
      <c r="E375" s="11">
        <f ca="1">IFERROR(__xludf.DUMMYFUNCTION("GOOGLEFINANCE(""BOM:""&amp;B375,""PRICE"")"),180.9)</f>
        <v>180.9</v>
      </c>
      <c r="F375" s="20">
        <f ca="1">IFERROR(__xludf.DUMMYFUNCTION("GOOGLEFINANCE(""BOM:""&amp;B375,""MARKETCAP"")/10000000"),14575.2594458)</f>
        <v>14575.2594458</v>
      </c>
      <c r="G375" s="95">
        <f t="shared" ca="1" si="541"/>
        <v>3.6177111441485968E-4</v>
      </c>
      <c r="H375" s="101">
        <v>6098</v>
      </c>
      <c r="I375" s="101">
        <v>6006</v>
      </c>
      <c r="J375" s="101">
        <v>466</v>
      </c>
      <c r="K375" s="101">
        <v>1007</v>
      </c>
      <c r="L375" s="101">
        <v>1982</v>
      </c>
      <c r="M375" s="101">
        <v>1922</v>
      </c>
      <c r="N375" s="101">
        <v>117</v>
      </c>
      <c r="O375" s="101">
        <v>662</v>
      </c>
      <c r="P375" s="13">
        <f t="shared" ref="P375:Q375" si="756">J375/H375</f>
        <v>7.6418497868153495E-2</v>
      </c>
      <c r="Q375" s="13">
        <f t="shared" si="756"/>
        <v>0.16766566766566768</v>
      </c>
      <c r="R375" s="13">
        <f t="shared" si="520"/>
        <v>-9.1247169797514183E-2</v>
      </c>
      <c r="S375" s="13">
        <f t="shared" ref="S375:T375" si="757">N375/L375</f>
        <v>5.9031281533804235E-2</v>
      </c>
      <c r="T375" s="13">
        <f t="shared" si="757"/>
        <v>0.34443288241415193</v>
      </c>
      <c r="U375" s="13">
        <f t="shared" si="522"/>
        <v>-0.28540160088034772</v>
      </c>
      <c r="V375" s="13">
        <f t="shared" si="523"/>
        <v>1.5318015318015243E-2</v>
      </c>
      <c r="W375" s="13">
        <f t="shared" si="524"/>
        <v>-0.5372393247269116</v>
      </c>
      <c r="X375" s="13">
        <f t="shared" si="525"/>
        <v>3.1217481789802326E-2</v>
      </c>
      <c r="Y375" s="13">
        <f t="shared" si="526"/>
        <v>-0.82326283987915405</v>
      </c>
    </row>
    <row r="376" spans="1:25" ht="14.4">
      <c r="A376" s="98" t="s">
        <v>631</v>
      </c>
      <c r="B376" s="99">
        <v>524208</v>
      </c>
      <c r="C376" s="98" t="s">
        <v>196</v>
      </c>
      <c r="D376" s="101" t="s">
        <v>251</v>
      </c>
      <c r="E376" s="11">
        <f ca="1">IFERROR(__xludf.DUMMYFUNCTION("GOOGLEFINANCE(""BOM:""&amp;B376,""PRICE"")"),401.7)</f>
        <v>401.7</v>
      </c>
      <c r="F376" s="20">
        <f ca="1">IFERROR(__xludf.DUMMYFUNCTION("GOOGLEFINANCE(""BOM:""&amp;B376,""MARKETCAP"")/10000000"),14578.1033888)</f>
        <v>14578.1033888</v>
      </c>
      <c r="G376" s="95">
        <f t="shared" ca="1" si="541"/>
        <v>3.6184170365083644E-4</v>
      </c>
      <c r="H376" s="101">
        <v>5991</v>
      </c>
      <c r="I376" s="101">
        <v>5330</v>
      </c>
      <c r="J376" s="101">
        <v>276</v>
      </c>
      <c r="K376" s="101">
        <v>240</v>
      </c>
      <c r="L376" s="101">
        <v>2278</v>
      </c>
      <c r="M376" s="101">
        <v>1756</v>
      </c>
      <c r="N376" s="101">
        <v>131</v>
      </c>
      <c r="O376" s="101">
        <v>47</v>
      </c>
      <c r="P376" s="13">
        <f t="shared" ref="P376:Q376" si="758">J376/H376</f>
        <v>4.6069103655483223E-2</v>
      </c>
      <c r="Q376" s="13">
        <f t="shared" si="758"/>
        <v>4.5028142589118199E-2</v>
      </c>
      <c r="R376" s="13">
        <f t="shared" si="520"/>
        <v>1.0409610663650246E-3</v>
      </c>
      <c r="S376" s="13">
        <f t="shared" ref="S376:T376" si="759">N376/L376</f>
        <v>5.7506584723441619E-2</v>
      </c>
      <c r="T376" s="13">
        <f t="shared" si="759"/>
        <v>2.6765375854214124E-2</v>
      </c>
      <c r="U376" s="13">
        <f t="shared" si="522"/>
        <v>3.0741208869227495E-2</v>
      </c>
      <c r="V376" s="13">
        <f t="shared" si="523"/>
        <v>0.12401500938086296</v>
      </c>
      <c r="W376" s="13">
        <f t="shared" si="524"/>
        <v>0.14999999999999991</v>
      </c>
      <c r="X376" s="13">
        <f t="shared" si="525"/>
        <v>0.29726651480637822</v>
      </c>
      <c r="Y376" s="13">
        <f t="shared" si="526"/>
        <v>1.7872340425531914</v>
      </c>
    </row>
    <row r="377" spans="1:25" ht="14.4">
      <c r="A377" s="98" t="s">
        <v>632</v>
      </c>
      <c r="B377" s="99">
        <v>502986</v>
      </c>
      <c r="C377" s="98" t="s">
        <v>187</v>
      </c>
      <c r="D377" s="70" t="s">
        <v>492</v>
      </c>
      <c r="E377" s="11">
        <f ca="1">IFERROR(__xludf.DUMMYFUNCTION("GOOGLEFINANCE(""BOM:""&amp;B377,""PRICE"")"),539.7)</f>
        <v>539.70000000000005</v>
      </c>
      <c r="F377" s="20">
        <f ca="1">IFERROR(__xludf.DUMMYFUNCTION("GOOGLEFINANCE(""BOM:""&amp;B377,""MARKETCAP"")/10000000"),15605.3016596)</f>
        <v>15605.3016596</v>
      </c>
      <c r="G377" s="95">
        <f t="shared" ca="1" si="541"/>
        <v>3.8733769324431267E-4</v>
      </c>
      <c r="H377" s="101">
        <v>7371</v>
      </c>
      <c r="I377" s="101">
        <v>7276</v>
      </c>
      <c r="J377" s="101">
        <v>563</v>
      </c>
      <c r="K377" s="101">
        <v>648</v>
      </c>
      <c r="L377" s="101">
        <v>2505</v>
      </c>
      <c r="M377" s="101">
        <v>2465</v>
      </c>
      <c r="N377" s="101">
        <v>168</v>
      </c>
      <c r="O377" s="101">
        <v>211</v>
      </c>
      <c r="P377" s="13">
        <f t="shared" ref="P377:Q377" si="760">J377/H377</f>
        <v>7.6380409713743047E-2</v>
      </c>
      <c r="Q377" s="13">
        <f t="shared" si="760"/>
        <v>8.905992303463442E-2</v>
      </c>
      <c r="R377" s="13">
        <f t="shared" si="520"/>
        <v>-1.2679513320891372E-2</v>
      </c>
      <c r="S377" s="13">
        <f t="shared" ref="S377:T377" si="761">N377/L377</f>
        <v>6.706586826347305E-2</v>
      </c>
      <c r="T377" s="13">
        <f t="shared" si="761"/>
        <v>8.559837728194726E-2</v>
      </c>
      <c r="U377" s="13">
        <f t="shared" si="522"/>
        <v>-1.8532509018474211E-2</v>
      </c>
      <c r="V377" s="13">
        <f t="shared" si="523"/>
        <v>1.3056624518966498E-2</v>
      </c>
      <c r="W377" s="13">
        <f t="shared" si="524"/>
        <v>-0.13117283950617287</v>
      </c>
      <c r="X377" s="13">
        <f t="shared" si="525"/>
        <v>1.6227180527383478E-2</v>
      </c>
      <c r="Y377" s="13">
        <f t="shared" si="526"/>
        <v>-0.20379146919431279</v>
      </c>
    </row>
    <row r="378" spans="1:25" ht="14.4">
      <c r="A378" s="98" t="s">
        <v>633</v>
      </c>
      <c r="B378" s="99">
        <v>523367</v>
      </c>
      <c r="C378" s="98" t="s">
        <v>441</v>
      </c>
      <c r="D378" s="102" t="s">
        <v>441</v>
      </c>
      <c r="E378" s="11">
        <f ca="1">IFERROR(__xludf.DUMMYFUNCTION("GOOGLEFINANCE(""BOM:""&amp;B378,""PRICE"")"),1121.9)</f>
        <v>1121.9000000000001</v>
      </c>
      <c r="F378" s="20">
        <f ca="1">IFERROR(__xludf.DUMMYFUNCTION("GOOGLEFINANCE(""BOM:""&amp;B378,""MARKETCAP"")/10000000"),17358.29265)</f>
        <v>17358.292649999999</v>
      </c>
      <c r="G378" s="95">
        <f t="shared" ca="1" si="541"/>
        <v>4.3084851420187455E-4</v>
      </c>
      <c r="H378" s="101">
        <v>10891</v>
      </c>
      <c r="I378" s="101">
        <v>9722</v>
      </c>
      <c r="J378" s="101">
        <v>253</v>
      </c>
      <c r="K378" s="101">
        <v>214</v>
      </c>
      <c r="L378" s="101">
        <v>4003</v>
      </c>
      <c r="M378" s="101">
        <v>3518</v>
      </c>
      <c r="N378" s="101">
        <v>213</v>
      </c>
      <c r="O378" s="101">
        <v>262</v>
      </c>
      <c r="P378" s="13">
        <f t="shared" ref="P378:Q378" si="762">J378/H378</f>
        <v>2.3230190065191444E-2</v>
      </c>
      <c r="Q378" s="13">
        <f t="shared" si="762"/>
        <v>2.201193170129603E-2</v>
      </c>
      <c r="R378" s="13">
        <f t="shared" si="520"/>
        <v>1.2182583638954136E-3</v>
      </c>
      <c r="S378" s="13">
        <f t="shared" ref="S378:T378" si="763">N378/L378</f>
        <v>5.3210092430676995E-2</v>
      </c>
      <c r="T378" s="13">
        <f t="shared" si="763"/>
        <v>7.4474133030130757E-2</v>
      </c>
      <c r="U378" s="13">
        <f t="shared" si="522"/>
        <v>-2.1264040599453762E-2</v>
      </c>
      <c r="V378" s="13">
        <f t="shared" si="523"/>
        <v>0.12024274840567784</v>
      </c>
      <c r="W378" s="13">
        <f t="shared" si="524"/>
        <v>0.18224299065420557</v>
      </c>
      <c r="X378" s="13">
        <f t="shared" si="525"/>
        <v>0.1378624218305855</v>
      </c>
      <c r="Y378" s="13">
        <f t="shared" si="526"/>
        <v>-0.18702290076335881</v>
      </c>
    </row>
    <row r="379" spans="1:25" ht="14.4">
      <c r="A379" s="98" t="s">
        <v>634</v>
      </c>
      <c r="B379" s="99">
        <v>500008</v>
      </c>
      <c r="C379" s="98" t="s">
        <v>187</v>
      </c>
      <c r="D379" s="100" t="s">
        <v>312</v>
      </c>
      <c r="E379" s="11">
        <f ca="1">IFERROR(__xludf.DUMMYFUNCTION("GOOGLEFINANCE(""BOM:""&amp;B379,""PRICE"")"),718.35)</f>
        <v>718.35</v>
      </c>
      <c r="F379" s="20">
        <f ca="1">IFERROR(__xludf.DUMMYFUNCTION("GOOGLEFINANCE(""BOM:""&amp;B379,""MARKETCAP"")/10000000"),13324.25)</f>
        <v>13324.25</v>
      </c>
      <c r="G379" s="95">
        <f t="shared" ca="1" si="541"/>
        <v>3.3071992914892624E-4</v>
      </c>
      <c r="H379" s="101">
        <v>10278</v>
      </c>
      <c r="I379" s="101">
        <v>9786</v>
      </c>
      <c r="J379" s="101">
        <v>581</v>
      </c>
      <c r="K379" s="101">
        <v>783</v>
      </c>
      <c r="L379" s="101">
        <v>3410</v>
      </c>
      <c r="M379" s="101">
        <v>3272</v>
      </c>
      <c r="N379" s="101">
        <v>140</v>
      </c>
      <c r="O379" s="101">
        <v>298</v>
      </c>
      <c r="P379" s="13">
        <f t="shared" ref="P379:Q379" si="764">J379/H379</f>
        <v>5.6528507491729905E-2</v>
      </c>
      <c r="Q379" s="13">
        <f t="shared" si="764"/>
        <v>8.0012262415695895E-2</v>
      </c>
      <c r="R379" s="13">
        <f t="shared" si="520"/>
        <v>-2.348375492396599E-2</v>
      </c>
      <c r="S379" s="13">
        <f t="shared" ref="S379:T379" si="765">N379/L379</f>
        <v>4.1055718475073312E-2</v>
      </c>
      <c r="T379" s="13">
        <f t="shared" si="765"/>
        <v>9.1075794621026898E-2</v>
      </c>
      <c r="U379" s="13">
        <f t="shared" si="522"/>
        <v>-5.0020076145953586E-2</v>
      </c>
      <c r="V379" s="13">
        <f t="shared" si="523"/>
        <v>5.0275904353157541E-2</v>
      </c>
      <c r="W379" s="13">
        <f t="shared" si="524"/>
        <v>-0.25798212005108556</v>
      </c>
      <c r="X379" s="13">
        <f t="shared" si="525"/>
        <v>4.2176039119804498E-2</v>
      </c>
      <c r="Y379" s="13">
        <f t="shared" si="526"/>
        <v>-0.53020134228187921</v>
      </c>
    </row>
    <row r="380" spans="1:25" ht="14.4">
      <c r="A380" s="98" t="s">
        <v>635</v>
      </c>
      <c r="B380" s="99">
        <v>500042</v>
      </c>
      <c r="C380" s="98" t="s">
        <v>196</v>
      </c>
      <c r="D380" s="117" t="s">
        <v>251</v>
      </c>
      <c r="E380" s="11">
        <f ca="1">IFERROR(__xludf.DUMMYFUNCTION("GOOGLEFINANCE(""BOM:""&amp;B380,""PRICE"")"),3240)</f>
        <v>3240</v>
      </c>
      <c r="F380" s="20">
        <f ca="1">IFERROR(__xludf.DUMMYFUNCTION("GOOGLEFINANCE(""BOM:""&amp;B380,""MARKETCAP"")/10000000"),14033.20773)</f>
        <v>14033.20773</v>
      </c>
      <c r="G380" s="95">
        <f t="shared" ca="1" si="541"/>
        <v>3.4831690085353878E-4</v>
      </c>
      <c r="H380" s="101">
        <v>11500</v>
      </c>
      <c r="I380" s="101">
        <v>11622</v>
      </c>
      <c r="J380" s="101">
        <v>353</v>
      </c>
      <c r="K380" s="101">
        <v>454</v>
      </c>
      <c r="L380" s="101">
        <v>3863</v>
      </c>
      <c r="M380" s="101">
        <v>3635</v>
      </c>
      <c r="N380" s="101">
        <v>105</v>
      </c>
      <c r="O380" s="101">
        <v>105</v>
      </c>
      <c r="P380" s="13">
        <f t="shared" ref="P380:Q380" si="766">J380/H380</f>
        <v>3.0695652173913044E-2</v>
      </c>
      <c r="Q380" s="13">
        <f t="shared" si="766"/>
        <v>3.906384443297195E-2</v>
      </c>
      <c r="R380" s="13">
        <f t="shared" si="520"/>
        <v>-8.3681922590589063E-3</v>
      </c>
      <c r="S380" s="13">
        <f t="shared" ref="S380:T380" si="767">N380/L380</f>
        <v>2.7180947450168264E-2</v>
      </c>
      <c r="T380" s="13">
        <f t="shared" si="767"/>
        <v>2.8885832187070151E-2</v>
      </c>
      <c r="U380" s="13">
        <f t="shared" si="522"/>
        <v>-1.704884736901887E-3</v>
      </c>
      <c r="V380" s="13">
        <f t="shared" si="523"/>
        <v>-1.0497332644983648E-2</v>
      </c>
      <c r="W380" s="13">
        <f t="shared" si="524"/>
        <v>-0.22246696035242286</v>
      </c>
      <c r="X380" s="13">
        <f t="shared" si="525"/>
        <v>6.2723521320495079E-2</v>
      </c>
      <c r="Y380" s="13">
        <f t="shared" si="526"/>
        <v>0</v>
      </c>
    </row>
    <row r="381" spans="1:25" ht="14.4">
      <c r="A381" s="98" t="s">
        <v>636</v>
      </c>
      <c r="B381" s="99">
        <v>539083</v>
      </c>
      <c r="C381" s="98" t="s">
        <v>180</v>
      </c>
      <c r="D381" s="109" t="s">
        <v>275</v>
      </c>
      <c r="E381" s="11">
        <f ca="1">IFERROR(__xludf.DUMMYFUNCTION("GOOGLEFINANCE(""BOM:""&amp;B381,""PRICE"")"),80.83)</f>
        <v>80.83</v>
      </c>
      <c r="F381" s="20">
        <f ca="1">IFERROR(__xludf.DUMMYFUNCTION("GOOGLEFINANCE(""BOM:""&amp;B381,""MARKETCAP"")/10000000"),10519.9681573)</f>
        <v>10519.9681573</v>
      </c>
      <c r="G381" s="95">
        <f t="shared" ca="1" si="541"/>
        <v>2.6111511894712393E-4</v>
      </c>
      <c r="H381" s="101">
        <v>3263</v>
      </c>
      <c r="I381" s="101">
        <v>2390</v>
      </c>
      <c r="J381" s="101">
        <v>344</v>
      </c>
      <c r="K381" s="101">
        <v>247</v>
      </c>
      <c r="L381" s="101">
        <v>1238</v>
      </c>
      <c r="M381" s="101">
        <v>994</v>
      </c>
      <c r="N381" s="101">
        <v>126</v>
      </c>
      <c r="O381" s="101">
        <v>110</v>
      </c>
      <c r="P381" s="13">
        <f t="shared" ref="P381:Q381" si="768">J381/H381</f>
        <v>0.10542445602206559</v>
      </c>
      <c r="Q381" s="13">
        <f t="shared" si="768"/>
        <v>0.10334728033472804</v>
      </c>
      <c r="R381" s="13">
        <f t="shared" si="520"/>
        <v>2.0771756873375485E-3</v>
      </c>
      <c r="S381" s="13">
        <f t="shared" ref="S381:T381" si="769">N381/L381</f>
        <v>0.10177705977382875</v>
      </c>
      <c r="T381" s="13">
        <f t="shared" si="769"/>
        <v>0.11066398390342053</v>
      </c>
      <c r="U381" s="13">
        <f t="shared" si="522"/>
        <v>-8.8869241295917722E-3</v>
      </c>
      <c r="V381" s="13">
        <f t="shared" si="523"/>
        <v>0.36527196652719662</v>
      </c>
      <c r="W381" s="13">
        <f t="shared" si="524"/>
        <v>0.39271255060728749</v>
      </c>
      <c r="X381" s="13">
        <f t="shared" si="525"/>
        <v>0.24547283702213285</v>
      </c>
      <c r="Y381" s="13">
        <f t="shared" si="526"/>
        <v>0.1454545454545455</v>
      </c>
    </row>
    <row r="382" spans="1:25" ht="14.4">
      <c r="A382" s="98" t="s">
        <v>637</v>
      </c>
      <c r="B382" s="99">
        <v>500125</v>
      </c>
      <c r="C382" s="98" t="s">
        <v>183</v>
      </c>
      <c r="D382" s="102" t="s">
        <v>638</v>
      </c>
      <c r="E382" s="11">
        <f ca="1">IFERROR(__xludf.DUMMYFUNCTION("GOOGLEFINANCE(""BOM:""&amp;B382,""PRICE"")"),814.9)</f>
        <v>814.9</v>
      </c>
      <c r="F382" s="20">
        <f ca="1">IFERROR(__xludf.DUMMYFUNCTION("GOOGLEFINANCE(""BOM:""&amp;B382,""MARKETCAP"")/10000000"),14461.04238)</f>
        <v>14461.042380000001</v>
      </c>
      <c r="G382" s="95">
        <f t="shared" ca="1" si="541"/>
        <v>3.5893614359781752E-4</v>
      </c>
      <c r="H382" s="101">
        <v>30663</v>
      </c>
      <c r="I382" s="101">
        <v>24797</v>
      </c>
      <c r="J382" s="101">
        <v>1667</v>
      </c>
      <c r="K382" s="101">
        <v>1233</v>
      </c>
      <c r="L382" s="101">
        <v>10315</v>
      </c>
      <c r="M382" s="101">
        <v>8720</v>
      </c>
      <c r="N382" s="101">
        <v>437</v>
      </c>
      <c r="O382" s="101">
        <v>415</v>
      </c>
      <c r="P382" s="13">
        <f t="shared" ref="P382:Q382" si="770">J382/H382</f>
        <v>5.4365195838632883E-2</v>
      </c>
      <c r="Q382" s="13">
        <f t="shared" si="770"/>
        <v>4.9723756906077346E-2</v>
      </c>
      <c r="R382" s="13">
        <f t="shared" si="520"/>
        <v>4.6414389325555375E-3</v>
      </c>
      <c r="S382" s="13">
        <f t="shared" ref="S382:T382" si="771">N382/L382</f>
        <v>4.2365487154629178E-2</v>
      </c>
      <c r="T382" s="13">
        <f t="shared" si="771"/>
        <v>4.7591743119266054E-2</v>
      </c>
      <c r="U382" s="13">
        <f t="shared" si="522"/>
        <v>-5.2262559646368764E-3</v>
      </c>
      <c r="V382" s="13">
        <f t="shared" si="523"/>
        <v>0.23656087429931039</v>
      </c>
      <c r="W382" s="13">
        <f t="shared" si="524"/>
        <v>0.35198702351987032</v>
      </c>
      <c r="X382" s="13">
        <f t="shared" si="525"/>
        <v>0.18291284403669716</v>
      </c>
      <c r="Y382" s="13">
        <f t="shared" si="526"/>
        <v>5.3012048192771166E-2</v>
      </c>
    </row>
    <row r="383" spans="1:25" ht="14.4">
      <c r="A383" s="98" t="s">
        <v>639</v>
      </c>
      <c r="B383" s="99">
        <v>531595</v>
      </c>
      <c r="C383" s="98" t="s">
        <v>172</v>
      </c>
      <c r="D383" s="109" t="s">
        <v>178</v>
      </c>
      <c r="E383" s="11">
        <f ca="1">IFERROR(__xludf.DUMMYFUNCTION("GOOGLEFINANCE(""BOM:""&amp;B383,""PRICE"")"),165.45)</f>
        <v>165.45</v>
      </c>
      <c r="F383" s="20">
        <f ca="1">IFERROR(__xludf.DUMMYFUNCTION("GOOGLEFINANCE(""BOM:""&amp;B383,""MARKETCAP"")/10000000"),15847.640827)</f>
        <v>15847.640826999999</v>
      </c>
      <c r="G383" s="95">
        <f t="shared" ca="1" si="541"/>
        <v>3.933527704360899E-4</v>
      </c>
      <c r="H383" s="101">
        <v>3354</v>
      </c>
      <c r="I383" s="101">
        <v>2292</v>
      </c>
      <c r="J383" s="101">
        <v>666</v>
      </c>
      <c r="K383" s="101">
        <v>300</v>
      </c>
      <c r="L383" s="101">
        <v>1225</v>
      </c>
      <c r="M383" s="101">
        <v>821</v>
      </c>
      <c r="N383" s="101">
        <v>255</v>
      </c>
      <c r="O383" s="101">
        <v>128</v>
      </c>
      <c r="P383" s="13">
        <f t="shared" ref="P383:Q383" si="772">J383/H383</f>
        <v>0.19856887298747763</v>
      </c>
      <c r="Q383" s="13">
        <f t="shared" si="772"/>
        <v>0.13089005235602094</v>
      </c>
      <c r="R383" s="13">
        <f t="shared" si="520"/>
        <v>6.7678820631456693E-2</v>
      </c>
      <c r="S383" s="13">
        <f t="shared" ref="S383:T383" si="773">N383/L383</f>
        <v>0.20816326530612245</v>
      </c>
      <c r="T383" s="13">
        <f t="shared" si="773"/>
        <v>0.15590742996345919</v>
      </c>
      <c r="U383" s="13">
        <f t="shared" si="522"/>
        <v>5.2255835342663259E-2</v>
      </c>
      <c r="V383" s="13">
        <f t="shared" si="523"/>
        <v>0.46335078534031404</v>
      </c>
      <c r="W383" s="13">
        <f t="shared" si="524"/>
        <v>1.2200000000000002</v>
      </c>
      <c r="X383" s="13">
        <f t="shared" si="525"/>
        <v>0.49208282582216811</v>
      </c>
      <c r="Y383" s="13">
        <f t="shared" si="526"/>
        <v>0.9921875</v>
      </c>
    </row>
    <row r="384" spans="1:25" ht="14.4">
      <c r="A384" s="98" t="s">
        <v>640</v>
      </c>
      <c r="B384" s="99">
        <v>513375</v>
      </c>
      <c r="C384" s="98" t="s">
        <v>180</v>
      </c>
      <c r="D384" s="70" t="s">
        <v>524</v>
      </c>
      <c r="E384" s="11">
        <f ca="1">IFERROR(__xludf.DUMMYFUNCTION("GOOGLEFINANCE(""BOM:""&amp;B384,""PRICE"")"),831.75)</f>
        <v>831.75</v>
      </c>
      <c r="F384" s="20">
        <f ca="1">IFERROR(__xludf.DUMMYFUNCTION("GOOGLEFINANCE(""BOM:""&amp;B384,""MARKETCAP"")/10000000"),15840.4036049)</f>
        <v>15840.403604900001</v>
      </c>
      <c r="G384" s="95">
        <f t="shared" ca="1" si="541"/>
        <v>3.931731360416477E-4</v>
      </c>
      <c r="H384" s="101">
        <v>3807</v>
      </c>
      <c r="I384" s="101">
        <v>3677</v>
      </c>
      <c r="J384" s="101">
        <v>207</v>
      </c>
      <c r="K384" s="101">
        <v>268</v>
      </c>
      <c r="L384" s="101">
        <v>1290</v>
      </c>
      <c r="M384" s="101">
        <v>1255</v>
      </c>
      <c r="N384" s="101">
        <v>73</v>
      </c>
      <c r="O384" s="101">
        <v>37</v>
      </c>
      <c r="P384" s="13">
        <f t="shared" ref="P384:Q384" si="774">J384/H384</f>
        <v>5.4373522458628844E-2</v>
      </c>
      <c r="Q384" s="13">
        <f t="shared" si="774"/>
        <v>7.2885504487353828E-2</v>
      </c>
      <c r="R384" s="13">
        <f t="shared" si="520"/>
        <v>-1.8511982028724984E-2</v>
      </c>
      <c r="S384" s="13">
        <f t="shared" ref="S384:T384" si="775">N384/L384</f>
        <v>5.6589147286821705E-2</v>
      </c>
      <c r="T384" s="13">
        <f t="shared" si="775"/>
        <v>2.9482071713147411E-2</v>
      </c>
      <c r="U384" s="13">
        <f t="shared" si="522"/>
        <v>2.7107075573674293E-2</v>
      </c>
      <c r="V384" s="13">
        <f t="shared" si="523"/>
        <v>3.5354908893119319E-2</v>
      </c>
      <c r="W384" s="13">
        <f t="shared" si="524"/>
        <v>-0.22761194029850751</v>
      </c>
      <c r="X384" s="13">
        <f t="shared" si="525"/>
        <v>2.7888446215139417E-2</v>
      </c>
      <c r="Y384" s="13">
        <f t="shared" si="526"/>
        <v>0.97297297297297303</v>
      </c>
    </row>
    <row r="385" spans="1:25" ht="14.4">
      <c r="A385" s="98" t="s">
        <v>641</v>
      </c>
      <c r="B385" s="99">
        <v>500106</v>
      </c>
      <c r="C385" s="98" t="s">
        <v>172</v>
      </c>
      <c r="D385" s="101" t="s">
        <v>266</v>
      </c>
      <c r="E385" s="11">
        <f ca="1">IFERROR(__xludf.DUMMYFUNCTION("GOOGLEFINANCE(""BOM:""&amp;B385,""PRICE"")"),52.87)</f>
        <v>52.87</v>
      </c>
      <c r="F385" s="20">
        <f ca="1">IFERROR(__xludf.DUMMYFUNCTION("GOOGLEFINANCE(""BOM:""&amp;B385,""MARKETCAP"")/10000000"),14244.8325432)</f>
        <v>14244.8325432</v>
      </c>
      <c r="G385" s="95">
        <f t="shared" ca="1" si="541"/>
        <v>3.5356962001053892E-4</v>
      </c>
      <c r="H385" s="101">
        <v>1664</v>
      </c>
      <c r="I385" s="101">
        <v>1648</v>
      </c>
      <c r="J385" s="101">
        <v>401</v>
      </c>
      <c r="K385" s="101">
        <v>88</v>
      </c>
      <c r="L385" s="101">
        <v>467</v>
      </c>
      <c r="M385" s="101">
        <v>457</v>
      </c>
      <c r="N385" s="101">
        <v>21</v>
      </c>
      <c r="O385" s="101">
        <v>-9</v>
      </c>
      <c r="P385" s="13">
        <f t="shared" ref="P385:Q385" si="776">J385/H385</f>
        <v>0.24098557692307693</v>
      </c>
      <c r="Q385" s="13">
        <f t="shared" si="776"/>
        <v>5.3398058252427182E-2</v>
      </c>
      <c r="R385" s="13">
        <f t="shared" si="520"/>
        <v>0.18758751867064974</v>
      </c>
      <c r="S385" s="13">
        <f t="shared" ref="S385:T385" si="777">N385/L385</f>
        <v>4.4967880085653104E-2</v>
      </c>
      <c r="T385" s="13">
        <f t="shared" si="777"/>
        <v>-1.9693654266958426E-2</v>
      </c>
      <c r="U385" s="13">
        <f t="shared" si="522"/>
        <v>6.466153435261153E-2</v>
      </c>
      <c r="V385" s="13">
        <f t="shared" si="523"/>
        <v>9.7087378640776656E-3</v>
      </c>
      <c r="W385" s="13">
        <f t="shared" si="524"/>
        <v>3.5568181818181817</v>
      </c>
      <c r="X385" s="13">
        <f t="shared" si="525"/>
        <v>2.1881838074398141E-2</v>
      </c>
      <c r="Y385" s="13">
        <f t="shared" si="526"/>
        <v>-3.3333333333333335</v>
      </c>
    </row>
    <row r="386" spans="1:25" ht="14.4">
      <c r="A386" s="104" t="s">
        <v>642</v>
      </c>
      <c r="B386" s="99">
        <v>543330</v>
      </c>
      <c r="C386" s="98" t="s">
        <v>187</v>
      </c>
      <c r="D386" s="109" t="s">
        <v>124</v>
      </c>
      <c r="E386" s="11">
        <f ca="1">IFERROR(__xludf.DUMMYFUNCTION("GOOGLEFINANCE(""BOM:""&amp;B386,""PRICE"")"),99.74)</f>
        <v>99.74</v>
      </c>
      <c r="F386" s="20">
        <f ca="1">IFERROR(__xludf.DUMMYFUNCTION("GOOGLEFINANCE(""BOM:""&amp;B386,""MARKETCAP"")/10000000"),12301.0319891)</f>
        <v>12301.0319891</v>
      </c>
      <c r="G386" s="95">
        <f t="shared" ca="1" si="541"/>
        <v>3.0532273320403228E-4</v>
      </c>
      <c r="H386" s="101">
        <v>4174</v>
      </c>
      <c r="I386" s="101">
        <v>3738</v>
      </c>
      <c r="J386" s="101">
        <v>-32</v>
      </c>
      <c r="K386" s="101">
        <v>9</v>
      </c>
      <c r="L386" s="101">
        <v>1440</v>
      </c>
      <c r="M386" s="101">
        <v>1294</v>
      </c>
      <c r="N386" s="101">
        <v>-10</v>
      </c>
      <c r="O386" s="101">
        <v>-7</v>
      </c>
      <c r="P386" s="13">
        <f t="shared" ref="P386:Q386" si="778">J386/H386</f>
        <v>-7.6665069477719217E-3</v>
      </c>
      <c r="Q386" s="13">
        <f t="shared" si="778"/>
        <v>2.407704654895666E-3</v>
      </c>
      <c r="R386" s="13">
        <f t="shared" si="520"/>
        <v>-1.0074211602667587E-2</v>
      </c>
      <c r="S386" s="13">
        <f t="shared" ref="S386:T386" si="779">N386/L386</f>
        <v>-6.9444444444444441E-3</v>
      </c>
      <c r="T386" s="13">
        <f t="shared" si="779"/>
        <v>-5.4095826893353939E-3</v>
      </c>
      <c r="U386" s="13">
        <f t="shared" si="522"/>
        <v>-1.5348617551090502E-3</v>
      </c>
      <c r="V386" s="13">
        <f t="shared" si="523"/>
        <v>0.11663991439272348</v>
      </c>
      <c r="W386" s="13">
        <f t="shared" si="524"/>
        <v>-4.5555555555555554</v>
      </c>
      <c r="X386" s="13">
        <f t="shared" si="525"/>
        <v>0.1128284389489953</v>
      </c>
      <c r="Y386" s="13">
        <f t="shared" si="526"/>
        <v>0.4285714285714286</v>
      </c>
    </row>
    <row r="387" spans="1:25" ht="14.4">
      <c r="A387" s="98" t="s">
        <v>643</v>
      </c>
      <c r="B387" s="99">
        <v>543573</v>
      </c>
      <c r="C387" s="98" t="s">
        <v>180</v>
      </c>
      <c r="D387" s="70" t="s">
        <v>514</v>
      </c>
      <c r="E387" s="11">
        <f ca="1">IFERROR(__xludf.DUMMYFUNCTION("GOOGLEFINANCE(""BOM:""&amp;B387,""PRICE"")"),811.6)</f>
        <v>811.6</v>
      </c>
      <c r="F387" s="20">
        <f ca="1">IFERROR(__xludf.DUMMYFUNCTION("GOOGLEFINANCE(""BOM:""&amp;B387,""MARKETCAP"")/10000000"),15631.3973736)</f>
        <v>15631.397373600001</v>
      </c>
      <c r="G387" s="95">
        <f t="shared" ca="1" si="541"/>
        <v>3.879854124544124E-4</v>
      </c>
      <c r="H387" s="101">
        <v>3354</v>
      </c>
      <c r="I387" s="101">
        <v>2862</v>
      </c>
      <c r="J387" s="101">
        <v>226</v>
      </c>
      <c r="K387" s="101">
        <v>113</v>
      </c>
      <c r="L387" s="101">
        <v>1264</v>
      </c>
      <c r="M387" s="101">
        <v>869</v>
      </c>
      <c r="N387" s="101">
        <v>110</v>
      </c>
      <c r="O387" s="101">
        <v>53</v>
      </c>
      <c r="P387" s="13">
        <f t="shared" ref="P387:Q387" si="780">J387/H387</f>
        <v>6.7382230172927854E-2</v>
      </c>
      <c r="Q387" s="13">
        <f t="shared" si="780"/>
        <v>3.9482879105520612E-2</v>
      </c>
      <c r="R387" s="13">
        <f t="shared" si="520"/>
        <v>2.7899351067407242E-2</v>
      </c>
      <c r="S387" s="13">
        <f t="shared" ref="S387:T387" si="781">N387/L387</f>
        <v>8.7025316455696208E-2</v>
      </c>
      <c r="T387" s="13">
        <f t="shared" si="781"/>
        <v>6.0989643268124283E-2</v>
      </c>
      <c r="U387" s="13">
        <f t="shared" si="522"/>
        <v>2.6035673187571926E-2</v>
      </c>
      <c r="V387" s="13">
        <f t="shared" si="523"/>
        <v>0.1719077568134173</v>
      </c>
      <c r="W387" s="13">
        <f t="shared" si="524"/>
        <v>1</v>
      </c>
      <c r="X387" s="13">
        <f t="shared" si="525"/>
        <v>0.45454545454545459</v>
      </c>
      <c r="Y387" s="13">
        <f t="shared" si="526"/>
        <v>1.0754716981132075</v>
      </c>
    </row>
    <row r="388" spans="1:25" ht="14.4">
      <c r="A388" s="98" t="s">
        <v>644</v>
      </c>
      <c r="B388" s="99">
        <v>532714</v>
      </c>
      <c r="C388" s="98" t="s">
        <v>180</v>
      </c>
      <c r="D388" s="100" t="s">
        <v>181</v>
      </c>
      <c r="E388" s="11">
        <f ca="1">IFERROR(__xludf.DUMMYFUNCTION("GOOGLEFINANCE(""BOM:""&amp;B388,""PRICE"")"),533.65)</f>
        <v>533.65</v>
      </c>
      <c r="F388" s="20">
        <f ca="1">IFERROR(__xludf.DUMMYFUNCTION("GOOGLEFINANCE(""BOM:""&amp;B388,""MARKETCAP"")/10000000"),14217.74135)</f>
        <v>14217.74135</v>
      </c>
      <c r="G388" s="95">
        <f t="shared" ca="1" si="541"/>
        <v>3.5289719210685475E-4</v>
      </c>
      <c r="H388" s="101">
        <v>17116</v>
      </c>
      <c r="I388" s="101">
        <v>14975</v>
      </c>
      <c r="J388" s="101">
        <v>413</v>
      </c>
      <c r="K388" s="101">
        <v>303</v>
      </c>
      <c r="L388" s="101">
        <v>6001</v>
      </c>
      <c r="M388" s="101">
        <v>5349</v>
      </c>
      <c r="N388" s="101">
        <v>127</v>
      </c>
      <c r="O388" s="101">
        <v>130</v>
      </c>
      <c r="P388" s="13">
        <f t="shared" ref="P388:Q388" si="782">J388/H388</f>
        <v>2.4129469502220145E-2</v>
      </c>
      <c r="Q388" s="13">
        <f t="shared" si="782"/>
        <v>2.023372287145242E-2</v>
      </c>
      <c r="R388" s="13">
        <f t="shared" si="520"/>
        <v>3.8957466307677248E-3</v>
      </c>
      <c r="S388" s="13">
        <f t="shared" ref="S388:T388" si="783">N388/L388</f>
        <v>2.1163139476753873E-2</v>
      </c>
      <c r="T388" s="13">
        <f t="shared" si="783"/>
        <v>2.4303608151056273E-2</v>
      </c>
      <c r="U388" s="13">
        <f t="shared" si="522"/>
        <v>-3.1404686743023991E-3</v>
      </c>
      <c r="V388" s="13">
        <f t="shared" si="523"/>
        <v>0.14297161936560943</v>
      </c>
      <c r="W388" s="13">
        <f t="shared" si="524"/>
        <v>0.36303630363036299</v>
      </c>
      <c r="X388" s="13">
        <f t="shared" si="525"/>
        <v>0.12189194241914381</v>
      </c>
      <c r="Y388" s="13">
        <f t="shared" si="526"/>
        <v>-2.3076923076923106E-2</v>
      </c>
    </row>
    <row r="389" spans="1:25" ht="14.4">
      <c r="A389" s="98" t="s">
        <v>645</v>
      </c>
      <c r="B389" s="99">
        <v>500233</v>
      </c>
      <c r="C389" s="98" t="s">
        <v>187</v>
      </c>
      <c r="D389" s="102" t="s">
        <v>115</v>
      </c>
      <c r="E389" s="11">
        <f ca="1">IFERROR(__xludf.DUMMYFUNCTION("GOOGLEFINANCE(""BOM:""&amp;B389,""PRICE"")"),989.25)</f>
        <v>989.25</v>
      </c>
      <c r="F389" s="20">
        <f ca="1">IFERROR(__xludf.DUMMYFUNCTION("GOOGLEFINANCE(""BOM:""&amp;B389,""MARKETCAP"")/10000000"),15785.3534325)</f>
        <v>15785.3534325</v>
      </c>
      <c r="G389" s="95">
        <f t="shared" ca="1" si="541"/>
        <v>3.9180674100134413E-4</v>
      </c>
      <c r="H389" s="101">
        <v>3139</v>
      </c>
      <c r="I389" s="101">
        <v>3114</v>
      </c>
      <c r="J389" s="101">
        <v>313</v>
      </c>
      <c r="K389" s="101">
        <v>259</v>
      </c>
      <c r="L389" s="101">
        <v>1053</v>
      </c>
      <c r="M389" s="101">
        <v>1050</v>
      </c>
      <c r="N389" s="101">
        <v>93</v>
      </c>
      <c r="O389" s="101">
        <v>80</v>
      </c>
      <c r="P389" s="13">
        <f t="shared" ref="P389:Q389" si="784">J389/H389</f>
        <v>9.9713284485504941E-2</v>
      </c>
      <c r="Q389" s="13">
        <f t="shared" si="784"/>
        <v>8.3172768143866413E-2</v>
      </c>
      <c r="R389" s="13">
        <f t="shared" si="520"/>
        <v>1.6540516341638528E-2</v>
      </c>
      <c r="S389" s="13">
        <f t="shared" ref="S389:T389" si="785">N389/L389</f>
        <v>8.8319088319088315E-2</v>
      </c>
      <c r="T389" s="13">
        <f t="shared" si="785"/>
        <v>7.6190476190476197E-2</v>
      </c>
      <c r="U389" s="13">
        <f t="shared" si="522"/>
        <v>1.2128612128612118E-2</v>
      </c>
      <c r="V389" s="13">
        <f t="shared" si="523"/>
        <v>8.0282594733462886E-3</v>
      </c>
      <c r="W389" s="13">
        <f t="shared" si="524"/>
        <v>0.20849420849420852</v>
      </c>
      <c r="X389" s="13">
        <f t="shared" si="525"/>
        <v>2.8571428571428914E-3</v>
      </c>
      <c r="Y389" s="13">
        <f t="shared" si="526"/>
        <v>0.16250000000000009</v>
      </c>
    </row>
    <row r="390" spans="1:25" ht="14.4">
      <c r="A390" s="98" t="s">
        <v>646</v>
      </c>
      <c r="B390" s="99">
        <v>500266</v>
      </c>
      <c r="C390" s="98" t="s">
        <v>172</v>
      </c>
      <c r="D390" s="100" t="s">
        <v>243</v>
      </c>
      <c r="E390" s="11">
        <f ca="1">IFERROR(__xludf.DUMMYFUNCTION("GOOGLEFINANCE(""BOM:""&amp;B390,""PRICE"")"),11743.35)</f>
        <v>11743.35</v>
      </c>
      <c r="F390" s="20">
        <f ca="1">IFERROR(__xludf.DUMMYFUNCTION("GOOGLEFINANCE(""BOM:""&amp;B390,""MARKETCAP"")/10000000"),13428.558)</f>
        <v>13428.558000000001</v>
      </c>
      <c r="G390" s="95">
        <f t="shared" ca="1" si="541"/>
        <v>3.3330894799574065E-4</v>
      </c>
      <c r="H390" s="101">
        <v>306</v>
      </c>
      <c r="I390" s="101">
        <v>176</v>
      </c>
      <c r="J390" s="101">
        <v>306</v>
      </c>
      <c r="K390" s="101">
        <v>162</v>
      </c>
      <c r="L390" s="101">
        <v>6</v>
      </c>
      <c r="M390" s="101">
        <v>6</v>
      </c>
      <c r="N390" s="101">
        <v>4</v>
      </c>
      <c r="O390" s="101">
        <v>3</v>
      </c>
      <c r="P390" s="13">
        <f t="shared" ref="P390:Q390" si="786">J390/H390</f>
        <v>1</v>
      </c>
      <c r="Q390" s="13">
        <f t="shared" si="786"/>
        <v>0.92045454545454541</v>
      </c>
      <c r="R390" s="13">
        <f t="shared" si="520"/>
        <v>7.9545454545454586E-2</v>
      </c>
      <c r="S390" s="13">
        <f t="shared" ref="S390:T390" si="787">N390/L390</f>
        <v>0.66666666666666663</v>
      </c>
      <c r="T390" s="13">
        <f t="shared" si="787"/>
        <v>0.5</v>
      </c>
      <c r="U390" s="13">
        <f t="shared" si="522"/>
        <v>0.16666666666666663</v>
      </c>
      <c r="V390" s="13">
        <f t="shared" si="523"/>
        <v>0.73863636363636354</v>
      </c>
      <c r="W390" s="13">
        <f t="shared" si="524"/>
        <v>0.88888888888888884</v>
      </c>
      <c r="X390" s="13">
        <f t="shared" si="525"/>
        <v>0</v>
      </c>
      <c r="Y390" s="13">
        <f t="shared" si="526"/>
        <v>0.33333333333333326</v>
      </c>
    </row>
    <row r="391" spans="1:25" ht="14.4">
      <c r="A391" s="98" t="s">
        <v>647</v>
      </c>
      <c r="B391" s="99">
        <v>533655</v>
      </c>
      <c r="C391" s="98" t="s">
        <v>180</v>
      </c>
      <c r="D391" s="70" t="s">
        <v>275</v>
      </c>
      <c r="E391" s="11">
        <f ca="1">IFERROR(__xludf.DUMMYFUNCTION("GOOGLEFINANCE(""BOM:""&amp;B391,""PRICE"")"),457.5)</f>
        <v>457.5</v>
      </c>
      <c r="F391" s="20">
        <f ca="1">IFERROR(__xludf.DUMMYFUNCTION("GOOGLEFINANCE(""BOM:""&amp;B391,""MARKETCAP"")/10000000"),14545.2807614)</f>
        <v>14545.280761399999</v>
      </c>
      <c r="G391" s="95">
        <f t="shared" ca="1" si="541"/>
        <v>3.6102701636951033E-4</v>
      </c>
      <c r="H391" s="101">
        <v>1501</v>
      </c>
      <c r="I391" s="101">
        <v>1467</v>
      </c>
      <c r="J391" s="101">
        <v>247</v>
      </c>
      <c r="K391" s="101">
        <v>264</v>
      </c>
      <c r="L391" s="101">
        <v>624</v>
      </c>
      <c r="M391" s="101">
        <v>503</v>
      </c>
      <c r="N391" s="101">
        <v>91</v>
      </c>
      <c r="O391" s="101">
        <v>92</v>
      </c>
      <c r="P391" s="13">
        <f t="shared" ref="P391:Q391" si="788">J391/H391</f>
        <v>0.16455696202531644</v>
      </c>
      <c r="Q391" s="13">
        <f t="shared" si="788"/>
        <v>0.17995910020449898</v>
      </c>
      <c r="R391" s="13">
        <f t="shared" si="520"/>
        <v>-1.540213817918254E-2</v>
      </c>
      <c r="S391" s="13">
        <f t="shared" ref="S391:T391" si="789">N391/L391</f>
        <v>0.14583333333333334</v>
      </c>
      <c r="T391" s="13">
        <f t="shared" si="789"/>
        <v>0.18290258449304175</v>
      </c>
      <c r="U391" s="13">
        <f t="shared" si="522"/>
        <v>-3.7069251159708411E-2</v>
      </c>
      <c r="V391" s="13">
        <f t="shared" si="523"/>
        <v>2.3176550783912786E-2</v>
      </c>
      <c r="W391" s="13">
        <f t="shared" si="524"/>
        <v>-6.4393939393939448E-2</v>
      </c>
      <c r="X391" s="13">
        <f t="shared" si="525"/>
        <v>0.24055666003976151</v>
      </c>
      <c r="Y391" s="13">
        <f t="shared" si="526"/>
        <v>-1.0869565217391353E-2</v>
      </c>
    </row>
    <row r="392" spans="1:25" ht="14.4">
      <c r="A392" s="98" t="s">
        <v>648</v>
      </c>
      <c r="B392" s="99">
        <v>532927</v>
      </c>
      <c r="C392" s="98" t="s">
        <v>206</v>
      </c>
      <c r="D392" s="70" t="s">
        <v>649</v>
      </c>
      <c r="E392" s="11">
        <f ca="1">IFERROR(__xludf.DUMMYFUNCTION("GOOGLEFINANCE(""BOM:""&amp;B392,""PRICE"")"),1492.55)</f>
        <v>1492.55</v>
      </c>
      <c r="F392" s="20">
        <f ca="1">IFERROR(__xludf.DUMMYFUNCTION("GOOGLEFINANCE(""BOM:""&amp;B392,""MARKETCAP"")/10000000"),13749.8536528)</f>
        <v>13749.8536528</v>
      </c>
      <c r="G392" s="95">
        <f t="shared" ca="1" si="541"/>
        <v>3.4128379652604245E-4</v>
      </c>
      <c r="H392" s="101">
        <v>3009</v>
      </c>
      <c r="I392" s="101">
        <v>2467</v>
      </c>
      <c r="J392" s="101">
        <v>516</v>
      </c>
      <c r="K392" s="101">
        <v>388</v>
      </c>
      <c r="L392" s="101">
        <v>1070</v>
      </c>
      <c r="M392" s="101">
        <v>857</v>
      </c>
      <c r="N392" s="101">
        <v>191</v>
      </c>
      <c r="O392" s="101">
        <v>137</v>
      </c>
      <c r="P392" s="13">
        <f t="shared" ref="P392:Q392" si="790">J392/H392</f>
        <v>0.17148554336989033</v>
      </c>
      <c r="Q392" s="13">
        <f t="shared" si="790"/>
        <v>0.15727604377786786</v>
      </c>
      <c r="R392" s="13">
        <f t="shared" si="520"/>
        <v>1.4209499592022473E-2</v>
      </c>
      <c r="S392" s="13">
        <f t="shared" ref="S392:T392" si="791">N392/L392</f>
        <v>0.17850467289719626</v>
      </c>
      <c r="T392" s="13">
        <f t="shared" si="791"/>
        <v>0.15985997666277713</v>
      </c>
      <c r="U392" s="13">
        <f t="shared" si="522"/>
        <v>1.8644696234419139E-2</v>
      </c>
      <c r="V392" s="13">
        <f t="shared" si="523"/>
        <v>0.21970004053506287</v>
      </c>
      <c r="W392" s="13">
        <f t="shared" si="524"/>
        <v>0.32989690721649478</v>
      </c>
      <c r="X392" s="13">
        <f t="shared" si="525"/>
        <v>0.24854142357059517</v>
      </c>
      <c r="Y392" s="13">
        <f t="shared" si="526"/>
        <v>0.3941605839416058</v>
      </c>
    </row>
    <row r="393" spans="1:25" ht="14.4">
      <c r="A393" s="104" t="s">
        <v>650</v>
      </c>
      <c r="B393" s="99">
        <v>544408</v>
      </c>
      <c r="C393" s="98" t="s">
        <v>187</v>
      </c>
      <c r="D393" s="100" t="s">
        <v>78</v>
      </c>
      <c r="E393" s="11">
        <f ca="1">IFERROR(__xludf.DUMMYFUNCTION("GOOGLEFINANCE(""BOM:""&amp;B393,""PRICE"")"),412)</f>
        <v>412</v>
      </c>
      <c r="F393" s="20">
        <f ca="1">IFERROR(__xludf.DUMMYFUNCTION("GOOGLEFINANCE(""BOM:""&amp;B393,""MARKETCAP"")/10000000"),13768.99468)</f>
        <v>13768.99468</v>
      </c>
      <c r="G393" s="95">
        <f t="shared" ca="1" si="541"/>
        <v>3.4175889412323715E-4</v>
      </c>
      <c r="H393" s="101">
        <v>1042</v>
      </c>
      <c r="I393" s="101">
        <v>875</v>
      </c>
      <c r="J393" s="101">
        <v>231</v>
      </c>
      <c r="K393" s="101">
        <v>-69</v>
      </c>
      <c r="L393" s="101">
        <v>457</v>
      </c>
      <c r="M393" s="101">
        <v>370</v>
      </c>
      <c r="N393" s="101">
        <v>147</v>
      </c>
      <c r="O393" s="101">
        <v>56</v>
      </c>
      <c r="P393" s="13">
        <f t="shared" ref="P393:Q393" si="792">J393/H393</f>
        <v>0.22168905950095968</v>
      </c>
      <c r="Q393" s="13">
        <f t="shared" si="792"/>
        <v>-7.8857142857142862E-2</v>
      </c>
      <c r="R393" s="13">
        <f t="shared" si="520"/>
        <v>0.30054620235810253</v>
      </c>
      <c r="S393" s="13">
        <f t="shared" ref="S393:T393" si="793">N393/L393</f>
        <v>0.32166301969365424</v>
      </c>
      <c r="T393" s="13">
        <f t="shared" si="793"/>
        <v>0.15135135135135136</v>
      </c>
      <c r="U393" s="13">
        <f t="shared" si="522"/>
        <v>0.17031166834230288</v>
      </c>
      <c r="V393" s="13">
        <f t="shared" si="523"/>
        <v>0.19085714285714284</v>
      </c>
      <c r="W393" s="13">
        <f t="shared" si="524"/>
        <v>-4.3478260869565215</v>
      </c>
      <c r="X393" s="13">
        <f t="shared" si="525"/>
        <v>0.23513513513513518</v>
      </c>
      <c r="Y393" s="13">
        <f t="shared" si="526"/>
        <v>1.625</v>
      </c>
    </row>
    <row r="394" spans="1:25" ht="14.4">
      <c r="A394" s="104" t="s">
        <v>651</v>
      </c>
      <c r="B394" s="99">
        <v>544292</v>
      </c>
      <c r="C394" s="98" t="s">
        <v>190</v>
      </c>
      <c r="D394" s="101" t="s">
        <v>100</v>
      </c>
      <c r="E394" s="11">
        <f ca="1">IFERROR(__xludf.DUMMYFUNCTION("GOOGLEFINANCE(""BOM:""&amp;B394,""PRICE"")"),1402.45)</f>
        <v>1402.45</v>
      </c>
      <c r="F394" s="20">
        <f ca="1">IFERROR(__xludf.DUMMYFUNCTION("GOOGLEFINANCE(""BOM:""&amp;B394,""MARKETCAP"")/10000000"),16045.8220678)</f>
        <v>16045.8220678</v>
      </c>
      <c r="G394" s="95">
        <f t="shared" ca="1" si="541"/>
        <v>3.9827180797411438E-4</v>
      </c>
      <c r="H394" s="101">
        <v>993</v>
      </c>
      <c r="I394" s="101">
        <v>1018</v>
      </c>
      <c r="J394" s="101">
        <v>-78</v>
      </c>
      <c r="K394" s="101">
        <v>-116</v>
      </c>
      <c r="L394" s="101">
        <v>290</v>
      </c>
      <c r="M394" s="101">
        <v>392</v>
      </c>
      <c r="N394" s="101">
        <v>-88</v>
      </c>
      <c r="O394" s="101">
        <v>-68</v>
      </c>
      <c r="P394" s="13">
        <f t="shared" ref="P394:Q394" si="794">J394/H394</f>
        <v>-7.8549848942598186E-2</v>
      </c>
      <c r="Q394" s="13">
        <f t="shared" si="794"/>
        <v>-0.11394891944990176</v>
      </c>
      <c r="R394" s="13">
        <f t="shared" si="520"/>
        <v>3.5399070507303579E-2</v>
      </c>
      <c r="S394" s="13">
        <f t="shared" ref="S394:T394" si="795">N394/L394</f>
        <v>-0.30344827586206896</v>
      </c>
      <c r="T394" s="13">
        <f t="shared" si="795"/>
        <v>-0.17346938775510204</v>
      </c>
      <c r="U394" s="13">
        <f t="shared" si="522"/>
        <v>-0.12997888810696692</v>
      </c>
      <c r="V394" s="13">
        <f t="shared" si="523"/>
        <v>-2.4557956777996104E-2</v>
      </c>
      <c r="W394" s="13">
        <f t="shared" si="524"/>
        <v>-0.32758620689655171</v>
      </c>
      <c r="X394" s="13">
        <f t="shared" si="525"/>
        <v>-0.26020408163265307</v>
      </c>
      <c r="Y394" s="13">
        <f t="shared" si="526"/>
        <v>0.29411764705882359</v>
      </c>
    </row>
    <row r="395" spans="1:25" ht="14.4">
      <c r="A395" s="98" t="s">
        <v>652</v>
      </c>
      <c r="B395" s="99">
        <v>532784</v>
      </c>
      <c r="C395" s="98" t="s">
        <v>187</v>
      </c>
      <c r="D395" s="102" t="s">
        <v>131</v>
      </c>
      <c r="E395" s="11">
        <f ca="1">IFERROR(__xludf.DUMMYFUNCTION("GOOGLEFINANCE(""BOM:""&amp;B395,""PRICE"")"),1203.1)</f>
        <v>1203.0999999999999</v>
      </c>
      <c r="F395" s="20">
        <f ca="1">IFERROR(__xludf.DUMMYFUNCTION("GOOGLEFINANCE(""BOM:""&amp;B395,""MARKETCAP"")/10000000"),12811.4461272)</f>
        <v>12811.446127200001</v>
      </c>
      <c r="G395" s="95">
        <f t="shared" ca="1" si="541"/>
        <v>3.1799167348877945E-4</v>
      </c>
      <c r="H395" s="101">
        <v>3202</v>
      </c>
      <c r="I395" s="101">
        <v>2798</v>
      </c>
      <c r="J395" s="101">
        <v>101</v>
      </c>
      <c r="K395" s="101">
        <v>53</v>
      </c>
      <c r="L395" s="101">
        <v>943</v>
      </c>
      <c r="M395" s="101">
        <v>1224</v>
      </c>
      <c r="N395" s="101">
        <v>15</v>
      </c>
      <c r="O395" s="101">
        <v>21</v>
      </c>
      <c r="P395" s="13">
        <f t="shared" ref="P395:Q395" si="796">J395/H395</f>
        <v>3.1542785758900689E-2</v>
      </c>
      <c r="Q395" s="13">
        <f t="shared" si="796"/>
        <v>1.8942101501072194E-2</v>
      </c>
      <c r="R395" s="13">
        <f t="shared" si="520"/>
        <v>1.2600684257828496E-2</v>
      </c>
      <c r="S395" s="13">
        <f t="shared" ref="S395:T395" si="797">N395/L395</f>
        <v>1.5906680805938492E-2</v>
      </c>
      <c r="T395" s="13">
        <f t="shared" si="797"/>
        <v>1.7156862745098041E-2</v>
      </c>
      <c r="U395" s="13">
        <f t="shared" si="522"/>
        <v>-1.2501819391595483E-3</v>
      </c>
      <c r="V395" s="13">
        <f t="shared" si="523"/>
        <v>0.14438884917798434</v>
      </c>
      <c r="W395" s="13">
        <f t="shared" si="524"/>
        <v>0.90566037735849059</v>
      </c>
      <c r="X395" s="13">
        <f t="shared" si="525"/>
        <v>-0.22957516339869277</v>
      </c>
      <c r="Y395" s="13">
        <f t="shared" si="526"/>
        <v>-0.2857142857142857</v>
      </c>
    </row>
    <row r="396" spans="1:25" ht="14.4">
      <c r="A396" s="98" t="s">
        <v>653</v>
      </c>
      <c r="B396" s="99">
        <v>524200</v>
      </c>
      <c r="C396" s="98" t="s">
        <v>196</v>
      </c>
      <c r="D396" s="70" t="s">
        <v>251</v>
      </c>
      <c r="E396" s="11">
        <f ca="1">IFERROR(__xludf.DUMMYFUNCTION("GOOGLEFINANCE(""BOM:""&amp;B396,""PRICE"")"),1312.95)</f>
        <v>1312.95</v>
      </c>
      <c r="F396" s="20">
        <f ca="1">IFERROR(__xludf.DUMMYFUNCTION("GOOGLEFINANCE(""BOM:""&amp;B396,""MARKETCAP"")/10000000"),13617.5129629)</f>
        <v>13617.5129629</v>
      </c>
      <c r="G396" s="95">
        <f t="shared" ca="1" si="541"/>
        <v>3.3799898097640563E-4</v>
      </c>
      <c r="H396" s="101">
        <v>1623</v>
      </c>
      <c r="I396" s="101">
        <v>1600</v>
      </c>
      <c r="J396" s="101">
        <v>320</v>
      </c>
      <c r="K396" s="101">
        <v>282</v>
      </c>
      <c r="L396" s="101">
        <v>531</v>
      </c>
      <c r="M396" s="101">
        <v>550</v>
      </c>
      <c r="N396" s="101">
        <v>101</v>
      </c>
      <c r="O396" s="101">
        <v>115</v>
      </c>
      <c r="P396" s="13">
        <f t="shared" ref="P396:Q396" si="798">J396/H396</f>
        <v>0.19716574245224891</v>
      </c>
      <c r="Q396" s="13">
        <f t="shared" si="798"/>
        <v>0.17624999999999999</v>
      </c>
      <c r="R396" s="13">
        <f t="shared" si="520"/>
        <v>2.091574245224892E-2</v>
      </c>
      <c r="S396" s="13">
        <f t="shared" ref="S396:T396" si="799">N396/L396</f>
        <v>0.19020715630885121</v>
      </c>
      <c r="T396" s="13">
        <f t="shared" si="799"/>
        <v>0.20909090909090908</v>
      </c>
      <c r="U396" s="13">
        <f t="shared" si="522"/>
        <v>-1.8883752782057867E-2</v>
      </c>
      <c r="V396" s="13">
        <f t="shared" si="523"/>
        <v>1.4375000000000027E-2</v>
      </c>
      <c r="W396" s="13">
        <f t="shared" si="524"/>
        <v>0.13475177304964547</v>
      </c>
      <c r="X396" s="13">
        <f t="shared" si="525"/>
        <v>-3.4545454545454546E-2</v>
      </c>
      <c r="Y396" s="13">
        <f t="shared" si="526"/>
        <v>-0.12173913043478257</v>
      </c>
    </row>
    <row r="397" spans="1:25" ht="14.4">
      <c r="A397" s="98" t="s">
        <v>654</v>
      </c>
      <c r="B397" s="99">
        <v>532809</v>
      </c>
      <c r="C397" s="98" t="s">
        <v>206</v>
      </c>
      <c r="D397" s="101" t="s">
        <v>649</v>
      </c>
      <c r="E397" s="11">
        <f ca="1">IFERROR(__xludf.DUMMYFUNCTION("GOOGLEFINANCE(""BOM:""&amp;B397,""PRICE"")"),222.7)</f>
        <v>222.7</v>
      </c>
      <c r="F397" s="20">
        <f ca="1">IFERROR(__xludf.DUMMYFUNCTION("GOOGLEFINANCE(""BOM:""&amp;B397,""MARKETCAP"")/10000000"),15417.4193894)</f>
        <v>15417.4193894</v>
      </c>
      <c r="G397" s="95">
        <f t="shared" ca="1" si="541"/>
        <v>3.8267428546609754E-4</v>
      </c>
      <c r="H397" s="101">
        <v>7003</v>
      </c>
      <c r="I397" s="101">
        <v>5804</v>
      </c>
      <c r="J397" s="101">
        <v>469</v>
      </c>
      <c r="K397" s="101">
        <v>433</v>
      </c>
      <c r="L397" s="101">
        <v>2467</v>
      </c>
      <c r="M397" s="101">
        <v>2087</v>
      </c>
      <c r="N397" s="101">
        <v>120</v>
      </c>
      <c r="O397" s="101">
        <v>160</v>
      </c>
      <c r="P397" s="13">
        <f t="shared" ref="P397:Q397" si="800">J397/H397</f>
        <v>6.6971298015136377E-2</v>
      </c>
      <c r="Q397" s="13">
        <f t="shared" si="800"/>
        <v>7.460372157133012E-2</v>
      </c>
      <c r="R397" s="13">
        <f t="shared" si="520"/>
        <v>-7.6324235561937431E-3</v>
      </c>
      <c r="S397" s="13">
        <f t="shared" ref="S397:T397" si="801">N397/L397</f>
        <v>4.8642075395216859E-2</v>
      </c>
      <c r="T397" s="13">
        <f t="shared" si="801"/>
        <v>7.6665069477719214E-2</v>
      </c>
      <c r="U397" s="13">
        <f t="shared" si="522"/>
        <v>-2.8022994082502355E-2</v>
      </c>
      <c r="V397" s="13">
        <f t="shared" si="523"/>
        <v>0.20658166781529985</v>
      </c>
      <c r="W397" s="13">
        <f t="shared" si="524"/>
        <v>8.3140877598152363E-2</v>
      </c>
      <c r="X397" s="13">
        <f t="shared" si="525"/>
        <v>0.18207954000958315</v>
      </c>
      <c r="Y397" s="13">
        <f t="shared" si="526"/>
        <v>-0.25</v>
      </c>
    </row>
    <row r="398" spans="1:25" ht="14.4">
      <c r="A398" s="98" t="s">
        <v>655</v>
      </c>
      <c r="B398" s="99">
        <v>500144</v>
      </c>
      <c r="C398" s="98" t="s">
        <v>180</v>
      </c>
      <c r="D398" s="100" t="s">
        <v>271</v>
      </c>
      <c r="E398" s="11">
        <f ca="1">IFERROR(__xludf.DUMMYFUNCTION("GOOGLEFINANCE(""BOM:""&amp;B398,""PRICE"")"),803.7)</f>
        <v>803.7</v>
      </c>
      <c r="F398" s="20">
        <f ca="1">IFERROR(__xludf.DUMMYFUNCTION("GOOGLEFINANCE(""BOM:""&amp;B398,""MARKETCAP"")/10000000"),12291.1209156)</f>
        <v>12291.1209156</v>
      </c>
      <c r="G398" s="95">
        <f t="shared" ca="1" si="541"/>
        <v>3.0507673140087567E-4</v>
      </c>
      <c r="H398" s="101">
        <v>4370</v>
      </c>
      <c r="I398" s="101">
        <v>3724</v>
      </c>
      <c r="J398" s="101">
        <v>489</v>
      </c>
      <c r="K398" s="101">
        <v>509</v>
      </c>
      <c r="L398" s="101">
        <v>1598</v>
      </c>
      <c r="M398" s="101">
        <v>1182</v>
      </c>
      <c r="N398" s="101">
        <v>164</v>
      </c>
      <c r="O398" s="101">
        <v>147</v>
      </c>
      <c r="P398" s="13">
        <f t="shared" ref="P398:Q398" si="802">J398/H398</f>
        <v>0.11189931350114417</v>
      </c>
      <c r="Q398" s="13">
        <f t="shared" si="802"/>
        <v>0.13668098818474758</v>
      </c>
      <c r="R398" s="13">
        <f t="shared" si="520"/>
        <v>-2.4781674683603414E-2</v>
      </c>
      <c r="S398" s="13">
        <f t="shared" ref="S398:T398" si="803">N398/L398</f>
        <v>0.10262828535669587</v>
      </c>
      <c r="T398" s="13">
        <f t="shared" si="803"/>
        <v>0.12436548223350254</v>
      </c>
      <c r="U398" s="13">
        <f t="shared" si="522"/>
        <v>-2.1737196876806669E-2</v>
      </c>
      <c r="V398" s="13">
        <f t="shared" si="523"/>
        <v>0.17346938775510212</v>
      </c>
      <c r="W398" s="13">
        <f t="shared" si="524"/>
        <v>-3.9292730844793677E-2</v>
      </c>
      <c r="X398" s="13">
        <f t="shared" si="525"/>
        <v>0.35194585448392557</v>
      </c>
      <c r="Y398" s="13">
        <f t="shared" si="526"/>
        <v>0.11564625850340127</v>
      </c>
    </row>
    <row r="399" spans="1:25" ht="14.4">
      <c r="A399" s="98" t="s">
        <v>656</v>
      </c>
      <c r="B399" s="99">
        <v>544311</v>
      </c>
      <c r="C399" s="98" t="s">
        <v>206</v>
      </c>
      <c r="D399" s="70" t="s">
        <v>657</v>
      </c>
      <c r="E399" s="11">
        <f ca="1">IFERROR(__xludf.DUMMYFUNCTION("GOOGLEFINANCE(""BOM:""&amp;B399,""PRICE"")"),321.5)</f>
        <v>321.5</v>
      </c>
      <c r="F399" s="20">
        <f ca="1">IFERROR(__xludf.DUMMYFUNCTION("GOOGLEFINANCE(""BOM:""&amp;B399,""MARKETCAP"")/10000000"),13902.5812935)</f>
        <v>13902.581293499999</v>
      </c>
      <c r="G399" s="95">
        <f t="shared" ca="1" si="541"/>
        <v>3.4507463462284989E-4</v>
      </c>
      <c r="H399" s="101">
        <v>1229</v>
      </c>
      <c r="I399" s="101">
        <v>1053</v>
      </c>
      <c r="J399" s="101">
        <v>531</v>
      </c>
      <c r="K399" s="101">
        <v>427</v>
      </c>
      <c r="L399" s="101">
        <v>319</v>
      </c>
      <c r="M399" s="101">
        <v>265</v>
      </c>
      <c r="N399" s="101">
        <v>134</v>
      </c>
      <c r="O399" s="101">
        <v>113</v>
      </c>
      <c r="P399" s="13">
        <f t="shared" ref="P399:Q399" si="804">J399/H399</f>
        <v>0.43205858421480881</v>
      </c>
      <c r="Q399" s="13">
        <f t="shared" si="804"/>
        <v>0.40550807217473883</v>
      </c>
      <c r="R399" s="13">
        <f t="shared" si="520"/>
        <v>2.6550512040069973E-2</v>
      </c>
      <c r="S399" s="13">
        <f t="shared" ref="S399:T399" si="805">N399/L399</f>
        <v>0.42006269592476492</v>
      </c>
      <c r="T399" s="13">
        <f t="shared" si="805"/>
        <v>0.42641509433962266</v>
      </c>
      <c r="U399" s="13">
        <f t="shared" si="522"/>
        <v>-6.3523984148577406E-3</v>
      </c>
      <c r="V399" s="13">
        <f t="shared" si="523"/>
        <v>0.16714150047483378</v>
      </c>
      <c r="W399" s="13">
        <f t="shared" si="524"/>
        <v>0.24355971896955508</v>
      </c>
      <c r="X399" s="13">
        <f t="shared" si="525"/>
        <v>0.20377358490566033</v>
      </c>
      <c r="Y399" s="13">
        <f t="shared" si="526"/>
        <v>0.18584070796460184</v>
      </c>
    </row>
    <row r="400" spans="1:25" ht="14.4">
      <c r="A400" s="98" t="s">
        <v>658</v>
      </c>
      <c r="B400" s="99">
        <v>544350</v>
      </c>
      <c r="C400" s="98" t="s">
        <v>190</v>
      </c>
      <c r="D400" s="100" t="s">
        <v>113</v>
      </c>
      <c r="E400" s="11">
        <f ca="1">IFERROR(__xludf.DUMMYFUNCTION("GOOGLEFINANCE(""BOM:""&amp;B400,""PRICE"")"),427)</f>
        <v>427</v>
      </c>
      <c r="F400" s="20">
        <f ca="1">IFERROR(__xludf.DUMMYFUNCTION("GOOGLEFINANCE(""BOM:""&amp;B400,""MARKETCAP"")/10000000"),13527.67598)</f>
        <v>13527.67598</v>
      </c>
      <c r="G400" s="95">
        <f t="shared" ca="1" si="541"/>
        <v>3.3576914585475593E-4</v>
      </c>
      <c r="H400" s="101">
        <v>1516</v>
      </c>
      <c r="I400" s="101">
        <v>1251</v>
      </c>
      <c r="J400" s="101">
        <v>118</v>
      </c>
      <c r="K400" s="101">
        <v>80</v>
      </c>
      <c r="L400" s="101">
        <v>530</v>
      </c>
      <c r="M400" s="101">
        <v>431</v>
      </c>
      <c r="N400" s="101">
        <v>44</v>
      </c>
      <c r="O400" s="101">
        <v>28</v>
      </c>
      <c r="P400" s="13">
        <f t="shared" ref="P400:Q400" si="806">J400/H400</f>
        <v>7.7836411609498682E-2</v>
      </c>
      <c r="Q400" s="13">
        <f t="shared" si="806"/>
        <v>6.3948840927258194E-2</v>
      </c>
      <c r="R400" s="13">
        <f t="shared" si="520"/>
        <v>1.3887570682240488E-2</v>
      </c>
      <c r="S400" s="13">
        <f t="shared" ref="S400:T400" si="807">N400/L400</f>
        <v>8.3018867924528297E-2</v>
      </c>
      <c r="T400" s="13">
        <f t="shared" si="807"/>
        <v>6.4965197215777259E-2</v>
      </c>
      <c r="U400" s="13">
        <f t="shared" si="522"/>
        <v>1.8053670708751038E-2</v>
      </c>
      <c r="V400" s="13">
        <f t="shared" si="523"/>
        <v>0.21183053557154286</v>
      </c>
      <c r="W400" s="13">
        <f t="shared" si="524"/>
        <v>0.47500000000000009</v>
      </c>
      <c r="X400" s="13">
        <f t="shared" si="525"/>
        <v>0.22969837587006969</v>
      </c>
      <c r="Y400" s="13">
        <f t="shared" si="526"/>
        <v>0.5714285714285714</v>
      </c>
    </row>
    <row r="401" spans="1:25" ht="14.4">
      <c r="A401" s="98" t="s">
        <v>659</v>
      </c>
      <c r="B401" s="99">
        <v>532482</v>
      </c>
      <c r="C401" s="98" t="s">
        <v>190</v>
      </c>
      <c r="D401" s="70" t="s">
        <v>100</v>
      </c>
      <c r="E401" s="11">
        <f ca="1">IFERROR(__xludf.DUMMYFUNCTION("GOOGLEFINANCE(""BOM:""&amp;B401,""PRICE"")"),633.5)</f>
        <v>633.5</v>
      </c>
      <c r="F401" s="20">
        <f ca="1">IFERROR(__xludf.DUMMYFUNCTION("GOOGLEFINANCE(""BOM:""&amp;B401,""MARKETCAP"")/10000000"),15714.0410184)</f>
        <v>15714.041018399999</v>
      </c>
      <c r="G401" s="95">
        <f t="shared" ca="1" si="541"/>
        <v>3.9003670242216776E-4</v>
      </c>
      <c r="H401" s="101">
        <v>3895</v>
      </c>
      <c r="I401" s="101">
        <v>3284</v>
      </c>
      <c r="J401" s="101">
        <v>393</v>
      </c>
      <c r="K401" s="101">
        <v>349</v>
      </c>
      <c r="L401" s="101">
        <v>1387</v>
      </c>
      <c r="M401" s="101">
        <v>1137</v>
      </c>
      <c r="N401" s="101">
        <v>150</v>
      </c>
      <c r="O401" s="101">
        <v>117</v>
      </c>
      <c r="P401" s="13">
        <f t="shared" ref="P401:Q401" si="808">J401/H401</f>
        <v>0.10089858793324775</v>
      </c>
      <c r="Q401" s="13">
        <f t="shared" si="808"/>
        <v>0.10627283800243606</v>
      </c>
      <c r="R401" s="13">
        <f t="shared" si="520"/>
        <v>-5.3742500691883049E-3</v>
      </c>
      <c r="S401" s="13">
        <f t="shared" ref="S401:T401" si="809">N401/L401</f>
        <v>0.10814708002883922</v>
      </c>
      <c r="T401" s="13">
        <f t="shared" si="809"/>
        <v>0.10290237467018469</v>
      </c>
      <c r="U401" s="13">
        <f t="shared" si="522"/>
        <v>5.244705358654525E-3</v>
      </c>
      <c r="V401" s="13">
        <f t="shared" si="523"/>
        <v>0.1860535931790499</v>
      </c>
      <c r="W401" s="13">
        <f t="shared" si="524"/>
        <v>0.12607449856733521</v>
      </c>
      <c r="X401" s="13">
        <f t="shared" si="525"/>
        <v>0.2198768689533861</v>
      </c>
      <c r="Y401" s="13">
        <f t="shared" si="526"/>
        <v>0.28205128205128216</v>
      </c>
    </row>
    <row r="402" spans="1:25" ht="14.4">
      <c r="A402" s="98" t="s">
        <v>660</v>
      </c>
      <c r="B402" s="99">
        <v>533553</v>
      </c>
      <c r="C402" s="98" t="s">
        <v>180</v>
      </c>
      <c r="D402" s="70" t="s">
        <v>275</v>
      </c>
      <c r="E402" s="11">
        <f ca="1">IFERROR(__xludf.DUMMYFUNCTION("GOOGLEFINANCE(""BOM:""&amp;B402,""PRICE"")"),878.25)</f>
        <v>878.25</v>
      </c>
      <c r="F402" s="20">
        <f ca="1">IFERROR(__xludf.DUMMYFUNCTION("GOOGLEFINANCE(""BOM:""&amp;B402,""MARKETCAP"")/10000000"),13684.8871467)</f>
        <v>13684.887146700001</v>
      </c>
      <c r="G402" s="95">
        <f t="shared" ca="1" si="541"/>
        <v>3.3967126911966345E-4</v>
      </c>
      <c r="H402" s="101">
        <v>1267</v>
      </c>
      <c r="I402" s="101">
        <v>930</v>
      </c>
      <c r="J402" s="101">
        <v>166</v>
      </c>
      <c r="K402" s="101">
        <v>121</v>
      </c>
      <c r="L402" s="101">
        <v>442</v>
      </c>
      <c r="M402" s="101">
        <v>350</v>
      </c>
      <c r="N402" s="101">
        <v>56</v>
      </c>
      <c r="O402" s="101">
        <v>44</v>
      </c>
      <c r="P402" s="13">
        <f t="shared" ref="P402:Q402" si="810">J402/H402</f>
        <v>0.13101815311760062</v>
      </c>
      <c r="Q402" s="13">
        <f t="shared" si="810"/>
        <v>0.13010752688172042</v>
      </c>
      <c r="R402" s="13">
        <f t="shared" si="520"/>
        <v>9.1062623588020197E-4</v>
      </c>
      <c r="S402" s="13">
        <f t="shared" ref="S402:T402" si="811">N402/L402</f>
        <v>0.12669683257918551</v>
      </c>
      <c r="T402" s="13">
        <f t="shared" si="811"/>
        <v>0.12571428571428572</v>
      </c>
      <c r="U402" s="13">
        <f t="shared" si="522"/>
        <v>9.8254686489979148E-4</v>
      </c>
      <c r="V402" s="13">
        <f t="shared" si="523"/>
        <v>0.36236559139784941</v>
      </c>
      <c r="W402" s="13">
        <f t="shared" si="524"/>
        <v>0.37190082644628109</v>
      </c>
      <c r="X402" s="13">
        <f t="shared" si="525"/>
        <v>0.2628571428571429</v>
      </c>
      <c r="Y402" s="13">
        <f t="shared" si="526"/>
        <v>0.27272727272727271</v>
      </c>
    </row>
    <row r="403" spans="1:25" ht="14.4">
      <c r="A403" s="98" t="s">
        <v>661</v>
      </c>
      <c r="B403" s="99">
        <v>544283</v>
      </c>
      <c r="C403" s="98" t="s">
        <v>198</v>
      </c>
      <c r="D403" s="70" t="s">
        <v>199</v>
      </c>
      <c r="E403" s="11">
        <f ca="1">IFERROR(__xludf.DUMMYFUNCTION("GOOGLEFINANCE(""BOM:""&amp;B403,""PRICE"")"),280.5)</f>
        <v>280.5</v>
      </c>
      <c r="F403" s="20">
        <f ca="1">IFERROR(__xludf.DUMMYFUNCTION("GOOGLEFINANCE(""BOM:""&amp;B403,""MARKETCAP"")/10000000"),16990.6847218)</f>
        <v>16990.6847218</v>
      </c>
      <c r="G403" s="95">
        <f t="shared" ca="1" si="541"/>
        <v>4.2172415313323E-4</v>
      </c>
      <c r="H403" s="101">
        <v>1475</v>
      </c>
      <c r="I403" s="101">
        <v>918</v>
      </c>
      <c r="J403" s="101">
        <v>359</v>
      </c>
      <c r="K403" s="101">
        <v>128</v>
      </c>
      <c r="L403" s="101">
        <v>496</v>
      </c>
      <c r="M403" s="101">
        <v>349</v>
      </c>
      <c r="N403" s="101">
        <v>113</v>
      </c>
      <c r="O403" s="101">
        <v>112</v>
      </c>
      <c r="P403" s="13">
        <f t="shared" ref="P403:Q403" si="812">J403/H403</f>
        <v>0.24338983050847457</v>
      </c>
      <c r="Q403" s="13">
        <f t="shared" si="812"/>
        <v>0.13943355119825709</v>
      </c>
      <c r="R403" s="13">
        <f t="shared" si="520"/>
        <v>0.10395627931021748</v>
      </c>
      <c r="S403" s="13">
        <f t="shared" ref="S403:T403" si="813">N403/L403</f>
        <v>0.22782258064516128</v>
      </c>
      <c r="T403" s="13">
        <f t="shared" si="813"/>
        <v>0.3209169054441261</v>
      </c>
      <c r="U403" s="13">
        <f t="shared" si="522"/>
        <v>-9.3094324798964817E-2</v>
      </c>
      <c r="V403" s="13">
        <f t="shared" si="523"/>
        <v>0.60675381263616557</v>
      </c>
      <c r="W403" s="13">
        <f t="shared" si="524"/>
        <v>1.8046875</v>
      </c>
      <c r="X403" s="13">
        <f t="shared" si="525"/>
        <v>0.42120343839541552</v>
      </c>
      <c r="Y403" s="13">
        <f t="shared" si="526"/>
        <v>8.9285714285713969E-3</v>
      </c>
    </row>
    <row r="404" spans="1:25" ht="14.4">
      <c r="A404" s="98" t="s">
        <v>662</v>
      </c>
      <c r="B404" s="99">
        <v>500110</v>
      </c>
      <c r="C404" s="98" t="s">
        <v>91</v>
      </c>
      <c r="D404" s="101" t="s">
        <v>168</v>
      </c>
      <c r="E404" s="11">
        <f ca="1">IFERROR(__xludf.DUMMYFUNCTION("GOOGLEFINANCE(""BOM:""&amp;B404,""PRICE"")"),990.35)</f>
        <v>990.35</v>
      </c>
      <c r="F404" s="20">
        <f ca="1">IFERROR(__xludf.DUMMYFUNCTION("GOOGLEFINANCE(""BOM:""&amp;B404,""MARKETCAP"")/10000000"),14748.9297947)</f>
        <v>14748.9297947</v>
      </c>
      <c r="G404" s="95">
        <f t="shared" ca="1" si="541"/>
        <v>3.6608176945986988E-4</v>
      </c>
      <c r="H404" s="101">
        <v>58200</v>
      </c>
      <c r="I404" s="101">
        <v>50482</v>
      </c>
      <c r="J404" s="101">
        <v>1680</v>
      </c>
      <c r="K404" s="101">
        <v>-255</v>
      </c>
      <c r="L404" s="101">
        <v>19467</v>
      </c>
      <c r="M404" s="101">
        <v>15687</v>
      </c>
      <c r="N404" s="101">
        <v>1001</v>
      </c>
      <c r="O404" s="101">
        <v>20</v>
      </c>
      <c r="P404" s="13">
        <f t="shared" ref="P404:Q404" si="814">J404/H404</f>
        <v>2.88659793814433E-2</v>
      </c>
      <c r="Q404" s="13">
        <f t="shared" si="814"/>
        <v>-5.0513054157917672E-3</v>
      </c>
      <c r="R404" s="13">
        <f t="shared" si="520"/>
        <v>3.3917284797235069E-2</v>
      </c>
      <c r="S404" s="13">
        <f t="shared" ref="S404:T404" si="815">N404/L404</f>
        <v>5.1420352391226179E-2</v>
      </c>
      <c r="T404" s="13">
        <f t="shared" si="815"/>
        <v>1.2749410339771786E-3</v>
      </c>
      <c r="U404" s="13">
        <f t="shared" si="522"/>
        <v>5.0145411357249002E-2</v>
      </c>
      <c r="V404" s="13">
        <f t="shared" si="523"/>
        <v>0.15288617725129749</v>
      </c>
      <c r="W404" s="13">
        <f t="shared" si="524"/>
        <v>-7.5882352941176467</v>
      </c>
      <c r="X404" s="13">
        <f t="shared" si="525"/>
        <v>0.24096385542168686</v>
      </c>
      <c r="Y404" s="13">
        <f t="shared" si="526"/>
        <v>49.05</v>
      </c>
    </row>
    <row r="405" spans="1:25" ht="14.4">
      <c r="A405" s="98" t="s">
        <v>663</v>
      </c>
      <c r="B405" s="99">
        <v>532783</v>
      </c>
      <c r="C405" s="98" t="s">
        <v>183</v>
      </c>
      <c r="D405" s="101" t="s">
        <v>664</v>
      </c>
      <c r="E405" s="11">
        <f ca="1">IFERROR(__xludf.DUMMYFUNCTION("GOOGLEFINANCE(""BOM:""&amp;B405,""PRICE"")"),382.85)</f>
        <v>382.85</v>
      </c>
      <c r="F405" s="20">
        <f ca="1">IFERROR(__xludf.DUMMYFUNCTION("GOOGLEFINANCE(""BOM:""&amp;B405,""MARKETCAP"")/10000000"),13405.7)</f>
        <v>13405.7</v>
      </c>
      <c r="G405" s="95">
        <f t="shared" ca="1" si="541"/>
        <v>3.3274159177377793E-4</v>
      </c>
      <c r="H405" s="101">
        <v>8038</v>
      </c>
      <c r="I405" s="101">
        <v>6453</v>
      </c>
      <c r="J405" s="101">
        <v>489</v>
      </c>
      <c r="K405" s="101">
        <v>451</v>
      </c>
      <c r="L405" s="101">
        <v>2809</v>
      </c>
      <c r="M405" s="101">
        <v>2274</v>
      </c>
      <c r="N405" s="101">
        <v>157</v>
      </c>
      <c r="O405" s="101">
        <v>145</v>
      </c>
      <c r="P405" s="13">
        <f t="shared" ref="P405:Q405" si="816">J405/H405</f>
        <v>6.0836028862901216E-2</v>
      </c>
      <c r="Q405" s="13">
        <f t="shared" si="816"/>
        <v>6.9889973655664031E-2</v>
      </c>
      <c r="R405" s="13">
        <f t="shared" si="520"/>
        <v>-9.053944792762815E-3</v>
      </c>
      <c r="S405" s="13">
        <f t="shared" ref="S405:T405" si="817">N405/L405</f>
        <v>5.5891776432894266E-2</v>
      </c>
      <c r="T405" s="13">
        <f t="shared" si="817"/>
        <v>6.3764291996481967E-2</v>
      </c>
      <c r="U405" s="13">
        <f t="shared" si="522"/>
        <v>-7.8725155635877009E-3</v>
      </c>
      <c r="V405" s="13">
        <f t="shared" si="523"/>
        <v>0.24562219122888584</v>
      </c>
      <c r="W405" s="13">
        <f t="shared" si="524"/>
        <v>8.4257206208425695E-2</v>
      </c>
      <c r="X405" s="13">
        <f t="shared" si="525"/>
        <v>0.23526824978012306</v>
      </c>
      <c r="Y405" s="13">
        <f t="shared" si="526"/>
        <v>8.2758620689655116E-2</v>
      </c>
    </row>
    <row r="406" spans="1:25" ht="14.4">
      <c r="A406" s="98" t="s">
        <v>665</v>
      </c>
      <c r="B406" s="99">
        <v>500878</v>
      </c>
      <c r="C406" s="98" t="s">
        <v>187</v>
      </c>
      <c r="D406" s="70" t="s">
        <v>392</v>
      </c>
      <c r="E406" s="11">
        <f ca="1">IFERROR(__xludf.DUMMYFUNCTION("GOOGLEFINANCE(""BOM:""&amp;B406,""PRICE"")"),3332.4)</f>
        <v>3332.4</v>
      </c>
      <c r="F406" s="20">
        <f ca="1">IFERROR(__xludf.DUMMYFUNCTION("GOOGLEFINANCE(""BOM:""&amp;B406,""MARKETCAP"")/10000000"),13437.349841)</f>
        <v>13437.349840999999</v>
      </c>
      <c r="G406" s="95">
        <f t="shared" ca="1" si="541"/>
        <v>3.3352716943654278E-4</v>
      </c>
      <c r="H406" s="101">
        <v>11459</v>
      </c>
      <c r="I406" s="101">
        <v>9797</v>
      </c>
      <c r="J406" s="101">
        <v>453</v>
      </c>
      <c r="K406" s="101">
        <v>372</v>
      </c>
      <c r="L406" s="101">
        <v>4157</v>
      </c>
      <c r="M406" s="101">
        <v>3299</v>
      </c>
      <c r="N406" s="101">
        <v>155</v>
      </c>
      <c r="O406" s="101">
        <v>97</v>
      </c>
      <c r="P406" s="13">
        <f t="shared" ref="P406:Q406" si="818">J406/H406</f>
        <v>3.9532245396631471E-2</v>
      </c>
      <c r="Q406" s="13">
        <f t="shared" si="818"/>
        <v>3.7970807390017354E-2</v>
      </c>
      <c r="R406" s="13">
        <f t="shared" si="520"/>
        <v>1.5614380066141173E-3</v>
      </c>
      <c r="S406" s="13">
        <f t="shared" ref="S406:T406" si="819">N406/L406</f>
        <v>3.7286504690882849E-2</v>
      </c>
      <c r="T406" s="13">
        <f t="shared" si="819"/>
        <v>2.9402849348287359E-2</v>
      </c>
      <c r="U406" s="13">
        <f t="shared" si="522"/>
        <v>7.88365534259549E-3</v>
      </c>
      <c r="V406" s="13">
        <f t="shared" si="523"/>
        <v>0.1696437685005614</v>
      </c>
      <c r="W406" s="13">
        <f t="shared" si="524"/>
        <v>0.217741935483871</v>
      </c>
      <c r="X406" s="13">
        <f t="shared" si="525"/>
        <v>0.26007881176113967</v>
      </c>
      <c r="Y406" s="13">
        <f t="shared" si="526"/>
        <v>0.597938144329897</v>
      </c>
    </row>
    <row r="407" spans="1:25" ht="14.4">
      <c r="A407" s="98" t="s">
        <v>666</v>
      </c>
      <c r="B407" s="99">
        <v>543358</v>
      </c>
      <c r="C407" s="98" t="s">
        <v>187</v>
      </c>
      <c r="D407" s="100" t="s">
        <v>312</v>
      </c>
      <c r="E407" s="11">
        <f ca="1">IFERROR(__xludf.DUMMYFUNCTION("GOOGLEFINANCE(""BOM:""&amp;B407,""PRICE"")"),2134.75)</f>
        <v>2134.75</v>
      </c>
      <c r="F407" s="20">
        <f ca="1">IFERROR(__xludf.DUMMYFUNCTION("GOOGLEFINANCE(""BOM:""&amp;B407,""MARKETCAP"")/10000000"),13319.7372926)</f>
        <v>13319.737292600001</v>
      </c>
      <c r="G407" s="95">
        <f t="shared" ca="1" si="541"/>
        <v>3.3060791967210037E-4</v>
      </c>
      <c r="H407" s="101">
        <v>2499</v>
      </c>
      <c r="I407" s="101">
        <v>2235</v>
      </c>
      <c r="J407" s="101">
        <v>203</v>
      </c>
      <c r="K407" s="101">
        <v>157</v>
      </c>
      <c r="L407" s="101">
        <v>907</v>
      </c>
      <c r="M407" s="101">
        <v>727</v>
      </c>
      <c r="N407" s="101">
        <v>69</v>
      </c>
      <c r="O407" s="101">
        <v>55</v>
      </c>
      <c r="P407" s="13">
        <f t="shared" ref="P407:Q407" si="820">J407/H407</f>
        <v>8.1232492997198882E-2</v>
      </c>
      <c r="Q407" s="13">
        <f t="shared" si="820"/>
        <v>7.0246085011185677E-2</v>
      </c>
      <c r="R407" s="13">
        <f t="shared" si="520"/>
        <v>1.0986407986013205E-2</v>
      </c>
      <c r="S407" s="13">
        <f t="shared" ref="S407:T407" si="821">N407/L407</f>
        <v>7.6074972436604188E-2</v>
      </c>
      <c r="T407" s="13">
        <f t="shared" si="821"/>
        <v>7.5653370013755161E-2</v>
      </c>
      <c r="U407" s="13">
        <f t="shared" si="522"/>
        <v>4.2160242284902671E-4</v>
      </c>
      <c r="V407" s="13">
        <f t="shared" si="523"/>
        <v>0.11812080536912761</v>
      </c>
      <c r="W407" s="13">
        <f t="shared" si="524"/>
        <v>0.29299363057324834</v>
      </c>
      <c r="X407" s="13">
        <f t="shared" si="525"/>
        <v>0.24759284731774422</v>
      </c>
      <c r="Y407" s="13">
        <f t="shared" si="526"/>
        <v>0.25454545454545463</v>
      </c>
    </row>
    <row r="408" spans="1:25" ht="14.4">
      <c r="A408" s="98" t="s">
        <v>667</v>
      </c>
      <c r="B408" s="99">
        <v>505714</v>
      </c>
      <c r="C408" s="98" t="s">
        <v>187</v>
      </c>
      <c r="D408" s="101" t="s">
        <v>312</v>
      </c>
      <c r="E408" s="11">
        <f ca="1">IFERROR(__xludf.DUMMYFUNCTION("GOOGLEFINANCE(""BOM:""&amp;B408,""PRICE"")"),885.7)</f>
        <v>885.7</v>
      </c>
      <c r="F408" s="20">
        <f ca="1">IFERROR(__xludf.DUMMYFUNCTION("GOOGLEFINANCE(""BOM:""&amp;B408,""MARKETCAP"")/10000000"),12741.20506)</f>
        <v>12741.20506</v>
      </c>
      <c r="G408" s="95">
        <f t="shared" ca="1" si="541"/>
        <v>3.1624822670808041E-4</v>
      </c>
      <c r="H408" s="101">
        <v>3457</v>
      </c>
      <c r="I408" s="101">
        <v>2990</v>
      </c>
      <c r="J408" s="101">
        <v>185</v>
      </c>
      <c r="K408" s="101">
        <v>180</v>
      </c>
      <c r="L408" s="101">
        <v>1178</v>
      </c>
      <c r="M408" s="101">
        <v>1016</v>
      </c>
      <c r="N408" s="101">
        <v>54</v>
      </c>
      <c r="O408" s="101">
        <v>60</v>
      </c>
      <c r="P408" s="13">
        <f t="shared" ref="P408:Q408" si="822">J408/H408</f>
        <v>5.3514608041654615E-2</v>
      </c>
      <c r="Q408" s="13">
        <f t="shared" si="822"/>
        <v>6.0200668896321072E-2</v>
      </c>
      <c r="R408" s="13">
        <f t="shared" si="520"/>
        <v>-6.6860608546664563E-3</v>
      </c>
      <c r="S408" s="13">
        <f t="shared" ref="S408:T408" si="823">N408/L408</f>
        <v>4.5840407470288627E-2</v>
      </c>
      <c r="T408" s="13">
        <f t="shared" si="823"/>
        <v>5.905511811023622E-2</v>
      </c>
      <c r="U408" s="13">
        <f t="shared" si="522"/>
        <v>-1.3214710639947592E-2</v>
      </c>
      <c r="V408" s="13">
        <f t="shared" si="523"/>
        <v>0.15618729096989958</v>
      </c>
      <c r="W408" s="13">
        <f t="shared" si="524"/>
        <v>2.7777777777777679E-2</v>
      </c>
      <c r="X408" s="13">
        <f t="shared" si="525"/>
        <v>0.15944881889763773</v>
      </c>
      <c r="Y408" s="13">
        <f t="shared" si="526"/>
        <v>-9.9999999999999978E-2</v>
      </c>
    </row>
    <row r="409" spans="1:25" ht="14.4">
      <c r="A409" s="104" t="s">
        <v>668</v>
      </c>
      <c r="B409" s="99">
        <v>509488</v>
      </c>
      <c r="C409" s="98" t="s">
        <v>180</v>
      </c>
      <c r="D409" s="102" t="s">
        <v>669</v>
      </c>
      <c r="E409" s="11">
        <f ca="1">IFERROR(__xludf.DUMMYFUNCTION("GOOGLEFINANCE(""BOM:""&amp;B409,""PRICE"")"),630.85)</f>
        <v>630.85</v>
      </c>
      <c r="F409" s="20">
        <f ca="1">IFERROR(__xludf.DUMMYFUNCTION("GOOGLEFINANCE(""BOM:""&amp;B409,""MARKETCAP"")/10000000"),12338.9457795)</f>
        <v>12338.9457795</v>
      </c>
      <c r="G409" s="95">
        <f t="shared" ca="1" si="541"/>
        <v>3.0626378775305797E-4</v>
      </c>
      <c r="H409" s="101">
        <v>2036</v>
      </c>
      <c r="I409" s="101">
        <v>1894</v>
      </c>
      <c r="J409" s="101">
        <v>2766</v>
      </c>
      <c r="K409" s="101">
        <v>409</v>
      </c>
      <c r="L409" s="101">
        <v>642</v>
      </c>
      <c r="M409" s="101">
        <v>523</v>
      </c>
      <c r="N409" s="101">
        <v>67</v>
      </c>
      <c r="O409" s="101">
        <v>-21</v>
      </c>
      <c r="P409" s="13">
        <f t="shared" ref="P409:Q409" si="824">J409/H409</f>
        <v>1.3585461689587426</v>
      </c>
      <c r="Q409" s="13">
        <f t="shared" si="824"/>
        <v>0.21594508975712778</v>
      </c>
      <c r="R409" s="13">
        <f t="shared" si="520"/>
        <v>1.1426010792016148</v>
      </c>
      <c r="S409" s="13">
        <f t="shared" ref="S409:T409" si="825">N409/L409</f>
        <v>0.1043613707165109</v>
      </c>
      <c r="T409" s="13">
        <f t="shared" si="825"/>
        <v>-4.0152963671128104E-2</v>
      </c>
      <c r="U409" s="13">
        <f t="shared" si="522"/>
        <v>0.144514334387639</v>
      </c>
      <c r="V409" s="13">
        <f t="shared" si="523"/>
        <v>7.4973600844773003E-2</v>
      </c>
      <c r="W409" s="13">
        <f t="shared" si="524"/>
        <v>5.7628361858190713</v>
      </c>
      <c r="X409" s="13">
        <f t="shared" si="525"/>
        <v>0.22753346080305925</v>
      </c>
      <c r="Y409" s="13">
        <f t="shared" si="526"/>
        <v>-4.1904761904761907</v>
      </c>
    </row>
    <row r="410" spans="1:25" ht="14.4">
      <c r="A410" s="98" t="s">
        <v>670</v>
      </c>
      <c r="B410" s="99">
        <v>532726</v>
      </c>
      <c r="C410" s="98" t="s">
        <v>180</v>
      </c>
      <c r="D410" s="102" t="s">
        <v>384</v>
      </c>
      <c r="E410" s="11">
        <f ca="1">IFERROR(__xludf.DUMMYFUNCTION("GOOGLEFINANCE(""BOM:""&amp;B410,""PRICE"")"),566.95)</f>
        <v>566.95000000000005</v>
      </c>
      <c r="F410" s="20">
        <f ca="1">IFERROR(__xludf.DUMMYFUNCTION("GOOGLEFINANCE(""BOM:""&amp;B410,""MARKETCAP"")/10000000"),13656.0852575)</f>
        <v>13656.085257500001</v>
      </c>
      <c r="G410" s="95">
        <f t="shared" ca="1" si="541"/>
        <v>3.38956380194915E-4</v>
      </c>
      <c r="H410" s="101">
        <v>3214</v>
      </c>
      <c r="I410" s="101">
        <v>3220</v>
      </c>
      <c r="J410" s="101">
        <v>361</v>
      </c>
      <c r="K410" s="101">
        <v>284</v>
      </c>
      <c r="L410" s="101">
        <v>1073</v>
      </c>
      <c r="M410" s="101">
        <v>1118</v>
      </c>
      <c r="N410" s="101">
        <v>100</v>
      </c>
      <c r="O410" s="101">
        <v>113</v>
      </c>
      <c r="P410" s="13">
        <f t="shared" ref="P410:Q410" si="826">J410/H410</f>
        <v>0.11232109520846298</v>
      </c>
      <c r="Q410" s="13">
        <f t="shared" si="826"/>
        <v>8.819875776397515E-2</v>
      </c>
      <c r="R410" s="13">
        <f t="shared" si="520"/>
        <v>2.4122337444487829E-2</v>
      </c>
      <c r="S410" s="13">
        <f t="shared" ref="S410:T410" si="827">N410/L410</f>
        <v>9.3196644920782848E-2</v>
      </c>
      <c r="T410" s="13">
        <f t="shared" si="827"/>
        <v>0.10107334525939177</v>
      </c>
      <c r="U410" s="13">
        <f t="shared" si="522"/>
        <v>-7.876700338608919E-3</v>
      </c>
      <c r="V410" s="13">
        <f t="shared" si="523"/>
        <v>-1.8633540372671176E-3</v>
      </c>
      <c r="W410" s="13">
        <f t="shared" si="524"/>
        <v>0.27112676056338025</v>
      </c>
      <c r="X410" s="13">
        <f t="shared" si="525"/>
        <v>-4.0250447227191399E-2</v>
      </c>
      <c r="Y410" s="13">
        <f t="shared" si="526"/>
        <v>-0.11504424778761058</v>
      </c>
    </row>
    <row r="411" spans="1:25" ht="14.4">
      <c r="A411" s="104" t="s">
        <v>671</v>
      </c>
      <c r="B411" s="99">
        <v>500040</v>
      </c>
      <c r="C411" s="98" t="s">
        <v>196</v>
      </c>
      <c r="D411" s="108" t="s">
        <v>672</v>
      </c>
      <c r="E411" s="11">
        <f ca="1">IFERROR(__xludf.DUMMYFUNCTION("GOOGLEFINANCE(""BOM:""&amp;B411,""PRICE"")"),1172.1)</f>
        <v>1172.0999999999999</v>
      </c>
      <c r="F411" s="20">
        <f ca="1">IFERROR(__xludf.DUMMYFUNCTION("GOOGLEFINANCE(""BOM:""&amp;B411,""MARKETCAP"")/10000000"),12950.288175)</f>
        <v>12950.288175</v>
      </c>
      <c r="G411" s="95">
        <f t="shared" ca="1" si="541"/>
        <v>3.2143785861824697E-4</v>
      </c>
      <c r="H411" s="101">
        <v>360</v>
      </c>
      <c r="I411" s="101">
        <v>849</v>
      </c>
      <c r="J411" s="101">
        <v>-227</v>
      </c>
      <c r="K411" s="101">
        <v>-21</v>
      </c>
      <c r="L411" s="101">
        <v>90</v>
      </c>
      <c r="M411" s="101">
        <v>208</v>
      </c>
      <c r="N411" s="101">
        <v>-107</v>
      </c>
      <c r="O411" s="101">
        <v>-30</v>
      </c>
      <c r="P411" s="13">
        <f t="shared" ref="P411:Q411" si="828">J411/H411</f>
        <v>-0.63055555555555554</v>
      </c>
      <c r="Q411" s="13">
        <f t="shared" si="828"/>
        <v>-2.4734982332155476E-2</v>
      </c>
      <c r="R411" s="13">
        <f t="shared" si="520"/>
        <v>-0.60582057322340011</v>
      </c>
      <c r="S411" s="13">
        <f t="shared" ref="S411:T411" si="829">N411/L411</f>
        <v>-1.1888888888888889</v>
      </c>
      <c r="T411" s="13">
        <f t="shared" si="829"/>
        <v>-0.14423076923076922</v>
      </c>
      <c r="U411" s="13">
        <f t="shared" si="522"/>
        <v>-1.0446581196581197</v>
      </c>
      <c r="V411" s="13">
        <f t="shared" si="523"/>
        <v>-0.57597173144876324</v>
      </c>
      <c r="W411" s="13">
        <f t="shared" si="524"/>
        <v>9.8095238095238102</v>
      </c>
      <c r="X411" s="13">
        <f t="shared" si="525"/>
        <v>-0.56730769230769229</v>
      </c>
      <c r="Y411" s="13">
        <f t="shared" si="526"/>
        <v>2.5666666666666669</v>
      </c>
    </row>
    <row r="412" spans="1:25" ht="14.4">
      <c r="A412" s="98" t="s">
        <v>673</v>
      </c>
      <c r="B412" s="99">
        <v>544045</v>
      </c>
      <c r="C412" s="98" t="s">
        <v>183</v>
      </c>
      <c r="D412" s="102" t="s">
        <v>674</v>
      </c>
      <c r="E412" s="11">
        <f ca="1">IFERROR(__xludf.DUMMYFUNCTION("GOOGLEFINANCE(""BOM:""&amp;B412,""PRICE"")"),2318)</f>
        <v>2318</v>
      </c>
      <c r="F412" s="20">
        <f ca="1">IFERROR(__xludf.DUMMYFUNCTION("GOOGLEFINANCE(""BOM:""&amp;B412,""MARKETCAP"")/10000000"),14062.0935369)</f>
        <v>14062.0935369</v>
      </c>
      <c r="G412" s="95">
        <f t="shared" ca="1" si="541"/>
        <v>3.490338726914567E-4</v>
      </c>
      <c r="H412" s="101">
        <v>1722</v>
      </c>
      <c r="I412" s="101">
        <v>1403</v>
      </c>
      <c r="J412" s="101">
        <v>181</v>
      </c>
      <c r="K412" s="101">
        <v>162</v>
      </c>
      <c r="L412" s="101">
        <v>592</v>
      </c>
      <c r="M412" s="101">
        <v>501</v>
      </c>
      <c r="N412" s="101">
        <v>61</v>
      </c>
      <c r="O412" s="101">
        <v>54</v>
      </c>
      <c r="P412" s="13">
        <f t="shared" ref="P412:Q412" si="830">J412/H412</f>
        <v>0.10511033681765389</v>
      </c>
      <c r="Q412" s="13">
        <f t="shared" si="830"/>
        <v>0.11546685673556664</v>
      </c>
      <c r="R412" s="13">
        <f t="shared" si="520"/>
        <v>-1.0356519917912754E-2</v>
      </c>
      <c r="S412" s="13">
        <f t="shared" ref="S412:T412" si="831">N412/L412</f>
        <v>0.10304054054054054</v>
      </c>
      <c r="T412" s="13">
        <f t="shared" si="831"/>
        <v>0.10778443113772455</v>
      </c>
      <c r="U412" s="13">
        <f t="shared" si="522"/>
        <v>-4.7438905971840112E-3</v>
      </c>
      <c r="V412" s="13">
        <f t="shared" si="523"/>
        <v>0.22736992159657876</v>
      </c>
      <c r="W412" s="13">
        <f t="shared" si="524"/>
        <v>0.11728395061728403</v>
      </c>
      <c r="X412" s="13">
        <f t="shared" si="525"/>
        <v>0.1816367265469061</v>
      </c>
      <c r="Y412" s="13">
        <f t="shared" si="526"/>
        <v>0.12962962962962954</v>
      </c>
    </row>
    <row r="413" spans="1:25" ht="14.4">
      <c r="A413" s="98" t="s">
        <v>675</v>
      </c>
      <c r="B413" s="99">
        <v>533573</v>
      </c>
      <c r="C413" s="98" t="s">
        <v>190</v>
      </c>
      <c r="D413" s="102" t="s">
        <v>100</v>
      </c>
      <c r="E413" s="11">
        <f ca="1">IFERROR(__xludf.DUMMYFUNCTION("GOOGLEFINANCE(""BOM:""&amp;B413,""PRICE"")"),651.3)</f>
        <v>651.29999999999995</v>
      </c>
      <c r="F413" s="20">
        <f ca="1">IFERROR(__xludf.DUMMYFUNCTION("GOOGLEFINANCE(""BOM:""&amp;B413,""MARKETCAP"")/10000000"),12797.233875)</f>
        <v>12797.233875</v>
      </c>
      <c r="G413" s="95">
        <f t="shared" ca="1" si="541"/>
        <v>3.176389125423374E-4</v>
      </c>
      <c r="H413" s="101">
        <v>5497</v>
      </c>
      <c r="I413" s="101">
        <v>4902</v>
      </c>
      <c r="J413" s="101">
        <v>469</v>
      </c>
      <c r="K413" s="101">
        <v>425</v>
      </c>
      <c r="L413" s="101">
        <v>1876</v>
      </c>
      <c r="M413" s="101">
        <v>1693</v>
      </c>
      <c r="N413" s="101">
        <v>132</v>
      </c>
      <c r="O413" s="101">
        <v>138</v>
      </c>
      <c r="P413" s="13">
        <f t="shared" ref="P413:Q413" si="832">J413/H413</f>
        <v>8.5319265053665633E-2</v>
      </c>
      <c r="Q413" s="13">
        <f t="shared" si="832"/>
        <v>8.6699306405548751E-2</v>
      </c>
      <c r="R413" s="13">
        <f t="shared" si="520"/>
        <v>-1.3800413518831184E-3</v>
      </c>
      <c r="S413" s="13">
        <f t="shared" ref="S413:T413" si="833">N413/L413</f>
        <v>7.0362473347547971E-2</v>
      </c>
      <c r="T413" s="13">
        <f t="shared" si="833"/>
        <v>8.1512108682811571E-2</v>
      </c>
      <c r="U413" s="13">
        <f t="shared" si="522"/>
        <v>-1.11496353352636E-2</v>
      </c>
      <c r="V413" s="13">
        <f t="shared" si="523"/>
        <v>0.12137902896776831</v>
      </c>
      <c r="W413" s="13">
        <f t="shared" si="524"/>
        <v>0.10352941176470587</v>
      </c>
      <c r="X413" s="13">
        <f t="shared" si="525"/>
        <v>0.10809214412285884</v>
      </c>
      <c r="Y413" s="13">
        <f t="shared" si="526"/>
        <v>-4.3478260869565188E-2</v>
      </c>
    </row>
    <row r="414" spans="1:25" ht="14.4">
      <c r="A414" s="98" t="s">
        <v>676</v>
      </c>
      <c r="B414" s="99">
        <v>541557</v>
      </c>
      <c r="C414" s="98" t="s">
        <v>196</v>
      </c>
      <c r="D414" s="109" t="s">
        <v>251</v>
      </c>
      <c r="E414" s="11">
        <f ca="1">IFERROR(__xludf.DUMMYFUNCTION("GOOGLEFINANCE(""BOM:""&amp;B414,""PRICE"")"),4310)</f>
        <v>4310</v>
      </c>
      <c r="F414" s="20">
        <f ca="1">IFERROR(__xludf.DUMMYFUNCTION("GOOGLEFINANCE(""BOM:""&amp;B414,""MARKETCAP"")/10000000"),13185.324399)</f>
        <v>13185.324398999999</v>
      </c>
      <c r="G414" s="95">
        <f t="shared" ca="1" si="541"/>
        <v>3.2727167015350871E-4</v>
      </c>
      <c r="H414" s="101">
        <v>1740</v>
      </c>
      <c r="I414" s="101">
        <v>1662</v>
      </c>
      <c r="J414" s="101">
        <v>299</v>
      </c>
      <c r="K414" s="101">
        <v>313</v>
      </c>
      <c r="L414" s="101">
        <v>554</v>
      </c>
      <c r="M414" s="101">
        <v>516</v>
      </c>
      <c r="N414" s="101">
        <v>73</v>
      </c>
      <c r="O414" s="101">
        <v>82</v>
      </c>
      <c r="P414" s="13">
        <f t="shared" ref="P414:Q414" si="834">J414/H414</f>
        <v>0.17183908045977012</v>
      </c>
      <c r="Q414" s="13">
        <f t="shared" si="834"/>
        <v>0.18832731648616124</v>
      </c>
      <c r="R414" s="13">
        <f t="shared" si="520"/>
        <v>-1.6488236026391129E-2</v>
      </c>
      <c r="S414" s="13">
        <f t="shared" ref="S414:T414" si="835">N414/L414</f>
        <v>0.13176895306859207</v>
      </c>
      <c r="T414" s="13">
        <f t="shared" si="835"/>
        <v>0.15891472868217055</v>
      </c>
      <c r="U414" s="13">
        <f t="shared" si="522"/>
        <v>-2.7145775613578477E-2</v>
      </c>
      <c r="V414" s="13">
        <f t="shared" si="523"/>
        <v>4.6931407942238268E-2</v>
      </c>
      <c r="W414" s="13">
        <f t="shared" si="524"/>
        <v>-4.4728434504792358E-2</v>
      </c>
      <c r="X414" s="13">
        <f t="shared" si="525"/>
        <v>7.3643410852713087E-2</v>
      </c>
      <c r="Y414" s="13">
        <f t="shared" si="526"/>
        <v>-0.1097560975609756</v>
      </c>
    </row>
    <row r="415" spans="1:25" ht="14.4">
      <c r="A415" s="104" t="s">
        <v>677</v>
      </c>
      <c r="B415" s="99">
        <v>500048</v>
      </c>
      <c r="C415" s="98" t="s">
        <v>180</v>
      </c>
      <c r="D415" s="100" t="s">
        <v>678</v>
      </c>
      <c r="E415" s="11">
        <f ca="1">IFERROR(__xludf.DUMMYFUNCTION("GOOGLEFINANCE(""BOM:""&amp;B415,""PRICE"")"),1506.1)</f>
        <v>1506.1</v>
      </c>
      <c r="F415" s="20">
        <f ca="1">IFERROR(__xludf.DUMMYFUNCTION("GOOGLEFINANCE(""BOM:""&amp;B415,""MARKETCAP"")/10000000"),12542.4861956)</f>
        <v>12542.4861956</v>
      </c>
      <c r="G415" s="95">
        <f t="shared" ca="1" si="541"/>
        <v>3.1131584486633151E-4</v>
      </c>
      <c r="H415" s="101">
        <v>2556</v>
      </c>
      <c r="I415" s="101">
        <v>2369</v>
      </c>
      <c r="J415" s="101">
        <v>-38</v>
      </c>
      <c r="K415" s="101">
        <v>4</v>
      </c>
      <c r="L415" s="101">
        <v>1083</v>
      </c>
      <c r="M415" s="101">
        <v>875</v>
      </c>
      <c r="N415" s="101">
        <v>-22</v>
      </c>
      <c r="O415" s="101">
        <v>24</v>
      </c>
      <c r="P415" s="13">
        <f t="shared" ref="P415:Q415" si="836">J415/H415</f>
        <v>-1.486697965571205E-2</v>
      </c>
      <c r="Q415" s="13">
        <f t="shared" si="836"/>
        <v>1.6884761502743773E-3</v>
      </c>
      <c r="R415" s="13">
        <f t="shared" si="520"/>
        <v>-1.6555455805986427E-2</v>
      </c>
      <c r="S415" s="13">
        <f t="shared" ref="S415:T415" si="837">N415/L415</f>
        <v>-2.0313942751615882E-2</v>
      </c>
      <c r="T415" s="13">
        <f t="shared" si="837"/>
        <v>2.7428571428571427E-2</v>
      </c>
      <c r="U415" s="13">
        <f t="shared" si="522"/>
        <v>-4.7742514180187309E-2</v>
      </c>
      <c r="V415" s="13">
        <f t="shared" si="523"/>
        <v>7.8936260025327165E-2</v>
      </c>
      <c r="W415" s="13">
        <f t="shared" si="524"/>
        <v>-10.5</v>
      </c>
      <c r="X415" s="13">
        <f t="shared" si="525"/>
        <v>0.23771428571428577</v>
      </c>
      <c r="Y415" s="13">
        <f t="shared" si="526"/>
        <v>-1.9166666666666665</v>
      </c>
    </row>
    <row r="416" spans="1:25" ht="14.4">
      <c r="A416" s="104" t="s">
        <v>679</v>
      </c>
      <c r="B416" s="99">
        <v>544286</v>
      </c>
      <c r="C416" s="98" t="s">
        <v>172</v>
      </c>
      <c r="D416" s="70" t="s">
        <v>86</v>
      </c>
      <c r="E416" s="11">
        <f ca="1">IFERROR(__xludf.DUMMYFUNCTION("GOOGLEFINANCE(""BOM:""&amp;B416,""PRICE"")"),73.41)</f>
        <v>73.41</v>
      </c>
      <c r="F416" s="20">
        <f ca="1">IFERROR(__xludf.DUMMYFUNCTION("GOOGLEFINANCE(""BOM:""&amp;B416,""MARKETCAP"")/10000000"),13430.778607)</f>
        <v>13430.778607</v>
      </c>
      <c r="G416" s="95">
        <f t="shared" ca="1" si="541"/>
        <v>3.3336406546874718E-4</v>
      </c>
      <c r="H416" s="101">
        <v>4396</v>
      </c>
      <c r="I416" s="101">
        <v>3759</v>
      </c>
      <c r="J416" s="101">
        <v>-214</v>
      </c>
      <c r="K416" s="101">
        <v>7</v>
      </c>
      <c r="L416" s="101">
        <v>1549</v>
      </c>
      <c r="M416" s="101">
        <v>1240</v>
      </c>
      <c r="N416" s="101">
        <v>-87</v>
      </c>
      <c r="O416" s="101">
        <v>13</v>
      </c>
      <c r="P416" s="13">
        <f t="shared" ref="P416:Q416" si="838">J416/H416</f>
        <v>-4.8680618744313009E-2</v>
      </c>
      <c r="Q416" s="13">
        <f t="shared" si="838"/>
        <v>1.8621973929236499E-3</v>
      </c>
      <c r="R416" s="13">
        <f t="shared" si="520"/>
        <v>-5.0542816137236657E-2</v>
      </c>
      <c r="S416" s="13">
        <f t="shared" ref="S416:T416" si="839">N416/L416</f>
        <v>-5.6165267914783733E-2</v>
      </c>
      <c r="T416" s="13">
        <f t="shared" si="839"/>
        <v>1.0483870967741936E-2</v>
      </c>
      <c r="U416" s="13">
        <f t="shared" si="522"/>
        <v>-6.6649138882525674E-2</v>
      </c>
      <c r="V416" s="13">
        <f t="shared" si="523"/>
        <v>0.16945996275605224</v>
      </c>
      <c r="W416" s="13">
        <f t="shared" si="524"/>
        <v>-31.571428571428573</v>
      </c>
      <c r="X416" s="13">
        <f t="shared" si="525"/>
        <v>0.24919354838709684</v>
      </c>
      <c r="Y416" s="13">
        <f t="shared" si="526"/>
        <v>-7.6923076923076925</v>
      </c>
    </row>
    <row r="417" spans="1:25" ht="14.4">
      <c r="A417" s="98" t="s">
        <v>680</v>
      </c>
      <c r="B417" s="99">
        <v>544344</v>
      </c>
      <c r="C417" s="98" t="s">
        <v>187</v>
      </c>
      <c r="D417" s="101" t="s">
        <v>312</v>
      </c>
      <c r="E417" s="11">
        <f ca="1">IFERROR(__xludf.DUMMYFUNCTION("GOOGLEFINANCE(""BOM:""&amp;B417,""PRICE"")"),2964.15)</f>
        <v>2964.15</v>
      </c>
      <c r="F417" s="20">
        <f ca="1">IFERROR(__xludf.DUMMYFUNCTION("GOOGLEFINANCE(""BOM:""&amp;B417,""MARKETCAP"")/10000000"),13060.3307016)</f>
        <v>13060.3307016</v>
      </c>
      <c r="G417" s="95">
        <f t="shared" ca="1" si="541"/>
        <v>3.2416921359886659E-4</v>
      </c>
      <c r="H417" s="101">
        <v>3002</v>
      </c>
      <c r="I417" s="101">
        <v>2561</v>
      </c>
      <c r="J417" s="101">
        <v>402</v>
      </c>
      <c r="K417" s="101">
        <v>364</v>
      </c>
      <c r="L417" s="101">
        <v>1023</v>
      </c>
      <c r="M417" s="101">
        <v>847</v>
      </c>
      <c r="N417" s="101">
        <v>125</v>
      </c>
      <c r="O417" s="101">
        <v>120</v>
      </c>
      <c r="P417" s="13">
        <f t="shared" ref="P417:Q417" si="840">J417/H417</f>
        <v>0.13391072618254496</v>
      </c>
      <c r="Q417" s="13">
        <f t="shared" si="840"/>
        <v>0.14213197969543148</v>
      </c>
      <c r="R417" s="13">
        <f t="shared" si="520"/>
        <v>-8.2212535128865227E-3</v>
      </c>
      <c r="S417" s="13">
        <f t="shared" ref="S417:T417" si="841">N417/L417</f>
        <v>0.12218963831867058</v>
      </c>
      <c r="T417" s="13">
        <f t="shared" si="841"/>
        <v>0.14167650531286896</v>
      </c>
      <c r="U417" s="13">
        <f t="shared" si="522"/>
        <v>-1.9486866994198382E-2</v>
      </c>
      <c r="V417" s="13">
        <f t="shared" si="523"/>
        <v>0.17219836001561895</v>
      </c>
      <c r="W417" s="13">
        <f t="shared" si="524"/>
        <v>0.10439560439560447</v>
      </c>
      <c r="X417" s="13">
        <f t="shared" si="525"/>
        <v>0.20779220779220786</v>
      </c>
      <c r="Y417" s="13">
        <f t="shared" si="526"/>
        <v>4.1666666666666741E-2</v>
      </c>
    </row>
    <row r="418" spans="1:25" ht="14.4">
      <c r="A418" s="104" t="s">
        <v>681</v>
      </c>
      <c r="B418" s="99">
        <v>543990</v>
      </c>
      <c r="C418" s="98" t="s">
        <v>187</v>
      </c>
      <c r="D418" s="101" t="s">
        <v>131</v>
      </c>
      <c r="E418" s="11">
        <f ca="1">IFERROR(__xludf.DUMMYFUNCTION("GOOGLEFINANCE(""BOM:""&amp;B418,""PRICE"")"),764.1)</f>
        <v>764.1</v>
      </c>
      <c r="F418" s="20">
        <f ca="1">IFERROR(__xludf.DUMMYFUNCTION("GOOGLEFINANCE(""BOM:""&amp;B418,""MARKETCAP"")/10000000"),10727.991945)</f>
        <v>10727.991945</v>
      </c>
      <c r="G418" s="95">
        <f t="shared" ca="1" si="541"/>
        <v>2.6627845739614998E-4</v>
      </c>
      <c r="H418" s="101">
        <v>1488</v>
      </c>
      <c r="I418" s="101">
        <v>1977</v>
      </c>
      <c r="J418" s="101">
        <v>-57</v>
      </c>
      <c r="K418" s="101">
        <v>40</v>
      </c>
      <c r="L418" s="101">
        <v>284</v>
      </c>
      <c r="M418" s="101">
        <v>827</v>
      </c>
      <c r="N418" s="101">
        <v>-45</v>
      </c>
      <c r="O418" s="101">
        <v>29</v>
      </c>
      <c r="P418" s="13">
        <f t="shared" ref="P418:Q418" si="842">J418/H418</f>
        <v>-3.8306451612903226E-2</v>
      </c>
      <c r="Q418" s="13">
        <f t="shared" si="842"/>
        <v>2.0232675771370764E-2</v>
      </c>
      <c r="R418" s="13">
        <f t="shared" si="520"/>
        <v>-5.8539127384273991E-2</v>
      </c>
      <c r="S418" s="13">
        <f t="shared" ref="S418:T418" si="843">N418/L418</f>
        <v>-0.15845070422535212</v>
      </c>
      <c r="T418" s="13">
        <f t="shared" si="843"/>
        <v>3.5066505441354291E-2</v>
      </c>
      <c r="U418" s="13">
        <f t="shared" si="522"/>
        <v>-0.19351720966670641</v>
      </c>
      <c r="V418" s="13">
        <f t="shared" si="523"/>
        <v>-0.24734446130500753</v>
      </c>
      <c r="W418" s="13">
        <f t="shared" si="524"/>
        <v>-2.4249999999999998</v>
      </c>
      <c r="X418" s="13">
        <f t="shared" si="525"/>
        <v>-0.65659008464328905</v>
      </c>
      <c r="Y418" s="13">
        <f t="shared" si="526"/>
        <v>-2.5517241379310347</v>
      </c>
    </row>
    <row r="419" spans="1:25" ht="14.4">
      <c r="A419" s="98" t="s">
        <v>682</v>
      </c>
      <c r="B419" s="99">
        <v>532953</v>
      </c>
      <c r="C419" s="98" t="s">
        <v>187</v>
      </c>
      <c r="D419" s="101" t="s">
        <v>93</v>
      </c>
      <c r="E419" s="11">
        <f ca="1">IFERROR(__xludf.DUMMYFUNCTION("GOOGLEFINANCE(""BOM:""&amp;B419,""PRICE"")"),323.5)</f>
        <v>323.5</v>
      </c>
      <c r="F419" s="20">
        <f ca="1">IFERROR(__xludf.DUMMYFUNCTION("GOOGLEFINANCE(""BOM:""&amp;B419,""MARKETCAP"")/10000000"),14126.8248356)</f>
        <v>14126.8248356</v>
      </c>
      <c r="G419" s="95">
        <f t="shared" ca="1" si="541"/>
        <v>3.5064056203755738E-4</v>
      </c>
      <c r="H419" s="101">
        <v>4211</v>
      </c>
      <c r="I419" s="101">
        <v>4040</v>
      </c>
      <c r="J419" s="101">
        <v>196</v>
      </c>
      <c r="K419" s="101">
        <v>223</v>
      </c>
      <c r="L419" s="101">
        <v>1404</v>
      </c>
      <c r="M419" s="101">
        <v>1269</v>
      </c>
      <c r="N419" s="101">
        <v>57</v>
      </c>
      <c r="O419" s="101">
        <v>60</v>
      </c>
      <c r="P419" s="13">
        <f t="shared" ref="P419:Q419" si="844">J419/H419</f>
        <v>4.6544763714082164E-2</v>
      </c>
      <c r="Q419" s="13">
        <f t="shared" si="844"/>
        <v>5.5198019801980198E-2</v>
      </c>
      <c r="R419" s="13">
        <f t="shared" si="520"/>
        <v>-8.6532560878980341E-3</v>
      </c>
      <c r="S419" s="13">
        <f t="shared" ref="S419:T419" si="845">N419/L419</f>
        <v>4.05982905982906E-2</v>
      </c>
      <c r="T419" s="13">
        <f t="shared" si="845"/>
        <v>4.7281323877068557E-2</v>
      </c>
      <c r="U419" s="13">
        <f t="shared" si="522"/>
        <v>-6.683033278777957E-3</v>
      </c>
      <c r="V419" s="13">
        <f t="shared" si="523"/>
        <v>4.2326732673267253E-2</v>
      </c>
      <c r="W419" s="13">
        <f t="shared" si="524"/>
        <v>-0.12107623318385652</v>
      </c>
      <c r="X419" s="13">
        <f t="shared" si="525"/>
        <v>0.1063829787234043</v>
      </c>
      <c r="Y419" s="13">
        <f t="shared" si="526"/>
        <v>-5.0000000000000044E-2</v>
      </c>
    </row>
    <row r="420" spans="1:25" ht="14.4">
      <c r="A420" s="98" t="s">
        <v>683</v>
      </c>
      <c r="B420" s="99">
        <v>519600</v>
      </c>
      <c r="C420" s="98" t="s">
        <v>183</v>
      </c>
      <c r="D420" s="102" t="s">
        <v>126</v>
      </c>
      <c r="E420" s="11">
        <f ca="1">IFERROR(__xludf.DUMMYFUNCTION("GOOGLEFINANCE(""BOM:""&amp;B420,""PRICE"")"),1107)</f>
        <v>1107</v>
      </c>
      <c r="F420" s="20">
        <f ca="1">IFERROR(__xludf.DUMMYFUNCTION("GOOGLEFINANCE(""BOM:""&amp;B420,""MARKETCAP"")/10000000"),14754.3418096)</f>
        <v>14754.3418096</v>
      </c>
      <c r="G420" s="95">
        <f t="shared" ca="1" si="541"/>
        <v>3.6621610056175412E-4</v>
      </c>
      <c r="H420" s="101">
        <v>3232</v>
      </c>
      <c r="I420" s="101">
        <v>2274</v>
      </c>
      <c r="J420" s="101">
        <v>273</v>
      </c>
      <c r="K420" s="101">
        <v>208</v>
      </c>
      <c r="L420" s="101">
        <v>1050</v>
      </c>
      <c r="M420" s="101">
        <v>758</v>
      </c>
      <c r="N420" s="101">
        <v>100</v>
      </c>
      <c r="O420" s="101">
        <v>63</v>
      </c>
      <c r="P420" s="13">
        <f t="shared" ref="P420:Q420" si="846">J420/H420</f>
        <v>8.4467821782178223E-2</v>
      </c>
      <c r="Q420" s="13">
        <f t="shared" si="846"/>
        <v>9.1468777484608618E-2</v>
      </c>
      <c r="R420" s="13">
        <f t="shared" si="520"/>
        <v>-7.0009557024303948E-3</v>
      </c>
      <c r="S420" s="13">
        <f t="shared" ref="S420:T420" si="847">N420/L420</f>
        <v>9.5238095238095233E-2</v>
      </c>
      <c r="T420" s="13">
        <f t="shared" si="847"/>
        <v>8.3113456464379953E-2</v>
      </c>
      <c r="U420" s="13">
        <f t="shared" si="522"/>
        <v>1.2124638773715279E-2</v>
      </c>
      <c r="V420" s="13">
        <f t="shared" si="523"/>
        <v>0.42128408091468783</v>
      </c>
      <c r="W420" s="13">
        <f t="shared" si="524"/>
        <v>0.3125</v>
      </c>
      <c r="X420" s="13">
        <f t="shared" si="525"/>
        <v>0.38522427440633256</v>
      </c>
      <c r="Y420" s="13">
        <f t="shared" si="526"/>
        <v>0.58730158730158721</v>
      </c>
    </row>
    <row r="421" spans="1:25" ht="14.4">
      <c r="A421" s="98" t="s">
        <v>684</v>
      </c>
      <c r="B421" s="99">
        <v>530019</v>
      </c>
      <c r="C421" s="98" t="s">
        <v>190</v>
      </c>
      <c r="D421" s="102" t="s">
        <v>100</v>
      </c>
      <c r="E421" s="11">
        <f ca="1">IFERROR(__xludf.DUMMYFUNCTION("GOOGLEFINANCE(""BOM:""&amp;B421,""PRICE"")"),850)</f>
        <v>850</v>
      </c>
      <c r="F421" s="20">
        <f ca="1">IFERROR(__xludf.DUMMYFUNCTION("GOOGLEFINANCE(""BOM:""&amp;B421,""MARKETCAP"")/10000000"),13474.8855378)</f>
        <v>13474.885537800001</v>
      </c>
      <c r="G421" s="95">
        <f t="shared" ca="1" si="541"/>
        <v>3.3445883936064749E-4</v>
      </c>
      <c r="H421" s="101">
        <v>5989</v>
      </c>
      <c r="I421" s="101">
        <v>5305</v>
      </c>
      <c r="J421" s="101">
        <v>278</v>
      </c>
      <c r="K421" s="101">
        <v>985</v>
      </c>
      <c r="L421" s="101">
        <v>2116</v>
      </c>
      <c r="M421" s="101">
        <v>1813</v>
      </c>
      <c r="N421" s="101">
        <v>55</v>
      </c>
      <c r="O421" s="101">
        <v>110</v>
      </c>
      <c r="P421" s="13">
        <f t="shared" ref="P421:Q421" si="848">J421/H421</f>
        <v>4.6418433795291369E-2</v>
      </c>
      <c r="Q421" s="13">
        <f t="shared" si="848"/>
        <v>0.18567389255419417</v>
      </c>
      <c r="R421" s="13">
        <f t="shared" si="520"/>
        <v>-0.1392554587589028</v>
      </c>
      <c r="S421" s="13">
        <f t="shared" ref="S421:T421" si="849">N421/L421</f>
        <v>2.5992438563327031E-2</v>
      </c>
      <c r="T421" s="13">
        <f t="shared" si="849"/>
        <v>6.0672917815774961E-2</v>
      </c>
      <c r="U421" s="13">
        <f t="shared" si="522"/>
        <v>-3.4680479252447931E-2</v>
      </c>
      <c r="V421" s="13">
        <f t="shared" si="523"/>
        <v>0.1289349670122526</v>
      </c>
      <c r="W421" s="13">
        <f t="shared" si="524"/>
        <v>-0.71776649746192889</v>
      </c>
      <c r="X421" s="13">
        <f t="shared" si="525"/>
        <v>0.16712630998345279</v>
      </c>
      <c r="Y421" s="13">
        <f t="shared" si="526"/>
        <v>-0.5</v>
      </c>
    </row>
    <row r="422" spans="1:25" ht="14.4">
      <c r="A422" s="98" t="s">
        <v>685</v>
      </c>
      <c r="B422" s="99">
        <v>543413</v>
      </c>
      <c r="C422" s="98" t="s">
        <v>180</v>
      </c>
      <c r="D422" s="100" t="s">
        <v>514</v>
      </c>
      <c r="E422" s="11">
        <f ca="1">IFERROR(__xludf.DUMMYFUNCTION("GOOGLEFINANCE(""BOM:""&amp;B422,""PRICE"")"),1720.95)</f>
        <v>1720.95</v>
      </c>
      <c r="F422" s="20">
        <f ca="1">IFERROR(__xludf.DUMMYFUNCTION("GOOGLEFINANCE(""BOM:""&amp;B422,""MARKETCAP"")/10000000"),12907.6865173)</f>
        <v>12907.686517300001</v>
      </c>
      <c r="G422" s="95">
        <f t="shared" ca="1" si="541"/>
        <v>3.2038044696534564E-4</v>
      </c>
      <c r="H422" s="101">
        <v>1165</v>
      </c>
      <c r="I422" s="101">
        <v>1102</v>
      </c>
      <c r="J422" s="101">
        <v>99</v>
      </c>
      <c r="K422" s="101">
        <v>98</v>
      </c>
      <c r="L422" s="101">
        <v>403</v>
      </c>
      <c r="M422" s="101">
        <v>409</v>
      </c>
      <c r="N422" s="101">
        <v>19</v>
      </c>
      <c r="O422" s="101">
        <v>54</v>
      </c>
      <c r="P422" s="13">
        <f t="shared" ref="P422:Q422" si="850">J422/H422</f>
        <v>8.4978540772532182E-2</v>
      </c>
      <c r="Q422" s="13">
        <f t="shared" si="850"/>
        <v>8.8929219600725959E-2</v>
      </c>
      <c r="R422" s="13">
        <f t="shared" si="520"/>
        <v>-3.9506788281937766E-3</v>
      </c>
      <c r="S422" s="13">
        <f t="shared" ref="S422:T422" si="851">N422/L422</f>
        <v>4.7146401985111663E-2</v>
      </c>
      <c r="T422" s="13">
        <f t="shared" si="851"/>
        <v>0.13202933985330073</v>
      </c>
      <c r="U422" s="13">
        <f t="shared" si="522"/>
        <v>-8.4882937868189068E-2</v>
      </c>
      <c r="V422" s="13">
        <f t="shared" si="523"/>
        <v>5.7168784029038022E-2</v>
      </c>
      <c r="W422" s="13">
        <f t="shared" si="524"/>
        <v>1.0204081632652962E-2</v>
      </c>
      <c r="X422" s="13">
        <f t="shared" si="525"/>
        <v>-1.4669926650366705E-2</v>
      </c>
      <c r="Y422" s="13">
        <f t="shared" si="526"/>
        <v>-0.64814814814814814</v>
      </c>
    </row>
    <row r="423" spans="1:25" ht="14.4">
      <c r="A423" s="98" t="s">
        <v>686</v>
      </c>
      <c r="B423" s="99">
        <v>500710</v>
      </c>
      <c r="C423" s="98" t="s">
        <v>187</v>
      </c>
      <c r="D423" s="102" t="s">
        <v>102</v>
      </c>
      <c r="E423" s="11">
        <f ca="1">IFERROR(__xludf.DUMMYFUNCTION("GOOGLEFINANCE(""BOM:""&amp;B423,""PRICE"")"),2958.45)</f>
        <v>2958.45</v>
      </c>
      <c r="F423" s="20">
        <f ca="1">IFERROR(__xludf.DUMMYFUNCTION("GOOGLEFINANCE(""BOM:""&amp;B423,""MARKETCAP"")/10000000"),13518.1851756)</f>
        <v>13518.1851756</v>
      </c>
      <c r="G423" s="95">
        <f t="shared" ca="1" si="541"/>
        <v>3.3553357551055382E-4</v>
      </c>
      <c r="H423" s="101">
        <v>2737</v>
      </c>
      <c r="I423" s="101">
        <v>3069</v>
      </c>
      <c r="J423" s="101">
        <v>1848</v>
      </c>
      <c r="K423" s="101">
        <v>321</v>
      </c>
      <c r="L423" s="101">
        <v>907</v>
      </c>
      <c r="M423" s="101">
        <v>1050</v>
      </c>
      <c r="N423" s="101">
        <v>74</v>
      </c>
      <c r="O423" s="101">
        <v>108</v>
      </c>
      <c r="P423" s="13">
        <f t="shared" ref="P423:Q423" si="852">J423/H423</f>
        <v>0.67519181585677746</v>
      </c>
      <c r="Q423" s="13">
        <f t="shared" si="852"/>
        <v>0.10459433040078202</v>
      </c>
      <c r="R423" s="13">
        <f t="shared" si="520"/>
        <v>0.57059748545599542</v>
      </c>
      <c r="S423" s="13">
        <f t="shared" ref="S423:T423" si="853">N423/L423</f>
        <v>8.1587651598676952E-2</v>
      </c>
      <c r="T423" s="13">
        <f t="shared" si="853"/>
        <v>0.10285714285714286</v>
      </c>
      <c r="U423" s="13">
        <f t="shared" si="522"/>
        <v>-2.1269491258465903E-2</v>
      </c>
      <c r="V423" s="13">
        <f t="shared" si="523"/>
        <v>-0.10817855979146307</v>
      </c>
      <c r="W423" s="13">
        <f t="shared" si="524"/>
        <v>4.7570093457943923</v>
      </c>
      <c r="X423" s="13">
        <f t="shared" si="525"/>
        <v>-0.1361904761904762</v>
      </c>
      <c r="Y423" s="13">
        <f t="shared" si="526"/>
        <v>-0.31481481481481477</v>
      </c>
    </row>
    <row r="424" spans="1:25" ht="14.4">
      <c r="A424" s="98" t="s">
        <v>687</v>
      </c>
      <c r="B424" s="99">
        <v>531768</v>
      </c>
      <c r="C424" s="98" t="s">
        <v>190</v>
      </c>
      <c r="D424" s="102" t="s">
        <v>688</v>
      </c>
      <c r="E424" s="11">
        <f ca="1">IFERROR(__xludf.DUMMYFUNCTION("GOOGLEFINANCE(""BOM:""&amp;B424,""PRICE"")"),1356.8)</f>
        <v>1356.8</v>
      </c>
      <c r="F424" s="20">
        <f ca="1">IFERROR(__xludf.DUMMYFUNCTION("GOOGLEFINANCE(""BOM:""&amp;B424,""MARKETCAP"")/10000000"),13767.6477969)</f>
        <v>13767.647796900001</v>
      </c>
      <c r="G424" s="95">
        <f t="shared" ca="1" si="541"/>
        <v>3.4172546326721119E-4</v>
      </c>
      <c r="H424" s="101">
        <v>1340</v>
      </c>
      <c r="I424" s="101">
        <v>1229</v>
      </c>
      <c r="J424" s="101">
        <v>255</v>
      </c>
      <c r="K424" s="101">
        <v>246</v>
      </c>
      <c r="L424" s="101">
        <v>493</v>
      </c>
      <c r="M424" s="101">
        <v>424</v>
      </c>
      <c r="N424" s="101">
        <v>70</v>
      </c>
      <c r="O424" s="101">
        <v>85</v>
      </c>
      <c r="P424" s="13">
        <f t="shared" ref="P424:Q424" si="854">J424/H424</f>
        <v>0.19029850746268656</v>
      </c>
      <c r="Q424" s="13">
        <f t="shared" si="854"/>
        <v>0.2001627339300244</v>
      </c>
      <c r="R424" s="13">
        <f t="shared" si="520"/>
        <v>-9.8642264673378388E-3</v>
      </c>
      <c r="S424" s="13">
        <f t="shared" ref="S424:T424" si="855">N424/L424</f>
        <v>0.14198782961460446</v>
      </c>
      <c r="T424" s="13">
        <f t="shared" si="855"/>
        <v>0.20047169811320756</v>
      </c>
      <c r="U424" s="13">
        <f t="shared" si="522"/>
        <v>-5.8483868498603098E-2</v>
      </c>
      <c r="V424" s="13">
        <f t="shared" si="523"/>
        <v>9.0317331163547676E-2</v>
      </c>
      <c r="W424" s="13">
        <f t="shared" si="524"/>
        <v>3.6585365853658569E-2</v>
      </c>
      <c r="X424" s="13">
        <f t="shared" si="525"/>
        <v>0.16273584905660377</v>
      </c>
      <c r="Y424" s="13">
        <f t="shared" si="526"/>
        <v>-0.17647058823529416</v>
      </c>
    </row>
    <row r="425" spans="1:25" ht="14.4">
      <c r="A425" s="98" t="s">
        <v>689</v>
      </c>
      <c r="B425" s="99">
        <v>542141</v>
      </c>
      <c r="C425" s="98" t="s">
        <v>180</v>
      </c>
      <c r="D425" s="102" t="s">
        <v>181</v>
      </c>
      <c r="E425" s="11">
        <f ca="1">IFERROR(__xludf.DUMMYFUNCTION("GOOGLEFINANCE(""BOM:""&amp;B425,""PRICE"")"),1055.45)</f>
        <v>1055.45</v>
      </c>
      <c r="F425" s="20">
        <f ca="1">IFERROR(__xludf.DUMMYFUNCTION("GOOGLEFINANCE(""BOM:""&amp;B425,""MARKETCAP"")/10000000"),12279.8883117)</f>
        <v>12279.8883117</v>
      </c>
      <c r="G425" s="95">
        <f t="shared" ca="1" si="541"/>
        <v>3.0479792801862407E-4</v>
      </c>
      <c r="H425" s="101">
        <v>2241</v>
      </c>
      <c r="I425" s="101">
        <v>1452</v>
      </c>
      <c r="J425" s="101">
        <v>359</v>
      </c>
      <c r="K425" s="101">
        <v>288</v>
      </c>
      <c r="L425" s="101">
        <v>872</v>
      </c>
      <c r="M425" s="101">
        <v>636</v>
      </c>
      <c r="N425" s="101">
        <v>119</v>
      </c>
      <c r="O425" s="101">
        <v>95</v>
      </c>
      <c r="P425" s="13">
        <f t="shared" ref="P425:Q425" si="856">J425/H425</f>
        <v>0.16019634091923249</v>
      </c>
      <c r="Q425" s="13">
        <f t="shared" si="856"/>
        <v>0.19834710743801653</v>
      </c>
      <c r="R425" s="13">
        <f t="shared" si="520"/>
        <v>-3.8150766518784046E-2</v>
      </c>
      <c r="S425" s="13">
        <f t="shared" ref="S425:T425" si="857">N425/L425</f>
        <v>0.13646788990825687</v>
      </c>
      <c r="T425" s="13">
        <f t="shared" si="857"/>
        <v>0.14937106918238993</v>
      </c>
      <c r="U425" s="13">
        <f t="shared" si="522"/>
        <v>-1.2903179274133064E-2</v>
      </c>
      <c r="V425" s="13">
        <f t="shared" si="523"/>
        <v>0.54338842975206614</v>
      </c>
      <c r="W425" s="13">
        <f t="shared" si="524"/>
        <v>0.24652777777777768</v>
      </c>
      <c r="X425" s="13">
        <f t="shared" si="525"/>
        <v>0.37106918238993702</v>
      </c>
      <c r="Y425" s="13">
        <f t="shared" si="526"/>
        <v>0.25263157894736832</v>
      </c>
    </row>
    <row r="426" spans="1:25" ht="14.4">
      <c r="A426" s="98" t="s">
        <v>690</v>
      </c>
      <c r="B426" s="99">
        <v>532209</v>
      </c>
      <c r="C426" s="98" t="s">
        <v>172</v>
      </c>
      <c r="D426" s="100" t="s">
        <v>72</v>
      </c>
      <c r="E426" s="11">
        <f ca="1">IFERROR(__xludf.DUMMYFUNCTION("GOOGLEFINANCE(""BOM:""&amp;B426,""PRICE"")"),115.15)</f>
        <v>115.15</v>
      </c>
      <c r="F426" s="20">
        <f ca="1">IFERROR(__xludf.DUMMYFUNCTION("GOOGLEFINANCE(""BOM:""&amp;B426,""MARKETCAP"")/10000000"),12690.0211327)</f>
        <v>12690.0211327</v>
      </c>
      <c r="G426" s="95">
        <f t="shared" ca="1" si="541"/>
        <v>3.1497779536596214E-4</v>
      </c>
      <c r="H426" s="101">
        <v>11526</v>
      </c>
      <c r="I426" s="101">
        <v>11096</v>
      </c>
      <c r="J426" s="101">
        <v>1561</v>
      </c>
      <c r="K426" s="101">
        <v>1500</v>
      </c>
      <c r="L426" s="101">
        <v>3858</v>
      </c>
      <c r="M426" s="101">
        <v>3831</v>
      </c>
      <c r="N426" s="101">
        <v>581</v>
      </c>
      <c r="O426" s="101">
        <v>529</v>
      </c>
      <c r="P426" s="13">
        <f t="shared" ref="P426:Q426" si="858">J426/H426</f>
        <v>0.13543293423564115</v>
      </c>
      <c r="Q426" s="13">
        <f t="shared" si="858"/>
        <v>0.13518385003604902</v>
      </c>
      <c r="R426" s="13">
        <f t="shared" si="520"/>
        <v>2.4908419959213113E-4</v>
      </c>
      <c r="S426" s="13">
        <f t="shared" ref="S426:T426" si="859">N426/L426</f>
        <v>0.15059616381544841</v>
      </c>
      <c r="T426" s="13">
        <f t="shared" si="859"/>
        <v>0.1380840511615766</v>
      </c>
      <c r="U426" s="13">
        <f t="shared" si="522"/>
        <v>1.251211265387181E-2</v>
      </c>
      <c r="V426" s="13">
        <f t="shared" si="523"/>
        <v>3.8752703677000788E-2</v>
      </c>
      <c r="W426" s="13">
        <f t="shared" si="524"/>
        <v>4.0666666666666629E-2</v>
      </c>
      <c r="X426" s="13">
        <f t="shared" si="525"/>
        <v>7.0477682067344727E-3</v>
      </c>
      <c r="Y426" s="13">
        <f t="shared" si="526"/>
        <v>9.8298676748582281E-2</v>
      </c>
    </row>
    <row r="427" spans="1:25" ht="14.4">
      <c r="A427" s="98" t="s">
        <v>691</v>
      </c>
      <c r="B427" s="99">
        <v>526612</v>
      </c>
      <c r="C427" s="98" t="s">
        <v>206</v>
      </c>
      <c r="D427" s="102" t="s">
        <v>476</v>
      </c>
      <c r="E427" s="11">
        <f ca="1">IFERROR(__xludf.DUMMYFUNCTION("GOOGLEFINANCE(""BOM:""&amp;B427,""PRICE"")"),4799)</f>
        <v>4799</v>
      </c>
      <c r="F427" s="20">
        <f ca="1">IFERROR(__xludf.DUMMYFUNCTION("GOOGLEFINANCE(""BOM:""&amp;B427,""MARKETCAP"")/10000000"),11368.288774)</f>
        <v>11368.288774000001</v>
      </c>
      <c r="G427" s="95">
        <f t="shared" ca="1" si="541"/>
        <v>2.8217120347350238E-4</v>
      </c>
      <c r="H427" s="101">
        <v>4607</v>
      </c>
      <c r="I427" s="101">
        <v>4302</v>
      </c>
      <c r="J427" s="101">
        <v>198</v>
      </c>
      <c r="K427" s="101">
        <v>197</v>
      </c>
      <c r="L427" s="101">
        <v>1616</v>
      </c>
      <c r="M427" s="101">
        <v>1511</v>
      </c>
      <c r="N427" s="101">
        <v>68</v>
      </c>
      <c r="O427" s="101">
        <v>81</v>
      </c>
      <c r="P427" s="13">
        <f t="shared" ref="P427:Q427" si="860">J427/H427</f>
        <v>4.2978076839591928E-2</v>
      </c>
      <c r="Q427" s="13">
        <f t="shared" si="860"/>
        <v>4.5792654579265457E-2</v>
      </c>
      <c r="R427" s="13">
        <f t="shared" si="520"/>
        <v>-2.8145777396735294E-3</v>
      </c>
      <c r="S427" s="13">
        <f t="shared" ref="S427:T427" si="861">N427/L427</f>
        <v>4.2079207920792082E-2</v>
      </c>
      <c r="T427" s="13">
        <f t="shared" si="861"/>
        <v>5.3606882859033755E-2</v>
      </c>
      <c r="U427" s="13">
        <f t="shared" si="522"/>
        <v>-1.1527674938241673E-2</v>
      </c>
      <c r="V427" s="13">
        <f t="shared" si="523"/>
        <v>7.0897257089725718E-2</v>
      </c>
      <c r="W427" s="13">
        <f t="shared" si="524"/>
        <v>5.0761421319795996E-3</v>
      </c>
      <c r="X427" s="13">
        <f t="shared" si="525"/>
        <v>6.949040370615478E-2</v>
      </c>
      <c r="Y427" s="13">
        <f t="shared" si="526"/>
        <v>-0.16049382716049387</v>
      </c>
    </row>
    <row r="428" spans="1:25" ht="14.4">
      <c r="A428" s="98" t="s">
        <v>692</v>
      </c>
      <c r="B428" s="99">
        <v>544203</v>
      </c>
      <c r="C428" s="98" t="s">
        <v>183</v>
      </c>
      <c r="D428" s="70" t="s">
        <v>317</v>
      </c>
      <c r="E428" s="11">
        <f ca="1">IFERROR(__xludf.DUMMYFUNCTION("GOOGLEFINANCE(""BOM:""&amp;B428,""PRICE"")"),422.4)</f>
        <v>422.4</v>
      </c>
      <c r="F428" s="20">
        <f ca="1">IFERROR(__xludf.DUMMYFUNCTION("GOOGLEFINANCE(""BOM:""&amp;B428,""MARKETCAP"")/10000000"),11826.1384585)</f>
        <v>11826.1384585</v>
      </c>
      <c r="G428" s="95">
        <f t="shared" ca="1" si="541"/>
        <v>2.9353544650547023E-4</v>
      </c>
      <c r="H428" s="101">
        <v>5662</v>
      </c>
      <c r="I428" s="101">
        <v>6138</v>
      </c>
      <c r="J428" s="101">
        <v>182</v>
      </c>
      <c r="K428" s="101">
        <v>116</v>
      </c>
      <c r="L428" s="101">
        <v>1933</v>
      </c>
      <c r="M428" s="101">
        <v>2342</v>
      </c>
      <c r="N428" s="101">
        <v>63</v>
      </c>
      <c r="O428" s="101">
        <v>57</v>
      </c>
      <c r="P428" s="13">
        <f t="shared" ref="P428:Q428" si="862">J428/H428</f>
        <v>3.2144118685976684E-2</v>
      </c>
      <c r="Q428" s="13">
        <f t="shared" si="862"/>
        <v>1.8898664059954384E-2</v>
      </c>
      <c r="R428" s="13">
        <f t="shared" si="520"/>
        <v>1.32454546260223E-2</v>
      </c>
      <c r="S428" s="13">
        <f t="shared" ref="S428:T428" si="863">N428/L428</f>
        <v>3.2591826176927054E-2</v>
      </c>
      <c r="T428" s="13">
        <f t="shared" si="863"/>
        <v>2.4338172502134929E-2</v>
      </c>
      <c r="U428" s="13">
        <f t="shared" si="522"/>
        <v>8.2536536747921246E-3</v>
      </c>
      <c r="V428" s="13">
        <f t="shared" si="523"/>
        <v>-7.7549690452916265E-2</v>
      </c>
      <c r="W428" s="13">
        <f t="shared" si="524"/>
        <v>0.56896551724137923</v>
      </c>
      <c r="X428" s="13">
        <f t="shared" si="525"/>
        <v>-0.17463706233988041</v>
      </c>
      <c r="Y428" s="13">
        <f t="shared" si="526"/>
        <v>0.10526315789473695</v>
      </c>
    </row>
    <row r="429" spans="1:25" ht="14.4">
      <c r="A429" s="98" t="s">
        <v>693</v>
      </c>
      <c r="B429" s="99">
        <v>530007</v>
      </c>
      <c r="C429" s="98" t="s">
        <v>187</v>
      </c>
      <c r="D429" s="100" t="s">
        <v>392</v>
      </c>
      <c r="E429" s="11">
        <f ca="1">IFERROR(__xludf.DUMMYFUNCTION("GOOGLEFINANCE(""BOM:""&amp;B429,""PRICE"")"),392.85)</f>
        <v>392.85</v>
      </c>
      <c r="F429" s="20">
        <f ca="1">IFERROR(__xludf.DUMMYFUNCTION("GOOGLEFINANCE(""BOM:""&amp;B429,""MARKETCAP"")/10000000"),11329.77342)</f>
        <v>11329.77342</v>
      </c>
      <c r="G429" s="95">
        <f t="shared" ca="1" si="541"/>
        <v>2.8121521757215509E-4</v>
      </c>
      <c r="H429" s="101">
        <v>12103</v>
      </c>
      <c r="I429" s="101">
        <v>12934</v>
      </c>
      <c r="J429" s="101">
        <v>598</v>
      </c>
      <c r="K429" s="101">
        <v>411</v>
      </c>
      <c r="L429" s="101">
        <v>4223</v>
      </c>
      <c r="M429" s="101">
        <v>3674</v>
      </c>
      <c r="N429" s="101">
        <v>208</v>
      </c>
      <c r="O429" s="101">
        <v>53</v>
      </c>
      <c r="P429" s="13">
        <f t="shared" ref="P429:Q429" si="864">J429/H429</f>
        <v>4.9409237379162189E-2</v>
      </c>
      <c r="Q429" s="13">
        <f t="shared" si="864"/>
        <v>3.1776712540590689E-2</v>
      </c>
      <c r="R429" s="13">
        <f t="shared" si="520"/>
        <v>1.7632524838571501E-2</v>
      </c>
      <c r="S429" s="13">
        <f t="shared" ref="S429:T429" si="865">N429/L429</f>
        <v>4.9254084773857447E-2</v>
      </c>
      <c r="T429" s="13">
        <f t="shared" si="865"/>
        <v>1.442569406641263E-2</v>
      </c>
      <c r="U429" s="13">
        <f t="shared" si="522"/>
        <v>3.4828390707444819E-2</v>
      </c>
      <c r="V429" s="13">
        <f t="shared" si="523"/>
        <v>-6.424926550177823E-2</v>
      </c>
      <c r="W429" s="13">
        <f t="shared" si="524"/>
        <v>0.45498783454987834</v>
      </c>
      <c r="X429" s="13">
        <f t="shared" si="525"/>
        <v>0.14942841589548173</v>
      </c>
      <c r="Y429" s="13">
        <f t="shared" si="526"/>
        <v>2.9245283018867925</v>
      </c>
    </row>
    <row r="430" spans="1:25" ht="14.4">
      <c r="A430" s="98" t="s">
        <v>694</v>
      </c>
      <c r="B430" s="99">
        <v>500405</v>
      </c>
      <c r="C430" s="98" t="s">
        <v>196</v>
      </c>
      <c r="D430" s="100" t="s">
        <v>695</v>
      </c>
      <c r="E430" s="11">
        <f ca="1">IFERROR(__xludf.DUMMYFUNCTION("GOOGLEFINANCE(""BOM:""&amp;B430,""PRICE"")"),758.65)</f>
        <v>758.65</v>
      </c>
      <c r="F430" s="20">
        <f ca="1">IFERROR(__xludf.DUMMYFUNCTION("GOOGLEFINANCE(""BOM:""&amp;B430,""MARKETCAP"")/10000000"),14276.0957255)</f>
        <v>14276.095725499999</v>
      </c>
      <c r="G430" s="95">
        <f t="shared" ca="1" si="541"/>
        <v>3.5434560045485852E-4</v>
      </c>
      <c r="H430" s="101">
        <v>3800</v>
      </c>
      <c r="I430" s="101">
        <v>4484</v>
      </c>
      <c r="J430" s="101">
        <v>161</v>
      </c>
      <c r="K430" s="101">
        <v>283</v>
      </c>
      <c r="L430" s="101">
        <v>1280</v>
      </c>
      <c r="M430" s="101">
        <v>1405</v>
      </c>
      <c r="N430" s="101">
        <v>30</v>
      </c>
      <c r="O430" s="101">
        <v>71</v>
      </c>
      <c r="P430" s="13">
        <f t="shared" ref="P430:Q430" si="866">J430/H430</f>
        <v>4.2368421052631576E-2</v>
      </c>
      <c r="Q430" s="13">
        <f t="shared" si="866"/>
        <v>6.3113291703835867E-2</v>
      </c>
      <c r="R430" s="13">
        <f t="shared" si="520"/>
        <v>-2.074487065120429E-2</v>
      </c>
      <c r="S430" s="13">
        <f t="shared" ref="S430:T430" si="867">N430/L430</f>
        <v>2.34375E-2</v>
      </c>
      <c r="T430" s="13">
        <f t="shared" si="867"/>
        <v>5.0533807829181494E-2</v>
      </c>
      <c r="U430" s="13">
        <f t="shared" si="522"/>
        <v>-2.7096307829181494E-2</v>
      </c>
      <c r="V430" s="13">
        <f t="shared" si="523"/>
        <v>-0.15254237288135597</v>
      </c>
      <c r="W430" s="13">
        <f t="shared" si="524"/>
        <v>-0.43109540636042398</v>
      </c>
      <c r="X430" s="13">
        <f t="shared" si="525"/>
        <v>-8.8967971530249157E-2</v>
      </c>
      <c r="Y430" s="13">
        <f t="shared" si="526"/>
        <v>-0.57746478873239437</v>
      </c>
    </row>
    <row r="431" spans="1:25" ht="14.4">
      <c r="A431" s="98" t="s">
        <v>696</v>
      </c>
      <c r="B431" s="99">
        <v>500249</v>
      </c>
      <c r="C431" s="98" t="s">
        <v>180</v>
      </c>
      <c r="D431" s="100" t="s">
        <v>264</v>
      </c>
      <c r="E431" s="11">
        <f ca="1">IFERROR(__xludf.DUMMYFUNCTION("GOOGLEFINANCE(""BOM:""&amp;B431,""PRICE"")"),831.75)</f>
        <v>831.75</v>
      </c>
      <c r="F431" s="20">
        <f ca="1">IFERROR(__xludf.DUMMYFUNCTION("GOOGLEFINANCE(""BOM:""&amp;B431,""MARKETCAP"")/10000000"),14447.8646129)</f>
        <v>14447.864612900001</v>
      </c>
      <c r="G431" s="95">
        <f t="shared" ca="1" si="541"/>
        <v>3.5860905950665646E-4</v>
      </c>
      <c r="H431" s="101">
        <v>2696</v>
      </c>
      <c r="I431" s="101">
        <v>2533</v>
      </c>
      <c r="J431" s="101">
        <v>270</v>
      </c>
      <c r="K431" s="101">
        <v>247</v>
      </c>
      <c r="L431" s="101">
        <v>784</v>
      </c>
      <c r="M431" s="101">
        <v>726</v>
      </c>
      <c r="N431" s="101">
        <v>81</v>
      </c>
      <c r="O431" s="101">
        <v>73</v>
      </c>
      <c r="P431" s="13">
        <f t="shared" ref="P431:Q431" si="868">J431/H431</f>
        <v>0.10014836795252226</v>
      </c>
      <c r="Q431" s="13">
        <f t="shared" si="868"/>
        <v>9.7512830635609948E-2</v>
      </c>
      <c r="R431" s="13">
        <f t="shared" si="520"/>
        <v>2.6355373169123092E-3</v>
      </c>
      <c r="S431" s="13">
        <f t="shared" ref="S431:T431" si="869">N431/L431</f>
        <v>0.10331632653061225</v>
      </c>
      <c r="T431" s="13">
        <f t="shared" si="869"/>
        <v>0.10055096418732783</v>
      </c>
      <c r="U431" s="13">
        <f t="shared" si="522"/>
        <v>2.7653623432844221E-3</v>
      </c>
      <c r="V431" s="13">
        <f t="shared" si="523"/>
        <v>6.4350572443742537E-2</v>
      </c>
      <c r="W431" s="13">
        <f t="shared" si="524"/>
        <v>9.3117408906882693E-2</v>
      </c>
      <c r="X431" s="13">
        <f t="shared" si="525"/>
        <v>7.9889807162534465E-2</v>
      </c>
      <c r="Y431" s="13">
        <f t="shared" si="526"/>
        <v>0.1095890410958904</v>
      </c>
    </row>
    <row r="432" spans="1:25" ht="14.4">
      <c r="A432" s="98" t="s">
        <v>697</v>
      </c>
      <c r="B432" s="99">
        <v>504067</v>
      </c>
      <c r="C432" s="98" t="s">
        <v>174</v>
      </c>
      <c r="D432" s="101" t="s">
        <v>175</v>
      </c>
      <c r="E432" s="11">
        <f ca="1">IFERROR(__xludf.DUMMYFUNCTION("GOOGLEFINANCE(""BOM:""&amp;B432,""PRICE"")"),551.3)</f>
        <v>551.29999999999995</v>
      </c>
      <c r="F432" s="20">
        <f ca="1">IFERROR(__xludf.DUMMYFUNCTION("GOOGLEFINANCE(""BOM:""&amp;B432,""MARKETCAP"")/10000000"),12497.56515)</f>
        <v>12497.56515</v>
      </c>
      <c r="G432" s="95">
        <f t="shared" ca="1" si="541"/>
        <v>3.1020086390919489E-4</v>
      </c>
      <c r="H432" s="101">
        <v>4237</v>
      </c>
      <c r="I432" s="101">
        <v>3921</v>
      </c>
      <c r="J432" s="101">
        <v>564</v>
      </c>
      <c r="K432" s="101">
        <v>473</v>
      </c>
      <c r="L432" s="101">
        <v>1430</v>
      </c>
      <c r="M432" s="101">
        <v>1325</v>
      </c>
      <c r="N432" s="101">
        <v>199</v>
      </c>
      <c r="O432" s="101">
        <v>159</v>
      </c>
      <c r="P432" s="13">
        <f t="shared" ref="P432:Q432" si="870">J432/H432</f>
        <v>0.13311305168751475</v>
      </c>
      <c r="Q432" s="13">
        <f t="shared" si="870"/>
        <v>0.12063249171129814</v>
      </c>
      <c r="R432" s="13">
        <f t="shared" si="520"/>
        <v>1.248055997621661E-2</v>
      </c>
      <c r="S432" s="13">
        <f t="shared" ref="S432:T432" si="871">N432/L432</f>
        <v>0.13916083916083916</v>
      </c>
      <c r="T432" s="13">
        <f t="shared" si="871"/>
        <v>0.12</v>
      </c>
      <c r="U432" s="13">
        <f t="shared" si="522"/>
        <v>1.916083916083916E-2</v>
      </c>
      <c r="V432" s="13">
        <f t="shared" si="523"/>
        <v>8.0591685794440204E-2</v>
      </c>
      <c r="W432" s="13">
        <f t="shared" si="524"/>
        <v>0.19238900634249467</v>
      </c>
      <c r="X432" s="13">
        <f t="shared" si="525"/>
        <v>7.9245283018867907E-2</v>
      </c>
      <c r="Y432" s="13">
        <f t="shared" si="526"/>
        <v>0.2515723270440251</v>
      </c>
    </row>
    <row r="433" spans="1:25" ht="14.4">
      <c r="A433" s="98" t="s">
        <v>698</v>
      </c>
      <c r="B433" s="99">
        <v>517146</v>
      </c>
      <c r="C433" s="98" t="s">
        <v>180</v>
      </c>
      <c r="D433" s="101" t="s">
        <v>384</v>
      </c>
      <c r="E433" s="11">
        <f ca="1">IFERROR(__xludf.DUMMYFUNCTION("GOOGLEFINANCE(""BOM:""&amp;B433,""PRICE"")"),407.55)</f>
        <v>407.55</v>
      </c>
      <c r="F433" s="20">
        <f ca="1">IFERROR(__xludf.DUMMYFUNCTION("GOOGLEFINANCE(""BOM:""&amp;B433,""MARKETCAP"")/10000000"),12422.5805097)</f>
        <v>12422.580509699999</v>
      </c>
      <c r="G433" s="95">
        <f t="shared" ca="1" si="541"/>
        <v>3.0833967735631018E-4</v>
      </c>
      <c r="H433" s="101">
        <v>2711</v>
      </c>
      <c r="I433" s="101">
        <v>2578</v>
      </c>
      <c r="J433" s="101">
        <v>318</v>
      </c>
      <c r="K433" s="101">
        <v>305</v>
      </c>
      <c r="L433" s="101">
        <v>917</v>
      </c>
      <c r="M433" s="101">
        <v>860</v>
      </c>
      <c r="N433" s="101">
        <v>107</v>
      </c>
      <c r="O433" s="101">
        <v>92</v>
      </c>
      <c r="P433" s="13">
        <f t="shared" ref="P433:Q433" si="872">J433/H433</f>
        <v>0.11729988933972704</v>
      </c>
      <c r="Q433" s="13">
        <f t="shared" si="872"/>
        <v>0.1183087664856478</v>
      </c>
      <c r="R433" s="13">
        <f t="shared" si="520"/>
        <v>-1.0088771459207529E-3</v>
      </c>
      <c r="S433" s="13">
        <f t="shared" ref="S433:T433" si="873">N433/L433</f>
        <v>0.11668484187568157</v>
      </c>
      <c r="T433" s="13">
        <f t="shared" si="873"/>
        <v>0.10697674418604651</v>
      </c>
      <c r="U433" s="13">
        <f t="shared" si="522"/>
        <v>9.7080976896350563E-3</v>
      </c>
      <c r="V433" s="13">
        <f t="shared" si="523"/>
        <v>5.1590380139643122E-2</v>
      </c>
      <c r="W433" s="13">
        <f t="shared" si="524"/>
        <v>4.2622950819672045E-2</v>
      </c>
      <c r="X433" s="13">
        <f t="shared" si="525"/>
        <v>6.6279069767441801E-2</v>
      </c>
      <c r="Y433" s="13">
        <f t="shared" si="526"/>
        <v>0.16304347826086962</v>
      </c>
    </row>
    <row r="434" spans="1:25" ht="14.4">
      <c r="A434" s="98" t="s">
        <v>699</v>
      </c>
      <c r="B434" s="99">
        <v>541956</v>
      </c>
      <c r="C434" s="98" t="s">
        <v>180</v>
      </c>
      <c r="D434" s="101" t="s">
        <v>181</v>
      </c>
      <c r="E434" s="11">
        <f ca="1">IFERROR(__xludf.DUMMYFUNCTION("GOOGLEFINANCE(""BOM:""&amp;B434,""PRICE"")"),125.45)</f>
        <v>125.45</v>
      </c>
      <c r="F434" s="20">
        <f ca="1">IFERROR(__xludf.DUMMYFUNCTION("GOOGLEFINANCE(""BOM:""&amp;B434,""MARKETCAP"")/10000000"),11804.5900493)</f>
        <v>11804.590049300001</v>
      </c>
      <c r="G434" s="95">
        <f t="shared" ca="1" si="541"/>
        <v>2.9300059551093805E-4</v>
      </c>
      <c r="H434" s="101">
        <v>5882</v>
      </c>
      <c r="I434" s="101">
        <v>7347</v>
      </c>
      <c r="J434" s="101">
        <v>400</v>
      </c>
      <c r="K434" s="101">
        <v>516</v>
      </c>
      <c r="L434" s="101">
        <v>2119</v>
      </c>
      <c r="M434" s="101">
        <v>2613</v>
      </c>
      <c r="N434" s="101">
        <v>100</v>
      </c>
      <c r="O434" s="101">
        <v>86</v>
      </c>
      <c r="P434" s="13">
        <f t="shared" ref="P434:Q434" si="874">J434/H434</f>
        <v>6.8004080244814691E-2</v>
      </c>
      <c r="Q434" s="13">
        <f t="shared" si="874"/>
        <v>7.0232748060432823E-2</v>
      </c>
      <c r="R434" s="13">
        <f t="shared" si="520"/>
        <v>-2.2286678156181322E-3</v>
      </c>
      <c r="S434" s="13">
        <f t="shared" ref="S434:T434" si="875">N434/L434</f>
        <v>4.7192071731949031E-2</v>
      </c>
      <c r="T434" s="13">
        <f t="shared" si="875"/>
        <v>3.2912361270570227E-2</v>
      </c>
      <c r="U434" s="13">
        <f t="shared" si="522"/>
        <v>1.4279710461378804E-2</v>
      </c>
      <c r="V434" s="13">
        <f t="shared" si="523"/>
        <v>-0.19940111610181022</v>
      </c>
      <c r="W434" s="13">
        <f t="shared" si="524"/>
        <v>-0.22480620155038755</v>
      </c>
      <c r="X434" s="13">
        <f t="shared" si="525"/>
        <v>-0.18905472636815923</v>
      </c>
      <c r="Y434" s="13">
        <f t="shared" si="526"/>
        <v>0.16279069767441867</v>
      </c>
    </row>
    <row r="435" spans="1:25" ht="14.4">
      <c r="A435" s="98" t="s">
        <v>700</v>
      </c>
      <c r="B435" s="99">
        <v>524742</v>
      </c>
      <c r="C435" s="98" t="s">
        <v>190</v>
      </c>
      <c r="D435" s="109" t="s">
        <v>100</v>
      </c>
      <c r="E435" s="11">
        <f ca="1">IFERROR(__xludf.DUMMYFUNCTION("GOOGLEFINANCE(""BOM:""&amp;B435,""PRICE"")"),1562.1)</f>
        <v>1562.1</v>
      </c>
      <c r="F435" s="20">
        <f ca="1">IFERROR(__xludf.DUMMYFUNCTION("GOOGLEFINANCE(""BOM:""&amp;B435,""MARKETCAP"")/10000000"),11880.625584)</f>
        <v>11880.625583999999</v>
      </c>
      <c r="G435" s="95">
        <f t="shared" ca="1" si="541"/>
        <v>2.9488786621276246E-4</v>
      </c>
      <c r="H435" s="101">
        <v>1587</v>
      </c>
      <c r="I435" s="101">
        <v>1435</v>
      </c>
      <c r="J435" s="101">
        <v>477</v>
      </c>
      <c r="K435" s="101">
        <v>396</v>
      </c>
      <c r="L435" s="101">
        <v>543</v>
      </c>
      <c r="M435" s="101">
        <v>493</v>
      </c>
      <c r="N435" s="101">
        <v>166</v>
      </c>
      <c r="O435" s="101">
        <v>140</v>
      </c>
      <c r="P435" s="13">
        <f t="shared" ref="P435:Q435" si="876">J435/H435</f>
        <v>0.30056710775047257</v>
      </c>
      <c r="Q435" s="13">
        <f t="shared" si="876"/>
        <v>0.27595818815331008</v>
      </c>
      <c r="R435" s="13">
        <f t="shared" si="520"/>
        <v>2.4608919597162493E-2</v>
      </c>
      <c r="S435" s="13">
        <f t="shared" ref="S435:T435" si="877">N435/L435</f>
        <v>0.30570902394106814</v>
      </c>
      <c r="T435" s="13">
        <f t="shared" si="877"/>
        <v>0.28397565922920892</v>
      </c>
      <c r="U435" s="13">
        <f t="shared" si="522"/>
        <v>2.1733364711859215E-2</v>
      </c>
      <c r="V435" s="13">
        <f t="shared" si="523"/>
        <v>0.10592334494773525</v>
      </c>
      <c r="W435" s="13">
        <f t="shared" si="524"/>
        <v>0.20454545454545459</v>
      </c>
      <c r="X435" s="13">
        <f t="shared" si="525"/>
        <v>0.10141987829614596</v>
      </c>
      <c r="Y435" s="13">
        <f t="shared" si="526"/>
        <v>0.18571428571428572</v>
      </c>
    </row>
    <row r="436" spans="1:25" ht="14.4">
      <c r="A436" s="98" t="s">
        <v>701</v>
      </c>
      <c r="B436" s="99">
        <v>538962</v>
      </c>
      <c r="C436" s="98" t="s">
        <v>187</v>
      </c>
      <c r="D436" s="100" t="s">
        <v>312</v>
      </c>
      <c r="E436" s="11">
        <f ca="1">IFERROR(__xludf.DUMMYFUNCTION("GOOGLEFINANCE(""BOM:""&amp;B436,""PRICE"")"),506.35)</f>
        <v>506.35</v>
      </c>
      <c r="F436" s="20">
        <f ca="1">IFERROR(__xludf.DUMMYFUNCTION("GOOGLEFINANCE(""BOM:""&amp;B436,""MARKETCAP"")/10000000"),11913.9690453)</f>
        <v>11913.9690453</v>
      </c>
      <c r="G436" s="95">
        <f t="shared" ca="1" si="541"/>
        <v>2.9571548106228245E-4</v>
      </c>
      <c r="H436" s="101">
        <v>4481</v>
      </c>
      <c r="I436" s="101">
        <v>3734</v>
      </c>
      <c r="J436" s="101">
        <v>234</v>
      </c>
      <c r="K436" s="101">
        <v>203</v>
      </c>
      <c r="L436" s="101">
        <v>1560</v>
      </c>
      <c r="M436" s="101">
        <v>1252</v>
      </c>
      <c r="N436" s="101">
        <v>84</v>
      </c>
      <c r="O436" s="101">
        <v>64</v>
      </c>
      <c r="P436" s="13">
        <f t="shared" ref="P436:Q436" si="878">J436/H436</f>
        <v>5.2220486498549434E-2</v>
      </c>
      <c r="Q436" s="13">
        <f t="shared" si="878"/>
        <v>5.4365291912158546E-2</v>
      </c>
      <c r="R436" s="13">
        <f t="shared" si="520"/>
        <v>-2.1448054136091119E-3</v>
      </c>
      <c r="S436" s="13">
        <f t="shared" ref="S436:T436" si="879">N436/L436</f>
        <v>5.3846153846153849E-2</v>
      </c>
      <c r="T436" s="13">
        <f t="shared" si="879"/>
        <v>5.1118210862619806E-2</v>
      </c>
      <c r="U436" s="13">
        <f t="shared" si="522"/>
        <v>2.727942983534043E-3</v>
      </c>
      <c r="V436" s="13">
        <f t="shared" si="523"/>
        <v>0.20005356186395296</v>
      </c>
      <c r="W436" s="13">
        <f t="shared" si="524"/>
        <v>0.15270935960591125</v>
      </c>
      <c r="X436" s="13">
        <f t="shared" si="525"/>
        <v>0.2460063897763578</v>
      </c>
      <c r="Y436" s="13">
        <f t="shared" si="526"/>
        <v>0.3125</v>
      </c>
    </row>
    <row r="437" spans="1:25" ht="14.4">
      <c r="A437" s="98" t="s">
        <v>702</v>
      </c>
      <c r="B437" s="99">
        <v>542726</v>
      </c>
      <c r="C437" s="98" t="s">
        <v>187</v>
      </c>
      <c r="D437" s="100" t="s">
        <v>122</v>
      </c>
      <c r="E437" s="11">
        <f ca="1">IFERROR(__xludf.DUMMYFUNCTION("GOOGLEFINANCE(""BOM:""&amp;B437,""PRICE"")"),2060.1)</f>
        <v>2060.1</v>
      </c>
      <c r="F437" s="20">
        <f ca="1">IFERROR(__xludf.DUMMYFUNCTION("GOOGLEFINANCE(""BOM:""&amp;B437,""MARKETCAP"")/10000000"),12371.58956)</f>
        <v>12371.58956</v>
      </c>
      <c r="G437" s="95">
        <f t="shared" ca="1" si="541"/>
        <v>3.0707403589266157E-4</v>
      </c>
      <c r="H437" s="101">
        <v>1164</v>
      </c>
      <c r="I437" s="101">
        <v>1033</v>
      </c>
      <c r="J437" s="101">
        <v>424</v>
      </c>
      <c r="K437" s="101">
        <v>370</v>
      </c>
      <c r="L437" s="101">
        <v>401</v>
      </c>
      <c r="M437" s="101">
        <v>354</v>
      </c>
      <c r="N437" s="101">
        <v>188</v>
      </c>
      <c r="O437" s="101">
        <v>121</v>
      </c>
      <c r="P437" s="13">
        <f t="shared" ref="P437:Q437" si="880">J437/H437</f>
        <v>0.36426116838487971</v>
      </c>
      <c r="Q437" s="13">
        <f t="shared" si="880"/>
        <v>0.35818005808325265</v>
      </c>
      <c r="R437" s="13">
        <f t="shared" si="520"/>
        <v>6.0811103016270573E-3</v>
      </c>
      <c r="S437" s="13">
        <f t="shared" ref="S437:T437" si="881">N437/L437</f>
        <v>0.46882793017456359</v>
      </c>
      <c r="T437" s="13">
        <f t="shared" si="881"/>
        <v>0.34180790960451979</v>
      </c>
      <c r="U437" s="13">
        <f t="shared" si="522"/>
        <v>0.1270200205700438</v>
      </c>
      <c r="V437" s="13">
        <f t="shared" si="523"/>
        <v>0.12681510164569221</v>
      </c>
      <c r="W437" s="13">
        <f t="shared" si="524"/>
        <v>0.14594594594594601</v>
      </c>
      <c r="X437" s="13">
        <f t="shared" si="525"/>
        <v>0.13276836158192085</v>
      </c>
      <c r="Y437" s="13">
        <f t="shared" si="526"/>
        <v>0.55371900826446274</v>
      </c>
    </row>
    <row r="438" spans="1:25" ht="14.4">
      <c r="A438" s="98" t="s">
        <v>703</v>
      </c>
      <c r="B438" s="99">
        <v>543960</v>
      </c>
      <c r="C438" s="98" t="s">
        <v>190</v>
      </c>
      <c r="D438" s="109" t="s">
        <v>100</v>
      </c>
      <c r="E438" s="11">
        <f ca="1">IFERROR(__xludf.DUMMYFUNCTION("GOOGLEFINANCE(""BOM:""&amp;B438,""PRICE"")"),1042.4)</f>
        <v>1042.4000000000001</v>
      </c>
      <c r="F438" s="20">
        <f ca="1">IFERROR(__xludf.DUMMYFUNCTION("GOOGLEFINANCE(""BOM:""&amp;B438,""MARKETCAP"")/10000000"),10901.00804)</f>
        <v>10901.008040000001</v>
      </c>
      <c r="G438" s="95">
        <f t="shared" ca="1" si="541"/>
        <v>2.7057287326796446E-4</v>
      </c>
      <c r="H438" s="101">
        <v>728</v>
      </c>
      <c r="I438" s="101">
        <v>770</v>
      </c>
      <c r="J438" s="101">
        <v>170</v>
      </c>
      <c r="K438" s="101">
        <v>231</v>
      </c>
      <c r="L438" s="101">
        <v>277</v>
      </c>
      <c r="M438" s="101">
        <v>244</v>
      </c>
      <c r="N438" s="101">
        <v>63</v>
      </c>
      <c r="O438" s="101">
        <v>75</v>
      </c>
      <c r="P438" s="13">
        <f t="shared" ref="P438:Q438" si="882">J438/H438</f>
        <v>0.23351648351648352</v>
      </c>
      <c r="Q438" s="13">
        <f t="shared" si="882"/>
        <v>0.3</v>
      </c>
      <c r="R438" s="13">
        <f t="shared" si="520"/>
        <v>-6.6483516483516469E-2</v>
      </c>
      <c r="S438" s="13">
        <f t="shared" ref="S438:T438" si="883">N438/L438</f>
        <v>0.22743682310469315</v>
      </c>
      <c r="T438" s="13">
        <f t="shared" si="883"/>
        <v>0.30737704918032788</v>
      </c>
      <c r="U438" s="13">
        <f t="shared" si="522"/>
        <v>-7.9940226075634724E-2</v>
      </c>
      <c r="V438" s="13">
        <f t="shared" si="523"/>
        <v>-5.4545454545454564E-2</v>
      </c>
      <c r="W438" s="13">
        <f t="shared" si="524"/>
        <v>-0.26406926406926412</v>
      </c>
      <c r="X438" s="13">
        <f t="shared" si="525"/>
        <v>0.13524590163934436</v>
      </c>
      <c r="Y438" s="13">
        <f t="shared" si="526"/>
        <v>-0.16000000000000003</v>
      </c>
    </row>
    <row r="439" spans="1:25" ht="14.4">
      <c r="A439" s="98" t="s">
        <v>704</v>
      </c>
      <c r="B439" s="99">
        <v>543238</v>
      </c>
      <c r="C439" s="98" t="s">
        <v>172</v>
      </c>
      <c r="D439" s="70" t="s">
        <v>246</v>
      </c>
      <c r="E439" s="11">
        <f ca="1">IFERROR(__xludf.DUMMYFUNCTION("GOOGLEFINANCE(""BOM:""&amp;B439,""PRICE"")"),938.95)</f>
        <v>938.95</v>
      </c>
      <c r="F439" s="20">
        <f ca="1">IFERROR(__xludf.DUMMYFUNCTION("GOOGLEFINANCE(""BOM:""&amp;B439,""MARKETCAP"")/10000000"),12055.176)</f>
        <v>12055.175999999999</v>
      </c>
      <c r="G439" s="95">
        <f t="shared" ca="1" si="541"/>
        <v>2.992203653187111E-4</v>
      </c>
      <c r="H439" s="101">
        <v>1486</v>
      </c>
      <c r="I439" s="101">
        <v>1494</v>
      </c>
      <c r="J439" s="101">
        <v>523</v>
      </c>
      <c r="K439" s="101">
        <v>710</v>
      </c>
      <c r="L439" s="101">
        <v>517</v>
      </c>
      <c r="M439" s="101">
        <v>420</v>
      </c>
      <c r="N439" s="101">
        <v>137</v>
      </c>
      <c r="O439" s="101">
        <v>173</v>
      </c>
      <c r="P439" s="13">
        <f t="shared" ref="P439:Q439" si="884">J439/H439</f>
        <v>0.35195154777927323</v>
      </c>
      <c r="Q439" s="13">
        <f t="shared" si="884"/>
        <v>0.47523427041499333</v>
      </c>
      <c r="R439" s="13">
        <f t="shared" si="520"/>
        <v>-0.1232827226357201</v>
      </c>
      <c r="S439" s="13">
        <f t="shared" ref="S439:T439" si="885">N439/L439</f>
        <v>0.26499032882011603</v>
      </c>
      <c r="T439" s="13">
        <f t="shared" si="885"/>
        <v>0.41190476190476188</v>
      </c>
      <c r="U439" s="13">
        <f t="shared" si="522"/>
        <v>-0.14691443308464586</v>
      </c>
      <c r="V439" s="13">
        <f t="shared" si="523"/>
        <v>-5.3547523427041055E-3</v>
      </c>
      <c r="W439" s="13">
        <f t="shared" si="524"/>
        <v>-0.26338028169014083</v>
      </c>
      <c r="X439" s="13">
        <f t="shared" si="525"/>
        <v>0.23095238095238102</v>
      </c>
      <c r="Y439" s="13">
        <f t="shared" si="526"/>
        <v>-0.20809248554913296</v>
      </c>
    </row>
    <row r="440" spans="1:25" ht="14.4">
      <c r="A440" s="98" t="s">
        <v>705</v>
      </c>
      <c r="B440" s="99">
        <v>521064</v>
      </c>
      <c r="C440" s="98" t="s">
        <v>187</v>
      </c>
      <c r="D440" s="102" t="s">
        <v>492</v>
      </c>
      <c r="E440" s="11">
        <f ca="1">IFERROR(__xludf.DUMMYFUNCTION("GOOGLEFINANCE(""BOM:""&amp;B440,""PRICE"")"),24.19)</f>
        <v>24.19</v>
      </c>
      <c r="F440" s="20">
        <f ca="1">IFERROR(__xludf.DUMMYFUNCTION("GOOGLEFINANCE(""BOM:""&amp;B440,""MARKETCAP"")/10000000"),12330.8224087)</f>
        <v>12330.8224087</v>
      </c>
      <c r="G440" s="95">
        <f t="shared" ca="1" si="541"/>
        <v>3.0606215834686802E-4</v>
      </c>
      <c r="H440" s="101">
        <v>5068</v>
      </c>
      <c r="I440" s="101">
        <v>5122</v>
      </c>
      <c r="J440" s="101">
        <v>275</v>
      </c>
      <c r="K440" s="101">
        <v>237</v>
      </c>
      <c r="L440" s="101">
        <v>1574</v>
      </c>
      <c r="M440" s="101">
        <v>1667</v>
      </c>
      <c r="N440" s="101">
        <v>44</v>
      </c>
      <c r="O440" s="101">
        <v>80</v>
      </c>
      <c r="P440" s="13">
        <f t="shared" ref="P440:Q440" si="886">J440/H440</f>
        <v>5.4262036306235203E-2</v>
      </c>
      <c r="Q440" s="13">
        <f t="shared" si="886"/>
        <v>4.6270987895353374E-2</v>
      </c>
      <c r="R440" s="13">
        <f t="shared" si="520"/>
        <v>7.9910484108818292E-3</v>
      </c>
      <c r="S440" s="13">
        <f t="shared" ref="S440:T440" si="887">N440/L440</f>
        <v>2.795425667090216E-2</v>
      </c>
      <c r="T440" s="13">
        <f t="shared" si="887"/>
        <v>4.799040191961608E-2</v>
      </c>
      <c r="U440" s="13">
        <f t="shared" si="522"/>
        <v>-2.0036145248713919E-2</v>
      </c>
      <c r="V440" s="13">
        <f t="shared" si="523"/>
        <v>-1.0542756735650083E-2</v>
      </c>
      <c r="W440" s="13">
        <f t="shared" si="524"/>
        <v>0.16033755274261607</v>
      </c>
      <c r="X440" s="13">
        <f t="shared" si="525"/>
        <v>-5.578884223155367E-2</v>
      </c>
      <c r="Y440" s="13">
        <f t="shared" si="526"/>
        <v>-0.44999999999999996</v>
      </c>
    </row>
    <row r="441" spans="1:25" ht="14.4">
      <c r="A441" s="98" t="s">
        <v>706</v>
      </c>
      <c r="B441" s="99">
        <v>532605</v>
      </c>
      <c r="C441" s="98" t="s">
        <v>187</v>
      </c>
      <c r="D441" s="102" t="s">
        <v>312</v>
      </c>
      <c r="E441" s="11">
        <f ca="1">IFERROR(__xludf.DUMMYFUNCTION("GOOGLEFINANCE(""BOM:""&amp;B441,""PRICE"")"),561.15)</f>
        <v>561.15</v>
      </c>
      <c r="F441" s="20">
        <f ca="1">IFERROR(__xludf.DUMMYFUNCTION("GOOGLEFINANCE(""BOM:""&amp;B441,""MARKETCAP"")/10000000"),13270.8726103)</f>
        <v>13270.872610300001</v>
      </c>
      <c r="G441" s="95">
        <f t="shared" ca="1" si="541"/>
        <v>3.2939505408731016E-4</v>
      </c>
      <c r="H441" s="101">
        <v>4236</v>
      </c>
      <c r="I441" s="101">
        <v>3827</v>
      </c>
      <c r="J441" s="101">
        <v>154</v>
      </c>
      <c r="K441" s="101">
        <v>143</v>
      </c>
      <c r="L441" s="101">
        <v>1614</v>
      </c>
      <c r="M441" s="101">
        <v>1396</v>
      </c>
      <c r="N441" s="101">
        <v>60</v>
      </c>
      <c r="O441" s="101">
        <v>56</v>
      </c>
      <c r="P441" s="13">
        <f t="shared" ref="P441:Q441" si="888">J441/H441</f>
        <v>3.6355051935788481E-2</v>
      </c>
      <c r="Q441" s="13">
        <f t="shared" si="888"/>
        <v>3.7366083093807158E-2</v>
      </c>
      <c r="R441" s="13">
        <f t="shared" si="520"/>
        <v>-1.011031158018677E-3</v>
      </c>
      <c r="S441" s="13">
        <f t="shared" ref="S441:T441" si="889">N441/L441</f>
        <v>3.717472118959108E-2</v>
      </c>
      <c r="T441" s="13">
        <f t="shared" si="889"/>
        <v>4.0114613180515762E-2</v>
      </c>
      <c r="U441" s="13">
        <f t="shared" si="522"/>
        <v>-2.9398919909246826E-3</v>
      </c>
      <c r="V441" s="13">
        <f t="shared" si="523"/>
        <v>0.10687222367389593</v>
      </c>
      <c r="W441" s="13">
        <f t="shared" si="524"/>
        <v>7.6923076923076872E-2</v>
      </c>
      <c r="X441" s="13">
        <f t="shared" si="525"/>
        <v>0.15616045845272208</v>
      </c>
      <c r="Y441" s="13">
        <f t="shared" si="526"/>
        <v>7.1428571428571397E-2</v>
      </c>
    </row>
    <row r="442" spans="1:25" ht="14.4">
      <c r="A442" s="98" t="s">
        <v>707</v>
      </c>
      <c r="B442" s="99">
        <v>544174</v>
      </c>
      <c r="C442" s="98" t="s">
        <v>187</v>
      </c>
      <c r="D442" s="100" t="s">
        <v>88</v>
      </c>
      <c r="E442" s="11">
        <f ca="1">IFERROR(__xludf.DUMMYFUNCTION("GOOGLEFINANCE(""BOM:""&amp;B442,""PRICE"")"),1098.9)</f>
        <v>1098.9000000000001</v>
      </c>
      <c r="F442" s="20">
        <f ca="1">IFERROR(__xludf.DUMMYFUNCTION("GOOGLEFINANCE(""BOM:""&amp;B442,""MARKETCAP"")/10000000"),11719.07)</f>
        <v>11719.07</v>
      </c>
      <c r="G442" s="95">
        <f t="shared" ca="1" si="541"/>
        <v>2.9087791058343297E-4</v>
      </c>
      <c r="H442" s="101">
        <v>1863</v>
      </c>
      <c r="I442" s="101">
        <v>1291</v>
      </c>
      <c r="J442" s="101">
        <v>184</v>
      </c>
      <c r="K442" s="101">
        <v>170</v>
      </c>
      <c r="L442" s="101">
        <v>784</v>
      </c>
      <c r="M442" s="101">
        <v>422</v>
      </c>
      <c r="N442" s="101">
        <v>53</v>
      </c>
      <c r="O442" s="101">
        <v>49</v>
      </c>
      <c r="P442" s="13">
        <f t="shared" ref="P442:Q442" si="890">J442/H442</f>
        <v>9.8765432098765427E-2</v>
      </c>
      <c r="Q442" s="13">
        <f t="shared" si="890"/>
        <v>0.13168086754453912</v>
      </c>
      <c r="R442" s="13">
        <f t="shared" si="520"/>
        <v>-3.2915435445773689E-2</v>
      </c>
      <c r="S442" s="13">
        <f t="shared" ref="S442:T442" si="891">N442/L442</f>
        <v>6.7602040816326536E-2</v>
      </c>
      <c r="T442" s="13">
        <f t="shared" si="891"/>
        <v>0.11611374407582939</v>
      </c>
      <c r="U442" s="13">
        <f t="shared" si="522"/>
        <v>-4.8511703259502853E-2</v>
      </c>
      <c r="V442" s="13">
        <f t="shared" si="523"/>
        <v>0.44306738962044934</v>
      </c>
      <c r="W442" s="13">
        <f t="shared" si="524"/>
        <v>8.2352941176470518E-2</v>
      </c>
      <c r="X442" s="13">
        <f t="shared" si="525"/>
        <v>0.85781990521327023</v>
      </c>
      <c r="Y442" s="13">
        <f t="shared" si="526"/>
        <v>8.163265306122458E-2</v>
      </c>
    </row>
    <row r="443" spans="1:25" ht="14.4">
      <c r="A443" s="98" t="s">
        <v>708</v>
      </c>
      <c r="B443" s="99">
        <v>543534</v>
      </c>
      <c r="C443" s="98" t="s">
        <v>196</v>
      </c>
      <c r="D443" s="101" t="s">
        <v>251</v>
      </c>
      <c r="E443" s="11">
        <f ca="1">IFERROR(__xludf.DUMMYFUNCTION("GOOGLEFINANCE(""BOM:""&amp;B443,""PRICE"")"),1098.5)</f>
        <v>1098.5</v>
      </c>
      <c r="F443" s="20">
        <f ca="1">IFERROR(__xludf.DUMMYFUNCTION("GOOGLEFINANCE(""BOM:""&amp;B443,""MARKETCAP"")/10000000"),14593.4515259)</f>
        <v>14593.4515259</v>
      </c>
      <c r="G443" s="95">
        <f t="shared" ca="1" si="541"/>
        <v>3.6222265828725353E-4</v>
      </c>
      <c r="H443" s="101">
        <v>853</v>
      </c>
      <c r="I443" s="101">
        <v>598</v>
      </c>
      <c r="J443" s="101">
        <v>165</v>
      </c>
      <c r="K443" s="101">
        <v>108</v>
      </c>
      <c r="L443" s="101">
        <v>317</v>
      </c>
      <c r="M443" s="101">
        <v>219</v>
      </c>
      <c r="N443" s="101">
        <v>64</v>
      </c>
      <c r="O443" s="101">
        <v>43</v>
      </c>
      <c r="P443" s="13">
        <f t="shared" ref="P443:Q443" si="892">J443/H443</f>
        <v>0.19343493552168817</v>
      </c>
      <c r="Q443" s="13">
        <f t="shared" si="892"/>
        <v>0.1806020066889632</v>
      </c>
      <c r="R443" s="13">
        <f t="shared" si="520"/>
        <v>1.2832928832724966E-2</v>
      </c>
      <c r="S443" s="13">
        <f t="shared" ref="S443:T443" si="893">N443/L443</f>
        <v>0.20189274447949526</v>
      </c>
      <c r="T443" s="13">
        <f t="shared" si="893"/>
        <v>0.19634703196347031</v>
      </c>
      <c r="U443" s="13">
        <f t="shared" si="522"/>
        <v>5.5457125160249532E-3</v>
      </c>
      <c r="V443" s="13">
        <f t="shared" si="523"/>
        <v>0.4264214046822743</v>
      </c>
      <c r="W443" s="13">
        <f t="shared" si="524"/>
        <v>0.52777777777777768</v>
      </c>
      <c r="X443" s="13">
        <f t="shared" si="525"/>
        <v>0.44748858447488593</v>
      </c>
      <c r="Y443" s="13">
        <f t="shared" si="526"/>
        <v>0.48837209302325579</v>
      </c>
    </row>
    <row r="444" spans="1:25" ht="14.4">
      <c r="A444" s="98" t="s">
        <v>709</v>
      </c>
      <c r="B444" s="99">
        <v>500645</v>
      </c>
      <c r="C444" s="98" t="s">
        <v>196</v>
      </c>
      <c r="D444" s="101" t="s">
        <v>346</v>
      </c>
      <c r="E444" s="11">
        <f ca="1">IFERROR(__xludf.DUMMYFUNCTION("GOOGLEFINANCE(""BOM:""&amp;B444,""PRICE"")"),981.4)</f>
        <v>981.4</v>
      </c>
      <c r="F444" s="20">
        <f ca="1">IFERROR(__xludf.DUMMYFUNCTION("GOOGLEFINANCE(""BOM:""&amp;B444,""MARKETCAP"")/10000000"),12380.1412)</f>
        <v>12380.1412</v>
      </c>
      <c r="G444" s="95">
        <f t="shared" ca="1" si="541"/>
        <v>3.0728629532751959E-4</v>
      </c>
      <c r="H444" s="101">
        <v>8494</v>
      </c>
      <c r="I444" s="101">
        <v>7607</v>
      </c>
      <c r="J444" s="101">
        <v>599</v>
      </c>
      <c r="K444" s="101">
        <v>666</v>
      </c>
      <c r="L444" s="101">
        <v>2830</v>
      </c>
      <c r="M444" s="101">
        <v>2579</v>
      </c>
      <c r="N444" s="101">
        <v>141</v>
      </c>
      <c r="O444" s="101">
        <v>253</v>
      </c>
      <c r="P444" s="13">
        <f t="shared" ref="P444:Q444" si="894">J444/H444</f>
        <v>7.0520367318106902E-2</v>
      </c>
      <c r="Q444" s="13">
        <f t="shared" si="894"/>
        <v>8.7550939923754442E-2</v>
      </c>
      <c r="R444" s="13">
        <f t="shared" si="520"/>
        <v>-1.703057260564754E-2</v>
      </c>
      <c r="S444" s="13">
        <f t="shared" ref="S444:T444" si="895">N444/L444</f>
        <v>4.9823321554770317E-2</v>
      </c>
      <c r="T444" s="13">
        <f t="shared" si="895"/>
        <v>9.8100038774718887E-2</v>
      </c>
      <c r="U444" s="13">
        <f t="shared" si="522"/>
        <v>-4.827671721994857E-2</v>
      </c>
      <c r="V444" s="13">
        <f t="shared" si="523"/>
        <v>0.11660312869725242</v>
      </c>
      <c r="W444" s="13">
        <f t="shared" si="524"/>
        <v>-0.10060060060060061</v>
      </c>
      <c r="X444" s="13">
        <f t="shared" si="525"/>
        <v>9.7324544397053181E-2</v>
      </c>
      <c r="Y444" s="13">
        <f t="shared" si="526"/>
        <v>-0.44268774703557312</v>
      </c>
    </row>
    <row r="445" spans="1:25" ht="14.4">
      <c r="A445" s="98" t="s">
        <v>710</v>
      </c>
      <c r="B445" s="99">
        <v>500210</v>
      </c>
      <c r="C445" s="98" t="s">
        <v>180</v>
      </c>
      <c r="D445" s="70" t="s">
        <v>264</v>
      </c>
      <c r="E445" s="11">
        <f ca="1">IFERROR(__xludf.DUMMYFUNCTION("GOOGLEFINANCE(""BOM:""&amp;B445,""PRICE"")"),3676.2)</f>
        <v>3676.2</v>
      </c>
      <c r="F445" s="20">
        <f ca="1">IFERROR(__xludf.DUMMYFUNCTION("GOOGLEFINANCE(""BOM:""&amp;B445,""MARKETCAP"")/10000000"),11603.101677)</f>
        <v>11603.101677000001</v>
      </c>
      <c r="G445" s="95">
        <f t="shared" ca="1" si="541"/>
        <v>2.8799947197967821E-4</v>
      </c>
      <c r="H445" s="101">
        <v>1092</v>
      </c>
      <c r="I445" s="101">
        <v>1013</v>
      </c>
      <c r="J445" s="101">
        <v>191</v>
      </c>
      <c r="K445" s="101">
        <v>199</v>
      </c>
      <c r="L445" s="101">
        <v>455</v>
      </c>
      <c r="M445" s="101">
        <v>381</v>
      </c>
      <c r="N445" s="101">
        <v>71</v>
      </c>
      <c r="O445" s="101">
        <v>77</v>
      </c>
      <c r="P445" s="13">
        <f t="shared" ref="P445:Q445" si="896">J445/H445</f>
        <v>0.1749084249084249</v>
      </c>
      <c r="Q445" s="13">
        <f t="shared" si="896"/>
        <v>0.19644619940769989</v>
      </c>
      <c r="R445" s="13">
        <f t="shared" si="520"/>
        <v>-2.1537774499274992E-2</v>
      </c>
      <c r="S445" s="13">
        <f t="shared" ref="S445:T445" si="897">N445/L445</f>
        <v>0.15604395604395604</v>
      </c>
      <c r="T445" s="13">
        <f t="shared" si="897"/>
        <v>0.20209973753280841</v>
      </c>
      <c r="U445" s="13">
        <f t="shared" si="522"/>
        <v>-4.6055781488852365E-2</v>
      </c>
      <c r="V445" s="13">
        <f t="shared" si="523"/>
        <v>7.7986179664363275E-2</v>
      </c>
      <c r="W445" s="13">
        <f t="shared" si="524"/>
        <v>-4.020100502512558E-2</v>
      </c>
      <c r="X445" s="13">
        <f t="shared" si="525"/>
        <v>0.19422572178477693</v>
      </c>
      <c r="Y445" s="13">
        <f t="shared" si="526"/>
        <v>-7.7922077922077948E-2</v>
      </c>
    </row>
    <row r="446" spans="1:25" ht="14.4">
      <c r="A446" s="104" t="s">
        <v>711</v>
      </c>
      <c r="B446" s="99">
        <v>530005</v>
      </c>
      <c r="C446" s="98" t="s">
        <v>196</v>
      </c>
      <c r="D446" s="70" t="s">
        <v>109</v>
      </c>
      <c r="E446" s="11">
        <f ca="1">IFERROR(__xludf.DUMMYFUNCTION("GOOGLEFINANCE(""BOM:""&amp;B446,""PRICE"")"),356.05)</f>
        <v>356.05</v>
      </c>
      <c r="F446" s="20">
        <f ca="1">IFERROR(__xludf.DUMMYFUNCTION("GOOGLEFINANCE(""BOM:""&amp;B446,""MARKETCAP"")/10000000"),11042.6795908)</f>
        <v>11042.6795908</v>
      </c>
      <c r="G446" s="95">
        <f t="shared" ca="1" si="541"/>
        <v>2.7408928921955606E-4</v>
      </c>
      <c r="H446" s="101">
        <v>3317</v>
      </c>
      <c r="I446" s="101">
        <v>3117</v>
      </c>
      <c r="J446" s="101">
        <v>-125</v>
      </c>
      <c r="K446" s="101">
        <v>-151</v>
      </c>
      <c r="L446" s="101">
        <v>1137</v>
      </c>
      <c r="M446" s="101">
        <v>952</v>
      </c>
      <c r="N446" s="101">
        <v>-2</v>
      </c>
      <c r="O446" s="101">
        <v>116</v>
      </c>
      <c r="P446" s="13">
        <f t="shared" ref="P446:Q446" si="898">J446/H446</f>
        <v>-3.7684654808561951E-2</v>
      </c>
      <c r="Q446" s="13">
        <f t="shared" si="898"/>
        <v>-4.844401668270773E-2</v>
      </c>
      <c r="R446" s="13">
        <f t="shared" si="520"/>
        <v>1.0759361874145779E-2</v>
      </c>
      <c r="S446" s="13">
        <f t="shared" ref="S446:T446" si="899">N446/L446</f>
        <v>-1.7590149516270889E-3</v>
      </c>
      <c r="T446" s="13">
        <f t="shared" si="899"/>
        <v>0.12184873949579832</v>
      </c>
      <c r="U446" s="13">
        <f t="shared" si="522"/>
        <v>-0.1236077544474254</v>
      </c>
      <c r="V446" s="13">
        <f t="shared" si="523"/>
        <v>6.4164260506897719E-2</v>
      </c>
      <c r="W446" s="13">
        <f t="shared" si="524"/>
        <v>-0.17218543046357615</v>
      </c>
      <c r="X446" s="13">
        <f t="shared" si="525"/>
        <v>0.19432773109243695</v>
      </c>
      <c r="Y446" s="13">
        <f t="shared" si="526"/>
        <v>-1.0172413793103448</v>
      </c>
    </row>
    <row r="447" spans="1:25" ht="14.4">
      <c r="A447" s="98" t="s">
        <v>712</v>
      </c>
      <c r="B447" s="99">
        <v>531335</v>
      </c>
      <c r="C447" s="98" t="s">
        <v>183</v>
      </c>
      <c r="D447" s="102" t="s">
        <v>105</v>
      </c>
      <c r="E447" s="11">
        <f ca="1">IFERROR(__xludf.DUMMYFUNCTION("GOOGLEFINANCE(""BOM:""&amp;B447,""PRICE"")"),502.6)</f>
        <v>502.6</v>
      </c>
      <c r="F447" s="20">
        <f ca="1">IFERROR(__xludf.DUMMYFUNCTION("GOOGLEFINANCE(""BOM:""&amp;B447,""MARKETCAP"")/10000000"),16033.7088648)</f>
        <v>16033.708864800001</v>
      </c>
      <c r="G447" s="95">
        <f t="shared" ca="1" si="541"/>
        <v>3.9797114732620348E-4</v>
      </c>
      <c r="H447" s="101">
        <v>2476</v>
      </c>
      <c r="I447" s="101">
        <v>1795</v>
      </c>
      <c r="J447" s="101">
        <v>35</v>
      </c>
      <c r="K447" s="101">
        <v>175</v>
      </c>
      <c r="L447" s="101">
        <v>964</v>
      </c>
      <c r="M447" s="101">
        <v>461</v>
      </c>
      <c r="N447" s="101">
        <v>-39</v>
      </c>
      <c r="O447" s="101">
        <v>6</v>
      </c>
      <c r="P447" s="13">
        <f t="shared" ref="P447:Q447" si="900">J447/H447</f>
        <v>1.4135702746365105E-2</v>
      </c>
      <c r="Q447" s="13">
        <f t="shared" si="900"/>
        <v>9.7493036211699163E-2</v>
      </c>
      <c r="R447" s="13">
        <f t="shared" si="520"/>
        <v>-8.3357333465334055E-2</v>
      </c>
      <c r="S447" s="13">
        <f t="shared" ref="S447:T447" si="901">N447/L447</f>
        <v>-4.0456431535269712E-2</v>
      </c>
      <c r="T447" s="13">
        <f t="shared" si="901"/>
        <v>1.3015184381778741E-2</v>
      </c>
      <c r="U447" s="13">
        <f t="shared" si="522"/>
        <v>-5.3471615917048451E-2</v>
      </c>
      <c r="V447" s="13">
        <f t="shared" si="523"/>
        <v>0.37938718662952642</v>
      </c>
      <c r="W447" s="13">
        <f t="shared" si="524"/>
        <v>-0.8</v>
      </c>
      <c r="X447" s="13">
        <f t="shared" si="525"/>
        <v>1.0911062906724514</v>
      </c>
      <c r="Y447" s="13">
        <f t="shared" si="526"/>
        <v>-7.5</v>
      </c>
    </row>
    <row r="448" spans="1:25" ht="14.4">
      <c r="A448" s="104" t="s">
        <v>713</v>
      </c>
      <c r="B448" s="99">
        <v>535789</v>
      </c>
      <c r="C448" s="98" t="s">
        <v>172</v>
      </c>
      <c r="D448" s="100" t="s">
        <v>80</v>
      </c>
      <c r="E448" s="11">
        <f ca="1">IFERROR(__xludf.DUMMYFUNCTION("GOOGLEFINANCE(""BOM:""&amp;B448,""PRICE"")"),148.15)</f>
        <v>148.15</v>
      </c>
      <c r="F448" s="20">
        <f ca="1">IFERROR(__xludf.DUMMYFUNCTION("GOOGLEFINANCE(""BOM:""&amp;B448,""MARKETCAP"")/10000000"),16793.46)</f>
        <v>16793.46</v>
      </c>
      <c r="G448" s="95">
        <f t="shared" ca="1" si="541"/>
        <v>4.1682885726140883E-4</v>
      </c>
      <c r="H448" s="101">
        <v>6828</v>
      </c>
      <c r="I448" s="101">
        <v>6551</v>
      </c>
      <c r="J448" s="101">
        <v>957</v>
      </c>
      <c r="K448" s="101">
        <v>-2131</v>
      </c>
      <c r="L448" s="101">
        <v>2158</v>
      </c>
      <c r="M448" s="101">
        <v>2019</v>
      </c>
      <c r="N448" s="101">
        <v>314</v>
      </c>
      <c r="O448" s="101">
        <v>302</v>
      </c>
      <c r="P448" s="13">
        <f t="shared" ref="P448:Q448" si="902">J448/H448</f>
        <v>0.14015817223198593</v>
      </c>
      <c r="Q448" s="13">
        <f t="shared" si="902"/>
        <v>-0.32529384826744007</v>
      </c>
      <c r="R448" s="13">
        <f t="shared" si="520"/>
        <v>0.46545202049942602</v>
      </c>
      <c r="S448" s="13">
        <f t="shared" ref="S448:T448" si="903">N448/L448</f>
        <v>0.14550509731232622</v>
      </c>
      <c r="T448" s="13">
        <f t="shared" si="903"/>
        <v>0.1495789995047053</v>
      </c>
      <c r="U448" s="13">
        <f t="shared" si="522"/>
        <v>-4.0739021923790752E-3</v>
      </c>
      <c r="V448" s="13">
        <f t="shared" si="523"/>
        <v>4.2283620821248702E-2</v>
      </c>
      <c r="W448" s="13">
        <f t="shared" si="524"/>
        <v>-1.4490849366494603</v>
      </c>
      <c r="X448" s="13">
        <f t="shared" si="525"/>
        <v>6.8845963348192152E-2</v>
      </c>
      <c r="Y448" s="13">
        <f t="shared" si="526"/>
        <v>3.9735099337748325E-2</v>
      </c>
    </row>
    <row r="449" spans="1:25" ht="14.4">
      <c r="A449" s="98" t="s">
        <v>714</v>
      </c>
      <c r="B449" s="99">
        <v>544057</v>
      </c>
      <c r="C449" s="98" t="s">
        <v>180</v>
      </c>
      <c r="D449" s="101" t="s">
        <v>463</v>
      </c>
      <c r="E449" s="11">
        <f ca="1">IFERROR(__xludf.DUMMYFUNCTION("GOOGLEFINANCE(""BOM:""&amp;B449,""PRICE"")"),1195.2)</f>
        <v>1195.2</v>
      </c>
      <c r="F449" s="20">
        <f ca="1">IFERROR(__xludf.DUMMYFUNCTION("GOOGLEFINANCE(""BOM:""&amp;B449,""MARKETCAP"")/10000000"),11267.2945588)</f>
        <v>11267.2945588</v>
      </c>
      <c r="G449" s="95">
        <f t="shared" ca="1" si="541"/>
        <v>2.7966443576084348E-4</v>
      </c>
      <c r="H449" s="101">
        <v>1122</v>
      </c>
      <c r="I449" s="101">
        <v>1056</v>
      </c>
      <c r="J449" s="101">
        <v>218</v>
      </c>
      <c r="K449" s="101">
        <v>199</v>
      </c>
      <c r="L449" s="101">
        <v>391</v>
      </c>
      <c r="M449" s="101">
        <v>354</v>
      </c>
      <c r="N449" s="101">
        <v>78</v>
      </c>
      <c r="O449" s="101">
        <v>65</v>
      </c>
      <c r="P449" s="13">
        <f t="shared" ref="P449:Q449" si="904">J449/H449</f>
        <v>0.19429590017825313</v>
      </c>
      <c r="Q449" s="13">
        <f t="shared" si="904"/>
        <v>0.1884469696969697</v>
      </c>
      <c r="R449" s="13">
        <f t="shared" si="520"/>
        <v>5.848930481283432E-3</v>
      </c>
      <c r="S449" s="13">
        <f t="shared" ref="S449:T449" si="905">N449/L449</f>
        <v>0.19948849104859334</v>
      </c>
      <c r="T449" s="13">
        <f t="shared" si="905"/>
        <v>0.18361581920903955</v>
      </c>
      <c r="U449" s="13">
        <f t="shared" si="522"/>
        <v>1.5872671839553792E-2</v>
      </c>
      <c r="V449" s="13">
        <f t="shared" si="523"/>
        <v>6.25E-2</v>
      </c>
      <c r="W449" s="13">
        <f t="shared" si="524"/>
        <v>9.5477386934673447E-2</v>
      </c>
      <c r="X449" s="13">
        <f t="shared" si="525"/>
        <v>0.10451977401129953</v>
      </c>
      <c r="Y449" s="13">
        <f t="shared" si="526"/>
        <v>0.19999999999999996</v>
      </c>
    </row>
    <row r="450" spans="1:25" ht="14.4">
      <c r="A450" s="98" t="s">
        <v>715</v>
      </c>
      <c r="B450" s="99">
        <v>543524</v>
      </c>
      <c r="C450" s="98" t="s">
        <v>190</v>
      </c>
      <c r="D450" s="100" t="s">
        <v>113</v>
      </c>
      <c r="E450" s="11">
        <f ca="1">IFERROR(__xludf.DUMMYFUNCTION("GOOGLEFINANCE(""BOM:""&amp;B450,""PRICE"")"),1169.2)</f>
        <v>1169.2</v>
      </c>
      <c r="F450" s="20">
        <f ca="1">IFERROR(__xludf.DUMMYFUNCTION("GOOGLEFINANCE(""BOM:""&amp;B450,""MARKETCAP"")/10000000"),11864.6535912)</f>
        <v>11864.6535912</v>
      </c>
      <c r="G450" s="95">
        <f t="shared" ca="1" si="541"/>
        <v>2.9449142691395143E-4</v>
      </c>
      <c r="H450" s="101">
        <v>1243</v>
      </c>
      <c r="I450" s="101">
        <v>1145</v>
      </c>
      <c r="J450" s="101">
        <v>203</v>
      </c>
      <c r="K450" s="101">
        <v>187</v>
      </c>
      <c r="L450" s="101">
        <v>445</v>
      </c>
      <c r="M450" s="101">
        <v>398</v>
      </c>
      <c r="N450" s="101">
        <v>73</v>
      </c>
      <c r="O450" s="101">
        <v>68</v>
      </c>
      <c r="P450" s="13">
        <f t="shared" ref="P450:Q450" si="906">J450/H450</f>
        <v>0.16331456154465004</v>
      </c>
      <c r="Q450" s="13">
        <f t="shared" si="906"/>
        <v>0.16331877729257641</v>
      </c>
      <c r="R450" s="13">
        <f t="shared" si="520"/>
        <v>-4.2157479263615905E-6</v>
      </c>
      <c r="S450" s="13">
        <f t="shared" ref="S450:T450" si="907">N450/L450</f>
        <v>0.16404494382022472</v>
      </c>
      <c r="T450" s="13">
        <f t="shared" si="907"/>
        <v>0.17085427135678391</v>
      </c>
      <c r="U450" s="13">
        <f t="shared" si="522"/>
        <v>-6.8093275365591899E-3</v>
      </c>
      <c r="V450" s="13">
        <f t="shared" si="523"/>
        <v>8.5589519650655088E-2</v>
      </c>
      <c r="W450" s="13">
        <f t="shared" si="524"/>
        <v>8.5561497326203106E-2</v>
      </c>
      <c r="X450" s="13">
        <f t="shared" si="525"/>
        <v>0.11809045226130643</v>
      </c>
      <c r="Y450" s="13">
        <f t="shared" si="526"/>
        <v>7.3529411764705843E-2</v>
      </c>
    </row>
    <row r="451" spans="1:25" ht="14.4">
      <c r="A451" s="98" t="s">
        <v>716</v>
      </c>
      <c r="B451" s="99">
        <v>533339</v>
      </c>
      <c r="C451" s="98" t="s">
        <v>180</v>
      </c>
      <c r="D451" s="70" t="s">
        <v>204</v>
      </c>
      <c r="E451" s="11">
        <f ca="1">IFERROR(__xludf.DUMMYFUNCTION("GOOGLEFINANCE(""BOM:""&amp;B451,""PRICE"")"),1378.15)</f>
        <v>1378.15</v>
      </c>
      <c r="F451" s="20">
        <f ca="1">IFERROR(__xludf.DUMMYFUNCTION("GOOGLEFINANCE(""BOM:""&amp;B451,""MARKETCAP"")/10000000"),12406.8467075)</f>
        <v>12406.846707500001</v>
      </c>
      <c r="G451" s="95">
        <f t="shared" ca="1" si="541"/>
        <v>3.0794915016349808E-4</v>
      </c>
      <c r="H451" s="101">
        <v>509</v>
      </c>
      <c r="I451" s="101">
        <v>648</v>
      </c>
      <c r="J451" s="101">
        <v>170</v>
      </c>
      <c r="K451" s="101">
        <v>185</v>
      </c>
      <c r="L451" s="101">
        <v>177</v>
      </c>
      <c r="M451" s="101">
        <v>152</v>
      </c>
      <c r="N451" s="101">
        <v>55</v>
      </c>
      <c r="O451" s="101">
        <v>42</v>
      </c>
      <c r="P451" s="13">
        <f t="shared" ref="P451:Q451" si="908">J451/H451</f>
        <v>0.33398821218074654</v>
      </c>
      <c r="Q451" s="13">
        <f t="shared" si="908"/>
        <v>0.28549382716049382</v>
      </c>
      <c r="R451" s="13">
        <f t="shared" si="520"/>
        <v>4.8494385020252717E-2</v>
      </c>
      <c r="S451" s="13">
        <f t="shared" ref="S451:T451" si="909">N451/L451</f>
        <v>0.31073446327683618</v>
      </c>
      <c r="T451" s="13">
        <f t="shared" si="909"/>
        <v>0.27631578947368424</v>
      </c>
      <c r="U451" s="13">
        <f t="shared" si="522"/>
        <v>3.4418673803151945E-2</v>
      </c>
      <c r="V451" s="13">
        <f t="shared" si="523"/>
        <v>-0.21450617283950613</v>
      </c>
      <c r="W451" s="13">
        <f t="shared" si="524"/>
        <v>-8.108108108108103E-2</v>
      </c>
      <c r="X451" s="13">
        <f t="shared" si="525"/>
        <v>0.16447368421052633</v>
      </c>
      <c r="Y451" s="13">
        <f t="shared" si="526"/>
        <v>0.30952380952380953</v>
      </c>
    </row>
    <row r="452" spans="1:25" ht="14.4">
      <c r="A452" s="98" t="s">
        <v>717</v>
      </c>
      <c r="B452" s="99">
        <v>500241</v>
      </c>
      <c r="C452" s="98" t="s">
        <v>180</v>
      </c>
      <c r="D452" s="100" t="s">
        <v>264</v>
      </c>
      <c r="E452" s="11">
        <f ca="1">IFERROR(__xludf.DUMMYFUNCTION("GOOGLEFINANCE(""BOM:""&amp;B452,""PRICE"")"),1434.45)</f>
        <v>1434.45</v>
      </c>
      <c r="F452" s="20">
        <f ca="1">IFERROR(__xludf.DUMMYFUNCTION("GOOGLEFINANCE(""BOM:""&amp;B452,""MARKETCAP"")/10000000"),11377.7118781)</f>
        <v>11377.711878100001</v>
      </c>
      <c r="G452" s="95">
        <f t="shared" ca="1" si="541"/>
        <v>2.8240509343506232E-4</v>
      </c>
      <c r="H452" s="101">
        <v>3122</v>
      </c>
      <c r="I452" s="101">
        <v>3210</v>
      </c>
      <c r="J452" s="101">
        <v>256</v>
      </c>
      <c r="K452" s="101">
        <v>279</v>
      </c>
      <c r="L452" s="101">
        <v>1116</v>
      </c>
      <c r="M452" s="101">
        <v>1144</v>
      </c>
      <c r="N452" s="101">
        <v>119</v>
      </c>
      <c r="O452" s="101">
        <v>113</v>
      </c>
      <c r="P452" s="13">
        <f t="shared" ref="P452:Q452" si="910">J452/H452</f>
        <v>8.1998718770019213E-2</v>
      </c>
      <c r="Q452" s="13">
        <f t="shared" si="910"/>
        <v>8.6915887850467291E-2</v>
      </c>
      <c r="R452" s="13">
        <f t="shared" si="520"/>
        <v>-4.9171690804480778E-3</v>
      </c>
      <c r="S452" s="13">
        <f t="shared" ref="S452:T452" si="911">N452/L452</f>
        <v>0.10663082437275985</v>
      </c>
      <c r="T452" s="13">
        <f t="shared" si="911"/>
        <v>9.8776223776223776E-2</v>
      </c>
      <c r="U452" s="13">
        <f t="shared" si="522"/>
        <v>7.8546005965360738E-3</v>
      </c>
      <c r="V452" s="13">
        <f t="shared" si="523"/>
        <v>-2.7414330218068494E-2</v>
      </c>
      <c r="W452" s="13">
        <f t="shared" si="524"/>
        <v>-8.2437275985663083E-2</v>
      </c>
      <c r="X452" s="13">
        <f t="shared" si="525"/>
        <v>-2.4475524475524479E-2</v>
      </c>
      <c r="Y452" s="13">
        <f t="shared" si="526"/>
        <v>5.3097345132743445E-2</v>
      </c>
    </row>
    <row r="453" spans="1:25" ht="14.4">
      <c r="A453" s="98" t="s">
        <v>718</v>
      </c>
      <c r="B453" s="99">
        <v>544403</v>
      </c>
      <c r="C453" s="98" t="s">
        <v>187</v>
      </c>
      <c r="D453" s="100" t="s">
        <v>90</v>
      </c>
      <c r="E453" s="11">
        <f ca="1">IFERROR(__xludf.DUMMYFUNCTION("GOOGLEFINANCE(""BOM:""&amp;B453,""PRICE"")"),96.32)</f>
        <v>96.32</v>
      </c>
      <c r="F453" s="20">
        <f ca="1">IFERROR(__xludf.DUMMYFUNCTION("GOOGLEFINANCE(""BOM:""&amp;B453,""MARKETCAP"")/10000000"),11676.1707486)</f>
        <v>11676.1707486</v>
      </c>
      <c r="G453" s="95">
        <f t="shared" ca="1" si="541"/>
        <v>2.8981311238589468E-4</v>
      </c>
      <c r="H453" s="101">
        <v>6284</v>
      </c>
      <c r="I453" s="101">
        <v>5944</v>
      </c>
      <c r="J453" s="101">
        <v>116</v>
      </c>
      <c r="K453" s="101">
        <v>21</v>
      </c>
      <c r="L453" s="101">
        <v>2362</v>
      </c>
      <c r="M453" s="101">
        <v>2059</v>
      </c>
      <c r="N453" s="101">
        <v>69</v>
      </c>
      <c r="O453" s="101">
        <v>60</v>
      </c>
      <c r="P453" s="13">
        <f t="shared" ref="P453:Q453" si="912">J453/H453</f>
        <v>1.8459579885423297E-2</v>
      </c>
      <c r="Q453" s="13">
        <f t="shared" si="912"/>
        <v>3.5329744279946162E-3</v>
      </c>
      <c r="R453" s="13">
        <f t="shared" si="520"/>
        <v>1.4926605457428681E-2</v>
      </c>
      <c r="S453" s="13">
        <f t="shared" ref="S453:T453" si="913">N453/L453</f>
        <v>2.9212531752751906E-2</v>
      </c>
      <c r="T453" s="13">
        <f t="shared" si="913"/>
        <v>2.9140359397765905E-2</v>
      </c>
      <c r="U453" s="13">
        <f t="shared" si="522"/>
        <v>7.2172354986001219E-5</v>
      </c>
      <c r="V453" s="13">
        <f t="shared" si="523"/>
        <v>5.7200538358008091E-2</v>
      </c>
      <c r="W453" s="13">
        <f t="shared" si="524"/>
        <v>4.5238095238095237</v>
      </c>
      <c r="X453" s="13">
        <f t="shared" si="525"/>
        <v>0.14715881495871774</v>
      </c>
      <c r="Y453" s="13">
        <f t="shared" si="526"/>
        <v>0.14999999999999991</v>
      </c>
    </row>
    <row r="454" spans="1:25" ht="14.4">
      <c r="A454" s="98" t="s">
        <v>719</v>
      </c>
      <c r="B454" s="99">
        <v>532178</v>
      </c>
      <c r="C454" s="98" t="s">
        <v>180</v>
      </c>
      <c r="D454" s="102" t="s">
        <v>181</v>
      </c>
      <c r="E454" s="11">
        <f ca="1">IFERROR(__xludf.DUMMYFUNCTION("GOOGLEFINANCE(""BOM:""&amp;B454,""PRICE"")"),202.6)</f>
        <v>202.6</v>
      </c>
      <c r="F454" s="20">
        <f ca="1">IFERROR(__xludf.DUMMYFUNCTION("GOOGLEFINANCE(""BOM:""&amp;B454,""MARKETCAP"")/10000000"),11392.5972494)</f>
        <v>11392.5972494</v>
      </c>
      <c r="G454" s="95">
        <f t="shared" ca="1" si="541"/>
        <v>2.8277456180601687E-4</v>
      </c>
      <c r="H454" s="101">
        <v>30001</v>
      </c>
      <c r="I454" s="101">
        <v>2077</v>
      </c>
      <c r="J454" s="101">
        <v>496</v>
      </c>
      <c r="K454" s="101">
        <v>299</v>
      </c>
      <c r="L454" s="101">
        <v>1210</v>
      </c>
      <c r="M454" s="101">
        <v>764</v>
      </c>
      <c r="N454" s="101">
        <v>347</v>
      </c>
      <c r="O454" s="101">
        <v>108</v>
      </c>
      <c r="P454" s="13">
        <f t="shared" ref="P454:Q454" si="914">J454/H454</f>
        <v>1.653278224059198E-2</v>
      </c>
      <c r="Q454" s="13">
        <f t="shared" si="914"/>
        <v>0.1439576311988445</v>
      </c>
      <c r="R454" s="13">
        <f t="shared" si="520"/>
        <v>-0.12742484895825251</v>
      </c>
      <c r="S454" s="13">
        <f t="shared" ref="S454:T454" si="915">N454/L454</f>
        <v>0.28677685950413223</v>
      </c>
      <c r="T454" s="13">
        <f t="shared" si="915"/>
        <v>0.14136125654450263</v>
      </c>
      <c r="U454" s="13">
        <f t="shared" si="522"/>
        <v>0.1454156029596296</v>
      </c>
      <c r="V454" s="13">
        <f t="shared" si="523"/>
        <v>13.44439094848339</v>
      </c>
      <c r="W454" s="13">
        <f t="shared" si="524"/>
        <v>0.65886287625418061</v>
      </c>
      <c r="X454" s="13">
        <f t="shared" si="525"/>
        <v>0.58376963350785349</v>
      </c>
      <c r="Y454" s="13">
        <f t="shared" si="526"/>
        <v>2.2129629629629628</v>
      </c>
    </row>
    <row r="455" spans="1:25" ht="14.4">
      <c r="A455" s="98" t="s">
        <v>720</v>
      </c>
      <c r="B455" s="99">
        <v>514162</v>
      </c>
      <c r="C455" s="98" t="s">
        <v>187</v>
      </c>
      <c r="D455" s="102" t="s">
        <v>492</v>
      </c>
      <c r="E455" s="11">
        <f ca="1">IFERROR(__xludf.DUMMYFUNCTION("GOOGLEFINANCE(""BOM:""&amp;B455,""PRICE"")"),117.65)</f>
        <v>117.65</v>
      </c>
      <c r="F455" s="20">
        <f ca="1">IFERROR(__xludf.DUMMYFUNCTION("GOOGLEFINANCE(""BOM:""&amp;B455,""MARKETCAP"")/10000000"),11082.7)</f>
        <v>11082.7</v>
      </c>
      <c r="G455" s="95">
        <f t="shared" ca="1" si="541"/>
        <v>2.7508263195142728E-4</v>
      </c>
      <c r="H455" s="101">
        <v>6964</v>
      </c>
      <c r="I455" s="101">
        <v>7899</v>
      </c>
      <c r="J455" s="101">
        <v>107</v>
      </c>
      <c r="K455" s="101">
        <v>511</v>
      </c>
      <c r="L455" s="101">
        <v>2262</v>
      </c>
      <c r="M455" s="101">
        <v>2489</v>
      </c>
      <c r="N455" s="101">
        <v>3</v>
      </c>
      <c r="O455" s="101">
        <v>123</v>
      </c>
      <c r="P455" s="13">
        <f t="shared" ref="P455:Q455" si="916">J455/H455</f>
        <v>1.5364732912119471E-2</v>
      </c>
      <c r="Q455" s="13">
        <f t="shared" si="916"/>
        <v>6.4691733130776044E-2</v>
      </c>
      <c r="R455" s="13">
        <f t="shared" si="520"/>
        <v>-4.9327000218656575E-2</v>
      </c>
      <c r="S455" s="13">
        <f t="shared" ref="S455:T455" si="917">N455/L455</f>
        <v>1.3262599469496021E-3</v>
      </c>
      <c r="T455" s="13">
        <f t="shared" si="917"/>
        <v>4.9417436721574927E-2</v>
      </c>
      <c r="U455" s="13">
        <f t="shared" si="522"/>
        <v>-4.8091176774625322E-2</v>
      </c>
      <c r="V455" s="13">
        <f t="shared" si="523"/>
        <v>-0.11836941384985444</v>
      </c>
      <c r="W455" s="13">
        <f t="shared" si="524"/>
        <v>-0.79060665362035221</v>
      </c>
      <c r="X455" s="13">
        <f t="shared" si="525"/>
        <v>-9.1201285656890341E-2</v>
      </c>
      <c r="Y455" s="13">
        <f t="shared" si="526"/>
        <v>-0.97560975609756095</v>
      </c>
    </row>
    <row r="456" spans="1:25" ht="14.4">
      <c r="A456" s="98" t="s">
        <v>721</v>
      </c>
      <c r="B456" s="99">
        <v>533158</v>
      </c>
      <c r="C456" s="98" t="s">
        <v>187</v>
      </c>
      <c r="D456" s="101" t="s">
        <v>70</v>
      </c>
      <c r="E456" s="11">
        <f ca="1">IFERROR(__xludf.DUMMYFUNCTION("GOOGLEFINANCE(""BOM:""&amp;B456,""PRICE"")"),3751.75)</f>
        <v>3751.75</v>
      </c>
      <c r="F456" s="20">
        <f ca="1">IFERROR(__xludf.DUMMYFUNCTION("GOOGLEFINANCE(""BOM:""&amp;B456,""MARKETCAP"")/10000000"),11682.8024643)</f>
        <v>11682.802464300001</v>
      </c>
      <c r="G456" s="95">
        <f t="shared" ca="1" si="541"/>
        <v>2.8997771756415536E-4</v>
      </c>
      <c r="H456" s="101">
        <v>5661</v>
      </c>
      <c r="I456" s="101">
        <v>3530</v>
      </c>
      <c r="J456" s="101">
        <v>208</v>
      </c>
      <c r="K456" s="101">
        <v>87</v>
      </c>
      <c r="L456" s="101">
        <v>2401</v>
      </c>
      <c r="M456" s="101">
        <v>1131</v>
      </c>
      <c r="N456" s="101">
        <v>104</v>
      </c>
      <c r="O456" s="101">
        <v>48</v>
      </c>
      <c r="P456" s="13">
        <f t="shared" ref="P456:Q456" si="918">J456/H456</f>
        <v>3.6742624977919094E-2</v>
      </c>
      <c r="Q456" s="13">
        <f t="shared" si="918"/>
        <v>2.4645892351274786E-2</v>
      </c>
      <c r="R456" s="13">
        <f t="shared" si="520"/>
        <v>1.2096732626644308E-2</v>
      </c>
      <c r="S456" s="13">
        <f t="shared" ref="S456:T456" si="919">N456/L456</f>
        <v>4.3315285297792584E-2</v>
      </c>
      <c r="T456" s="13">
        <f t="shared" si="919"/>
        <v>4.2440318302387266E-2</v>
      </c>
      <c r="U456" s="13">
        <f t="shared" si="522"/>
        <v>8.7496699540531853E-4</v>
      </c>
      <c r="V456" s="13">
        <f t="shared" si="523"/>
        <v>0.60368271954674224</v>
      </c>
      <c r="W456" s="13">
        <f t="shared" si="524"/>
        <v>1.3908045977011496</v>
      </c>
      <c r="X456" s="13">
        <f t="shared" si="525"/>
        <v>1.1229000884173299</v>
      </c>
      <c r="Y456" s="13">
        <f t="shared" si="526"/>
        <v>1.1666666666666665</v>
      </c>
    </row>
    <row r="457" spans="1:25" ht="14.4">
      <c r="A457" s="98" t="s">
        <v>722</v>
      </c>
      <c r="B457" s="99">
        <v>543663</v>
      </c>
      <c r="C457" s="98" t="s">
        <v>172</v>
      </c>
      <c r="D457" s="70" t="s">
        <v>178</v>
      </c>
      <c r="E457" s="11">
        <f ca="1">IFERROR(__xludf.DUMMYFUNCTION("GOOGLEFINANCE(""BOM:""&amp;B457,""PRICE"")"),357.2)</f>
        <v>357.2</v>
      </c>
      <c r="F457" s="20">
        <f ca="1">IFERROR(__xludf.DUMMYFUNCTION("GOOGLEFINANCE(""BOM:""&amp;B457,""MARKETCAP"")/10000000"),10542.1820878)</f>
        <v>10542.1820878</v>
      </c>
      <c r="G457" s="95">
        <f t="shared" ca="1" si="541"/>
        <v>2.6166648878190484E-4</v>
      </c>
      <c r="H457" s="101">
        <v>2419</v>
      </c>
      <c r="I457" s="101">
        <v>2106</v>
      </c>
      <c r="J457" s="101">
        <v>829</v>
      </c>
      <c r="K457" s="101">
        <v>793</v>
      </c>
      <c r="L457" s="101">
        <v>822</v>
      </c>
      <c r="M457" s="101">
        <v>731</v>
      </c>
      <c r="N457" s="101">
        <v>277</v>
      </c>
      <c r="O457" s="101">
        <v>273</v>
      </c>
      <c r="P457" s="13">
        <f t="shared" ref="P457:Q457" si="920">J457/H457</f>
        <v>0.34270359652749072</v>
      </c>
      <c r="Q457" s="13">
        <f t="shared" si="920"/>
        <v>0.37654320987654322</v>
      </c>
      <c r="R457" s="13">
        <f t="shared" si="520"/>
        <v>-3.38396133490525E-2</v>
      </c>
      <c r="S457" s="13">
        <f t="shared" ref="S457:T457" si="921">N457/L457</f>
        <v>0.33698296836982966</v>
      </c>
      <c r="T457" s="13">
        <f t="shared" si="921"/>
        <v>0.37346101231190149</v>
      </c>
      <c r="U457" s="13">
        <f t="shared" si="522"/>
        <v>-3.6478043942071825E-2</v>
      </c>
      <c r="V457" s="13">
        <f t="shared" si="523"/>
        <v>0.14862298195631518</v>
      </c>
      <c r="W457" s="13">
        <f t="shared" si="524"/>
        <v>4.5397225725094525E-2</v>
      </c>
      <c r="X457" s="13">
        <f t="shared" si="525"/>
        <v>0.12448700410396718</v>
      </c>
      <c r="Y457" s="13">
        <f t="shared" si="526"/>
        <v>1.46520146520146E-2</v>
      </c>
    </row>
    <row r="458" spans="1:25" ht="14.4">
      <c r="A458" s="98" t="s">
        <v>723</v>
      </c>
      <c r="B458" s="99">
        <v>543335</v>
      </c>
      <c r="C458" s="98" t="s">
        <v>172</v>
      </c>
      <c r="D458" s="102" t="s">
        <v>80</v>
      </c>
      <c r="E458" s="11">
        <f ca="1">IFERROR(__xludf.DUMMYFUNCTION("GOOGLEFINANCE(""BOM:""&amp;B458,""PRICE"")"),198.3)</f>
        <v>198.3</v>
      </c>
      <c r="F458" s="20">
        <f ca="1">IFERROR(__xludf.DUMMYFUNCTION("GOOGLEFINANCE(""BOM:""&amp;B458,""MARKETCAP"")/10000000"),9915.2059276)</f>
        <v>9915.2059276</v>
      </c>
      <c r="G458" s="95">
        <f t="shared" ca="1" si="541"/>
        <v>2.4610437374508027E-4</v>
      </c>
      <c r="H458" s="101">
        <v>1652</v>
      </c>
      <c r="I458" s="101">
        <v>1304</v>
      </c>
      <c r="J458" s="101">
        <v>681</v>
      </c>
      <c r="K458" s="101">
        <v>544</v>
      </c>
      <c r="L458" s="101">
        <v>568</v>
      </c>
      <c r="M458" s="101">
        <v>464</v>
      </c>
      <c r="N458" s="101">
        <v>236</v>
      </c>
      <c r="O458" s="101">
        <v>190</v>
      </c>
      <c r="P458" s="13">
        <f t="shared" ref="P458:Q458" si="922">J458/H458</f>
        <v>0.41222760290556903</v>
      </c>
      <c r="Q458" s="13">
        <f t="shared" si="922"/>
        <v>0.41717791411042943</v>
      </c>
      <c r="R458" s="13">
        <f t="shared" si="520"/>
        <v>-4.9503112048603914E-3</v>
      </c>
      <c r="S458" s="13">
        <f t="shared" ref="S458:T458" si="923">N458/L458</f>
        <v>0.41549295774647887</v>
      </c>
      <c r="T458" s="13">
        <f t="shared" si="923"/>
        <v>0.40948275862068967</v>
      </c>
      <c r="U458" s="13">
        <f t="shared" si="522"/>
        <v>6.0101991257892062E-3</v>
      </c>
      <c r="V458" s="13">
        <f t="shared" si="523"/>
        <v>0.26687116564417179</v>
      </c>
      <c r="W458" s="13">
        <f t="shared" si="524"/>
        <v>0.25183823529411775</v>
      </c>
      <c r="X458" s="13">
        <f t="shared" si="525"/>
        <v>0.22413793103448265</v>
      </c>
      <c r="Y458" s="13">
        <f t="shared" si="526"/>
        <v>0.24210526315789482</v>
      </c>
    </row>
    <row r="459" spans="1:25" ht="14.4">
      <c r="A459" s="98" t="s">
        <v>724</v>
      </c>
      <c r="B459" s="99">
        <v>523405</v>
      </c>
      <c r="C459" s="98" t="s">
        <v>172</v>
      </c>
      <c r="D459" s="100" t="s">
        <v>209</v>
      </c>
      <c r="E459" s="11">
        <f ca="1">IFERROR(__xludf.DUMMYFUNCTION("GOOGLEFINANCE(""BOM:""&amp;B459,""PRICE"")"),121.7)</f>
        <v>121.7</v>
      </c>
      <c r="F459" s="20">
        <f ca="1">IFERROR(__xludf.DUMMYFUNCTION("GOOGLEFINANCE(""BOM:""&amp;B459,""MARKETCAP"")/10000000"),11639.0262591)</f>
        <v>11639.026259099999</v>
      </c>
      <c r="G459" s="95">
        <f t="shared" ca="1" si="541"/>
        <v>2.8889115258059881E-4</v>
      </c>
      <c r="H459" s="101">
        <v>3291</v>
      </c>
      <c r="I459" s="101">
        <v>3426</v>
      </c>
      <c r="J459" s="101">
        <v>1018</v>
      </c>
      <c r="K459" s="101">
        <v>537</v>
      </c>
      <c r="L459" s="101">
        <v>1126</v>
      </c>
      <c r="M459" s="101">
        <v>1121</v>
      </c>
      <c r="N459" s="101">
        <v>307</v>
      </c>
      <c r="O459" s="101">
        <v>207</v>
      </c>
      <c r="P459" s="13">
        <f t="shared" ref="P459:Q459" si="924">J459/H459</f>
        <v>0.30932847158918264</v>
      </c>
      <c r="Q459" s="13">
        <f t="shared" si="924"/>
        <v>0.15674255691768826</v>
      </c>
      <c r="R459" s="13">
        <f t="shared" si="520"/>
        <v>0.15258591467149438</v>
      </c>
      <c r="S459" s="13">
        <f t="shared" ref="S459:T459" si="925">N459/L459</f>
        <v>0.27264653641207814</v>
      </c>
      <c r="T459" s="13">
        <f t="shared" si="925"/>
        <v>0.18465655664585193</v>
      </c>
      <c r="U459" s="13">
        <f t="shared" si="522"/>
        <v>8.7989979766226217E-2</v>
      </c>
      <c r="V459" s="13">
        <f t="shared" si="523"/>
        <v>-3.9404553415061327E-2</v>
      </c>
      <c r="W459" s="13">
        <f t="shared" si="524"/>
        <v>0.89571694599627572</v>
      </c>
      <c r="X459" s="13">
        <f t="shared" si="525"/>
        <v>4.4603033006245241E-3</v>
      </c>
      <c r="Y459" s="13">
        <f t="shared" si="526"/>
        <v>0.48309178743961345</v>
      </c>
    </row>
    <row r="460" spans="1:25" ht="14.4">
      <c r="A460" s="98" t="s">
        <v>725</v>
      </c>
      <c r="B460" s="99">
        <v>539957</v>
      </c>
      <c r="C460" s="98" t="s">
        <v>91</v>
      </c>
      <c r="D460" s="102" t="s">
        <v>410</v>
      </c>
      <c r="E460" s="11">
        <f ca="1">IFERROR(__xludf.DUMMYFUNCTION("GOOGLEFINANCE(""BOM:""&amp;B460,""PRICE"")"),960.8)</f>
        <v>960.8</v>
      </c>
      <c r="F460" s="20">
        <f ca="1">IFERROR(__xludf.DUMMYFUNCTION("GOOGLEFINANCE(""BOM:""&amp;B460,""MARKETCAP"")/10000000"),9493.5312335)</f>
        <v>9493.5312334999999</v>
      </c>
      <c r="G460" s="95">
        <f t="shared" ca="1" si="541"/>
        <v>2.3563802667438981E-4</v>
      </c>
      <c r="H460" s="101">
        <v>6806</v>
      </c>
      <c r="I460" s="101">
        <v>5826</v>
      </c>
      <c r="J460" s="101">
        <v>711</v>
      </c>
      <c r="K460" s="101">
        <v>799</v>
      </c>
      <c r="L460" s="101">
        <v>2268</v>
      </c>
      <c r="M460" s="101">
        <v>2031</v>
      </c>
      <c r="N460" s="101">
        <v>201</v>
      </c>
      <c r="O460" s="101">
        <v>223</v>
      </c>
      <c r="P460" s="13">
        <f t="shared" ref="P460:Q460" si="926">J460/H460</f>
        <v>0.10446664707610931</v>
      </c>
      <c r="Q460" s="13">
        <f t="shared" si="926"/>
        <v>0.13714383796773086</v>
      </c>
      <c r="R460" s="13">
        <f t="shared" si="520"/>
        <v>-3.2677190891621549E-2</v>
      </c>
      <c r="S460" s="13">
        <f t="shared" ref="S460:T460" si="927">N460/L460</f>
        <v>8.8624338624338619E-2</v>
      </c>
      <c r="T460" s="13">
        <f t="shared" si="927"/>
        <v>0.10979812900049236</v>
      </c>
      <c r="U460" s="13">
        <f t="shared" si="522"/>
        <v>-2.1173790376153745E-2</v>
      </c>
      <c r="V460" s="13">
        <f t="shared" si="523"/>
        <v>0.1682114658427738</v>
      </c>
      <c r="W460" s="13">
        <f t="shared" si="524"/>
        <v>-0.1101376720901126</v>
      </c>
      <c r="X460" s="13">
        <f t="shared" si="525"/>
        <v>0.11669128508124071</v>
      </c>
      <c r="Y460" s="13">
        <f t="shared" si="526"/>
        <v>-9.8654708520179324E-2</v>
      </c>
    </row>
    <row r="461" spans="1:25" ht="14.4">
      <c r="A461" s="98" t="s">
        <v>726</v>
      </c>
      <c r="B461" s="99">
        <v>523598</v>
      </c>
      <c r="C461" s="98" t="s">
        <v>206</v>
      </c>
      <c r="D461" s="102" t="s">
        <v>585</v>
      </c>
      <c r="E461" s="11">
        <f ca="1">IFERROR(__xludf.DUMMYFUNCTION("GOOGLEFINANCE(""BOM:""&amp;B461,""PRICE"")"),232.25)</f>
        <v>232.25</v>
      </c>
      <c r="F461" s="20">
        <f ca="1">IFERROR(__xludf.DUMMYFUNCTION("GOOGLEFINANCE(""BOM:""&amp;B461,""MARKETCAP"")/10000000"),10799.3858259)</f>
        <v>10799.385825900001</v>
      </c>
      <c r="G461" s="95">
        <f t="shared" ca="1" si="541"/>
        <v>2.6805051805494241E-4</v>
      </c>
      <c r="H461" s="101">
        <v>4266</v>
      </c>
      <c r="I461" s="101">
        <v>4280</v>
      </c>
      <c r="J461" s="101">
        <v>948</v>
      </c>
      <c r="K461" s="101">
        <v>658</v>
      </c>
      <c r="L461" s="101">
        <v>1611</v>
      </c>
      <c r="M461" s="101">
        <v>1315</v>
      </c>
      <c r="N461" s="101">
        <v>404</v>
      </c>
      <c r="O461" s="101">
        <v>15</v>
      </c>
      <c r="P461" s="13">
        <f t="shared" ref="P461:Q461" si="928">J461/H461</f>
        <v>0.22222222222222221</v>
      </c>
      <c r="Q461" s="13">
        <f t="shared" si="928"/>
        <v>0.15373831775700936</v>
      </c>
      <c r="R461" s="13">
        <f t="shared" si="520"/>
        <v>6.8483904465212853E-2</v>
      </c>
      <c r="S461" s="13">
        <f t="shared" ref="S461:T461" si="929">N461/L461</f>
        <v>0.25077591558038487</v>
      </c>
      <c r="T461" s="13">
        <f t="shared" si="929"/>
        <v>1.1406844106463879E-2</v>
      </c>
      <c r="U461" s="13">
        <f t="shared" si="522"/>
        <v>0.239369071473921</v>
      </c>
      <c r="V461" s="13">
        <f t="shared" si="523"/>
        <v>-3.2710280373832168E-3</v>
      </c>
      <c r="W461" s="13">
        <f t="shared" si="524"/>
        <v>0.44072948328267469</v>
      </c>
      <c r="X461" s="13">
        <f t="shared" si="525"/>
        <v>0.2250950570342205</v>
      </c>
      <c r="Y461" s="13">
        <f t="shared" si="526"/>
        <v>25.933333333333334</v>
      </c>
    </row>
    <row r="462" spans="1:25" ht="14.4">
      <c r="A462" s="98" t="s">
        <v>727</v>
      </c>
      <c r="B462" s="99">
        <v>543530</v>
      </c>
      <c r="C462" s="98" t="s">
        <v>196</v>
      </c>
      <c r="D462" s="100" t="s">
        <v>376</v>
      </c>
      <c r="E462" s="11">
        <f ca="1">IFERROR(__xludf.DUMMYFUNCTION("GOOGLEFINANCE(""BOM:""&amp;B462,""PRICE"")"),115.7)</f>
        <v>115.7</v>
      </c>
      <c r="F462" s="20">
        <f ca="1">IFERROR(__xludf.DUMMYFUNCTION("GOOGLEFINANCE(""BOM:""&amp;B462,""MARKETCAP"")/10000000"),12022.0089168)</f>
        <v>12022.008916799999</v>
      </c>
      <c r="G462" s="95">
        <f t="shared" ca="1" si="541"/>
        <v>2.9839712833306607E-4</v>
      </c>
      <c r="H462" s="101">
        <v>17124</v>
      </c>
      <c r="I462" s="101">
        <v>12765</v>
      </c>
      <c r="J462" s="101">
        <v>841</v>
      </c>
      <c r="K462" s="101">
        <v>490</v>
      </c>
      <c r="L462" s="101">
        <v>5749</v>
      </c>
      <c r="M462" s="101">
        <v>4990</v>
      </c>
      <c r="N462" s="101">
        <v>182</v>
      </c>
      <c r="O462" s="101">
        <v>209</v>
      </c>
      <c r="P462" s="13">
        <f t="shared" ref="P462:Q462" si="930">J462/H462</f>
        <v>4.9112356925951881E-2</v>
      </c>
      <c r="Q462" s="13">
        <f t="shared" si="930"/>
        <v>3.8386212299255776E-2</v>
      </c>
      <c r="R462" s="13">
        <f t="shared" si="520"/>
        <v>1.0726144626696105E-2</v>
      </c>
      <c r="S462" s="13">
        <f t="shared" ref="S462:T462" si="931">N462/L462</f>
        <v>3.1657679596451556E-2</v>
      </c>
      <c r="T462" s="13">
        <f t="shared" si="931"/>
        <v>4.1883767535070143E-2</v>
      </c>
      <c r="U462" s="13">
        <f t="shared" si="522"/>
        <v>-1.0226087938618587E-2</v>
      </c>
      <c r="V462" s="13">
        <f t="shared" si="523"/>
        <v>0.34148061104582839</v>
      </c>
      <c r="W462" s="13">
        <f t="shared" si="524"/>
        <v>0.71632653061224483</v>
      </c>
      <c r="X462" s="13">
        <f t="shared" si="525"/>
        <v>0.15210420841683359</v>
      </c>
      <c r="Y462" s="13">
        <f t="shared" si="526"/>
        <v>-0.12918660287081341</v>
      </c>
    </row>
    <row r="463" spans="1:25" ht="14.4">
      <c r="A463" s="104" t="s">
        <v>728</v>
      </c>
      <c r="B463" s="99">
        <v>543768</v>
      </c>
      <c r="C463" s="98" t="s">
        <v>196</v>
      </c>
      <c r="D463" s="70" t="s">
        <v>211</v>
      </c>
      <c r="E463" s="11">
        <f ca="1">IFERROR(__xludf.DUMMYFUNCTION("GOOGLEFINANCE(""BOM:""&amp;B463,""PRICE"")"),37.08)</f>
        <v>37.08</v>
      </c>
      <c r="F463" s="20">
        <f ca="1">IFERROR(__xludf.DUMMYFUNCTION("GOOGLEFINANCE(""BOM:""&amp;B463,""MARKETCAP"")/10000000"),10886.9881152)</f>
        <v>10886.9881152</v>
      </c>
      <c r="G463" s="95">
        <f t="shared" ca="1" si="541"/>
        <v>2.7022488606144032E-4</v>
      </c>
      <c r="H463" s="101">
        <v>9763</v>
      </c>
      <c r="I463" s="101">
        <v>5665</v>
      </c>
      <c r="J463" s="101">
        <v>-333</v>
      </c>
      <c r="K463" s="101">
        <v>-1900</v>
      </c>
      <c r="L463" s="101">
        <v>3008</v>
      </c>
      <c r="M463" s="101">
        <v>2120</v>
      </c>
      <c r="N463" s="101">
        <v>-244</v>
      </c>
      <c r="O463" s="101">
        <v>-758</v>
      </c>
      <c r="P463" s="13">
        <f t="shared" ref="P463:Q463" si="932">J463/H463</f>
        <v>-3.4108368329406946E-2</v>
      </c>
      <c r="Q463" s="13">
        <f t="shared" si="932"/>
        <v>-0.33539276257722861</v>
      </c>
      <c r="R463" s="13">
        <f t="shared" si="520"/>
        <v>0.30128439424782166</v>
      </c>
      <c r="S463" s="13">
        <f t="shared" ref="S463:T463" si="933">N463/L463</f>
        <v>-8.1117021276595744E-2</v>
      </c>
      <c r="T463" s="13">
        <f t="shared" si="933"/>
        <v>-0.35754716981132073</v>
      </c>
      <c r="U463" s="13">
        <f t="shared" si="522"/>
        <v>0.27643014853472497</v>
      </c>
      <c r="V463" s="13">
        <f t="shared" si="523"/>
        <v>0.72338923212709627</v>
      </c>
      <c r="W463" s="13">
        <f t="shared" si="524"/>
        <v>-0.82473684210526321</v>
      </c>
      <c r="X463" s="13">
        <f t="shared" si="525"/>
        <v>0.41886792452830179</v>
      </c>
      <c r="Y463" s="13">
        <f t="shared" si="526"/>
        <v>-0.67810026385224276</v>
      </c>
    </row>
    <row r="464" spans="1:25" ht="14.4">
      <c r="A464" s="98" t="s">
        <v>729</v>
      </c>
      <c r="B464" s="99">
        <v>543270</v>
      </c>
      <c r="C464" s="98" t="s">
        <v>180</v>
      </c>
      <c r="D464" s="101" t="s">
        <v>204</v>
      </c>
      <c r="E464" s="11">
        <f ca="1">IFERROR(__xludf.DUMMYFUNCTION("GOOGLEFINANCE(""BOM:""&amp;B464,""PRICE"")"),3623.9)</f>
        <v>3623.9</v>
      </c>
      <c r="F464" s="20">
        <f ca="1">IFERROR(__xludf.DUMMYFUNCTION("GOOGLEFINANCE(""BOM:""&amp;B464,""MARKETCAP"")/10000000"),11136.1980428)</f>
        <v>11136.198042800001</v>
      </c>
      <c r="G464" s="95">
        <f t="shared" ca="1" si="541"/>
        <v>2.7641050173204701E-4</v>
      </c>
      <c r="H464" s="101">
        <v>570</v>
      </c>
      <c r="I464" s="101">
        <v>492</v>
      </c>
      <c r="J464" s="101">
        <v>49</v>
      </c>
      <c r="K464" s="101">
        <v>39</v>
      </c>
      <c r="L464" s="101">
        <v>277</v>
      </c>
      <c r="M464" s="101">
        <v>174</v>
      </c>
      <c r="N464" s="101">
        <v>34</v>
      </c>
      <c r="O464" s="101">
        <v>15</v>
      </c>
      <c r="P464" s="13">
        <f t="shared" ref="P464:Q464" si="934">J464/H464</f>
        <v>8.5964912280701758E-2</v>
      </c>
      <c r="Q464" s="13">
        <f t="shared" si="934"/>
        <v>7.926829268292683E-2</v>
      </c>
      <c r="R464" s="13">
        <f t="shared" si="520"/>
        <v>6.6966195977749277E-3</v>
      </c>
      <c r="S464" s="13">
        <f t="shared" ref="S464:T464" si="935">N464/L464</f>
        <v>0.12274368231046931</v>
      </c>
      <c r="T464" s="13">
        <f t="shared" si="935"/>
        <v>8.6206896551724144E-2</v>
      </c>
      <c r="U464" s="13">
        <f t="shared" si="522"/>
        <v>3.6536785758745166E-2</v>
      </c>
      <c r="V464" s="13">
        <f t="shared" si="523"/>
        <v>0.15853658536585358</v>
      </c>
      <c r="W464" s="13">
        <f t="shared" si="524"/>
        <v>0.25641025641025639</v>
      </c>
      <c r="X464" s="13">
        <f t="shared" si="525"/>
        <v>0.59195402298850586</v>
      </c>
      <c r="Y464" s="13">
        <f t="shared" si="526"/>
        <v>1.2666666666666666</v>
      </c>
    </row>
    <row r="465" spans="1:25" ht="14.4">
      <c r="A465" s="98" t="s">
        <v>730</v>
      </c>
      <c r="B465" s="99">
        <v>530117</v>
      </c>
      <c r="C465" s="98" t="s">
        <v>196</v>
      </c>
      <c r="D465" s="100" t="s">
        <v>251</v>
      </c>
      <c r="E465" s="11">
        <f ca="1">IFERROR(__xludf.DUMMYFUNCTION("GOOGLEFINANCE(""BOM:""&amp;B465,""PRICE"")"),2960)</f>
        <v>2960</v>
      </c>
      <c r="F465" s="20">
        <f ca="1">IFERROR(__xludf.DUMMYFUNCTION("GOOGLEFINANCE(""BOM:""&amp;B465,""MARKETCAP"")/10000000"),11564.1183661)</f>
        <v>11564.1183661</v>
      </c>
      <c r="G465" s="95">
        <f t="shared" ca="1" si="541"/>
        <v>2.8703187096507408E-4</v>
      </c>
      <c r="H465" s="101">
        <v>1842</v>
      </c>
      <c r="I465" s="101">
        <v>1487</v>
      </c>
      <c r="J465" s="101">
        <v>222</v>
      </c>
      <c r="K465" s="101">
        <v>120</v>
      </c>
      <c r="L465" s="101">
        <v>604</v>
      </c>
      <c r="M465" s="101">
        <v>490</v>
      </c>
      <c r="N465" s="101">
        <v>74</v>
      </c>
      <c r="O465" s="101">
        <v>44</v>
      </c>
      <c r="P465" s="13">
        <f t="shared" ref="P465:Q465" si="936">J465/H465</f>
        <v>0.12052117263843648</v>
      </c>
      <c r="Q465" s="13">
        <f t="shared" si="936"/>
        <v>8.0699394754539341E-2</v>
      </c>
      <c r="R465" s="13">
        <f t="shared" si="520"/>
        <v>3.9821777883897139E-2</v>
      </c>
      <c r="S465" s="13">
        <f t="shared" ref="S465:T465" si="937">N465/L465</f>
        <v>0.12251655629139073</v>
      </c>
      <c r="T465" s="13">
        <f t="shared" si="937"/>
        <v>8.9795918367346933E-2</v>
      </c>
      <c r="U465" s="13">
        <f t="shared" si="522"/>
        <v>3.2720637924043797E-2</v>
      </c>
      <c r="V465" s="13">
        <f t="shared" si="523"/>
        <v>0.23873570948217893</v>
      </c>
      <c r="W465" s="13">
        <f t="shared" si="524"/>
        <v>0.85000000000000009</v>
      </c>
      <c r="X465" s="13">
        <f t="shared" si="525"/>
        <v>0.2326530612244897</v>
      </c>
      <c r="Y465" s="13">
        <f t="shared" si="526"/>
        <v>0.68181818181818188</v>
      </c>
    </row>
    <row r="466" spans="1:25" ht="14.4">
      <c r="A466" s="98" t="s">
        <v>731</v>
      </c>
      <c r="B466" s="99">
        <v>500238</v>
      </c>
      <c r="C466" s="98" t="s">
        <v>187</v>
      </c>
      <c r="D466" s="102" t="s">
        <v>93</v>
      </c>
      <c r="E466" s="11">
        <f ca="1">IFERROR(__xludf.DUMMYFUNCTION("GOOGLEFINANCE(""BOM:""&amp;B466,""PRICE"")"),824)</f>
        <v>824</v>
      </c>
      <c r="F466" s="20">
        <f ca="1">IFERROR(__xludf.DUMMYFUNCTION("GOOGLEFINANCE(""BOM:""&amp;B466,""MARKETCAP"")/10000000"),10454.23632)</f>
        <v>10454.23632</v>
      </c>
      <c r="G466" s="95">
        <f t="shared" ca="1" si="541"/>
        <v>2.5948359532855742E-4</v>
      </c>
      <c r="H466" s="101">
        <v>5443</v>
      </c>
      <c r="I466" s="101">
        <v>5530</v>
      </c>
      <c r="J466" s="101">
        <v>175</v>
      </c>
      <c r="K466" s="101">
        <v>202</v>
      </c>
      <c r="L466" s="101">
        <v>1624</v>
      </c>
      <c r="M466" s="101">
        <v>1564</v>
      </c>
      <c r="N466" s="101">
        <v>13</v>
      </c>
      <c r="O466" s="101">
        <v>26</v>
      </c>
      <c r="P466" s="13">
        <f t="shared" ref="P466:Q466" si="938">J466/H466</f>
        <v>3.2151387102700719E-2</v>
      </c>
      <c r="Q466" s="13">
        <f t="shared" si="938"/>
        <v>3.6528028933092226E-2</v>
      </c>
      <c r="R466" s="13">
        <f t="shared" si="520"/>
        <v>-4.3766418303915061E-3</v>
      </c>
      <c r="S466" s="13">
        <f t="shared" ref="S466:T466" si="939">N466/L466</f>
        <v>8.0049261083743849E-3</v>
      </c>
      <c r="T466" s="13">
        <f t="shared" si="939"/>
        <v>1.6624040920716114E-2</v>
      </c>
      <c r="U466" s="13">
        <f t="shared" si="522"/>
        <v>-8.6191148123417292E-3</v>
      </c>
      <c r="V466" s="13">
        <f t="shared" si="523"/>
        <v>-1.5732368896925863E-2</v>
      </c>
      <c r="W466" s="13">
        <f t="shared" si="524"/>
        <v>-0.13366336633663367</v>
      </c>
      <c r="X466" s="13">
        <f t="shared" si="525"/>
        <v>3.8363171355498826E-2</v>
      </c>
      <c r="Y466" s="13">
        <f t="shared" si="526"/>
        <v>-0.5</v>
      </c>
    </row>
    <row r="467" spans="1:25" ht="14.4">
      <c r="A467" s="98" t="s">
        <v>732</v>
      </c>
      <c r="B467" s="99">
        <v>540743</v>
      </c>
      <c r="C467" s="98" t="s">
        <v>183</v>
      </c>
      <c r="D467" s="109" t="s">
        <v>604</v>
      </c>
      <c r="E467" s="11">
        <f ca="1">IFERROR(__xludf.DUMMYFUNCTION("GOOGLEFINANCE(""BOM:""&amp;B467,""PRICE"")"),574.2)</f>
        <v>574.20000000000005</v>
      </c>
      <c r="F467" s="20">
        <f ca="1">IFERROR(__xludf.DUMMYFUNCTION("GOOGLEFINANCE(""BOM:""&amp;B467,""MARKETCAP"")/10000000"),11035.8320472)</f>
        <v>11035.8320472</v>
      </c>
      <c r="G467" s="95">
        <f t="shared" ca="1" si="541"/>
        <v>2.7391932699772471E-4</v>
      </c>
      <c r="H467" s="101">
        <v>7900</v>
      </c>
      <c r="I467" s="101">
        <v>7249</v>
      </c>
      <c r="J467" s="101">
        <v>343</v>
      </c>
      <c r="K467" s="101">
        <v>337</v>
      </c>
      <c r="L467" s="101">
        <v>2718</v>
      </c>
      <c r="M467" s="101">
        <v>2450</v>
      </c>
      <c r="N467" s="101">
        <v>110</v>
      </c>
      <c r="O467" s="101">
        <v>110</v>
      </c>
      <c r="P467" s="13">
        <f t="shared" ref="P467:Q467" si="940">J467/H467</f>
        <v>4.3417721518987339E-2</v>
      </c>
      <c r="Q467" s="13">
        <f t="shared" si="940"/>
        <v>4.6489170920126915E-2</v>
      </c>
      <c r="R467" s="13">
        <f t="shared" si="520"/>
        <v>-3.0714494011395768E-3</v>
      </c>
      <c r="S467" s="13">
        <f t="shared" ref="S467:T467" si="941">N467/L467</f>
        <v>4.0470934510669611E-2</v>
      </c>
      <c r="T467" s="13">
        <f t="shared" si="941"/>
        <v>4.4897959183673466E-2</v>
      </c>
      <c r="U467" s="13">
        <f t="shared" si="522"/>
        <v>-4.4270246730038557E-3</v>
      </c>
      <c r="V467" s="13">
        <f t="shared" si="523"/>
        <v>8.9805490412470768E-2</v>
      </c>
      <c r="W467" s="13">
        <f t="shared" si="524"/>
        <v>1.7804154302670572E-2</v>
      </c>
      <c r="X467" s="13">
        <f t="shared" si="525"/>
        <v>0.1093877551020408</v>
      </c>
      <c r="Y467" s="13">
        <f t="shared" si="526"/>
        <v>0</v>
      </c>
    </row>
    <row r="468" spans="1:25" ht="14.4">
      <c r="A468" s="98" t="s">
        <v>733</v>
      </c>
      <c r="B468" s="99">
        <v>543064</v>
      </c>
      <c r="C468" s="98" t="s">
        <v>190</v>
      </c>
      <c r="D468" s="100" t="s">
        <v>100</v>
      </c>
      <c r="E468" s="11">
        <f ca="1">IFERROR(__xludf.DUMMYFUNCTION("GOOGLEFINANCE(""BOM:""&amp;B468,""PRICE"")"),299.75)</f>
        <v>299.75</v>
      </c>
      <c r="F468" s="20">
        <f ca="1">IFERROR(__xludf.DUMMYFUNCTION("GOOGLEFINANCE(""BOM:""&amp;B468,""MARKETCAP"")/10000000"),11461.7135455)</f>
        <v>11461.713545500001</v>
      </c>
      <c r="G468" s="95">
        <f t="shared" ca="1" si="541"/>
        <v>2.8449009075130294E-4</v>
      </c>
      <c r="H468" s="101">
        <v>1649</v>
      </c>
      <c r="I468" s="101">
        <v>1768</v>
      </c>
      <c r="J468" s="101">
        <v>142</v>
      </c>
      <c r="K468" s="101">
        <v>367</v>
      </c>
      <c r="L468" s="101">
        <v>544</v>
      </c>
      <c r="M468" s="101">
        <v>676</v>
      </c>
      <c r="N468" s="101">
        <v>29</v>
      </c>
      <c r="O468" s="101">
        <v>153</v>
      </c>
      <c r="P468" s="13">
        <f t="shared" ref="P468:Q468" si="942">J468/H468</f>
        <v>8.6112795633717404E-2</v>
      </c>
      <c r="Q468" s="13">
        <f t="shared" si="942"/>
        <v>0.207579185520362</v>
      </c>
      <c r="R468" s="13">
        <f t="shared" si="520"/>
        <v>-0.1214663898866446</v>
      </c>
      <c r="S468" s="13">
        <f t="shared" ref="S468:T468" si="943">N468/L468</f>
        <v>5.3308823529411763E-2</v>
      </c>
      <c r="T468" s="13">
        <f t="shared" si="943"/>
        <v>0.22633136094674555</v>
      </c>
      <c r="U468" s="13">
        <f t="shared" si="522"/>
        <v>-0.17302253741733378</v>
      </c>
      <c r="V468" s="13">
        <f t="shared" si="523"/>
        <v>-6.7307692307692291E-2</v>
      </c>
      <c r="W468" s="13">
        <f t="shared" si="524"/>
        <v>-0.61307901907356954</v>
      </c>
      <c r="X468" s="13">
        <f t="shared" si="525"/>
        <v>-0.19526627218934911</v>
      </c>
      <c r="Y468" s="13">
        <f t="shared" si="526"/>
        <v>-0.81045751633986929</v>
      </c>
    </row>
    <row r="469" spans="1:25" ht="14.4">
      <c r="A469" s="98" t="s">
        <v>734</v>
      </c>
      <c r="B469" s="99">
        <v>544172</v>
      </c>
      <c r="C469" s="98" t="s">
        <v>190</v>
      </c>
      <c r="D469" s="70" t="s">
        <v>618</v>
      </c>
      <c r="E469" s="11">
        <f ca="1">IFERROR(__xludf.DUMMYFUNCTION("GOOGLEFINANCE(""BOM:""&amp;B469,""PRICE"")"),469.45)</f>
        <v>469.45</v>
      </c>
      <c r="F469" s="20">
        <f ca="1">IFERROR(__xludf.DUMMYFUNCTION("GOOGLEFINANCE(""BOM:""&amp;B469,""MARKETCAP"")/10000000"),11283.3265855)</f>
        <v>11283.326585500001</v>
      </c>
      <c r="G469" s="95">
        <f t="shared" ca="1" si="541"/>
        <v>2.8006236515531877E-4</v>
      </c>
      <c r="H469" s="101">
        <v>256</v>
      </c>
      <c r="I469" s="101">
        <v>216</v>
      </c>
      <c r="J469" s="101">
        <v>321</v>
      </c>
      <c r="K469" s="101">
        <v>289</v>
      </c>
      <c r="L469" s="101">
        <v>942</v>
      </c>
      <c r="M469" s="101">
        <v>720</v>
      </c>
      <c r="N469" s="101">
        <v>102</v>
      </c>
      <c r="O469" s="101">
        <v>109</v>
      </c>
      <c r="P469" s="13">
        <f t="shared" ref="P469:Q469" si="944">J469/H469</f>
        <v>1.25390625</v>
      </c>
      <c r="Q469" s="13">
        <f t="shared" si="944"/>
        <v>1.337962962962963</v>
      </c>
      <c r="R469" s="13">
        <f t="shared" si="520"/>
        <v>-8.4056712962963021E-2</v>
      </c>
      <c r="S469" s="13">
        <f t="shared" ref="S469:T469" si="945">N469/L469</f>
        <v>0.10828025477707007</v>
      </c>
      <c r="T469" s="13">
        <f t="shared" si="945"/>
        <v>0.15138888888888888</v>
      </c>
      <c r="U469" s="13">
        <f t="shared" si="522"/>
        <v>-4.3108634111818811E-2</v>
      </c>
      <c r="V469" s="13">
        <f t="shared" si="523"/>
        <v>0.18518518518518512</v>
      </c>
      <c r="W469" s="13">
        <f t="shared" si="524"/>
        <v>0.11072664359861584</v>
      </c>
      <c r="X469" s="13">
        <f t="shared" si="525"/>
        <v>0.30833333333333335</v>
      </c>
      <c r="Y469" s="13">
        <f t="shared" si="526"/>
        <v>-6.422018348623848E-2</v>
      </c>
    </row>
    <row r="470" spans="1:25" ht="14.4">
      <c r="A470" s="98" t="s">
        <v>735</v>
      </c>
      <c r="B470" s="99">
        <v>501425</v>
      </c>
      <c r="C470" s="98" t="s">
        <v>183</v>
      </c>
      <c r="D470" s="100" t="s">
        <v>105</v>
      </c>
      <c r="E470" s="11">
        <f ca="1">IFERROR(__xludf.DUMMYFUNCTION("GOOGLEFINANCE(""BOM:""&amp;B470,""PRICE"")"),1430.7)</f>
        <v>1430.7</v>
      </c>
      <c r="F470" s="20">
        <f ca="1">IFERROR(__xludf.DUMMYFUNCTION("GOOGLEFINANCE(""BOM:""&amp;B470,""MARKETCAP"")/10000000"),9983.6613413)</f>
        <v>9983.6613412999995</v>
      </c>
      <c r="G470" s="95">
        <f t="shared" ca="1" si="541"/>
        <v>2.4780349899180892E-4</v>
      </c>
      <c r="H470" s="101">
        <v>9655</v>
      </c>
      <c r="I470" s="101">
        <v>9095</v>
      </c>
      <c r="J470" s="101">
        <v>1064</v>
      </c>
      <c r="K470" s="101">
        <v>987</v>
      </c>
      <c r="L470" s="101">
        <v>4943</v>
      </c>
      <c r="M470" s="101">
        <v>4761</v>
      </c>
      <c r="N470" s="101">
        <v>566</v>
      </c>
      <c r="O470" s="101">
        <v>516</v>
      </c>
      <c r="P470" s="13">
        <f t="shared" ref="P470:Q470" si="946">J470/H470</f>
        <v>0.11020196789228379</v>
      </c>
      <c r="Q470" s="13">
        <f t="shared" si="946"/>
        <v>0.108521165475536</v>
      </c>
      <c r="R470" s="13">
        <f t="shared" si="520"/>
        <v>1.6808024167477842E-3</v>
      </c>
      <c r="S470" s="13">
        <f t="shared" ref="S470:T470" si="947">N470/L470</f>
        <v>0.11450536111673074</v>
      </c>
      <c r="T470" s="13">
        <f t="shared" si="947"/>
        <v>0.10838059231253938</v>
      </c>
      <c r="U470" s="13">
        <f t="shared" si="522"/>
        <v>6.1247688041913551E-3</v>
      </c>
      <c r="V470" s="13">
        <f t="shared" si="523"/>
        <v>6.1572292468389245E-2</v>
      </c>
      <c r="W470" s="13">
        <f t="shared" si="524"/>
        <v>7.8014184397163122E-2</v>
      </c>
      <c r="X470" s="13">
        <f t="shared" si="525"/>
        <v>3.8227263180004245E-2</v>
      </c>
      <c r="Y470" s="13">
        <f t="shared" si="526"/>
        <v>9.68992248062015E-2</v>
      </c>
    </row>
    <row r="471" spans="1:25" ht="14.4">
      <c r="A471" s="98" t="s">
        <v>736</v>
      </c>
      <c r="B471" s="99">
        <v>533272</v>
      </c>
      <c r="C471" s="98" t="s">
        <v>180</v>
      </c>
      <c r="D471" s="70" t="s">
        <v>737</v>
      </c>
      <c r="E471" s="11">
        <f ca="1">IFERROR(__xludf.DUMMYFUNCTION("GOOGLEFINANCE(""BOM:""&amp;B471,""PRICE"")"),257.55)</f>
        <v>257.55</v>
      </c>
      <c r="F471" s="20">
        <f ca="1">IFERROR(__xludf.DUMMYFUNCTION("GOOGLEFINANCE(""BOM:""&amp;B471,""MARKETCAP"")/10000000"),10966.75)</f>
        <v>10966.75</v>
      </c>
      <c r="G471" s="95">
        <f t="shared" ca="1" si="541"/>
        <v>2.7220464814109517E-4</v>
      </c>
      <c r="H471" s="101">
        <v>2135</v>
      </c>
      <c r="I471" s="101">
        <v>2918</v>
      </c>
      <c r="J471" s="101">
        <v>138</v>
      </c>
      <c r="K471" s="101">
        <v>277</v>
      </c>
      <c r="L471" s="101">
        <v>890</v>
      </c>
      <c r="M471" s="101">
        <v>1029</v>
      </c>
      <c r="N471" s="101">
        <v>62</v>
      </c>
      <c r="O471" s="101">
        <v>96</v>
      </c>
      <c r="P471" s="13">
        <f t="shared" ref="P471:Q471" si="948">J471/H471</f>
        <v>6.463700234192038E-2</v>
      </c>
      <c r="Q471" s="13">
        <f t="shared" si="948"/>
        <v>9.4928032899246062E-2</v>
      </c>
      <c r="R471" s="13">
        <f t="shared" si="520"/>
        <v>-3.0291030557325682E-2</v>
      </c>
      <c r="S471" s="13">
        <f t="shared" ref="S471:T471" si="949">N471/L471</f>
        <v>6.9662921348314602E-2</v>
      </c>
      <c r="T471" s="13">
        <f t="shared" si="949"/>
        <v>9.3294460641399415E-2</v>
      </c>
      <c r="U471" s="13">
        <f t="shared" si="522"/>
        <v>-2.3631539293084813E-2</v>
      </c>
      <c r="V471" s="13">
        <f t="shared" si="523"/>
        <v>-0.26833447566826596</v>
      </c>
      <c r="W471" s="13">
        <f t="shared" si="524"/>
        <v>-0.50180505415162457</v>
      </c>
      <c r="X471" s="13">
        <f t="shared" si="525"/>
        <v>-0.13508260447035958</v>
      </c>
      <c r="Y471" s="13">
        <f t="shared" si="526"/>
        <v>-0.35416666666666663</v>
      </c>
    </row>
    <row r="472" spans="1:25" ht="14.4">
      <c r="A472" s="98" t="s">
        <v>738</v>
      </c>
      <c r="B472" s="99">
        <v>532796</v>
      </c>
      <c r="C472" s="98" t="s">
        <v>187</v>
      </c>
      <c r="D472" s="102" t="s">
        <v>312</v>
      </c>
      <c r="E472" s="11">
        <f ca="1">IFERROR(__xludf.DUMMYFUNCTION("GOOGLEFINANCE(""BOM:""&amp;B472,""PRICE"")"),1671.4)</f>
        <v>1671.4</v>
      </c>
      <c r="F472" s="20">
        <f ca="1">IFERROR(__xludf.DUMMYFUNCTION("GOOGLEFINANCE(""BOM:""&amp;B472,""MARKETCAP"")/10000000"),11386.5848205)</f>
        <v>11386.5848205</v>
      </c>
      <c r="G472" s="95">
        <f t="shared" ca="1" si="541"/>
        <v>2.8262532788592224E-4</v>
      </c>
      <c r="H472" s="101">
        <v>3453</v>
      </c>
      <c r="I472" s="101">
        <v>2503</v>
      </c>
      <c r="J472" s="101">
        <v>239</v>
      </c>
      <c r="K472" s="101">
        <v>149</v>
      </c>
      <c r="L472" s="101">
        <v>1270</v>
      </c>
      <c r="M472" s="101">
        <v>905</v>
      </c>
      <c r="N472" s="101">
        <v>108</v>
      </c>
      <c r="O472" s="101">
        <v>56</v>
      </c>
      <c r="P472" s="13">
        <f t="shared" ref="P472:Q472" si="950">J472/H472</f>
        <v>6.9215175209962357E-2</v>
      </c>
      <c r="Q472" s="13">
        <f t="shared" si="950"/>
        <v>5.9528565721134637E-2</v>
      </c>
      <c r="R472" s="13">
        <f t="shared" si="520"/>
        <v>9.6866094888277202E-3</v>
      </c>
      <c r="S472" s="13">
        <f t="shared" ref="S472:T472" si="951">N472/L472</f>
        <v>8.5039370078740156E-2</v>
      </c>
      <c r="T472" s="13">
        <f t="shared" si="951"/>
        <v>6.1878453038674036E-2</v>
      </c>
      <c r="U472" s="13">
        <f t="shared" si="522"/>
        <v>2.316091704006612E-2</v>
      </c>
      <c r="V472" s="13">
        <f t="shared" si="523"/>
        <v>0.37954454654414693</v>
      </c>
      <c r="W472" s="13">
        <f t="shared" si="524"/>
        <v>0.60402684563758391</v>
      </c>
      <c r="X472" s="13">
        <f t="shared" si="525"/>
        <v>0.40331491712707179</v>
      </c>
      <c r="Y472" s="13">
        <f t="shared" si="526"/>
        <v>0.9285714285714286</v>
      </c>
    </row>
    <row r="473" spans="1:25" ht="14.4">
      <c r="A473" s="98" t="s">
        <v>739</v>
      </c>
      <c r="B473" s="99">
        <v>543259</v>
      </c>
      <c r="C473" s="98" t="s">
        <v>172</v>
      </c>
      <c r="D473" s="70" t="s">
        <v>80</v>
      </c>
      <c r="E473" s="11">
        <f ca="1">IFERROR(__xludf.DUMMYFUNCTION("GOOGLEFINANCE(""BOM:""&amp;B473,""PRICE"")"),977.8)</f>
        <v>977.8</v>
      </c>
      <c r="F473" s="20">
        <f ca="1">IFERROR(__xludf.DUMMYFUNCTION("GOOGLEFINANCE(""BOM:""&amp;B473,""MARKETCAP"")/10000000"),10197.0092007)</f>
        <v>10197.0092007</v>
      </c>
      <c r="G473" s="95">
        <f t="shared" ca="1" si="541"/>
        <v>2.5309898571300096E-4</v>
      </c>
      <c r="H473" s="101">
        <v>1417</v>
      </c>
      <c r="I473" s="101">
        <v>1123</v>
      </c>
      <c r="J473" s="101">
        <v>390</v>
      </c>
      <c r="K473" s="101">
        <v>277</v>
      </c>
      <c r="L473" s="101">
        <v>483</v>
      </c>
      <c r="M473" s="101">
        <v>407</v>
      </c>
      <c r="N473" s="101">
        <v>140</v>
      </c>
      <c r="O473" s="101">
        <v>97</v>
      </c>
      <c r="P473" s="13">
        <f t="shared" ref="P473:Q473" si="952">J473/H473</f>
        <v>0.27522935779816515</v>
      </c>
      <c r="Q473" s="13">
        <f t="shared" si="952"/>
        <v>0.24666073018699911</v>
      </c>
      <c r="R473" s="13">
        <f t="shared" si="520"/>
        <v>2.8568627611166048E-2</v>
      </c>
      <c r="S473" s="13">
        <f t="shared" ref="S473:T473" si="953">N473/L473</f>
        <v>0.28985507246376813</v>
      </c>
      <c r="T473" s="13">
        <f t="shared" si="953"/>
        <v>0.23832923832923833</v>
      </c>
      <c r="U473" s="13">
        <f t="shared" si="522"/>
        <v>5.1525834134529797E-2</v>
      </c>
      <c r="V473" s="13">
        <f t="shared" si="523"/>
        <v>0.26179875333926983</v>
      </c>
      <c r="W473" s="13">
        <f t="shared" si="524"/>
        <v>0.40794223826714804</v>
      </c>
      <c r="X473" s="13">
        <f t="shared" si="525"/>
        <v>0.18673218673218672</v>
      </c>
      <c r="Y473" s="13">
        <f t="shared" si="526"/>
        <v>0.44329896907216493</v>
      </c>
    </row>
    <row r="474" spans="1:25" ht="14.4">
      <c r="A474" s="98" t="s">
        <v>740</v>
      </c>
      <c r="B474" s="99">
        <v>533282</v>
      </c>
      <c r="C474" s="98" t="s">
        <v>196</v>
      </c>
      <c r="D474" s="100" t="s">
        <v>357</v>
      </c>
      <c r="E474" s="11">
        <f ca="1">IFERROR(__xludf.DUMMYFUNCTION("GOOGLEFINANCE(""BOM:""&amp;B474,""PRICE"")"),1370.55)</f>
        <v>1370.55</v>
      </c>
      <c r="F474" s="20">
        <f ca="1">IFERROR(__xludf.DUMMYFUNCTION("GOOGLEFINANCE(""BOM:""&amp;B474,""MARKETCAP"")/10000000"),9975.9014118)</f>
        <v>9975.9014117999996</v>
      </c>
      <c r="G474" s="95">
        <f t="shared" ca="1" si="541"/>
        <v>2.4761089052720937E-4</v>
      </c>
      <c r="H474" s="101">
        <v>3092</v>
      </c>
      <c r="I474" s="101">
        <v>2831</v>
      </c>
      <c r="J474" s="101">
        <v>286</v>
      </c>
      <c r="K474" s="101">
        <v>217</v>
      </c>
      <c r="L474" s="101">
        <v>1017</v>
      </c>
      <c r="M474" s="101">
        <v>996</v>
      </c>
      <c r="N474" s="101">
        <v>97</v>
      </c>
      <c r="O474" s="101">
        <v>78</v>
      </c>
      <c r="P474" s="13">
        <f t="shared" ref="P474:Q474" si="954">J474/H474</f>
        <v>9.2496765847347992E-2</v>
      </c>
      <c r="Q474" s="13">
        <f t="shared" si="954"/>
        <v>7.6651359943482864E-2</v>
      </c>
      <c r="R474" s="13">
        <f t="shared" si="520"/>
        <v>1.5845405903865128E-2</v>
      </c>
      <c r="S474" s="13">
        <f t="shared" ref="S474:T474" si="955">N474/L474</f>
        <v>9.5378564405113081E-2</v>
      </c>
      <c r="T474" s="13">
        <f t="shared" si="955"/>
        <v>7.8313253012048195E-2</v>
      </c>
      <c r="U474" s="13">
        <f t="shared" si="522"/>
        <v>1.7065311393064886E-2</v>
      </c>
      <c r="V474" s="13">
        <f t="shared" si="523"/>
        <v>9.2193571176262701E-2</v>
      </c>
      <c r="W474" s="13">
        <f t="shared" si="524"/>
        <v>0.31797235023041481</v>
      </c>
      <c r="X474" s="13">
        <f t="shared" si="525"/>
        <v>2.108433734939763E-2</v>
      </c>
      <c r="Y474" s="13">
        <f t="shared" si="526"/>
        <v>0.24358974358974361</v>
      </c>
    </row>
    <row r="475" spans="1:25" ht="14.4">
      <c r="A475" s="98" t="s">
        <v>741</v>
      </c>
      <c r="B475" s="99">
        <v>503310</v>
      </c>
      <c r="C475" s="98" t="s">
        <v>196</v>
      </c>
      <c r="D475" s="102" t="s">
        <v>695</v>
      </c>
      <c r="E475" s="11">
        <f ca="1">IFERROR(__xludf.DUMMYFUNCTION("GOOGLEFINANCE(""BOM:""&amp;B475,""PRICE"")"),313.5)</f>
        <v>313.5</v>
      </c>
      <c r="F475" s="20">
        <f ca="1">IFERROR(__xludf.DUMMYFUNCTION("GOOGLEFINANCE(""BOM:""&amp;B475,""MARKETCAP"")/10000000"),9839.4087606)</f>
        <v>9839.4087605999994</v>
      </c>
      <c r="G475" s="95">
        <f t="shared" ca="1" si="541"/>
        <v>2.4422301954503677E-4</v>
      </c>
      <c r="H475" s="101">
        <v>3501</v>
      </c>
      <c r="I475" s="101">
        <v>4082</v>
      </c>
      <c r="J475" s="101">
        <v>19</v>
      </c>
      <c r="K475" s="101">
        <v>896</v>
      </c>
      <c r="L475" s="101">
        <v>1150</v>
      </c>
      <c r="M475" s="101">
        <v>1908</v>
      </c>
      <c r="N475" s="101">
        <v>-1</v>
      </c>
      <c r="O475" s="101">
        <v>561</v>
      </c>
      <c r="P475" s="13">
        <f t="shared" ref="P475:Q475" si="956">J475/H475</f>
        <v>5.4270208511853759E-3</v>
      </c>
      <c r="Q475" s="13">
        <f t="shared" si="956"/>
        <v>0.21950024497795198</v>
      </c>
      <c r="R475" s="13">
        <f t="shared" si="520"/>
        <v>-0.2140732241267666</v>
      </c>
      <c r="S475" s="13">
        <f t="shared" ref="S475:T475" si="957">N475/L475</f>
        <v>-8.6956521739130438E-4</v>
      </c>
      <c r="T475" s="13">
        <f t="shared" si="957"/>
        <v>0.29402515723270439</v>
      </c>
      <c r="U475" s="13">
        <f t="shared" si="522"/>
        <v>-0.29489472245009568</v>
      </c>
      <c r="V475" s="13">
        <f t="shared" si="523"/>
        <v>-0.14233219010289078</v>
      </c>
      <c r="W475" s="13">
        <f t="shared" si="524"/>
        <v>-0.9787946428571429</v>
      </c>
      <c r="X475" s="13">
        <f t="shared" si="525"/>
        <v>-0.39727463312368971</v>
      </c>
      <c r="Y475" s="13">
        <f t="shared" si="526"/>
        <v>-1.0017825311942958</v>
      </c>
    </row>
    <row r="476" spans="1:25" ht="14.4">
      <c r="A476" s="104" t="s">
        <v>742</v>
      </c>
      <c r="B476" s="99">
        <v>543334</v>
      </c>
      <c r="C476" s="98" t="s">
        <v>196</v>
      </c>
      <c r="D476" s="100" t="s">
        <v>109</v>
      </c>
      <c r="E476" s="11">
        <f ca="1">IFERROR(__xludf.DUMMYFUNCTION("GOOGLEFINANCE(""BOM:""&amp;B476,""PRICE"")"),295.7)</f>
        <v>295.7</v>
      </c>
      <c r="F476" s="20">
        <f ca="1">IFERROR(__xludf.DUMMYFUNCTION("GOOGLEFINANCE(""BOM:""&amp;B476,""MARKETCAP"")/10000000"),10545.0309)</f>
        <v>10545.0309</v>
      </c>
      <c r="G476" s="95">
        <f t="shared" ca="1" si="541"/>
        <v>2.61737198875827E-4</v>
      </c>
      <c r="H476" s="101">
        <v>8031</v>
      </c>
      <c r="I476" s="101">
        <v>7314</v>
      </c>
      <c r="J476" s="101">
        <v>218</v>
      </c>
      <c r="K476" s="101">
        <v>-143</v>
      </c>
      <c r="L476" s="101">
        <v>2701</v>
      </c>
      <c r="M476" s="101">
        <v>2409</v>
      </c>
      <c r="N476" s="101">
        <v>49</v>
      </c>
      <c r="O476" s="101">
        <v>-61</v>
      </c>
      <c r="P476" s="13">
        <f t="shared" ref="P476:Q476" si="958">J476/H476</f>
        <v>2.7144813846345411E-2</v>
      </c>
      <c r="Q476" s="13">
        <f t="shared" si="958"/>
        <v>-1.9551544982225867E-2</v>
      </c>
      <c r="R476" s="13">
        <f t="shared" si="520"/>
        <v>4.6696358828571274E-2</v>
      </c>
      <c r="S476" s="13">
        <f t="shared" ref="S476:T476" si="959">N476/L476</f>
        <v>1.8141429100333211E-2</v>
      </c>
      <c r="T476" s="13">
        <f t="shared" si="959"/>
        <v>-2.5321710253217101E-2</v>
      </c>
      <c r="U476" s="13">
        <f t="shared" si="522"/>
        <v>4.3463139353550312E-2</v>
      </c>
      <c r="V476" s="13">
        <f t="shared" si="523"/>
        <v>9.8031173092699042E-2</v>
      </c>
      <c r="W476" s="13">
        <f t="shared" si="524"/>
        <v>-2.5244755244755241</v>
      </c>
      <c r="X476" s="13">
        <f t="shared" si="525"/>
        <v>0.1212121212121211</v>
      </c>
      <c r="Y476" s="13">
        <f t="shared" si="526"/>
        <v>-1.8032786885245902</v>
      </c>
    </row>
    <row r="477" spans="1:25" ht="14.4">
      <c r="A477" s="98" t="s">
        <v>743</v>
      </c>
      <c r="B477" s="99">
        <v>500378</v>
      </c>
      <c r="C477" s="98" t="s">
        <v>180</v>
      </c>
      <c r="D477" s="100" t="s">
        <v>384</v>
      </c>
      <c r="E477" s="11">
        <f ca="1">IFERROR(__xludf.DUMMYFUNCTION("GOOGLEFINANCE(""BOM:""&amp;B477,""PRICE"")"),195.1)</f>
        <v>195.1</v>
      </c>
      <c r="F477" s="20">
        <f ca="1">IFERROR(__xludf.DUMMYFUNCTION("GOOGLEFINANCE(""BOM:""&amp;B477,""MARKETCAP"")/10000000"),12435.1172913)</f>
        <v>12435.117291299999</v>
      </c>
      <c r="G477" s="95">
        <f t="shared" ca="1" si="541"/>
        <v>3.0865085160795716E-4</v>
      </c>
      <c r="H477" s="101">
        <v>13261</v>
      </c>
      <c r="I477" s="101">
        <v>15782</v>
      </c>
      <c r="J477" s="101">
        <v>801</v>
      </c>
      <c r="K477" s="101">
        <v>1371</v>
      </c>
      <c r="L477" s="101">
        <v>4943</v>
      </c>
      <c r="M477" s="101">
        <v>5271</v>
      </c>
      <c r="N477" s="101">
        <v>247</v>
      </c>
      <c r="O477" s="101">
        <v>479</v>
      </c>
      <c r="P477" s="13">
        <f t="shared" ref="P477:Q477" si="960">J477/H477</f>
        <v>6.0402684563758392E-2</v>
      </c>
      <c r="Q477" s="13">
        <f t="shared" si="960"/>
        <v>8.6871118996324923E-2</v>
      </c>
      <c r="R477" s="13">
        <f t="shared" si="520"/>
        <v>-2.646843443256653E-2</v>
      </c>
      <c r="S477" s="13">
        <f t="shared" ref="S477:T477" si="961">N477/L477</f>
        <v>4.9969654056241146E-2</v>
      </c>
      <c r="T477" s="13">
        <f t="shared" si="961"/>
        <v>9.0874596850692463E-2</v>
      </c>
      <c r="U477" s="13">
        <f t="shared" si="522"/>
        <v>-4.0904942794451317E-2</v>
      </c>
      <c r="V477" s="13">
        <f t="shared" si="523"/>
        <v>-0.15973894309973391</v>
      </c>
      <c r="W477" s="13">
        <f t="shared" si="524"/>
        <v>-0.41575492341356679</v>
      </c>
      <c r="X477" s="13">
        <f t="shared" si="525"/>
        <v>-6.2227281350787367E-2</v>
      </c>
      <c r="Y477" s="13">
        <f t="shared" si="526"/>
        <v>-0.48434237995824636</v>
      </c>
    </row>
    <row r="478" spans="1:25" ht="14.4">
      <c r="A478" s="98" t="s">
        <v>744</v>
      </c>
      <c r="B478" s="99">
        <v>543322</v>
      </c>
      <c r="C478" s="98" t="s">
        <v>190</v>
      </c>
      <c r="D478" s="101" t="s">
        <v>100</v>
      </c>
      <c r="E478" s="11">
        <f ca="1">IFERROR(__xludf.DUMMYFUNCTION("GOOGLEFINANCE(""BOM:""&amp;B478,""PRICE"")"),999.2)</f>
        <v>999.2</v>
      </c>
      <c r="F478" s="20">
        <f ca="1">IFERROR(__xludf.DUMMYFUNCTION("GOOGLEFINANCE(""BOM:""&amp;B478,""MARKETCAP"")/10000000"),12279.1532833)</f>
        <v>12279.1532833</v>
      </c>
      <c r="G478" s="95">
        <f t="shared" ca="1" si="541"/>
        <v>3.0477968394932407E-4</v>
      </c>
      <c r="H478" s="101">
        <v>1862</v>
      </c>
      <c r="I478" s="101">
        <v>1737</v>
      </c>
      <c r="J478" s="101">
        <v>401</v>
      </c>
      <c r="K478" s="101">
        <v>343</v>
      </c>
      <c r="L478" s="101">
        <v>672</v>
      </c>
      <c r="M478" s="101">
        <v>641</v>
      </c>
      <c r="N478" s="101">
        <v>150</v>
      </c>
      <c r="O478" s="101">
        <v>136</v>
      </c>
      <c r="P478" s="13">
        <f t="shared" ref="P478:Q478" si="962">J478/H478</f>
        <v>0.21535982814178303</v>
      </c>
      <c r="Q478" s="13">
        <f t="shared" si="962"/>
        <v>0.19746689694876224</v>
      </c>
      <c r="R478" s="13">
        <f t="shared" si="520"/>
        <v>1.7892931193020795E-2</v>
      </c>
      <c r="S478" s="13">
        <f t="shared" ref="S478:T478" si="963">N478/L478</f>
        <v>0.22321428571428573</v>
      </c>
      <c r="T478" s="13">
        <f t="shared" si="963"/>
        <v>0.21216848673946959</v>
      </c>
      <c r="U478" s="13">
        <f t="shared" si="522"/>
        <v>1.104579897481614E-2</v>
      </c>
      <c r="V478" s="13">
        <f t="shared" si="523"/>
        <v>7.1963154864709278E-2</v>
      </c>
      <c r="W478" s="13">
        <f t="shared" si="524"/>
        <v>0.16909620991253638</v>
      </c>
      <c r="X478" s="13">
        <f t="shared" si="525"/>
        <v>4.8361934477379132E-2</v>
      </c>
      <c r="Y478" s="13">
        <f t="shared" si="526"/>
        <v>0.10294117647058831</v>
      </c>
    </row>
    <row r="479" spans="1:25" ht="14.4">
      <c r="A479" s="98" t="s">
        <v>745</v>
      </c>
      <c r="B479" s="99">
        <v>542904</v>
      </c>
      <c r="C479" s="98" t="s">
        <v>172</v>
      </c>
      <c r="D479" s="70" t="s">
        <v>355</v>
      </c>
      <c r="E479" s="11">
        <f ca="1">IFERROR(__xludf.DUMMYFUNCTION("GOOGLEFINANCE(""BOM:""&amp;B479,""PRICE"")"),55.64)</f>
        <v>55.64</v>
      </c>
      <c r="F479" s="20">
        <f ca="1">IFERROR(__xludf.DUMMYFUNCTION("GOOGLEFINANCE(""BOM:""&amp;B479,""MARKETCAP"")/10000000"),10811.1981414)</f>
        <v>10811.1981414</v>
      </c>
      <c r="G479" s="95">
        <f t="shared" ca="1" si="541"/>
        <v>2.6834371040312298E-4</v>
      </c>
      <c r="H479" s="101">
        <v>5853</v>
      </c>
      <c r="I479" s="101">
        <v>5357</v>
      </c>
      <c r="J479" s="101">
        <v>410</v>
      </c>
      <c r="K479" s="101">
        <v>642</v>
      </c>
      <c r="L479" s="101">
        <v>2047</v>
      </c>
      <c r="M479" s="101">
        <v>1763</v>
      </c>
      <c r="N479" s="101">
        <v>185</v>
      </c>
      <c r="O479" s="101">
        <v>108</v>
      </c>
      <c r="P479" s="13">
        <f t="shared" ref="P479:Q479" si="964">J479/H479</f>
        <v>7.0049547240731244E-2</v>
      </c>
      <c r="Q479" s="13">
        <f t="shared" si="964"/>
        <v>0.11984319581855517</v>
      </c>
      <c r="R479" s="13">
        <f t="shared" si="520"/>
        <v>-4.9793648577823924E-2</v>
      </c>
      <c r="S479" s="13">
        <f t="shared" ref="S479:T479" si="965">N479/L479</f>
        <v>9.0376160234489494E-2</v>
      </c>
      <c r="T479" s="13">
        <f t="shared" si="965"/>
        <v>6.1259217243335225E-2</v>
      </c>
      <c r="U479" s="13">
        <f t="shared" si="522"/>
        <v>2.911694299115427E-2</v>
      </c>
      <c r="V479" s="13">
        <f t="shared" si="523"/>
        <v>9.2589135710285708E-2</v>
      </c>
      <c r="W479" s="13">
        <f t="shared" si="524"/>
        <v>-0.36137071651090347</v>
      </c>
      <c r="X479" s="13">
        <f t="shared" si="525"/>
        <v>0.16108905275099272</v>
      </c>
      <c r="Y479" s="13">
        <f t="shared" si="526"/>
        <v>0.71296296296296302</v>
      </c>
    </row>
    <row r="480" spans="1:25" ht="14.4">
      <c r="A480" s="98" t="s">
        <v>746</v>
      </c>
      <c r="B480" s="99">
        <v>506590</v>
      </c>
      <c r="C480" s="98" t="s">
        <v>196</v>
      </c>
      <c r="D480" s="101" t="s">
        <v>544</v>
      </c>
      <c r="E480" s="11">
        <f ca="1">IFERROR(__xludf.DUMMYFUNCTION("GOOGLEFINANCE(""BOM:""&amp;B480,""PRICE"")"),259.95)</f>
        <v>259.95</v>
      </c>
      <c r="F480" s="20">
        <f ca="1">IFERROR(__xludf.DUMMYFUNCTION("GOOGLEFINANCE(""BOM:""&amp;B480,""MARKETCAP"")/10000000"),10222.5543126)</f>
        <v>10222.554312599999</v>
      </c>
      <c r="G480" s="95">
        <f t="shared" ca="1" si="541"/>
        <v>2.5373303848127455E-4</v>
      </c>
      <c r="H480" s="101">
        <v>6123</v>
      </c>
      <c r="I480" s="101">
        <v>6317</v>
      </c>
      <c r="J480" s="101">
        <v>158</v>
      </c>
      <c r="K480" s="101">
        <v>334</v>
      </c>
      <c r="L480" s="101">
        <v>1846</v>
      </c>
      <c r="M480" s="101">
        <v>2010</v>
      </c>
      <c r="N480" s="101">
        <v>2</v>
      </c>
      <c r="O480" s="101">
        <v>93</v>
      </c>
      <c r="P480" s="13">
        <f t="shared" ref="P480:Q480" si="966">J480/H480</f>
        <v>2.5804344275681856E-2</v>
      </c>
      <c r="Q480" s="13">
        <f t="shared" si="966"/>
        <v>5.2873199303466838E-2</v>
      </c>
      <c r="R480" s="13">
        <f t="shared" si="520"/>
        <v>-2.7068855027784982E-2</v>
      </c>
      <c r="S480" s="13">
        <f t="shared" ref="S480:T480" si="967">N480/L480</f>
        <v>1.0834236186348862E-3</v>
      </c>
      <c r="T480" s="13">
        <f t="shared" si="967"/>
        <v>4.6268656716417909E-2</v>
      </c>
      <c r="U480" s="13">
        <f t="shared" si="522"/>
        <v>-4.5185233097783023E-2</v>
      </c>
      <c r="V480" s="13">
        <f t="shared" si="523"/>
        <v>-3.0710780433750196E-2</v>
      </c>
      <c r="W480" s="13">
        <f t="shared" si="524"/>
        <v>-0.52694610778443107</v>
      </c>
      <c r="X480" s="13">
        <f t="shared" si="525"/>
        <v>-8.1592039800995053E-2</v>
      </c>
      <c r="Y480" s="13">
        <f t="shared" si="526"/>
        <v>-0.978494623655914</v>
      </c>
    </row>
    <row r="481" spans="1:25" ht="14.4">
      <c r="A481" s="98" t="s">
        <v>747</v>
      </c>
      <c r="B481" s="99">
        <v>500940</v>
      </c>
      <c r="C481" s="98" t="s">
        <v>180</v>
      </c>
      <c r="D481" s="70" t="s">
        <v>420</v>
      </c>
      <c r="E481" s="11">
        <f ca="1">IFERROR(__xludf.DUMMYFUNCTION("GOOGLEFINANCE(""BOM:""&amp;B481,""PRICE"")"),159.45)</f>
        <v>159.44999999999999</v>
      </c>
      <c r="F481" s="20">
        <f ca="1">IFERROR(__xludf.DUMMYFUNCTION("GOOGLEFINANCE(""BOM:""&amp;B481,""MARKETCAP"")/10000000"),9862.106705)</f>
        <v>9862.1067050000001</v>
      </c>
      <c r="G481" s="95">
        <f t="shared" ca="1" si="541"/>
        <v>2.4478640304232888E-4</v>
      </c>
      <c r="H481" s="101">
        <v>2800</v>
      </c>
      <c r="I481" s="101">
        <v>2970</v>
      </c>
      <c r="J481" s="101">
        <v>338</v>
      </c>
      <c r="K481" s="101">
        <v>635</v>
      </c>
      <c r="L481" s="101">
        <v>898</v>
      </c>
      <c r="M481" s="101">
        <v>1001</v>
      </c>
      <c r="N481" s="101">
        <v>116</v>
      </c>
      <c r="O481" s="101">
        <v>94</v>
      </c>
      <c r="P481" s="13">
        <f t="shared" ref="P481:Q481" si="968">J481/H481</f>
        <v>0.12071428571428572</v>
      </c>
      <c r="Q481" s="13">
        <f t="shared" si="968"/>
        <v>0.2138047138047138</v>
      </c>
      <c r="R481" s="13">
        <f t="shared" si="520"/>
        <v>-9.3090428090428085E-2</v>
      </c>
      <c r="S481" s="13">
        <f t="shared" ref="S481:T481" si="969">N481/L481</f>
        <v>0.1291759465478842</v>
      </c>
      <c r="T481" s="13">
        <f t="shared" si="969"/>
        <v>9.3906093906093904E-2</v>
      </c>
      <c r="U481" s="13">
        <f t="shared" si="522"/>
        <v>3.5269852641790292E-2</v>
      </c>
      <c r="V481" s="13">
        <f t="shared" si="523"/>
        <v>-5.7239057239057201E-2</v>
      </c>
      <c r="W481" s="13">
        <f t="shared" si="524"/>
        <v>-0.4677165354330709</v>
      </c>
      <c r="X481" s="13">
        <f t="shared" si="525"/>
        <v>-0.10289710289710285</v>
      </c>
      <c r="Y481" s="13">
        <f t="shared" si="526"/>
        <v>0.23404255319148937</v>
      </c>
    </row>
    <row r="482" spans="1:25" ht="14.4">
      <c r="A482" s="98" t="s">
        <v>748</v>
      </c>
      <c r="B482" s="99">
        <v>511196</v>
      </c>
      <c r="C482" s="98" t="s">
        <v>172</v>
      </c>
      <c r="D482" s="100" t="s">
        <v>80</v>
      </c>
      <c r="E482" s="11">
        <f ca="1">IFERROR(__xludf.DUMMYFUNCTION("GOOGLEFINANCE(""BOM:""&amp;B482,""PRICE"")"),809.5)</f>
        <v>809.5</v>
      </c>
      <c r="F482" s="20">
        <f ca="1">IFERROR(__xludf.DUMMYFUNCTION("GOOGLEFINANCE(""BOM:""&amp;B482,""MARKETCAP"")/10000000"),10781.29337)</f>
        <v>10781.293369999999</v>
      </c>
      <c r="G482" s="95">
        <f t="shared" ca="1" si="541"/>
        <v>2.6760144694524559E-4</v>
      </c>
      <c r="H482" s="101">
        <v>3143</v>
      </c>
      <c r="I482" s="101">
        <v>2879</v>
      </c>
      <c r="J482" s="101">
        <v>740</v>
      </c>
      <c r="K482" s="101">
        <v>623</v>
      </c>
      <c r="L482" s="101">
        <v>1073</v>
      </c>
      <c r="M482" s="101">
        <v>986</v>
      </c>
      <c r="N482" s="101">
        <v>264</v>
      </c>
      <c r="O482" s="101">
        <v>212</v>
      </c>
      <c r="P482" s="13">
        <f t="shared" ref="P482:Q482" si="970">J482/H482</f>
        <v>0.23544384346166083</v>
      </c>
      <c r="Q482" s="13">
        <f t="shared" si="970"/>
        <v>0.21639458145189303</v>
      </c>
      <c r="R482" s="13">
        <f t="shared" si="520"/>
        <v>1.9049262009767809E-2</v>
      </c>
      <c r="S482" s="13">
        <f t="shared" ref="S482:T482" si="971">N482/L482</f>
        <v>0.24603914259086673</v>
      </c>
      <c r="T482" s="13">
        <f t="shared" si="971"/>
        <v>0.21501014198782961</v>
      </c>
      <c r="U482" s="13">
        <f t="shared" si="522"/>
        <v>3.1029000603037121E-2</v>
      </c>
      <c r="V482" s="13">
        <f t="shared" si="523"/>
        <v>9.1698506425842208E-2</v>
      </c>
      <c r="W482" s="13">
        <f t="shared" si="524"/>
        <v>0.187800963081862</v>
      </c>
      <c r="X482" s="13">
        <f t="shared" si="525"/>
        <v>8.8235294117646967E-2</v>
      </c>
      <c r="Y482" s="13">
        <f t="shared" si="526"/>
        <v>0.24528301886792447</v>
      </c>
    </row>
    <row r="483" spans="1:25" ht="14.4">
      <c r="A483" s="98" t="s">
        <v>749</v>
      </c>
      <c r="B483" s="99">
        <v>509631</v>
      </c>
      <c r="C483" s="98" t="s">
        <v>180</v>
      </c>
      <c r="D483" s="100" t="s">
        <v>669</v>
      </c>
      <c r="E483" s="11">
        <f ca="1">IFERROR(__xludf.DUMMYFUNCTION("GOOGLEFINANCE(""BOM:""&amp;B483,""PRICE"")"),550.35)</f>
        <v>550.35</v>
      </c>
      <c r="F483" s="20">
        <f ca="1">IFERROR(__xludf.DUMMYFUNCTION("GOOGLEFINANCE(""BOM:""&amp;B483,""MARKETCAP"")/10000000"),10623.40587)</f>
        <v>10623.405870000001</v>
      </c>
      <c r="G483" s="95">
        <f t="shared" ca="1" si="541"/>
        <v>2.6368253647647614E-4</v>
      </c>
      <c r="H483" s="101">
        <v>1972</v>
      </c>
      <c r="I483" s="101">
        <v>1617</v>
      </c>
      <c r="J483" s="101">
        <v>455</v>
      </c>
      <c r="K483" s="101">
        <v>189</v>
      </c>
      <c r="L483" s="101">
        <v>656</v>
      </c>
      <c r="M483" s="101">
        <v>478</v>
      </c>
      <c r="N483" s="101">
        <v>207</v>
      </c>
      <c r="O483" s="101">
        <v>83</v>
      </c>
      <c r="P483" s="13">
        <f t="shared" ref="P483:Q483" si="972">J483/H483</f>
        <v>0.23073022312373226</v>
      </c>
      <c r="Q483" s="13">
        <f t="shared" si="972"/>
        <v>0.11688311688311688</v>
      </c>
      <c r="R483" s="13">
        <f t="shared" si="520"/>
        <v>0.11384710624061538</v>
      </c>
      <c r="S483" s="13">
        <f t="shared" ref="S483:T483" si="973">N483/L483</f>
        <v>0.31554878048780488</v>
      </c>
      <c r="T483" s="13">
        <f t="shared" si="973"/>
        <v>0.17364016736401675</v>
      </c>
      <c r="U483" s="13">
        <f t="shared" si="522"/>
        <v>0.14190861312378814</v>
      </c>
      <c r="V483" s="13">
        <f t="shared" si="523"/>
        <v>0.2195423623995052</v>
      </c>
      <c r="W483" s="13">
        <f t="shared" si="524"/>
        <v>1.4074074074074074</v>
      </c>
      <c r="X483" s="13">
        <f t="shared" si="525"/>
        <v>0.37238493723849375</v>
      </c>
      <c r="Y483" s="13">
        <f t="shared" si="526"/>
        <v>1.4939759036144578</v>
      </c>
    </row>
    <row r="484" spans="1:25" ht="14.4">
      <c r="A484" s="98" t="s">
        <v>750</v>
      </c>
      <c r="B484" s="99">
        <v>540073</v>
      </c>
      <c r="C484" s="98" t="s">
        <v>187</v>
      </c>
      <c r="D484" s="102" t="s">
        <v>88</v>
      </c>
      <c r="E484" s="11">
        <f ca="1">IFERROR(__xludf.DUMMYFUNCTION("GOOGLEFINANCE(""BOM:""&amp;B484,""PRICE"")"),267.7)</f>
        <v>267.7</v>
      </c>
      <c r="F484" s="20">
        <f ca="1">IFERROR(__xludf.DUMMYFUNCTION("GOOGLEFINANCE(""BOM:""&amp;B484,""MARKETCAP"")/10000000"),11012.1913323)</f>
        <v>11012.191332300001</v>
      </c>
      <c r="G484" s="95">
        <f t="shared" ca="1" si="541"/>
        <v>2.7333254308442698E-4</v>
      </c>
      <c r="H484" s="101">
        <v>2183</v>
      </c>
      <c r="I484" s="101">
        <v>1500</v>
      </c>
      <c r="J484" s="101">
        <v>536</v>
      </c>
      <c r="K484" s="101">
        <v>394</v>
      </c>
      <c r="L484" s="101">
        <v>736</v>
      </c>
      <c r="M484" s="101">
        <v>512</v>
      </c>
      <c r="N484" s="101">
        <v>170</v>
      </c>
      <c r="O484" s="101">
        <v>127</v>
      </c>
      <c r="P484" s="13">
        <f t="shared" ref="P484:Q484" si="974">J484/H484</f>
        <v>0.24553366926248282</v>
      </c>
      <c r="Q484" s="13">
        <f t="shared" si="974"/>
        <v>0.26266666666666666</v>
      </c>
      <c r="R484" s="13">
        <f t="shared" si="520"/>
        <v>-1.7132997404183836E-2</v>
      </c>
      <c r="S484" s="13">
        <f t="shared" ref="S484:T484" si="975">N484/L484</f>
        <v>0.23097826086956522</v>
      </c>
      <c r="T484" s="13">
        <f t="shared" si="975"/>
        <v>0.248046875</v>
      </c>
      <c r="U484" s="13">
        <f t="shared" si="522"/>
        <v>-1.7068614130434784E-2</v>
      </c>
      <c r="V484" s="13">
        <f t="shared" si="523"/>
        <v>0.45533333333333337</v>
      </c>
      <c r="W484" s="13">
        <f t="shared" si="524"/>
        <v>0.36040609137055846</v>
      </c>
      <c r="X484" s="13">
        <f t="shared" si="525"/>
        <v>0.4375</v>
      </c>
      <c r="Y484" s="13">
        <f t="shared" si="526"/>
        <v>0.3385826771653544</v>
      </c>
    </row>
    <row r="485" spans="1:25" ht="14.4">
      <c r="A485" s="98" t="s">
        <v>751</v>
      </c>
      <c r="B485" s="99">
        <v>540750</v>
      </c>
      <c r="C485" s="98" t="s">
        <v>172</v>
      </c>
      <c r="D485" s="101" t="s">
        <v>304</v>
      </c>
      <c r="E485" s="11">
        <f ca="1">IFERROR(__xludf.DUMMYFUNCTION("GOOGLEFINANCE(""BOM:""&amp;B485,""PRICE"")"),125.45)</f>
        <v>125.45</v>
      </c>
      <c r="F485" s="20">
        <f ca="1">IFERROR(__xludf.DUMMYFUNCTION("GOOGLEFINANCE(""BOM:""&amp;B485,""MARKETCAP"")/10000000"),11157.1564639)</f>
        <v>11157.156463900001</v>
      </c>
      <c r="G485" s="95">
        <f t="shared" ca="1" si="541"/>
        <v>2.769307086886311E-4</v>
      </c>
      <c r="H485" s="101">
        <v>441</v>
      </c>
      <c r="I485" s="101">
        <v>395</v>
      </c>
      <c r="J485" s="101">
        <v>363</v>
      </c>
      <c r="K485" s="101">
        <v>312</v>
      </c>
      <c r="L485" s="101">
        <v>145</v>
      </c>
      <c r="M485" s="101">
        <v>132</v>
      </c>
      <c r="N485" s="101">
        <v>119</v>
      </c>
      <c r="O485" s="101">
        <v>107</v>
      </c>
      <c r="P485" s="13">
        <f t="shared" ref="P485:Q485" si="976">J485/H485</f>
        <v>0.8231292517006803</v>
      </c>
      <c r="Q485" s="13">
        <f t="shared" si="976"/>
        <v>0.78987341772151898</v>
      </c>
      <c r="R485" s="13">
        <f t="shared" si="520"/>
        <v>3.325583397916132E-2</v>
      </c>
      <c r="S485" s="13">
        <f t="shared" ref="S485:T485" si="977">N485/L485</f>
        <v>0.82068965517241377</v>
      </c>
      <c r="T485" s="13">
        <f t="shared" si="977"/>
        <v>0.81060606060606055</v>
      </c>
      <c r="U485" s="13">
        <f t="shared" si="522"/>
        <v>1.0083594566353216E-2</v>
      </c>
      <c r="V485" s="13">
        <f t="shared" si="523"/>
        <v>0.1164556962025316</v>
      </c>
      <c r="W485" s="13">
        <f t="shared" si="524"/>
        <v>0.16346153846153855</v>
      </c>
      <c r="X485" s="13">
        <f t="shared" si="525"/>
        <v>9.8484848484848397E-2</v>
      </c>
      <c r="Y485" s="13">
        <f t="shared" si="526"/>
        <v>0.11214953271028039</v>
      </c>
    </row>
    <row r="486" spans="1:25" ht="14.4">
      <c r="A486" s="104" t="s">
        <v>752</v>
      </c>
      <c r="B486" s="99">
        <v>507205</v>
      </c>
      <c r="C486" s="98" t="s">
        <v>183</v>
      </c>
      <c r="D486" s="100" t="s">
        <v>317</v>
      </c>
      <c r="E486" s="11">
        <f ca="1">IFERROR(__xludf.DUMMYFUNCTION("GOOGLEFINANCE(""BOM:""&amp;B486,""PRICE"")"),421)</f>
        <v>421</v>
      </c>
      <c r="F486" s="20">
        <f ca="1">IFERROR(__xludf.DUMMYFUNCTION("GOOGLEFINANCE(""BOM:""&amp;B486,""MARKETCAP"")/10000000"),10410.8343977)</f>
        <v>10410.8343977</v>
      </c>
      <c r="G486" s="95">
        <f t="shared" ca="1" si="541"/>
        <v>2.5840632038490337E-4</v>
      </c>
      <c r="H486" s="101">
        <v>3232</v>
      </c>
      <c r="I486" s="101">
        <v>2293</v>
      </c>
      <c r="J486" s="101">
        <v>35</v>
      </c>
      <c r="K486" s="101">
        <v>152</v>
      </c>
      <c r="L486" s="101">
        <v>1453</v>
      </c>
      <c r="M486" s="101">
        <v>805</v>
      </c>
      <c r="N486" s="101">
        <v>-105</v>
      </c>
      <c r="O486" s="101">
        <v>53</v>
      </c>
      <c r="P486" s="13">
        <f t="shared" ref="P486:Q486" si="978">J486/H486</f>
        <v>1.0829207920792078E-2</v>
      </c>
      <c r="Q486" s="13">
        <f t="shared" si="978"/>
        <v>6.628870475359791E-2</v>
      </c>
      <c r="R486" s="13">
        <f t="shared" si="520"/>
        <v>-5.5459496832805835E-2</v>
      </c>
      <c r="S486" s="13">
        <f t="shared" ref="S486:T486" si="979">N486/L486</f>
        <v>-7.2264280798348249E-2</v>
      </c>
      <c r="T486" s="13">
        <f t="shared" si="979"/>
        <v>6.5838509316770183E-2</v>
      </c>
      <c r="U486" s="13">
        <f t="shared" si="522"/>
        <v>-0.13810279011511845</v>
      </c>
      <c r="V486" s="13">
        <f t="shared" si="523"/>
        <v>0.40950719581334494</v>
      </c>
      <c r="W486" s="13">
        <f t="shared" si="524"/>
        <v>-0.76973684210526316</v>
      </c>
      <c r="X486" s="13">
        <f t="shared" si="525"/>
        <v>0.8049689440993788</v>
      </c>
      <c r="Y486" s="13">
        <f t="shared" si="526"/>
        <v>-2.9811320754716979</v>
      </c>
    </row>
    <row r="487" spans="1:25" ht="14.4">
      <c r="A487" s="98" t="s">
        <v>753</v>
      </c>
      <c r="B487" s="99">
        <v>532922</v>
      </c>
      <c r="C487" s="98" t="s">
        <v>172</v>
      </c>
      <c r="D487" s="100" t="s">
        <v>209</v>
      </c>
      <c r="E487" s="11">
        <f ca="1">IFERROR(__xludf.DUMMYFUNCTION("GOOGLEFINANCE(""BOM:""&amp;B487,""PRICE"")"),107.39)</f>
        <v>107.39</v>
      </c>
      <c r="F487" s="20">
        <f ca="1">IFERROR(__xludf.DUMMYFUNCTION("GOOGLEFINANCE(""BOM:""&amp;B487,""MARKETCAP"")/10000000"),10167.643348)</f>
        <v>10167.643348</v>
      </c>
      <c r="G487" s="95">
        <f t="shared" ca="1" si="541"/>
        <v>2.5237009870440069E-4</v>
      </c>
      <c r="H487" s="101">
        <v>8511</v>
      </c>
      <c r="I487" s="101">
        <v>6986</v>
      </c>
      <c r="J487" s="101">
        <v>548</v>
      </c>
      <c r="K487" s="101">
        <v>377</v>
      </c>
      <c r="L487" s="101">
        <v>4404</v>
      </c>
      <c r="M487" s="101">
        <v>1898</v>
      </c>
      <c r="N487" s="101">
        <v>270</v>
      </c>
      <c r="O487" s="101">
        <v>155</v>
      </c>
      <c r="P487" s="13">
        <f t="shared" ref="P487:Q487" si="980">J487/H487</f>
        <v>6.4387263541299491E-2</v>
      </c>
      <c r="Q487" s="13">
        <f t="shared" si="980"/>
        <v>5.3965073003149157E-2</v>
      </c>
      <c r="R487" s="13">
        <f t="shared" si="520"/>
        <v>1.0422190538150335E-2</v>
      </c>
      <c r="S487" s="13">
        <f t="shared" ref="S487:T487" si="981">N487/L487</f>
        <v>6.1307901907356951E-2</v>
      </c>
      <c r="T487" s="13">
        <f t="shared" si="981"/>
        <v>8.1664910432033722E-2</v>
      </c>
      <c r="U487" s="13">
        <f t="shared" si="522"/>
        <v>-2.035700852467677E-2</v>
      </c>
      <c r="V487" s="13">
        <f t="shared" si="523"/>
        <v>0.21829373031777832</v>
      </c>
      <c r="W487" s="13">
        <f t="shared" si="524"/>
        <v>0.45358090185676403</v>
      </c>
      <c r="X487" s="13">
        <f t="shared" si="525"/>
        <v>1.3203371970495259</v>
      </c>
      <c r="Y487" s="13">
        <f t="shared" si="526"/>
        <v>0.74193548387096775</v>
      </c>
    </row>
    <row r="488" spans="1:25" ht="14.4">
      <c r="A488" s="98" t="s">
        <v>754</v>
      </c>
      <c r="B488" s="99">
        <v>544061</v>
      </c>
      <c r="C488" s="98" t="s">
        <v>180</v>
      </c>
      <c r="D488" s="102" t="s">
        <v>275</v>
      </c>
      <c r="E488" s="11">
        <f ca="1">IFERROR(__xludf.DUMMYFUNCTION("GOOGLEFINANCE(""BOM:""&amp;B488,""PRICE"")"),1554.55)</f>
        <v>1554.55</v>
      </c>
      <c r="F488" s="20">
        <f ca="1">IFERROR(__xludf.DUMMYFUNCTION("GOOGLEFINANCE(""BOM:""&amp;B488,""MARKETCAP"")/10000000"),9188.4898554)</f>
        <v>9188.4898553999992</v>
      </c>
      <c r="G488" s="95">
        <f t="shared" ca="1" si="541"/>
        <v>2.2806662393481925E-4</v>
      </c>
      <c r="H488" s="101">
        <v>441</v>
      </c>
      <c r="I488" s="101">
        <v>330</v>
      </c>
      <c r="J488" s="101">
        <v>96</v>
      </c>
      <c r="K488" s="101">
        <v>61</v>
      </c>
      <c r="L488" s="101">
        <v>158</v>
      </c>
      <c r="M488" s="101">
        <v>120</v>
      </c>
      <c r="N488" s="101">
        <v>34</v>
      </c>
      <c r="O488" s="101">
        <v>23</v>
      </c>
      <c r="P488" s="13">
        <f t="shared" ref="P488:Q488" si="982">J488/H488</f>
        <v>0.21768707482993196</v>
      </c>
      <c r="Q488" s="13">
        <f t="shared" si="982"/>
        <v>0.18484848484848485</v>
      </c>
      <c r="R488" s="13">
        <f t="shared" si="520"/>
        <v>3.2838589981447119E-2</v>
      </c>
      <c r="S488" s="13">
        <f t="shared" ref="S488:T488" si="983">N488/L488</f>
        <v>0.21518987341772153</v>
      </c>
      <c r="T488" s="13">
        <f t="shared" si="983"/>
        <v>0.19166666666666668</v>
      </c>
      <c r="U488" s="13">
        <f t="shared" si="522"/>
        <v>2.3523206751054848E-2</v>
      </c>
      <c r="V488" s="13">
        <f t="shared" si="523"/>
        <v>0.33636363636363642</v>
      </c>
      <c r="W488" s="13">
        <f t="shared" si="524"/>
        <v>0.57377049180327866</v>
      </c>
      <c r="X488" s="13">
        <f t="shared" si="525"/>
        <v>0.31666666666666665</v>
      </c>
      <c r="Y488" s="13">
        <f t="shared" si="526"/>
        <v>0.47826086956521729</v>
      </c>
    </row>
    <row r="489" spans="1:25" ht="14.4">
      <c r="A489" s="98" t="s">
        <v>755</v>
      </c>
      <c r="B489" s="99">
        <v>532218</v>
      </c>
      <c r="C489" s="98" t="s">
        <v>172</v>
      </c>
      <c r="D489" s="102" t="s">
        <v>72</v>
      </c>
      <c r="E489" s="11">
        <f ca="1">IFERROR(__xludf.DUMMYFUNCTION("GOOGLEFINANCE(""BOM:""&amp;B489,""PRICE"")"),37.28)</f>
        <v>37.28</v>
      </c>
      <c r="F489" s="20">
        <f ca="1">IFERROR(__xludf.DUMMYFUNCTION("GOOGLEFINANCE(""BOM:""&amp;B489,""MARKETCAP"")/10000000"),9761.6632963)</f>
        <v>9761.6632962999993</v>
      </c>
      <c r="G489" s="95">
        <f t="shared" ca="1" si="541"/>
        <v>2.422933068448888E-4</v>
      </c>
      <c r="H489" s="101">
        <v>8909</v>
      </c>
      <c r="I489" s="101">
        <v>8280</v>
      </c>
      <c r="J489" s="101">
        <v>1048</v>
      </c>
      <c r="K489" s="101">
        <v>960</v>
      </c>
      <c r="L489" s="101">
        <v>3003</v>
      </c>
      <c r="M489" s="101">
        <v>2779</v>
      </c>
      <c r="N489" s="101">
        <v>374</v>
      </c>
      <c r="O489" s="101">
        <v>342</v>
      </c>
      <c r="P489" s="13">
        <f t="shared" ref="P489:Q489" si="984">J489/H489</f>
        <v>0.11763385340666742</v>
      </c>
      <c r="Q489" s="13">
        <f t="shared" si="984"/>
        <v>0.11594202898550725</v>
      </c>
      <c r="R489" s="13">
        <f t="shared" si="520"/>
        <v>1.6918244211601707E-3</v>
      </c>
      <c r="S489" s="13">
        <f t="shared" ref="S489:T489" si="985">N489/L489</f>
        <v>0.12454212454212454</v>
      </c>
      <c r="T489" s="13">
        <f t="shared" si="985"/>
        <v>0.12306585102554876</v>
      </c>
      <c r="U489" s="13">
        <f t="shared" si="522"/>
        <v>1.4762735165757823E-3</v>
      </c>
      <c r="V489" s="13">
        <f t="shared" si="523"/>
        <v>7.5966183574879276E-2</v>
      </c>
      <c r="W489" s="13">
        <f t="shared" si="524"/>
        <v>9.1666666666666563E-2</v>
      </c>
      <c r="X489" s="13">
        <f t="shared" si="525"/>
        <v>8.0604534005037864E-2</v>
      </c>
      <c r="Y489" s="13">
        <f t="shared" si="526"/>
        <v>9.3567251461988299E-2</v>
      </c>
    </row>
    <row r="490" spans="1:25" ht="14.4">
      <c r="A490" s="98" t="s">
        <v>756</v>
      </c>
      <c r="B490" s="99">
        <v>543596</v>
      </c>
      <c r="C490" s="98" t="s">
        <v>172</v>
      </c>
      <c r="D490" s="100" t="s">
        <v>72</v>
      </c>
      <c r="E490" s="11">
        <f ca="1">IFERROR(__xludf.DUMMYFUNCTION("GOOGLEFINANCE(""BOM:""&amp;B490,""PRICE"")"),628.3)</f>
        <v>628.29999999999995</v>
      </c>
      <c r="F490" s="20">
        <f ca="1">IFERROR(__xludf.DUMMYFUNCTION("GOOGLEFINANCE(""BOM:""&amp;B490,""MARKETCAP"")/10000000"),9951.5939263)</f>
        <v>9951.5939263</v>
      </c>
      <c r="G490" s="95">
        <f t="shared" ca="1" si="541"/>
        <v>2.4700755676490766E-4</v>
      </c>
      <c r="H490" s="101">
        <v>4904</v>
      </c>
      <c r="I490" s="101">
        <v>4599</v>
      </c>
      <c r="J490" s="101">
        <v>963</v>
      </c>
      <c r="K490" s="101">
        <v>890</v>
      </c>
      <c r="L490" s="101">
        <v>1469</v>
      </c>
      <c r="M490" s="101">
        <v>1331</v>
      </c>
      <c r="N490" s="101">
        <v>341</v>
      </c>
      <c r="O490" s="101">
        <v>300</v>
      </c>
      <c r="P490" s="13">
        <f t="shared" ref="P490:Q490" si="986">J490/H490</f>
        <v>0.19637030995106036</v>
      </c>
      <c r="Q490" s="13">
        <f t="shared" si="986"/>
        <v>0.19352033050663187</v>
      </c>
      <c r="R490" s="13">
        <f t="shared" si="520"/>
        <v>2.8499794444284965E-3</v>
      </c>
      <c r="S490" s="13">
        <f t="shared" ref="S490:T490" si="987">N490/L490</f>
        <v>0.23213070115724982</v>
      </c>
      <c r="T490" s="13">
        <f t="shared" si="987"/>
        <v>0.22539444027047334</v>
      </c>
      <c r="U490" s="13">
        <f t="shared" si="522"/>
        <v>6.7362608867764795E-3</v>
      </c>
      <c r="V490" s="13">
        <f t="shared" si="523"/>
        <v>6.6318764948901876E-2</v>
      </c>
      <c r="W490" s="13">
        <f t="shared" si="524"/>
        <v>8.202247191011236E-2</v>
      </c>
      <c r="X490" s="13">
        <f t="shared" si="525"/>
        <v>0.10368144252441769</v>
      </c>
      <c r="Y490" s="13">
        <f t="shared" si="526"/>
        <v>0.13666666666666671</v>
      </c>
    </row>
    <row r="491" spans="1:25" ht="14.4">
      <c r="A491" s="98" t="s">
        <v>757</v>
      </c>
      <c r="B491" s="99">
        <v>532400</v>
      </c>
      <c r="C491" s="98" t="s">
        <v>174</v>
      </c>
      <c r="D491" s="101" t="s">
        <v>175</v>
      </c>
      <c r="E491" s="11">
        <f ca="1">IFERROR(__xludf.DUMMYFUNCTION("GOOGLEFINANCE(""BOM:""&amp;B491,""PRICE"")"),366.75)</f>
        <v>366.75</v>
      </c>
      <c r="F491" s="20">
        <f ca="1">IFERROR(__xludf.DUMMYFUNCTION("GOOGLEFINANCE(""BOM:""&amp;B491,""MARKETCAP"")/10000000"),10104.9820716)</f>
        <v>10104.982071599999</v>
      </c>
      <c r="G491" s="95">
        <f t="shared" ca="1" si="541"/>
        <v>2.5081478918293501E-4</v>
      </c>
      <c r="H491" s="101">
        <v>3961</v>
      </c>
      <c r="I491" s="101">
        <v>4058</v>
      </c>
      <c r="J491" s="101">
        <v>342</v>
      </c>
      <c r="K491" s="101">
        <v>394</v>
      </c>
      <c r="L491" s="101">
        <v>1347</v>
      </c>
      <c r="M491" s="101">
        <v>1362</v>
      </c>
      <c r="N491" s="101">
        <v>119</v>
      </c>
      <c r="O491" s="101">
        <v>116</v>
      </c>
      <c r="P491" s="13">
        <f t="shared" ref="P491:Q491" si="988">J491/H491</f>
        <v>8.6341832870487245E-2</v>
      </c>
      <c r="Q491" s="13">
        <f t="shared" si="988"/>
        <v>9.7092163627402667E-2</v>
      </c>
      <c r="R491" s="13">
        <f t="shared" si="520"/>
        <v>-1.0750330756915422E-2</v>
      </c>
      <c r="S491" s="13">
        <f t="shared" ref="S491:T491" si="989">N491/L491</f>
        <v>8.8344469190794361E-2</v>
      </c>
      <c r="T491" s="13">
        <f t="shared" si="989"/>
        <v>8.5168869309838469E-2</v>
      </c>
      <c r="U491" s="13">
        <f t="shared" si="522"/>
        <v>3.1755998809558927E-3</v>
      </c>
      <c r="V491" s="13">
        <f t="shared" si="523"/>
        <v>-2.390340068999508E-2</v>
      </c>
      <c r="W491" s="13">
        <f t="shared" si="524"/>
        <v>-0.13197969543147203</v>
      </c>
      <c r="X491" s="13">
        <f t="shared" si="525"/>
        <v>-1.1013215859030812E-2</v>
      </c>
      <c r="Y491" s="13">
        <f t="shared" si="526"/>
        <v>2.5862068965517349E-2</v>
      </c>
    </row>
    <row r="492" spans="1:25" ht="14.4">
      <c r="A492" s="104" t="s">
        <v>758</v>
      </c>
      <c r="B492" s="99">
        <v>544288</v>
      </c>
      <c r="C492" s="98" t="s">
        <v>206</v>
      </c>
      <c r="D492" s="100" t="s">
        <v>759</v>
      </c>
      <c r="E492" s="11">
        <f ca="1">IFERROR(__xludf.DUMMYFUNCTION("GOOGLEFINANCE(""BOM:""&amp;B492,""PRICE"")"),569)</f>
        <v>569</v>
      </c>
      <c r="F492" s="20">
        <f ca="1">IFERROR(__xludf.DUMMYFUNCTION("GOOGLEFINANCE(""BOM:""&amp;B492,""MARKETCAP"")/10000000"),10359.6788071)</f>
        <v>10359.678807099999</v>
      </c>
      <c r="G492" s="95">
        <f t="shared" ca="1" si="541"/>
        <v>2.5713659238529331E-4</v>
      </c>
      <c r="H492" s="101">
        <v>466</v>
      </c>
      <c r="I492" s="101">
        <v>304</v>
      </c>
      <c r="J492" s="101">
        <v>94</v>
      </c>
      <c r="K492" s="101">
        <v>-288</v>
      </c>
      <c r="L492" s="101">
        <v>171</v>
      </c>
      <c r="M492" s="101">
        <v>113</v>
      </c>
      <c r="N492" s="101">
        <v>31</v>
      </c>
      <c r="O492" s="101">
        <v>-48</v>
      </c>
      <c r="P492" s="13">
        <f t="shared" ref="P492:Q492" si="990">J492/H492</f>
        <v>0.20171673819742489</v>
      </c>
      <c r="Q492" s="13">
        <f t="shared" si="990"/>
        <v>-0.94736842105263153</v>
      </c>
      <c r="R492" s="13">
        <f t="shared" si="520"/>
        <v>1.1490851592500564</v>
      </c>
      <c r="S492" s="13">
        <f t="shared" ref="S492:T492" si="991">N492/L492</f>
        <v>0.18128654970760233</v>
      </c>
      <c r="T492" s="13">
        <f t="shared" si="991"/>
        <v>-0.4247787610619469</v>
      </c>
      <c r="U492" s="13">
        <f t="shared" si="522"/>
        <v>0.60606531076954928</v>
      </c>
      <c r="V492" s="13">
        <f t="shared" si="523"/>
        <v>0.53289473684210531</v>
      </c>
      <c r="W492" s="13">
        <f t="shared" si="524"/>
        <v>-1.3263888888888888</v>
      </c>
      <c r="X492" s="13">
        <f t="shared" si="525"/>
        <v>0.51327433628318575</v>
      </c>
      <c r="Y492" s="13">
        <f t="shared" si="526"/>
        <v>-1.6458333333333335</v>
      </c>
    </row>
    <row r="493" spans="1:25" ht="14.4">
      <c r="A493" s="98" t="s">
        <v>760</v>
      </c>
      <c r="B493" s="99">
        <v>544280</v>
      </c>
      <c r="C493" s="98" t="s">
        <v>180</v>
      </c>
      <c r="D493" s="102" t="s">
        <v>181</v>
      </c>
      <c r="E493" s="11">
        <f ca="1">IFERROR(__xludf.DUMMYFUNCTION("GOOGLEFINANCE(""BOM:""&amp;B493,""PRICE"")"),286.95)</f>
        <v>286.95</v>
      </c>
      <c r="F493" s="20">
        <f ca="1">IFERROR(__xludf.DUMMYFUNCTION("GOOGLEFINANCE(""BOM:""&amp;B493,""MARKETCAP"")/10000000"),10540.7068604)</f>
        <v>10540.7068604</v>
      </c>
      <c r="G493" s="95">
        <f t="shared" ca="1" si="541"/>
        <v>2.6162987230433899E-4</v>
      </c>
      <c r="H493" s="101">
        <v>9334</v>
      </c>
      <c r="I493" s="101">
        <v>9325</v>
      </c>
      <c r="J493" s="101">
        <v>339</v>
      </c>
      <c r="K493" s="101">
        <v>376</v>
      </c>
      <c r="L493" s="101">
        <v>2976</v>
      </c>
      <c r="M493" s="101">
        <v>3211</v>
      </c>
      <c r="N493" s="101">
        <v>81</v>
      </c>
      <c r="O493" s="101">
        <v>149</v>
      </c>
      <c r="P493" s="13">
        <f t="shared" ref="P493:Q493" si="992">J493/H493</f>
        <v>3.6318834368973645E-2</v>
      </c>
      <c r="Q493" s="13">
        <f t="shared" si="992"/>
        <v>4.0321715817694372E-2</v>
      </c>
      <c r="R493" s="13">
        <f t="shared" si="520"/>
        <v>-4.002881448720727E-3</v>
      </c>
      <c r="S493" s="13">
        <f t="shared" ref="S493:T493" si="993">N493/L493</f>
        <v>2.7217741935483871E-2</v>
      </c>
      <c r="T493" s="13">
        <f t="shared" si="993"/>
        <v>4.6402989722827782E-2</v>
      </c>
      <c r="U493" s="13">
        <f t="shared" si="522"/>
        <v>-1.9185247787343911E-2</v>
      </c>
      <c r="V493" s="13">
        <f t="shared" si="523"/>
        <v>9.6514745308318162E-4</v>
      </c>
      <c r="W493" s="13">
        <f t="shared" si="524"/>
        <v>-9.8404255319148981E-2</v>
      </c>
      <c r="X493" s="13">
        <f t="shared" si="525"/>
        <v>-7.3185923388352503E-2</v>
      </c>
      <c r="Y493" s="13">
        <f t="shared" si="526"/>
        <v>-0.4563758389261745</v>
      </c>
    </row>
    <row r="494" spans="1:25" ht="14.4">
      <c r="A494" s="104" t="s">
        <v>761</v>
      </c>
      <c r="B494" s="99">
        <v>544226</v>
      </c>
      <c r="C494" s="98" t="s">
        <v>187</v>
      </c>
      <c r="D494" s="102" t="s">
        <v>120</v>
      </c>
      <c r="E494" s="11">
        <f ca="1">IFERROR(__xludf.DUMMYFUNCTION("GOOGLEFINANCE(""BOM:""&amp;B494,""PRICE"")"),225.5)</f>
        <v>225.5</v>
      </c>
      <c r="F494" s="20">
        <f ca="1">IFERROR(__xludf.DUMMYFUNCTION("GOOGLEFINANCE(""BOM:""&amp;B494,""MARKETCAP"")/10000000"),10943.021576)</f>
        <v>10943.021575999999</v>
      </c>
      <c r="G494" s="95">
        <f t="shared" ca="1" si="541"/>
        <v>2.7161568720865273E-4</v>
      </c>
      <c r="H494" s="101">
        <v>6385</v>
      </c>
      <c r="I494" s="101">
        <v>5729</v>
      </c>
      <c r="J494" s="101">
        <v>-155</v>
      </c>
      <c r="K494" s="101">
        <v>-153</v>
      </c>
      <c r="L494" s="101">
        <v>2423</v>
      </c>
      <c r="M494" s="101">
        <v>2172</v>
      </c>
      <c r="N494" s="101">
        <v>-38</v>
      </c>
      <c r="O494" s="101">
        <v>-14</v>
      </c>
      <c r="P494" s="13">
        <f t="shared" ref="P494:Q494" si="994">J494/H494</f>
        <v>-2.4275646045418951E-2</v>
      </c>
      <c r="Q494" s="13">
        <f t="shared" si="994"/>
        <v>-2.6706231454005934E-2</v>
      </c>
      <c r="R494" s="13">
        <f t="shared" si="520"/>
        <v>2.4305854085869827E-3</v>
      </c>
      <c r="S494" s="13">
        <f t="shared" ref="S494:T494" si="995">N494/L494</f>
        <v>-1.5683037556747832E-2</v>
      </c>
      <c r="T494" s="13">
        <f t="shared" si="995"/>
        <v>-6.4456721915285451E-3</v>
      </c>
      <c r="U494" s="13">
        <f t="shared" si="522"/>
        <v>-9.2373653652192862E-3</v>
      </c>
      <c r="V494" s="13">
        <f t="shared" si="523"/>
        <v>0.11450514924070521</v>
      </c>
      <c r="W494" s="13">
        <f t="shared" si="524"/>
        <v>1.3071895424836555E-2</v>
      </c>
      <c r="X494" s="13">
        <f t="shared" si="525"/>
        <v>0.11556169429097607</v>
      </c>
      <c r="Y494" s="13">
        <f t="shared" si="526"/>
        <v>1.7142857142857144</v>
      </c>
    </row>
    <row r="495" spans="1:25" ht="14.4">
      <c r="A495" s="98" t="s">
        <v>762</v>
      </c>
      <c r="B495" s="99">
        <v>543959</v>
      </c>
      <c r="C495" s="98" t="s">
        <v>172</v>
      </c>
      <c r="D495" s="70" t="s">
        <v>178</v>
      </c>
      <c r="E495" s="11">
        <f ca="1">IFERROR(__xludf.DUMMYFUNCTION("GOOGLEFINANCE(""BOM:""&amp;B495,""PRICE"")"),83.4)</f>
        <v>83.4</v>
      </c>
      <c r="F495" s="20">
        <f ca="1">IFERROR(__xludf.DUMMYFUNCTION("GOOGLEFINANCE(""BOM:""&amp;B495,""MARKETCAP"")/10000000"),9207.1968368)</f>
        <v>9207.1968367999998</v>
      </c>
      <c r="G495" s="95">
        <f t="shared" ca="1" si="541"/>
        <v>2.2853094812291228E-4</v>
      </c>
      <c r="H495" s="101">
        <v>1225</v>
      </c>
      <c r="I495" s="101">
        <v>944</v>
      </c>
      <c r="J495" s="101">
        <v>328</v>
      </c>
      <c r="K495" s="101">
        <v>250</v>
      </c>
      <c r="L495" s="101">
        <v>425</v>
      </c>
      <c r="M495" s="101">
        <v>333</v>
      </c>
      <c r="N495" s="101">
        <v>118</v>
      </c>
      <c r="O495" s="101">
        <v>88</v>
      </c>
      <c r="P495" s="13">
        <f t="shared" ref="P495:Q495" si="996">J495/H495</f>
        <v>0.26775510204081632</v>
      </c>
      <c r="Q495" s="13">
        <f t="shared" si="996"/>
        <v>0.26483050847457629</v>
      </c>
      <c r="R495" s="13">
        <f t="shared" si="520"/>
        <v>2.9245935662400302E-3</v>
      </c>
      <c r="S495" s="13">
        <f t="shared" ref="S495:T495" si="997">N495/L495</f>
        <v>0.27764705882352941</v>
      </c>
      <c r="T495" s="13">
        <f t="shared" si="997"/>
        <v>0.26426426426426425</v>
      </c>
      <c r="U495" s="13">
        <f t="shared" si="522"/>
        <v>1.3382794559265165E-2</v>
      </c>
      <c r="V495" s="13">
        <f t="shared" si="523"/>
        <v>0.29766949152542366</v>
      </c>
      <c r="W495" s="13">
        <f t="shared" si="524"/>
        <v>0.31200000000000006</v>
      </c>
      <c r="X495" s="13">
        <f t="shared" si="525"/>
        <v>0.27627627627627627</v>
      </c>
      <c r="Y495" s="13">
        <f t="shared" si="526"/>
        <v>0.34090909090909083</v>
      </c>
    </row>
    <row r="496" spans="1:25" ht="14.4">
      <c r="A496" s="98" t="s">
        <v>763</v>
      </c>
      <c r="B496" s="99">
        <v>530843</v>
      </c>
      <c r="C496" s="98" t="s">
        <v>183</v>
      </c>
      <c r="D496" s="101" t="s">
        <v>282</v>
      </c>
      <c r="E496" s="11">
        <f ca="1">IFERROR(__xludf.DUMMYFUNCTION("GOOGLEFINANCE(""BOM:""&amp;B496,""PRICE"")"),88.24)</f>
        <v>88.24</v>
      </c>
      <c r="F496" s="20">
        <f ca="1">IFERROR(__xludf.DUMMYFUNCTION("GOOGLEFINANCE(""BOM:""&amp;B496,""MARKETCAP"")/10000000"),11862.5906841)</f>
        <v>11862.5906841</v>
      </c>
      <c r="G496" s="95">
        <f t="shared" ca="1" si="541"/>
        <v>2.9444022369501204E-4</v>
      </c>
      <c r="H496" s="101">
        <v>237</v>
      </c>
      <c r="I496" s="101">
        <v>127</v>
      </c>
      <c r="J496" s="101">
        <v>72</v>
      </c>
      <c r="K496" s="101">
        <v>29</v>
      </c>
      <c r="L496" s="101">
        <v>93</v>
      </c>
      <c r="M496" s="101">
        <v>46</v>
      </c>
      <c r="N496" s="101">
        <v>32</v>
      </c>
      <c r="O496" s="101">
        <v>11</v>
      </c>
      <c r="P496" s="13">
        <f t="shared" ref="P496:Q496" si="998">J496/H496</f>
        <v>0.30379746835443039</v>
      </c>
      <c r="Q496" s="13">
        <f t="shared" si="998"/>
        <v>0.2283464566929134</v>
      </c>
      <c r="R496" s="13">
        <f t="shared" si="520"/>
        <v>7.5451011661516992E-2</v>
      </c>
      <c r="S496" s="13">
        <f t="shared" ref="S496:T496" si="999">N496/L496</f>
        <v>0.34408602150537637</v>
      </c>
      <c r="T496" s="13">
        <f t="shared" si="999"/>
        <v>0.2391304347826087</v>
      </c>
      <c r="U496" s="13">
        <f t="shared" si="522"/>
        <v>0.10495558672276767</v>
      </c>
      <c r="V496" s="13">
        <f t="shared" si="523"/>
        <v>0.86614173228346458</v>
      </c>
      <c r="W496" s="13">
        <f t="shared" si="524"/>
        <v>1.4827586206896552</v>
      </c>
      <c r="X496" s="13">
        <f t="shared" si="525"/>
        <v>1.0217391304347827</v>
      </c>
      <c r="Y496" s="13">
        <f t="shared" si="526"/>
        <v>1.9090909090909092</v>
      </c>
    </row>
    <row r="497" spans="1:25" ht="14.4">
      <c r="A497" s="98" t="s">
        <v>764</v>
      </c>
      <c r="B497" s="99">
        <v>532762</v>
      </c>
      <c r="C497" s="98" t="s">
        <v>180</v>
      </c>
      <c r="D497" s="70" t="s">
        <v>678</v>
      </c>
      <c r="E497" s="11">
        <f ca="1">IFERROR(__xludf.DUMMYFUNCTION("GOOGLEFINANCE(""BOM:""&amp;B497,""PRICE"")"),824.6)</f>
        <v>824.6</v>
      </c>
      <c r="F497" s="20">
        <f ca="1">IFERROR(__xludf.DUMMYFUNCTION("GOOGLEFINANCE(""BOM:""&amp;B497,""MARKETCAP"")/10000000"),9820.0428734)</f>
        <v>9820.0428733999997</v>
      </c>
      <c r="G497" s="95">
        <f t="shared" ca="1" si="541"/>
        <v>2.4374234071938505E-4</v>
      </c>
      <c r="H497" s="101">
        <v>2250</v>
      </c>
      <c r="I497" s="101">
        <v>2366</v>
      </c>
      <c r="J497" s="101">
        <v>304</v>
      </c>
      <c r="K497" s="101">
        <v>290</v>
      </c>
      <c r="L497" s="101">
        <v>854</v>
      </c>
      <c r="M497" s="101">
        <v>875</v>
      </c>
      <c r="N497" s="101">
        <v>116</v>
      </c>
      <c r="O497" s="101">
        <v>111</v>
      </c>
      <c r="P497" s="13">
        <f t="shared" ref="P497:Q497" si="1000">J497/H497</f>
        <v>0.1351111111111111</v>
      </c>
      <c r="Q497" s="13">
        <f t="shared" si="1000"/>
        <v>0.12256973795435334</v>
      </c>
      <c r="R497" s="13">
        <f t="shared" si="520"/>
        <v>1.2541373156757754E-2</v>
      </c>
      <c r="S497" s="13">
        <f t="shared" ref="S497:T497" si="1001">N497/L497</f>
        <v>0.13583138173302109</v>
      </c>
      <c r="T497" s="13">
        <f t="shared" si="1001"/>
        <v>0.12685714285714286</v>
      </c>
      <c r="U497" s="13">
        <f t="shared" si="522"/>
        <v>8.9742388758782266E-3</v>
      </c>
      <c r="V497" s="13">
        <f t="shared" si="523"/>
        <v>-4.9027895181741332E-2</v>
      </c>
      <c r="W497" s="13">
        <f t="shared" si="524"/>
        <v>4.8275862068965614E-2</v>
      </c>
      <c r="X497" s="13">
        <f t="shared" si="525"/>
        <v>-2.4000000000000021E-2</v>
      </c>
      <c r="Y497" s="13">
        <f t="shared" si="526"/>
        <v>4.5045045045045029E-2</v>
      </c>
    </row>
    <row r="498" spans="1:25" ht="14.4">
      <c r="A498" s="98" t="s">
        <v>765</v>
      </c>
      <c r="B498" s="99">
        <v>544046</v>
      </c>
      <c r="C498" s="98" t="s">
        <v>180</v>
      </c>
      <c r="D498" s="100" t="s">
        <v>512</v>
      </c>
      <c r="E498" s="11">
        <f ca="1">IFERROR(__xludf.DUMMYFUNCTION("GOOGLEFINANCE(""BOM:""&amp;B498,""PRICE"")"),1218)</f>
        <v>1218</v>
      </c>
      <c r="F498" s="20">
        <f ca="1">IFERROR(__xludf.DUMMYFUNCTION("GOOGLEFINANCE(""BOM:""&amp;B498,""MARKETCAP"")/10000000"),11068.608825)</f>
        <v>11068.608824999999</v>
      </c>
      <c r="G498" s="95">
        <f t="shared" ca="1" si="541"/>
        <v>2.7473287625053413E-4</v>
      </c>
      <c r="H498" s="101">
        <v>1126</v>
      </c>
      <c r="I498" s="101">
        <v>936</v>
      </c>
      <c r="J498" s="101">
        <v>182</v>
      </c>
      <c r="K498" s="101">
        <v>160</v>
      </c>
      <c r="L498" s="101">
        <v>428</v>
      </c>
      <c r="M498" s="101">
        <v>333</v>
      </c>
      <c r="N498" s="101">
        <v>60</v>
      </c>
      <c r="O498" s="101">
        <v>58</v>
      </c>
      <c r="P498" s="13">
        <f t="shared" ref="P498:Q498" si="1002">J498/H498</f>
        <v>0.16163410301953818</v>
      </c>
      <c r="Q498" s="13">
        <f t="shared" si="1002"/>
        <v>0.17094017094017094</v>
      </c>
      <c r="R498" s="13">
        <f t="shared" si="520"/>
        <v>-9.3060679206327657E-3</v>
      </c>
      <c r="S498" s="13">
        <f t="shared" ref="S498:T498" si="1003">N498/L498</f>
        <v>0.14018691588785046</v>
      </c>
      <c r="T498" s="13">
        <f t="shared" si="1003"/>
        <v>0.17417417417417416</v>
      </c>
      <c r="U498" s="13">
        <f t="shared" si="522"/>
        <v>-3.3987258286323707E-2</v>
      </c>
      <c r="V498" s="13">
        <f t="shared" si="523"/>
        <v>0.20299145299145294</v>
      </c>
      <c r="W498" s="13">
        <f t="shared" si="524"/>
        <v>0.13749999999999996</v>
      </c>
      <c r="X498" s="13">
        <f t="shared" si="525"/>
        <v>0.28528528528528518</v>
      </c>
      <c r="Y498" s="13">
        <f t="shared" si="526"/>
        <v>3.4482758620689724E-2</v>
      </c>
    </row>
    <row r="499" spans="1:25" ht="14.4">
      <c r="A499" s="98" t="s">
        <v>766</v>
      </c>
      <c r="B499" s="99">
        <v>538666</v>
      </c>
      <c r="C499" s="98" t="s">
        <v>196</v>
      </c>
      <c r="D499" s="101" t="s">
        <v>414</v>
      </c>
      <c r="E499" s="11">
        <f ca="1">IFERROR(__xludf.DUMMYFUNCTION("GOOGLEFINANCE(""BOM:""&amp;B499,""PRICE"")"),916.9)</f>
        <v>916.9</v>
      </c>
      <c r="F499" s="20">
        <f ca="1">IFERROR(__xludf.DUMMYFUNCTION("GOOGLEFINANCE(""BOM:""&amp;B499,""MARKETCAP"")/10000000"),8255.17575)</f>
        <v>8255.1757500000003</v>
      </c>
      <c r="G499" s="95">
        <f t="shared" ca="1" si="541"/>
        <v>2.049009241910002E-4</v>
      </c>
      <c r="H499" s="101">
        <v>3202</v>
      </c>
      <c r="I499" s="101">
        <v>2491</v>
      </c>
      <c r="J499" s="101">
        <v>362</v>
      </c>
      <c r="K499" s="101">
        <v>100</v>
      </c>
      <c r="L499" s="101">
        <v>1288</v>
      </c>
      <c r="M499" s="101">
        <v>929</v>
      </c>
      <c r="N499" s="101">
        <v>145</v>
      </c>
      <c r="O499" s="101">
        <v>31</v>
      </c>
      <c r="P499" s="13">
        <f t="shared" ref="P499:Q499" si="1004">J499/H499</f>
        <v>0.11305434103685197</v>
      </c>
      <c r="Q499" s="13">
        <f t="shared" si="1004"/>
        <v>4.0144520272982737E-2</v>
      </c>
      <c r="R499" s="13">
        <f t="shared" si="520"/>
        <v>7.2909820763869232E-2</v>
      </c>
      <c r="S499" s="13">
        <f t="shared" ref="S499:T499" si="1005">N499/L499</f>
        <v>0.1125776397515528</v>
      </c>
      <c r="T499" s="13">
        <f t="shared" si="1005"/>
        <v>3.3369214208826693E-2</v>
      </c>
      <c r="U499" s="13">
        <f t="shared" si="522"/>
        <v>7.9208425542726113E-2</v>
      </c>
      <c r="V499" s="13">
        <f t="shared" si="523"/>
        <v>0.28542753914090735</v>
      </c>
      <c r="W499" s="13">
        <f t="shared" si="524"/>
        <v>2.62</v>
      </c>
      <c r="X499" s="13">
        <f t="shared" si="525"/>
        <v>0.38643702906350907</v>
      </c>
      <c r="Y499" s="13">
        <f t="shared" si="526"/>
        <v>3.67741935483871</v>
      </c>
    </row>
    <row r="500" spans="1:25" ht="14.4">
      <c r="A500" s="98" t="s">
        <v>767</v>
      </c>
      <c r="B500" s="99">
        <v>520113</v>
      </c>
      <c r="C500" s="98" t="s">
        <v>180</v>
      </c>
      <c r="D500" s="100" t="s">
        <v>669</v>
      </c>
      <c r="E500" s="11">
        <f ca="1">IFERROR(__xludf.DUMMYFUNCTION("GOOGLEFINANCE(""BOM:""&amp;B500,""PRICE"")"),452.1)</f>
        <v>452.1</v>
      </c>
      <c r="F500" s="20">
        <f ca="1">IFERROR(__xludf.DUMMYFUNCTION("GOOGLEFINANCE(""BOM:""&amp;B500,""MARKETCAP"")/10000000"),9156.5718566)</f>
        <v>9156.5718565999996</v>
      </c>
      <c r="G500" s="95">
        <f t="shared" ca="1" si="541"/>
        <v>2.2727439035306332E-4</v>
      </c>
      <c r="H500" s="101">
        <v>2104</v>
      </c>
      <c r="I500" s="101">
        <v>1869</v>
      </c>
      <c r="J500" s="101">
        <v>264</v>
      </c>
      <c r="K500" s="101">
        <v>264</v>
      </c>
      <c r="L500" s="101">
        <v>551</v>
      </c>
      <c r="M500" s="101">
        <v>509</v>
      </c>
      <c r="N500" s="101">
        <v>80</v>
      </c>
      <c r="O500" s="101">
        <v>60</v>
      </c>
      <c r="P500" s="13">
        <f t="shared" ref="P500:Q500" si="1006">J500/H500</f>
        <v>0.12547528517110265</v>
      </c>
      <c r="Q500" s="13">
        <f t="shared" si="1006"/>
        <v>0.14125200642054575</v>
      </c>
      <c r="R500" s="13">
        <f t="shared" si="520"/>
        <v>-1.5776721249443099E-2</v>
      </c>
      <c r="S500" s="13">
        <f t="shared" ref="S500:T500" si="1007">N500/L500</f>
        <v>0.14519056261343014</v>
      </c>
      <c r="T500" s="13">
        <f t="shared" si="1007"/>
        <v>0.11787819253438114</v>
      </c>
      <c r="U500" s="13">
        <f t="shared" si="522"/>
        <v>2.7312370079048992E-2</v>
      </c>
      <c r="V500" s="13">
        <f t="shared" si="523"/>
        <v>0.12573568753344033</v>
      </c>
      <c r="W500" s="13">
        <f t="shared" si="524"/>
        <v>0</v>
      </c>
      <c r="X500" s="13">
        <f t="shared" si="525"/>
        <v>8.25147347740669E-2</v>
      </c>
      <c r="Y500" s="13">
        <f t="shared" si="526"/>
        <v>0.33333333333333326</v>
      </c>
    </row>
    <row r="501" spans="1:25" ht="14.4">
      <c r="A501" s="98" t="s">
        <v>768</v>
      </c>
      <c r="B501" s="99">
        <v>543427</v>
      </c>
      <c r="C501" s="98" t="s">
        <v>187</v>
      </c>
      <c r="D501" s="100" t="s">
        <v>769</v>
      </c>
      <c r="E501" s="11">
        <f ca="1">IFERROR(__xludf.DUMMYFUNCTION("GOOGLEFINANCE(""BOM:""&amp;B502,""PRICE"")"),832.05)</f>
        <v>832.05</v>
      </c>
      <c r="F501" s="20">
        <f ca="1">IFERROR(__xludf.DUMMYFUNCTION("GOOGLEFINANCE(""BOM:""&amp;B502,""MARKETCAP"")/10000000"),10032.87575)</f>
        <v>10032.875749999999</v>
      </c>
      <c r="G501" s="95">
        <f t="shared" ca="1" si="541"/>
        <v>2.4902504510197423E-4</v>
      </c>
      <c r="H501" s="101">
        <v>5028</v>
      </c>
      <c r="I501" s="101">
        <v>4626</v>
      </c>
      <c r="J501" s="101">
        <v>155</v>
      </c>
      <c r="K501" s="101">
        <v>98</v>
      </c>
      <c r="L501" s="101">
        <v>1806</v>
      </c>
      <c r="M501" s="101">
        <v>1561</v>
      </c>
      <c r="N501" s="101">
        <v>57</v>
      </c>
      <c r="O501" s="101">
        <v>45</v>
      </c>
      <c r="P501" s="13">
        <f t="shared" ref="P501:Q501" si="1008">J501/H501</f>
        <v>3.0827366746221163E-2</v>
      </c>
      <c r="Q501" s="13">
        <f t="shared" si="1008"/>
        <v>2.1184608733246867E-2</v>
      </c>
      <c r="R501" s="13">
        <f t="shared" si="520"/>
        <v>9.6427580129742965E-3</v>
      </c>
      <c r="S501" s="13">
        <f t="shared" ref="S501:T501" si="1009">N501/L501</f>
        <v>3.1561461794019932E-2</v>
      </c>
      <c r="T501" s="13">
        <f t="shared" si="1009"/>
        <v>2.8827674567584883E-2</v>
      </c>
      <c r="U501" s="13">
        <f t="shared" si="522"/>
        <v>2.7337872264350492E-3</v>
      </c>
      <c r="V501" s="13">
        <f t="shared" si="523"/>
        <v>8.6900129701686035E-2</v>
      </c>
      <c r="W501" s="13">
        <f t="shared" si="524"/>
        <v>0.58163265306122458</v>
      </c>
      <c r="X501" s="13">
        <f t="shared" si="525"/>
        <v>0.15695067264573992</v>
      </c>
      <c r="Y501" s="13">
        <f t="shared" si="526"/>
        <v>0.26666666666666661</v>
      </c>
    </row>
    <row r="502" spans="1:25" ht="14.4">
      <c r="A502" s="104" t="s">
        <v>770</v>
      </c>
      <c r="B502" s="99">
        <v>544225</v>
      </c>
      <c r="C502" s="98" t="s">
        <v>187</v>
      </c>
      <c r="D502" s="70" t="s">
        <v>82</v>
      </c>
      <c r="E502" s="11">
        <f ca="1">IFERROR(__xludf.DUMMYFUNCTION("GOOGLEFINANCE(""BOM:""&amp;B503,""PRICE"")"),28.97)</f>
        <v>28.97</v>
      </c>
      <c r="F502" s="20">
        <f ca="1">IFERROR(__xludf.DUMMYFUNCTION("GOOGLEFINANCE(""BOM:""&amp;B503,""MARKETCAP"")/10000000"),12153.1958452)</f>
        <v>12153.1958452</v>
      </c>
      <c r="G502" s="95">
        <f t="shared" ca="1" si="541"/>
        <v>3.0165330647935674E-4</v>
      </c>
      <c r="H502" s="101">
        <v>1988</v>
      </c>
      <c r="I502" s="101">
        <v>3903</v>
      </c>
      <c r="J502" s="101">
        <v>-1333</v>
      </c>
      <c r="K502" s="101">
        <v>-1406</v>
      </c>
      <c r="L502" s="101">
        <v>470</v>
      </c>
      <c r="M502" s="101">
        <v>1045</v>
      </c>
      <c r="N502" s="101">
        <v>-487</v>
      </c>
      <c r="O502" s="101">
        <v>-564</v>
      </c>
      <c r="P502" s="13">
        <f t="shared" ref="P502:Q502" si="1010">J502/H502</f>
        <v>-0.67052313883299797</v>
      </c>
      <c r="Q502" s="13">
        <f t="shared" si="1010"/>
        <v>-0.36023571611580835</v>
      </c>
      <c r="R502" s="13">
        <f t="shared" si="520"/>
        <v>-0.31028742271718962</v>
      </c>
      <c r="S502" s="13">
        <f t="shared" ref="S502:T502" si="1011">N502/L502</f>
        <v>-1.0361702127659576</v>
      </c>
      <c r="T502" s="13">
        <f t="shared" si="1011"/>
        <v>-0.53971291866028703</v>
      </c>
      <c r="U502" s="13">
        <f t="shared" si="522"/>
        <v>-0.49645729410567052</v>
      </c>
      <c r="V502" s="13">
        <f t="shared" si="523"/>
        <v>-0.49064821931847302</v>
      </c>
      <c r="W502" s="13">
        <f t="shared" si="524"/>
        <v>-5.1920341394025571E-2</v>
      </c>
      <c r="X502" s="13">
        <f t="shared" si="525"/>
        <v>-0.55023923444976075</v>
      </c>
      <c r="Y502" s="13">
        <f t="shared" si="526"/>
        <v>-0.13652482269503541</v>
      </c>
    </row>
    <row r="503" spans="1:25" ht="14.4">
      <c r="A503" s="98" t="s">
        <v>771</v>
      </c>
      <c r="B503" s="99">
        <v>532689</v>
      </c>
      <c r="C503" s="98" t="s">
        <v>187</v>
      </c>
      <c r="D503" s="100" t="s">
        <v>772</v>
      </c>
      <c r="E503" s="11">
        <f ca="1">IFERROR(__xludf.DUMMYFUNCTION("GOOGLEFINANCE(""BOM:""&amp;B504,""PRICE"")"),939.55)</f>
        <v>939.55</v>
      </c>
      <c r="F503" s="20">
        <f ca="1">IFERROR(__xludf.DUMMYFUNCTION("GOOGLEFINANCE(""BOM:""&amp;B504,""MARKETCAP"")/10000000"),9254.364)</f>
        <v>9254.3639999999996</v>
      </c>
      <c r="G503" s="95">
        <f t="shared" ca="1" si="541"/>
        <v>2.2970167974920716E-4</v>
      </c>
      <c r="H503" s="101">
        <v>1571</v>
      </c>
      <c r="I503" s="101">
        <v>1530</v>
      </c>
      <c r="J503" s="101">
        <v>146</v>
      </c>
      <c r="K503" s="101">
        <v>-135</v>
      </c>
      <c r="L503" s="101">
        <v>1879</v>
      </c>
      <c r="M503" s="101">
        <v>1717</v>
      </c>
      <c r="N503" s="101">
        <v>95</v>
      </c>
      <c r="O503" s="101">
        <v>35</v>
      </c>
      <c r="P503" s="13">
        <f t="shared" ref="P503:Q503" si="1012">J503/H503</f>
        <v>9.2934436664544873E-2</v>
      </c>
      <c r="Q503" s="13">
        <f t="shared" si="1012"/>
        <v>-8.8235294117647065E-2</v>
      </c>
      <c r="R503" s="13">
        <f t="shared" si="520"/>
        <v>0.18116973078219195</v>
      </c>
      <c r="S503" s="13">
        <f t="shared" ref="S503:T503" si="1013">N503/L503</f>
        <v>5.0558807876530068E-2</v>
      </c>
      <c r="T503" s="13">
        <f t="shared" si="1013"/>
        <v>2.03843913803145E-2</v>
      </c>
      <c r="U503" s="13">
        <f t="shared" si="522"/>
        <v>3.0174416496215568E-2</v>
      </c>
      <c r="V503" s="13">
        <f t="shared" si="523"/>
        <v>2.6797385620914937E-2</v>
      </c>
      <c r="W503" s="13">
        <f t="shared" si="524"/>
        <v>-2.0814814814814815</v>
      </c>
      <c r="X503" s="13">
        <f t="shared" si="525"/>
        <v>9.4350611531741402E-2</v>
      </c>
      <c r="Y503" s="13">
        <f t="shared" si="526"/>
        <v>1.7142857142857144</v>
      </c>
    </row>
    <row r="504" spans="1:25" ht="14.4">
      <c r="A504" s="98" t="s">
        <v>773</v>
      </c>
      <c r="B504" s="99">
        <v>504918</v>
      </c>
      <c r="C504" s="98" t="s">
        <v>91</v>
      </c>
      <c r="D504" s="108" t="s">
        <v>222</v>
      </c>
      <c r="E504" s="11">
        <f ca="1">IFERROR(__xludf.DUMMYFUNCTION("GOOGLEFINANCE(""BOM:""&amp;B505,""PRICE"")"),186.3)</f>
        <v>186.3</v>
      </c>
      <c r="F504" s="20">
        <f ca="1">IFERROR(__xludf.DUMMYFUNCTION("GOOGLEFINANCE(""BOM:""&amp;B505,""MARKETCAP"")/10000000"),9058.0766651)</f>
        <v>9058.0766650999994</v>
      </c>
      <c r="G504" s="95">
        <f t="shared" ca="1" si="541"/>
        <v>2.2482965066757333E-4</v>
      </c>
      <c r="H504" s="101">
        <v>3577</v>
      </c>
      <c r="I504" s="101">
        <v>1813</v>
      </c>
      <c r="J504" s="101">
        <v>420</v>
      </c>
      <c r="K504" s="101">
        <v>313</v>
      </c>
      <c r="L504" s="101">
        <v>1209</v>
      </c>
      <c r="M504" s="101">
        <v>951</v>
      </c>
      <c r="N504" s="101">
        <v>113</v>
      </c>
      <c r="O504" s="101">
        <v>137</v>
      </c>
      <c r="P504" s="13">
        <f t="shared" ref="P504:Q504" si="1014">J504/H504</f>
        <v>0.11741682974559686</v>
      </c>
      <c r="Q504" s="13">
        <f t="shared" si="1014"/>
        <v>0.17264202978488694</v>
      </c>
      <c r="R504" s="13">
        <f t="shared" si="520"/>
        <v>-5.5225200039290073E-2</v>
      </c>
      <c r="S504" s="13">
        <f t="shared" ref="S504:T504" si="1015">N504/L504</f>
        <v>9.3465674110835395E-2</v>
      </c>
      <c r="T504" s="13">
        <f t="shared" si="1015"/>
        <v>0.14405888538380651</v>
      </c>
      <c r="U504" s="13">
        <f t="shared" si="522"/>
        <v>-5.0593211272971117E-2</v>
      </c>
      <c r="V504" s="13">
        <f t="shared" si="523"/>
        <v>0.97297297297297303</v>
      </c>
      <c r="W504" s="13">
        <f t="shared" si="524"/>
        <v>0.34185303514377008</v>
      </c>
      <c r="X504" s="13">
        <f t="shared" si="525"/>
        <v>0.27129337539432186</v>
      </c>
      <c r="Y504" s="13">
        <f t="shared" si="526"/>
        <v>-0.17518248175182483</v>
      </c>
    </row>
    <row r="505" spans="1:25" ht="14.4">
      <c r="A505" s="98" t="s">
        <v>774</v>
      </c>
      <c r="B505" s="99">
        <v>543350</v>
      </c>
      <c r="C505" s="98" t="s">
        <v>190</v>
      </c>
      <c r="D505" s="100" t="s">
        <v>98</v>
      </c>
      <c r="E505" s="11">
        <f ca="1">IFERROR(__xludf.DUMMYFUNCTION("GOOGLEFINANCE(""BOM:""&amp;B506,""PRICE"")"),896.6)</f>
        <v>896.6</v>
      </c>
      <c r="F505" s="20">
        <f ca="1">IFERROR(__xludf.DUMMYFUNCTION("GOOGLEFINANCE(""BOM:""&amp;B506,""MARKETCAP"")/10000000"),9213.3707692)</f>
        <v>9213.3707692000007</v>
      </c>
      <c r="G505" s="95">
        <f t="shared" ca="1" si="541"/>
        <v>2.2868419070586429E-4</v>
      </c>
      <c r="H505" s="101">
        <v>594</v>
      </c>
      <c r="I505" s="101">
        <v>508</v>
      </c>
      <c r="J505" s="101">
        <v>125</v>
      </c>
      <c r="K505" s="101">
        <v>108</v>
      </c>
      <c r="L505" s="101">
        <v>205</v>
      </c>
      <c r="M505" s="101">
        <v>168</v>
      </c>
      <c r="N505" s="101">
        <v>43</v>
      </c>
      <c r="O505" s="101">
        <v>35</v>
      </c>
      <c r="P505" s="13">
        <f t="shared" ref="P505:Q505" si="1016">J505/H505</f>
        <v>0.21043771043771045</v>
      </c>
      <c r="Q505" s="13">
        <f t="shared" si="1016"/>
        <v>0.2125984251968504</v>
      </c>
      <c r="R505" s="13">
        <f t="shared" si="520"/>
        <v>-2.1607147591399534E-3</v>
      </c>
      <c r="S505" s="13">
        <f t="shared" ref="S505:T505" si="1017">N505/L505</f>
        <v>0.2097560975609756</v>
      </c>
      <c r="T505" s="13">
        <f t="shared" si="1017"/>
        <v>0.20833333333333334</v>
      </c>
      <c r="U505" s="13">
        <f t="shared" si="522"/>
        <v>1.4227642276422592E-3</v>
      </c>
      <c r="V505" s="13">
        <f t="shared" si="523"/>
        <v>0.16929133858267709</v>
      </c>
      <c r="W505" s="13">
        <f t="shared" si="524"/>
        <v>0.15740740740740744</v>
      </c>
      <c r="X505" s="13">
        <f t="shared" si="525"/>
        <v>0.22023809523809534</v>
      </c>
      <c r="Y505" s="13">
        <f t="shared" si="526"/>
        <v>0.22857142857142865</v>
      </c>
    </row>
    <row r="506" spans="1:25" ht="14.4">
      <c r="A506" s="98" t="s">
        <v>775</v>
      </c>
      <c r="B506" s="99">
        <v>532527</v>
      </c>
      <c r="C506" s="98" t="s">
        <v>187</v>
      </c>
      <c r="D506" s="70" t="s">
        <v>312</v>
      </c>
      <c r="E506" s="11">
        <f ca="1">IFERROR(__xludf.DUMMYFUNCTION("GOOGLEFINANCE(""BOM:""&amp;B507,""PRICE"")"),502.75)</f>
        <v>502.75</v>
      </c>
      <c r="F506" s="20">
        <f ca="1">IFERROR(__xludf.DUMMYFUNCTION("GOOGLEFINANCE(""BOM:""&amp;B507,""MARKETCAP"")/10000000"),9102.3889742)</f>
        <v>9102.3889741999992</v>
      </c>
      <c r="G506" s="95">
        <f t="shared" ca="1" si="541"/>
        <v>2.259295222345266E-4</v>
      </c>
      <c r="H506" s="101">
        <v>3021</v>
      </c>
      <c r="I506" s="101">
        <v>3086</v>
      </c>
      <c r="J506" s="101">
        <v>15</v>
      </c>
      <c r="K506" s="101">
        <v>215</v>
      </c>
      <c r="L506" s="101">
        <v>1098</v>
      </c>
      <c r="M506" s="101">
        <v>1073</v>
      </c>
      <c r="N506" s="101">
        <v>13</v>
      </c>
      <c r="O506" s="101">
        <v>20</v>
      </c>
      <c r="P506" s="13">
        <f t="shared" ref="P506:Q506" si="1018">J506/H506</f>
        <v>4.9652432969215492E-3</v>
      </c>
      <c r="Q506" s="13">
        <f t="shared" si="1018"/>
        <v>6.9669475048606613E-2</v>
      </c>
      <c r="R506" s="13">
        <f t="shared" si="520"/>
        <v>-6.4704231751685062E-2</v>
      </c>
      <c r="S506" s="13">
        <f t="shared" ref="S506:T506" si="1019">N506/L506</f>
        <v>1.1839708561020037E-2</v>
      </c>
      <c r="T506" s="13">
        <f t="shared" si="1019"/>
        <v>1.8639328984156569E-2</v>
      </c>
      <c r="U506" s="13">
        <f t="shared" si="522"/>
        <v>-6.799620423136532E-3</v>
      </c>
      <c r="V506" s="13">
        <f t="shared" si="523"/>
        <v>-2.106286454957873E-2</v>
      </c>
      <c r="W506" s="13">
        <f t="shared" si="524"/>
        <v>-0.93023255813953487</v>
      </c>
      <c r="X506" s="13">
        <f t="shared" si="525"/>
        <v>2.329916123019582E-2</v>
      </c>
      <c r="Y506" s="13">
        <f t="shared" si="526"/>
        <v>-0.35</v>
      </c>
    </row>
    <row r="507" spans="1:25" ht="14.4">
      <c r="A507" s="98" t="s">
        <v>776</v>
      </c>
      <c r="B507" s="99">
        <v>532175</v>
      </c>
      <c r="C507" s="98" t="s">
        <v>174</v>
      </c>
      <c r="D507" s="70" t="s">
        <v>455</v>
      </c>
      <c r="E507" s="11">
        <f ca="1">IFERROR(__xludf.DUMMYFUNCTION("GOOGLEFINANCE(""BOM:""&amp;B508,""PRICE"")"),812.1)</f>
        <v>812.1</v>
      </c>
      <c r="F507" s="20">
        <f ca="1">IFERROR(__xludf.DUMMYFUNCTION("GOOGLEFINANCE(""BOM:""&amp;B508,""MARKETCAP"")/10000000"),8969.4417201)</f>
        <v>8969.4417200999997</v>
      </c>
      <c r="G507" s="95">
        <f t="shared" ca="1" si="541"/>
        <v>2.2262965121315609E-4</v>
      </c>
      <c r="H507" s="101">
        <v>5341</v>
      </c>
      <c r="I507" s="101">
        <v>5451</v>
      </c>
      <c r="J507" s="101">
        <v>397</v>
      </c>
      <c r="K507" s="101">
        <v>461</v>
      </c>
      <c r="L507" s="101">
        <v>1848</v>
      </c>
      <c r="M507" s="101">
        <v>1926</v>
      </c>
      <c r="N507" s="101">
        <v>97</v>
      </c>
      <c r="O507" s="101">
        <v>127</v>
      </c>
      <c r="P507" s="13">
        <f t="shared" ref="P507:Q507" si="1020">J507/H507</f>
        <v>7.4330649691069089E-2</v>
      </c>
      <c r="Q507" s="13">
        <f t="shared" si="1020"/>
        <v>8.4571638231517157E-2</v>
      </c>
      <c r="R507" s="13">
        <f t="shared" si="520"/>
        <v>-1.0240988540448068E-2</v>
      </c>
      <c r="S507" s="13">
        <f t="shared" ref="S507:T507" si="1021">N507/L507</f>
        <v>5.2489177489177488E-2</v>
      </c>
      <c r="T507" s="13">
        <f t="shared" si="1021"/>
        <v>6.5939771547248185E-2</v>
      </c>
      <c r="U507" s="13">
        <f t="shared" si="522"/>
        <v>-1.3450594058070697E-2</v>
      </c>
      <c r="V507" s="13">
        <f t="shared" si="523"/>
        <v>-2.0179783525958506E-2</v>
      </c>
      <c r="W507" s="13">
        <f t="shared" si="524"/>
        <v>-0.13882863340563989</v>
      </c>
      <c r="X507" s="13">
        <f t="shared" si="525"/>
        <v>-4.0498442367601251E-2</v>
      </c>
      <c r="Y507" s="13">
        <f t="shared" si="526"/>
        <v>-0.23622047244094491</v>
      </c>
    </row>
    <row r="508" spans="1:25" ht="14.4">
      <c r="A508" s="98" t="s">
        <v>777</v>
      </c>
      <c r="B508" s="99">
        <v>532627</v>
      </c>
      <c r="C508" s="98" t="s">
        <v>198</v>
      </c>
      <c r="D508" s="100" t="s">
        <v>199</v>
      </c>
      <c r="E508" s="11">
        <f ca="1">IFERROR(__xludf.DUMMYFUNCTION("GOOGLEFINANCE(""BOM:""&amp;B509,""PRICE"")"),15.21)</f>
        <v>15.21</v>
      </c>
      <c r="F508" s="20">
        <f ca="1">IFERROR(__xludf.DUMMYFUNCTION("GOOGLEFINANCE(""BOM:""&amp;B509,""MARKETCAP"")/10000000"),10437.8146972)</f>
        <v>10437.8146972</v>
      </c>
      <c r="G508" s="95">
        <f t="shared" ca="1" si="541"/>
        <v>2.5907599580671372E-4</v>
      </c>
      <c r="H508" s="101">
        <v>4177</v>
      </c>
      <c r="I508" s="101">
        <v>4121</v>
      </c>
      <c r="J508" s="101">
        <v>464</v>
      </c>
      <c r="K508" s="101">
        <v>657</v>
      </c>
      <c r="L508" s="101">
        <v>1155</v>
      </c>
      <c r="M508" s="101">
        <v>1140</v>
      </c>
      <c r="N508" s="101">
        <v>3</v>
      </c>
      <c r="O508" s="101">
        <v>126</v>
      </c>
      <c r="P508" s="13">
        <f t="shared" ref="P508:Q508" si="1022">J508/H508</f>
        <v>0.11108451041417285</v>
      </c>
      <c r="Q508" s="13">
        <f t="shared" si="1022"/>
        <v>0.15942732346517835</v>
      </c>
      <c r="R508" s="13">
        <f t="shared" si="520"/>
        <v>-4.8342813051005504E-2</v>
      </c>
      <c r="S508" s="13">
        <f t="shared" ref="S508:T508" si="1023">N508/L508</f>
        <v>2.5974025974025974E-3</v>
      </c>
      <c r="T508" s="13">
        <f t="shared" si="1023"/>
        <v>0.11052631578947368</v>
      </c>
      <c r="U508" s="13">
        <f t="shared" si="522"/>
        <v>-0.10792891319207108</v>
      </c>
      <c r="V508" s="13">
        <f t="shared" si="523"/>
        <v>1.3588934724581447E-2</v>
      </c>
      <c r="W508" s="13">
        <f t="shared" si="524"/>
        <v>-0.29375951293759517</v>
      </c>
      <c r="X508" s="13">
        <f t="shared" si="525"/>
        <v>1.3157894736842035E-2</v>
      </c>
      <c r="Y508" s="13">
        <f t="shared" si="526"/>
        <v>-0.97619047619047616</v>
      </c>
    </row>
    <row r="509" spans="1:25" ht="14.4">
      <c r="A509" s="98" t="s">
        <v>778</v>
      </c>
      <c r="B509" s="99">
        <v>541556</v>
      </c>
      <c r="C509" s="98" t="s">
        <v>180</v>
      </c>
      <c r="D509" s="100" t="s">
        <v>181</v>
      </c>
      <c r="E509" s="11">
        <f ca="1">IFERROR(__xludf.DUMMYFUNCTION("GOOGLEFINANCE(""BOM:""&amp;B510,""PRICE"")"),190.75)</f>
        <v>190.75</v>
      </c>
      <c r="F509" s="20">
        <f ca="1">IFERROR(__xludf.DUMMYFUNCTION("GOOGLEFINANCE(""BOM:""&amp;B510,""MARKETCAP"")/10000000"),9151.453445)</f>
        <v>9151.4534449999992</v>
      </c>
      <c r="G509" s="95">
        <f t="shared" ca="1" si="541"/>
        <v>2.2714734675048103E-4</v>
      </c>
      <c r="H509" s="101">
        <v>1647</v>
      </c>
      <c r="I509" s="101">
        <v>1602</v>
      </c>
      <c r="J509" s="101">
        <v>315</v>
      </c>
      <c r="K509" s="101">
        <v>282</v>
      </c>
      <c r="L509" s="101">
        <v>609</v>
      </c>
      <c r="M509" s="101">
        <v>576</v>
      </c>
      <c r="N509" s="101">
        <v>115</v>
      </c>
      <c r="O509" s="101">
        <v>109</v>
      </c>
      <c r="P509" s="13">
        <f t="shared" ref="P509:Q509" si="1024">J509/H509</f>
        <v>0.19125683060109289</v>
      </c>
      <c r="Q509" s="13">
        <f t="shared" si="1024"/>
        <v>0.17602996254681649</v>
      </c>
      <c r="R509" s="13">
        <f t="shared" si="520"/>
        <v>1.5226868054276393E-2</v>
      </c>
      <c r="S509" s="13">
        <f t="shared" ref="S509:T509" si="1025">N509/L509</f>
        <v>0.18883415435139572</v>
      </c>
      <c r="T509" s="13">
        <f t="shared" si="1025"/>
        <v>0.1892361111111111</v>
      </c>
      <c r="U509" s="13">
        <f t="shared" si="522"/>
        <v>-4.0195675971538281E-4</v>
      </c>
      <c r="V509" s="13">
        <f t="shared" si="523"/>
        <v>2.8089887640449396E-2</v>
      </c>
      <c r="W509" s="13">
        <f t="shared" si="524"/>
        <v>0.11702127659574457</v>
      </c>
      <c r="X509" s="13">
        <f t="shared" si="525"/>
        <v>5.7291666666666741E-2</v>
      </c>
      <c r="Y509" s="13">
        <f t="shared" si="526"/>
        <v>5.504587155963292E-2</v>
      </c>
    </row>
    <row r="510" spans="1:25" ht="14.4">
      <c r="A510" s="98" t="s">
        <v>779</v>
      </c>
      <c r="B510" s="99">
        <v>500043</v>
      </c>
      <c r="C510" s="98" t="s">
        <v>187</v>
      </c>
      <c r="D510" s="102" t="s">
        <v>506</v>
      </c>
      <c r="E510" s="11">
        <f ca="1">IFERROR(__xludf.DUMMYFUNCTION("GOOGLEFINANCE(""BOM:""&amp;B511,""PRICE"")"),665.75)</f>
        <v>665.75</v>
      </c>
      <c r="F510" s="20">
        <f ca="1">IFERROR(__xludf.DUMMYFUNCTION("GOOGLEFINANCE(""BOM:""&amp;B511,""MARKETCAP"")/10000000"),8549.77865)</f>
        <v>8549.7786500000002</v>
      </c>
      <c r="G510" s="95">
        <f t="shared" ca="1" si="541"/>
        <v>2.1221323446850686E-4</v>
      </c>
      <c r="H510" s="101">
        <v>2687</v>
      </c>
      <c r="I510" s="101">
        <v>2700</v>
      </c>
      <c r="J510" s="101">
        <v>131</v>
      </c>
      <c r="K510" s="101">
        <v>284</v>
      </c>
      <c r="L510" s="101">
        <v>944</v>
      </c>
      <c r="M510" s="101">
        <v>918</v>
      </c>
      <c r="N510" s="101">
        <v>66</v>
      </c>
      <c r="O510" s="101">
        <v>58</v>
      </c>
      <c r="P510" s="13">
        <f t="shared" ref="P510:Q510" si="1026">J510/H510</f>
        <v>4.8753256419799031E-2</v>
      </c>
      <c r="Q510" s="13">
        <f t="shared" si="1026"/>
        <v>0.10518518518518519</v>
      </c>
      <c r="R510" s="13">
        <f t="shared" si="520"/>
        <v>-5.6431928765386156E-2</v>
      </c>
      <c r="S510" s="13">
        <f t="shared" ref="S510:T510" si="1027">N510/L510</f>
        <v>6.991525423728813E-2</v>
      </c>
      <c r="T510" s="13">
        <f t="shared" si="1027"/>
        <v>6.3180827886710242E-2</v>
      </c>
      <c r="U510" s="13">
        <f t="shared" si="522"/>
        <v>6.7344263505778879E-3</v>
      </c>
      <c r="V510" s="13">
        <f t="shared" si="523"/>
        <v>-4.8148148148148273E-3</v>
      </c>
      <c r="W510" s="13">
        <f t="shared" si="524"/>
        <v>-0.53873239436619724</v>
      </c>
      <c r="X510" s="13">
        <f t="shared" si="525"/>
        <v>2.8322440087146017E-2</v>
      </c>
      <c r="Y510" s="13">
        <f t="shared" si="526"/>
        <v>0.13793103448275867</v>
      </c>
    </row>
    <row r="511" spans="1:25" ht="14.4">
      <c r="A511" s="98" t="s">
        <v>780</v>
      </c>
      <c r="B511" s="99">
        <v>542773</v>
      </c>
      <c r="C511" s="98" t="s">
        <v>172</v>
      </c>
      <c r="D511" s="100" t="s">
        <v>436</v>
      </c>
      <c r="E511" s="11">
        <f ca="1">IFERROR(__xludf.DUMMYFUNCTION("GOOGLEFINANCE(""BOM:""&amp;B512,""PRICE"")"),263.65)</f>
        <v>263.64999999999998</v>
      </c>
      <c r="F511" s="20">
        <f ca="1">IFERROR(__xludf.DUMMYFUNCTION("GOOGLEFINANCE(""BOM:""&amp;B512,""MARKETCAP"")/10000000"),8203.1898079)</f>
        <v>8203.1898079000002</v>
      </c>
      <c r="G511" s="95">
        <f t="shared" ca="1" si="541"/>
        <v>2.0361058611658307E-4</v>
      </c>
      <c r="H511" s="101">
        <v>1775</v>
      </c>
      <c r="I511" s="101">
        <v>1867</v>
      </c>
      <c r="J511" s="101">
        <v>448</v>
      </c>
      <c r="K511" s="101">
        <v>584</v>
      </c>
      <c r="L511" s="101">
        <v>586</v>
      </c>
      <c r="M511" s="101">
        <v>582</v>
      </c>
      <c r="N511" s="101">
        <v>187</v>
      </c>
      <c r="O511" s="101">
        <v>197</v>
      </c>
      <c r="P511" s="13">
        <f t="shared" ref="P511:Q511" si="1028">J511/H511</f>
        <v>0.25239436619718308</v>
      </c>
      <c r="Q511" s="13">
        <f t="shared" si="1028"/>
        <v>0.31280128548473485</v>
      </c>
      <c r="R511" s="13">
        <f t="shared" si="520"/>
        <v>-6.0406919287551764E-2</v>
      </c>
      <c r="S511" s="13">
        <f t="shared" ref="S511:T511" si="1029">N511/L511</f>
        <v>0.3191126279863481</v>
      </c>
      <c r="T511" s="13">
        <f t="shared" si="1029"/>
        <v>0.33848797250859108</v>
      </c>
      <c r="U511" s="13">
        <f t="shared" si="522"/>
        <v>-1.9375344522242988E-2</v>
      </c>
      <c r="V511" s="13">
        <f t="shared" si="523"/>
        <v>-4.9276914836636321E-2</v>
      </c>
      <c r="W511" s="13">
        <f t="shared" si="524"/>
        <v>-0.23287671232876717</v>
      </c>
      <c r="X511" s="13">
        <f t="shared" si="525"/>
        <v>6.8728522336769515E-3</v>
      </c>
      <c r="Y511" s="13">
        <f t="shared" si="526"/>
        <v>-5.0761421319796995E-2</v>
      </c>
    </row>
    <row r="512" spans="1:25" ht="14.4">
      <c r="A512" s="98" t="s">
        <v>781</v>
      </c>
      <c r="B512" s="99">
        <v>541988</v>
      </c>
      <c r="C512" s="98" t="s">
        <v>172</v>
      </c>
      <c r="D512" s="100" t="s">
        <v>80</v>
      </c>
      <c r="E512" s="11">
        <f ca="1">IFERROR(__xludf.DUMMYFUNCTION("GOOGLEFINANCE(""BOM:""&amp;B513,""PRICE"")"),1152.7)</f>
        <v>1152.7</v>
      </c>
      <c r="F512" s="20">
        <f ca="1">IFERROR(__xludf.DUMMYFUNCTION("GOOGLEFINANCE(""BOM:""&amp;B513,""MARKETCAP"")/10000000"),9130.9927786)</f>
        <v>9130.9927786000007</v>
      </c>
      <c r="G512" s="95">
        <f t="shared" ca="1" si="541"/>
        <v>2.266394945154849E-4</v>
      </c>
      <c r="H512" s="101">
        <v>1970</v>
      </c>
      <c r="I512" s="101">
        <v>1720</v>
      </c>
      <c r="J512" s="101">
        <v>473</v>
      </c>
      <c r="K512" s="101">
        <v>420</v>
      </c>
      <c r="L512" s="101">
        <v>674</v>
      </c>
      <c r="M512" s="101">
        <v>597</v>
      </c>
      <c r="N512" s="101">
        <v>170</v>
      </c>
      <c r="O512" s="101">
        <v>146</v>
      </c>
      <c r="P512" s="13">
        <f t="shared" ref="P512:Q512" si="1030">J512/H512</f>
        <v>0.24010152284263958</v>
      </c>
      <c r="Q512" s="13">
        <f t="shared" si="1030"/>
        <v>0.2441860465116279</v>
      </c>
      <c r="R512" s="13">
        <f t="shared" si="520"/>
        <v>-4.0845236689883158E-3</v>
      </c>
      <c r="S512" s="13">
        <f t="shared" ref="S512:T512" si="1031">N512/L512</f>
        <v>0.25222551928783382</v>
      </c>
      <c r="T512" s="13">
        <f t="shared" si="1031"/>
        <v>0.24455611390284757</v>
      </c>
      <c r="U512" s="13">
        <f t="shared" si="522"/>
        <v>7.6694053849862553E-3</v>
      </c>
      <c r="V512" s="13">
        <f t="shared" si="523"/>
        <v>0.14534883720930236</v>
      </c>
      <c r="W512" s="13">
        <f t="shared" si="524"/>
        <v>0.12619047619047619</v>
      </c>
      <c r="X512" s="13">
        <f t="shared" si="525"/>
        <v>0.12897822445561147</v>
      </c>
      <c r="Y512" s="13">
        <f t="shared" si="526"/>
        <v>0.16438356164383561</v>
      </c>
    </row>
    <row r="513" spans="1:25" ht="14.4">
      <c r="A513" s="98" t="s">
        <v>782</v>
      </c>
      <c r="B513" s="99">
        <v>509496</v>
      </c>
      <c r="C513" s="98" t="s">
        <v>180</v>
      </c>
      <c r="D513" s="100" t="s">
        <v>181</v>
      </c>
      <c r="E513" s="11">
        <f ca="1">IFERROR(__xludf.DUMMYFUNCTION("GOOGLEFINANCE(""BOM:""&amp;B514,""PRICE"")"),554.25)</f>
        <v>554.25</v>
      </c>
      <c r="F513" s="20">
        <f ca="1">IFERROR(__xludf.DUMMYFUNCTION("GOOGLEFINANCE(""BOM:""&amp;B514,""MARKETCAP"")/10000000"),9516.1687722)</f>
        <v>9516.1687722000006</v>
      </c>
      <c r="G513" s="95">
        <f t="shared" ca="1" si="541"/>
        <v>2.361999108476056E-4</v>
      </c>
      <c r="H513" s="101">
        <v>7087</v>
      </c>
      <c r="I513" s="101">
        <v>6714</v>
      </c>
      <c r="J513" s="101">
        <v>356</v>
      </c>
      <c r="K513" s="101">
        <v>259</v>
      </c>
      <c r="L513" s="101">
        <v>2315</v>
      </c>
      <c r="M513" s="101">
        <v>2270</v>
      </c>
      <c r="N513" s="101">
        <v>111</v>
      </c>
      <c r="O513" s="101">
        <v>87</v>
      </c>
      <c r="P513" s="13">
        <f t="shared" ref="P513:Q513" si="1032">J513/H513</f>
        <v>5.0232820657541977E-2</v>
      </c>
      <c r="Q513" s="13">
        <f t="shared" si="1032"/>
        <v>3.8576109621686026E-2</v>
      </c>
      <c r="R513" s="13">
        <f t="shared" si="520"/>
        <v>1.165671103585595E-2</v>
      </c>
      <c r="S513" s="13">
        <f t="shared" ref="S513:T513" si="1033">N513/L513</f>
        <v>4.7948164146868248E-2</v>
      </c>
      <c r="T513" s="13">
        <f t="shared" si="1033"/>
        <v>3.8325991189427311E-2</v>
      </c>
      <c r="U513" s="13">
        <f t="shared" si="522"/>
        <v>9.6221729574409373E-3</v>
      </c>
      <c r="V513" s="13">
        <f t="shared" si="523"/>
        <v>5.555555555555558E-2</v>
      </c>
      <c r="W513" s="13">
        <f t="shared" si="524"/>
        <v>0.37451737451737444</v>
      </c>
      <c r="X513" s="13">
        <f t="shared" si="525"/>
        <v>1.982378854625555E-2</v>
      </c>
      <c r="Y513" s="13">
        <f t="shared" si="526"/>
        <v>0.27586206896551735</v>
      </c>
    </row>
    <row r="514" spans="1:25" ht="14.4">
      <c r="A514" s="98" t="s">
        <v>783</v>
      </c>
      <c r="B514" s="99">
        <v>542650</v>
      </c>
      <c r="C514" s="98" t="s">
        <v>190</v>
      </c>
      <c r="D514" s="102" t="s">
        <v>98</v>
      </c>
      <c r="E514" s="11">
        <f ca="1">IFERROR(__xludf.DUMMYFUNCTION("GOOGLEFINANCE(""BOM:""&amp;B515,""PRICE"")"),428.3)</f>
        <v>428.3</v>
      </c>
      <c r="F514" s="20">
        <f ca="1">IFERROR(__xludf.DUMMYFUNCTION("GOOGLEFINANCE(""BOM:""&amp;B515,""MARKETCAP"")/10000000"),8879.8451379)</f>
        <v>8879.8451378999998</v>
      </c>
      <c r="G514" s="95">
        <f t="shared" ca="1" si="541"/>
        <v>2.2040578305418507E-4</v>
      </c>
      <c r="H514" s="101">
        <v>1221</v>
      </c>
      <c r="I514" s="101">
        <v>985</v>
      </c>
      <c r="J514" s="101">
        <v>140</v>
      </c>
      <c r="K514" s="101">
        <v>116</v>
      </c>
      <c r="L514" s="101">
        <v>405</v>
      </c>
      <c r="M514" s="101">
        <v>322</v>
      </c>
      <c r="N514" s="101">
        <v>42</v>
      </c>
      <c r="O514" s="101">
        <v>31</v>
      </c>
      <c r="P514" s="13">
        <f t="shared" ref="P514:Q514" si="1034">J514/H514</f>
        <v>0.11466011466011466</v>
      </c>
      <c r="Q514" s="13">
        <f t="shared" si="1034"/>
        <v>0.11776649746192894</v>
      </c>
      <c r="R514" s="13">
        <f t="shared" ref="R514:R768" si="1035">P514-Q514</f>
        <v>-3.1063828018142725E-3</v>
      </c>
      <c r="S514" s="13">
        <f t="shared" ref="S514:T514" si="1036">N514/L514</f>
        <v>0.1037037037037037</v>
      </c>
      <c r="T514" s="13">
        <f t="shared" si="1036"/>
        <v>9.627329192546584E-2</v>
      </c>
      <c r="U514" s="13">
        <f t="shared" ref="U514:U768" si="1037">S514-T514</f>
        <v>7.4304117782378609E-3</v>
      </c>
      <c r="V514" s="13">
        <f t="shared" ref="V514:V768" si="1038">(H514/I514)-1</f>
        <v>0.23959390862944163</v>
      </c>
      <c r="W514" s="13">
        <f t="shared" ref="W514:W768" si="1039">(J514/K514)-1</f>
        <v>0.2068965517241379</v>
      </c>
      <c r="X514" s="13">
        <f t="shared" ref="X514:X768" si="1040">(L514/M514)-1</f>
        <v>0.2577639751552796</v>
      </c>
      <c r="Y514" s="13">
        <f t="shared" ref="Y514:Y768" si="1041">(N514/O514)-1</f>
        <v>0.35483870967741926</v>
      </c>
    </row>
    <row r="515" spans="1:25" ht="14.4">
      <c r="A515" s="98" t="s">
        <v>784</v>
      </c>
      <c r="B515" s="99">
        <v>543280</v>
      </c>
      <c r="C515" s="98" t="s">
        <v>187</v>
      </c>
      <c r="D515" s="101" t="s">
        <v>785</v>
      </c>
      <c r="E515" s="11">
        <f ca="1">IFERROR(__xludf.DUMMYFUNCTION("GOOGLEFINANCE(""BOM:""&amp;B516,""PRICE"")"),232.15)</f>
        <v>232.15</v>
      </c>
      <c r="F515" s="20">
        <f ca="1">IFERROR(__xludf.DUMMYFUNCTION("GOOGLEFINANCE(""BOM:""&amp;B516,""MARKETCAP"")/10000000"),8591.9316331)</f>
        <v>8591.9316331000009</v>
      </c>
      <c r="G515" s="95">
        <f t="shared" ca="1" si="541"/>
        <v>2.1325950961226714E-4</v>
      </c>
      <c r="H515" s="101">
        <v>1431</v>
      </c>
      <c r="I515" s="101">
        <v>1103</v>
      </c>
      <c r="J515" s="101">
        <v>26</v>
      </c>
      <c r="K515" s="101">
        <v>53</v>
      </c>
      <c r="L515" s="101">
        <v>405</v>
      </c>
      <c r="M515" s="101">
        <v>534</v>
      </c>
      <c r="N515" s="101">
        <v>8</v>
      </c>
      <c r="O515" s="101">
        <v>13</v>
      </c>
      <c r="P515" s="13">
        <f t="shared" ref="P515:Q515" si="1042">J515/H515</f>
        <v>1.8169112508735149E-2</v>
      </c>
      <c r="Q515" s="13">
        <f t="shared" si="1042"/>
        <v>4.805077062556664E-2</v>
      </c>
      <c r="R515" s="13">
        <f t="shared" si="1035"/>
        <v>-2.9881658116831491E-2</v>
      </c>
      <c r="S515" s="13">
        <f t="shared" ref="S515:T515" si="1043">N515/L515</f>
        <v>1.9753086419753086E-2</v>
      </c>
      <c r="T515" s="13">
        <f t="shared" si="1043"/>
        <v>2.4344569288389514E-2</v>
      </c>
      <c r="U515" s="13">
        <f t="shared" si="1037"/>
        <v>-4.5914828686364276E-3</v>
      </c>
      <c r="V515" s="13">
        <f t="shared" si="1038"/>
        <v>0.29737080689029916</v>
      </c>
      <c r="W515" s="13">
        <f t="shared" si="1039"/>
        <v>-0.50943396226415094</v>
      </c>
      <c r="X515" s="13">
        <f t="shared" si="1040"/>
        <v>-0.2415730337078652</v>
      </c>
      <c r="Y515" s="13">
        <f t="shared" si="1041"/>
        <v>-0.38461538461538458</v>
      </c>
    </row>
    <row r="516" spans="1:25" ht="14.4">
      <c r="A516" s="98" t="s">
        <v>786</v>
      </c>
      <c r="B516" s="99">
        <v>544014</v>
      </c>
      <c r="C516" s="98" t="s">
        <v>183</v>
      </c>
      <c r="D516" s="101" t="s">
        <v>282</v>
      </c>
      <c r="E516" s="11">
        <f ca="1">IFERROR(__xludf.DUMMYFUNCTION("GOOGLEFINANCE(""BOM:""&amp;B517,""PRICE"")"),307.25)</f>
        <v>307.25</v>
      </c>
      <c r="F516" s="20">
        <f ca="1">IFERROR(__xludf.DUMMYFUNCTION("GOOGLEFINANCE(""BOM:""&amp;B517,""MARKETCAP"")/10000000"),9965.8411725)</f>
        <v>9965.8411725000005</v>
      </c>
      <c r="G516" s="95">
        <f t="shared" ca="1" si="541"/>
        <v>2.4736118629406175E-4</v>
      </c>
      <c r="H516" s="101">
        <v>1734</v>
      </c>
      <c r="I516" s="101">
        <v>1533</v>
      </c>
      <c r="J516" s="101">
        <v>130</v>
      </c>
      <c r="K516" s="101">
        <v>47</v>
      </c>
      <c r="L516" s="101">
        <v>601</v>
      </c>
      <c r="M516" s="101">
        <v>517</v>
      </c>
      <c r="N516" s="101">
        <v>50</v>
      </c>
      <c r="O516" s="101">
        <v>26</v>
      </c>
      <c r="P516" s="13">
        <f t="shared" ref="P516:Q516" si="1044">J516/H516</f>
        <v>7.4971164936562862E-2</v>
      </c>
      <c r="Q516" s="13">
        <f t="shared" si="1044"/>
        <v>3.0658838878016959E-2</v>
      </c>
      <c r="R516" s="13">
        <f t="shared" si="1035"/>
        <v>4.4312326058545903E-2</v>
      </c>
      <c r="S516" s="13">
        <f t="shared" ref="S516:T516" si="1045">N516/L516</f>
        <v>8.3194675540765387E-2</v>
      </c>
      <c r="T516" s="13">
        <f t="shared" si="1045"/>
        <v>5.0290135396518373E-2</v>
      </c>
      <c r="U516" s="13">
        <f t="shared" si="1037"/>
        <v>3.2904540144247013E-2</v>
      </c>
      <c r="V516" s="13">
        <f t="shared" si="1038"/>
        <v>0.13111545988258322</v>
      </c>
      <c r="W516" s="13">
        <f t="shared" si="1039"/>
        <v>1.7659574468085109</v>
      </c>
      <c r="X516" s="13">
        <f t="shared" si="1040"/>
        <v>0.16247582205029021</v>
      </c>
      <c r="Y516" s="13">
        <f t="shared" si="1041"/>
        <v>0.92307692307692313</v>
      </c>
    </row>
    <row r="517" spans="1:25" ht="14.4">
      <c r="A517" s="98" t="s">
        <v>787</v>
      </c>
      <c r="B517" s="99">
        <v>543527</v>
      </c>
      <c r="C517" s="98" t="s">
        <v>172</v>
      </c>
      <c r="D517" s="101" t="s">
        <v>518</v>
      </c>
      <c r="E517" s="11">
        <f ca="1">IFERROR(__xludf.DUMMYFUNCTION("GOOGLEFINANCE(""BOM:""&amp;B518,""PRICE"")"),2247.05)</f>
        <v>2247.0500000000002</v>
      </c>
      <c r="F517" s="20">
        <f ca="1">IFERROR(__xludf.DUMMYFUNCTION("GOOGLEFINANCE(""BOM:""&amp;B518,""MARKETCAP"")/10000000"),9303.6665248)</f>
        <v>9303.6665248000008</v>
      </c>
      <c r="G517" s="95">
        <f t="shared" ca="1" si="541"/>
        <v>2.3092541298062503E-4</v>
      </c>
      <c r="H517" s="101">
        <v>935</v>
      </c>
      <c r="I517" s="101">
        <v>746</v>
      </c>
      <c r="J517" s="101">
        <v>155</v>
      </c>
      <c r="K517" s="101">
        <v>120</v>
      </c>
      <c r="L517" s="101">
        <v>339</v>
      </c>
      <c r="M517" s="101">
        <v>260</v>
      </c>
      <c r="N517" s="101">
        <v>55</v>
      </c>
      <c r="O517" s="101">
        <v>40</v>
      </c>
      <c r="P517" s="13">
        <f t="shared" ref="P517:Q517" si="1046">J517/H517</f>
        <v>0.16577540106951871</v>
      </c>
      <c r="Q517" s="13">
        <f t="shared" si="1046"/>
        <v>0.16085790884718498</v>
      </c>
      <c r="R517" s="13">
        <f t="shared" si="1035"/>
        <v>4.9174922223337303E-3</v>
      </c>
      <c r="S517" s="13">
        <f t="shared" ref="S517:T517" si="1047">N517/L517</f>
        <v>0.16224188790560473</v>
      </c>
      <c r="T517" s="13">
        <f t="shared" si="1047"/>
        <v>0.15384615384615385</v>
      </c>
      <c r="U517" s="13">
        <f t="shared" si="1037"/>
        <v>8.3957340594508767E-3</v>
      </c>
      <c r="V517" s="13">
        <f t="shared" si="1038"/>
        <v>0.25335120643431641</v>
      </c>
      <c r="W517" s="13">
        <f t="shared" si="1039"/>
        <v>0.29166666666666674</v>
      </c>
      <c r="X517" s="13">
        <f t="shared" si="1040"/>
        <v>0.30384615384615388</v>
      </c>
      <c r="Y517" s="13">
        <f t="shared" si="1041"/>
        <v>0.375</v>
      </c>
    </row>
    <row r="518" spans="1:25" ht="14.4">
      <c r="A518" s="98" t="s">
        <v>788</v>
      </c>
      <c r="B518" s="99">
        <v>532939</v>
      </c>
      <c r="C518" s="98" t="s">
        <v>198</v>
      </c>
      <c r="D518" s="102" t="s">
        <v>199</v>
      </c>
      <c r="E518" s="11">
        <f ca="1">IFERROR(__xludf.DUMMYFUNCTION("GOOGLEFINANCE(""BOM:""&amp;B519,""PRICE"")"),23.36)</f>
        <v>23.36</v>
      </c>
      <c r="F518" s="20">
        <f ca="1">IFERROR(__xludf.DUMMYFUNCTION("GOOGLEFINANCE(""BOM:""&amp;B519,""MARKETCAP"")/10000000"),9661.1589724)</f>
        <v>9661.1589724000005</v>
      </c>
      <c r="G518" s="95">
        <f t="shared" ca="1" si="541"/>
        <v>2.3979869867712188E-4</v>
      </c>
      <c r="H518" s="101">
        <v>5732</v>
      </c>
      <c r="I518" s="101">
        <v>5604</v>
      </c>
      <c r="J518" s="101">
        <v>157</v>
      </c>
      <c r="K518" s="101">
        <v>2822</v>
      </c>
      <c r="L518" s="101">
        <v>1872</v>
      </c>
      <c r="M518" s="101">
        <v>1852</v>
      </c>
      <c r="N518" s="101">
        <v>25</v>
      </c>
      <c r="O518" s="101">
        <v>41</v>
      </c>
      <c r="P518" s="13">
        <f t="shared" ref="P518:Q518" si="1048">J518/H518</f>
        <v>2.7390090718771808E-2</v>
      </c>
      <c r="Q518" s="13">
        <f t="shared" si="1048"/>
        <v>0.50356887937187722</v>
      </c>
      <c r="R518" s="13">
        <f t="shared" si="1035"/>
        <v>-0.47617878865310542</v>
      </c>
      <c r="S518" s="13">
        <f t="shared" ref="S518:T518" si="1049">N518/L518</f>
        <v>1.3354700854700854E-2</v>
      </c>
      <c r="T518" s="13">
        <f t="shared" si="1049"/>
        <v>2.2138228941684664E-2</v>
      </c>
      <c r="U518" s="13">
        <f t="shared" si="1037"/>
        <v>-8.7835280869838096E-3</v>
      </c>
      <c r="V518" s="13">
        <f t="shared" si="1038"/>
        <v>2.28408279800143E-2</v>
      </c>
      <c r="W518" s="13">
        <f t="shared" si="1039"/>
        <v>-0.94436569808646353</v>
      </c>
      <c r="X518" s="13">
        <f t="shared" si="1040"/>
        <v>1.0799136069114423E-2</v>
      </c>
      <c r="Y518" s="13">
        <f t="shared" si="1041"/>
        <v>-0.3902439024390244</v>
      </c>
    </row>
    <row r="519" spans="1:25" ht="14.4">
      <c r="A519" s="98" t="s">
        <v>789</v>
      </c>
      <c r="B519" s="99">
        <v>543265</v>
      </c>
      <c r="C519" s="98" t="s">
        <v>170</v>
      </c>
      <c r="D519" s="101" t="s">
        <v>790</v>
      </c>
      <c r="E519" s="11">
        <f ca="1">IFERROR(__xludf.DUMMYFUNCTION("GOOGLEFINANCE(""BOM:""&amp;B520,""PRICE"")"),264.35)</f>
        <v>264.35000000000002</v>
      </c>
      <c r="F519" s="20">
        <f ca="1">IFERROR(__xludf.DUMMYFUNCTION("GOOGLEFINANCE(""BOM:""&amp;B520,""MARKETCAP"")/10000000"),8491.709008)</f>
        <v>8491.7090079999998</v>
      </c>
      <c r="G519" s="95">
        <f t="shared" ca="1" si="541"/>
        <v>2.1077189346335132E-4</v>
      </c>
      <c r="H519" s="101">
        <v>2647</v>
      </c>
      <c r="I519" s="101">
        <v>2222</v>
      </c>
      <c r="J519" s="101">
        <v>204</v>
      </c>
      <c r="K519" s="101">
        <v>186</v>
      </c>
      <c r="L519" s="101">
        <v>913</v>
      </c>
      <c r="M519" s="101">
        <v>767</v>
      </c>
      <c r="N519" s="101">
        <v>62</v>
      </c>
      <c r="O519" s="101">
        <v>65</v>
      </c>
      <c r="P519" s="13">
        <f t="shared" ref="P519:Q519" si="1050">J519/H519</f>
        <v>7.7068379297317718E-2</v>
      </c>
      <c r="Q519" s="13">
        <f t="shared" si="1050"/>
        <v>8.3708370837083712E-2</v>
      </c>
      <c r="R519" s="13">
        <f t="shared" si="1035"/>
        <v>-6.6399915397659937E-3</v>
      </c>
      <c r="S519" s="13">
        <f t="shared" ref="S519:T519" si="1051">N519/L519</f>
        <v>6.7907995618838993E-2</v>
      </c>
      <c r="T519" s="13">
        <f t="shared" si="1051"/>
        <v>8.4745762711864403E-2</v>
      </c>
      <c r="U519" s="13">
        <f t="shared" si="1037"/>
        <v>-1.683776709302541E-2</v>
      </c>
      <c r="V519" s="13">
        <f t="shared" si="1038"/>
        <v>0.19126912691269138</v>
      </c>
      <c r="W519" s="13">
        <f t="shared" si="1039"/>
        <v>9.6774193548387011E-2</v>
      </c>
      <c r="X519" s="13">
        <f t="shared" si="1040"/>
        <v>0.19035202086049541</v>
      </c>
      <c r="Y519" s="13">
        <f t="shared" si="1041"/>
        <v>-4.6153846153846101E-2</v>
      </c>
    </row>
    <row r="520" spans="1:25" ht="14.4">
      <c r="A520" s="98" t="s">
        <v>791</v>
      </c>
      <c r="B520" s="99">
        <v>538835</v>
      </c>
      <c r="C520" s="98" t="s">
        <v>174</v>
      </c>
      <c r="D520" s="100" t="s">
        <v>175</v>
      </c>
      <c r="E520" s="11">
        <f ca="1">IFERROR(__xludf.DUMMYFUNCTION("GOOGLEFINANCE(""BOM:""&amp;B521,""PRICE"")"),652.8)</f>
        <v>652.79999999999995</v>
      </c>
      <c r="F520" s="20">
        <f ca="1">IFERROR(__xludf.DUMMYFUNCTION("GOOGLEFINANCE(""BOM:""&amp;B521,""MARKETCAP"")/10000000"),9106.94692)</f>
        <v>9106.9469200000003</v>
      </c>
      <c r="G520" s="95">
        <f t="shared" ca="1" si="541"/>
        <v>2.2604265456933277E-4</v>
      </c>
      <c r="H520" s="101">
        <v>2191</v>
      </c>
      <c r="I520" s="101">
        <v>1774</v>
      </c>
      <c r="J520" s="101">
        <v>223</v>
      </c>
      <c r="K520" s="101">
        <v>198</v>
      </c>
      <c r="L520" s="101">
        <v>731</v>
      </c>
      <c r="M520" s="101">
        <v>609</v>
      </c>
      <c r="N520" s="101">
        <v>27</v>
      </c>
      <c r="O520" s="101">
        <v>70</v>
      </c>
      <c r="P520" s="13">
        <f t="shared" ref="P520:Q520" si="1052">J520/H520</f>
        <v>0.10178000912825194</v>
      </c>
      <c r="Q520" s="13">
        <f t="shared" si="1052"/>
        <v>0.11161217587373168</v>
      </c>
      <c r="R520" s="13">
        <f t="shared" si="1035"/>
        <v>-9.8321667454797368E-3</v>
      </c>
      <c r="S520" s="13">
        <f t="shared" ref="S520:T520" si="1053">N520/L520</f>
        <v>3.6935704514363885E-2</v>
      </c>
      <c r="T520" s="13">
        <f t="shared" si="1053"/>
        <v>0.11494252873563218</v>
      </c>
      <c r="U520" s="13">
        <f t="shared" si="1037"/>
        <v>-7.8006824221268298E-2</v>
      </c>
      <c r="V520" s="13">
        <f t="shared" si="1038"/>
        <v>0.23506200676437428</v>
      </c>
      <c r="W520" s="13">
        <f t="shared" si="1039"/>
        <v>0.1262626262626263</v>
      </c>
      <c r="X520" s="13">
        <f t="shared" si="1040"/>
        <v>0.20032840722495893</v>
      </c>
      <c r="Y520" s="13">
        <f t="shared" si="1041"/>
        <v>-0.61428571428571432</v>
      </c>
    </row>
    <row r="521" spans="1:25" ht="14.4">
      <c r="A521" s="98" t="s">
        <v>792</v>
      </c>
      <c r="B521" s="99">
        <v>500183</v>
      </c>
      <c r="C521" s="98" t="s">
        <v>170</v>
      </c>
      <c r="D521" s="70" t="s">
        <v>285</v>
      </c>
      <c r="E521" s="11">
        <f ca="1">IFERROR(__xludf.DUMMYFUNCTION("GOOGLEFINANCE(""BOM:""&amp;B522,""PRICE"")"),72.82)</f>
        <v>72.819999999999993</v>
      </c>
      <c r="F521" s="20">
        <f ca="1">IFERROR(__xludf.DUMMYFUNCTION("GOOGLEFINANCE(""BOM:""&amp;B522,""MARKETCAP"")/10000000"),10501.4085659)</f>
        <v>10501.408565899999</v>
      </c>
      <c r="G521" s="95">
        <f t="shared" ca="1" si="541"/>
        <v>2.606544531120607E-4</v>
      </c>
      <c r="H521" s="101">
        <v>3125</v>
      </c>
      <c r="I521" s="101">
        <v>3264</v>
      </c>
      <c r="J521" s="101">
        <v>145</v>
      </c>
      <c r="K521" s="101">
        <v>257</v>
      </c>
      <c r="L521" s="101">
        <v>1211</v>
      </c>
      <c r="M521" s="101">
        <v>1012</v>
      </c>
      <c r="N521" s="101">
        <v>102</v>
      </c>
      <c r="O521" s="101">
        <v>73</v>
      </c>
      <c r="P521" s="13">
        <f t="shared" ref="P521:Q521" si="1054">J521/H521</f>
        <v>4.6399999999999997E-2</v>
      </c>
      <c r="Q521" s="13">
        <f t="shared" si="1054"/>
        <v>7.8737745098039214E-2</v>
      </c>
      <c r="R521" s="13">
        <f t="shared" si="1035"/>
        <v>-3.2337745098039217E-2</v>
      </c>
      <c r="S521" s="13">
        <f t="shared" ref="S521:T521" si="1055">N521/L521</f>
        <v>8.4227910817506191E-2</v>
      </c>
      <c r="T521" s="13">
        <f t="shared" si="1055"/>
        <v>7.2134387351778656E-2</v>
      </c>
      <c r="U521" s="13">
        <f t="shared" si="1037"/>
        <v>1.2093523465727535E-2</v>
      </c>
      <c r="V521" s="13">
        <f t="shared" si="1038"/>
        <v>-4.2585784313725505E-2</v>
      </c>
      <c r="W521" s="13">
        <f t="shared" si="1039"/>
        <v>-0.43579766536964981</v>
      </c>
      <c r="X521" s="13">
        <f t="shared" si="1040"/>
        <v>0.19664031620553368</v>
      </c>
      <c r="Y521" s="13">
        <f t="shared" si="1041"/>
        <v>0.39726027397260277</v>
      </c>
    </row>
    <row r="522" spans="1:25" ht="14.4">
      <c r="A522" s="98" t="s">
        <v>793</v>
      </c>
      <c r="B522" s="99">
        <v>500655</v>
      </c>
      <c r="C522" s="98" t="s">
        <v>180</v>
      </c>
      <c r="D522" s="70" t="s">
        <v>420</v>
      </c>
      <c r="E522" s="11">
        <f ca="1">IFERROR(__xludf.DUMMYFUNCTION("GOOGLEFINANCE(""BOM:""&amp;B523,""PRICE"")"),3697.5)</f>
        <v>3697.5</v>
      </c>
      <c r="F522" s="20">
        <f ca="1">IFERROR(__xludf.DUMMYFUNCTION("GOOGLEFINANCE(""BOM:""&amp;B523,""MARKETCAP"")/10000000"),8590.8732876)</f>
        <v>8590.8732875999995</v>
      </c>
      <c r="G522" s="95">
        <f t="shared" ref="G522:G776" ca="1" si="1056">F522/$F$2</f>
        <v>2.1323324052029008E-4</v>
      </c>
      <c r="H522" s="101">
        <v>1523</v>
      </c>
      <c r="I522" s="101">
        <v>1561</v>
      </c>
      <c r="J522" s="101">
        <v>230</v>
      </c>
      <c r="K522" s="101">
        <v>253</v>
      </c>
      <c r="L522" s="101">
        <v>459</v>
      </c>
      <c r="M522" s="101">
        <v>466</v>
      </c>
      <c r="N522" s="101">
        <v>56</v>
      </c>
      <c r="O522" s="101">
        <v>61</v>
      </c>
      <c r="P522" s="13">
        <f t="shared" ref="P522:Q522" si="1057">J522/H522</f>
        <v>0.15101772816808931</v>
      </c>
      <c r="Q522" s="13">
        <f t="shared" si="1057"/>
        <v>0.16207559256886611</v>
      </c>
      <c r="R522" s="13">
        <f t="shared" si="1035"/>
        <v>-1.1057864400776801E-2</v>
      </c>
      <c r="S522" s="13">
        <f t="shared" ref="S522:T522" si="1058">N522/L522</f>
        <v>0.12200435729847495</v>
      </c>
      <c r="T522" s="13">
        <f t="shared" si="1058"/>
        <v>0.13090128755364808</v>
      </c>
      <c r="U522" s="13">
        <f t="shared" si="1037"/>
        <v>-8.89693025517313E-3</v>
      </c>
      <c r="V522" s="13">
        <f t="shared" si="1038"/>
        <v>-2.434336963484951E-2</v>
      </c>
      <c r="W522" s="13">
        <f t="shared" si="1039"/>
        <v>-9.0909090909090939E-2</v>
      </c>
      <c r="X522" s="13">
        <f t="shared" si="1040"/>
        <v>-1.5021459227467782E-2</v>
      </c>
      <c r="Y522" s="13">
        <f t="shared" si="1041"/>
        <v>-8.1967213114754078E-2</v>
      </c>
    </row>
    <row r="523" spans="1:25" ht="14.4">
      <c r="A523" s="98" t="s">
        <v>794</v>
      </c>
      <c r="B523" s="99">
        <v>500294</v>
      </c>
      <c r="C523" s="98" t="s">
        <v>180</v>
      </c>
      <c r="D523" s="100" t="s">
        <v>181</v>
      </c>
      <c r="E523" s="11">
        <f ca="1">IFERROR(__xludf.DUMMYFUNCTION("GOOGLEFINANCE(""BOM:""&amp;B524,""PRICE"")"),140.85)</f>
        <v>140.85</v>
      </c>
      <c r="F523" s="20">
        <f ca="1">IFERROR(__xludf.DUMMYFUNCTION("GOOGLEFINANCE(""BOM:""&amp;B524,""MARKETCAP"")/10000000"),8850.7521871)</f>
        <v>8850.7521871000008</v>
      </c>
      <c r="G523" s="95">
        <f t="shared" ca="1" si="1056"/>
        <v>2.1968366971742621E-4</v>
      </c>
      <c r="H523" s="101">
        <v>14590</v>
      </c>
      <c r="I523" s="101">
        <v>16068</v>
      </c>
      <c r="J523" s="101">
        <v>507</v>
      </c>
      <c r="K523" s="101">
        <v>603</v>
      </c>
      <c r="L523" s="101">
        <v>4868</v>
      </c>
      <c r="M523" s="101">
        <v>5344</v>
      </c>
      <c r="N523" s="101">
        <v>135</v>
      </c>
      <c r="O523" s="101">
        <v>206</v>
      </c>
      <c r="P523" s="13">
        <f t="shared" ref="P523:Q523" si="1059">J523/H523</f>
        <v>3.474982864976011E-2</v>
      </c>
      <c r="Q523" s="13">
        <f t="shared" si="1059"/>
        <v>3.7528005974607918E-2</v>
      </c>
      <c r="R523" s="13">
        <f t="shared" si="1035"/>
        <v>-2.7781773248478081E-3</v>
      </c>
      <c r="S523" s="13">
        <f t="shared" ref="S523:T523" si="1060">N523/L523</f>
        <v>2.7732128184059162E-2</v>
      </c>
      <c r="T523" s="13">
        <f t="shared" si="1060"/>
        <v>3.8547904191616765E-2</v>
      </c>
      <c r="U523" s="13">
        <f t="shared" si="1037"/>
        <v>-1.0815776007557603E-2</v>
      </c>
      <c r="V523" s="13">
        <f t="shared" si="1038"/>
        <v>-9.1984067712223005E-2</v>
      </c>
      <c r="W523" s="13">
        <f t="shared" si="1039"/>
        <v>-0.15920398009950254</v>
      </c>
      <c r="X523" s="13">
        <f t="shared" si="1040"/>
        <v>-8.90718562874252E-2</v>
      </c>
      <c r="Y523" s="13">
        <f t="shared" si="1041"/>
        <v>-0.34466019417475724</v>
      </c>
    </row>
    <row r="524" spans="1:25" ht="14.4">
      <c r="A524" s="98" t="s">
        <v>795</v>
      </c>
      <c r="B524" s="99">
        <v>512529</v>
      </c>
      <c r="C524" s="98" t="s">
        <v>190</v>
      </c>
      <c r="D524" s="109" t="s">
        <v>100</v>
      </c>
      <c r="E524" s="11">
        <f ca="1">IFERROR(__xludf.DUMMYFUNCTION("GOOGLEFINANCE(""BOM:""&amp;B525,""PRICE"")"),195.55)</f>
        <v>195.55</v>
      </c>
      <c r="F524" s="20">
        <f ca="1">IFERROR(__xludf.DUMMYFUNCTION("GOOGLEFINANCE(""BOM:""&amp;B525,""MARKETCAP"")/10000000"),8369.466)</f>
        <v>8369.4660000000003</v>
      </c>
      <c r="G524" s="95">
        <f t="shared" ca="1" si="1056"/>
        <v>2.0773771150603954E-4</v>
      </c>
      <c r="H524" s="101">
        <v>2500</v>
      </c>
      <c r="I524" s="101">
        <v>2234</v>
      </c>
      <c r="J524" s="101">
        <v>158</v>
      </c>
      <c r="K524" s="101">
        <v>47</v>
      </c>
      <c r="L524" s="101">
        <v>858</v>
      </c>
      <c r="M524" s="101">
        <v>774</v>
      </c>
      <c r="N524" s="101">
        <v>48</v>
      </c>
      <c r="O524" s="101">
        <v>41</v>
      </c>
      <c r="P524" s="13">
        <f t="shared" ref="P524:Q524" si="1061">J524/H524</f>
        <v>6.3200000000000006E-2</v>
      </c>
      <c r="Q524" s="13">
        <f t="shared" si="1061"/>
        <v>2.1038495971351837E-2</v>
      </c>
      <c r="R524" s="13">
        <f t="shared" si="1035"/>
        <v>4.216150402864817E-2</v>
      </c>
      <c r="S524" s="13">
        <f t="shared" ref="S524:T524" si="1062">N524/L524</f>
        <v>5.5944055944055944E-2</v>
      </c>
      <c r="T524" s="13">
        <f t="shared" si="1062"/>
        <v>5.2971576227390182E-2</v>
      </c>
      <c r="U524" s="13">
        <f t="shared" si="1037"/>
        <v>2.9724797166657616E-3</v>
      </c>
      <c r="V524" s="13">
        <f t="shared" si="1038"/>
        <v>0.11906893464637425</v>
      </c>
      <c r="W524" s="13">
        <f t="shared" si="1039"/>
        <v>2.3617021276595747</v>
      </c>
      <c r="X524" s="13">
        <f t="shared" si="1040"/>
        <v>0.10852713178294571</v>
      </c>
      <c r="Y524" s="13">
        <f t="shared" si="1041"/>
        <v>0.1707317073170731</v>
      </c>
    </row>
    <row r="525" spans="1:25" ht="14.4">
      <c r="A525" s="98" t="s">
        <v>796</v>
      </c>
      <c r="B525" s="99">
        <v>500038</v>
      </c>
      <c r="C525" s="98" t="s">
        <v>183</v>
      </c>
      <c r="D525" s="70" t="s">
        <v>797</v>
      </c>
      <c r="E525" s="11">
        <f ca="1">IFERROR(__xludf.DUMMYFUNCTION("GOOGLEFINANCE(""BOM:""&amp;B526,""PRICE"")"),485)</f>
        <v>485</v>
      </c>
      <c r="F525" s="20">
        <f ca="1">IFERROR(__xludf.DUMMYFUNCTION("GOOGLEFINANCE(""BOM:""&amp;B526,""MARKETCAP"")/10000000"),9793.5848945)</f>
        <v>9793.5848944999998</v>
      </c>
      <c r="G525" s="95">
        <f t="shared" ca="1" si="1056"/>
        <v>2.4308562976700635E-4</v>
      </c>
      <c r="H525" s="101">
        <v>4667</v>
      </c>
      <c r="I525" s="101">
        <v>3911</v>
      </c>
      <c r="J525" s="101">
        <v>218</v>
      </c>
      <c r="K525" s="101">
        <v>207</v>
      </c>
      <c r="L525" s="101">
        <v>1454</v>
      </c>
      <c r="M525" s="101">
        <v>1192</v>
      </c>
      <c r="N525" s="101">
        <v>113</v>
      </c>
      <c r="O525" s="101">
        <v>70</v>
      </c>
      <c r="P525" s="13">
        <f t="shared" ref="P525:Q525" si="1063">J525/H525</f>
        <v>4.6710949217913009E-2</v>
      </c>
      <c r="Q525" s="13">
        <f t="shared" si="1063"/>
        <v>5.2927639989772436E-2</v>
      </c>
      <c r="R525" s="13">
        <f t="shared" si="1035"/>
        <v>-6.2166907718594275E-3</v>
      </c>
      <c r="S525" s="13">
        <f t="shared" ref="S525:T525" si="1064">N525/L525</f>
        <v>7.7716643741403024E-2</v>
      </c>
      <c r="T525" s="13">
        <f t="shared" si="1064"/>
        <v>5.8724832214765099E-2</v>
      </c>
      <c r="U525" s="13">
        <f t="shared" si="1037"/>
        <v>1.8991811526637925E-2</v>
      </c>
      <c r="V525" s="13">
        <f t="shared" si="1038"/>
        <v>0.19330094604960357</v>
      </c>
      <c r="W525" s="13">
        <f t="shared" si="1039"/>
        <v>5.3140096618357502E-2</v>
      </c>
      <c r="X525" s="13">
        <f t="shared" si="1040"/>
        <v>0.21979865771812079</v>
      </c>
      <c r="Y525" s="13">
        <f t="shared" si="1041"/>
        <v>0.61428571428571432</v>
      </c>
    </row>
    <row r="526" spans="1:25" ht="14.4">
      <c r="A526" s="98" t="s">
        <v>798</v>
      </c>
      <c r="B526" s="99">
        <v>532493</v>
      </c>
      <c r="C526" s="98" t="s">
        <v>180</v>
      </c>
      <c r="D526" s="100" t="s">
        <v>204</v>
      </c>
      <c r="E526" s="11">
        <f ca="1">IFERROR(__xludf.DUMMYFUNCTION("GOOGLEFINANCE(""BOM:""&amp;B527,""PRICE"")"),947.05)</f>
        <v>947.05</v>
      </c>
      <c r="F526" s="20">
        <f ca="1">IFERROR(__xludf.DUMMYFUNCTION("GOOGLEFINANCE(""BOM:""&amp;B527,""MARKETCAP"")/10000000"),8977.9989682)</f>
        <v>8977.9989681999996</v>
      </c>
      <c r="G526" s="95">
        <f t="shared" ca="1" si="1056"/>
        <v>2.2284204984612544E-4</v>
      </c>
      <c r="H526" s="101">
        <v>674</v>
      </c>
      <c r="I526" s="101">
        <v>643</v>
      </c>
      <c r="J526" s="101">
        <v>86</v>
      </c>
      <c r="K526" s="101">
        <v>80</v>
      </c>
      <c r="L526" s="101">
        <v>260</v>
      </c>
      <c r="M526" s="101">
        <v>258</v>
      </c>
      <c r="N526" s="101">
        <v>46</v>
      </c>
      <c r="O526" s="101">
        <v>47</v>
      </c>
      <c r="P526" s="13">
        <f t="shared" ref="P526:Q526" si="1065">J526/H526</f>
        <v>0.12759643916913946</v>
      </c>
      <c r="Q526" s="13">
        <f t="shared" si="1065"/>
        <v>0.12441679626749612</v>
      </c>
      <c r="R526" s="13">
        <f t="shared" si="1035"/>
        <v>3.1796429016433397E-3</v>
      </c>
      <c r="S526" s="13">
        <f t="shared" ref="S526:T526" si="1066">N526/L526</f>
        <v>0.17692307692307693</v>
      </c>
      <c r="T526" s="13">
        <f t="shared" si="1066"/>
        <v>0.18217054263565891</v>
      </c>
      <c r="U526" s="13">
        <f t="shared" si="1037"/>
        <v>-5.2474657125819724E-3</v>
      </c>
      <c r="V526" s="13">
        <f t="shared" si="1038"/>
        <v>4.8211508553654747E-2</v>
      </c>
      <c r="W526" s="13">
        <f t="shared" si="1039"/>
        <v>7.4999999999999956E-2</v>
      </c>
      <c r="X526" s="13">
        <f t="shared" si="1040"/>
        <v>7.7519379844961378E-3</v>
      </c>
      <c r="Y526" s="13">
        <f t="shared" si="1041"/>
        <v>-2.1276595744680882E-2</v>
      </c>
    </row>
    <row r="527" spans="1:25" ht="14.4">
      <c r="A527" s="98" t="s">
        <v>799</v>
      </c>
      <c r="B527" s="99">
        <v>544012</v>
      </c>
      <c r="C527" s="98" t="s">
        <v>187</v>
      </c>
      <c r="D527" s="108" t="s">
        <v>800</v>
      </c>
      <c r="E527" s="11">
        <f ca="1">IFERROR(__xludf.DUMMYFUNCTION("GOOGLEFINANCE(""BOM:""&amp;B528,""PRICE"")"),402.4)</f>
        <v>402.4</v>
      </c>
      <c r="F527" s="20">
        <f ca="1">IFERROR(__xludf.DUMMYFUNCTION("GOOGLEFINANCE(""BOM:""&amp;B528,""MARKETCAP"")/10000000"),8875.9257933)</f>
        <v>8875.9257933000008</v>
      </c>
      <c r="G527" s="95">
        <f t="shared" ca="1" si="1056"/>
        <v>2.203085013784118E-4</v>
      </c>
      <c r="H527" s="101">
        <v>1670</v>
      </c>
      <c r="I527" s="101">
        <v>1547</v>
      </c>
      <c r="J527" s="101">
        <v>241</v>
      </c>
      <c r="K527" s="101">
        <v>268</v>
      </c>
      <c r="L527" s="101">
        <v>553</v>
      </c>
      <c r="M527" s="101">
        <v>556</v>
      </c>
      <c r="N527" s="101">
        <v>69</v>
      </c>
      <c r="O527" s="101">
        <v>92</v>
      </c>
      <c r="P527" s="13">
        <f t="shared" ref="P527:Q527" si="1067">J527/H527</f>
        <v>0.14431137724550899</v>
      </c>
      <c r="Q527" s="13">
        <f t="shared" si="1067"/>
        <v>0.17323852617970265</v>
      </c>
      <c r="R527" s="13">
        <f t="shared" si="1035"/>
        <v>-2.8927148934193653E-2</v>
      </c>
      <c r="S527" s="13">
        <f t="shared" ref="S527:T527" si="1068">N527/L527</f>
        <v>0.12477396021699819</v>
      </c>
      <c r="T527" s="13">
        <f t="shared" si="1068"/>
        <v>0.16546762589928057</v>
      </c>
      <c r="U527" s="13">
        <f t="shared" si="1037"/>
        <v>-4.0693665682282387E-2</v>
      </c>
      <c r="V527" s="13">
        <f t="shared" si="1038"/>
        <v>7.9508726567550037E-2</v>
      </c>
      <c r="W527" s="13">
        <f t="shared" si="1039"/>
        <v>-0.10074626865671643</v>
      </c>
      <c r="X527" s="13">
        <f t="shared" si="1040"/>
        <v>-5.3956834532373765E-3</v>
      </c>
      <c r="Y527" s="13">
        <f t="shared" si="1041"/>
        <v>-0.25</v>
      </c>
    </row>
    <row r="528" spans="1:25" ht="14.4">
      <c r="A528" s="98" t="s">
        <v>801</v>
      </c>
      <c r="B528" s="99">
        <v>543463</v>
      </c>
      <c r="C528" s="98" t="s">
        <v>187</v>
      </c>
      <c r="D528" s="70" t="s">
        <v>90</v>
      </c>
      <c r="E528" s="11">
        <f ca="1">IFERROR(__xludf.DUMMYFUNCTION("GOOGLEFINANCE(""BOM:""&amp;B529,""PRICE"")"),378.25)</f>
        <v>378.25</v>
      </c>
      <c r="F528" s="20">
        <f ca="1">IFERROR(__xludf.DUMMYFUNCTION("GOOGLEFINANCE(""BOM:""&amp;B529,""MARKETCAP"")/10000000"),9183.168611)</f>
        <v>9183.1686109999991</v>
      </c>
      <c r="G528" s="95">
        <f t="shared" ca="1" si="1056"/>
        <v>2.2793454583879493E-4</v>
      </c>
      <c r="H528" s="101">
        <v>1036</v>
      </c>
      <c r="I528" s="101">
        <v>1019</v>
      </c>
      <c r="J528" s="101">
        <v>261</v>
      </c>
      <c r="K528" s="101">
        <v>287</v>
      </c>
      <c r="L528" s="101">
        <v>491</v>
      </c>
      <c r="M528" s="101">
        <v>511</v>
      </c>
      <c r="N528" s="101">
        <v>134</v>
      </c>
      <c r="O528" s="101">
        <v>157</v>
      </c>
      <c r="P528" s="13">
        <f t="shared" ref="P528:Q528" si="1069">J528/H528</f>
        <v>0.25193050193050193</v>
      </c>
      <c r="Q528" s="13">
        <f t="shared" si="1069"/>
        <v>0.28164867517173697</v>
      </c>
      <c r="R528" s="13">
        <f t="shared" si="1035"/>
        <v>-2.9718173241235046E-2</v>
      </c>
      <c r="S528" s="13">
        <f t="shared" ref="S528:T528" si="1070">N528/L528</f>
        <v>0.27291242362525459</v>
      </c>
      <c r="T528" s="13">
        <f t="shared" si="1070"/>
        <v>0.30724070450097846</v>
      </c>
      <c r="U528" s="13">
        <f t="shared" si="1037"/>
        <v>-3.4328280875723871E-2</v>
      </c>
      <c r="V528" s="13">
        <f t="shared" si="1038"/>
        <v>1.6683022571148287E-2</v>
      </c>
      <c r="W528" s="13">
        <f t="shared" si="1039"/>
        <v>-9.0592334494773552E-2</v>
      </c>
      <c r="X528" s="13">
        <f t="shared" si="1040"/>
        <v>-3.9138943248532287E-2</v>
      </c>
      <c r="Y528" s="13">
        <f t="shared" si="1041"/>
        <v>-0.14649681528662417</v>
      </c>
    </row>
    <row r="529" spans="1:25" ht="14.4">
      <c r="A529" s="98" t="s">
        <v>802</v>
      </c>
      <c r="B529" s="99">
        <v>505700</v>
      </c>
      <c r="C529" s="98" t="s">
        <v>180</v>
      </c>
      <c r="D529" s="101" t="s">
        <v>275</v>
      </c>
      <c r="E529" s="11">
        <f ca="1">IFERROR(__xludf.DUMMYFUNCTION("GOOGLEFINANCE(""BOM:""&amp;B530,""PRICE"")"),394.6)</f>
        <v>394.6</v>
      </c>
      <c r="F529" s="20">
        <f ca="1">IFERROR(__xludf.DUMMYFUNCTION("GOOGLEFINANCE(""BOM:""&amp;B530,""MARKETCAP"")/10000000"),8837.9901984)</f>
        <v>8837.9901984000007</v>
      </c>
      <c r="G529" s="95">
        <f t="shared" ca="1" si="1056"/>
        <v>2.1936690562198645E-4</v>
      </c>
      <c r="H529" s="101">
        <v>1684</v>
      </c>
      <c r="I529" s="101">
        <v>1470</v>
      </c>
      <c r="J529" s="101">
        <v>335</v>
      </c>
      <c r="K529" s="101">
        <v>268</v>
      </c>
      <c r="L529" s="101">
        <v>570</v>
      </c>
      <c r="M529" s="101">
        <v>544</v>
      </c>
      <c r="N529" s="101">
        <v>71</v>
      </c>
      <c r="O529" s="101">
        <v>107</v>
      </c>
      <c r="P529" s="13">
        <f t="shared" ref="P529:Q529" si="1071">J529/H529</f>
        <v>0.19893111638954869</v>
      </c>
      <c r="Q529" s="13">
        <f t="shared" si="1071"/>
        <v>0.18231292517006803</v>
      </c>
      <c r="R529" s="13">
        <f t="shared" si="1035"/>
        <v>1.661819121948066E-2</v>
      </c>
      <c r="S529" s="13">
        <f t="shared" ref="S529:T529" si="1072">N529/L529</f>
        <v>0.12456140350877193</v>
      </c>
      <c r="T529" s="13">
        <f t="shared" si="1072"/>
        <v>0.19669117647058823</v>
      </c>
      <c r="U529" s="13">
        <f t="shared" si="1037"/>
        <v>-7.2129772961816302E-2</v>
      </c>
      <c r="V529" s="13">
        <f t="shared" si="1038"/>
        <v>0.1455782312925169</v>
      </c>
      <c r="W529" s="13">
        <f t="shared" si="1039"/>
        <v>0.25</v>
      </c>
      <c r="X529" s="13">
        <f t="shared" si="1040"/>
        <v>4.7794117647058876E-2</v>
      </c>
      <c r="Y529" s="13">
        <f t="shared" si="1041"/>
        <v>-0.33644859813084116</v>
      </c>
    </row>
    <row r="530" spans="1:25" ht="14.4">
      <c r="A530" s="98" t="s">
        <v>803</v>
      </c>
      <c r="B530" s="99">
        <v>532926</v>
      </c>
      <c r="C530" s="98" t="s">
        <v>183</v>
      </c>
      <c r="D530" s="100" t="s">
        <v>804</v>
      </c>
      <c r="E530" s="11">
        <f ca="1">IFERROR(__xludf.DUMMYFUNCTION("GOOGLEFINANCE(""BOM:""&amp;B531,""PRICE"")"),207.1)</f>
        <v>207.1</v>
      </c>
      <c r="F530" s="20">
        <f ca="1">IFERROR(__xludf.DUMMYFUNCTION("GOOGLEFINANCE(""BOM:""&amp;B531,""MARKETCAP"")/10000000"),7596.1991694)</f>
        <v>7596.1991693999998</v>
      </c>
      <c r="G530" s="95">
        <f t="shared" ca="1" si="1056"/>
        <v>1.8854452979380455E-4</v>
      </c>
      <c r="H530" s="101">
        <v>2226</v>
      </c>
      <c r="I530" s="101">
        <v>2177</v>
      </c>
      <c r="J530" s="101">
        <v>265</v>
      </c>
      <c r="K530" s="101">
        <v>294</v>
      </c>
      <c r="L530" s="101">
        <v>739</v>
      </c>
      <c r="M530" s="101">
        <v>703</v>
      </c>
      <c r="N530" s="101">
        <v>81</v>
      </c>
      <c r="O530" s="101">
        <v>87</v>
      </c>
      <c r="P530" s="13">
        <f t="shared" ref="P530:Q530" si="1073">J530/H530</f>
        <v>0.11904761904761904</v>
      </c>
      <c r="Q530" s="13">
        <f t="shared" si="1073"/>
        <v>0.13504823151125403</v>
      </c>
      <c r="R530" s="13">
        <f t="shared" si="1035"/>
        <v>-1.6000612463634989E-2</v>
      </c>
      <c r="S530" s="13">
        <f t="shared" ref="S530:T530" si="1074">N530/L530</f>
        <v>0.10960757780784844</v>
      </c>
      <c r="T530" s="13">
        <f t="shared" si="1074"/>
        <v>0.12375533428165007</v>
      </c>
      <c r="U530" s="13">
        <f t="shared" si="1037"/>
        <v>-1.4147756473801634E-2</v>
      </c>
      <c r="V530" s="13">
        <f t="shared" si="1038"/>
        <v>2.2508038585209E-2</v>
      </c>
      <c r="W530" s="13">
        <f t="shared" si="1039"/>
        <v>-9.8639455782312924E-2</v>
      </c>
      <c r="X530" s="13">
        <f t="shared" si="1040"/>
        <v>5.1209103840682779E-2</v>
      </c>
      <c r="Y530" s="13">
        <f t="shared" si="1041"/>
        <v>-6.8965517241379337E-2</v>
      </c>
    </row>
    <row r="531" spans="1:25" ht="14.4">
      <c r="A531" s="98" t="s">
        <v>805</v>
      </c>
      <c r="B531" s="99">
        <v>532966</v>
      </c>
      <c r="C531" s="98" t="s">
        <v>180</v>
      </c>
      <c r="D531" s="100" t="s">
        <v>737</v>
      </c>
      <c r="E531" s="11">
        <f ca="1">IFERROR(__xludf.DUMMYFUNCTION("GOOGLEFINANCE(""BOM:""&amp;B532,""PRICE"")"),640.45)</f>
        <v>640.45000000000005</v>
      </c>
      <c r="F531" s="20">
        <f ca="1">IFERROR(__xludf.DUMMYFUNCTION("GOOGLEFINANCE(""BOM:""&amp;B532,""MARKETCAP"")/10000000"),8620.2394113)</f>
        <v>8620.2394112999991</v>
      </c>
      <c r="G531" s="95">
        <f t="shared" ca="1" si="1056"/>
        <v>2.1396213425535528E-4</v>
      </c>
      <c r="H531" s="101">
        <v>2310</v>
      </c>
      <c r="I531" s="101">
        <v>2862</v>
      </c>
      <c r="J531" s="101">
        <v>116</v>
      </c>
      <c r="K531" s="101">
        <v>210</v>
      </c>
      <c r="L531" s="101">
        <v>832</v>
      </c>
      <c r="M531" s="101">
        <v>902</v>
      </c>
      <c r="N531" s="101">
        <v>48</v>
      </c>
      <c r="O531" s="101">
        <v>63</v>
      </c>
      <c r="P531" s="13">
        <f t="shared" ref="P531:Q531" si="1075">J531/H531</f>
        <v>5.0216450216450215E-2</v>
      </c>
      <c r="Q531" s="13">
        <f t="shared" si="1075"/>
        <v>7.337526205450734E-2</v>
      </c>
      <c r="R531" s="13">
        <f t="shared" si="1035"/>
        <v>-2.3158811838057125E-2</v>
      </c>
      <c r="S531" s="13">
        <f t="shared" ref="S531:T531" si="1076">N531/L531</f>
        <v>5.7692307692307696E-2</v>
      </c>
      <c r="T531" s="13">
        <f t="shared" si="1076"/>
        <v>6.9844789356984474E-2</v>
      </c>
      <c r="U531" s="13">
        <f t="shared" si="1037"/>
        <v>-1.2152481664676779E-2</v>
      </c>
      <c r="V531" s="13">
        <f t="shared" si="1038"/>
        <v>-0.19287211740041932</v>
      </c>
      <c r="W531" s="13">
        <f t="shared" si="1039"/>
        <v>-0.44761904761904758</v>
      </c>
      <c r="X531" s="13">
        <f t="shared" si="1040"/>
        <v>-7.7605321507760561E-2</v>
      </c>
      <c r="Y531" s="13">
        <f t="shared" si="1041"/>
        <v>-0.23809523809523814</v>
      </c>
    </row>
    <row r="532" spans="1:25" ht="14.4">
      <c r="A532" s="98" t="s">
        <v>806</v>
      </c>
      <c r="B532" s="99">
        <v>501423</v>
      </c>
      <c r="C532" s="98" t="s">
        <v>180</v>
      </c>
      <c r="D532" s="100" t="s">
        <v>420</v>
      </c>
      <c r="E532" s="11">
        <f ca="1">IFERROR(__xludf.DUMMYFUNCTION("GOOGLEFINANCE(""BOM:""&amp;B533,""PRICE"")"),2083.45)</f>
        <v>2083.4499999999998</v>
      </c>
      <c r="F532" s="20">
        <f ca="1">IFERROR(__xludf.DUMMYFUNCTION("GOOGLEFINANCE(""BOM:""&amp;B533,""MARKETCAP"")/10000000"),9551.1304428)</f>
        <v>9551.1304428000003</v>
      </c>
      <c r="G532" s="95">
        <f t="shared" ca="1" si="1056"/>
        <v>2.3706769111469454E-4</v>
      </c>
      <c r="H532" s="101">
        <v>753</v>
      </c>
      <c r="I532" s="101">
        <v>568</v>
      </c>
      <c r="J532" s="101">
        <v>126</v>
      </c>
      <c r="K532" s="101">
        <v>64</v>
      </c>
      <c r="L532" s="101">
        <v>250</v>
      </c>
      <c r="M532" s="101">
        <v>197</v>
      </c>
      <c r="N532" s="101">
        <v>37</v>
      </c>
      <c r="O532" s="101">
        <v>25</v>
      </c>
      <c r="P532" s="13">
        <f t="shared" ref="P532:Q532" si="1077">J532/H532</f>
        <v>0.16733067729083664</v>
      </c>
      <c r="Q532" s="13">
        <f t="shared" si="1077"/>
        <v>0.11267605633802817</v>
      </c>
      <c r="R532" s="13">
        <f t="shared" si="1035"/>
        <v>5.4654620952808472E-2</v>
      </c>
      <c r="S532" s="13">
        <f t="shared" ref="S532:T532" si="1078">N532/L532</f>
        <v>0.14799999999999999</v>
      </c>
      <c r="T532" s="13">
        <f t="shared" si="1078"/>
        <v>0.12690355329949238</v>
      </c>
      <c r="U532" s="13">
        <f t="shared" si="1037"/>
        <v>2.1096446700507615E-2</v>
      </c>
      <c r="V532" s="13">
        <f t="shared" si="1038"/>
        <v>0.32570422535211274</v>
      </c>
      <c r="W532" s="13">
        <f t="shared" si="1039"/>
        <v>0.96875</v>
      </c>
      <c r="X532" s="13">
        <f t="shared" si="1040"/>
        <v>0.26903553299492389</v>
      </c>
      <c r="Y532" s="13">
        <f t="shared" si="1041"/>
        <v>0.48</v>
      </c>
    </row>
    <row r="533" spans="1:25" ht="14.4">
      <c r="A533" s="98" t="s">
        <v>807</v>
      </c>
      <c r="B533" s="99">
        <v>500101</v>
      </c>
      <c r="C533" s="98" t="s">
        <v>187</v>
      </c>
      <c r="D533" s="100" t="s">
        <v>96</v>
      </c>
      <c r="E533" s="11">
        <f ca="1">IFERROR(__xludf.DUMMYFUNCTION("GOOGLEFINANCE(""BOM:""&amp;B534,""PRICE"")"),373.65)</f>
        <v>373.65</v>
      </c>
      <c r="F533" s="20">
        <f ca="1">IFERROR(__xludf.DUMMYFUNCTION("GOOGLEFINANCE(""BOM:""&amp;B534,""MARKETCAP"")/10000000"),9782.1171919)</f>
        <v>9782.1171919000008</v>
      </c>
      <c r="G533" s="95">
        <f t="shared" ca="1" si="1056"/>
        <v>2.4280099102250871E-4</v>
      </c>
      <c r="H533" s="101">
        <v>6750</v>
      </c>
      <c r="I533" s="101">
        <v>6108</v>
      </c>
      <c r="J533" s="101">
        <v>262</v>
      </c>
      <c r="K533" s="101">
        <v>213</v>
      </c>
      <c r="L533" s="101">
        <v>2373</v>
      </c>
      <c r="M533" s="101">
        <v>2089</v>
      </c>
      <c r="N533" s="101">
        <v>101</v>
      </c>
      <c r="O533" s="101">
        <v>106</v>
      </c>
      <c r="P533" s="13">
        <f t="shared" ref="P533:Q533" si="1079">J533/H533</f>
        <v>3.8814814814814816E-2</v>
      </c>
      <c r="Q533" s="13">
        <f t="shared" si="1079"/>
        <v>3.4872298624754418E-2</v>
      </c>
      <c r="R533" s="13">
        <f t="shared" si="1035"/>
        <v>3.9425161900603981E-3</v>
      </c>
      <c r="S533" s="13">
        <f t="shared" ref="S533:T533" si="1080">N533/L533</f>
        <v>4.2562157606405394E-2</v>
      </c>
      <c r="T533" s="13">
        <f t="shared" si="1080"/>
        <v>5.0741981809478219E-2</v>
      </c>
      <c r="U533" s="13">
        <f t="shared" si="1037"/>
        <v>-8.1798242030728247E-3</v>
      </c>
      <c r="V533" s="13">
        <f t="shared" si="1038"/>
        <v>0.10510805500982312</v>
      </c>
      <c r="W533" s="13">
        <f t="shared" si="1039"/>
        <v>0.2300469483568075</v>
      </c>
      <c r="X533" s="13">
        <f t="shared" si="1040"/>
        <v>0.13595021541407371</v>
      </c>
      <c r="Y533" s="13">
        <f t="shared" si="1041"/>
        <v>-4.7169811320754707E-2</v>
      </c>
    </row>
    <row r="534" spans="1:25" ht="14.4">
      <c r="A534" s="98" t="s">
        <v>808</v>
      </c>
      <c r="B534" s="99">
        <v>534076</v>
      </c>
      <c r="C534" s="98" t="s">
        <v>180</v>
      </c>
      <c r="D534" s="100" t="s">
        <v>669</v>
      </c>
      <c r="E534" s="11">
        <f ca="1">IFERROR(__xludf.DUMMYFUNCTION("GOOGLEFINANCE(""BOM:""&amp;B535,""PRICE"")"),368)</f>
        <v>368</v>
      </c>
      <c r="F534" s="20">
        <f ca="1">IFERROR(__xludf.DUMMYFUNCTION("GOOGLEFINANCE(""BOM:""&amp;B535,""MARKETCAP"")/10000000"),7516.652)</f>
        <v>7516.652</v>
      </c>
      <c r="G534" s="95">
        <f t="shared" ca="1" si="1056"/>
        <v>1.8657009714446478E-4</v>
      </c>
      <c r="H534" s="101">
        <v>3087</v>
      </c>
      <c r="I534" s="101">
        <v>2756</v>
      </c>
      <c r="J534" s="101">
        <v>135</v>
      </c>
      <c r="K534" s="101">
        <v>166</v>
      </c>
      <c r="L534" s="101">
        <v>1092</v>
      </c>
      <c r="M534" s="101">
        <v>1010</v>
      </c>
      <c r="N534" s="101">
        <v>61</v>
      </c>
      <c r="O534" s="101">
        <v>47</v>
      </c>
      <c r="P534" s="13">
        <f t="shared" ref="P534:Q534" si="1081">J534/H534</f>
        <v>4.3731778425655975E-2</v>
      </c>
      <c r="Q534" s="13">
        <f t="shared" si="1081"/>
        <v>6.0232220609579099E-2</v>
      </c>
      <c r="R534" s="13">
        <f t="shared" si="1035"/>
        <v>-1.6500442183923124E-2</v>
      </c>
      <c r="S534" s="13">
        <f t="shared" ref="S534:T534" si="1082">N534/L534</f>
        <v>5.5860805860805864E-2</v>
      </c>
      <c r="T534" s="13">
        <f t="shared" si="1082"/>
        <v>4.6534653465346534E-2</v>
      </c>
      <c r="U534" s="13">
        <f t="shared" si="1037"/>
        <v>9.3261523954593292E-3</v>
      </c>
      <c r="V534" s="13">
        <f t="shared" si="1038"/>
        <v>0.12010159651669094</v>
      </c>
      <c r="W534" s="13">
        <f t="shared" si="1039"/>
        <v>-0.18674698795180722</v>
      </c>
      <c r="X534" s="13">
        <f t="shared" si="1040"/>
        <v>8.118811881188126E-2</v>
      </c>
      <c r="Y534" s="13">
        <f t="shared" si="1041"/>
        <v>0.2978723404255319</v>
      </c>
    </row>
    <row r="535" spans="1:25" ht="14.4">
      <c r="A535" s="98" t="s">
        <v>809</v>
      </c>
      <c r="B535" s="99">
        <v>532757</v>
      </c>
      <c r="C535" s="98" t="s">
        <v>180</v>
      </c>
      <c r="D535" s="100" t="s">
        <v>275</v>
      </c>
      <c r="E535" s="11">
        <f ca="1">IFERROR(__xludf.DUMMYFUNCTION("GOOGLEFINANCE(""BOM:""&amp;B536,""PRICE"")"),9056)</f>
        <v>9056</v>
      </c>
      <c r="F535" s="20">
        <f ca="1">IFERROR(__xludf.DUMMYFUNCTION("GOOGLEFINANCE(""BOM:""&amp;B536,""MARKETCAP"")/10000000"),9163.075584)</f>
        <v>9163.0755840000002</v>
      </c>
      <c r="G535" s="95">
        <f t="shared" ca="1" si="1056"/>
        <v>2.2743581874602593E-4</v>
      </c>
      <c r="H535" s="101">
        <v>1536</v>
      </c>
      <c r="I535" s="101">
        <v>1309</v>
      </c>
      <c r="J535" s="101">
        <v>257</v>
      </c>
      <c r="K535" s="101">
        <v>228</v>
      </c>
      <c r="L535" s="101">
        <v>630</v>
      </c>
      <c r="M535" s="101">
        <v>483</v>
      </c>
      <c r="N535" s="101">
        <v>99</v>
      </c>
      <c r="O535" s="101">
        <v>73</v>
      </c>
      <c r="P535" s="13">
        <f t="shared" ref="P535:Q535" si="1083">J535/H535</f>
        <v>0.16731770833333334</v>
      </c>
      <c r="Q535" s="13">
        <f t="shared" si="1083"/>
        <v>0.17417876241405653</v>
      </c>
      <c r="R535" s="13">
        <f t="shared" si="1035"/>
        <v>-6.8610540807231835E-3</v>
      </c>
      <c r="S535" s="13">
        <f t="shared" ref="S535:T535" si="1084">N535/L535</f>
        <v>0.15714285714285714</v>
      </c>
      <c r="T535" s="13">
        <f t="shared" si="1084"/>
        <v>0.15113871635610765</v>
      </c>
      <c r="U535" s="13">
        <f t="shared" si="1037"/>
        <v>6.00414078674949E-3</v>
      </c>
      <c r="V535" s="13">
        <f t="shared" si="1038"/>
        <v>0.17341482047364409</v>
      </c>
      <c r="W535" s="13">
        <f t="shared" si="1039"/>
        <v>0.12719298245614041</v>
      </c>
      <c r="X535" s="13">
        <f t="shared" si="1040"/>
        <v>0.30434782608695654</v>
      </c>
      <c r="Y535" s="13">
        <f t="shared" si="1041"/>
        <v>0.35616438356164393</v>
      </c>
    </row>
    <row r="536" spans="1:25" ht="14.4">
      <c r="A536" s="98" t="s">
        <v>810</v>
      </c>
      <c r="B536" s="99">
        <v>543271</v>
      </c>
      <c r="C536" s="98" t="s">
        <v>196</v>
      </c>
      <c r="D536" s="70" t="s">
        <v>251</v>
      </c>
      <c r="E536" s="11">
        <f ca="1">IFERROR(__xludf.DUMMYFUNCTION("GOOGLEFINANCE(""BOM:""&amp;B537,""PRICE"")"),593.65)</f>
        <v>593.65</v>
      </c>
      <c r="F536" s="20">
        <f ca="1">IFERROR(__xludf.DUMMYFUNCTION("GOOGLEFINANCE(""BOM:""&amp;B537,""MARKETCAP"")/10000000"),9380.3115277)</f>
        <v>9380.3115276999997</v>
      </c>
      <c r="G536" s="95">
        <f t="shared" ca="1" si="1056"/>
        <v>2.3282781123408822E-4</v>
      </c>
      <c r="H536" s="101">
        <v>3209</v>
      </c>
      <c r="I536" s="101">
        <v>3126</v>
      </c>
      <c r="J536" s="101">
        <v>191</v>
      </c>
      <c r="K536" s="101">
        <v>177</v>
      </c>
      <c r="L536" s="101">
        <v>1039</v>
      </c>
      <c r="M536" s="101">
        <v>1046</v>
      </c>
      <c r="N536" s="101">
        <v>46</v>
      </c>
      <c r="O536" s="101">
        <v>69</v>
      </c>
      <c r="P536" s="13">
        <f t="shared" ref="P536:Q536" si="1085">J536/H536</f>
        <v>5.9520099719538797E-2</v>
      </c>
      <c r="Q536" s="13">
        <f t="shared" si="1085"/>
        <v>5.6621880998080618E-2</v>
      </c>
      <c r="R536" s="13">
        <f t="shared" si="1035"/>
        <v>2.8982187214581789E-3</v>
      </c>
      <c r="S536" s="13">
        <f t="shared" ref="S536:T536" si="1086">N536/L536</f>
        <v>4.4273339749759381E-2</v>
      </c>
      <c r="T536" s="13">
        <f t="shared" si="1086"/>
        <v>6.5965583173996173E-2</v>
      </c>
      <c r="U536" s="13">
        <f t="shared" si="1037"/>
        <v>-2.1692243424236791E-2</v>
      </c>
      <c r="V536" s="13">
        <f t="shared" si="1038"/>
        <v>2.655150351887392E-2</v>
      </c>
      <c r="W536" s="13">
        <f t="shared" si="1039"/>
        <v>7.909604519774005E-2</v>
      </c>
      <c r="X536" s="13">
        <f t="shared" si="1040"/>
        <v>-6.6921606118547361E-3</v>
      </c>
      <c r="Y536" s="13">
        <f t="shared" si="1041"/>
        <v>-0.33333333333333337</v>
      </c>
    </row>
    <row r="537" spans="1:25" ht="14.4">
      <c r="A537" s="98" t="s">
        <v>811</v>
      </c>
      <c r="B537" s="99">
        <v>541233</v>
      </c>
      <c r="C537" s="98" t="s">
        <v>187</v>
      </c>
      <c r="D537" s="100" t="s">
        <v>78</v>
      </c>
      <c r="E537" s="11">
        <f ca="1">IFERROR(__xludf.DUMMYFUNCTION("GOOGLEFINANCE(""BOM:""&amp;B538,""PRICE"")"),109.9)</f>
        <v>109.9</v>
      </c>
      <c r="F537" s="20">
        <f ca="1">IFERROR(__xludf.DUMMYFUNCTION("GOOGLEFINANCE(""BOM:""&amp;B538,""MARKETCAP"")/10000000"),8696.8623357)</f>
        <v>8696.8623356999997</v>
      </c>
      <c r="G537" s="95">
        <f t="shared" ca="1" si="1056"/>
        <v>2.1586398450049114E-4</v>
      </c>
      <c r="H537" s="101">
        <v>1028</v>
      </c>
      <c r="I537" s="101">
        <v>907</v>
      </c>
      <c r="J537" s="101">
        <v>171</v>
      </c>
      <c r="K537" s="101">
        <v>135</v>
      </c>
      <c r="L537" s="101">
        <v>406</v>
      </c>
      <c r="M537" s="101">
        <v>355</v>
      </c>
      <c r="N537" s="101">
        <v>81</v>
      </c>
      <c r="O537" s="101">
        <v>79</v>
      </c>
      <c r="P537" s="13">
        <f t="shared" ref="P537:Q537" si="1087">J537/H537</f>
        <v>0.16634241245136186</v>
      </c>
      <c r="Q537" s="13">
        <f t="shared" si="1087"/>
        <v>0.14884233737596472</v>
      </c>
      <c r="R537" s="13">
        <f t="shared" si="1035"/>
        <v>1.7500075075397137E-2</v>
      </c>
      <c r="S537" s="13">
        <f t="shared" ref="S537:T537" si="1088">N537/L537</f>
        <v>0.19950738916256158</v>
      </c>
      <c r="T537" s="13">
        <f t="shared" si="1088"/>
        <v>0.22253521126760564</v>
      </c>
      <c r="U537" s="13">
        <f t="shared" si="1037"/>
        <v>-2.302782210504406E-2</v>
      </c>
      <c r="V537" s="13">
        <f t="shared" si="1038"/>
        <v>0.13340683572216094</v>
      </c>
      <c r="W537" s="13">
        <f t="shared" si="1039"/>
        <v>0.26666666666666661</v>
      </c>
      <c r="X537" s="13">
        <f t="shared" si="1040"/>
        <v>0.14366197183098595</v>
      </c>
      <c r="Y537" s="13">
        <f t="shared" si="1041"/>
        <v>2.5316455696202445E-2</v>
      </c>
    </row>
    <row r="538" spans="1:25" ht="14.4">
      <c r="A538" s="98" t="s">
        <v>812</v>
      </c>
      <c r="B538" s="99">
        <v>543317</v>
      </c>
      <c r="C538" s="98" t="s">
        <v>180</v>
      </c>
      <c r="D538" s="101" t="s">
        <v>181</v>
      </c>
      <c r="E538" s="11">
        <f ca="1">IFERROR(__xludf.DUMMYFUNCTION("GOOGLEFINANCE(""BOM:""&amp;B539,""PRICE"")"),835.2)</f>
        <v>835.2</v>
      </c>
      <c r="F538" s="20">
        <f ca="1">IFERROR(__xludf.DUMMYFUNCTION("GOOGLEFINANCE(""BOM:""&amp;B539,""MARKETCAP"")/10000000"),8082.6556349)</f>
        <v>8082.6556349000002</v>
      </c>
      <c r="G538" s="95">
        <f t="shared" ca="1" si="1056"/>
        <v>2.0061881898863332E-4</v>
      </c>
      <c r="H538" s="101">
        <v>5898</v>
      </c>
      <c r="I538" s="101">
        <v>5119</v>
      </c>
      <c r="J538" s="101">
        <v>692</v>
      </c>
      <c r="K538" s="101">
        <v>612</v>
      </c>
      <c r="L538" s="101">
        <v>2308</v>
      </c>
      <c r="M538" s="101">
        <v>1694</v>
      </c>
      <c r="N538" s="101">
        <v>258</v>
      </c>
      <c r="O538" s="101">
        <v>262</v>
      </c>
      <c r="P538" s="13">
        <f t="shared" ref="P538:Q538" si="1089">J538/H538</f>
        <v>0.11732790776534419</v>
      </c>
      <c r="Q538" s="13">
        <f t="shared" si="1089"/>
        <v>0.1195546005079117</v>
      </c>
      <c r="R538" s="13">
        <f t="shared" si="1035"/>
        <v>-2.2266927425675098E-3</v>
      </c>
      <c r="S538" s="13">
        <f t="shared" ref="S538:T538" si="1090">N538/L538</f>
        <v>0.11178509532062392</v>
      </c>
      <c r="T538" s="13">
        <f t="shared" si="1090"/>
        <v>0.15466351829988192</v>
      </c>
      <c r="U538" s="13">
        <f t="shared" si="1037"/>
        <v>-4.2878422979258007E-2</v>
      </c>
      <c r="V538" s="13">
        <f t="shared" si="1038"/>
        <v>0.15217815979683524</v>
      </c>
      <c r="W538" s="13">
        <f t="shared" si="1039"/>
        <v>0.13071895424836599</v>
      </c>
      <c r="X538" s="13">
        <f t="shared" si="1040"/>
        <v>0.36245572609208976</v>
      </c>
      <c r="Y538" s="13">
        <f t="shared" si="1041"/>
        <v>-1.5267175572519109E-2</v>
      </c>
    </row>
    <row r="539" spans="1:25" ht="14.4">
      <c r="A539" s="98" t="s">
        <v>813</v>
      </c>
      <c r="B539" s="99">
        <v>543482</v>
      </c>
      <c r="C539" s="98" t="s">
        <v>187</v>
      </c>
      <c r="D539" s="100" t="s">
        <v>93</v>
      </c>
      <c r="E539" s="11">
        <f ca="1">IFERROR(__xludf.DUMMYFUNCTION("GOOGLEFINANCE(""BOM:""&amp;B540,""PRICE"")"),456.6)</f>
        <v>456.6</v>
      </c>
      <c r="F539" s="20">
        <f ca="1">IFERROR(__xludf.DUMMYFUNCTION("GOOGLEFINANCE(""BOM:""&amp;B540,""MARKETCAP"")/10000000"),8833.8678928)</f>
        <v>8833.8678928000008</v>
      </c>
      <c r="G539" s="95">
        <f t="shared" ca="1" si="1056"/>
        <v>2.1926458627073123E-4</v>
      </c>
      <c r="H539" s="101">
        <v>2025</v>
      </c>
      <c r="I539" s="101">
        <v>1824</v>
      </c>
      <c r="J539" s="101">
        <v>111</v>
      </c>
      <c r="K539" s="101">
        <v>114</v>
      </c>
      <c r="L539" s="101">
        <v>645</v>
      </c>
      <c r="M539" s="101">
        <v>597</v>
      </c>
      <c r="N539" s="101">
        <v>9</v>
      </c>
      <c r="O539" s="101">
        <v>35</v>
      </c>
      <c r="P539" s="13">
        <f t="shared" ref="P539:Q539" si="1091">J539/H539</f>
        <v>5.4814814814814816E-2</v>
      </c>
      <c r="Q539" s="13">
        <f t="shared" si="1091"/>
        <v>6.25E-2</v>
      </c>
      <c r="R539" s="13">
        <f t="shared" si="1035"/>
        <v>-7.6851851851851838E-3</v>
      </c>
      <c r="S539" s="13">
        <f t="shared" ref="S539:T539" si="1092">N539/L539</f>
        <v>1.3953488372093023E-2</v>
      </c>
      <c r="T539" s="13">
        <f t="shared" si="1092"/>
        <v>5.8626465661641543E-2</v>
      </c>
      <c r="U539" s="13">
        <f t="shared" si="1037"/>
        <v>-4.467297728954852E-2</v>
      </c>
      <c r="V539" s="13">
        <f t="shared" si="1038"/>
        <v>0.11019736842105265</v>
      </c>
      <c r="W539" s="13">
        <f t="shared" si="1039"/>
        <v>-2.6315789473684181E-2</v>
      </c>
      <c r="X539" s="13">
        <f t="shared" si="1040"/>
        <v>8.040201005025116E-2</v>
      </c>
      <c r="Y539" s="13">
        <f t="shared" si="1041"/>
        <v>-0.74285714285714288</v>
      </c>
    </row>
    <row r="540" spans="1:25" ht="14.4">
      <c r="A540" s="98" t="s">
        <v>814</v>
      </c>
      <c r="B540" s="99">
        <v>500674</v>
      </c>
      <c r="C540" s="98" t="s">
        <v>190</v>
      </c>
      <c r="D540" s="101" t="s">
        <v>100</v>
      </c>
      <c r="E540" s="11">
        <f ca="1">IFERROR(__xludf.DUMMYFUNCTION("GOOGLEFINANCE(""BOM:""&amp;B541,""PRICE"")"),3340.4)</f>
        <v>3340.4</v>
      </c>
      <c r="F540" s="20">
        <f ca="1">IFERROR(__xludf.DUMMYFUNCTION("GOOGLEFINANCE(""BOM:""&amp;B541,""MARKETCAP"")/10000000"),7680.4812388)</f>
        <v>7680.4812388</v>
      </c>
      <c r="G540" s="95">
        <f t="shared" ca="1" si="1056"/>
        <v>1.9063648694114815E-4</v>
      </c>
      <c r="H540" s="101"/>
      <c r="I540" s="101"/>
      <c r="J540" s="101"/>
      <c r="K540" s="101"/>
      <c r="L540" s="101"/>
      <c r="M540" s="101"/>
      <c r="N540" s="101"/>
      <c r="O540" s="101"/>
      <c r="P540" s="13" t="e">
        <f t="shared" ref="P540:Q540" si="1093">J540/H540</f>
        <v>#DIV/0!</v>
      </c>
      <c r="Q540" s="13" t="e">
        <f t="shared" si="1093"/>
        <v>#DIV/0!</v>
      </c>
      <c r="R540" s="13" t="e">
        <f t="shared" si="1035"/>
        <v>#DIV/0!</v>
      </c>
      <c r="S540" s="13" t="e">
        <f t="shared" ref="S540:T540" si="1094">N540/L540</f>
        <v>#DIV/0!</v>
      </c>
      <c r="T540" s="13" t="e">
        <f t="shared" si="1094"/>
        <v>#DIV/0!</v>
      </c>
      <c r="U540" s="13" t="e">
        <f t="shared" si="1037"/>
        <v>#DIV/0!</v>
      </c>
      <c r="V540" s="13" t="e">
        <f t="shared" si="1038"/>
        <v>#DIV/0!</v>
      </c>
      <c r="W540" s="13" t="e">
        <f t="shared" si="1039"/>
        <v>#DIV/0!</v>
      </c>
      <c r="X540" s="13" t="e">
        <f t="shared" si="1040"/>
        <v>#DIV/0!</v>
      </c>
      <c r="Y540" s="13" t="e">
        <f t="shared" si="1041"/>
        <v>#DIV/0!</v>
      </c>
    </row>
    <row r="541" spans="1:25" ht="14.4">
      <c r="A541" s="104" t="s">
        <v>815</v>
      </c>
      <c r="B541" s="99">
        <v>513377</v>
      </c>
      <c r="C541" s="98" t="s">
        <v>206</v>
      </c>
      <c r="D541" s="108" t="s">
        <v>563</v>
      </c>
      <c r="E541" s="11">
        <f ca="1">IFERROR(__xludf.DUMMYFUNCTION("GOOGLEFINANCE(""BOM:""&amp;B542,""PRICE"")"),56.42)</f>
        <v>56.42</v>
      </c>
      <c r="F541" s="20">
        <f ca="1">IFERROR(__xludf.DUMMYFUNCTION("GOOGLEFINANCE(""BOM:""&amp;B542,""MARKETCAP"")/10000000"),8461.7866953)</f>
        <v>8461.7866952999993</v>
      </c>
      <c r="G541" s="95">
        <f t="shared" ca="1" si="1056"/>
        <v>2.1002919461455185E-4</v>
      </c>
      <c r="H541" s="101">
        <v>3</v>
      </c>
      <c r="I541" s="101">
        <v>2</v>
      </c>
      <c r="J541" s="101">
        <v>261</v>
      </c>
      <c r="K541" s="101">
        <v>84</v>
      </c>
      <c r="L541" s="101">
        <v>0.34</v>
      </c>
      <c r="M541" s="101">
        <v>0.25</v>
      </c>
      <c r="N541" s="101">
        <v>46</v>
      </c>
      <c r="O541" s="101">
        <v>4</v>
      </c>
      <c r="P541" s="13">
        <f t="shared" ref="P541:Q541" si="1095">J541/H541</f>
        <v>87</v>
      </c>
      <c r="Q541" s="13">
        <f t="shared" si="1095"/>
        <v>42</v>
      </c>
      <c r="R541" s="13">
        <f t="shared" si="1035"/>
        <v>45</v>
      </c>
      <c r="S541" s="13">
        <f t="shared" ref="S541:T541" si="1096">N541/L541</f>
        <v>135.29411764705881</v>
      </c>
      <c r="T541" s="13">
        <f t="shared" si="1096"/>
        <v>16</v>
      </c>
      <c r="U541" s="13">
        <f t="shared" si="1037"/>
        <v>119.29411764705881</v>
      </c>
      <c r="V541" s="13">
        <f t="shared" si="1038"/>
        <v>0.5</v>
      </c>
      <c r="W541" s="13">
        <f t="shared" si="1039"/>
        <v>2.1071428571428572</v>
      </c>
      <c r="X541" s="13">
        <f t="shared" si="1040"/>
        <v>0.3600000000000001</v>
      </c>
      <c r="Y541" s="13">
        <f t="shared" si="1041"/>
        <v>10.5</v>
      </c>
    </row>
    <row r="542" spans="1:25" ht="14.4">
      <c r="A542" s="98" t="s">
        <v>816</v>
      </c>
      <c r="B542" s="99">
        <v>500463</v>
      </c>
      <c r="C542" s="98" t="s">
        <v>174</v>
      </c>
      <c r="D542" s="102" t="s">
        <v>455</v>
      </c>
      <c r="E542" s="11">
        <f ca="1">IFERROR(__xludf.DUMMYFUNCTION("GOOGLEFINANCE(""BOM:""&amp;B543,""PRICE"")"),475.95)</f>
        <v>475.95</v>
      </c>
      <c r="F542" s="20">
        <f ca="1">IFERROR(__xludf.DUMMYFUNCTION("GOOGLEFINANCE(""BOM:""&amp;B543,""MARKETCAP"")/10000000"),8437.2344403)</f>
        <v>8437.2344403000006</v>
      </c>
      <c r="G542" s="95">
        <f t="shared" ca="1" si="1056"/>
        <v>2.0941978545200644E-4</v>
      </c>
      <c r="H542" s="101">
        <v>4631</v>
      </c>
      <c r="I542" s="101">
        <v>4422</v>
      </c>
      <c r="J542" s="101">
        <v>153</v>
      </c>
      <c r="K542" s="101">
        <v>144</v>
      </c>
      <c r="L542" s="101">
        <v>1659</v>
      </c>
      <c r="M542" s="101">
        <v>1502</v>
      </c>
      <c r="N542" s="101">
        <v>50</v>
      </c>
      <c r="O542" s="101">
        <v>56</v>
      </c>
      <c r="P542" s="13">
        <f t="shared" ref="P542:Q542" si="1097">J542/H542</f>
        <v>3.3038220686676743E-2</v>
      </c>
      <c r="Q542" s="13">
        <f t="shared" si="1097"/>
        <v>3.2564450474898234E-2</v>
      </c>
      <c r="R542" s="13">
        <f t="shared" si="1035"/>
        <v>4.7377021177850975E-4</v>
      </c>
      <c r="S542" s="13">
        <f t="shared" ref="S542:T542" si="1098">N542/L542</f>
        <v>3.0138637733574444E-2</v>
      </c>
      <c r="T542" s="13">
        <f t="shared" si="1098"/>
        <v>3.7283621837549935E-2</v>
      </c>
      <c r="U542" s="13">
        <f t="shared" si="1037"/>
        <v>-7.1449841039754915E-3</v>
      </c>
      <c r="V542" s="13">
        <f t="shared" si="1038"/>
        <v>4.7263681592039752E-2</v>
      </c>
      <c r="W542" s="13">
        <f t="shared" si="1039"/>
        <v>6.25E-2</v>
      </c>
      <c r="X542" s="13">
        <f t="shared" si="1040"/>
        <v>0.10452729693741669</v>
      </c>
      <c r="Y542" s="13">
        <f t="shared" si="1041"/>
        <v>-0.1071428571428571</v>
      </c>
    </row>
    <row r="543" spans="1:25" ht="14.4">
      <c r="A543" s="104" t="s">
        <v>817</v>
      </c>
      <c r="B543" s="99">
        <v>543490</v>
      </c>
      <c r="C543" s="98" t="s">
        <v>198</v>
      </c>
      <c r="D543" s="100" t="s">
        <v>199</v>
      </c>
      <c r="E543" s="11">
        <f ca="1">IFERROR(__xludf.DUMMYFUNCTION("GOOGLEFINANCE(""BOM:""&amp;B544,""PRICE"")"),98.78)</f>
        <v>98.78</v>
      </c>
      <c r="F543" s="20">
        <f ca="1">IFERROR(__xludf.DUMMYFUNCTION("GOOGLEFINANCE(""BOM:""&amp;B544,""MARKETCAP"")/10000000"),7719.5766839)</f>
        <v>7719.5766838999998</v>
      </c>
      <c r="G543" s="95">
        <f t="shared" ca="1" si="1056"/>
        <v>1.9160687122795738E-4</v>
      </c>
      <c r="H543" s="101">
        <v>5328</v>
      </c>
      <c r="I543" s="101">
        <v>4607</v>
      </c>
      <c r="J543" s="101">
        <v>700</v>
      </c>
      <c r="K543" s="101">
        <v>1560</v>
      </c>
      <c r="L543" s="101">
        <v>1869</v>
      </c>
      <c r="M543" s="101">
        <v>1611</v>
      </c>
      <c r="N543" s="101">
        <v>-160</v>
      </c>
      <c r="O543" s="101">
        <v>-90</v>
      </c>
      <c r="P543" s="13">
        <f t="shared" ref="P543:Q543" si="1099">J543/H543</f>
        <v>0.13138138138138139</v>
      </c>
      <c r="Q543" s="13">
        <f t="shared" si="1099"/>
        <v>0.33861515085739091</v>
      </c>
      <c r="R543" s="13">
        <f t="shared" si="1035"/>
        <v>-0.20723376947600952</v>
      </c>
      <c r="S543" s="13">
        <f t="shared" ref="S543:T543" si="1100">N543/L543</f>
        <v>-8.5607276618512571E-2</v>
      </c>
      <c r="T543" s="13">
        <f t="shared" si="1100"/>
        <v>-5.5865921787709494E-2</v>
      </c>
      <c r="U543" s="13">
        <f t="shared" si="1037"/>
        <v>-2.9741354830803077E-2</v>
      </c>
      <c r="V543" s="13">
        <f t="shared" si="1038"/>
        <v>0.15650097677447361</v>
      </c>
      <c r="W543" s="13">
        <f t="shared" si="1039"/>
        <v>-0.55128205128205132</v>
      </c>
      <c r="X543" s="13">
        <f t="shared" si="1040"/>
        <v>0.16014897579143383</v>
      </c>
      <c r="Y543" s="13">
        <f t="shared" si="1041"/>
        <v>0.77777777777777768</v>
      </c>
    </row>
    <row r="544" spans="1:25" ht="14.4">
      <c r="A544" s="98" t="s">
        <v>818</v>
      </c>
      <c r="B544" s="99">
        <v>532356</v>
      </c>
      <c r="C544" s="98" t="s">
        <v>183</v>
      </c>
      <c r="D544" s="102" t="s">
        <v>797</v>
      </c>
      <c r="E544" s="11">
        <f ca="1">IFERROR(__xludf.DUMMYFUNCTION("GOOGLEFINANCE(""BOM:""&amp;B545,""PRICE"")"),389.85)</f>
        <v>389.85</v>
      </c>
      <c r="F544" s="20">
        <f ca="1">IFERROR(__xludf.DUMMYFUNCTION("GOOGLEFINANCE(""BOM:""&amp;B545,""MARKETCAP"")/10000000"),8537.0181)</f>
        <v>8537.0180999999993</v>
      </c>
      <c r="G544" s="95">
        <f t="shared" ca="1" si="1056"/>
        <v>2.1189650608290154E-4</v>
      </c>
      <c r="H544" s="101">
        <v>5787</v>
      </c>
      <c r="I544" s="101">
        <v>4883</v>
      </c>
      <c r="J544" s="101">
        <v>101</v>
      </c>
      <c r="K544" s="101">
        <v>51</v>
      </c>
      <c r="L544" s="101">
        <v>1818</v>
      </c>
      <c r="M544" s="101">
        <v>1600</v>
      </c>
      <c r="N544" s="101">
        <v>78</v>
      </c>
      <c r="O544" s="101">
        <v>43</v>
      </c>
      <c r="P544" s="13">
        <f t="shared" ref="P544:Q544" si="1101">J544/H544</f>
        <v>1.745291169863487E-2</v>
      </c>
      <c r="Q544" s="13">
        <f t="shared" si="1101"/>
        <v>1.0444398935080893E-2</v>
      </c>
      <c r="R544" s="13">
        <f t="shared" si="1035"/>
        <v>7.0085127635539767E-3</v>
      </c>
      <c r="S544" s="13">
        <f t="shared" ref="S544:T544" si="1102">N544/L544</f>
        <v>4.2904290429042903E-2</v>
      </c>
      <c r="T544" s="13">
        <f t="shared" si="1102"/>
        <v>2.6875E-2</v>
      </c>
      <c r="U544" s="13">
        <f t="shared" si="1037"/>
        <v>1.6029290429042903E-2</v>
      </c>
      <c r="V544" s="13">
        <f t="shared" si="1038"/>
        <v>0.18513209092770833</v>
      </c>
      <c r="W544" s="13">
        <f t="shared" si="1039"/>
        <v>0.98039215686274517</v>
      </c>
      <c r="X544" s="13">
        <f t="shared" si="1040"/>
        <v>0.13624999999999998</v>
      </c>
      <c r="Y544" s="13">
        <f t="shared" si="1041"/>
        <v>0.81395348837209291</v>
      </c>
    </row>
    <row r="545" spans="1:25" ht="14.4">
      <c r="A545" s="98" t="s">
        <v>819</v>
      </c>
      <c r="B545" s="99">
        <v>534618</v>
      </c>
      <c r="C545" s="98" t="s">
        <v>180</v>
      </c>
      <c r="D545" s="102" t="s">
        <v>344</v>
      </c>
      <c r="E545" s="11">
        <f ca="1">IFERROR(__xludf.DUMMYFUNCTION("GOOGLEFINANCE(""BOM:""&amp;B546,""PRICE"")"),863.25)</f>
        <v>863.25</v>
      </c>
      <c r="F545" s="20">
        <f ca="1">IFERROR(__xludf.DUMMYFUNCTION("GOOGLEFINANCE(""BOM:""&amp;B546,""MARKETCAP"")/10000000"),9003.4684697)</f>
        <v>9003.4684696999993</v>
      </c>
      <c r="G545" s="95">
        <f t="shared" ca="1" si="1056"/>
        <v>2.2347422589592475E-4</v>
      </c>
      <c r="H545" s="101">
        <v>2229</v>
      </c>
      <c r="I545" s="101">
        <v>1121</v>
      </c>
      <c r="J545" s="101">
        <v>322</v>
      </c>
      <c r="K545" s="101">
        <v>135</v>
      </c>
      <c r="L545" s="101">
        <v>851</v>
      </c>
      <c r="M545" s="101">
        <v>360</v>
      </c>
      <c r="N545" s="101">
        <v>120</v>
      </c>
      <c r="O545" s="101">
        <v>53</v>
      </c>
      <c r="P545" s="13">
        <f t="shared" ref="P545:Q545" si="1103">J545/H545</f>
        <v>0.14445939883355766</v>
      </c>
      <c r="Q545" s="13">
        <f t="shared" si="1103"/>
        <v>0.12042818911685994</v>
      </c>
      <c r="R545" s="13">
        <f t="shared" si="1035"/>
        <v>2.4031209716697713E-2</v>
      </c>
      <c r="S545" s="13">
        <f t="shared" ref="S545:T545" si="1104">N545/L545</f>
        <v>0.14101057579318449</v>
      </c>
      <c r="T545" s="13">
        <f t="shared" si="1104"/>
        <v>0.14722222222222223</v>
      </c>
      <c r="U545" s="13">
        <f t="shared" si="1037"/>
        <v>-6.2116464290377371E-3</v>
      </c>
      <c r="V545" s="13">
        <f t="shared" si="1038"/>
        <v>0.9884032114183765</v>
      </c>
      <c r="W545" s="13">
        <f t="shared" si="1039"/>
        <v>1.3851851851851853</v>
      </c>
      <c r="X545" s="13">
        <f t="shared" si="1040"/>
        <v>1.3638888888888889</v>
      </c>
      <c r="Y545" s="13">
        <f t="shared" si="1041"/>
        <v>1.2641509433962264</v>
      </c>
    </row>
    <row r="546" spans="1:25" ht="14.4">
      <c r="A546" s="98" t="s">
        <v>820</v>
      </c>
      <c r="B546" s="99">
        <v>543333</v>
      </c>
      <c r="C546" s="98" t="s">
        <v>187</v>
      </c>
      <c r="D546" s="70" t="s">
        <v>120</v>
      </c>
      <c r="E546" s="11">
        <f ca="1">IFERROR(__xludf.DUMMYFUNCTION("GOOGLEFINANCE(""BOM:""&amp;B547,""PRICE"")"),1741.4)</f>
        <v>1741.4</v>
      </c>
      <c r="F546" s="20">
        <f ca="1">IFERROR(__xludf.DUMMYFUNCTION("GOOGLEFINANCE(""BOM:""&amp;B547,""MARKETCAP"")/10000000"),8333.1711215)</f>
        <v>8333.1711214999996</v>
      </c>
      <c r="G546" s="95">
        <f t="shared" ca="1" si="1056"/>
        <v>2.0683683981374999E-4</v>
      </c>
      <c r="H546" s="101">
        <v>576</v>
      </c>
      <c r="I546" s="101">
        <v>471</v>
      </c>
      <c r="J546" s="101">
        <v>172</v>
      </c>
      <c r="K546" s="101">
        <v>99</v>
      </c>
      <c r="L546" s="101">
        <v>209</v>
      </c>
      <c r="M546" s="101">
        <v>176</v>
      </c>
      <c r="N546" s="101">
        <v>61</v>
      </c>
      <c r="O546" s="101">
        <v>45</v>
      </c>
      <c r="P546" s="13">
        <f t="shared" ref="P546:Q546" si="1105">J546/H546</f>
        <v>0.2986111111111111</v>
      </c>
      <c r="Q546" s="13">
        <f t="shared" si="1105"/>
        <v>0.21019108280254778</v>
      </c>
      <c r="R546" s="13">
        <f t="shared" si="1035"/>
        <v>8.8420028308563325E-2</v>
      </c>
      <c r="S546" s="13">
        <f t="shared" ref="S546:T546" si="1106">N546/L546</f>
        <v>0.291866028708134</v>
      </c>
      <c r="T546" s="13">
        <f t="shared" si="1106"/>
        <v>0.25568181818181818</v>
      </c>
      <c r="U546" s="13">
        <f t="shared" si="1037"/>
        <v>3.6184210526315819E-2</v>
      </c>
      <c r="V546" s="13">
        <f t="shared" si="1038"/>
        <v>0.22292993630573243</v>
      </c>
      <c r="W546" s="13">
        <f t="shared" si="1039"/>
        <v>0.73737373737373746</v>
      </c>
      <c r="X546" s="13">
        <f t="shared" si="1040"/>
        <v>0.1875</v>
      </c>
      <c r="Y546" s="13">
        <f t="shared" si="1041"/>
        <v>0.35555555555555562</v>
      </c>
    </row>
    <row r="547" spans="1:25" ht="14.4">
      <c r="A547" s="98" t="s">
        <v>821</v>
      </c>
      <c r="B547" s="99">
        <v>500380</v>
      </c>
      <c r="C547" s="98" t="s">
        <v>196</v>
      </c>
      <c r="D547" s="70" t="s">
        <v>109</v>
      </c>
      <c r="E547" s="11">
        <f ca="1">IFERROR(__xludf.DUMMYFUNCTION("GOOGLEFINANCE(""BOM:""&amp;B548,""PRICE"")"),590.15)</f>
        <v>590.15</v>
      </c>
      <c r="F547" s="20">
        <f ca="1">IFERROR(__xludf.DUMMYFUNCTION("GOOGLEFINANCE(""BOM:""&amp;B548,""MARKETCAP"")/10000000"),7333.83043)</f>
        <v>7333.83043</v>
      </c>
      <c r="G547" s="95">
        <f t="shared" ca="1" si="1056"/>
        <v>1.8203230051971702E-4</v>
      </c>
      <c r="H547" s="101">
        <v>4861</v>
      </c>
      <c r="I547" s="101">
        <v>4295</v>
      </c>
      <c r="J547" s="101">
        <v>288</v>
      </c>
      <c r="K547" s="101">
        <v>101</v>
      </c>
      <c r="L547" s="101">
        <v>1588</v>
      </c>
      <c r="M547" s="101">
        <v>1497</v>
      </c>
      <c r="N547" s="101">
        <v>57</v>
      </c>
      <c r="O547" s="101">
        <v>75</v>
      </c>
      <c r="P547" s="13">
        <f t="shared" ref="P547:Q547" si="1107">J547/H547</f>
        <v>5.9247068504422962E-2</v>
      </c>
      <c r="Q547" s="13">
        <f t="shared" si="1107"/>
        <v>2.351571594877765E-2</v>
      </c>
      <c r="R547" s="13">
        <f t="shared" si="1035"/>
        <v>3.5731352555645315E-2</v>
      </c>
      <c r="S547" s="13">
        <f t="shared" ref="S547:T547" si="1108">N547/L547</f>
        <v>3.5894206549118388E-2</v>
      </c>
      <c r="T547" s="13">
        <f t="shared" si="1108"/>
        <v>5.0100200400801605E-2</v>
      </c>
      <c r="U547" s="13">
        <f t="shared" si="1037"/>
        <v>-1.4205993851683217E-2</v>
      </c>
      <c r="V547" s="13">
        <f t="shared" si="1038"/>
        <v>0.13178114086146686</v>
      </c>
      <c r="W547" s="13">
        <f t="shared" si="1039"/>
        <v>1.8514851485148514</v>
      </c>
      <c r="X547" s="13">
        <f t="shared" si="1040"/>
        <v>6.078824315297271E-2</v>
      </c>
      <c r="Y547" s="13">
        <f t="shared" si="1041"/>
        <v>-0.24</v>
      </c>
    </row>
    <row r="548" spans="1:25" ht="14.4">
      <c r="A548" s="98" t="s">
        <v>822</v>
      </c>
      <c r="B548" s="99">
        <v>500039</v>
      </c>
      <c r="C548" s="98" t="s">
        <v>187</v>
      </c>
      <c r="D548" s="100" t="s">
        <v>312</v>
      </c>
      <c r="E548" s="11">
        <f ca="1">IFERROR(__xludf.DUMMYFUNCTION("GOOGLEFINANCE(""BOM:""&amp;B549,""PRICE"")"),531.65)</f>
        <v>531.65</v>
      </c>
      <c r="F548" s="20">
        <f ca="1">IFERROR(__xludf.DUMMYFUNCTION("GOOGLEFINANCE(""BOM:""&amp;B549,""MARKETCAP"")/10000000"),7615.3062012)</f>
        <v>7615.3062012</v>
      </c>
      <c r="G548" s="95">
        <f t="shared" ca="1" si="1056"/>
        <v>1.8901878359444191E-4</v>
      </c>
      <c r="H548" s="101">
        <v>2776</v>
      </c>
      <c r="I548" s="101">
        <v>2318</v>
      </c>
      <c r="J548" s="101">
        <v>334</v>
      </c>
      <c r="K548" s="101">
        <v>238</v>
      </c>
      <c r="L548" s="101">
        <v>781</v>
      </c>
      <c r="M548" s="101">
        <v>632</v>
      </c>
      <c r="N548" s="101">
        <v>85</v>
      </c>
      <c r="O548" s="101">
        <v>30</v>
      </c>
      <c r="P548" s="13">
        <f t="shared" ref="P548:Q548" si="1109">J548/H548</f>
        <v>0.12031700288184438</v>
      </c>
      <c r="Q548" s="13">
        <f t="shared" si="1109"/>
        <v>0.10267471958584987</v>
      </c>
      <c r="R548" s="13">
        <f t="shared" si="1035"/>
        <v>1.7642283295994515E-2</v>
      </c>
      <c r="S548" s="13">
        <f t="shared" ref="S548:T548" si="1110">N548/L548</f>
        <v>0.1088348271446863</v>
      </c>
      <c r="T548" s="13">
        <f t="shared" si="1110"/>
        <v>4.746835443037975E-2</v>
      </c>
      <c r="U548" s="13">
        <f t="shared" si="1037"/>
        <v>6.136647271430655E-2</v>
      </c>
      <c r="V548" s="13">
        <f t="shared" si="1038"/>
        <v>0.19758412424503891</v>
      </c>
      <c r="W548" s="13">
        <f t="shared" si="1039"/>
        <v>0.40336134453781503</v>
      </c>
      <c r="X548" s="13">
        <f t="shared" si="1040"/>
        <v>0.235759493670886</v>
      </c>
      <c r="Y548" s="13">
        <f t="shared" si="1041"/>
        <v>1.8333333333333335</v>
      </c>
    </row>
    <row r="549" spans="1:25" ht="14.4">
      <c r="A549" s="98" t="s">
        <v>823</v>
      </c>
      <c r="B549" s="99">
        <v>500472</v>
      </c>
      <c r="C549" s="98" t="s">
        <v>187</v>
      </c>
      <c r="D549" s="100" t="s">
        <v>312</v>
      </c>
      <c r="E549" s="11">
        <f ca="1">IFERROR(__xludf.DUMMYFUNCTION("GOOGLEFINANCE(""BOM:""&amp;B550,""PRICE"")"),1517.95)</f>
        <v>1517.95</v>
      </c>
      <c r="F549" s="20">
        <f ca="1">IFERROR(__xludf.DUMMYFUNCTION("GOOGLEFINANCE(""BOM:""&amp;B550,""MARKETCAP"")/10000000"),7495.2889949)</f>
        <v>7495.2889949</v>
      </c>
      <c r="G549" s="95">
        <f t="shared" ca="1" si="1056"/>
        <v>1.8603984804728632E-4</v>
      </c>
      <c r="H549" s="101">
        <v>3168</v>
      </c>
      <c r="I549" s="101">
        <v>3706</v>
      </c>
      <c r="J549" s="101">
        <v>285</v>
      </c>
      <c r="K549" s="101">
        <v>362</v>
      </c>
      <c r="L549" s="101">
        <v>576</v>
      </c>
      <c r="M549" s="101">
        <v>1256</v>
      </c>
      <c r="N549" s="101">
        <v>62</v>
      </c>
      <c r="O549" s="101">
        <v>109</v>
      </c>
      <c r="P549" s="13">
        <f t="shared" ref="P549:Q549" si="1111">J549/H549</f>
        <v>8.9962121212121215E-2</v>
      </c>
      <c r="Q549" s="13">
        <f t="shared" si="1111"/>
        <v>9.7679438747976258E-2</v>
      </c>
      <c r="R549" s="13">
        <f t="shared" si="1035"/>
        <v>-7.7173175358550422E-3</v>
      </c>
      <c r="S549" s="13">
        <f t="shared" ref="S549:T549" si="1112">N549/L549</f>
        <v>0.1076388888888889</v>
      </c>
      <c r="T549" s="13">
        <f t="shared" si="1112"/>
        <v>8.6783439490445854E-2</v>
      </c>
      <c r="U549" s="13">
        <f t="shared" si="1037"/>
        <v>2.0855449398443041E-2</v>
      </c>
      <c r="V549" s="13">
        <f t="shared" si="1038"/>
        <v>-0.1451699946033459</v>
      </c>
      <c r="W549" s="13">
        <f t="shared" si="1039"/>
        <v>-0.21270718232044195</v>
      </c>
      <c r="X549" s="13">
        <f t="shared" si="1040"/>
        <v>-0.54140127388535031</v>
      </c>
      <c r="Y549" s="13">
        <f t="shared" si="1041"/>
        <v>-0.43119266055045868</v>
      </c>
    </row>
    <row r="550" spans="1:25" ht="14.4">
      <c r="A550" s="98" t="s">
        <v>824</v>
      </c>
      <c r="B550" s="99">
        <v>540575</v>
      </c>
      <c r="C550" s="98" t="s">
        <v>196</v>
      </c>
      <c r="D550" s="102" t="s">
        <v>109</v>
      </c>
      <c r="E550" s="11">
        <f ca="1">IFERROR(__xludf.DUMMYFUNCTION("GOOGLEFINANCE(""BOM:""&amp;B551,""PRICE"")"),209.6)</f>
        <v>209.6</v>
      </c>
      <c r="F550" s="20">
        <f ca="1">IFERROR(__xludf.DUMMYFUNCTION("GOOGLEFINANCE(""BOM:""&amp;B551,""MARKETCAP"")/10000000"),8452.4178781)</f>
        <v>8452.4178780999991</v>
      </c>
      <c r="G550" s="95">
        <f t="shared" ca="1" si="1056"/>
        <v>2.097966521029213E-4</v>
      </c>
      <c r="H550" s="101">
        <v>2602</v>
      </c>
      <c r="I550" s="101">
        <v>2111</v>
      </c>
      <c r="J550" s="101">
        <v>243</v>
      </c>
      <c r="K550" s="101">
        <v>45</v>
      </c>
      <c r="L550" s="101">
        <v>880</v>
      </c>
      <c r="M550" s="101">
        <v>718</v>
      </c>
      <c r="N550" s="101">
        <v>74</v>
      </c>
      <c r="O550" s="101">
        <v>9</v>
      </c>
      <c r="P550" s="13">
        <f t="shared" ref="P550:Q550" si="1113">J550/H550</f>
        <v>9.3389700230591857E-2</v>
      </c>
      <c r="Q550" s="13">
        <f t="shared" si="1113"/>
        <v>2.1316911416390336E-2</v>
      </c>
      <c r="R550" s="13">
        <f t="shared" si="1035"/>
        <v>7.2072788814201524E-2</v>
      </c>
      <c r="S550" s="13">
        <f t="shared" ref="S550:T550" si="1114">N550/L550</f>
        <v>8.4090909090909091E-2</v>
      </c>
      <c r="T550" s="13">
        <f t="shared" si="1114"/>
        <v>1.2534818941504178E-2</v>
      </c>
      <c r="U550" s="13">
        <f t="shared" si="1037"/>
        <v>7.1556090149404908E-2</v>
      </c>
      <c r="V550" s="13">
        <f t="shared" si="1038"/>
        <v>0.23259118900994791</v>
      </c>
      <c r="W550" s="13">
        <f t="shared" si="1039"/>
        <v>4.4000000000000004</v>
      </c>
      <c r="X550" s="13">
        <f t="shared" si="1040"/>
        <v>0.22562674094707513</v>
      </c>
      <c r="Y550" s="13">
        <f t="shared" si="1041"/>
        <v>7.2222222222222214</v>
      </c>
    </row>
    <row r="551" spans="1:25" ht="14.4">
      <c r="A551" s="104" t="s">
        <v>825</v>
      </c>
      <c r="B551" s="99">
        <v>540595</v>
      </c>
      <c r="C551" s="98" t="s">
        <v>170</v>
      </c>
      <c r="D551" s="100" t="s">
        <v>526</v>
      </c>
      <c r="E551" s="11">
        <f ca="1">IFERROR(__xludf.DUMMYFUNCTION("GOOGLEFINANCE(""BOM:""&amp;B552,""PRICE"")"),425)</f>
        <v>425</v>
      </c>
      <c r="F551" s="20">
        <f ca="1">IFERROR(__xludf.DUMMYFUNCTION("GOOGLEFINANCE(""BOM:""&amp;B552,""MARKETCAP"")/10000000"),7540.5769442)</f>
        <v>7540.5769442000001</v>
      </c>
      <c r="G551" s="95">
        <f t="shared" ca="1" si="1056"/>
        <v>1.871639358859111E-4</v>
      </c>
      <c r="H551" s="101">
        <v>770</v>
      </c>
      <c r="I551" s="101">
        <v>7016</v>
      </c>
      <c r="J551" s="101">
        <v>-697</v>
      </c>
      <c r="K551" s="101">
        <v>518</v>
      </c>
      <c r="L551" s="101">
        <v>306</v>
      </c>
      <c r="M551" s="101">
        <v>2642</v>
      </c>
      <c r="N551" s="101">
        <v>-196</v>
      </c>
      <c r="O551" s="101">
        <v>165</v>
      </c>
      <c r="P551" s="13">
        <f t="shared" ref="P551:Q551" si="1115">J551/H551</f>
        <v>-0.90519480519480522</v>
      </c>
      <c r="Q551" s="13">
        <f t="shared" si="1115"/>
        <v>7.3831242873432151E-2</v>
      </c>
      <c r="R551" s="13">
        <f t="shared" si="1035"/>
        <v>-0.97902604806823734</v>
      </c>
      <c r="S551" s="13">
        <f t="shared" ref="S551:T551" si="1116">N551/L551</f>
        <v>-0.64052287581699341</v>
      </c>
      <c r="T551" s="13">
        <f t="shared" si="1116"/>
        <v>6.2452687358062073E-2</v>
      </c>
      <c r="U551" s="13">
        <f t="shared" si="1037"/>
        <v>-0.7029755631750555</v>
      </c>
      <c r="V551" s="13">
        <f t="shared" si="1038"/>
        <v>-0.8902508551881414</v>
      </c>
      <c r="W551" s="13">
        <f t="shared" si="1039"/>
        <v>-2.3455598455598459</v>
      </c>
      <c r="X551" s="13">
        <f t="shared" si="1040"/>
        <v>-0.88417865253595762</v>
      </c>
      <c r="Y551" s="13">
        <f t="shared" si="1041"/>
        <v>-2.187878787878788</v>
      </c>
    </row>
    <row r="552" spans="1:25" ht="14.4">
      <c r="A552" s="98" t="s">
        <v>826</v>
      </c>
      <c r="B552" s="99">
        <v>523025</v>
      </c>
      <c r="C552" s="98" t="s">
        <v>187</v>
      </c>
      <c r="D552" s="102" t="s">
        <v>827</v>
      </c>
      <c r="E552" s="11">
        <f ca="1">IFERROR(__xludf.DUMMYFUNCTION("GOOGLEFINANCE(""BOM:""&amp;B553,""PRICE"")"),1511.4)</f>
        <v>1511.4</v>
      </c>
      <c r="F552" s="20">
        <f ca="1">IFERROR(__xludf.DUMMYFUNCTION("GOOGLEFINANCE(""BOM:""&amp;B553,""MARKETCAP"")/10000000"),7386.8130791)</f>
        <v>7386.8130791000003</v>
      </c>
      <c r="G552" s="95">
        <f t="shared" ca="1" si="1056"/>
        <v>1.8334737776282446E-4</v>
      </c>
      <c r="H552" s="101">
        <v>1574</v>
      </c>
      <c r="I552" s="101">
        <v>1350</v>
      </c>
      <c r="J552" s="101">
        <v>130</v>
      </c>
      <c r="K552" s="101">
        <v>105</v>
      </c>
      <c r="L552" s="101">
        <v>512</v>
      </c>
      <c r="M552" s="101">
        <v>443</v>
      </c>
      <c r="N552" s="101">
        <v>33</v>
      </c>
      <c r="O552" s="101">
        <v>31</v>
      </c>
      <c r="P552" s="13">
        <f t="shared" ref="P552:Q552" si="1117">J552/H552</f>
        <v>8.2592121982210928E-2</v>
      </c>
      <c r="Q552" s="13">
        <f t="shared" si="1117"/>
        <v>7.7777777777777779E-2</v>
      </c>
      <c r="R552" s="13">
        <f t="shared" si="1035"/>
        <v>4.8143442044331491E-3</v>
      </c>
      <c r="S552" s="13">
        <f t="shared" ref="S552:T552" si="1118">N552/L552</f>
        <v>6.4453125E-2</v>
      </c>
      <c r="T552" s="13">
        <f t="shared" si="1118"/>
        <v>6.9977426636568849E-2</v>
      </c>
      <c r="U552" s="13">
        <f t="shared" si="1037"/>
        <v>-5.5243016365688485E-3</v>
      </c>
      <c r="V552" s="13">
        <f t="shared" si="1038"/>
        <v>0.16592592592592603</v>
      </c>
      <c r="W552" s="13">
        <f t="shared" si="1039"/>
        <v>0.23809523809523814</v>
      </c>
      <c r="X552" s="13">
        <f t="shared" si="1040"/>
        <v>0.15575620767494347</v>
      </c>
      <c r="Y552" s="13">
        <f t="shared" si="1041"/>
        <v>6.4516129032258007E-2</v>
      </c>
    </row>
    <row r="553" spans="1:25" ht="14.4">
      <c r="A553" s="104" t="s">
        <v>828</v>
      </c>
      <c r="B553" s="99">
        <v>532374</v>
      </c>
      <c r="C553" s="98" t="s">
        <v>170</v>
      </c>
      <c r="D553" s="70" t="s">
        <v>526</v>
      </c>
      <c r="E553" s="11">
        <f ca="1">IFERROR(__xludf.DUMMYFUNCTION("GOOGLEFINANCE(""BOM:""&amp;B554,""PRICE"")"),188.65)</f>
        <v>188.65</v>
      </c>
      <c r="F553" s="20">
        <f ca="1">IFERROR(__xludf.DUMMYFUNCTION("GOOGLEFINANCE(""BOM:""&amp;B554,""MARKETCAP"")/10000000"),9206.1792479)</f>
        <v>9206.1792478999996</v>
      </c>
      <c r="G553" s="95">
        <f t="shared" ca="1" si="1056"/>
        <v>2.2850569064658823E-4</v>
      </c>
      <c r="H553" s="101">
        <v>3340</v>
      </c>
      <c r="I553" s="101">
        <v>2959</v>
      </c>
      <c r="J553" s="101">
        <v>-3</v>
      </c>
      <c r="K553" s="101">
        <v>-84</v>
      </c>
      <c r="L553" s="101">
        <v>1266</v>
      </c>
      <c r="M553" s="101">
        <v>1003</v>
      </c>
      <c r="N553" s="101">
        <v>-17</v>
      </c>
      <c r="O553" s="101">
        <v>-24</v>
      </c>
      <c r="P553" s="13">
        <f t="shared" ref="P553:Q553" si="1119">J553/H553</f>
        <v>-8.9820359281437125E-4</v>
      </c>
      <c r="Q553" s="13">
        <f t="shared" si="1119"/>
        <v>-2.8387968908415006E-2</v>
      </c>
      <c r="R553" s="13">
        <f t="shared" si="1035"/>
        <v>2.7489765315600635E-2</v>
      </c>
      <c r="S553" s="13">
        <f t="shared" ref="S553:T553" si="1120">N553/L553</f>
        <v>-1.3428120063191154E-2</v>
      </c>
      <c r="T553" s="13">
        <f t="shared" si="1120"/>
        <v>-2.3928215353938187E-2</v>
      </c>
      <c r="U553" s="13">
        <f t="shared" si="1037"/>
        <v>1.0500095290747033E-2</v>
      </c>
      <c r="V553" s="13">
        <f t="shared" si="1038"/>
        <v>0.1287597161203109</v>
      </c>
      <c r="W553" s="13">
        <f t="shared" si="1039"/>
        <v>-0.9642857142857143</v>
      </c>
      <c r="X553" s="13">
        <f t="shared" si="1040"/>
        <v>0.2622133599202392</v>
      </c>
      <c r="Y553" s="13">
        <f t="shared" si="1041"/>
        <v>-0.29166666666666663</v>
      </c>
    </row>
    <row r="554" spans="1:25" ht="14.4">
      <c r="A554" s="98" t="s">
        <v>829</v>
      </c>
      <c r="B554" s="99">
        <v>500133</v>
      </c>
      <c r="C554" s="98" t="s">
        <v>180</v>
      </c>
      <c r="D554" s="108" t="s">
        <v>512</v>
      </c>
      <c r="E554" s="11">
        <f ca="1">IFERROR(__xludf.DUMMYFUNCTION("GOOGLEFINANCE(""BOM:""&amp;B555,""PRICE"")"),5159)</f>
        <v>5159</v>
      </c>
      <c r="F554" s="20">
        <f ca="1">IFERROR(__xludf.DUMMYFUNCTION("GOOGLEFINANCE(""BOM:""&amp;B555,""MARKETCAP"")/10000000"),7986.8173189)</f>
        <v>7986.8173188999999</v>
      </c>
      <c r="G554" s="95">
        <f t="shared" ca="1" si="1056"/>
        <v>1.9824002535467477E-4</v>
      </c>
      <c r="H554" s="101">
        <v>1112</v>
      </c>
      <c r="I554" s="101">
        <v>1005</v>
      </c>
      <c r="J554" s="101">
        <v>163</v>
      </c>
      <c r="K554" s="101">
        <v>127</v>
      </c>
      <c r="L554" s="101">
        <v>378</v>
      </c>
      <c r="M554" s="101">
        <v>337</v>
      </c>
      <c r="N554" s="101">
        <v>43</v>
      </c>
      <c r="O554" s="101">
        <v>40</v>
      </c>
      <c r="P554" s="13">
        <f t="shared" ref="P554:Q554" si="1121">J554/H554</f>
        <v>0.14658273381294964</v>
      </c>
      <c r="Q554" s="13">
        <f t="shared" si="1121"/>
        <v>0.12636815920398009</v>
      </c>
      <c r="R554" s="13">
        <f t="shared" si="1035"/>
        <v>2.0214574608969554E-2</v>
      </c>
      <c r="S554" s="13">
        <f t="shared" ref="S554:T554" si="1122">N554/L554</f>
        <v>0.11375661375661375</v>
      </c>
      <c r="T554" s="13">
        <f t="shared" si="1122"/>
        <v>0.11869436201780416</v>
      </c>
      <c r="U554" s="13">
        <f t="shared" si="1037"/>
        <v>-4.9377482611904083E-3</v>
      </c>
      <c r="V554" s="13">
        <f t="shared" si="1038"/>
        <v>0.10646766169154231</v>
      </c>
      <c r="W554" s="13">
        <f t="shared" si="1039"/>
        <v>0.2834645669291338</v>
      </c>
      <c r="X554" s="13">
        <f t="shared" si="1040"/>
        <v>0.12166172106824935</v>
      </c>
      <c r="Y554" s="13">
        <f t="shared" si="1041"/>
        <v>7.4999999999999956E-2</v>
      </c>
    </row>
    <row r="555" spans="1:25" ht="14.4">
      <c r="A555" s="98" t="s">
        <v>830</v>
      </c>
      <c r="B555" s="99">
        <v>533248</v>
      </c>
      <c r="C555" s="98" t="s">
        <v>206</v>
      </c>
      <c r="D555" s="109" t="s">
        <v>207</v>
      </c>
      <c r="E555" s="11">
        <f ca="1">IFERROR(__xludf.DUMMYFUNCTION("GOOGLEFINANCE(""BOM:""&amp;B556,""PRICE"")"),146.8)</f>
        <v>146.80000000000001</v>
      </c>
      <c r="F555" s="20">
        <f ca="1">IFERROR(__xludf.DUMMYFUNCTION("GOOGLEFINANCE(""BOM:""&amp;B556,""MARKETCAP"")/10000000"),7097.8634976)</f>
        <v>7097.8634976000003</v>
      </c>
      <c r="G555" s="95">
        <f t="shared" ca="1" si="1056"/>
        <v>1.7617538796067486E-4</v>
      </c>
      <c r="H555" s="101">
        <v>842</v>
      </c>
      <c r="I555" s="101">
        <v>735</v>
      </c>
      <c r="J555" s="101">
        <v>372</v>
      </c>
      <c r="K555" s="101">
        <v>284</v>
      </c>
      <c r="L555" s="101">
        <v>292</v>
      </c>
      <c r="M555" s="101">
        <v>262</v>
      </c>
      <c r="N555" s="101">
        <v>107</v>
      </c>
      <c r="O555" s="101">
        <v>99</v>
      </c>
      <c r="P555" s="13">
        <f t="shared" ref="P555:Q555" si="1123">J555/H555</f>
        <v>0.44180522565320662</v>
      </c>
      <c r="Q555" s="13">
        <f t="shared" si="1123"/>
        <v>0.38639455782312926</v>
      </c>
      <c r="R555" s="13">
        <f t="shared" si="1035"/>
        <v>5.5410667830077365E-2</v>
      </c>
      <c r="S555" s="13">
        <f t="shared" ref="S555:T555" si="1124">N555/L555</f>
        <v>0.36643835616438358</v>
      </c>
      <c r="T555" s="13">
        <f t="shared" si="1124"/>
        <v>0.37786259541984735</v>
      </c>
      <c r="U555" s="13">
        <f t="shared" si="1037"/>
        <v>-1.1424239255463764E-2</v>
      </c>
      <c r="V555" s="13">
        <f t="shared" si="1038"/>
        <v>0.1455782312925169</v>
      </c>
      <c r="W555" s="13">
        <f t="shared" si="1039"/>
        <v>0.3098591549295775</v>
      </c>
      <c r="X555" s="13">
        <f t="shared" si="1040"/>
        <v>0.11450381679389321</v>
      </c>
      <c r="Y555" s="13">
        <f t="shared" si="1041"/>
        <v>8.0808080808080884E-2</v>
      </c>
    </row>
    <row r="556" spans="1:25" ht="14.4">
      <c r="A556" s="98" t="s">
        <v>831</v>
      </c>
      <c r="B556" s="99">
        <v>532468</v>
      </c>
      <c r="C556" s="98" t="s">
        <v>172</v>
      </c>
      <c r="D556" s="100" t="s">
        <v>209</v>
      </c>
      <c r="E556" s="11">
        <f ca="1">IFERROR(__xludf.DUMMYFUNCTION("GOOGLEFINANCE(""BOM:""&amp;B557,""PRICE"")"),2438.9)</f>
        <v>2438.9</v>
      </c>
      <c r="F556" s="20">
        <f ca="1">IFERROR(__xludf.DUMMYFUNCTION("GOOGLEFINANCE(""BOM:""&amp;B557,""MARKETCAP"")/10000000"),7826.5688039)</f>
        <v>7826.5688038999997</v>
      </c>
      <c r="G556" s="95">
        <f t="shared" ca="1" si="1056"/>
        <v>1.9426251235942019E-4</v>
      </c>
      <c r="H556" s="101">
        <v>11272</v>
      </c>
      <c r="I556" s="101">
        <v>10478</v>
      </c>
      <c r="J556" s="101">
        <v>1260</v>
      </c>
      <c r="K556" s="101">
        <v>727</v>
      </c>
      <c r="L556" s="101">
        <v>3743</v>
      </c>
      <c r="M556" s="101">
        <v>3525</v>
      </c>
      <c r="N556" s="101">
        <v>433</v>
      </c>
      <c r="O556" s="101">
        <v>272</v>
      </c>
      <c r="P556" s="13">
        <f t="shared" ref="P556:Q556" si="1125">J556/H556</f>
        <v>0.11178140525195174</v>
      </c>
      <c r="Q556" s="13">
        <f t="shared" si="1125"/>
        <v>6.9383470127886995E-2</v>
      </c>
      <c r="R556" s="13">
        <f t="shared" si="1035"/>
        <v>4.2397935124064742E-2</v>
      </c>
      <c r="S556" s="13">
        <f t="shared" ref="S556:T556" si="1126">N556/L556</f>
        <v>0.11568260753406359</v>
      </c>
      <c r="T556" s="13">
        <f t="shared" si="1126"/>
        <v>7.7163120567375884E-2</v>
      </c>
      <c r="U556" s="13">
        <f t="shared" si="1037"/>
        <v>3.8519486966687708E-2</v>
      </c>
      <c r="V556" s="13">
        <f t="shared" si="1038"/>
        <v>7.5777820194693701E-2</v>
      </c>
      <c r="W556" s="13">
        <f t="shared" si="1039"/>
        <v>0.73314993122420913</v>
      </c>
      <c r="X556" s="13">
        <f t="shared" si="1040"/>
        <v>6.1843971631205585E-2</v>
      </c>
      <c r="Y556" s="13">
        <f t="shared" si="1041"/>
        <v>0.59191176470588225</v>
      </c>
    </row>
    <row r="557" spans="1:25" ht="14.4">
      <c r="A557" s="98" t="s">
        <v>832</v>
      </c>
      <c r="B557" s="99">
        <v>500126</v>
      </c>
      <c r="C557" s="98" t="s">
        <v>190</v>
      </c>
      <c r="D557" s="100" t="s">
        <v>100</v>
      </c>
      <c r="E557" s="11">
        <f ca="1">IFERROR(__xludf.DUMMYFUNCTION("GOOGLEFINANCE(""BOM:""&amp;B558,""PRICE"")"),4800.6)</f>
        <v>4800.6000000000004</v>
      </c>
      <c r="F557" s="20">
        <f ca="1">IFERROR(__xludf.DUMMYFUNCTION("GOOGLEFINANCE(""BOM:""&amp;B558,""MARKETCAP"")/10000000"),7992.2691581)</f>
        <v>7992.2691580999999</v>
      </c>
      <c r="G557" s="95">
        <f t="shared" ca="1" si="1056"/>
        <v>1.9837534493168324E-4</v>
      </c>
      <c r="H557" s="101">
        <v>1037</v>
      </c>
      <c r="I557" s="101">
        <v>907</v>
      </c>
      <c r="J557" s="101">
        <v>232</v>
      </c>
      <c r="K557" s="101">
        <v>190</v>
      </c>
      <c r="L557" s="101">
        <v>373</v>
      </c>
      <c r="M557" s="101">
        <v>309</v>
      </c>
      <c r="N557" s="101">
        <v>77</v>
      </c>
      <c r="O557" s="101">
        <v>90</v>
      </c>
      <c r="P557" s="13">
        <f t="shared" ref="P557:Q557" si="1127">J557/H557</f>
        <v>0.22372227579556414</v>
      </c>
      <c r="Q557" s="13">
        <f t="shared" si="1127"/>
        <v>0.20948180815876516</v>
      </c>
      <c r="R557" s="13">
        <f t="shared" si="1035"/>
        <v>1.4240467636798981E-2</v>
      </c>
      <c r="S557" s="13">
        <f t="shared" ref="S557:T557" si="1128">N557/L557</f>
        <v>0.2064343163538874</v>
      </c>
      <c r="T557" s="13">
        <f t="shared" si="1128"/>
        <v>0.29126213592233008</v>
      </c>
      <c r="U557" s="13">
        <f t="shared" si="1037"/>
        <v>-8.4827819568442681E-2</v>
      </c>
      <c r="V557" s="13">
        <f t="shared" si="1038"/>
        <v>0.14332965821389188</v>
      </c>
      <c r="W557" s="13">
        <f t="shared" si="1039"/>
        <v>0.22105263157894739</v>
      </c>
      <c r="X557" s="13">
        <f t="shared" si="1040"/>
        <v>0.20711974110032361</v>
      </c>
      <c r="Y557" s="13">
        <f t="shared" si="1041"/>
        <v>-0.14444444444444449</v>
      </c>
    </row>
    <row r="558" spans="1:25" ht="14.4">
      <c r="A558" s="98" t="s">
        <v>833</v>
      </c>
      <c r="B558" s="99">
        <v>541974</v>
      </c>
      <c r="C558" s="98" t="s">
        <v>183</v>
      </c>
      <c r="D558" s="70" t="s">
        <v>638</v>
      </c>
      <c r="E558" s="11">
        <f ca="1">IFERROR(__xludf.DUMMYFUNCTION("GOOGLEFINANCE(""BOM:""&amp;B559,""PRICE"")"),1230.3)</f>
        <v>1230.3</v>
      </c>
      <c r="F558" s="20">
        <f ca="1">IFERROR(__xludf.DUMMYFUNCTION("GOOGLEFINANCE(""BOM:""&amp;B559,""MARKETCAP"")/10000000"),7332.1133951)</f>
        <v>7332.1133951000002</v>
      </c>
      <c r="G558" s="95">
        <f t="shared" ca="1" si="1056"/>
        <v>1.8198968216142486E-4</v>
      </c>
      <c r="H558" s="101">
        <v>992</v>
      </c>
      <c r="I558" s="101">
        <v>549</v>
      </c>
      <c r="J558" s="101">
        <v>172</v>
      </c>
      <c r="K558" s="101">
        <v>69</v>
      </c>
      <c r="L558" s="101">
        <v>374</v>
      </c>
      <c r="M558" s="101">
        <v>213</v>
      </c>
      <c r="N558" s="101">
        <v>72</v>
      </c>
      <c r="O558" s="101">
        <v>30</v>
      </c>
      <c r="P558" s="13">
        <f t="shared" ref="P558:Q558" si="1129">J558/H558</f>
        <v>0.17338709677419356</v>
      </c>
      <c r="Q558" s="13">
        <f t="shared" si="1129"/>
        <v>0.12568306010928962</v>
      </c>
      <c r="R558" s="13">
        <f t="shared" si="1035"/>
        <v>4.7704036664903943E-2</v>
      </c>
      <c r="S558" s="13">
        <f t="shared" ref="S558:T558" si="1130">N558/L558</f>
        <v>0.19251336898395721</v>
      </c>
      <c r="T558" s="13">
        <f t="shared" si="1130"/>
        <v>0.14084507042253522</v>
      </c>
      <c r="U558" s="13">
        <f t="shared" si="1037"/>
        <v>5.1668298561421994E-2</v>
      </c>
      <c r="V558" s="13">
        <f t="shared" si="1038"/>
        <v>0.80692167577413487</v>
      </c>
      <c r="W558" s="13">
        <f t="shared" si="1039"/>
        <v>1.4927536231884058</v>
      </c>
      <c r="X558" s="13">
        <f t="shared" si="1040"/>
        <v>0.755868544600939</v>
      </c>
      <c r="Y558" s="13">
        <f t="shared" si="1041"/>
        <v>1.4</v>
      </c>
    </row>
    <row r="559" spans="1:25" ht="14.4">
      <c r="A559" s="104" t="s">
        <v>834</v>
      </c>
      <c r="B559" s="99">
        <v>532832</v>
      </c>
      <c r="C559" s="98" t="s">
        <v>187</v>
      </c>
      <c r="D559" s="100" t="s">
        <v>131</v>
      </c>
      <c r="E559" s="11">
        <f ca="1">IFERROR(__xludf.DUMMYFUNCTION("GOOGLEFINANCE(""BOM:""&amp;B560,""PRICE"")"),45.54)</f>
        <v>45.54</v>
      </c>
      <c r="F559" s="20">
        <f ca="1">IFERROR(__xludf.DUMMYFUNCTION("GOOGLEFINANCE(""BOM:""&amp;B560,""MARKETCAP"")/10000000"),6348.2804564)</f>
        <v>6348.2804563999998</v>
      </c>
      <c r="G559" s="95">
        <f t="shared" ca="1" si="1056"/>
        <v>1.5757005930976386E-4</v>
      </c>
      <c r="H559" s="101">
        <v>1386</v>
      </c>
      <c r="I559" s="101">
        <v>1290</v>
      </c>
      <c r="J559" s="101">
        <v>-557</v>
      </c>
      <c r="K559" s="101">
        <v>-70</v>
      </c>
      <c r="L559" s="101">
        <v>212</v>
      </c>
      <c r="M559" s="101">
        <v>325</v>
      </c>
      <c r="N559" s="101">
        <v>-240</v>
      </c>
      <c r="O559" s="101">
        <v>-98</v>
      </c>
      <c r="P559" s="13">
        <f t="shared" ref="P559:Q559" si="1131">J559/H559</f>
        <v>-0.40187590187590189</v>
      </c>
      <c r="Q559" s="13">
        <f t="shared" si="1131"/>
        <v>-5.4263565891472867E-2</v>
      </c>
      <c r="R559" s="13">
        <f t="shared" si="1035"/>
        <v>-0.34761233598442903</v>
      </c>
      <c r="S559" s="13">
        <f t="shared" ref="S559:T559" si="1132">N559/L559</f>
        <v>-1.1320754716981132</v>
      </c>
      <c r="T559" s="13">
        <f t="shared" si="1132"/>
        <v>-0.30153846153846153</v>
      </c>
      <c r="U559" s="13">
        <f t="shared" si="1037"/>
        <v>-0.83053701015965165</v>
      </c>
      <c r="V559" s="13">
        <f t="shared" si="1038"/>
        <v>7.441860465116279E-2</v>
      </c>
      <c r="W559" s="13">
        <f t="shared" si="1039"/>
        <v>6.9571428571428573</v>
      </c>
      <c r="X559" s="13">
        <f t="shared" si="1040"/>
        <v>-0.34769230769230774</v>
      </c>
      <c r="Y559" s="13">
        <f t="shared" si="1041"/>
        <v>1.4489795918367347</v>
      </c>
    </row>
    <row r="560" spans="1:25" ht="14.4">
      <c r="A560" s="98" t="s">
        <v>835</v>
      </c>
      <c r="B560" s="99">
        <v>543980</v>
      </c>
      <c r="C560" s="98" t="s">
        <v>190</v>
      </c>
      <c r="D560" s="100" t="s">
        <v>113</v>
      </c>
      <c r="E560" s="11">
        <f ca="1">IFERROR(__xludf.DUMMYFUNCTION("GOOGLEFINANCE(""BOM:""&amp;B561,""PRICE"")"),1207.85)</f>
        <v>1207.8499999999999</v>
      </c>
      <c r="F560" s="20">
        <f ca="1">IFERROR(__xludf.DUMMYFUNCTION("GOOGLEFINANCE(""BOM:""&amp;B561,""MARKETCAP"")/10000000"),7897.427109)</f>
        <v>7897.4271090000002</v>
      </c>
      <c r="G560" s="95">
        <f t="shared" ca="1" si="1056"/>
        <v>1.960212795427352E-4</v>
      </c>
      <c r="H560" s="101">
        <v>1111</v>
      </c>
      <c r="I560" s="101">
        <v>965</v>
      </c>
      <c r="J560" s="101">
        <v>143</v>
      </c>
      <c r="K560" s="101">
        <v>148</v>
      </c>
      <c r="L560" s="101">
        <v>365</v>
      </c>
      <c r="M560" s="101">
        <v>332</v>
      </c>
      <c r="N560" s="101">
        <v>42</v>
      </c>
      <c r="O560" s="101">
        <v>52</v>
      </c>
      <c r="P560" s="13">
        <f t="shared" ref="P560:Q560" si="1133">J560/H560</f>
        <v>0.12871287128712872</v>
      </c>
      <c r="Q560" s="13">
        <f t="shared" si="1133"/>
        <v>0.15336787564766841</v>
      </c>
      <c r="R560" s="13">
        <f t="shared" si="1035"/>
        <v>-2.465500436053969E-2</v>
      </c>
      <c r="S560" s="13">
        <f t="shared" ref="S560:T560" si="1134">N560/L560</f>
        <v>0.11506849315068493</v>
      </c>
      <c r="T560" s="13">
        <f t="shared" si="1134"/>
        <v>0.15662650602409639</v>
      </c>
      <c r="U560" s="13">
        <f t="shared" si="1037"/>
        <v>-4.155801287341146E-2</v>
      </c>
      <c r="V560" s="13">
        <f t="shared" si="1038"/>
        <v>0.15129533678756468</v>
      </c>
      <c r="W560" s="13">
        <f t="shared" si="1039"/>
        <v>-3.3783783783783772E-2</v>
      </c>
      <c r="X560" s="13">
        <f t="shared" si="1040"/>
        <v>9.9397590361445687E-2</v>
      </c>
      <c r="Y560" s="13">
        <f t="shared" si="1041"/>
        <v>-0.19230769230769229</v>
      </c>
    </row>
    <row r="561" spans="1:25" ht="14.4">
      <c r="A561" s="98" t="s">
        <v>836</v>
      </c>
      <c r="B561" s="99">
        <v>530517</v>
      </c>
      <c r="C561" s="98" t="s">
        <v>187</v>
      </c>
      <c r="D561" s="100" t="s">
        <v>506</v>
      </c>
      <c r="E561" s="11">
        <f ca="1">IFERROR(__xludf.DUMMYFUNCTION("GOOGLEFINANCE(""BOM:""&amp;B562,""PRICE"")"),273)</f>
        <v>273</v>
      </c>
      <c r="F561" s="20">
        <f ca="1">IFERROR(__xludf.DUMMYFUNCTION("GOOGLEFINANCE(""BOM:""&amp;B562,""MARKETCAP"")/10000000"),6786.5639916)</f>
        <v>6786.5639916</v>
      </c>
      <c r="G561" s="95">
        <f t="shared" ca="1" si="1056"/>
        <v>1.6844865282973572E-4</v>
      </c>
      <c r="H561" s="101">
        <v>1951</v>
      </c>
      <c r="I561" s="101">
        <v>2094</v>
      </c>
      <c r="J561" s="101">
        <v>112</v>
      </c>
      <c r="K561" s="101">
        <v>114</v>
      </c>
      <c r="L561" s="101">
        <v>668</v>
      </c>
      <c r="M561" s="101">
        <v>667</v>
      </c>
      <c r="N561" s="101">
        <v>27</v>
      </c>
      <c r="O561" s="101">
        <v>33</v>
      </c>
      <c r="P561" s="13">
        <f t="shared" ref="P561:Q561" si="1135">J561/H561</f>
        <v>5.7406458226550487E-2</v>
      </c>
      <c r="Q561" s="13">
        <f t="shared" si="1135"/>
        <v>5.4441260744985676E-2</v>
      </c>
      <c r="R561" s="13">
        <f t="shared" si="1035"/>
        <v>2.9651974815648116E-3</v>
      </c>
      <c r="S561" s="13">
        <f t="shared" ref="S561:T561" si="1136">N561/L561</f>
        <v>4.0419161676646706E-2</v>
      </c>
      <c r="T561" s="13">
        <f t="shared" si="1136"/>
        <v>4.9475262368815595E-2</v>
      </c>
      <c r="U561" s="13">
        <f t="shared" si="1037"/>
        <v>-9.0561006921688891E-3</v>
      </c>
      <c r="V561" s="13">
        <f t="shared" si="1038"/>
        <v>-6.8290353390639935E-2</v>
      </c>
      <c r="W561" s="13">
        <f t="shared" si="1039"/>
        <v>-1.7543859649122862E-2</v>
      </c>
      <c r="X561" s="13">
        <f t="shared" si="1040"/>
        <v>1.4992503748125774E-3</v>
      </c>
      <c r="Y561" s="13">
        <f t="shared" si="1041"/>
        <v>-0.18181818181818177</v>
      </c>
    </row>
    <row r="562" spans="1:25" ht="14.4">
      <c r="A562" s="98" t="s">
        <v>837</v>
      </c>
      <c r="B562" s="99">
        <v>505537</v>
      </c>
      <c r="C562" s="98" t="s">
        <v>187</v>
      </c>
      <c r="D562" s="70" t="s">
        <v>528</v>
      </c>
      <c r="E562" s="11">
        <f ca="1">IFERROR(__xludf.DUMMYFUNCTION("GOOGLEFINANCE(""BOM:""&amp;B563,""PRICE"")"),73.66)</f>
        <v>73.66</v>
      </c>
      <c r="F562" s="20">
        <f ca="1">IFERROR(__xludf.DUMMYFUNCTION("GOOGLEFINANCE(""BOM:""&amp;B563,""MARKETCAP"")/10000000"),7080.9483968)</f>
        <v>7080.9483968000004</v>
      </c>
      <c r="G562" s="95">
        <f t="shared" ca="1" si="1056"/>
        <v>1.7575553986880305E-4</v>
      </c>
      <c r="H562" s="101">
        <v>6143</v>
      </c>
      <c r="I562" s="101">
        <v>6197</v>
      </c>
      <c r="J562" s="101">
        <v>375</v>
      </c>
      <c r="K562" s="101">
        <v>498</v>
      </c>
      <c r="L562" s="101">
        <v>2298</v>
      </c>
      <c r="M562" s="101">
        <v>2013</v>
      </c>
      <c r="N562" s="101">
        <v>154</v>
      </c>
      <c r="O562" s="101">
        <v>163</v>
      </c>
      <c r="P562" s="13">
        <f t="shared" ref="P562:Q562" si="1137">J562/H562</f>
        <v>6.104509197460524E-2</v>
      </c>
      <c r="Q562" s="13">
        <f t="shared" si="1137"/>
        <v>8.0361465225108925E-2</v>
      </c>
      <c r="R562" s="13">
        <f t="shared" si="1035"/>
        <v>-1.9316373250503685E-2</v>
      </c>
      <c r="S562" s="13">
        <f t="shared" ref="S562:T562" si="1138">N562/L562</f>
        <v>6.7014795474325498E-2</v>
      </c>
      <c r="T562" s="13">
        <f t="shared" si="1138"/>
        <v>8.0973671137605563E-2</v>
      </c>
      <c r="U562" s="13">
        <f t="shared" si="1037"/>
        <v>-1.3958875663280065E-2</v>
      </c>
      <c r="V562" s="13">
        <f t="shared" si="1038"/>
        <v>-8.7138938195900906E-3</v>
      </c>
      <c r="W562" s="13">
        <f t="shared" si="1039"/>
        <v>-0.24698795180722888</v>
      </c>
      <c r="X562" s="13">
        <f t="shared" si="1040"/>
        <v>0.14157973174366623</v>
      </c>
      <c r="Y562" s="13">
        <f t="shared" si="1041"/>
        <v>-5.5214723926380382E-2</v>
      </c>
    </row>
    <row r="563" spans="1:25" ht="14.4">
      <c r="A563" s="104" t="s">
        <v>838</v>
      </c>
      <c r="B563" s="99">
        <v>541578</v>
      </c>
      <c r="C563" s="98" t="s">
        <v>187</v>
      </c>
      <c r="D563" s="102" t="s">
        <v>312</v>
      </c>
      <c r="E563" s="11">
        <f ca="1">IFERROR(__xludf.DUMMYFUNCTION("GOOGLEFINANCE(""BOM:""&amp;B564,""PRICE"")"),478.8)</f>
        <v>478.8</v>
      </c>
      <c r="F563" s="20">
        <f ca="1">IFERROR(__xludf.DUMMYFUNCTION("GOOGLEFINANCE(""BOM:""&amp;B564,""MARKETCAP"")/10000000"),7319.9965172)</f>
        <v>7319.9965172000002</v>
      </c>
      <c r="G563" s="95">
        <f t="shared" ca="1" si="1056"/>
        <v>1.8168893029917415E-4</v>
      </c>
      <c r="H563" s="101">
        <v>6522</v>
      </c>
      <c r="I563" s="101">
        <v>6054</v>
      </c>
      <c r="J563" s="101">
        <v>159</v>
      </c>
      <c r="K563" s="101">
        <v>46</v>
      </c>
      <c r="L563" s="101">
        <v>2287</v>
      </c>
      <c r="M563" s="101">
        <v>2075</v>
      </c>
      <c r="N563" s="101">
        <v>-11</v>
      </c>
      <c r="O563" s="101">
        <v>-45</v>
      </c>
      <c r="P563" s="13">
        <f t="shared" ref="P563:Q563" si="1139">J563/H563</f>
        <v>2.437902483900644E-2</v>
      </c>
      <c r="Q563" s="13">
        <f t="shared" si="1139"/>
        <v>7.5982821275189958E-3</v>
      </c>
      <c r="R563" s="13">
        <f t="shared" si="1035"/>
        <v>1.6780742711487443E-2</v>
      </c>
      <c r="S563" s="13">
        <f t="shared" ref="S563:T563" si="1140">N563/L563</f>
        <v>-4.809794490599038E-3</v>
      </c>
      <c r="T563" s="13">
        <f t="shared" si="1140"/>
        <v>-2.1686746987951807E-2</v>
      </c>
      <c r="U563" s="13">
        <f t="shared" si="1037"/>
        <v>1.6876952497352771E-2</v>
      </c>
      <c r="V563" s="13">
        <f t="shared" si="1038"/>
        <v>7.7304261645193328E-2</v>
      </c>
      <c r="W563" s="13">
        <f t="shared" si="1039"/>
        <v>2.4565217391304346</v>
      </c>
      <c r="X563" s="13">
        <f t="shared" si="1040"/>
        <v>0.10216867469879509</v>
      </c>
      <c r="Y563" s="13">
        <f t="shared" si="1041"/>
        <v>-0.75555555555555554</v>
      </c>
    </row>
    <row r="564" spans="1:25" ht="14.4">
      <c r="A564" s="104" t="s">
        <v>839</v>
      </c>
      <c r="B564" s="99">
        <v>535755</v>
      </c>
      <c r="C564" s="98" t="s">
        <v>187</v>
      </c>
      <c r="D564" s="100" t="s">
        <v>90</v>
      </c>
      <c r="E564" s="11">
        <f ca="1">IFERROR(__xludf.DUMMYFUNCTION("GOOGLEFINANCE(""BOM:""&amp;B565,""PRICE"")"),58.81)</f>
        <v>58.81</v>
      </c>
      <c r="F564" s="20">
        <f ca="1">IFERROR(__xludf.DUMMYFUNCTION("GOOGLEFINANCE(""BOM:""&amp;B565,""MARKETCAP"")/10000000"),7148.2086419)</f>
        <v>7148.2086418999997</v>
      </c>
      <c r="G564" s="95">
        <f t="shared" ca="1" si="1056"/>
        <v>1.7742499995053457E-4</v>
      </c>
      <c r="H564" s="101">
        <v>6187</v>
      </c>
      <c r="I564" s="101">
        <v>5635</v>
      </c>
      <c r="J564" s="101">
        <v>-666</v>
      </c>
      <c r="K564" s="101">
        <v>-454</v>
      </c>
      <c r="L564" s="101">
        <v>2374</v>
      </c>
      <c r="M564" s="101">
        <v>2200</v>
      </c>
      <c r="N564" s="101">
        <v>-137</v>
      </c>
      <c r="O564" s="101">
        <v>-103</v>
      </c>
      <c r="P564" s="13">
        <f t="shared" ref="P564:Q564" si="1141">J564/H564</f>
        <v>-0.10764506222725069</v>
      </c>
      <c r="Q564" s="13">
        <f t="shared" si="1141"/>
        <v>-8.0567879325643299E-2</v>
      </c>
      <c r="R564" s="13">
        <f t="shared" si="1035"/>
        <v>-2.7077182901607391E-2</v>
      </c>
      <c r="S564" s="13">
        <f t="shared" ref="S564:T564" si="1142">N564/L564</f>
        <v>-5.7708508845829821E-2</v>
      </c>
      <c r="T564" s="13">
        <f t="shared" si="1142"/>
        <v>-4.6818181818181821E-2</v>
      </c>
      <c r="U564" s="13">
        <f t="shared" si="1037"/>
        <v>-1.0890327027648E-2</v>
      </c>
      <c r="V564" s="13">
        <f t="shared" si="1038"/>
        <v>9.7959183673469452E-2</v>
      </c>
      <c r="W564" s="13">
        <f t="shared" si="1039"/>
        <v>0.46696035242290757</v>
      </c>
      <c r="X564" s="13">
        <f t="shared" si="1040"/>
        <v>7.9090909090909101E-2</v>
      </c>
      <c r="Y564" s="13">
        <f t="shared" si="1041"/>
        <v>0.33009708737864085</v>
      </c>
    </row>
    <row r="565" spans="1:25" ht="14.4">
      <c r="A565" s="104" t="s">
        <v>840</v>
      </c>
      <c r="B565" s="99">
        <v>539787</v>
      </c>
      <c r="C565" s="98" t="s">
        <v>190</v>
      </c>
      <c r="D565" s="100" t="s">
        <v>113</v>
      </c>
      <c r="E565" s="11">
        <f ca="1">IFERROR(__xludf.DUMMYFUNCTION("GOOGLEFINANCE(""BOM:""&amp;B566,""PRICE"")"),537.85)</f>
        <v>537.85</v>
      </c>
      <c r="F565" s="20">
        <f ca="1">IFERROR(__xludf.DUMMYFUNCTION("GOOGLEFINANCE(""BOM:""&amp;B566,""MARKETCAP"")/10000000"),8024.2415467)</f>
        <v>8024.2415467000001</v>
      </c>
      <c r="G565" s="95">
        <f t="shared" ca="1" si="1056"/>
        <v>1.9916892851743959E-4</v>
      </c>
      <c r="H565" s="101">
        <v>1888</v>
      </c>
      <c r="I565" s="101">
        <v>1634</v>
      </c>
      <c r="J565" s="101">
        <v>7</v>
      </c>
      <c r="K565" s="101">
        <v>18</v>
      </c>
      <c r="L565" s="101">
        <v>631</v>
      </c>
      <c r="M565" s="101">
        <v>557</v>
      </c>
      <c r="N565" s="101">
        <v>-7</v>
      </c>
      <c r="O565" s="101">
        <v>7</v>
      </c>
      <c r="P565" s="13">
        <f t="shared" ref="P565:Q565" si="1143">J565/H565</f>
        <v>3.7076271186440679E-3</v>
      </c>
      <c r="Q565" s="13">
        <f t="shared" si="1143"/>
        <v>1.1015911872705019E-2</v>
      </c>
      <c r="R565" s="13">
        <f t="shared" si="1035"/>
        <v>-7.3082847540609508E-3</v>
      </c>
      <c r="S565" s="13">
        <f t="shared" ref="S565:T565" si="1144">N565/L565</f>
        <v>-1.1093502377179081E-2</v>
      </c>
      <c r="T565" s="13">
        <f t="shared" si="1144"/>
        <v>1.2567324955116697E-2</v>
      </c>
      <c r="U565" s="13">
        <f t="shared" si="1037"/>
        <v>-2.3660827332295777E-2</v>
      </c>
      <c r="V565" s="13">
        <f t="shared" si="1038"/>
        <v>0.15544675642594852</v>
      </c>
      <c r="W565" s="13">
        <f t="shared" si="1039"/>
        <v>-0.61111111111111116</v>
      </c>
      <c r="X565" s="13">
        <f t="shared" si="1040"/>
        <v>0.1328545780969479</v>
      </c>
      <c r="Y565" s="13">
        <f t="shared" si="1041"/>
        <v>-2</v>
      </c>
    </row>
    <row r="566" spans="1:25" ht="14.4">
      <c r="A566" s="98" t="s">
        <v>841</v>
      </c>
      <c r="B566" s="99">
        <v>544044</v>
      </c>
      <c r="C566" s="98" t="s">
        <v>172</v>
      </c>
      <c r="D566" s="100" t="s">
        <v>80</v>
      </c>
      <c r="E566" s="11">
        <f ca="1">IFERROR(__xludf.DUMMYFUNCTION("GOOGLEFINANCE(""BOM:""&amp;B567,""PRICE"")"),778.7)</f>
        <v>778.7</v>
      </c>
      <c r="F566" s="20">
        <f ca="1">IFERROR(__xludf.DUMMYFUNCTION("GOOGLEFINANCE(""BOM:""&amp;B567,""MARKETCAP"")/10000000"),8488.0494607)</f>
        <v>8488.0494607000001</v>
      </c>
      <c r="G566" s="95">
        <f t="shared" ca="1" si="1056"/>
        <v>2.1068106019140183E-4</v>
      </c>
      <c r="H566" s="101">
        <v>1120</v>
      </c>
      <c r="I566" s="101">
        <v>848</v>
      </c>
      <c r="J566" s="101">
        <v>365</v>
      </c>
      <c r="K566" s="101">
        <v>269</v>
      </c>
      <c r="L566" s="101">
        <v>310</v>
      </c>
      <c r="M566" s="101">
        <v>240</v>
      </c>
      <c r="N566" s="101">
        <v>124</v>
      </c>
      <c r="O566" s="101">
        <v>96</v>
      </c>
      <c r="P566" s="13">
        <f t="shared" ref="P566:Q566" si="1145">J566/H566</f>
        <v>0.32589285714285715</v>
      </c>
      <c r="Q566" s="13">
        <f t="shared" si="1145"/>
        <v>0.31721698113207547</v>
      </c>
      <c r="R566" s="13">
        <f t="shared" si="1035"/>
        <v>8.6758760107816801E-3</v>
      </c>
      <c r="S566" s="13">
        <f t="shared" ref="S566:T566" si="1146">N566/L566</f>
        <v>0.4</v>
      </c>
      <c r="T566" s="13">
        <f t="shared" si="1146"/>
        <v>0.4</v>
      </c>
      <c r="U566" s="13">
        <f t="shared" si="1037"/>
        <v>0</v>
      </c>
      <c r="V566" s="13">
        <f t="shared" si="1038"/>
        <v>0.320754716981132</v>
      </c>
      <c r="W566" s="13">
        <f t="shared" si="1039"/>
        <v>0.35687732342007439</v>
      </c>
      <c r="X566" s="13">
        <f t="shared" si="1040"/>
        <v>0.29166666666666674</v>
      </c>
      <c r="Y566" s="13">
        <f t="shared" si="1041"/>
        <v>0.29166666666666674</v>
      </c>
    </row>
    <row r="567" spans="1:25" ht="14.4">
      <c r="A567" s="98" t="s">
        <v>842</v>
      </c>
      <c r="B567" s="99">
        <v>544022</v>
      </c>
      <c r="C567" s="98" t="s">
        <v>187</v>
      </c>
      <c r="D567" s="70" t="s">
        <v>312</v>
      </c>
      <c r="E567" s="11">
        <f ca="1">IFERROR(__xludf.DUMMYFUNCTION("GOOGLEFINANCE(""BOM:""&amp;B568,""PRICE"")"),434.8)</f>
        <v>434.8</v>
      </c>
      <c r="F567" s="20">
        <f ca="1">IFERROR(__xludf.DUMMYFUNCTION("GOOGLEFINANCE(""BOM:""&amp;B568,""MARKETCAP"")/10000000"),8562.8846078)</f>
        <v>8562.8846078000006</v>
      </c>
      <c r="G567" s="95">
        <f t="shared" ca="1" si="1056"/>
        <v>2.1253853618793158E-4</v>
      </c>
      <c r="H567" s="101">
        <v>3042</v>
      </c>
      <c r="I567" s="101">
        <v>2760</v>
      </c>
      <c r="J567" s="101">
        <v>225</v>
      </c>
      <c r="K567" s="101">
        <v>190</v>
      </c>
      <c r="L567" s="101">
        <v>1088</v>
      </c>
      <c r="M567" s="101">
        <v>919</v>
      </c>
      <c r="N567" s="101">
        <v>80</v>
      </c>
      <c r="O567" s="101">
        <v>66</v>
      </c>
      <c r="P567" s="13">
        <f t="shared" ref="P567:Q567" si="1147">J567/H567</f>
        <v>7.3964497041420121E-2</v>
      </c>
      <c r="Q567" s="13">
        <f t="shared" si="1147"/>
        <v>6.8840579710144928E-2</v>
      </c>
      <c r="R567" s="13">
        <f t="shared" si="1035"/>
        <v>5.1239173312751934E-3</v>
      </c>
      <c r="S567" s="13">
        <f t="shared" ref="S567:T567" si="1148">N567/L567</f>
        <v>7.3529411764705885E-2</v>
      </c>
      <c r="T567" s="13">
        <f t="shared" si="1148"/>
        <v>7.181719260065289E-2</v>
      </c>
      <c r="U567" s="13">
        <f t="shared" si="1037"/>
        <v>1.7122191640529943E-3</v>
      </c>
      <c r="V567" s="13">
        <f t="shared" si="1038"/>
        <v>0.10217391304347823</v>
      </c>
      <c r="W567" s="13">
        <f t="shared" si="1039"/>
        <v>0.18421052631578938</v>
      </c>
      <c r="X567" s="13">
        <f t="shared" si="1040"/>
        <v>0.18389553862894448</v>
      </c>
      <c r="Y567" s="13">
        <f t="shared" si="1041"/>
        <v>0.21212121212121215</v>
      </c>
    </row>
    <row r="568" spans="1:25" ht="14.4">
      <c r="A568" s="98" t="s">
        <v>843</v>
      </c>
      <c r="B568" s="99">
        <v>530343</v>
      </c>
      <c r="C568" s="98" t="s">
        <v>180</v>
      </c>
      <c r="D568" s="100" t="s">
        <v>344</v>
      </c>
      <c r="E568" s="11">
        <f ca="1">IFERROR(__xludf.DUMMYFUNCTION("GOOGLEFINANCE(""BOM:""&amp;B569,""PRICE"")"),236.35)</f>
        <v>236.35</v>
      </c>
      <c r="F568" s="20">
        <f ca="1">IFERROR(__xludf.DUMMYFUNCTION("GOOGLEFINANCE(""BOM:""&amp;B569,""MARKETCAP"")/10000000"),7184.1007998)</f>
        <v>7184.1007997999995</v>
      </c>
      <c r="G568" s="95">
        <f t="shared" ca="1" si="1056"/>
        <v>1.783158757535021E-4</v>
      </c>
      <c r="H568" s="101">
        <v>3213</v>
      </c>
      <c r="I568" s="101">
        <v>1505</v>
      </c>
      <c r="J568" s="101">
        <v>421</v>
      </c>
      <c r="K568" s="101">
        <v>188</v>
      </c>
      <c r="L568" s="101">
        <v>1122</v>
      </c>
      <c r="M568" s="101">
        <v>604</v>
      </c>
      <c r="N568" s="101">
        <v>140</v>
      </c>
      <c r="O568" s="101">
        <v>57</v>
      </c>
      <c r="P568" s="13">
        <f t="shared" ref="P568:Q568" si="1149">J568/H568</f>
        <v>0.13103018985371925</v>
      </c>
      <c r="Q568" s="13">
        <f t="shared" si="1149"/>
        <v>0.12491694352159469</v>
      </c>
      <c r="R568" s="13">
        <f t="shared" si="1035"/>
        <v>6.1132463321245667E-3</v>
      </c>
      <c r="S568" s="13">
        <f t="shared" ref="S568:T568" si="1150">N568/L568</f>
        <v>0.12477718360071301</v>
      </c>
      <c r="T568" s="13">
        <f t="shared" si="1150"/>
        <v>9.4370860927152314E-2</v>
      </c>
      <c r="U568" s="13">
        <f t="shared" si="1037"/>
        <v>3.0406322673560693E-2</v>
      </c>
      <c r="V568" s="13">
        <f t="shared" si="1038"/>
        <v>1.1348837209302327</v>
      </c>
      <c r="W568" s="13">
        <f t="shared" si="1039"/>
        <v>1.2393617021276597</v>
      </c>
      <c r="X568" s="13">
        <f t="shared" si="1040"/>
        <v>0.85761589403973515</v>
      </c>
      <c r="Y568" s="13">
        <f t="shared" si="1041"/>
        <v>1.4561403508771931</v>
      </c>
    </row>
    <row r="569" spans="1:25" ht="14.4">
      <c r="A569" s="104" t="s">
        <v>844</v>
      </c>
      <c r="B569" s="99">
        <v>539177</v>
      </c>
      <c r="C569" s="98" t="s">
        <v>172</v>
      </c>
      <c r="D569" s="100" t="s">
        <v>178</v>
      </c>
      <c r="E569" s="11">
        <f ca="1">IFERROR(__xludf.DUMMYFUNCTION("GOOGLEFINANCE(""BOM:""&amp;B570,""PRICE"")"),425)</f>
        <v>425</v>
      </c>
      <c r="F569" s="20">
        <f ca="1">IFERROR(__xludf.DUMMYFUNCTION("GOOGLEFINANCE(""BOM:""&amp;B570,""MARKETCAP"")/10000000"),36045.3688951)</f>
        <v>36045.3688951</v>
      </c>
      <c r="G569" s="95">
        <f t="shared" ca="1" si="1056"/>
        <v>8.9467863835745965E-4</v>
      </c>
      <c r="H569" s="101">
        <v>2298</v>
      </c>
      <c r="I569" s="101">
        <v>3126</v>
      </c>
      <c r="J569" s="101">
        <v>1247</v>
      </c>
      <c r="K569" s="101">
        <v>3096</v>
      </c>
      <c r="L569" s="101">
        <v>478</v>
      </c>
      <c r="M569" s="101">
        <v>617</v>
      </c>
      <c r="N569" s="101">
        <v>-337</v>
      </c>
      <c r="O569" s="101">
        <v>567</v>
      </c>
      <c r="P569" s="13">
        <f t="shared" ref="P569:Q569" si="1151">J569/H569</f>
        <v>0.54264577893820709</v>
      </c>
      <c r="Q569" s="13">
        <f t="shared" si="1151"/>
        <v>0.99040307101727443</v>
      </c>
      <c r="R569" s="13">
        <f t="shared" si="1035"/>
        <v>-0.44775729207906734</v>
      </c>
      <c r="S569" s="13">
        <f t="shared" ref="S569:T569" si="1152">N569/L569</f>
        <v>-0.70502092050209209</v>
      </c>
      <c r="T569" s="13">
        <f t="shared" si="1152"/>
        <v>0.91896272285251213</v>
      </c>
      <c r="U569" s="13">
        <f t="shared" si="1037"/>
        <v>-1.6239836433546042</v>
      </c>
      <c r="V569" s="13">
        <f t="shared" si="1038"/>
        <v>-0.26487523992322459</v>
      </c>
      <c r="W569" s="13">
        <f t="shared" si="1039"/>
        <v>-0.59722222222222221</v>
      </c>
      <c r="X569" s="13">
        <f t="shared" si="1040"/>
        <v>-0.22528363047001621</v>
      </c>
      <c r="Y569" s="13">
        <f t="shared" si="1041"/>
        <v>-1.5943562610229276</v>
      </c>
    </row>
    <row r="570" spans="1:25" ht="14.4">
      <c r="A570" s="98" t="s">
        <v>845</v>
      </c>
      <c r="B570" s="99">
        <v>532439</v>
      </c>
      <c r="C570" s="98" t="s">
        <v>187</v>
      </c>
      <c r="D570" s="70" t="s">
        <v>76</v>
      </c>
      <c r="E570" s="11">
        <f ca="1">IFERROR(__xludf.DUMMYFUNCTION("GOOGLEFINANCE(""BOM:""&amp;B571,""PRICE"")"),1027.25)</f>
        <v>1027.25</v>
      </c>
      <c r="F570" s="20">
        <f ca="1">IFERROR(__xludf.DUMMYFUNCTION("GOOGLEFINANCE(""BOM:""&amp;B571,""MARKETCAP"")/10000000"),8431.1736152)</f>
        <v>8431.1736151999994</v>
      </c>
      <c r="G570" s="95">
        <f t="shared" ca="1" si="1056"/>
        <v>2.0926935029448113E-4</v>
      </c>
      <c r="H570" s="101">
        <v>1667</v>
      </c>
      <c r="I570" s="101">
        <v>1352</v>
      </c>
      <c r="J570" s="101">
        <v>122</v>
      </c>
      <c r="K570" s="101">
        <v>118</v>
      </c>
      <c r="L570" s="101">
        <v>663</v>
      </c>
      <c r="M570" s="101">
        <v>513</v>
      </c>
      <c r="N570" s="101">
        <v>46</v>
      </c>
      <c r="O570" s="101">
        <v>46</v>
      </c>
      <c r="P570" s="13">
        <f t="shared" ref="P570:Q570" si="1153">J570/H570</f>
        <v>7.3185362927414524E-2</v>
      </c>
      <c r="Q570" s="13">
        <f t="shared" si="1153"/>
        <v>8.7278106508875741E-2</v>
      </c>
      <c r="R570" s="13">
        <f t="shared" si="1035"/>
        <v>-1.4092743581461217E-2</v>
      </c>
      <c r="S570" s="13">
        <f t="shared" ref="S570:T570" si="1154">N570/L570</f>
        <v>6.9381598793363503E-2</v>
      </c>
      <c r="T570" s="13">
        <f t="shared" si="1154"/>
        <v>8.9668615984405453E-2</v>
      </c>
      <c r="U570" s="13">
        <f t="shared" si="1037"/>
        <v>-2.0287017191041951E-2</v>
      </c>
      <c r="V570" s="13">
        <f t="shared" si="1038"/>
        <v>0.23298816568047331</v>
      </c>
      <c r="W570" s="13">
        <f t="shared" si="1039"/>
        <v>3.3898305084745672E-2</v>
      </c>
      <c r="X570" s="13">
        <f t="shared" si="1040"/>
        <v>0.29239766081871355</v>
      </c>
      <c r="Y570" s="13">
        <f t="shared" si="1041"/>
        <v>0</v>
      </c>
    </row>
    <row r="571" spans="1:25" ht="14.4">
      <c r="A571" s="98" t="s">
        <v>846</v>
      </c>
      <c r="B571" s="99">
        <v>505355</v>
      </c>
      <c r="C571" s="98" t="s">
        <v>206</v>
      </c>
      <c r="D571" s="70" t="s">
        <v>657</v>
      </c>
      <c r="E571" s="11">
        <f ca="1">IFERROR(__xludf.DUMMYFUNCTION("GOOGLEFINANCE(""BOM:""&amp;B572,""PRICE"")"),1080.25)</f>
        <v>1080.25</v>
      </c>
      <c r="F571" s="20">
        <f ca="1">IFERROR(__xludf.DUMMYFUNCTION("GOOGLEFINANCE(""BOM:""&amp;B572,""MARKETCAP"")/10000000"),7644.904575)</f>
        <v>7644.9045749999996</v>
      </c>
      <c r="G571" s="95">
        <f t="shared" ca="1" si="1056"/>
        <v>1.8975344198692625E-4</v>
      </c>
      <c r="H571" s="101">
        <v>680</v>
      </c>
      <c r="I571" s="101">
        <v>540</v>
      </c>
      <c r="J571" s="101">
        <v>319</v>
      </c>
      <c r="K571" s="101">
        <v>286</v>
      </c>
      <c r="L571" s="101">
        <v>247</v>
      </c>
      <c r="M571" s="101">
        <v>206</v>
      </c>
      <c r="N571" s="101">
        <v>104</v>
      </c>
      <c r="O571" s="101">
        <v>109</v>
      </c>
      <c r="P571" s="13">
        <f t="shared" ref="P571:Q571" si="1155">J571/H571</f>
        <v>0.46911764705882353</v>
      </c>
      <c r="Q571" s="13">
        <f t="shared" si="1155"/>
        <v>0.52962962962962967</v>
      </c>
      <c r="R571" s="13">
        <f t="shared" si="1035"/>
        <v>-6.0511982570806144E-2</v>
      </c>
      <c r="S571" s="13">
        <f t="shared" ref="S571:T571" si="1156">N571/L571</f>
        <v>0.42105263157894735</v>
      </c>
      <c r="T571" s="13">
        <f t="shared" si="1156"/>
        <v>0.529126213592233</v>
      </c>
      <c r="U571" s="13">
        <f t="shared" si="1037"/>
        <v>-0.10807358201328565</v>
      </c>
      <c r="V571" s="13">
        <f t="shared" si="1038"/>
        <v>0.2592592592592593</v>
      </c>
      <c r="W571" s="13">
        <f t="shared" si="1039"/>
        <v>0.11538461538461542</v>
      </c>
      <c r="X571" s="13">
        <f t="shared" si="1040"/>
        <v>0.19902912621359214</v>
      </c>
      <c r="Y571" s="13">
        <f t="shared" si="1041"/>
        <v>-4.587155963302747E-2</v>
      </c>
    </row>
    <row r="572" spans="1:25" ht="14.4">
      <c r="A572" s="98" t="s">
        <v>847</v>
      </c>
      <c r="B572" s="99">
        <v>532531</v>
      </c>
      <c r="C572" s="98" t="s">
        <v>190</v>
      </c>
      <c r="D572" s="100" t="s">
        <v>100</v>
      </c>
      <c r="E572" s="11">
        <f ca="1">IFERROR(__xludf.DUMMYFUNCTION("GOOGLEFINANCE(""BOM:""&amp;B573,""PRICE"")"),977.95)</f>
        <v>977.95</v>
      </c>
      <c r="F572" s="20">
        <f ca="1">IFERROR(__xludf.DUMMYFUNCTION("GOOGLEFINANCE(""BOM:""&amp;B573,""MARKETCAP"")/10000000"),9017.2561067)</f>
        <v>9017.2561067000006</v>
      </c>
      <c r="G572" s="95">
        <f t="shared" ca="1" si="1056"/>
        <v>2.2381644750928172E-4</v>
      </c>
      <c r="H572" s="101">
        <v>3535</v>
      </c>
      <c r="I572" s="101">
        <v>3374</v>
      </c>
      <c r="J572" s="101">
        <v>445</v>
      </c>
      <c r="K572" s="101">
        <v>3511</v>
      </c>
      <c r="L572" s="101">
        <v>1194</v>
      </c>
      <c r="M572" s="101">
        <v>1153</v>
      </c>
      <c r="N572" s="101">
        <v>208</v>
      </c>
      <c r="O572" s="101">
        <v>90</v>
      </c>
      <c r="P572" s="13">
        <f t="shared" ref="P572:Q572" si="1157">J572/H572</f>
        <v>0.12588401697312587</v>
      </c>
      <c r="Q572" s="13">
        <f t="shared" si="1157"/>
        <v>1.0406046235921755</v>
      </c>
      <c r="R572" s="13">
        <f t="shared" si="1035"/>
        <v>-0.91472060661904964</v>
      </c>
      <c r="S572" s="13">
        <f t="shared" ref="S572:T572" si="1158">N572/L572</f>
        <v>0.17420435510887772</v>
      </c>
      <c r="T572" s="13">
        <f t="shared" si="1158"/>
        <v>7.8057241977450134E-2</v>
      </c>
      <c r="U572" s="13">
        <f t="shared" si="1037"/>
        <v>9.6147113131427583E-2</v>
      </c>
      <c r="V572" s="13">
        <f t="shared" si="1038"/>
        <v>4.7717842323651505E-2</v>
      </c>
      <c r="W572" s="13">
        <f t="shared" si="1039"/>
        <v>-0.873255482768442</v>
      </c>
      <c r="X572" s="13">
        <f t="shared" si="1040"/>
        <v>3.555941023417164E-2</v>
      </c>
      <c r="Y572" s="13">
        <f t="shared" si="1041"/>
        <v>1.3111111111111109</v>
      </c>
    </row>
    <row r="573" spans="1:25" ht="14.4">
      <c r="A573" s="104" t="s">
        <v>848</v>
      </c>
      <c r="B573" s="99">
        <v>532371</v>
      </c>
      <c r="C573" s="98" t="s">
        <v>170</v>
      </c>
      <c r="D573" s="101" t="s">
        <v>128</v>
      </c>
      <c r="E573" s="11">
        <f ca="1">IFERROR(__xludf.DUMMYFUNCTION("GOOGLEFINANCE(""BOM:""&amp;B574,""PRICE"")"),37.49)</f>
        <v>37.49</v>
      </c>
      <c r="F573" s="20">
        <f ca="1">IFERROR(__xludf.DUMMYFUNCTION("GOOGLEFINANCE(""BOM:""&amp;B574,""MARKETCAP"")/10000000"),7323.156363)</f>
        <v>7323.1563630000001</v>
      </c>
      <c r="G573" s="95">
        <f t="shared" ca="1" si="1056"/>
        <v>1.8176736052819998E-4</v>
      </c>
      <c r="H573" s="101">
        <v>865</v>
      </c>
      <c r="I573" s="101">
        <v>1000</v>
      </c>
      <c r="J573" s="101">
        <v>-796</v>
      </c>
      <c r="K573" s="101">
        <v>-969</v>
      </c>
      <c r="L573" s="101">
        <v>294</v>
      </c>
      <c r="M573" s="101">
        <v>333</v>
      </c>
      <c r="N573" s="101">
        <v>-151</v>
      </c>
      <c r="O573" s="101">
        <v>-315</v>
      </c>
      <c r="P573" s="13">
        <f t="shared" ref="P573:Q573" si="1159">J573/H573</f>
        <v>-0.92023121387283235</v>
      </c>
      <c r="Q573" s="13">
        <f t="shared" si="1159"/>
        <v>-0.96899999999999997</v>
      </c>
      <c r="R573" s="13">
        <f t="shared" si="1035"/>
        <v>4.8768786127167618E-2</v>
      </c>
      <c r="S573" s="13">
        <f t="shared" ref="S573:T573" si="1160">N573/L573</f>
        <v>-0.51360544217687076</v>
      </c>
      <c r="T573" s="13">
        <f t="shared" si="1160"/>
        <v>-0.94594594594594594</v>
      </c>
      <c r="U573" s="13">
        <f t="shared" si="1037"/>
        <v>0.43234050376907518</v>
      </c>
      <c r="V573" s="13">
        <f t="shared" si="1038"/>
        <v>-0.13500000000000001</v>
      </c>
      <c r="W573" s="13">
        <f t="shared" si="1039"/>
        <v>-0.17853457172342624</v>
      </c>
      <c r="X573" s="13">
        <f t="shared" si="1040"/>
        <v>-0.11711711711711714</v>
      </c>
      <c r="Y573" s="13">
        <f t="shared" si="1041"/>
        <v>-0.52063492063492056</v>
      </c>
    </row>
    <row r="574" spans="1:25" ht="14.4">
      <c r="A574" s="98" t="s">
        <v>849</v>
      </c>
      <c r="B574" s="99">
        <v>543318</v>
      </c>
      <c r="C574" s="98" t="s">
        <v>196</v>
      </c>
      <c r="D574" s="70" t="s">
        <v>251</v>
      </c>
      <c r="E574" s="11">
        <f ca="1">IFERROR(__xludf.DUMMYFUNCTION("GOOGLEFINANCE(""BOM:""&amp;B575,""PRICE"")"),694.25)</f>
        <v>694.25</v>
      </c>
      <c r="F574" s="20">
        <f ca="1">IFERROR(__xludf.DUMMYFUNCTION("GOOGLEFINANCE(""BOM:""&amp;B575,""MARKETCAP"")/10000000"),7376.7071335)</f>
        <v>7376.7071335000001</v>
      </c>
      <c r="G574" s="95">
        <f t="shared" ca="1" si="1056"/>
        <v>1.8309653905799567E-4</v>
      </c>
      <c r="H574" s="101">
        <v>707</v>
      </c>
      <c r="I574" s="101">
        <v>702</v>
      </c>
      <c r="J574" s="101">
        <v>171</v>
      </c>
      <c r="K574" s="101">
        <v>190</v>
      </c>
      <c r="L574" s="101">
        <v>219</v>
      </c>
      <c r="M574" s="101">
        <v>240</v>
      </c>
      <c r="N574" s="101">
        <v>45</v>
      </c>
      <c r="O574" s="101">
        <v>65</v>
      </c>
      <c r="P574" s="13">
        <f t="shared" ref="P574:Q574" si="1161">J574/H574</f>
        <v>0.24186704384724186</v>
      </c>
      <c r="Q574" s="13">
        <f t="shared" si="1161"/>
        <v>0.27065527065527067</v>
      </c>
      <c r="R574" s="13">
        <f t="shared" si="1035"/>
        <v>-2.8788226808028811E-2</v>
      </c>
      <c r="S574" s="13">
        <f t="shared" ref="S574:T574" si="1162">N574/L574</f>
        <v>0.20547945205479451</v>
      </c>
      <c r="T574" s="13">
        <f t="shared" si="1162"/>
        <v>0.27083333333333331</v>
      </c>
      <c r="U574" s="13">
        <f t="shared" si="1037"/>
        <v>-6.5353881278538806E-2</v>
      </c>
      <c r="V574" s="13">
        <f t="shared" si="1038"/>
        <v>7.1225071225071712E-3</v>
      </c>
      <c r="W574" s="13">
        <f t="shared" si="1039"/>
        <v>-9.9999999999999978E-2</v>
      </c>
      <c r="X574" s="13">
        <f t="shared" si="1040"/>
        <v>-8.7500000000000022E-2</v>
      </c>
      <c r="Y574" s="13">
        <f t="shared" si="1041"/>
        <v>-0.30769230769230771</v>
      </c>
    </row>
    <row r="575" spans="1:25" ht="14.4">
      <c r="A575" s="98" t="s">
        <v>850</v>
      </c>
      <c r="B575" s="99">
        <v>532652</v>
      </c>
      <c r="C575" s="98" t="s">
        <v>172</v>
      </c>
      <c r="D575" s="102" t="s">
        <v>72</v>
      </c>
      <c r="E575" s="11">
        <f ca="1">IFERROR(__xludf.DUMMYFUNCTION("GOOGLEFINANCE(""BOM:""&amp;B576,""PRICE"")"),229.6)</f>
        <v>229.6</v>
      </c>
      <c r="F575" s="20">
        <f ca="1">IFERROR(__xludf.DUMMYFUNCTION("GOOGLEFINANCE(""BOM:""&amp;B576,""MARKETCAP"")/10000000"),8673.3147265)</f>
        <v>8673.3147265000007</v>
      </c>
      <c r="G575" s="95">
        <f t="shared" ca="1" si="1056"/>
        <v>2.1527951155482814E-4</v>
      </c>
      <c r="H575" s="101">
        <v>7665</v>
      </c>
      <c r="I575" s="101">
        <v>7603</v>
      </c>
      <c r="J575" s="101">
        <v>902</v>
      </c>
      <c r="K575" s="101">
        <v>1020</v>
      </c>
      <c r="L575" s="101">
        <v>2522</v>
      </c>
      <c r="M575" s="101">
        <v>2542</v>
      </c>
      <c r="N575" s="101">
        <v>291</v>
      </c>
      <c r="O575" s="101">
        <v>283</v>
      </c>
      <c r="P575" s="13">
        <f t="shared" ref="P575:Q575" si="1163">J575/H575</f>
        <v>0.11767775603392042</v>
      </c>
      <c r="Q575" s="13">
        <f t="shared" si="1163"/>
        <v>0.13415756938050769</v>
      </c>
      <c r="R575" s="13">
        <f t="shared" si="1035"/>
        <v>-1.6479813346587269E-2</v>
      </c>
      <c r="S575" s="13">
        <f t="shared" ref="S575:T575" si="1164">N575/L575</f>
        <v>0.11538461538461539</v>
      </c>
      <c r="T575" s="13">
        <f t="shared" si="1164"/>
        <v>0.11132966168371361</v>
      </c>
      <c r="U575" s="13">
        <f t="shared" si="1037"/>
        <v>4.0549537009017811E-3</v>
      </c>
      <c r="V575" s="13">
        <f t="shared" si="1038"/>
        <v>8.1546757858739216E-3</v>
      </c>
      <c r="W575" s="13">
        <f t="shared" si="1039"/>
        <v>-0.11568627450980395</v>
      </c>
      <c r="X575" s="13">
        <f t="shared" si="1040"/>
        <v>-7.8678206136899576E-3</v>
      </c>
      <c r="Y575" s="13">
        <f t="shared" si="1041"/>
        <v>2.8268551236749095E-2</v>
      </c>
    </row>
    <row r="576" spans="1:25" ht="14.4">
      <c r="A576" s="98" t="s">
        <v>851</v>
      </c>
      <c r="B576" s="99">
        <v>524404</v>
      </c>
      <c r="C576" s="98" t="s">
        <v>190</v>
      </c>
      <c r="D576" s="102" t="s">
        <v>100</v>
      </c>
      <c r="E576" s="11">
        <f ca="1">IFERROR(__xludf.DUMMYFUNCTION("GOOGLEFINANCE(""BOM:""&amp;B577,""PRICE"")"),165.9)</f>
        <v>165.9</v>
      </c>
      <c r="F576" s="20">
        <f ca="1">IFERROR(__xludf.DUMMYFUNCTION("GOOGLEFINANCE(""BOM:""&amp;B577,""MARKETCAP"")/10000000"),7514.3608053)</f>
        <v>7514.3608052999998</v>
      </c>
      <c r="G576" s="95">
        <f t="shared" ca="1" si="1056"/>
        <v>1.865132276209381E-4</v>
      </c>
      <c r="H576" s="101">
        <v>2142</v>
      </c>
      <c r="I576" s="101">
        <v>1966</v>
      </c>
      <c r="J576" s="101">
        <v>271</v>
      </c>
      <c r="K576" s="101">
        <v>291</v>
      </c>
      <c r="L576" s="101">
        <v>774</v>
      </c>
      <c r="M576" s="101">
        <v>717</v>
      </c>
      <c r="N576" s="101">
        <v>113</v>
      </c>
      <c r="O576" s="101">
        <v>106</v>
      </c>
      <c r="P576" s="13">
        <f t="shared" ref="P576:Q576" si="1165">J576/H576</f>
        <v>0.1265172735760971</v>
      </c>
      <c r="Q576" s="13">
        <f t="shared" si="1165"/>
        <v>0.14801627670396744</v>
      </c>
      <c r="R576" s="13">
        <f t="shared" si="1035"/>
        <v>-2.1499003127870342E-2</v>
      </c>
      <c r="S576" s="13">
        <f t="shared" ref="S576:T576" si="1166">N576/L576</f>
        <v>0.14599483204134367</v>
      </c>
      <c r="T576" s="13">
        <f t="shared" si="1166"/>
        <v>0.14783821478382148</v>
      </c>
      <c r="U576" s="13">
        <f t="shared" si="1037"/>
        <v>-1.843382742477806E-3</v>
      </c>
      <c r="V576" s="13">
        <f t="shared" si="1038"/>
        <v>8.9521871820956278E-2</v>
      </c>
      <c r="W576" s="13">
        <f t="shared" si="1039"/>
        <v>-6.8728522336769737E-2</v>
      </c>
      <c r="X576" s="13">
        <f t="shared" si="1040"/>
        <v>7.9497907949790836E-2</v>
      </c>
      <c r="Y576" s="13">
        <f t="shared" si="1041"/>
        <v>6.60377358490567E-2</v>
      </c>
    </row>
    <row r="577" spans="1:25" ht="14.4">
      <c r="A577" s="98" t="s">
        <v>852</v>
      </c>
      <c r="B577" s="99">
        <v>540879</v>
      </c>
      <c r="C577" s="98" t="s">
        <v>180</v>
      </c>
      <c r="D577" s="70" t="s">
        <v>204</v>
      </c>
      <c r="E577" s="11">
        <f ca="1">IFERROR(__xludf.DUMMYFUNCTION("GOOGLEFINANCE(""BOM:""&amp;B578,""PRICE"")"),200)</f>
        <v>200</v>
      </c>
      <c r="F577" s="20">
        <f ca="1">IFERROR(__xludf.DUMMYFUNCTION("GOOGLEFINANCE(""BOM:""&amp;B578,""MARKETCAP"")/10000000"),7147.2769297)</f>
        <v>7147.2769297000004</v>
      </c>
      <c r="G577" s="95">
        <f t="shared" ca="1" si="1056"/>
        <v>1.7740187401153081E-4</v>
      </c>
      <c r="H577" s="101">
        <v>611</v>
      </c>
      <c r="I577" s="101">
        <v>400</v>
      </c>
      <c r="J577" s="101">
        <v>70</v>
      </c>
      <c r="K577" s="101">
        <v>42</v>
      </c>
      <c r="L577" s="101">
        <v>252</v>
      </c>
      <c r="M577" s="101">
        <v>148</v>
      </c>
      <c r="N577" s="101">
        <v>22</v>
      </c>
      <c r="O577" s="101">
        <v>18</v>
      </c>
      <c r="P577" s="13">
        <f t="shared" ref="P577:Q577" si="1167">J577/H577</f>
        <v>0.11456628477905073</v>
      </c>
      <c r="Q577" s="13">
        <f t="shared" si="1167"/>
        <v>0.105</v>
      </c>
      <c r="R577" s="13">
        <f t="shared" si="1035"/>
        <v>9.5662847790507349E-3</v>
      </c>
      <c r="S577" s="13">
        <f t="shared" ref="S577:T577" si="1168">N577/L577</f>
        <v>8.7301587301587297E-2</v>
      </c>
      <c r="T577" s="13">
        <f t="shared" si="1168"/>
        <v>0.12162162162162163</v>
      </c>
      <c r="U577" s="13">
        <f t="shared" si="1037"/>
        <v>-3.4320034320034332E-2</v>
      </c>
      <c r="V577" s="13">
        <f t="shared" si="1038"/>
        <v>0.52750000000000008</v>
      </c>
      <c r="W577" s="13">
        <f t="shared" si="1039"/>
        <v>0.66666666666666674</v>
      </c>
      <c r="X577" s="13">
        <f t="shared" si="1040"/>
        <v>0.70270270270270263</v>
      </c>
      <c r="Y577" s="13">
        <f t="shared" si="1041"/>
        <v>0.22222222222222232</v>
      </c>
    </row>
    <row r="578" spans="1:25" ht="14.4">
      <c r="A578" s="98" t="s">
        <v>853</v>
      </c>
      <c r="B578" s="99">
        <v>543523</v>
      </c>
      <c r="C578" s="98" t="s">
        <v>187</v>
      </c>
      <c r="D578" s="102" t="s">
        <v>506</v>
      </c>
      <c r="E578" s="11">
        <f ca="1">IFERROR(__xludf.DUMMYFUNCTION("GOOGLEFINANCE(""BOM:""&amp;B579,""PRICE"")"),232.05)</f>
        <v>232.05</v>
      </c>
      <c r="F578" s="20">
        <f ca="1">IFERROR(__xludf.DUMMYFUNCTION("GOOGLEFINANCE(""BOM:""&amp;B579,""MARKETCAP"")/10000000"),7090.3712367)</f>
        <v>7090.3712366999998</v>
      </c>
      <c r="G578" s="95">
        <f t="shared" ca="1" si="1056"/>
        <v>1.7598942327268016E-4</v>
      </c>
      <c r="H578" s="101">
        <v>1319</v>
      </c>
      <c r="I578" s="101">
        <v>1187</v>
      </c>
      <c r="J578" s="101">
        <v>106</v>
      </c>
      <c r="K578" s="101">
        <v>86</v>
      </c>
      <c r="L578" s="101">
        <v>589</v>
      </c>
      <c r="M578" s="101">
        <v>515</v>
      </c>
      <c r="N578" s="101">
        <v>64</v>
      </c>
      <c r="O578" s="101">
        <v>46</v>
      </c>
      <c r="P578" s="13">
        <f t="shared" ref="P578:Q578" si="1169">J578/H578</f>
        <v>8.0363912054586803E-2</v>
      </c>
      <c r="Q578" s="13">
        <f t="shared" si="1169"/>
        <v>7.2451558550968825E-2</v>
      </c>
      <c r="R578" s="13">
        <f t="shared" si="1035"/>
        <v>7.9123535036179776E-3</v>
      </c>
      <c r="S578" s="13">
        <f t="shared" ref="S578:T578" si="1170">N578/L578</f>
        <v>0.10865874363327674</v>
      </c>
      <c r="T578" s="13">
        <f t="shared" si="1170"/>
        <v>8.9320388349514557E-2</v>
      </c>
      <c r="U578" s="13">
        <f t="shared" si="1037"/>
        <v>1.9338355283762182E-2</v>
      </c>
      <c r="V578" s="13">
        <f t="shared" si="1038"/>
        <v>0.11120471777590568</v>
      </c>
      <c r="W578" s="13">
        <f t="shared" si="1039"/>
        <v>0.23255813953488369</v>
      </c>
      <c r="X578" s="13">
        <f t="shared" si="1040"/>
        <v>0.14368932038834958</v>
      </c>
      <c r="Y578" s="13">
        <f t="shared" si="1041"/>
        <v>0.39130434782608692</v>
      </c>
    </row>
    <row r="579" spans="1:25" ht="14.4">
      <c r="A579" s="98" t="s">
        <v>854</v>
      </c>
      <c r="B579" s="99">
        <v>505533</v>
      </c>
      <c r="C579" s="98" t="s">
        <v>187</v>
      </c>
      <c r="D579" s="102" t="s">
        <v>124</v>
      </c>
      <c r="E579" s="11">
        <f ca="1">IFERROR(__xludf.DUMMYFUNCTION("GOOGLEFINANCE(""BOM:""&amp;B580,""PRICE"")"),461.85)</f>
        <v>461.85</v>
      </c>
      <c r="F579" s="20">
        <f ca="1">IFERROR(__xludf.DUMMYFUNCTION("GOOGLEFINANCE(""BOM:""&amp;B580,""MARKETCAP"")/10000000"),7160.8764142)</f>
        <v>7160.8764142</v>
      </c>
      <c r="G579" s="95">
        <f t="shared" ca="1" si="1056"/>
        <v>1.7773942550976159E-4</v>
      </c>
      <c r="H579" s="101">
        <v>1995</v>
      </c>
      <c r="I579" s="101">
        <v>1902</v>
      </c>
      <c r="J579" s="101">
        <v>29</v>
      </c>
      <c r="K579" s="101">
        <v>10</v>
      </c>
      <c r="L579" s="101">
        <v>678</v>
      </c>
      <c r="M579" s="101">
        <v>656</v>
      </c>
      <c r="N579" s="101">
        <v>10</v>
      </c>
      <c r="O579" s="101">
        <v>70</v>
      </c>
      <c r="P579" s="13">
        <f t="shared" ref="P579:Q579" si="1171">J579/H579</f>
        <v>1.4536340852130326E-2</v>
      </c>
      <c r="Q579" s="13">
        <f t="shared" si="1171"/>
        <v>5.2576235541535229E-3</v>
      </c>
      <c r="R579" s="13">
        <f t="shared" si="1035"/>
        <v>9.2787172979768035E-3</v>
      </c>
      <c r="S579" s="13">
        <f t="shared" ref="S579:T579" si="1172">N579/L579</f>
        <v>1.4749262536873156E-2</v>
      </c>
      <c r="T579" s="13">
        <f t="shared" si="1172"/>
        <v>0.10670731707317073</v>
      </c>
      <c r="U579" s="13">
        <f t="shared" si="1037"/>
        <v>-9.1958054536297573E-2</v>
      </c>
      <c r="V579" s="13">
        <f t="shared" si="1038"/>
        <v>4.8895899053627678E-2</v>
      </c>
      <c r="W579" s="13">
        <f t="shared" si="1039"/>
        <v>1.9</v>
      </c>
      <c r="X579" s="13">
        <f t="shared" si="1040"/>
        <v>3.3536585365853577E-2</v>
      </c>
      <c r="Y579" s="13">
        <f t="shared" si="1041"/>
        <v>-0.85714285714285721</v>
      </c>
    </row>
    <row r="580" spans="1:25" ht="14.4">
      <c r="A580" s="98" t="s">
        <v>855</v>
      </c>
      <c r="B580" s="99">
        <v>533269</v>
      </c>
      <c r="C580" s="98" t="s">
        <v>198</v>
      </c>
      <c r="D580" s="102" t="s">
        <v>856</v>
      </c>
      <c r="E580" s="11">
        <f ca="1">IFERROR(__xludf.DUMMYFUNCTION("GOOGLEFINANCE(""BOM:""&amp;B581,""PRICE"")"),1251.8)</f>
        <v>1251.8</v>
      </c>
      <c r="F580" s="20">
        <f ca="1">IFERROR(__xludf.DUMMYFUNCTION("GOOGLEFINANCE(""BOM:""&amp;B581,""MARKETCAP"")/10000000"),7778.5678342)</f>
        <v>7778.5678342000001</v>
      </c>
      <c r="G580" s="95">
        <f t="shared" ca="1" si="1056"/>
        <v>1.930710849020951E-4</v>
      </c>
      <c r="H580" s="101">
        <v>2592</v>
      </c>
      <c r="I580" s="101">
        <v>2171</v>
      </c>
      <c r="J580" s="101">
        <v>241</v>
      </c>
      <c r="K580" s="101">
        <v>195</v>
      </c>
      <c r="L580" s="101">
        <v>984</v>
      </c>
      <c r="M580" s="101">
        <v>825</v>
      </c>
      <c r="N580" s="101">
        <v>91</v>
      </c>
      <c r="O580" s="101">
        <v>70</v>
      </c>
      <c r="P580" s="13">
        <f t="shared" ref="P580:Q580" si="1173">J580/H580</f>
        <v>9.2978395061728392E-2</v>
      </c>
      <c r="Q580" s="13">
        <f t="shared" si="1173"/>
        <v>8.9820359281437126E-2</v>
      </c>
      <c r="R580" s="13">
        <f t="shared" si="1035"/>
        <v>3.1580357802912656E-3</v>
      </c>
      <c r="S580" s="13">
        <f t="shared" ref="S580:T580" si="1174">N580/L580</f>
        <v>9.2479674796747971E-2</v>
      </c>
      <c r="T580" s="13">
        <f t="shared" si="1174"/>
        <v>8.4848484848484854E-2</v>
      </c>
      <c r="U580" s="13">
        <f t="shared" si="1037"/>
        <v>7.6311899482631174E-3</v>
      </c>
      <c r="V580" s="13">
        <f t="shared" si="1038"/>
        <v>0.19391985260248723</v>
      </c>
      <c r="W580" s="13">
        <f t="shared" si="1039"/>
        <v>0.23589743589743595</v>
      </c>
      <c r="X580" s="13">
        <f t="shared" si="1040"/>
        <v>0.19272727272727264</v>
      </c>
      <c r="Y580" s="13">
        <f t="shared" si="1041"/>
        <v>0.30000000000000004</v>
      </c>
    </row>
    <row r="581" spans="1:25" ht="14.4">
      <c r="A581" s="98" t="s">
        <v>857</v>
      </c>
      <c r="B581" s="99">
        <v>530813</v>
      </c>
      <c r="C581" s="98" t="s">
        <v>183</v>
      </c>
      <c r="D581" s="102" t="s">
        <v>664</v>
      </c>
      <c r="E581" s="11">
        <f ca="1">IFERROR(__xludf.DUMMYFUNCTION("GOOGLEFINANCE(""BOM:""&amp;B582,""PRICE"")"),312.1)</f>
        <v>312.10000000000002</v>
      </c>
      <c r="F581" s="20">
        <f ca="1">IFERROR(__xludf.DUMMYFUNCTION("GOOGLEFINANCE(""BOM:""&amp;B582,""MARKETCAP"")/10000000"),7150.5172122)</f>
        <v>7150.5172122000004</v>
      </c>
      <c r="G581" s="95">
        <f t="shared" ca="1" si="1056"/>
        <v>1.7748230075215955E-4</v>
      </c>
      <c r="H581" s="101">
        <v>4572</v>
      </c>
      <c r="I581" s="101">
        <v>4151</v>
      </c>
      <c r="J581" s="101">
        <v>492</v>
      </c>
      <c r="K581" s="101">
        <v>321</v>
      </c>
      <c r="L581" s="101">
        <v>1476</v>
      </c>
      <c r="M581" s="101">
        <v>1681</v>
      </c>
      <c r="N581" s="101">
        <v>169</v>
      </c>
      <c r="O581" s="101">
        <v>132</v>
      </c>
      <c r="P581" s="13">
        <f t="shared" ref="P581:Q581" si="1175">J581/H581</f>
        <v>0.10761154855643044</v>
      </c>
      <c r="Q581" s="13">
        <f t="shared" si="1175"/>
        <v>7.7330763671404484E-2</v>
      </c>
      <c r="R581" s="13">
        <f t="shared" si="1035"/>
        <v>3.028078488502596E-2</v>
      </c>
      <c r="S581" s="13">
        <f t="shared" ref="S581:T581" si="1176">N581/L581</f>
        <v>0.11449864498644986</v>
      </c>
      <c r="T581" s="13">
        <f t="shared" si="1176"/>
        <v>7.8524687685901248E-2</v>
      </c>
      <c r="U581" s="13">
        <f t="shared" si="1037"/>
        <v>3.5973957300548615E-2</v>
      </c>
      <c r="V581" s="13">
        <f t="shared" si="1038"/>
        <v>0.10142134425439653</v>
      </c>
      <c r="W581" s="13">
        <f t="shared" si="1039"/>
        <v>0.53271028037383172</v>
      </c>
      <c r="X581" s="13">
        <f t="shared" si="1040"/>
        <v>-0.12195121951219512</v>
      </c>
      <c r="Y581" s="13">
        <f t="shared" si="1041"/>
        <v>0.28030303030303028</v>
      </c>
    </row>
    <row r="582" spans="1:25" ht="14.4">
      <c r="A582" s="98" t="s">
        <v>858</v>
      </c>
      <c r="B582" s="99">
        <v>539992</v>
      </c>
      <c r="C582" s="98" t="s">
        <v>180</v>
      </c>
      <c r="D582" s="102" t="s">
        <v>514</v>
      </c>
      <c r="E582" s="11">
        <f ca="1">IFERROR(__xludf.DUMMYFUNCTION("GOOGLEFINANCE(""BOM:""&amp;B583,""PRICE"")"),43.51)</f>
        <v>43.51</v>
      </c>
      <c r="F582" s="20">
        <f ca="1">IFERROR(__xludf.DUMMYFUNCTION("GOOGLEFINANCE(""BOM:""&amp;B583,""MARKETCAP"")/10000000"),6279.6451659)</f>
        <v>6279.6451659000004</v>
      </c>
      <c r="G582" s="95">
        <f t="shared" ca="1" si="1056"/>
        <v>1.5586646935826371E-4</v>
      </c>
      <c r="H582" s="101">
        <v>806</v>
      </c>
      <c r="I582" s="101">
        <v>614</v>
      </c>
      <c r="J582" s="101">
        <v>117</v>
      </c>
      <c r="K582" s="101">
        <v>85</v>
      </c>
      <c r="L582" s="101">
        <v>272</v>
      </c>
      <c r="M582" s="101">
        <v>266</v>
      </c>
      <c r="N582" s="101">
        <v>56</v>
      </c>
      <c r="O582" s="101">
        <v>36</v>
      </c>
      <c r="P582" s="13">
        <f t="shared" ref="P582:Q582" si="1177">J582/H582</f>
        <v>0.14516129032258066</v>
      </c>
      <c r="Q582" s="13">
        <f t="shared" si="1177"/>
        <v>0.13843648208469056</v>
      </c>
      <c r="R582" s="13">
        <f t="shared" si="1035"/>
        <v>6.7248082378900953E-3</v>
      </c>
      <c r="S582" s="13">
        <f t="shared" ref="S582:T582" si="1178">N582/L582</f>
        <v>0.20588235294117646</v>
      </c>
      <c r="T582" s="13">
        <f t="shared" si="1178"/>
        <v>0.13533834586466165</v>
      </c>
      <c r="U582" s="13">
        <f t="shared" si="1037"/>
        <v>7.0544007076514814E-2</v>
      </c>
      <c r="V582" s="13">
        <f t="shared" si="1038"/>
        <v>0.31270358306188917</v>
      </c>
      <c r="W582" s="13">
        <f t="shared" si="1039"/>
        <v>0.37647058823529411</v>
      </c>
      <c r="X582" s="13">
        <f t="shared" si="1040"/>
        <v>2.2556390977443552E-2</v>
      </c>
      <c r="Y582" s="13">
        <f t="shared" si="1041"/>
        <v>0.55555555555555558</v>
      </c>
    </row>
    <row r="583" spans="1:25" ht="14.4">
      <c r="A583" s="98" t="s">
        <v>859</v>
      </c>
      <c r="B583" s="99">
        <v>534809</v>
      </c>
      <c r="C583" s="98" t="s">
        <v>187</v>
      </c>
      <c r="D583" s="101" t="s">
        <v>70</v>
      </c>
      <c r="E583" s="11">
        <f ca="1">IFERROR(__xludf.DUMMYFUNCTION("GOOGLEFINANCE(""BOM:""&amp;B584,""PRICE"")"),8.54)</f>
        <v>8.5399999999999991</v>
      </c>
      <c r="F583" s="20">
        <f ca="1">IFERROR(__xludf.DUMMYFUNCTION("GOOGLEFINANCE(""BOM:""&amp;B584,""MARKETCAP"")/10000000"),7377.257275)</f>
        <v>7377.2572749999999</v>
      </c>
      <c r="G583" s="95">
        <f t="shared" ca="1" si="1056"/>
        <v>1.8311019406731341E-4</v>
      </c>
      <c r="H583" s="101">
        <v>2425</v>
      </c>
      <c r="I583" s="101">
        <v>1545</v>
      </c>
      <c r="J583" s="101">
        <v>561</v>
      </c>
      <c r="K583" s="101">
        <v>482</v>
      </c>
      <c r="L583" s="101">
        <v>875</v>
      </c>
      <c r="M583" s="101">
        <v>639</v>
      </c>
      <c r="N583" s="101">
        <v>190</v>
      </c>
      <c r="O583" s="101">
        <v>147</v>
      </c>
      <c r="P583" s="13">
        <f t="shared" ref="P583:Q583" si="1179">J583/H583</f>
        <v>0.231340206185567</v>
      </c>
      <c r="Q583" s="13">
        <f t="shared" si="1179"/>
        <v>0.31197411003236247</v>
      </c>
      <c r="R583" s="13">
        <f t="shared" si="1035"/>
        <v>-8.0633903846795474E-2</v>
      </c>
      <c r="S583" s="13">
        <f t="shared" ref="S583:T583" si="1180">N583/L583</f>
        <v>0.21714285714285714</v>
      </c>
      <c r="T583" s="13">
        <f t="shared" si="1180"/>
        <v>0.2300469483568075</v>
      </c>
      <c r="U583" s="13">
        <f t="shared" si="1037"/>
        <v>-1.2904091213950364E-2</v>
      </c>
      <c r="V583" s="13">
        <f t="shared" si="1038"/>
        <v>0.56957928802588986</v>
      </c>
      <c r="W583" s="13">
        <f t="shared" si="1039"/>
        <v>0.16390041493775942</v>
      </c>
      <c r="X583" s="13">
        <f t="shared" si="1040"/>
        <v>0.36932707355242567</v>
      </c>
      <c r="Y583" s="13">
        <f t="shared" si="1041"/>
        <v>0.29251700680272119</v>
      </c>
    </row>
    <row r="584" spans="1:25" ht="14.4">
      <c r="A584" s="98" t="s">
        <v>860</v>
      </c>
      <c r="B584" s="99">
        <v>532349</v>
      </c>
      <c r="C584" s="98" t="s">
        <v>206</v>
      </c>
      <c r="D584" s="100" t="s">
        <v>476</v>
      </c>
      <c r="E584" s="11">
        <f ca="1">IFERROR(__xludf.DUMMYFUNCTION("GOOGLEFINANCE(""BOM:""&amp;B585,""PRICE"")"),992.9)</f>
        <v>992.9</v>
      </c>
      <c r="F584" s="20">
        <f ca="1">IFERROR(__xludf.DUMMYFUNCTION("GOOGLEFINANCE(""BOM:""&amp;B585,""MARKETCAP"")/10000000"),7606.0778306)</f>
        <v>7606.0778306000002</v>
      </c>
      <c r="G584" s="95">
        <f t="shared" ca="1" si="1056"/>
        <v>1.8878972709437684E-4</v>
      </c>
      <c r="H584" s="101">
        <v>3628</v>
      </c>
      <c r="I584" s="101">
        <v>3341</v>
      </c>
      <c r="J584" s="101">
        <v>33</v>
      </c>
      <c r="K584" s="101">
        <v>30</v>
      </c>
      <c r="L584" s="101">
        <v>1260</v>
      </c>
      <c r="M584" s="101">
        <v>1153</v>
      </c>
      <c r="N584" s="101">
        <v>115</v>
      </c>
      <c r="O584" s="101">
        <v>102</v>
      </c>
      <c r="P584" s="13">
        <f t="shared" ref="P584:Q584" si="1181">J584/H584</f>
        <v>9.0959206174200669E-3</v>
      </c>
      <c r="Q584" s="13">
        <f t="shared" si="1181"/>
        <v>8.9793475007482783E-3</v>
      </c>
      <c r="R584" s="13">
        <f t="shared" si="1035"/>
        <v>1.1657311667178857E-4</v>
      </c>
      <c r="S584" s="13">
        <f t="shared" ref="S584:T584" si="1182">N584/L584</f>
        <v>9.1269841269841265E-2</v>
      </c>
      <c r="T584" s="13">
        <f t="shared" si="1182"/>
        <v>8.8464874241110145E-2</v>
      </c>
      <c r="U584" s="13">
        <f t="shared" si="1037"/>
        <v>2.8049670287311201E-3</v>
      </c>
      <c r="V584" s="13">
        <f t="shared" si="1038"/>
        <v>8.5902424423825119E-2</v>
      </c>
      <c r="W584" s="13">
        <f t="shared" si="1039"/>
        <v>0.10000000000000009</v>
      </c>
      <c r="X584" s="13">
        <f t="shared" si="1040"/>
        <v>9.2801387684301906E-2</v>
      </c>
      <c r="Y584" s="13">
        <f t="shared" si="1041"/>
        <v>0.12745098039215685</v>
      </c>
    </row>
    <row r="585" spans="1:25" ht="14.4">
      <c r="A585" s="98" t="s">
        <v>861</v>
      </c>
      <c r="B585" s="99">
        <v>532313</v>
      </c>
      <c r="C585" s="98" t="s">
        <v>187</v>
      </c>
      <c r="D585" s="101" t="s">
        <v>131</v>
      </c>
      <c r="E585" s="11">
        <f ca="1">IFERROR(__xludf.DUMMYFUNCTION("GOOGLEFINANCE(""BOM:""&amp;B586,""PRICE"")"),326.45)</f>
        <v>326.45</v>
      </c>
      <c r="F585" s="20">
        <f ca="1">IFERROR(__xludf.DUMMYFUNCTION("GOOGLEFINANCE(""BOM:""&amp;B586,""MARKETCAP"")/10000000"),6966.705608)</f>
        <v>6966.7056080000002</v>
      </c>
      <c r="G585" s="95">
        <f t="shared" ca="1" si="1056"/>
        <v>1.7291993058364915E-4</v>
      </c>
      <c r="H585" s="101">
        <v>508</v>
      </c>
      <c r="I585" s="101">
        <v>363</v>
      </c>
      <c r="J585" s="101">
        <v>208</v>
      </c>
      <c r="K585" s="101">
        <v>-23</v>
      </c>
      <c r="L585" s="101">
        <v>459</v>
      </c>
      <c r="M585" s="101">
        <v>167</v>
      </c>
      <c r="N585" s="101">
        <v>108</v>
      </c>
      <c r="O585" s="101">
        <v>-22</v>
      </c>
      <c r="P585" s="13">
        <f t="shared" ref="P585:Q585" si="1183">J585/H585</f>
        <v>0.40944881889763779</v>
      </c>
      <c r="Q585" s="13">
        <f t="shared" si="1183"/>
        <v>-6.3360881542699726E-2</v>
      </c>
      <c r="R585" s="13">
        <f t="shared" si="1035"/>
        <v>0.47280970044033754</v>
      </c>
      <c r="S585" s="13">
        <f t="shared" ref="S585:T585" si="1184">N585/L585</f>
        <v>0.23529411764705882</v>
      </c>
      <c r="T585" s="13">
        <f t="shared" si="1184"/>
        <v>-0.1317365269461078</v>
      </c>
      <c r="U585" s="13">
        <f t="shared" si="1037"/>
        <v>0.36703064459316659</v>
      </c>
      <c r="V585" s="13">
        <f t="shared" si="1038"/>
        <v>0.3994490358126721</v>
      </c>
      <c r="W585" s="13">
        <f t="shared" si="1039"/>
        <v>-10.043478260869565</v>
      </c>
      <c r="X585" s="13">
        <f t="shared" si="1040"/>
        <v>1.7485029940119761</v>
      </c>
      <c r="Y585" s="13">
        <f t="shared" si="1041"/>
        <v>-5.9090909090909092</v>
      </c>
    </row>
    <row r="586" spans="1:25" ht="14.4">
      <c r="A586" s="98" t="s">
        <v>862</v>
      </c>
      <c r="B586" s="99">
        <v>505283</v>
      </c>
      <c r="C586" s="98" t="s">
        <v>180</v>
      </c>
      <c r="D586" s="70" t="s">
        <v>264</v>
      </c>
      <c r="E586" s="11">
        <f ca="1">IFERROR(__xludf.DUMMYFUNCTION("GOOGLEFINANCE(""BOM:""&amp;B587,""PRICE"")"),1122.4)</f>
        <v>1122.4000000000001</v>
      </c>
      <c r="F586" s="20">
        <f ca="1">IFERROR(__xludf.DUMMYFUNCTION("GOOGLEFINANCE(""BOM:""&amp;B587,""MARKETCAP"")/10000000"),7301.9488552)</f>
        <v>7301.9488552000003</v>
      </c>
      <c r="G586" s="95">
        <f t="shared" ca="1" si="1056"/>
        <v>1.812409710145657E-4</v>
      </c>
      <c r="H586" s="101">
        <v>1074</v>
      </c>
      <c r="I586" s="101">
        <v>1048</v>
      </c>
      <c r="J586" s="101">
        <v>110</v>
      </c>
      <c r="K586" s="101">
        <v>131</v>
      </c>
      <c r="L586" s="101">
        <v>406</v>
      </c>
      <c r="M586" s="101">
        <v>342</v>
      </c>
      <c r="N586" s="101">
        <v>41</v>
      </c>
      <c r="O586" s="101">
        <v>36</v>
      </c>
      <c r="P586" s="13">
        <f t="shared" ref="P586:Q586" si="1185">J586/H586</f>
        <v>0.10242085661080075</v>
      </c>
      <c r="Q586" s="13">
        <f t="shared" si="1185"/>
        <v>0.125</v>
      </c>
      <c r="R586" s="13">
        <f t="shared" si="1035"/>
        <v>-2.2579143389199252E-2</v>
      </c>
      <c r="S586" s="13">
        <f t="shared" ref="S586:T586" si="1186">N586/L586</f>
        <v>0.10098522167487685</v>
      </c>
      <c r="T586" s="13">
        <f t="shared" si="1186"/>
        <v>0.10526315789473684</v>
      </c>
      <c r="U586" s="13">
        <f t="shared" si="1037"/>
        <v>-4.2779362198599874E-3</v>
      </c>
      <c r="V586" s="13">
        <f t="shared" si="1038"/>
        <v>2.4809160305343525E-2</v>
      </c>
      <c r="W586" s="13">
        <f t="shared" si="1039"/>
        <v>-0.16030534351145043</v>
      </c>
      <c r="X586" s="13">
        <f t="shared" si="1040"/>
        <v>0.1871345029239766</v>
      </c>
      <c r="Y586" s="13">
        <f t="shared" si="1041"/>
        <v>0.13888888888888884</v>
      </c>
    </row>
    <row r="587" spans="1:25" ht="14.4">
      <c r="A587" s="98" t="s">
        <v>863</v>
      </c>
      <c r="B587" s="99">
        <v>522285</v>
      </c>
      <c r="C587" s="98" t="s">
        <v>180</v>
      </c>
      <c r="D587" s="100" t="s">
        <v>384</v>
      </c>
      <c r="E587" s="11">
        <f ca="1">IFERROR(__xludf.DUMMYFUNCTION("GOOGLEFINANCE(""BOM:""&amp;B588,""PRICE"")"),79.06)</f>
        <v>79.06</v>
      </c>
      <c r="F587" s="20">
        <f ca="1">IFERROR(__xludf.DUMMYFUNCTION("GOOGLEFINANCE(""BOM:""&amp;B588,""MARKETCAP"")/10000000"),7680.5956138)</f>
        <v>7680.5956138000001</v>
      </c>
      <c r="G587" s="95">
        <f t="shared" ca="1" si="1056"/>
        <v>1.9063932583203482E-4</v>
      </c>
      <c r="H587" s="101">
        <v>5157</v>
      </c>
      <c r="I587" s="101">
        <v>4324</v>
      </c>
      <c r="J587" s="101">
        <v>272</v>
      </c>
      <c r="K587" s="101">
        <v>11</v>
      </c>
      <c r="L587" s="101">
        <v>1727</v>
      </c>
      <c r="M587" s="101">
        <v>1656</v>
      </c>
      <c r="N587" s="101">
        <v>74</v>
      </c>
      <c r="O587" s="101">
        <v>76</v>
      </c>
      <c r="P587" s="13">
        <f t="shared" ref="P587:Q587" si="1187">J587/H587</f>
        <v>5.2743843319759551E-2</v>
      </c>
      <c r="Q587" s="13">
        <f t="shared" si="1187"/>
        <v>2.5439407955596669E-3</v>
      </c>
      <c r="R587" s="13">
        <f t="shared" si="1035"/>
        <v>5.0199902524199883E-2</v>
      </c>
      <c r="S587" s="13">
        <f t="shared" ref="S587:T587" si="1188">N587/L587</f>
        <v>4.2848870874348584E-2</v>
      </c>
      <c r="T587" s="13">
        <f t="shared" si="1188"/>
        <v>4.5893719806763288E-2</v>
      </c>
      <c r="U587" s="13">
        <f t="shared" si="1037"/>
        <v>-3.0448489324147038E-3</v>
      </c>
      <c r="V587" s="13">
        <f t="shared" si="1038"/>
        <v>0.19264569842738211</v>
      </c>
      <c r="W587" s="13">
        <f t="shared" si="1039"/>
        <v>23.727272727272727</v>
      </c>
      <c r="X587" s="13">
        <f t="shared" si="1040"/>
        <v>4.287439613526578E-2</v>
      </c>
      <c r="Y587" s="13">
        <f t="shared" si="1041"/>
        <v>-2.6315789473684181E-2</v>
      </c>
    </row>
    <row r="588" spans="1:25" ht="14.4">
      <c r="A588" s="98" t="s">
        <v>864</v>
      </c>
      <c r="B588" s="99">
        <v>506767</v>
      </c>
      <c r="C588" s="98" t="s">
        <v>196</v>
      </c>
      <c r="D588" s="101" t="s">
        <v>251</v>
      </c>
      <c r="E588" s="11">
        <f ca="1">IFERROR(__xludf.DUMMYFUNCTION("GOOGLEFINANCE(""BOM:""&amp;B589,""PRICE"")"),1308.8)</f>
        <v>1308.8</v>
      </c>
      <c r="F588" s="20">
        <f ca="1">IFERROR(__xludf.DUMMYFUNCTION("GOOGLEFINANCE(""BOM:""&amp;B589,""MARKETCAP"")/10000000"),6701.4051212)</f>
        <v>6701.4051212000004</v>
      </c>
      <c r="G588" s="95">
        <f t="shared" ca="1" si="1056"/>
        <v>1.6633493268900805E-4</v>
      </c>
      <c r="H588" s="101">
        <v>1149</v>
      </c>
      <c r="I588" s="101">
        <v>1186</v>
      </c>
      <c r="J588" s="101">
        <v>135</v>
      </c>
      <c r="K588" s="101">
        <v>140</v>
      </c>
      <c r="L588" s="101">
        <v>354</v>
      </c>
      <c r="M588" s="101">
        <v>371</v>
      </c>
      <c r="N588" s="101">
        <v>42</v>
      </c>
      <c r="O588" s="101">
        <v>44</v>
      </c>
      <c r="P588" s="13">
        <f t="shared" ref="P588:Q588" si="1189">J588/H588</f>
        <v>0.1174934725848564</v>
      </c>
      <c r="Q588" s="13">
        <f t="shared" si="1189"/>
        <v>0.11804384485666104</v>
      </c>
      <c r="R588" s="13">
        <f t="shared" si="1035"/>
        <v>-5.5037227180464166E-4</v>
      </c>
      <c r="S588" s="13">
        <f t="shared" ref="S588:T588" si="1190">N588/L588</f>
        <v>0.11864406779661017</v>
      </c>
      <c r="T588" s="13">
        <f t="shared" si="1190"/>
        <v>0.11859838274932614</v>
      </c>
      <c r="U588" s="13">
        <f t="shared" si="1037"/>
        <v>4.5685047284027558E-5</v>
      </c>
      <c r="V588" s="13">
        <f t="shared" si="1038"/>
        <v>-3.1197301854974713E-2</v>
      </c>
      <c r="W588" s="13">
        <f t="shared" si="1039"/>
        <v>-3.5714285714285698E-2</v>
      </c>
      <c r="X588" s="13">
        <f t="shared" si="1040"/>
        <v>-4.5822102425876032E-2</v>
      </c>
      <c r="Y588" s="13">
        <f t="shared" si="1041"/>
        <v>-4.5454545454545414E-2</v>
      </c>
    </row>
    <row r="589" spans="1:25" ht="14.4">
      <c r="A589" s="98" t="s">
        <v>865</v>
      </c>
      <c r="B589" s="99">
        <v>500265</v>
      </c>
      <c r="C589" s="98" t="s">
        <v>180</v>
      </c>
      <c r="D589" s="70" t="s">
        <v>384</v>
      </c>
      <c r="E589" s="11">
        <f ca="1">IFERROR(__xludf.DUMMYFUNCTION("GOOGLEFINANCE(""BOM:""&amp;B590,""PRICE"")"),595.75)</f>
        <v>595.75</v>
      </c>
      <c r="F589" s="20">
        <f ca="1">IFERROR(__xludf.DUMMYFUNCTION("GOOGLEFINANCE(""BOM:""&amp;B590,""MARKETCAP"")/10000000"),7980.2916775)</f>
        <v>7980.2916775000003</v>
      </c>
      <c r="G589" s="95">
        <f t="shared" ca="1" si="1056"/>
        <v>1.980780530364235E-4</v>
      </c>
      <c r="H589" s="101">
        <v>3394</v>
      </c>
      <c r="I589" s="101">
        <v>3851</v>
      </c>
      <c r="J589" s="101">
        <v>598</v>
      </c>
      <c r="K589" s="101">
        <v>535</v>
      </c>
      <c r="L589" s="101">
        <v>1190</v>
      </c>
      <c r="M589" s="101">
        <v>1408</v>
      </c>
      <c r="N589" s="101">
        <v>243</v>
      </c>
      <c r="O589" s="101">
        <v>186</v>
      </c>
      <c r="P589" s="13">
        <f t="shared" ref="P589:Q589" si="1191">J589/H589</f>
        <v>0.17619328226281675</v>
      </c>
      <c r="Q589" s="13">
        <f t="shared" si="1191"/>
        <v>0.13892495455725787</v>
      </c>
      <c r="R589" s="13">
        <f t="shared" si="1035"/>
        <v>3.7268327705558879E-2</v>
      </c>
      <c r="S589" s="13">
        <f t="shared" ref="S589:T589" si="1192">N589/L589</f>
        <v>0.2042016806722689</v>
      </c>
      <c r="T589" s="13">
        <f t="shared" si="1192"/>
        <v>0.13210227272727273</v>
      </c>
      <c r="U589" s="13">
        <f t="shared" si="1037"/>
        <v>7.2099407944996169E-2</v>
      </c>
      <c r="V589" s="13">
        <f t="shared" si="1038"/>
        <v>-0.11867047520124641</v>
      </c>
      <c r="W589" s="13">
        <f t="shared" si="1039"/>
        <v>0.11775700934579447</v>
      </c>
      <c r="X589" s="13">
        <f t="shared" si="1040"/>
        <v>-0.15482954545454541</v>
      </c>
      <c r="Y589" s="13">
        <f t="shared" si="1041"/>
        <v>0.30645161290322576</v>
      </c>
    </row>
    <row r="590" spans="1:25" ht="14.4">
      <c r="A590" s="98" t="s">
        <v>866</v>
      </c>
      <c r="B590" s="99">
        <v>512463</v>
      </c>
      <c r="C590" s="98" t="s">
        <v>196</v>
      </c>
      <c r="D590" s="100" t="s">
        <v>867</v>
      </c>
      <c r="E590" s="11">
        <f ca="1">IFERROR(__xludf.DUMMYFUNCTION("GOOGLEFINANCE(""BOM:""&amp;B591,""PRICE"")"),47.04)</f>
        <v>47.04</v>
      </c>
      <c r="F590" s="20">
        <f ca="1">IFERROR(__xludf.DUMMYFUNCTION("GOOGLEFINANCE(""BOM:""&amp;B591,""MARKETCAP"")/10000000"),7143.0176543)</f>
        <v>7143.0176542999998</v>
      </c>
      <c r="G590" s="95">
        <f t="shared" ca="1" si="1056"/>
        <v>1.7729615494602887E-4</v>
      </c>
      <c r="H590" s="101">
        <v>1037</v>
      </c>
      <c r="I590" s="101">
        <v>999</v>
      </c>
      <c r="J590" s="101">
        <v>348</v>
      </c>
      <c r="K590" s="101">
        <v>99</v>
      </c>
      <c r="L590" s="101">
        <v>299</v>
      </c>
      <c r="M590" s="101">
        <v>290</v>
      </c>
      <c r="N590" s="101">
        <v>38</v>
      </c>
      <c r="O590" s="101">
        <v>41</v>
      </c>
      <c r="P590" s="13">
        <f t="shared" ref="P590:Q590" si="1193">J590/H590</f>
        <v>0.33558341369334621</v>
      </c>
      <c r="Q590" s="13">
        <f t="shared" si="1193"/>
        <v>9.90990990990991E-2</v>
      </c>
      <c r="R590" s="13">
        <f t="shared" si="1035"/>
        <v>0.23648431459424712</v>
      </c>
      <c r="S590" s="13">
        <f t="shared" ref="S590:T590" si="1194">N590/L590</f>
        <v>0.12709030100334448</v>
      </c>
      <c r="T590" s="13">
        <f t="shared" si="1194"/>
        <v>0.14137931034482759</v>
      </c>
      <c r="U590" s="13">
        <f t="shared" si="1037"/>
        <v>-1.4289009341483111E-2</v>
      </c>
      <c r="V590" s="13">
        <f t="shared" si="1038"/>
        <v>3.8038038038038069E-2</v>
      </c>
      <c r="W590" s="13">
        <f t="shared" si="1039"/>
        <v>2.5151515151515151</v>
      </c>
      <c r="X590" s="13">
        <f t="shared" si="1040"/>
        <v>3.1034482758620641E-2</v>
      </c>
      <c r="Y590" s="13">
        <f t="shared" si="1041"/>
        <v>-7.3170731707317027E-2</v>
      </c>
    </row>
    <row r="591" spans="1:25" ht="14.4">
      <c r="A591" s="98" t="s">
        <v>868</v>
      </c>
      <c r="B591" s="99">
        <v>544222</v>
      </c>
      <c r="C591" s="98" t="s">
        <v>190</v>
      </c>
      <c r="D591" s="70" t="s">
        <v>100</v>
      </c>
      <c r="E591" s="11">
        <f ca="1">IFERROR(__xludf.DUMMYFUNCTION("GOOGLEFINANCE(""BOM:""&amp;B592,""PRICE"")"),493.45)</f>
        <v>493.45</v>
      </c>
      <c r="F591" s="20">
        <f ca="1">IFERROR(__xludf.DUMMYFUNCTION("GOOGLEFINANCE(""BOM:""&amp;B592,""MARKETCAP"")/10000000"),7544.8663731)</f>
        <v>7544.8663730999997</v>
      </c>
      <c r="G591" s="95">
        <f t="shared" ca="1" si="1056"/>
        <v>1.8727040338853955E-4</v>
      </c>
      <c r="H591" s="101">
        <v>3201</v>
      </c>
      <c r="I591" s="101">
        <v>3062</v>
      </c>
      <c r="J591" s="101">
        <v>175</v>
      </c>
      <c r="K591" s="101">
        <v>194</v>
      </c>
      <c r="L591" s="101">
        <v>1159</v>
      </c>
      <c r="M591" s="101">
        <v>1010</v>
      </c>
      <c r="N591" s="101">
        <v>67</v>
      </c>
      <c r="O591" s="101">
        <v>66</v>
      </c>
      <c r="P591" s="13">
        <f t="shared" ref="P591:Q591" si="1195">J591/H591</f>
        <v>5.4670415495157762E-2</v>
      </c>
      <c r="Q591" s="13">
        <f t="shared" si="1195"/>
        <v>6.3357282821685179E-2</v>
      </c>
      <c r="R591" s="13">
        <f t="shared" si="1035"/>
        <v>-8.6868673265274171E-3</v>
      </c>
      <c r="S591" s="13">
        <f t="shared" ref="S591:T591" si="1196">N591/L591</f>
        <v>5.7808455565142365E-2</v>
      </c>
      <c r="T591" s="13">
        <f t="shared" si="1196"/>
        <v>6.5346534653465349E-2</v>
      </c>
      <c r="U591" s="13">
        <f t="shared" si="1037"/>
        <v>-7.538079088322984E-3</v>
      </c>
      <c r="V591" s="13">
        <f t="shared" si="1038"/>
        <v>4.53951665578054E-2</v>
      </c>
      <c r="W591" s="13">
        <f t="shared" si="1039"/>
        <v>-9.7938144329896892E-2</v>
      </c>
      <c r="X591" s="13">
        <f t="shared" si="1040"/>
        <v>0.14752475247524743</v>
      </c>
      <c r="Y591" s="13">
        <f t="shared" si="1041"/>
        <v>1.5151515151515138E-2</v>
      </c>
    </row>
    <row r="592" spans="1:25" ht="14.4">
      <c r="A592" s="98" t="s">
        <v>869</v>
      </c>
      <c r="B592" s="99">
        <v>544192</v>
      </c>
      <c r="C592" s="98" t="s">
        <v>187</v>
      </c>
      <c r="D592" s="70" t="s">
        <v>88</v>
      </c>
      <c r="E592" s="11">
        <f ca="1">IFERROR(__xludf.DUMMYFUNCTION("GOOGLEFINANCE(""BOM:""&amp;B593,""PRICE"")"),163.1)</f>
        <v>163.1</v>
      </c>
      <c r="F592" s="20">
        <f ca="1">IFERROR(__xludf.DUMMYFUNCTION("GOOGLEFINANCE(""BOM:""&amp;B593,""MARKETCAP"")/10000000"),7142.39105)</f>
        <v>7142.3910500000002</v>
      </c>
      <c r="G592" s="95">
        <f t="shared" ca="1" si="1056"/>
        <v>1.7728060206089835E-4</v>
      </c>
      <c r="H592" s="101">
        <v>914</v>
      </c>
      <c r="I592" s="101">
        <v>630</v>
      </c>
      <c r="J592" s="101">
        <v>39</v>
      </c>
      <c r="K592" s="101">
        <v>43</v>
      </c>
      <c r="L592" s="101">
        <v>317</v>
      </c>
      <c r="M592" s="101">
        <v>241</v>
      </c>
      <c r="N592" s="101">
        <v>23</v>
      </c>
      <c r="O592" s="101">
        <v>15</v>
      </c>
      <c r="P592" s="13">
        <f t="shared" ref="P592:Q592" si="1197">J592/H592</f>
        <v>4.2669584245076587E-2</v>
      </c>
      <c r="Q592" s="13">
        <f t="shared" si="1197"/>
        <v>6.8253968253968247E-2</v>
      </c>
      <c r="R592" s="13">
        <f t="shared" si="1035"/>
        <v>-2.558438400889166E-2</v>
      </c>
      <c r="S592" s="13">
        <f t="shared" ref="S592:T592" si="1198">N592/L592</f>
        <v>7.2555205047318619E-2</v>
      </c>
      <c r="T592" s="13">
        <f t="shared" si="1198"/>
        <v>6.2240663900414939E-2</v>
      </c>
      <c r="U592" s="13">
        <f t="shared" si="1037"/>
        <v>1.031454114690368E-2</v>
      </c>
      <c r="V592" s="13">
        <f t="shared" si="1038"/>
        <v>0.45079365079365075</v>
      </c>
      <c r="W592" s="13">
        <f t="shared" si="1039"/>
        <v>-9.3023255813953543E-2</v>
      </c>
      <c r="X592" s="13">
        <f t="shared" si="1040"/>
        <v>0.31535269709543567</v>
      </c>
      <c r="Y592" s="13">
        <f t="shared" si="1041"/>
        <v>0.53333333333333344</v>
      </c>
    </row>
    <row r="593" spans="1:25" ht="14.4">
      <c r="A593" s="98" t="s">
        <v>870</v>
      </c>
      <c r="B593" s="99">
        <v>532221</v>
      </c>
      <c r="C593" s="98" t="s">
        <v>174</v>
      </c>
      <c r="D593" s="102" t="s">
        <v>175</v>
      </c>
      <c r="E593" s="11">
        <f ca="1">IFERROR(__xludf.DUMMYFUNCTION("GOOGLEFINANCE(""BOM:""&amp;B594,""PRICE"")"),231.65)</f>
        <v>231.65</v>
      </c>
      <c r="F593" s="20">
        <f ca="1">IFERROR(__xludf.DUMMYFUNCTION("GOOGLEFINANCE(""BOM:""&amp;B594,""MARKETCAP"")/10000000"),6424.5361414)</f>
        <v>6424.5361413999999</v>
      </c>
      <c r="G593" s="95">
        <f t="shared" ca="1" si="1056"/>
        <v>1.5946279434103414E-4</v>
      </c>
      <c r="H593" s="101">
        <v>8165</v>
      </c>
      <c r="I593" s="101">
        <v>7540</v>
      </c>
      <c r="J593" s="101">
        <v>333</v>
      </c>
      <c r="K593" s="101">
        <v>317</v>
      </c>
      <c r="L593" s="101">
        <v>3080</v>
      </c>
      <c r="M593" s="101">
        <v>2842</v>
      </c>
      <c r="N593" s="101">
        <v>36</v>
      </c>
      <c r="O593" s="101">
        <v>31</v>
      </c>
      <c r="P593" s="13">
        <f t="shared" ref="P593:Q593" si="1199">J593/H593</f>
        <v>4.0783833435394976E-2</v>
      </c>
      <c r="Q593" s="13">
        <f t="shared" si="1199"/>
        <v>4.2042440318302385E-2</v>
      </c>
      <c r="R593" s="13">
        <f t="shared" si="1035"/>
        <v>-1.2586068829074093E-3</v>
      </c>
      <c r="S593" s="13">
        <f t="shared" ref="S593:T593" si="1200">N593/L593</f>
        <v>1.1688311688311689E-2</v>
      </c>
      <c r="T593" s="13">
        <f t="shared" si="1200"/>
        <v>1.0907811400422239E-2</v>
      </c>
      <c r="U593" s="13">
        <f t="shared" si="1037"/>
        <v>7.8050028788945007E-4</v>
      </c>
      <c r="V593" s="13">
        <f t="shared" si="1038"/>
        <v>8.2891246684350106E-2</v>
      </c>
      <c r="W593" s="13">
        <f t="shared" si="1039"/>
        <v>5.0473186119873725E-2</v>
      </c>
      <c r="X593" s="13">
        <f t="shared" si="1040"/>
        <v>8.3743842364532028E-2</v>
      </c>
      <c r="Y593" s="13">
        <f t="shared" si="1041"/>
        <v>0.16129032258064524</v>
      </c>
    </row>
    <row r="594" spans="1:25" ht="14.4">
      <c r="A594" s="98" t="s">
        <v>871</v>
      </c>
      <c r="B594" s="99">
        <v>544317</v>
      </c>
      <c r="C594" s="98" t="s">
        <v>180</v>
      </c>
      <c r="D594" s="101" t="s">
        <v>275</v>
      </c>
      <c r="E594" s="11">
        <f ca="1">IFERROR(__xludf.DUMMYFUNCTION("GOOGLEFINANCE(""BOM:""&amp;B595,""PRICE"")"),495)</f>
        <v>495</v>
      </c>
      <c r="F594" s="20">
        <f ca="1">IFERROR(__xludf.DUMMYFUNCTION("GOOGLEFINANCE(""BOM:""&amp;B595,""MARKETCAP"")/10000000"),6636.83625)</f>
        <v>6636.8362500000003</v>
      </c>
      <c r="G594" s="95">
        <f t="shared" ca="1" si="1056"/>
        <v>1.6473227494027997E-4</v>
      </c>
      <c r="H594" s="101">
        <v>4948</v>
      </c>
      <c r="I594" s="101">
        <v>3306</v>
      </c>
      <c r="J594" s="101">
        <v>307</v>
      </c>
      <c r="K594" s="101">
        <v>200</v>
      </c>
      <c r="L594" s="101">
        <v>1777</v>
      </c>
      <c r="M594" s="101">
        <v>1340</v>
      </c>
      <c r="N594" s="101">
        <v>110</v>
      </c>
      <c r="O594" s="101">
        <v>93</v>
      </c>
      <c r="P594" s="13">
        <f t="shared" ref="P594:Q594" si="1201">J594/H594</f>
        <v>6.2045270816491513E-2</v>
      </c>
      <c r="Q594" s="13">
        <f t="shared" si="1201"/>
        <v>6.0496067755595885E-2</v>
      </c>
      <c r="R594" s="13">
        <f t="shared" si="1035"/>
        <v>1.5492030608956278E-3</v>
      </c>
      <c r="S594" s="13">
        <f t="shared" ref="S594:T594" si="1202">N594/L594</f>
        <v>6.1902082160945414E-2</v>
      </c>
      <c r="T594" s="13">
        <f t="shared" si="1202"/>
        <v>6.9402985074626861E-2</v>
      </c>
      <c r="U594" s="13">
        <f t="shared" si="1037"/>
        <v>-7.5009029136814467E-3</v>
      </c>
      <c r="V594" s="13">
        <f t="shared" si="1038"/>
        <v>0.49667271627344212</v>
      </c>
      <c r="W594" s="13">
        <f t="shared" si="1039"/>
        <v>0.53499999999999992</v>
      </c>
      <c r="X594" s="13">
        <f t="shared" si="1040"/>
        <v>0.32611940298507469</v>
      </c>
      <c r="Y594" s="13">
        <f t="shared" si="1041"/>
        <v>0.18279569892473124</v>
      </c>
    </row>
    <row r="595" spans="1:25" ht="14.4">
      <c r="A595" s="98" t="s">
        <v>872</v>
      </c>
      <c r="B595" s="99">
        <v>522163</v>
      </c>
      <c r="C595" s="98" t="s">
        <v>180</v>
      </c>
      <c r="D595" s="109" t="s">
        <v>344</v>
      </c>
      <c r="E595" s="11">
        <f ca="1">IFERROR(__xludf.DUMMYFUNCTION("GOOGLEFINANCE(""BOM:""&amp;B596,""PRICE"")"),127.55)</f>
        <v>127.55</v>
      </c>
      <c r="F595" s="20">
        <f ca="1">IFERROR(__xludf.DUMMYFUNCTION("GOOGLEFINANCE(""BOM:""&amp;B596,""MARKETCAP"")/10000000"),6718.88025)</f>
        <v>6718.8802500000002</v>
      </c>
      <c r="G595" s="95">
        <f t="shared" ca="1" si="1056"/>
        <v>1.6676868118206429E-4</v>
      </c>
      <c r="H595" s="101">
        <v>1214</v>
      </c>
      <c r="I595" s="101">
        <v>781</v>
      </c>
      <c r="J595" s="101">
        <v>97</v>
      </c>
      <c r="K595" s="101">
        <v>26</v>
      </c>
      <c r="L595" s="101">
        <v>474</v>
      </c>
      <c r="M595" s="101">
        <v>307</v>
      </c>
      <c r="N595" s="101">
        <v>49</v>
      </c>
      <c r="O595" s="101">
        <v>6</v>
      </c>
      <c r="P595" s="13">
        <f t="shared" ref="P595:Q595" si="1203">J595/H595</f>
        <v>7.9901153212520587E-2</v>
      </c>
      <c r="Q595" s="13">
        <f t="shared" si="1203"/>
        <v>3.3290653008962869E-2</v>
      </c>
      <c r="R595" s="13">
        <f t="shared" si="1035"/>
        <v>4.6610500203557718E-2</v>
      </c>
      <c r="S595" s="13">
        <f t="shared" ref="S595:T595" si="1204">N595/L595</f>
        <v>0.10337552742616034</v>
      </c>
      <c r="T595" s="13">
        <f t="shared" si="1204"/>
        <v>1.9543973941368076E-2</v>
      </c>
      <c r="U595" s="13">
        <f t="shared" si="1037"/>
        <v>8.3831553484792265E-2</v>
      </c>
      <c r="V595" s="13">
        <f t="shared" si="1038"/>
        <v>0.5544174135723432</v>
      </c>
      <c r="W595" s="13">
        <f t="shared" si="1039"/>
        <v>2.7307692307692308</v>
      </c>
      <c r="X595" s="13">
        <f t="shared" si="1040"/>
        <v>0.5439739413680782</v>
      </c>
      <c r="Y595" s="13">
        <f t="shared" si="1041"/>
        <v>7.1666666666666661</v>
      </c>
    </row>
    <row r="596" spans="1:25" ht="14.4">
      <c r="A596" s="98" t="s">
        <v>873</v>
      </c>
      <c r="B596" s="99">
        <v>500335</v>
      </c>
      <c r="C596" s="98" t="s">
        <v>196</v>
      </c>
      <c r="D596" s="101" t="s">
        <v>109</v>
      </c>
      <c r="E596" s="11">
        <f ca="1">IFERROR(__xludf.DUMMYFUNCTION("GOOGLEFINANCE(""BOM:""&amp;B597,""PRICE"")"),892.7)</f>
        <v>892.7</v>
      </c>
      <c r="F596" s="20">
        <f ca="1">IFERROR(__xludf.DUMMYFUNCTION("GOOGLEFINANCE(""BOM:""&amp;B597,""MARKETCAP"")/10000000"),6893.9030635)</f>
        <v>6893.9030634999999</v>
      </c>
      <c r="G596" s="95">
        <f t="shared" ca="1" si="1056"/>
        <v>1.7111290562097571E-4</v>
      </c>
      <c r="H596" s="101">
        <v>6819</v>
      </c>
      <c r="I596" s="101">
        <v>6400</v>
      </c>
      <c r="J596" s="101">
        <v>263</v>
      </c>
      <c r="K596" s="101">
        <v>39</v>
      </c>
      <c r="L596" s="101">
        <v>2159</v>
      </c>
      <c r="M596" s="101">
        <v>2257</v>
      </c>
      <c r="N596" s="101">
        <v>53</v>
      </c>
      <c r="O596" s="101">
        <v>31</v>
      </c>
      <c r="P596" s="13">
        <f t="shared" ref="P596:Q596" si="1205">J596/H596</f>
        <v>3.8568705088722684E-2</v>
      </c>
      <c r="Q596" s="13">
        <f t="shared" si="1205"/>
        <v>6.0937500000000002E-3</v>
      </c>
      <c r="R596" s="13">
        <f t="shared" si="1035"/>
        <v>3.2474955088722682E-2</v>
      </c>
      <c r="S596" s="13">
        <f t="shared" ref="S596:T596" si="1206">N596/L596</f>
        <v>2.4548402037980546E-2</v>
      </c>
      <c r="T596" s="13">
        <f t="shared" si="1206"/>
        <v>1.3735046521931768E-2</v>
      </c>
      <c r="U596" s="13">
        <f t="shared" si="1037"/>
        <v>1.0813355516048779E-2</v>
      </c>
      <c r="V596" s="13">
        <f t="shared" si="1038"/>
        <v>6.5468749999999964E-2</v>
      </c>
      <c r="W596" s="13">
        <f t="shared" si="1039"/>
        <v>5.7435897435897436</v>
      </c>
      <c r="X596" s="13">
        <f t="shared" si="1040"/>
        <v>-4.3420469649977811E-2</v>
      </c>
      <c r="Y596" s="13">
        <f t="shared" si="1041"/>
        <v>0.70967741935483875</v>
      </c>
    </row>
    <row r="597" spans="1:25" ht="14.4">
      <c r="A597" s="98" t="s">
        <v>874</v>
      </c>
      <c r="B597" s="99">
        <v>540293</v>
      </c>
      <c r="C597" s="98" t="s">
        <v>187</v>
      </c>
      <c r="D597" s="108" t="s">
        <v>312</v>
      </c>
      <c r="E597" s="11">
        <f ca="1">IFERROR(__xludf.DUMMYFUNCTION("GOOGLEFINANCE(""BOM:""&amp;B598,""PRICE"")"),533.75)</f>
        <v>533.75</v>
      </c>
      <c r="F597" s="20">
        <f ca="1">IFERROR(__xludf.DUMMYFUNCTION("GOOGLEFINANCE(""BOM:""&amp;B598,""MARKETCAP"")/10000000"),6487.137515)</f>
        <v>6487.1375150000003</v>
      </c>
      <c r="G597" s="95">
        <f t="shared" ca="1" si="1056"/>
        <v>1.6101661702085608E-4</v>
      </c>
      <c r="H597" s="101">
        <v>2886</v>
      </c>
      <c r="I597" s="101">
        <v>1869</v>
      </c>
      <c r="J597" s="101">
        <v>178</v>
      </c>
      <c r="K597" s="101">
        <v>132</v>
      </c>
      <c r="L597" s="101">
        <v>1020</v>
      </c>
      <c r="M597" s="101">
        <v>616</v>
      </c>
      <c r="N597" s="101">
        <v>64</v>
      </c>
      <c r="O597" s="101">
        <v>41</v>
      </c>
      <c r="P597" s="13">
        <f t="shared" ref="P597:Q597" si="1207">J597/H597</f>
        <v>6.1677061677061676E-2</v>
      </c>
      <c r="Q597" s="13">
        <f t="shared" si="1207"/>
        <v>7.0626003210272875E-2</v>
      </c>
      <c r="R597" s="13">
        <f t="shared" si="1035"/>
        <v>-8.9489415332111993E-3</v>
      </c>
      <c r="S597" s="13">
        <f t="shared" ref="S597:T597" si="1208">N597/L597</f>
        <v>6.2745098039215685E-2</v>
      </c>
      <c r="T597" s="13">
        <f t="shared" si="1208"/>
        <v>6.6558441558441553E-2</v>
      </c>
      <c r="U597" s="13">
        <f t="shared" si="1037"/>
        <v>-3.8133435192258675E-3</v>
      </c>
      <c r="V597" s="13">
        <f t="shared" si="1038"/>
        <v>0.54414125200642061</v>
      </c>
      <c r="W597" s="13">
        <f t="shared" si="1039"/>
        <v>0.3484848484848484</v>
      </c>
      <c r="X597" s="13">
        <f t="shared" si="1040"/>
        <v>0.6558441558441559</v>
      </c>
      <c r="Y597" s="13">
        <f t="shared" si="1041"/>
        <v>0.56097560975609762</v>
      </c>
    </row>
    <row r="598" spans="1:25" ht="14.4">
      <c r="A598" s="98" t="s">
        <v>875</v>
      </c>
      <c r="B598" s="99">
        <v>544256</v>
      </c>
      <c r="C598" s="98" t="s">
        <v>187</v>
      </c>
      <c r="D598" s="102" t="s">
        <v>70</v>
      </c>
      <c r="E598" s="11">
        <f ca="1">IFERROR(__xludf.DUMMYFUNCTION("GOOGLEFINANCE(""BOM:""&amp;B599,""PRICE"")"),583.3)</f>
        <v>583.29999999999995</v>
      </c>
      <c r="F598" s="20">
        <f ca="1">IFERROR(__xludf.DUMMYFUNCTION("GOOGLEFINANCE(""BOM:""&amp;B599,""MARKETCAP"")/10000000"),7905.008475)</f>
        <v>7905.0084749999996</v>
      </c>
      <c r="G598" s="95">
        <f t="shared" ca="1" si="1056"/>
        <v>1.9620945589985639E-4</v>
      </c>
      <c r="H598" s="101">
        <v>7194</v>
      </c>
      <c r="I598" s="101">
        <v>6105</v>
      </c>
      <c r="J598" s="101">
        <v>319</v>
      </c>
      <c r="K598" s="101">
        <v>156</v>
      </c>
      <c r="L598" s="101">
        <v>3302</v>
      </c>
      <c r="M598" s="101">
        <v>2435</v>
      </c>
      <c r="N598" s="101">
        <v>170</v>
      </c>
      <c r="O598" s="101">
        <v>86</v>
      </c>
      <c r="P598" s="13">
        <f t="shared" ref="P598:Q598" si="1209">J598/H598</f>
        <v>4.4342507645259939E-2</v>
      </c>
      <c r="Q598" s="13">
        <f t="shared" si="1209"/>
        <v>2.5552825552825554E-2</v>
      </c>
      <c r="R598" s="13">
        <f t="shared" si="1035"/>
        <v>1.8789682092434385E-2</v>
      </c>
      <c r="S598" s="13">
        <f t="shared" ref="S598:T598" si="1210">N598/L598</f>
        <v>5.14839491217444E-2</v>
      </c>
      <c r="T598" s="13">
        <f t="shared" si="1210"/>
        <v>3.5318275154004104E-2</v>
      </c>
      <c r="U598" s="13">
        <f t="shared" si="1037"/>
        <v>1.6165673967740296E-2</v>
      </c>
      <c r="V598" s="13">
        <f t="shared" si="1038"/>
        <v>0.17837837837837833</v>
      </c>
      <c r="W598" s="13">
        <f t="shared" si="1039"/>
        <v>1.0448717948717947</v>
      </c>
      <c r="X598" s="13">
        <f t="shared" si="1040"/>
        <v>0.35605749486652982</v>
      </c>
      <c r="Y598" s="13">
        <f t="shared" si="1041"/>
        <v>0.97674418604651159</v>
      </c>
    </row>
    <row r="599" spans="1:25" ht="14.4">
      <c r="A599" s="98" t="s">
        <v>876</v>
      </c>
      <c r="B599" s="99">
        <v>542323</v>
      </c>
      <c r="C599" s="98" t="s">
        <v>198</v>
      </c>
      <c r="D599" s="101" t="s">
        <v>199</v>
      </c>
      <c r="E599" s="11">
        <f ca="1">IFERROR(__xludf.DUMMYFUNCTION("GOOGLEFINANCE(""BOM:""&amp;B600,""PRICE"")"),392.05)</f>
        <v>392.05</v>
      </c>
      <c r="F599" s="20">
        <f ca="1">IFERROR(__xludf.DUMMYFUNCTION("GOOGLEFINANCE(""BOM:""&amp;B600,""MARKETCAP"")/10000000"),8124.4266383)</f>
        <v>8124.4266383000004</v>
      </c>
      <c r="G599" s="95">
        <f t="shared" ca="1" si="1056"/>
        <v>2.0165561305095786E-4</v>
      </c>
      <c r="H599" s="101">
        <v>1900</v>
      </c>
      <c r="I599" s="101">
        <v>1166</v>
      </c>
      <c r="J599" s="101">
        <v>353</v>
      </c>
      <c r="K599" s="101">
        <v>221</v>
      </c>
      <c r="L599" s="101">
        <v>662</v>
      </c>
      <c r="M599" s="101">
        <v>458</v>
      </c>
      <c r="N599" s="101">
        <v>125</v>
      </c>
      <c r="O599" s="101">
        <v>85</v>
      </c>
      <c r="P599" s="13">
        <f t="shared" ref="P599:Q599" si="1211">J599/H599</f>
        <v>0.18578947368421053</v>
      </c>
      <c r="Q599" s="13">
        <f t="shared" si="1211"/>
        <v>0.1895368782161235</v>
      </c>
      <c r="R599" s="13">
        <f t="shared" si="1035"/>
        <v>-3.7474045319129679E-3</v>
      </c>
      <c r="S599" s="13">
        <f t="shared" ref="S599:T599" si="1212">N599/L599</f>
        <v>0.18882175226586104</v>
      </c>
      <c r="T599" s="13">
        <f t="shared" si="1212"/>
        <v>0.18558951965065501</v>
      </c>
      <c r="U599" s="13">
        <f t="shared" si="1037"/>
        <v>3.2322326152060266E-3</v>
      </c>
      <c r="V599" s="13">
        <f t="shared" si="1038"/>
        <v>0.6295025728987993</v>
      </c>
      <c r="W599" s="13">
        <f t="shared" si="1039"/>
        <v>0.59728506787330327</v>
      </c>
      <c r="X599" s="13">
        <f t="shared" si="1040"/>
        <v>0.44541484716157198</v>
      </c>
      <c r="Y599" s="13">
        <f t="shared" si="1041"/>
        <v>0.47058823529411775</v>
      </c>
    </row>
    <row r="600" spans="1:25" ht="14.4">
      <c r="A600" s="104" t="s">
        <v>877</v>
      </c>
      <c r="B600" s="99">
        <v>543243</v>
      </c>
      <c r="C600" s="98" t="s">
        <v>172</v>
      </c>
      <c r="D600" s="109" t="s">
        <v>355</v>
      </c>
      <c r="E600" s="11">
        <f ca="1">IFERROR(__xludf.DUMMYFUNCTION("GOOGLEFINANCE(""BOM:""&amp;B601,""PRICE"")"),54.8)</f>
        <v>54.8</v>
      </c>
      <c r="F600" s="20">
        <f ca="1">IFERROR(__xludf.DUMMYFUNCTION("GOOGLEFINANCE(""BOM:""&amp;B601,""MARKETCAP"")/10000000"),6255.2078497)</f>
        <v>6255.2078497000002</v>
      </c>
      <c r="G600" s="95">
        <f t="shared" ca="1" si="1056"/>
        <v>1.5525991308063054E-4</v>
      </c>
      <c r="H600" s="101">
        <v>5767</v>
      </c>
      <c r="I600" s="101">
        <v>5353</v>
      </c>
      <c r="J600" s="101">
        <v>-109</v>
      </c>
      <c r="K600" s="101">
        <v>104</v>
      </c>
      <c r="L600" s="101">
        <v>1981</v>
      </c>
      <c r="M600" s="101">
        <v>1850</v>
      </c>
      <c r="N600" s="101">
        <v>90</v>
      </c>
      <c r="O600" s="101">
        <v>66</v>
      </c>
      <c r="P600" s="13">
        <f t="shared" ref="P600:Q600" si="1213">J600/H600</f>
        <v>-1.8900641581411481E-2</v>
      </c>
      <c r="Q600" s="13">
        <f t="shared" si="1213"/>
        <v>1.9428357930132634E-2</v>
      </c>
      <c r="R600" s="13">
        <f t="shared" si="1035"/>
        <v>-3.8328999511544115E-2</v>
      </c>
      <c r="S600" s="13">
        <f t="shared" ref="S600:T600" si="1214">N600/L600</f>
        <v>4.5431600201918221E-2</v>
      </c>
      <c r="T600" s="13">
        <f t="shared" si="1214"/>
        <v>3.5675675675675679E-2</v>
      </c>
      <c r="U600" s="13">
        <f t="shared" si="1037"/>
        <v>9.7559245262425417E-3</v>
      </c>
      <c r="V600" s="13">
        <f t="shared" si="1038"/>
        <v>7.7339809452643404E-2</v>
      </c>
      <c r="W600" s="13">
        <f t="shared" si="1039"/>
        <v>-2.0480769230769234</v>
      </c>
      <c r="X600" s="13">
        <f t="shared" si="1040"/>
        <v>7.0810810810810754E-2</v>
      </c>
      <c r="Y600" s="13">
        <f t="shared" si="1041"/>
        <v>0.36363636363636354</v>
      </c>
    </row>
    <row r="601" spans="1:25" ht="14.4">
      <c r="A601" s="98" t="s">
        <v>878</v>
      </c>
      <c r="B601" s="99">
        <v>505242</v>
      </c>
      <c r="C601" s="98" t="s">
        <v>180</v>
      </c>
      <c r="D601" s="100" t="s">
        <v>514</v>
      </c>
      <c r="E601" s="11">
        <f ca="1">IFERROR(__xludf.DUMMYFUNCTION("GOOGLEFINANCE(""BOM:""&amp;B602,""PRICE"")"),9282.3)</f>
        <v>9282.2999999999993</v>
      </c>
      <c r="F601" s="20">
        <f ca="1">IFERROR(__xludf.DUMMYFUNCTION("GOOGLEFINANCE(""BOM:""&amp;B602,""MARKETCAP"")/10000000"),6306.8726133)</f>
        <v>6306.8726133</v>
      </c>
      <c r="G601" s="95">
        <f t="shared" ca="1" si="1056"/>
        <v>1.5654227921435573E-4</v>
      </c>
      <c r="H601" s="101">
        <v>1188</v>
      </c>
      <c r="I601" s="101">
        <v>1023</v>
      </c>
      <c r="J601" s="101">
        <v>19</v>
      </c>
      <c r="K601" s="101">
        <v>26</v>
      </c>
      <c r="L601" s="101">
        <v>424</v>
      </c>
      <c r="M601" s="101">
        <v>315</v>
      </c>
      <c r="N601" s="101">
        <v>5</v>
      </c>
      <c r="O601" s="101">
        <v>3</v>
      </c>
      <c r="P601" s="13">
        <f t="shared" ref="P601:Q601" si="1215">J601/H601</f>
        <v>1.5993265993265993E-2</v>
      </c>
      <c r="Q601" s="13">
        <f t="shared" si="1215"/>
        <v>2.5415444770283482E-2</v>
      </c>
      <c r="R601" s="13">
        <f t="shared" si="1035"/>
        <v>-9.4221787770174883E-3</v>
      </c>
      <c r="S601" s="13">
        <f t="shared" ref="S601:T601" si="1216">N601/L601</f>
        <v>1.179245283018868E-2</v>
      </c>
      <c r="T601" s="13">
        <f t="shared" si="1216"/>
        <v>9.5238095238095247E-3</v>
      </c>
      <c r="U601" s="13">
        <f t="shared" si="1037"/>
        <v>2.2686433063791554E-3</v>
      </c>
      <c r="V601" s="13">
        <f t="shared" si="1038"/>
        <v>0.16129032258064524</v>
      </c>
      <c r="W601" s="13">
        <f t="shared" si="1039"/>
        <v>-0.26923076923076927</v>
      </c>
      <c r="X601" s="13">
        <f t="shared" si="1040"/>
        <v>0.34603174603174613</v>
      </c>
      <c r="Y601" s="13">
        <f t="shared" si="1041"/>
        <v>0.66666666666666674</v>
      </c>
    </row>
    <row r="602" spans="1:25" ht="15.6">
      <c r="A602" s="118" t="s">
        <v>879</v>
      </c>
      <c r="B602" s="99">
        <v>533095</v>
      </c>
      <c r="C602" s="102" t="s">
        <v>172</v>
      </c>
      <c r="D602" s="100" t="s">
        <v>178</v>
      </c>
      <c r="E602" s="11">
        <f ca="1">IFERROR(__xludf.DUMMYFUNCTION("GOOGLEFINANCE(""BOM:""&amp;B603,""PRICE"")"),5603.15)</f>
        <v>5603.15</v>
      </c>
      <c r="F602" s="20">
        <f ca="1">IFERROR(__xludf.DUMMYFUNCTION("GOOGLEFINANCE(""BOM:""&amp;B603,""MARKETCAP"")/10000000"),6389.7705139)</f>
        <v>6389.7705139</v>
      </c>
      <c r="G602" s="95">
        <f t="shared" ca="1" si="1056"/>
        <v>1.5859988004089581E-4</v>
      </c>
      <c r="H602" s="101">
        <v>1845</v>
      </c>
      <c r="I602" s="101">
        <v>1606</v>
      </c>
      <c r="J602" s="101">
        <v>639</v>
      </c>
      <c r="K602" s="101">
        <v>524</v>
      </c>
      <c r="L602" s="101">
        <v>563</v>
      </c>
      <c r="M602" s="101">
        <v>681</v>
      </c>
      <c r="N602" s="101">
        <v>155</v>
      </c>
      <c r="O602" s="101">
        <v>225</v>
      </c>
      <c r="P602" s="13">
        <f t="shared" ref="P602:Q602" si="1217">J602/H602</f>
        <v>0.34634146341463412</v>
      </c>
      <c r="Q602" s="13">
        <f t="shared" si="1217"/>
        <v>0.32627646326276466</v>
      </c>
      <c r="R602" s="13">
        <f t="shared" si="1035"/>
        <v>2.0065000151869461E-2</v>
      </c>
      <c r="S602" s="13">
        <f t="shared" ref="S602:T602" si="1218">N602/L602</f>
        <v>0.27531083481349911</v>
      </c>
      <c r="T602" s="13">
        <f t="shared" si="1218"/>
        <v>0.33039647577092512</v>
      </c>
      <c r="U602" s="13">
        <f t="shared" si="1037"/>
        <v>-5.5085640957426019E-2</v>
      </c>
      <c r="V602" s="13">
        <f t="shared" si="1038"/>
        <v>0.14881693648816929</v>
      </c>
      <c r="W602" s="13">
        <f t="shared" si="1039"/>
        <v>0.21946564885496178</v>
      </c>
      <c r="X602" s="13">
        <f t="shared" si="1040"/>
        <v>-0.17327459618208518</v>
      </c>
      <c r="Y602" s="13">
        <f t="shared" si="1041"/>
        <v>-0.31111111111111112</v>
      </c>
    </row>
    <row r="603" spans="1:25" ht="14.4">
      <c r="A603" s="98" t="s">
        <v>880</v>
      </c>
      <c r="B603" s="99">
        <v>532867</v>
      </c>
      <c r="C603" s="98" t="s">
        <v>187</v>
      </c>
      <c r="D603" s="101" t="s">
        <v>90</v>
      </c>
      <c r="E603" s="11">
        <f ca="1">IFERROR(__xludf.DUMMYFUNCTION("GOOGLEFINANCE(""BOM:""&amp;B604,""PRICE"")"),193.05)</f>
        <v>193.05</v>
      </c>
      <c r="F603" s="20">
        <f ca="1">IFERROR(__xludf.DUMMYFUNCTION("GOOGLEFINANCE(""BOM:""&amp;B604,""MARKETCAP"")/10000000"),7053.547889)</f>
        <v>7053.5478890000004</v>
      </c>
      <c r="G603" s="95">
        <f t="shared" ca="1" si="1056"/>
        <v>1.7507543449714908E-4</v>
      </c>
      <c r="H603" s="101">
        <v>2270</v>
      </c>
      <c r="I603" s="101">
        <v>1385</v>
      </c>
      <c r="J603" s="101">
        <v>143</v>
      </c>
      <c r="K603" s="101">
        <v>65</v>
      </c>
      <c r="L603" s="101">
        <v>929</v>
      </c>
      <c r="M603" s="101">
        <v>590</v>
      </c>
      <c r="N603" s="101">
        <v>102</v>
      </c>
      <c r="O603" s="101">
        <v>51</v>
      </c>
      <c r="P603" s="13">
        <f t="shared" ref="P603:Q603" si="1219">J603/H603</f>
        <v>6.2995594713656386E-2</v>
      </c>
      <c r="Q603" s="13">
        <f t="shared" si="1219"/>
        <v>4.6931407942238268E-2</v>
      </c>
      <c r="R603" s="13">
        <f t="shared" si="1035"/>
        <v>1.6064186771418118E-2</v>
      </c>
      <c r="S603" s="13">
        <f t="shared" ref="S603:T603" si="1220">N603/L603</f>
        <v>0.10979547900968784</v>
      </c>
      <c r="T603" s="13">
        <f t="shared" si="1220"/>
        <v>8.6440677966101692E-2</v>
      </c>
      <c r="U603" s="13">
        <f t="shared" si="1037"/>
        <v>2.3354801043586143E-2</v>
      </c>
      <c r="V603" s="13">
        <f t="shared" si="1038"/>
        <v>0.63898916967509023</v>
      </c>
      <c r="W603" s="13">
        <f t="shared" si="1039"/>
        <v>1.2000000000000002</v>
      </c>
      <c r="X603" s="13">
        <f t="shared" si="1040"/>
        <v>0.57457627118644061</v>
      </c>
      <c r="Y603" s="13">
        <f t="shared" si="1041"/>
        <v>1</v>
      </c>
    </row>
    <row r="604" spans="1:25" ht="14.4">
      <c r="A604" s="104" t="s">
        <v>881</v>
      </c>
      <c r="B604" s="99">
        <v>532915</v>
      </c>
      <c r="C604" s="98" t="s">
        <v>172</v>
      </c>
      <c r="D604" s="100" t="s">
        <v>243</v>
      </c>
      <c r="E604" s="11">
        <f ca="1">IFERROR(__xludf.DUMMYFUNCTION("GOOGLEFINANCE(""BOM:""&amp;B605,""PRICE"")"),219.55)</f>
        <v>219.55</v>
      </c>
      <c r="F604" s="20">
        <f ca="1">IFERROR(__xludf.DUMMYFUNCTION("GOOGLEFINANCE(""BOM:""&amp;B605,""MARKETCAP"")/10000000"),7308.6088335)</f>
        <v>7308.6088335000004</v>
      </c>
      <c r="G604" s="95">
        <f t="shared" ca="1" si="1056"/>
        <v>1.8140627769610573E-4</v>
      </c>
      <c r="H604" s="101">
        <v>6033</v>
      </c>
      <c r="I604" s="101">
        <v>5355</v>
      </c>
      <c r="J604" s="101">
        <v>-22</v>
      </c>
      <c r="K604" s="101">
        <v>32</v>
      </c>
      <c r="L604" s="101">
        <v>2067</v>
      </c>
      <c r="M604" s="101">
        <v>1670</v>
      </c>
      <c r="N604" s="101">
        <v>-76</v>
      </c>
      <c r="O604" s="101">
        <v>-63</v>
      </c>
      <c r="P604" s="13">
        <f t="shared" ref="P604:Q604" si="1221">J604/H604</f>
        <v>-3.6466103099618763E-3</v>
      </c>
      <c r="Q604" s="13">
        <f t="shared" si="1221"/>
        <v>5.9757236227824459E-3</v>
      </c>
      <c r="R604" s="13">
        <f t="shared" si="1035"/>
        <v>-9.622333932744323E-3</v>
      </c>
      <c r="S604" s="13">
        <f t="shared" ref="S604:T604" si="1222">N604/L604</f>
        <v>-3.6768263183357526E-2</v>
      </c>
      <c r="T604" s="13">
        <f t="shared" si="1222"/>
        <v>-3.772455089820359E-2</v>
      </c>
      <c r="U604" s="13">
        <f t="shared" si="1037"/>
        <v>9.562877148460644E-4</v>
      </c>
      <c r="V604" s="13">
        <f t="shared" si="1038"/>
        <v>0.12661064425770308</v>
      </c>
      <c r="W604" s="13">
        <f t="shared" si="1039"/>
        <v>-1.6875</v>
      </c>
      <c r="X604" s="13">
        <f t="shared" si="1040"/>
        <v>0.23772455089820355</v>
      </c>
      <c r="Y604" s="13">
        <f t="shared" si="1041"/>
        <v>0.20634920634920628</v>
      </c>
    </row>
    <row r="605" spans="1:25" ht="14.4">
      <c r="A605" s="98" t="s">
        <v>882</v>
      </c>
      <c r="B605" s="99">
        <v>517506</v>
      </c>
      <c r="C605" s="98" t="s">
        <v>187</v>
      </c>
      <c r="D605" s="70" t="s">
        <v>93</v>
      </c>
      <c r="E605" s="11">
        <f ca="1">IFERROR(__xludf.DUMMYFUNCTION("GOOGLEFINANCE(""BOM:""&amp;B606,""PRICE"")"),458)</f>
        <v>458</v>
      </c>
      <c r="F605" s="20">
        <f ca="1">IFERROR(__xludf.DUMMYFUNCTION("GOOGLEFINANCE(""BOM:""&amp;B606,""MARKETCAP"")/10000000"),6257.9715426)</f>
        <v>6257.9715426000002</v>
      </c>
      <c r="G605" s="95">
        <f t="shared" ca="1" si="1056"/>
        <v>1.5532851043658508E-4</v>
      </c>
      <c r="H605" s="101">
        <v>2244</v>
      </c>
      <c r="I605" s="101">
        <v>2065</v>
      </c>
      <c r="J605" s="101">
        <v>121</v>
      </c>
      <c r="K605" s="101">
        <v>150</v>
      </c>
      <c r="L605" s="101">
        <v>801</v>
      </c>
      <c r="M605" s="101">
        <v>727</v>
      </c>
      <c r="N605" s="101">
        <v>32</v>
      </c>
      <c r="O605" s="101">
        <v>57</v>
      </c>
      <c r="P605" s="13">
        <f t="shared" ref="P605:Q605" si="1223">J605/H605</f>
        <v>5.3921568627450983E-2</v>
      </c>
      <c r="Q605" s="13">
        <f t="shared" si="1223"/>
        <v>7.2639225181598058E-2</v>
      </c>
      <c r="R605" s="13">
        <f t="shared" si="1035"/>
        <v>-1.8717656554147075E-2</v>
      </c>
      <c r="S605" s="13">
        <f t="shared" ref="S605:T605" si="1224">N605/L605</f>
        <v>3.9950062421972535E-2</v>
      </c>
      <c r="T605" s="13">
        <f t="shared" si="1224"/>
        <v>7.8404401650618988E-2</v>
      </c>
      <c r="U605" s="13">
        <f t="shared" si="1037"/>
        <v>-3.8454339228646453E-2</v>
      </c>
      <c r="V605" s="13">
        <f t="shared" si="1038"/>
        <v>8.6682808716707083E-2</v>
      </c>
      <c r="W605" s="13">
        <f t="shared" si="1039"/>
        <v>-0.19333333333333336</v>
      </c>
      <c r="X605" s="13">
        <f t="shared" si="1040"/>
        <v>0.10178817056396139</v>
      </c>
      <c r="Y605" s="13">
        <f t="shared" si="1041"/>
        <v>-0.43859649122807021</v>
      </c>
    </row>
    <row r="606" spans="1:25" ht="14.4">
      <c r="A606" s="98" t="s">
        <v>883</v>
      </c>
      <c r="B606" s="99">
        <v>505192</v>
      </c>
      <c r="C606" s="98" t="s">
        <v>180</v>
      </c>
      <c r="D606" s="100" t="s">
        <v>279</v>
      </c>
      <c r="E606" s="11">
        <f ca="1">IFERROR(__xludf.DUMMYFUNCTION("GOOGLEFINANCE(""BOM:""&amp;B607,""PRICE"")"),4076.3)</f>
        <v>4076.3</v>
      </c>
      <c r="F606" s="20">
        <f ca="1">IFERROR(__xludf.DUMMYFUNCTION("GOOGLEFINANCE(""BOM:""&amp;B607,""MARKETCAP"")/10000000"),5876.936)</f>
        <v>5876.9359999999997</v>
      </c>
      <c r="G606" s="95">
        <f t="shared" ca="1" si="1056"/>
        <v>1.4587086384094968E-4</v>
      </c>
      <c r="H606" s="101">
        <v>1940</v>
      </c>
      <c r="I606" s="101">
        <v>1627</v>
      </c>
      <c r="J606" s="101">
        <v>106</v>
      </c>
      <c r="K606" s="101">
        <v>69</v>
      </c>
      <c r="L606" s="101">
        <v>539</v>
      </c>
      <c r="M606" s="101">
        <v>331</v>
      </c>
      <c r="N606" s="101">
        <v>18</v>
      </c>
      <c r="O606" s="101">
        <v>0.53</v>
      </c>
      <c r="P606" s="13">
        <f t="shared" ref="P606:Q606" si="1225">J606/H606</f>
        <v>5.4639175257731959E-2</v>
      </c>
      <c r="Q606" s="13">
        <f t="shared" si="1225"/>
        <v>4.2409342347879533E-2</v>
      </c>
      <c r="R606" s="13">
        <f t="shared" si="1035"/>
        <v>1.2229832909852426E-2</v>
      </c>
      <c r="S606" s="13">
        <f t="shared" ref="S606:T606" si="1226">N606/L606</f>
        <v>3.3395176252319109E-2</v>
      </c>
      <c r="T606" s="13">
        <f t="shared" si="1226"/>
        <v>1.6012084592145015E-3</v>
      </c>
      <c r="U606" s="13">
        <f t="shared" si="1037"/>
        <v>3.1793967793104609E-2</v>
      </c>
      <c r="V606" s="13">
        <f t="shared" si="1038"/>
        <v>0.19237861094038111</v>
      </c>
      <c r="W606" s="13">
        <f t="shared" si="1039"/>
        <v>0.53623188405797095</v>
      </c>
      <c r="X606" s="13">
        <f t="shared" si="1040"/>
        <v>0.6283987915407856</v>
      </c>
      <c r="Y606" s="13">
        <f t="shared" si="1041"/>
        <v>32.962264150943398</v>
      </c>
    </row>
    <row r="607" spans="1:25" ht="14.4">
      <c r="A607" s="98" t="s">
        <v>884</v>
      </c>
      <c r="B607" s="99">
        <v>532808</v>
      </c>
      <c r="C607" s="98" t="s">
        <v>187</v>
      </c>
      <c r="D607" s="108" t="s">
        <v>96</v>
      </c>
      <c r="E607" s="11">
        <f ca="1">IFERROR(__xludf.DUMMYFUNCTION("GOOGLEFINANCE(""BOM:""&amp;B608,""PRICE"")"),1529.95)</f>
        <v>1529.95</v>
      </c>
      <c r="F607" s="20">
        <f ca="1">IFERROR(__xludf.DUMMYFUNCTION("GOOGLEFINANCE(""BOM:""&amp;B608,""MARKETCAP"")/10000000"),7098.8278139)</f>
        <v>7098.8278139000004</v>
      </c>
      <c r="G607" s="95">
        <f t="shared" ca="1" si="1056"/>
        <v>1.7619932316291238E-4</v>
      </c>
      <c r="H607" s="101">
        <v>3737</v>
      </c>
      <c r="I607" s="101">
        <v>3305</v>
      </c>
      <c r="J607" s="101">
        <v>189</v>
      </c>
      <c r="K607" s="101">
        <v>165</v>
      </c>
      <c r="L607" s="101">
        <v>1170</v>
      </c>
      <c r="M607" s="101">
        <v>1022</v>
      </c>
      <c r="N607" s="101">
        <v>51</v>
      </c>
      <c r="O607" s="101">
        <v>48</v>
      </c>
      <c r="P607" s="13">
        <f t="shared" ref="P607:Q607" si="1227">J607/H607</f>
        <v>5.0575327803050574E-2</v>
      </c>
      <c r="Q607" s="13">
        <f t="shared" si="1227"/>
        <v>4.9924357034795766E-2</v>
      </c>
      <c r="R607" s="13">
        <f t="shared" si="1035"/>
        <v>6.5097076825480771E-4</v>
      </c>
      <c r="S607" s="13">
        <f t="shared" ref="S607:T607" si="1228">N607/L607</f>
        <v>4.3589743589743588E-2</v>
      </c>
      <c r="T607" s="13">
        <f t="shared" si="1228"/>
        <v>4.6966731898238745E-2</v>
      </c>
      <c r="U607" s="13">
        <f t="shared" si="1037"/>
        <v>-3.3769883084951574E-3</v>
      </c>
      <c r="V607" s="13">
        <f t="shared" si="1038"/>
        <v>0.13071104387291976</v>
      </c>
      <c r="W607" s="13">
        <f t="shared" si="1039"/>
        <v>0.1454545454545455</v>
      </c>
      <c r="X607" s="13">
        <f t="shared" si="1040"/>
        <v>0.14481409001956957</v>
      </c>
      <c r="Y607" s="13">
        <f t="shared" si="1041"/>
        <v>6.25E-2</v>
      </c>
    </row>
    <row r="608" spans="1:25" ht="14.4">
      <c r="A608" s="98" t="s">
        <v>885</v>
      </c>
      <c r="B608" s="99">
        <v>540900</v>
      </c>
      <c r="C608" s="98" t="s">
        <v>174</v>
      </c>
      <c r="D608" s="101" t="s">
        <v>175</v>
      </c>
      <c r="E608" s="11">
        <f ca="1">IFERROR(__xludf.DUMMYFUNCTION("GOOGLEFINANCE(""BOM:""&amp;B609,""PRICE"")"),441)</f>
        <v>441</v>
      </c>
      <c r="F608" s="20">
        <f ca="1">IFERROR(__xludf.DUMMYFUNCTION("GOOGLEFINANCE(""BOM:""&amp;B609,""MARKETCAP"")/10000000"),6232.51188)</f>
        <v>6232.51188</v>
      </c>
      <c r="G608" s="95">
        <f t="shared" ca="1" si="1056"/>
        <v>1.5469657859717742E-4</v>
      </c>
      <c r="H608" s="101">
        <v>1121</v>
      </c>
      <c r="I608" s="101">
        <v>1056</v>
      </c>
      <c r="J608" s="101">
        <v>194</v>
      </c>
      <c r="K608" s="101">
        <v>206</v>
      </c>
      <c r="L608" s="101">
        <v>400</v>
      </c>
      <c r="M608" s="101">
        <v>381</v>
      </c>
      <c r="N608" s="101">
        <v>62</v>
      </c>
      <c r="O608" s="101">
        <v>89</v>
      </c>
      <c r="P608" s="13">
        <f t="shared" ref="P608:Q608" si="1229">J608/H608</f>
        <v>0.17305976806422838</v>
      </c>
      <c r="Q608" s="13">
        <f t="shared" si="1229"/>
        <v>0.19507575757575757</v>
      </c>
      <c r="R608" s="13">
        <f t="shared" si="1035"/>
        <v>-2.2015989511529194E-2</v>
      </c>
      <c r="S608" s="13">
        <f t="shared" ref="S608:T608" si="1230">N608/L608</f>
        <v>0.155</v>
      </c>
      <c r="T608" s="13">
        <f t="shared" si="1230"/>
        <v>0.23359580052493439</v>
      </c>
      <c r="U608" s="13">
        <f t="shared" si="1037"/>
        <v>-7.8595800524934395E-2</v>
      </c>
      <c r="V608" s="13">
        <f t="shared" si="1038"/>
        <v>6.1553030303030276E-2</v>
      </c>
      <c r="W608" s="13">
        <f t="shared" si="1039"/>
        <v>-5.8252427184465994E-2</v>
      </c>
      <c r="X608" s="13">
        <f t="shared" si="1040"/>
        <v>4.986876640419946E-2</v>
      </c>
      <c r="Y608" s="13">
        <f t="shared" si="1041"/>
        <v>-0.3033707865168539</v>
      </c>
    </row>
    <row r="609" spans="1:25" ht="14.4">
      <c r="A609" s="98" t="s">
        <v>886</v>
      </c>
      <c r="B609" s="99">
        <v>533047</v>
      </c>
      <c r="C609" s="98" t="s">
        <v>196</v>
      </c>
      <c r="D609" s="102" t="s">
        <v>887</v>
      </c>
      <c r="E609" s="11">
        <f ca="1">IFERROR(__xludf.DUMMYFUNCTION("GOOGLEFINANCE(""BOM:""&amp;B610,""PRICE"")"),1283.65)</f>
        <v>1283.6500000000001</v>
      </c>
      <c r="F609" s="20">
        <f ca="1">IFERROR(__xludf.DUMMYFUNCTION("GOOGLEFINANCE(""BOM:""&amp;B610,""MARKETCAP"")/10000000"),6927.70644)</f>
        <v>6927.7064399999999</v>
      </c>
      <c r="G609" s="95">
        <f t="shared" ca="1" si="1056"/>
        <v>1.7195193598148938E-4</v>
      </c>
      <c r="H609" s="101">
        <v>2063</v>
      </c>
      <c r="I609" s="101">
        <v>1997</v>
      </c>
      <c r="J609" s="101">
        <v>322</v>
      </c>
      <c r="K609" s="101">
        <v>332</v>
      </c>
      <c r="L609" s="101">
        <v>703</v>
      </c>
      <c r="M609" s="101">
        <v>643</v>
      </c>
      <c r="N609" s="101">
        <v>131</v>
      </c>
      <c r="O609" s="101">
        <v>93</v>
      </c>
      <c r="P609" s="13">
        <f t="shared" ref="P609:Q609" si="1231">J609/H609</f>
        <v>0.15608337372758119</v>
      </c>
      <c r="Q609" s="13">
        <f t="shared" si="1231"/>
        <v>0.16624937406109164</v>
      </c>
      <c r="R609" s="13">
        <f t="shared" si="1035"/>
        <v>-1.016600033351045E-2</v>
      </c>
      <c r="S609" s="13">
        <f t="shared" ref="S609:T609" si="1232">N609/L609</f>
        <v>0.18634423897581792</v>
      </c>
      <c r="T609" s="13">
        <f t="shared" si="1232"/>
        <v>0.14463452566096424</v>
      </c>
      <c r="U609" s="13">
        <f t="shared" si="1037"/>
        <v>4.170971331485368E-2</v>
      </c>
      <c r="V609" s="13">
        <f t="shared" si="1038"/>
        <v>3.3049574361542211E-2</v>
      </c>
      <c r="W609" s="13">
        <f t="shared" si="1039"/>
        <v>-3.0120481927710885E-2</v>
      </c>
      <c r="X609" s="13">
        <f t="shared" si="1040"/>
        <v>9.3312597200622127E-2</v>
      </c>
      <c r="Y609" s="13">
        <f t="shared" si="1041"/>
        <v>0.40860215053763449</v>
      </c>
    </row>
    <row r="610" spans="1:25" ht="14.4">
      <c r="A610" s="98" t="s">
        <v>888</v>
      </c>
      <c r="B610" s="99">
        <v>540047</v>
      </c>
      <c r="C610" s="98" t="s">
        <v>180</v>
      </c>
      <c r="D610" s="101" t="s">
        <v>181</v>
      </c>
      <c r="E610" s="11">
        <f ca="1">IFERROR(__xludf.DUMMYFUNCTION("GOOGLEFINANCE(""BOM:""&amp;B611,""PRICE"")"),402.7)</f>
        <v>402.7</v>
      </c>
      <c r="F610" s="20">
        <f ca="1">IFERROR(__xludf.DUMMYFUNCTION("GOOGLEFINANCE(""BOM:""&amp;B611,""MARKETCAP"")/10000000"),6542.46432)</f>
        <v>6542.46432</v>
      </c>
      <c r="G610" s="95">
        <f t="shared" ca="1" si="1056"/>
        <v>1.6238987833234726E-4</v>
      </c>
      <c r="H610" s="101">
        <v>6684</v>
      </c>
      <c r="I610" s="101">
        <v>8220</v>
      </c>
      <c r="J610" s="101">
        <v>1274</v>
      </c>
      <c r="K610" s="101">
        <v>563</v>
      </c>
      <c r="L610" s="101">
        <v>2137</v>
      </c>
      <c r="M610" s="101">
        <v>2589</v>
      </c>
      <c r="N610" s="101">
        <v>788</v>
      </c>
      <c r="O610" s="101">
        <v>157</v>
      </c>
      <c r="P610" s="13">
        <f t="shared" ref="P610:Q610" si="1233">J610/H610</f>
        <v>0.19060442848593656</v>
      </c>
      <c r="Q610" s="13">
        <f t="shared" si="1233"/>
        <v>6.8491484184914839E-2</v>
      </c>
      <c r="R610" s="13">
        <f t="shared" si="1035"/>
        <v>0.12211294430102172</v>
      </c>
      <c r="S610" s="13">
        <f t="shared" ref="S610:T610" si="1234">N610/L610</f>
        <v>0.36874122601778192</v>
      </c>
      <c r="T610" s="13">
        <f t="shared" si="1234"/>
        <v>6.0641174198532252E-2</v>
      </c>
      <c r="U610" s="13">
        <f t="shared" si="1037"/>
        <v>0.30810005181924965</v>
      </c>
      <c r="V610" s="13">
        <f t="shared" si="1038"/>
        <v>-0.18686131386861315</v>
      </c>
      <c r="W610" s="13">
        <f t="shared" si="1039"/>
        <v>1.2628774422735347</v>
      </c>
      <c r="X610" s="13">
        <f t="shared" si="1040"/>
        <v>-0.17458478176902281</v>
      </c>
      <c r="Y610" s="13">
        <f t="shared" si="1041"/>
        <v>4.0191082802547768</v>
      </c>
    </row>
    <row r="611" spans="1:25" ht="14.4">
      <c r="A611" s="98" t="s">
        <v>889</v>
      </c>
      <c r="B611" s="99">
        <v>540935</v>
      </c>
      <c r="C611" s="98" t="s">
        <v>196</v>
      </c>
      <c r="D611" s="102" t="s">
        <v>251</v>
      </c>
      <c r="E611" s="11">
        <f ca="1">IFERROR(__xludf.DUMMYFUNCTION("GOOGLEFINANCE(""BOM:""&amp;B612,""PRICE"")"),1681.95)</f>
        <v>1681.95</v>
      </c>
      <c r="F611" s="20">
        <f ca="1">IFERROR(__xludf.DUMMYFUNCTION("GOOGLEFINANCE(""BOM:""&amp;B612,""MARKETCAP"")/10000000"),5956.398)</f>
        <v>5956.3980000000001</v>
      </c>
      <c r="G611" s="95">
        <f t="shared" ca="1" si="1056"/>
        <v>1.4784318250879458E-4</v>
      </c>
      <c r="H611" s="101">
        <v>3933</v>
      </c>
      <c r="I611" s="101">
        <v>3078</v>
      </c>
      <c r="J611" s="101">
        <v>205</v>
      </c>
      <c r="K611" s="101">
        <v>229</v>
      </c>
      <c r="L611" s="101">
        <v>1329</v>
      </c>
      <c r="M611" s="101">
        <v>1041</v>
      </c>
      <c r="N611" s="101">
        <v>59</v>
      </c>
      <c r="O611" s="101">
        <v>65</v>
      </c>
      <c r="P611" s="13">
        <f t="shared" ref="P611:Q611" si="1235">J611/H611</f>
        <v>5.2123061276379355E-2</v>
      </c>
      <c r="Q611" s="13">
        <f t="shared" si="1235"/>
        <v>7.439896036387264E-2</v>
      </c>
      <c r="R611" s="13">
        <f t="shared" si="1035"/>
        <v>-2.2275899087493285E-2</v>
      </c>
      <c r="S611" s="13">
        <f t="shared" ref="S611:T611" si="1236">N611/L611</f>
        <v>4.439428141459744E-2</v>
      </c>
      <c r="T611" s="13">
        <f t="shared" si="1236"/>
        <v>6.2439961575408258E-2</v>
      </c>
      <c r="U611" s="13">
        <f t="shared" si="1037"/>
        <v>-1.8045680160810817E-2</v>
      </c>
      <c r="V611" s="13">
        <f t="shared" si="1038"/>
        <v>0.27777777777777768</v>
      </c>
      <c r="W611" s="13">
        <f t="shared" si="1039"/>
        <v>-0.10480349344978168</v>
      </c>
      <c r="X611" s="13">
        <f t="shared" si="1040"/>
        <v>0.27665706051873196</v>
      </c>
      <c r="Y611" s="13">
        <f t="shared" si="1041"/>
        <v>-9.2307692307692313E-2</v>
      </c>
    </row>
    <row r="612" spans="1:25" ht="14.4">
      <c r="A612" s="104" t="s">
        <v>890</v>
      </c>
      <c r="B612" s="99">
        <v>521070</v>
      </c>
      <c r="C612" s="98" t="s">
        <v>187</v>
      </c>
      <c r="D612" s="100" t="s">
        <v>492</v>
      </c>
      <c r="E612" s="11">
        <f ca="1">IFERROR(__xludf.DUMMYFUNCTION("GOOGLEFINANCE(""BOM:""&amp;B613,""PRICE"")"),12.65)</f>
        <v>12.65</v>
      </c>
      <c r="F612" s="20">
        <f ca="1">IFERROR(__xludf.DUMMYFUNCTION("GOOGLEFINANCE(""BOM:""&amp;B613,""MARKETCAP"")/10000000"),6285.9937642)</f>
        <v>6285.9937642000004</v>
      </c>
      <c r="G612" s="95">
        <f t="shared" ca="1" si="1056"/>
        <v>1.5602404730673895E-4</v>
      </c>
      <c r="H612" s="101">
        <v>2731</v>
      </c>
      <c r="I612" s="101">
        <v>2755</v>
      </c>
      <c r="J612" s="101">
        <v>-551</v>
      </c>
      <c r="K612" s="101">
        <v>-741</v>
      </c>
      <c r="L612" s="101">
        <v>858</v>
      </c>
      <c r="M612" s="101">
        <v>863</v>
      </c>
      <c r="N612" s="101">
        <v>-217</v>
      </c>
      <c r="O612" s="101">
        <v>-272</v>
      </c>
      <c r="P612" s="13">
        <f t="shared" ref="P612:Q612" si="1237">J612/H612</f>
        <v>-0.20175759794946907</v>
      </c>
      <c r="Q612" s="13">
        <f t="shared" si="1237"/>
        <v>-0.26896551724137929</v>
      </c>
      <c r="R612" s="13">
        <f t="shared" si="1035"/>
        <v>6.7207919291910223E-2</v>
      </c>
      <c r="S612" s="13">
        <f t="shared" ref="S612:T612" si="1238">N612/L612</f>
        <v>-0.2529137529137529</v>
      </c>
      <c r="T612" s="13">
        <f t="shared" si="1238"/>
        <v>-0.31517960602549244</v>
      </c>
      <c r="U612" s="13">
        <f t="shared" si="1037"/>
        <v>6.2265853111739544E-2</v>
      </c>
      <c r="V612" s="13">
        <f t="shared" si="1038"/>
        <v>-8.7114337568058309E-3</v>
      </c>
      <c r="W612" s="13">
        <f t="shared" si="1039"/>
        <v>-0.25641025641025639</v>
      </c>
      <c r="X612" s="13">
        <f t="shared" si="1040"/>
        <v>-5.7937427578215184E-3</v>
      </c>
      <c r="Y612" s="13">
        <f t="shared" si="1041"/>
        <v>-0.20220588235294112</v>
      </c>
    </row>
    <row r="613" spans="1:25" ht="14.4">
      <c r="A613" s="98" t="s">
        <v>891</v>
      </c>
      <c r="B613" s="99">
        <v>532375</v>
      </c>
      <c r="C613" s="98" t="s">
        <v>187</v>
      </c>
      <c r="D613" s="100" t="s">
        <v>558</v>
      </c>
      <c r="E613" s="11">
        <f ca="1">IFERROR(__xludf.DUMMYFUNCTION("GOOGLEFINANCE(""BOM:""&amp;B614,""PRICE"")"),527.95)</f>
        <v>527.95000000000005</v>
      </c>
      <c r="F613" s="20">
        <f ca="1">IFERROR(__xludf.DUMMYFUNCTION("GOOGLEFINANCE(""BOM:""&amp;B614,""MARKETCAP"")/10000000"),6755.2557735)</f>
        <v>6755.2557735</v>
      </c>
      <c r="G613" s="95">
        <f t="shared" ca="1" si="1056"/>
        <v>1.6767155455615101E-4</v>
      </c>
      <c r="H613" s="101">
        <v>271</v>
      </c>
      <c r="I613" s="101">
        <v>232</v>
      </c>
      <c r="J613" s="101">
        <v>157</v>
      </c>
      <c r="K613" s="101">
        <v>135</v>
      </c>
      <c r="L613" s="101">
        <v>94</v>
      </c>
      <c r="M613" s="101">
        <v>77</v>
      </c>
      <c r="N613" s="101">
        <v>58</v>
      </c>
      <c r="O613" s="101">
        <v>44</v>
      </c>
      <c r="P613" s="13">
        <f t="shared" ref="P613:Q613" si="1239">J613/H613</f>
        <v>0.57933579335793361</v>
      </c>
      <c r="Q613" s="13">
        <f t="shared" si="1239"/>
        <v>0.5818965517241379</v>
      </c>
      <c r="R613" s="13">
        <f t="shared" si="1035"/>
        <v>-2.5607583662042854E-3</v>
      </c>
      <c r="S613" s="13">
        <f t="shared" ref="S613:T613" si="1240">N613/L613</f>
        <v>0.61702127659574468</v>
      </c>
      <c r="T613" s="13">
        <f t="shared" si="1240"/>
        <v>0.5714285714285714</v>
      </c>
      <c r="U613" s="13">
        <f t="shared" si="1037"/>
        <v>4.5592705167173286E-2</v>
      </c>
      <c r="V613" s="13">
        <f t="shared" si="1038"/>
        <v>0.1681034482758621</v>
      </c>
      <c r="W613" s="13">
        <f t="shared" si="1039"/>
        <v>0.16296296296296298</v>
      </c>
      <c r="X613" s="13">
        <f t="shared" si="1040"/>
        <v>0.22077922077922074</v>
      </c>
      <c r="Y613" s="13">
        <f t="shared" si="1041"/>
        <v>0.31818181818181812</v>
      </c>
    </row>
    <row r="614" spans="1:25" ht="14.4">
      <c r="A614" s="98" t="s">
        <v>892</v>
      </c>
      <c r="B614" s="99">
        <v>543306</v>
      </c>
      <c r="C614" s="98" t="s">
        <v>183</v>
      </c>
      <c r="D614" s="101" t="s">
        <v>569</v>
      </c>
      <c r="E614" s="11">
        <f ca="1">IFERROR(__xludf.DUMMYFUNCTION("GOOGLEFINANCE(""BOM:""&amp;B615,""PRICE"")"),1017)</f>
        <v>1017</v>
      </c>
      <c r="F614" s="20">
        <f ca="1">IFERROR(__xludf.DUMMYFUNCTION("GOOGLEFINANCE(""BOM:""&amp;B615,""MARKETCAP"")/10000000"),6124.4783296)</f>
        <v>6124.4783295999996</v>
      </c>
      <c r="G614" s="95">
        <f t="shared" ca="1" si="1056"/>
        <v>1.5201508822180955E-4</v>
      </c>
      <c r="H614" s="101">
        <v>3050</v>
      </c>
      <c r="I614" s="101">
        <v>2810</v>
      </c>
      <c r="J614" s="101">
        <v>19</v>
      </c>
      <c r="K614" s="101">
        <v>19</v>
      </c>
      <c r="L614" s="101">
        <v>1025</v>
      </c>
      <c r="M614" s="101">
        <v>901</v>
      </c>
      <c r="N614" s="101">
        <v>68</v>
      </c>
      <c r="O614" s="101">
        <v>63</v>
      </c>
      <c r="P614" s="13">
        <f t="shared" ref="P614:Q614" si="1241">J614/H614</f>
        <v>6.2295081967213119E-3</v>
      </c>
      <c r="Q614" s="13">
        <f t="shared" si="1241"/>
        <v>6.7615658362989326E-3</v>
      </c>
      <c r="R614" s="13">
        <f t="shared" si="1035"/>
        <v>-5.3205763957762074E-4</v>
      </c>
      <c r="S614" s="13">
        <f t="shared" ref="S614:T614" si="1242">N614/L614</f>
        <v>6.634146341463415E-2</v>
      </c>
      <c r="T614" s="13">
        <f t="shared" si="1242"/>
        <v>6.9922308546059936E-2</v>
      </c>
      <c r="U614" s="13">
        <f t="shared" si="1037"/>
        <v>-3.5808451314257861E-3</v>
      </c>
      <c r="V614" s="13">
        <f t="shared" si="1038"/>
        <v>8.5409252669039093E-2</v>
      </c>
      <c r="W614" s="13">
        <f t="shared" si="1039"/>
        <v>0</v>
      </c>
      <c r="X614" s="13">
        <f t="shared" si="1040"/>
        <v>0.13762486126526086</v>
      </c>
      <c r="Y614" s="13">
        <f t="shared" si="1041"/>
        <v>7.9365079365079305E-2</v>
      </c>
    </row>
    <row r="615" spans="1:25" ht="14.4">
      <c r="A615" s="98" t="s">
        <v>893</v>
      </c>
      <c r="B615" s="99">
        <v>543657</v>
      </c>
      <c r="C615" s="98" t="s">
        <v>196</v>
      </c>
      <c r="D615" s="70" t="s">
        <v>251</v>
      </c>
      <c r="E615" s="11">
        <f ca="1">IFERROR(__xludf.DUMMYFUNCTION("GOOGLEFINANCE(""BOM:""&amp;B616,""PRICE"")"),575.95)</f>
        <v>575.95000000000005</v>
      </c>
      <c r="F615" s="20">
        <f ca="1">IFERROR(__xludf.DUMMYFUNCTION("GOOGLEFINANCE(""BOM:""&amp;B616,""MARKETCAP"")/10000000"),7098.858)</f>
        <v>7098.8580000000002</v>
      </c>
      <c r="G615" s="95">
        <f t="shared" ca="1" si="1056"/>
        <v>1.7620007240920041E-4</v>
      </c>
      <c r="H615" s="101">
        <v>780</v>
      </c>
      <c r="I615" s="101">
        <v>695</v>
      </c>
      <c r="J615" s="101">
        <v>93</v>
      </c>
      <c r="K615" s="101">
        <v>108</v>
      </c>
      <c r="L615" s="101">
        <v>254</v>
      </c>
      <c r="M615" s="101">
        <v>242</v>
      </c>
      <c r="N615" s="101">
        <v>23</v>
      </c>
      <c r="O615" s="101">
        <v>47</v>
      </c>
      <c r="P615" s="13">
        <f t="shared" ref="P615:Q615" si="1243">J615/H615</f>
        <v>0.11923076923076924</v>
      </c>
      <c r="Q615" s="13">
        <f t="shared" si="1243"/>
        <v>0.1553956834532374</v>
      </c>
      <c r="R615" s="13">
        <f t="shared" si="1035"/>
        <v>-3.6164914222468161E-2</v>
      </c>
      <c r="S615" s="13">
        <f t="shared" ref="S615:T615" si="1244">N615/L615</f>
        <v>9.055118110236221E-2</v>
      </c>
      <c r="T615" s="13">
        <f t="shared" si="1244"/>
        <v>0.19421487603305784</v>
      </c>
      <c r="U615" s="13">
        <f t="shared" si="1037"/>
        <v>-0.10366369493069563</v>
      </c>
      <c r="V615" s="13">
        <f t="shared" si="1038"/>
        <v>0.1223021582733812</v>
      </c>
      <c r="W615" s="13">
        <f t="shared" si="1039"/>
        <v>-0.13888888888888884</v>
      </c>
      <c r="X615" s="13">
        <f t="shared" si="1040"/>
        <v>4.9586776859504189E-2</v>
      </c>
      <c r="Y615" s="13">
        <f t="shared" si="1041"/>
        <v>-0.5106382978723405</v>
      </c>
    </row>
    <row r="616" spans="1:25" ht="14.4">
      <c r="A616" s="98" t="s">
        <v>894</v>
      </c>
      <c r="B616" s="99">
        <v>500135</v>
      </c>
      <c r="C616" s="98" t="s">
        <v>180</v>
      </c>
      <c r="D616" s="119" t="s">
        <v>895</v>
      </c>
      <c r="E616" s="11">
        <f ca="1">IFERROR(__xludf.DUMMYFUNCTION("GOOGLEFINANCE(""BOM:""&amp;B617,""PRICE"")"),216.45)</f>
        <v>216.45</v>
      </c>
      <c r="F616" s="20">
        <f ca="1">IFERROR(__xludf.DUMMYFUNCTION("GOOGLEFINANCE(""BOM:""&amp;B617,""MARKETCAP"")/10000000"),6930.8028289)</f>
        <v>6930.8028289000003</v>
      </c>
      <c r="G616" s="95">
        <f t="shared" ca="1" si="1056"/>
        <v>1.7202879115289684E-4</v>
      </c>
      <c r="H616" s="101">
        <v>3462</v>
      </c>
      <c r="I616" s="101">
        <v>3107</v>
      </c>
      <c r="J616" s="101">
        <v>290</v>
      </c>
      <c r="K616" s="101">
        <v>248</v>
      </c>
      <c r="L616" s="101">
        <v>1148</v>
      </c>
      <c r="M616" s="101">
        <v>1014</v>
      </c>
      <c r="N616" s="101">
        <v>83</v>
      </c>
      <c r="O616" s="101">
        <v>94</v>
      </c>
      <c r="P616" s="13">
        <f t="shared" ref="P616:Q616" si="1245">J616/H616</f>
        <v>8.3766608896591571E-2</v>
      </c>
      <c r="Q616" s="13">
        <f t="shared" si="1245"/>
        <v>7.9819761828130026E-2</v>
      </c>
      <c r="R616" s="13">
        <f t="shared" si="1035"/>
        <v>3.9468470684615453E-3</v>
      </c>
      <c r="S616" s="13">
        <f t="shared" ref="S616:T616" si="1246">N616/L616</f>
        <v>7.2299651567944254E-2</v>
      </c>
      <c r="T616" s="13">
        <f t="shared" si="1246"/>
        <v>9.270216962524655E-2</v>
      </c>
      <c r="U616" s="13">
        <f t="shared" si="1037"/>
        <v>-2.0402518057302296E-2</v>
      </c>
      <c r="V616" s="13">
        <f t="shared" si="1038"/>
        <v>0.11425812681042813</v>
      </c>
      <c r="W616" s="13">
        <f t="shared" si="1039"/>
        <v>0.16935483870967749</v>
      </c>
      <c r="X616" s="13">
        <f t="shared" si="1040"/>
        <v>0.13214990138067062</v>
      </c>
      <c r="Y616" s="13">
        <f t="shared" si="1041"/>
        <v>-0.11702127659574468</v>
      </c>
    </row>
    <row r="617" spans="1:25" ht="14.4">
      <c r="A617" s="98" t="s">
        <v>896</v>
      </c>
      <c r="B617" s="99">
        <v>500123</v>
      </c>
      <c r="C617" s="98" t="s">
        <v>196</v>
      </c>
      <c r="D617" s="102" t="s">
        <v>251</v>
      </c>
      <c r="E617" s="11">
        <f ca="1">IFERROR(__xludf.DUMMYFUNCTION("GOOGLEFINANCE(""BOM:""&amp;B618,""PRICE"")"),8302.95)</f>
        <v>8302.9500000000007</v>
      </c>
      <c r="F617" s="20">
        <f ca="1">IFERROR(__xludf.DUMMYFUNCTION("GOOGLEFINANCE(""BOM:""&amp;B618,""MARKETCAP"")/10000000"),6582.3140507)</f>
        <v>6582.3140506999998</v>
      </c>
      <c r="G617" s="95">
        <f t="shared" ca="1" si="1056"/>
        <v>1.6337898466956758E-4</v>
      </c>
      <c r="H617" s="101">
        <v>848</v>
      </c>
      <c r="I617" s="101">
        <v>748</v>
      </c>
      <c r="J617" s="101">
        <v>148</v>
      </c>
      <c r="K617" s="101">
        <v>139</v>
      </c>
      <c r="L617" s="101">
        <v>215</v>
      </c>
      <c r="M617" s="101">
        <v>197</v>
      </c>
      <c r="N617" s="101">
        <v>39</v>
      </c>
      <c r="O617" s="101">
        <v>30</v>
      </c>
      <c r="P617" s="13">
        <f t="shared" ref="P617:Q617" si="1247">J617/H617</f>
        <v>0.17452830188679244</v>
      </c>
      <c r="Q617" s="13">
        <f t="shared" si="1247"/>
        <v>0.18582887700534759</v>
      </c>
      <c r="R617" s="13">
        <f t="shared" si="1035"/>
        <v>-1.1300575118555145E-2</v>
      </c>
      <c r="S617" s="13">
        <f t="shared" ref="S617:T617" si="1248">N617/L617</f>
        <v>0.18139534883720931</v>
      </c>
      <c r="T617" s="13">
        <f t="shared" si="1248"/>
        <v>0.15228426395939088</v>
      </c>
      <c r="U617" s="13">
        <f t="shared" si="1037"/>
        <v>2.9111084877818438E-2</v>
      </c>
      <c r="V617" s="13">
        <f t="shared" si="1038"/>
        <v>0.1336898395721926</v>
      </c>
      <c r="W617" s="13">
        <f t="shared" si="1039"/>
        <v>6.4748201438848962E-2</v>
      </c>
      <c r="X617" s="13">
        <f t="shared" si="1040"/>
        <v>9.137055837563457E-2</v>
      </c>
      <c r="Y617" s="13">
        <f t="shared" si="1041"/>
        <v>0.30000000000000004</v>
      </c>
    </row>
    <row r="618" spans="1:25" ht="14.4">
      <c r="A618" s="98" t="s">
        <v>897</v>
      </c>
      <c r="B618" s="99">
        <v>506655</v>
      </c>
      <c r="C618" s="98" t="s">
        <v>196</v>
      </c>
      <c r="D618" s="100" t="s">
        <v>898</v>
      </c>
      <c r="E618" s="11">
        <f ca="1">IFERROR(__xludf.DUMMYFUNCTION("GOOGLEFINANCE(""BOM:""&amp;B619,""PRICE"")"),757.85)</f>
        <v>757.85</v>
      </c>
      <c r="F618" s="20">
        <f ca="1">IFERROR(__xludf.DUMMYFUNCTION("GOOGLEFINANCE(""BOM:""&amp;B619,""MARKETCAP"")/10000000"),5950.923101)</f>
        <v>5950.9231010000003</v>
      </c>
      <c r="G618" s="95">
        <f t="shared" ca="1" si="1056"/>
        <v>1.4770729056670572E-4</v>
      </c>
      <c r="H618" s="101">
        <v>6997</v>
      </c>
      <c r="I618" s="101">
        <v>1996</v>
      </c>
      <c r="J618" s="101">
        <v>-42</v>
      </c>
      <c r="K618" s="101">
        <v>60</v>
      </c>
      <c r="L618" s="101">
        <v>2103</v>
      </c>
      <c r="M618" s="101">
        <v>666</v>
      </c>
      <c r="N618" s="101">
        <v>-116</v>
      </c>
      <c r="O618" s="101">
        <v>0.5</v>
      </c>
      <c r="P618" s="13">
        <f t="shared" ref="P618:Q618" si="1249">J618/H618</f>
        <v>-6.0025725310847503E-3</v>
      </c>
      <c r="Q618" s="13">
        <f t="shared" si="1249"/>
        <v>3.0060120240480961E-2</v>
      </c>
      <c r="R618" s="13">
        <f t="shared" si="1035"/>
        <v>-3.6062692771565708E-2</v>
      </c>
      <c r="S618" s="13">
        <f t="shared" ref="S618:T618" si="1250">N618/L618</f>
        <v>-5.515929624346172E-2</v>
      </c>
      <c r="T618" s="13">
        <f t="shared" si="1250"/>
        <v>7.5075075075075074E-4</v>
      </c>
      <c r="U618" s="13">
        <f t="shared" si="1037"/>
        <v>-5.5910046994212467E-2</v>
      </c>
      <c r="V618" s="13">
        <f t="shared" si="1038"/>
        <v>2.5055110220440882</v>
      </c>
      <c r="W618" s="13">
        <f t="shared" si="1039"/>
        <v>-1.7</v>
      </c>
      <c r="X618" s="13">
        <f t="shared" si="1040"/>
        <v>2.1576576576576576</v>
      </c>
      <c r="Y618" s="13">
        <f t="shared" si="1041"/>
        <v>-233</v>
      </c>
    </row>
    <row r="619" spans="1:25" ht="14.4">
      <c r="A619" s="98" t="s">
        <v>899</v>
      </c>
      <c r="B619" s="99">
        <v>524230</v>
      </c>
      <c r="C619" s="98" t="s">
        <v>196</v>
      </c>
      <c r="D619" s="100" t="s">
        <v>376</v>
      </c>
      <c r="E619" s="11">
        <f ca="1">IFERROR(__xludf.DUMMYFUNCTION("GOOGLEFINANCE(""BOM:""&amp;B620,""PRICE"")"),116.9)</f>
        <v>116.9</v>
      </c>
      <c r="F619" s="20">
        <f ca="1">IFERROR(__xludf.DUMMYFUNCTION("GOOGLEFINANCE(""BOM:""&amp;B620,""MARKETCAP"")/10000000"),6454.7496)</f>
        <v>6454.7496000000001</v>
      </c>
      <c r="G619" s="95">
        <f t="shared" ca="1" si="1056"/>
        <v>1.6021271969424622E-4</v>
      </c>
      <c r="H619" s="101">
        <v>12899</v>
      </c>
      <c r="I619" s="101">
        <v>13204</v>
      </c>
      <c r="J619" s="101">
        <v>241</v>
      </c>
      <c r="K619" s="101">
        <v>170</v>
      </c>
      <c r="L619" s="101">
        <v>4236</v>
      </c>
      <c r="M619" s="101">
        <v>4518</v>
      </c>
      <c r="N619" s="101">
        <v>81</v>
      </c>
      <c r="O619" s="101">
        <v>80</v>
      </c>
      <c r="P619" s="13">
        <f t="shared" ref="P619:Q619" si="1251">J619/H619</f>
        <v>1.8683618885184897E-2</v>
      </c>
      <c r="Q619" s="13">
        <f t="shared" si="1251"/>
        <v>1.2874886398061194E-2</v>
      </c>
      <c r="R619" s="13">
        <f t="shared" si="1035"/>
        <v>5.808732487123703E-3</v>
      </c>
      <c r="S619" s="13">
        <f t="shared" ref="S619:T619" si="1252">N619/L619</f>
        <v>1.9121813031161474E-2</v>
      </c>
      <c r="T619" s="13">
        <f t="shared" si="1252"/>
        <v>1.7706949977866312E-2</v>
      </c>
      <c r="U619" s="13">
        <f t="shared" si="1037"/>
        <v>1.4148630532951623E-3</v>
      </c>
      <c r="V619" s="13">
        <f t="shared" si="1038"/>
        <v>-2.3099060890639178E-2</v>
      </c>
      <c r="W619" s="13">
        <f t="shared" si="1039"/>
        <v>0.41764705882352948</v>
      </c>
      <c r="X619" s="13">
        <f t="shared" si="1040"/>
        <v>-6.2416998671978696E-2</v>
      </c>
      <c r="Y619" s="13">
        <f t="shared" si="1041"/>
        <v>1.2499999999999956E-2</v>
      </c>
    </row>
    <row r="620" spans="1:25" ht="14.4">
      <c r="A620" s="98" t="s">
        <v>900</v>
      </c>
      <c r="B620" s="99">
        <v>544009</v>
      </c>
      <c r="C620" s="98" t="s">
        <v>190</v>
      </c>
      <c r="D620" s="102" t="s">
        <v>100</v>
      </c>
      <c r="E620" s="11">
        <f ca="1">IFERROR(__xludf.DUMMYFUNCTION("GOOGLEFINANCE(""BOM:""&amp;B621,""PRICE"")"),362.9)</f>
        <v>362.9</v>
      </c>
      <c r="F620" s="20">
        <f ca="1">IFERROR(__xludf.DUMMYFUNCTION("GOOGLEFINANCE(""BOM:""&amp;B621,""MARKETCAP"")/10000000"),6280.3145952)</f>
        <v>6280.3145952000004</v>
      </c>
      <c r="G620" s="95">
        <f t="shared" ca="1" si="1056"/>
        <v>1.5588308519860492E-4</v>
      </c>
      <c r="H620" s="101">
        <v>712</v>
      </c>
      <c r="I620" s="101">
        <v>689</v>
      </c>
      <c r="J620" s="101">
        <v>183</v>
      </c>
      <c r="K620" s="101">
        <v>195</v>
      </c>
      <c r="L620" s="101">
        <v>192</v>
      </c>
      <c r="M620" s="101">
        <v>318</v>
      </c>
      <c r="N620" s="101">
        <v>40</v>
      </c>
      <c r="O620" s="101">
        <v>98</v>
      </c>
      <c r="P620" s="13">
        <f t="shared" ref="P620:Q620" si="1253">J620/H620</f>
        <v>0.25702247191011235</v>
      </c>
      <c r="Q620" s="13">
        <f t="shared" si="1253"/>
        <v>0.28301886792452829</v>
      </c>
      <c r="R620" s="13">
        <f t="shared" si="1035"/>
        <v>-2.5996396014415946E-2</v>
      </c>
      <c r="S620" s="13">
        <f t="shared" ref="S620:T620" si="1254">N620/L620</f>
        <v>0.20833333333333334</v>
      </c>
      <c r="T620" s="13">
        <f t="shared" si="1254"/>
        <v>0.3081761006289308</v>
      </c>
      <c r="U620" s="13">
        <f t="shared" si="1037"/>
        <v>-9.9842767295597462E-2</v>
      </c>
      <c r="V620" s="13">
        <f t="shared" si="1038"/>
        <v>3.3381712626995741E-2</v>
      </c>
      <c r="W620" s="13">
        <f t="shared" si="1039"/>
        <v>-6.1538461538461542E-2</v>
      </c>
      <c r="X620" s="13">
        <f t="shared" si="1040"/>
        <v>-0.39622641509433965</v>
      </c>
      <c r="Y620" s="13">
        <f t="shared" si="1041"/>
        <v>-0.59183673469387754</v>
      </c>
    </row>
    <row r="621" spans="1:25" ht="14.4">
      <c r="A621" s="98" t="s">
        <v>901</v>
      </c>
      <c r="B621" s="99">
        <v>543896</v>
      </c>
      <c r="C621" s="98" t="s">
        <v>180</v>
      </c>
      <c r="D621" s="101" t="s">
        <v>344</v>
      </c>
      <c r="E621" s="11">
        <f ca="1">IFERROR(__xludf.DUMMYFUNCTION("GOOGLEFINANCE(""BOM:""&amp;B622,""PRICE"")"),959.4)</f>
        <v>959.4</v>
      </c>
      <c r="F621" s="20">
        <f ca="1">IFERROR(__xludf.DUMMYFUNCTION("GOOGLEFINANCE(""BOM:""&amp;B622,""MARKETCAP"")/10000000"),6406.5468012)</f>
        <v>6406.5468012000001</v>
      </c>
      <c r="G621" s="95">
        <f t="shared" ca="1" si="1056"/>
        <v>1.5901628265622037E-4</v>
      </c>
      <c r="H621" s="101">
        <v>1123</v>
      </c>
      <c r="I621" s="101">
        <v>755</v>
      </c>
      <c r="J621" s="101">
        <v>71</v>
      </c>
      <c r="K621" s="101">
        <v>39</v>
      </c>
      <c r="L621" s="101">
        <v>417</v>
      </c>
      <c r="M621" s="101">
        <v>280</v>
      </c>
      <c r="N621" s="101">
        <v>32</v>
      </c>
      <c r="O621" s="101">
        <v>23</v>
      </c>
      <c r="P621" s="13">
        <f t="shared" ref="P621:Q621" si="1255">J621/H621</f>
        <v>6.3223508459483532E-2</v>
      </c>
      <c r="Q621" s="13">
        <f t="shared" si="1255"/>
        <v>5.1655629139072845E-2</v>
      </c>
      <c r="R621" s="13">
        <f t="shared" si="1035"/>
        <v>1.1567879320410687E-2</v>
      </c>
      <c r="S621" s="13">
        <f t="shared" ref="S621:T621" si="1256">N621/L621</f>
        <v>7.6738609112709827E-2</v>
      </c>
      <c r="T621" s="13">
        <f t="shared" si="1256"/>
        <v>8.2142857142857142E-2</v>
      </c>
      <c r="U621" s="13">
        <f t="shared" si="1037"/>
        <v>-5.4042480301473156E-3</v>
      </c>
      <c r="V621" s="13">
        <f t="shared" si="1038"/>
        <v>0.48741721854304632</v>
      </c>
      <c r="W621" s="13">
        <f t="shared" si="1039"/>
        <v>0.82051282051282048</v>
      </c>
      <c r="X621" s="13">
        <f t="shared" si="1040"/>
        <v>0.48928571428571432</v>
      </c>
      <c r="Y621" s="13">
        <f t="shared" si="1041"/>
        <v>0.39130434782608692</v>
      </c>
    </row>
    <row r="622" spans="1:25" ht="14.4">
      <c r="A622" s="98" t="s">
        <v>902</v>
      </c>
      <c r="B622" s="99">
        <v>543398</v>
      </c>
      <c r="C622" s="98" t="s">
        <v>174</v>
      </c>
      <c r="D622" s="70" t="s">
        <v>175</v>
      </c>
      <c r="E622" s="11">
        <f ca="1">IFERROR(__xludf.DUMMYFUNCTION("GOOGLEFINANCE(""BOM:""&amp;B623,""PRICE"")"),303.05)</f>
        <v>303.05</v>
      </c>
      <c r="F622" s="20">
        <f ca="1">IFERROR(__xludf.DUMMYFUNCTION("GOOGLEFINANCE(""BOM:""&amp;B623,""MARKETCAP"")/10000000"),6276.0319644)</f>
        <v>6276.0319644000001</v>
      </c>
      <c r="G622" s="95">
        <f t="shared" ca="1" si="1056"/>
        <v>1.5577678643096342E-4</v>
      </c>
      <c r="H622" s="101">
        <v>771</v>
      </c>
      <c r="I622" s="101">
        <v>615</v>
      </c>
      <c r="J622" s="101">
        <v>147</v>
      </c>
      <c r="K622" s="101">
        <v>122</v>
      </c>
      <c r="L622" s="101">
        <v>278</v>
      </c>
      <c r="M622" s="101">
        <v>227</v>
      </c>
      <c r="N622" s="101">
        <v>50</v>
      </c>
      <c r="O622" s="101">
        <v>42</v>
      </c>
      <c r="P622" s="13">
        <f t="shared" ref="P622:Q622" si="1257">J622/H622</f>
        <v>0.19066147859922178</v>
      </c>
      <c r="Q622" s="13">
        <f t="shared" si="1257"/>
        <v>0.19837398373983739</v>
      </c>
      <c r="R622" s="13">
        <f t="shared" si="1035"/>
        <v>-7.7125051406156109E-3</v>
      </c>
      <c r="S622" s="13">
        <f t="shared" ref="S622:T622" si="1258">N622/L622</f>
        <v>0.17985611510791366</v>
      </c>
      <c r="T622" s="13">
        <f t="shared" si="1258"/>
        <v>0.18502202643171806</v>
      </c>
      <c r="U622" s="13">
        <f t="shared" si="1037"/>
        <v>-5.1659113238043952E-3</v>
      </c>
      <c r="V622" s="13">
        <f t="shared" si="1038"/>
        <v>0.25365853658536586</v>
      </c>
      <c r="W622" s="13">
        <f t="shared" si="1039"/>
        <v>0.20491803278688514</v>
      </c>
      <c r="X622" s="13">
        <f t="shared" si="1040"/>
        <v>0.22466960352422904</v>
      </c>
      <c r="Y622" s="13">
        <f t="shared" si="1041"/>
        <v>0.19047619047619047</v>
      </c>
    </row>
    <row r="623" spans="1:25" ht="14.4">
      <c r="A623" s="98" t="s">
        <v>903</v>
      </c>
      <c r="B623" s="99">
        <v>543667</v>
      </c>
      <c r="C623" s="98" t="s">
        <v>198</v>
      </c>
      <c r="D623" s="101" t="s">
        <v>199</v>
      </c>
      <c r="E623" s="11">
        <f ca="1">IFERROR(__xludf.DUMMYFUNCTION("GOOGLEFINANCE(""BOM:""&amp;B624,""PRICE"")"),145.85)</f>
        <v>145.85</v>
      </c>
      <c r="F623" s="20">
        <f ca="1">IFERROR(__xludf.DUMMYFUNCTION("GOOGLEFINANCE(""BOM:""&amp;B624,""MARKETCAP"")/10000000"),5850.1402015)</f>
        <v>5850.1402015000003</v>
      </c>
      <c r="G623" s="95">
        <f t="shared" ca="1" si="1056"/>
        <v>1.4520576790073478E-4</v>
      </c>
      <c r="H623" s="101">
        <v>223</v>
      </c>
      <c r="I623" s="101">
        <v>167</v>
      </c>
      <c r="J623" s="101">
        <v>75</v>
      </c>
      <c r="K623" s="101">
        <v>15</v>
      </c>
      <c r="L623" s="101">
        <v>81</v>
      </c>
      <c r="M623" s="101">
        <v>61</v>
      </c>
      <c r="N623" s="101">
        <v>24</v>
      </c>
      <c r="O623" s="101">
        <v>5</v>
      </c>
      <c r="P623" s="13">
        <f t="shared" ref="P623:Q623" si="1259">J623/H623</f>
        <v>0.33632286995515698</v>
      </c>
      <c r="Q623" s="13">
        <f t="shared" si="1259"/>
        <v>8.9820359281437126E-2</v>
      </c>
      <c r="R623" s="13">
        <f t="shared" si="1035"/>
        <v>0.24650251067371987</v>
      </c>
      <c r="S623" s="13">
        <f t="shared" ref="S623:T623" si="1260">N623/L623</f>
        <v>0.29629629629629628</v>
      </c>
      <c r="T623" s="13">
        <f t="shared" si="1260"/>
        <v>8.1967213114754092E-2</v>
      </c>
      <c r="U623" s="13">
        <f t="shared" si="1037"/>
        <v>0.2143290831815422</v>
      </c>
      <c r="V623" s="13">
        <f t="shared" si="1038"/>
        <v>0.33532934131736525</v>
      </c>
      <c r="W623" s="13">
        <f t="shared" si="1039"/>
        <v>4</v>
      </c>
      <c r="X623" s="13">
        <f t="shared" si="1040"/>
        <v>0.32786885245901631</v>
      </c>
      <c r="Y623" s="13">
        <f t="shared" si="1041"/>
        <v>3.8</v>
      </c>
    </row>
    <row r="624" spans="1:25" ht="14.4">
      <c r="A624" s="98" t="s">
        <v>904</v>
      </c>
      <c r="B624" s="99">
        <v>543950</v>
      </c>
      <c r="C624" s="98" t="s">
        <v>190</v>
      </c>
      <c r="D624" s="100" t="s">
        <v>113</v>
      </c>
      <c r="E624" s="11">
        <f ca="1">IFERROR(__xludf.DUMMYFUNCTION("GOOGLEFINANCE(""BOM:""&amp;B625,""PRICE"")"),674.9)</f>
        <v>674.9</v>
      </c>
      <c r="F624" s="20">
        <f ca="1">IFERROR(__xludf.DUMMYFUNCTION("GOOGLEFINANCE(""BOM:""&amp;B625,""MARKETCAP"")/10000000"),6480.7586504)</f>
        <v>6480.7586504000001</v>
      </c>
      <c r="G624" s="95">
        <f t="shared" ca="1" si="1056"/>
        <v>1.6085828783545631E-4</v>
      </c>
      <c r="H624" s="101">
        <v>857</v>
      </c>
      <c r="I624" s="101">
        <v>648</v>
      </c>
      <c r="J624" s="101">
        <v>126</v>
      </c>
      <c r="K624" s="101">
        <v>91</v>
      </c>
      <c r="L624" s="101">
        <v>320</v>
      </c>
      <c r="M624" s="101">
        <v>219</v>
      </c>
      <c r="N624" s="101">
        <v>43</v>
      </c>
      <c r="O624" s="101">
        <v>30</v>
      </c>
      <c r="P624" s="13">
        <f t="shared" ref="P624:Q624" si="1261">J624/H624</f>
        <v>0.14702450408401399</v>
      </c>
      <c r="Q624" s="13">
        <f t="shared" si="1261"/>
        <v>0.14043209876543211</v>
      </c>
      <c r="R624" s="13">
        <f t="shared" si="1035"/>
        <v>6.5924053185818787E-3</v>
      </c>
      <c r="S624" s="13">
        <f t="shared" ref="S624:T624" si="1262">N624/L624</f>
        <v>0.13437499999999999</v>
      </c>
      <c r="T624" s="13">
        <f t="shared" si="1262"/>
        <v>0.13698630136986301</v>
      </c>
      <c r="U624" s="13">
        <f t="shared" si="1037"/>
        <v>-2.6113013698630116E-3</v>
      </c>
      <c r="V624" s="13">
        <f t="shared" si="1038"/>
        <v>0.32253086419753085</v>
      </c>
      <c r="W624" s="13">
        <f t="shared" si="1039"/>
        <v>0.38461538461538458</v>
      </c>
      <c r="X624" s="13">
        <f t="shared" si="1040"/>
        <v>0.46118721461187207</v>
      </c>
      <c r="Y624" s="13">
        <f t="shared" si="1041"/>
        <v>0.43333333333333335</v>
      </c>
    </row>
    <row r="625" spans="1:25" ht="14.4">
      <c r="A625" s="98" t="s">
        <v>905</v>
      </c>
      <c r="B625" s="99">
        <v>544008</v>
      </c>
      <c r="C625" s="98" t="s">
        <v>187</v>
      </c>
      <c r="D625" s="108" t="s">
        <v>131</v>
      </c>
      <c r="E625" s="11">
        <f ca="1">IFERROR(__xludf.DUMMYFUNCTION("GOOGLEFINANCE(""BOM:""&amp;B626,""PRICE"")"),356.05)</f>
        <v>356.05</v>
      </c>
      <c r="F625" s="20">
        <f ca="1">IFERROR(__xludf.DUMMYFUNCTION("GOOGLEFINANCE(""BOM:""&amp;B626,""MARKETCAP"")/10000000"),5818.83068)</f>
        <v>5818.83068</v>
      </c>
      <c r="G625" s="95">
        <f t="shared" ca="1" si="1056"/>
        <v>1.4442863727558386E-4</v>
      </c>
      <c r="H625" s="101">
        <v>150</v>
      </c>
      <c r="I625" s="101">
        <v>120</v>
      </c>
      <c r="J625" s="101">
        <v>19</v>
      </c>
      <c r="K625" s="101">
        <v>12</v>
      </c>
      <c r="L625" s="101">
        <v>49</v>
      </c>
      <c r="M625" s="101">
        <v>40</v>
      </c>
      <c r="N625" s="101">
        <v>3</v>
      </c>
      <c r="O625" s="101">
        <v>15</v>
      </c>
      <c r="P625" s="13">
        <f t="shared" ref="P625:Q625" si="1263">J625/H625</f>
        <v>0.12666666666666668</v>
      </c>
      <c r="Q625" s="13">
        <f t="shared" si="1263"/>
        <v>0.1</v>
      </c>
      <c r="R625" s="13">
        <f t="shared" si="1035"/>
        <v>2.6666666666666672E-2</v>
      </c>
      <c r="S625" s="13">
        <f t="shared" ref="S625:T625" si="1264">N625/L625</f>
        <v>6.1224489795918366E-2</v>
      </c>
      <c r="T625" s="13">
        <f t="shared" si="1264"/>
        <v>0.375</v>
      </c>
      <c r="U625" s="13">
        <f t="shared" si="1037"/>
        <v>-0.31377551020408162</v>
      </c>
      <c r="V625" s="13">
        <f t="shared" si="1038"/>
        <v>0.25</v>
      </c>
      <c r="W625" s="13">
        <f t="shared" si="1039"/>
        <v>0.58333333333333326</v>
      </c>
      <c r="X625" s="13">
        <f t="shared" si="1040"/>
        <v>0.22500000000000009</v>
      </c>
      <c r="Y625" s="13">
        <f t="shared" si="1041"/>
        <v>-0.8</v>
      </c>
    </row>
    <row r="626" spans="1:25" ht="14.4">
      <c r="A626" s="98" t="s">
        <v>906</v>
      </c>
      <c r="B626" s="99">
        <v>500690</v>
      </c>
      <c r="C626" s="98" t="s">
        <v>196</v>
      </c>
      <c r="D626" s="70" t="s">
        <v>376</v>
      </c>
      <c r="E626" s="11">
        <f ca="1">IFERROR(__xludf.DUMMYFUNCTION("GOOGLEFINANCE(""BOM:""&amp;B627,""PRICE"")"),152.15)</f>
        <v>152.15</v>
      </c>
      <c r="F626" s="20">
        <f ca="1">IFERROR(__xludf.DUMMYFUNCTION("GOOGLEFINANCE(""BOM:""&amp;B627,""MARKETCAP"")/10000000"),6062.4366606)</f>
        <v>6062.4366606000003</v>
      </c>
      <c r="G626" s="95">
        <f t="shared" ca="1" si="1056"/>
        <v>1.5047515791609173E-4</v>
      </c>
      <c r="H626" s="101">
        <v>8313</v>
      </c>
      <c r="I626" s="101">
        <v>7612</v>
      </c>
      <c r="J626" s="101">
        <v>621</v>
      </c>
      <c r="K626" s="101">
        <v>519</v>
      </c>
      <c r="L626" s="101">
        <v>2941</v>
      </c>
      <c r="M626" s="101">
        <v>2841</v>
      </c>
      <c r="N626" s="101">
        <v>158</v>
      </c>
      <c r="O626" s="101">
        <v>134</v>
      </c>
      <c r="P626" s="13">
        <f t="shared" ref="P626:Q626" si="1265">J626/H626</f>
        <v>7.4702273547455789E-2</v>
      </c>
      <c r="Q626" s="13">
        <f t="shared" si="1265"/>
        <v>6.8181818181818177E-2</v>
      </c>
      <c r="R626" s="13">
        <f t="shared" si="1035"/>
        <v>6.5204553656376119E-3</v>
      </c>
      <c r="S626" s="13">
        <f t="shared" ref="S626:T626" si="1266">N626/L626</f>
        <v>5.3723223393403602E-2</v>
      </c>
      <c r="T626" s="13">
        <f t="shared" si="1266"/>
        <v>4.7166490672298486E-2</v>
      </c>
      <c r="U626" s="13">
        <f t="shared" si="1037"/>
        <v>6.5567327211051157E-3</v>
      </c>
      <c r="V626" s="13">
        <f t="shared" si="1038"/>
        <v>9.2091434576983655E-2</v>
      </c>
      <c r="W626" s="13">
        <f t="shared" si="1039"/>
        <v>0.19653179190751446</v>
      </c>
      <c r="X626" s="13">
        <f t="shared" si="1040"/>
        <v>3.5198873636043571E-2</v>
      </c>
      <c r="Y626" s="13">
        <f t="shared" si="1041"/>
        <v>0.17910447761194037</v>
      </c>
    </row>
    <row r="627" spans="1:25" ht="14.4">
      <c r="A627" s="98" t="s">
        <v>907</v>
      </c>
      <c r="B627" s="99">
        <v>500670</v>
      </c>
      <c r="C627" s="98" t="s">
        <v>196</v>
      </c>
      <c r="D627" s="102" t="s">
        <v>346</v>
      </c>
      <c r="E627" s="11">
        <f ca="1">IFERROR(__xludf.DUMMYFUNCTION("GOOGLEFINANCE(""BOM:""&amp;B628,""PRICE"")"),402.15)</f>
        <v>402.15</v>
      </c>
      <c r="F627" s="20">
        <f ca="1">IFERROR(__xludf.DUMMYFUNCTION("GOOGLEFINANCE(""BOM:""&amp;B628,""MARKETCAP"")/10000000"),5908.4816156)</f>
        <v>5908.4816155999997</v>
      </c>
      <c r="G627" s="95">
        <f t="shared" ca="1" si="1056"/>
        <v>1.4665385453507441E-4</v>
      </c>
      <c r="H627" s="101">
        <v>1996</v>
      </c>
      <c r="I627" s="101">
        <v>1899</v>
      </c>
      <c r="J627" s="101">
        <v>150</v>
      </c>
      <c r="K627" s="101">
        <v>163</v>
      </c>
      <c r="L627" s="101">
        <v>1996</v>
      </c>
      <c r="M627" s="101">
        <v>1899</v>
      </c>
      <c r="N627" s="101">
        <v>150</v>
      </c>
      <c r="O627" s="101">
        <v>158</v>
      </c>
      <c r="P627" s="13">
        <f t="shared" ref="P627:Q627" si="1267">J627/H627</f>
        <v>7.5150300601202411E-2</v>
      </c>
      <c r="Q627" s="13">
        <f t="shared" si="1267"/>
        <v>8.5834649815692471E-2</v>
      </c>
      <c r="R627" s="13">
        <f t="shared" si="1035"/>
        <v>-1.068434921449006E-2</v>
      </c>
      <c r="S627" s="13">
        <f t="shared" ref="S627:T627" si="1268">N627/L627</f>
        <v>7.5150300601202411E-2</v>
      </c>
      <c r="T627" s="13">
        <f t="shared" si="1268"/>
        <v>8.3201685097419695E-2</v>
      </c>
      <c r="U627" s="13">
        <f t="shared" si="1037"/>
        <v>-8.0513844962172842E-3</v>
      </c>
      <c r="V627" s="13">
        <f t="shared" si="1038"/>
        <v>5.1079515534491859E-2</v>
      </c>
      <c r="W627" s="13">
        <f t="shared" si="1039"/>
        <v>-7.9754601226993849E-2</v>
      </c>
      <c r="X627" s="13">
        <f t="shared" si="1040"/>
        <v>5.1079515534491859E-2</v>
      </c>
      <c r="Y627" s="13">
        <f t="shared" si="1041"/>
        <v>-5.0632911392405111E-2</v>
      </c>
    </row>
    <row r="628" spans="1:25" ht="14.4">
      <c r="A628" s="98" t="s">
        <v>908</v>
      </c>
      <c r="B628" s="99">
        <v>542867</v>
      </c>
      <c r="C628" s="98" t="s">
        <v>172</v>
      </c>
      <c r="D628" s="70" t="s">
        <v>72</v>
      </c>
      <c r="E628" s="11">
        <f ca="1">IFERROR(__xludf.DUMMYFUNCTION("GOOGLEFINANCE(""BOM:""&amp;B629,""PRICE"")"),371.55)</f>
        <v>371.55</v>
      </c>
      <c r="F628" s="20">
        <f ca="1">IFERROR(__xludf.DUMMYFUNCTION("GOOGLEFINANCE(""BOM:""&amp;B629,""MARKETCAP"")/10000000"),6288.3954707)</f>
        <v>6288.3954707000003</v>
      </c>
      <c r="G628" s="95">
        <f t="shared" ca="1" si="1056"/>
        <v>1.5608365983303622E-4</v>
      </c>
      <c r="H628" s="101">
        <v>4174</v>
      </c>
      <c r="I628" s="101">
        <v>3206</v>
      </c>
      <c r="J628" s="101">
        <v>431</v>
      </c>
      <c r="K628" s="101">
        <v>403</v>
      </c>
      <c r="L628" s="101">
        <v>1430</v>
      </c>
      <c r="M628" s="101">
        <v>1138</v>
      </c>
      <c r="N628" s="101">
        <v>152</v>
      </c>
      <c r="O628" s="101">
        <v>151</v>
      </c>
      <c r="P628" s="13">
        <f t="shared" ref="P628:Q628" si="1269">J628/H628</f>
        <v>0.10325826545280306</v>
      </c>
      <c r="Q628" s="13">
        <f t="shared" si="1269"/>
        <v>0.12570180910792264</v>
      </c>
      <c r="R628" s="13">
        <f t="shared" si="1035"/>
        <v>-2.244354365511958E-2</v>
      </c>
      <c r="S628" s="13">
        <f t="shared" ref="S628:T628" si="1270">N628/L628</f>
        <v>0.1062937062937063</v>
      </c>
      <c r="T628" s="13">
        <f t="shared" si="1270"/>
        <v>0.13268892794376097</v>
      </c>
      <c r="U628" s="13">
        <f t="shared" si="1037"/>
        <v>-2.6395221650054673E-2</v>
      </c>
      <c r="V628" s="13">
        <f t="shared" si="1038"/>
        <v>0.3019338739862758</v>
      </c>
      <c r="W628" s="13">
        <f t="shared" si="1039"/>
        <v>6.9478908188585597E-2</v>
      </c>
      <c r="X628" s="13">
        <f t="shared" si="1040"/>
        <v>0.25659050966608077</v>
      </c>
      <c r="Y628" s="13">
        <f t="shared" si="1041"/>
        <v>6.6225165562914245E-3</v>
      </c>
    </row>
    <row r="629" spans="1:25" ht="14.4">
      <c r="A629" s="98" t="s">
        <v>909</v>
      </c>
      <c r="B629" s="99">
        <v>541195</v>
      </c>
      <c r="C629" s="98" t="s">
        <v>180</v>
      </c>
      <c r="D629" s="102" t="s">
        <v>204</v>
      </c>
      <c r="E629" s="11">
        <f ca="1">IFERROR(__xludf.DUMMYFUNCTION("GOOGLEFINANCE(""BOM:""&amp;B630,""PRICE"")"),305.25)</f>
        <v>305.25</v>
      </c>
      <c r="F629" s="20">
        <f ca="1">IFERROR(__xludf.DUMMYFUNCTION("GOOGLEFINANCE(""BOM:""&amp;B630,""MARKETCAP"")/10000000"),5723.237)</f>
        <v>5723.2370000000001</v>
      </c>
      <c r="G629" s="95">
        <f t="shared" ca="1" si="1056"/>
        <v>1.420559157282784E-4</v>
      </c>
      <c r="H629" s="101">
        <v>655</v>
      </c>
      <c r="I629" s="101">
        <v>663</v>
      </c>
      <c r="J629" s="101">
        <v>53</v>
      </c>
      <c r="K629" s="101">
        <v>53</v>
      </c>
      <c r="L629" s="101">
        <v>275</v>
      </c>
      <c r="M629" s="101">
        <v>237</v>
      </c>
      <c r="N629" s="101">
        <v>27</v>
      </c>
      <c r="O629" s="101">
        <v>25</v>
      </c>
      <c r="P629" s="13">
        <f t="shared" ref="P629:Q629" si="1271">J629/H629</f>
        <v>8.0916030534351147E-2</v>
      </c>
      <c r="Q629" s="13">
        <f t="shared" si="1271"/>
        <v>7.9939668174962286E-2</v>
      </c>
      <c r="R629" s="13">
        <f t="shared" si="1035"/>
        <v>9.763623593888604E-4</v>
      </c>
      <c r="S629" s="13">
        <f t="shared" ref="S629:T629" si="1272">N629/L629</f>
        <v>9.8181818181818176E-2</v>
      </c>
      <c r="T629" s="13">
        <f t="shared" si="1272"/>
        <v>0.10548523206751055</v>
      </c>
      <c r="U629" s="13">
        <f t="shared" si="1037"/>
        <v>-7.3034138856923753E-3</v>
      </c>
      <c r="V629" s="13">
        <f t="shared" si="1038"/>
        <v>-1.2066365007541435E-2</v>
      </c>
      <c r="W629" s="13">
        <f t="shared" si="1039"/>
        <v>0</v>
      </c>
      <c r="X629" s="13">
        <f t="shared" si="1040"/>
        <v>0.16033755274261607</v>
      </c>
      <c r="Y629" s="13">
        <f t="shared" si="1041"/>
        <v>8.0000000000000071E-2</v>
      </c>
    </row>
    <row r="630" spans="1:25" ht="14.4">
      <c r="A630" s="98" t="s">
        <v>910</v>
      </c>
      <c r="B630" s="99">
        <v>532553</v>
      </c>
      <c r="C630" s="98" t="s">
        <v>180</v>
      </c>
      <c r="D630" s="108" t="s">
        <v>181</v>
      </c>
      <c r="E630" s="11">
        <f ca="1">IFERROR(__xludf.DUMMYFUNCTION("GOOGLEFINANCE(""BOM:""&amp;B631,""PRICE"")"),440.75)</f>
        <v>440.75</v>
      </c>
      <c r="F630" s="20">
        <f ca="1">IFERROR(__xludf.DUMMYFUNCTION("GOOGLEFINANCE(""BOM:""&amp;B631,""MARKETCAP"")/10000000"),6029.384333)</f>
        <v>6029.384333</v>
      </c>
      <c r="G630" s="95">
        <f t="shared" ca="1" si="1056"/>
        <v>1.4965476926816939E-4</v>
      </c>
      <c r="H630" s="101">
        <v>2416</v>
      </c>
      <c r="I630" s="101">
        <v>2641</v>
      </c>
      <c r="J630" s="101">
        <v>230</v>
      </c>
      <c r="K630" s="101">
        <v>248</v>
      </c>
      <c r="L630" s="101">
        <v>789</v>
      </c>
      <c r="M630" s="101">
        <v>896</v>
      </c>
      <c r="N630" s="101">
        <v>31</v>
      </c>
      <c r="O630" s="101">
        <v>77</v>
      </c>
      <c r="P630" s="13">
        <f t="shared" ref="P630:Q630" si="1273">J630/H630</f>
        <v>9.5198675496688742E-2</v>
      </c>
      <c r="Q630" s="13">
        <f t="shared" si="1273"/>
        <v>9.3903824308973871E-2</v>
      </c>
      <c r="R630" s="13">
        <f t="shared" si="1035"/>
        <v>1.2948511877148711E-3</v>
      </c>
      <c r="S630" s="13">
        <f t="shared" ref="S630:T630" si="1274">N630/L630</f>
        <v>3.9290240811153357E-2</v>
      </c>
      <c r="T630" s="13">
        <f t="shared" si="1274"/>
        <v>8.59375E-2</v>
      </c>
      <c r="U630" s="13">
        <f t="shared" si="1037"/>
        <v>-4.6647259188846643E-2</v>
      </c>
      <c r="V630" s="13">
        <f t="shared" si="1038"/>
        <v>-8.5195001893222266E-2</v>
      </c>
      <c r="W630" s="13">
        <f t="shared" si="1039"/>
        <v>-7.2580645161290369E-2</v>
      </c>
      <c r="X630" s="13">
        <f t="shared" si="1040"/>
        <v>-0.1194196428571429</v>
      </c>
      <c r="Y630" s="13">
        <f t="shared" si="1041"/>
        <v>-0.59740259740259738</v>
      </c>
    </row>
    <row r="631" spans="1:25" ht="14.4">
      <c r="A631" s="98" t="s">
        <v>911</v>
      </c>
      <c r="B631" s="99">
        <v>524226</v>
      </c>
      <c r="C631" s="98" t="s">
        <v>183</v>
      </c>
      <c r="D631" s="100" t="s">
        <v>664</v>
      </c>
      <c r="E631" s="11">
        <f ca="1">IFERROR(__xludf.DUMMYFUNCTION("GOOGLEFINANCE(""BOM:""&amp;B632,""PRICE"")"),145.1)</f>
        <v>145.1</v>
      </c>
      <c r="F631" s="20">
        <f ca="1">IFERROR(__xludf.DUMMYFUNCTION("GOOGLEFINANCE(""BOM:""&amp;B632,""MARKETCAP"")/10000000"),6660.0569071)</f>
        <v>6660.0569071</v>
      </c>
      <c r="G631" s="95">
        <f t="shared" ca="1" si="1056"/>
        <v>1.6530863263928018E-4</v>
      </c>
      <c r="H631" s="101">
        <v>4262</v>
      </c>
      <c r="I631" s="101">
        <v>3346</v>
      </c>
      <c r="J631" s="101">
        <v>169</v>
      </c>
      <c r="K631" s="101">
        <v>217</v>
      </c>
      <c r="L631" s="101">
        <v>1481</v>
      </c>
      <c r="M631" s="101">
        <v>1131</v>
      </c>
      <c r="N631" s="101">
        <v>66</v>
      </c>
      <c r="O631" s="101">
        <v>71</v>
      </c>
      <c r="P631" s="13">
        <f t="shared" ref="P631:Q631" si="1275">J631/H631</f>
        <v>3.9652745190051616E-2</v>
      </c>
      <c r="Q631" s="13">
        <f t="shared" si="1275"/>
        <v>6.4853556485355651E-2</v>
      </c>
      <c r="R631" s="13">
        <f t="shared" si="1035"/>
        <v>-2.5200811295304035E-2</v>
      </c>
      <c r="S631" s="13">
        <f t="shared" ref="S631:T631" si="1276">N631/L631</f>
        <v>4.4564483457123563E-2</v>
      </c>
      <c r="T631" s="13">
        <f t="shared" si="1276"/>
        <v>6.2776304155614499E-2</v>
      </c>
      <c r="U631" s="13">
        <f t="shared" si="1037"/>
        <v>-1.8211820698490935E-2</v>
      </c>
      <c r="V631" s="13">
        <f t="shared" si="1038"/>
        <v>0.27375971309025693</v>
      </c>
      <c r="W631" s="13">
        <f t="shared" si="1039"/>
        <v>-0.22119815668202769</v>
      </c>
      <c r="X631" s="13">
        <f t="shared" si="1040"/>
        <v>0.30946065428824054</v>
      </c>
      <c r="Y631" s="13">
        <f t="shared" si="1041"/>
        <v>-7.0422535211267623E-2</v>
      </c>
    </row>
    <row r="632" spans="1:25" ht="14.4">
      <c r="A632" s="98" t="s">
        <v>912</v>
      </c>
      <c r="B632" s="99">
        <v>543748</v>
      </c>
      <c r="C632" s="98" t="s">
        <v>190</v>
      </c>
      <c r="D632" s="101" t="s">
        <v>100</v>
      </c>
      <c r="E632" s="11">
        <f ca="1">IFERROR(__xludf.DUMMYFUNCTION("GOOGLEFINANCE(""BOM:""&amp;B633,""PRICE"")"),648.7)</f>
        <v>648.70000000000005</v>
      </c>
      <c r="F632" s="20">
        <f ca="1">IFERROR(__xludf.DUMMYFUNCTION("GOOGLEFINANCE(""BOM:""&amp;B633,""MARKETCAP"")/10000000"),5880.0614436)</f>
        <v>5880.0614435999996</v>
      </c>
      <c r="G632" s="95">
        <f t="shared" ca="1" si="1056"/>
        <v>1.4594844017627446E-4</v>
      </c>
      <c r="H632" s="101">
        <v>1236</v>
      </c>
      <c r="I632" s="101">
        <v>1551</v>
      </c>
      <c r="J632" s="101">
        <v>125</v>
      </c>
      <c r="K632" s="101">
        <v>184</v>
      </c>
      <c r="L632" s="101">
        <v>432</v>
      </c>
      <c r="M632" s="101">
        <v>537</v>
      </c>
      <c r="N632" s="101">
        <v>47</v>
      </c>
      <c r="O632" s="101">
        <v>73</v>
      </c>
      <c r="P632" s="13">
        <f t="shared" ref="P632:Q632" si="1277">J632/H632</f>
        <v>0.1011326860841424</v>
      </c>
      <c r="Q632" s="13">
        <f t="shared" si="1277"/>
        <v>0.11863313990973566</v>
      </c>
      <c r="R632" s="13">
        <f t="shared" si="1035"/>
        <v>-1.750045382559326E-2</v>
      </c>
      <c r="S632" s="13">
        <f t="shared" ref="S632:T632" si="1278">N632/L632</f>
        <v>0.10879629629629629</v>
      </c>
      <c r="T632" s="13">
        <f t="shared" si="1278"/>
        <v>0.13594040968342644</v>
      </c>
      <c r="U632" s="13">
        <f t="shared" si="1037"/>
        <v>-2.7144113387130145E-2</v>
      </c>
      <c r="V632" s="13">
        <f t="shared" si="1038"/>
        <v>-0.20309477756286265</v>
      </c>
      <c r="W632" s="13">
        <f t="shared" si="1039"/>
        <v>-0.32065217391304346</v>
      </c>
      <c r="X632" s="13">
        <f t="shared" si="1040"/>
        <v>-0.1955307262569832</v>
      </c>
      <c r="Y632" s="13">
        <f t="shared" si="1041"/>
        <v>-0.35616438356164382</v>
      </c>
    </row>
    <row r="633" spans="1:25" ht="14.4">
      <c r="A633" s="98" t="s">
        <v>913</v>
      </c>
      <c r="B633" s="99">
        <v>533033</v>
      </c>
      <c r="C633" s="98" t="s">
        <v>180</v>
      </c>
      <c r="D633" s="109" t="s">
        <v>181</v>
      </c>
      <c r="E633" s="11">
        <f ca="1">IFERROR(__xludf.DUMMYFUNCTION("GOOGLEFINANCE(""BOM:""&amp;B634,""PRICE"")"),913.95)</f>
        <v>913.95</v>
      </c>
      <c r="F633" s="20">
        <f ca="1">IFERROR(__xludf.DUMMYFUNCTION("GOOGLEFINANCE(""BOM:""&amp;B634,""MARKETCAP"")/10000000"),6727.94925)</f>
        <v>6727.9492499999997</v>
      </c>
      <c r="G633" s="95">
        <f t="shared" ca="1" si="1056"/>
        <v>1.6699378195977795E-4</v>
      </c>
      <c r="H633" s="101">
        <v>4770</v>
      </c>
      <c r="I633" s="101">
        <v>4677</v>
      </c>
      <c r="J633" s="101">
        <v>199</v>
      </c>
      <c r="K633" s="101">
        <v>185</v>
      </c>
      <c r="L633" s="101">
        <v>1738</v>
      </c>
      <c r="M633" s="101">
        <v>1495</v>
      </c>
      <c r="N633" s="101">
        <v>112</v>
      </c>
      <c r="O633" s="101">
        <v>58</v>
      </c>
      <c r="P633" s="13">
        <f t="shared" ref="P633:Q633" si="1279">J633/H633</f>
        <v>4.1719077568134172E-2</v>
      </c>
      <c r="Q633" s="13">
        <f t="shared" si="1279"/>
        <v>3.955527047252512E-2</v>
      </c>
      <c r="R633" s="13">
        <f t="shared" si="1035"/>
        <v>2.1638070956090522E-3</v>
      </c>
      <c r="S633" s="13">
        <f t="shared" ref="S633:T633" si="1280">N633/L633</f>
        <v>6.4441887226697359E-2</v>
      </c>
      <c r="T633" s="13">
        <f t="shared" si="1280"/>
        <v>3.8795986622073578E-2</v>
      </c>
      <c r="U633" s="13">
        <f t="shared" si="1037"/>
        <v>2.5645900604623781E-2</v>
      </c>
      <c r="V633" s="13">
        <f t="shared" si="1038"/>
        <v>1.9884541372674702E-2</v>
      </c>
      <c r="W633" s="13">
        <f t="shared" si="1039"/>
        <v>7.5675675675675569E-2</v>
      </c>
      <c r="X633" s="13">
        <f t="shared" si="1040"/>
        <v>0.16254180602006696</v>
      </c>
      <c r="Y633" s="13">
        <f t="shared" si="1041"/>
        <v>0.93103448275862077</v>
      </c>
    </row>
    <row r="634" spans="1:25" ht="14.4">
      <c r="A634" s="98" t="s">
        <v>914</v>
      </c>
      <c r="B634" s="99">
        <v>544367</v>
      </c>
      <c r="C634" s="98" t="s">
        <v>180</v>
      </c>
      <c r="D634" s="102" t="s">
        <v>275</v>
      </c>
      <c r="E634" s="11">
        <f ca="1">IFERROR(__xludf.DUMMYFUNCTION("GOOGLEFINANCE(""BOM:""&amp;B635,""PRICE"")"),882.9)</f>
        <v>882.9</v>
      </c>
      <c r="F634" s="20">
        <f ca="1">IFERROR(__xludf.DUMMYFUNCTION("GOOGLEFINANCE(""BOM:""&amp;B635,""MARKETCAP"")/10000000"),6830.182494)</f>
        <v>6830.1824939999997</v>
      </c>
      <c r="G634" s="95">
        <f t="shared" ca="1" si="1056"/>
        <v>1.695313034872444E-4</v>
      </c>
      <c r="H634" s="101">
        <v>666</v>
      </c>
      <c r="I634" s="101">
        <v>228</v>
      </c>
      <c r="J634" s="101">
        <v>134</v>
      </c>
      <c r="K634" s="101">
        <v>69</v>
      </c>
      <c r="L634" s="101">
        <v>283</v>
      </c>
      <c r="M634" s="101">
        <v>72</v>
      </c>
      <c r="N634" s="101">
        <v>62</v>
      </c>
      <c r="O634" s="101">
        <v>19</v>
      </c>
      <c r="P634" s="13">
        <f t="shared" ref="P634:Q634" si="1281">J634/H634</f>
        <v>0.20120120120120119</v>
      </c>
      <c r="Q634" s="13">
        <f t="shared" si="1281"/>
        <v>0.30263157894736842</v>
      </c>
      <c r="R634" s="13">
        <f t="shared" si="1035"/>
        <v>-0.10143037774616723</v>
      </c>
      <c r="S634" s="13">
        <f t="shared" ref="S634:T634" si="1282">N634/L634</f>
        <v>0.21908127208480566</v>
      </c>
      <c r="T634" s="13">
        <f t="shared" si="1282"/>
        <v>0.2638888888888889</v>
      </c>
      <c r="U634" s="13">
        <f t="shared" si="1037"/>
        <v>-4.4807616804083239E-2</v>
      </c>
      <c r="V634" s="13">
        <f t="shared" si="1038"/>
        <v>1.9210526315789473</v>
      </c>
      <c r="W634" s="13">
        <f t="shared" si="1039"/>
        <v>0.94202898550724634</v>
      </c>
      <c r="X634" s="13">
        <f t="shared" si="1040"/>
        <v>2.9305555555555554</v>
      </c>
      <c r="Y634" s="13">
        <f t="shared" si="1041"/>
        <v>2.263157894736842</v>
      </c>
    </row>
    <row r="635" spans="1:25" ht="14.4">
      <c r="A635" s="98" t="s">
        <v>915</v>
      </c>
      <c r="B635" s="99">
        <v>543957</v>
      </c>
      <c r="C635" s="98" t="s">
        <v>187</v>
      </c>
      <c r="D635" s="101" t="s">
        <v>506</v>
      </c>
      <c r="E635" s="11">
        <f ca="1">IFERROR(__xludf.DUMMYFUNCTION("GOOGLEFINANCE(""BOM:""&amp;B636,""PRICE"")"),115)</f>
        <v>115</v>
      </c>
      <c r="F635" s="20">
        <f ca="1">IFERROR(__xludf.DUMMYFUNCTION("GOOGLEFINANCE(""BOM:""&amp;B636,""MARKETCAP"")/10000000"),6357.8403256)</f>
        <v>6357.8403256000001</v>
      </c>
      <c r="G635" s="95">
        <f t="shared" ca="1" si="1056"/>
        <v>1.5780734390473148E-4</v>
      </c>
      <c r="H635" s="101">
        <v>1743</v>
      </c>
      <c r="I635" s="101">
        <v>1514</v>
      </c>
      <c r="J635" s="101">
        <v>170</v>
      </c>
      <c r="K635" s="101">
        <v>128</v>
      </c>
      <c r="L635" s="101">
        <v>786</v>
      </c>
      <c r="M635" s="101">
        <v>661</v>
      </c>
      <c r="N635" s="101">
        <v>104</v>
      </c>
      <c r="O635" s="101">
        <v>73</v>
      </c>
      <c r="P635" s="13">
        <f t="shared" ref="P635:Q635" si="1283">J635/H635</f>
        <v>9.7532989099254161E-2</v>
      </c>
      <c r="Q635" s="13">
        <f t="shared" si="1283"/>
        <v>8.4544253632760899E-2</v>
      </c>
      <c r="R635" s="13">
        <f t="shared" si="1035"/>
        <v>1.2988735466493262E-2</v>
      </c>
      <c r="S635" s="13">
        <f t="shared" ref="S635:T635" si="1284">N635/L635</f>
        <v>0.13231552162849872</v>
      </c>
      <c r="T635" s="13">
        <f t="shared" si="1284"/>
        <v>0.11043872919818457</v>
      </c>
      <c r="U635" s="13">
        <f t="shared" si="1037"/>
        <v>2.1876792430314151E-2</v>
      </c>
      <c r="V635" s="13">
        <f t="shared" si="1038"/>
        <v>0.15125495376486131</v>
      </c>
      <c r="W635" s="13">
        <f t="shared" si="1039"/>
        <v>0.328125</v>
      </c>
      <c r="X635" s="13">
        <f t="shared" si="1040"/>
        <v>0.18910741301059009</v>
      </c>
      <c r="Y635" s="13">
        <f t="shared" si="1041"/>
        <v>0.42465753424657526</v>
      </c>
    </row>
    <row r="636" spans="1:25" ht="14.4">
      <c r="A636" s="104" t="s">
        <v>916</v>
      </c>
      <c r="B636" s="99">
        <v>543397</v>
      </c>
      <c r="C636" s="98" t="s">
        <v>187</v>
      </c>
      <c r="D636" s="101" t="s">
        <v>124</v>
      </c>
      <c r="E636" s="11">
        <f ca="1">IFERROR(__xludf.DUMMYFUNCTION("GOOGLEFINANCE(""BOM:""&amp;B637,""PRICE"")"),157.15)</f>
        <v>157.15</v>
      </c>
      <c r="F636" s="20">
        <f ca="1">IFERROR(__xludf.DUMMYFUNCTION("GOOGLEFINANCE(""BOM:""&amp;B637,""MARKETCAP"")/10000000"),5046.7937437)</f>
        <v>5046.7937437000001</v>
      </c>
      <c r="G636" s="95">
        <f t="shared" ca="1" si="1056"/>
        <v>1.2526598265160952E-4</v>
      </c>
      <c r="H636" s="101">
        <v>2333</v>
      </c>
      <c r="I636" s="101">
        <v>2170</v>
      </c>
      <c r="J636" s="101">
        <v>-19</v>
      </c>
      <c r="K636" s="101">
        <v>14</v>
      </c>
      <c r="L636" s="101">
        <v>813</v>
      </c>
      <c r="M636" s="101">
        <v>756</v>
      </c>
      <c r="N636" s="101">
        <v>-4</v>
      </c>
      <c r="O636" s="101">
        <v>12</v>
      </c>
      <c r="P636" s="13">
        <f t="shared" ref="P636:Q636" si="1285">J636/H636</f>
        <v>-8.144020574367767E-3</v>
      </c>
      <c r="Q636" s="13">
        <f t="shared" si="1285"/>
        <v>6.4516129032258064E-3</v>
      </c>
      <c r="R636" s="13">
        <f t="shared" si="1035"/>
        <v>-1.4595633477593573E-2</v>
      </c>
      <c r="S636" s="13">
        <f t="shared" ref="S636:T636" si="1286">N636/L636</f>
        <v>-4.9200492004920051E-3</v>
      </c>
      <c r="T636" s="13">
        <f t="shared" si="1286"/>
        <v>1.5873015873015872E-2</v>
      </c>
      <c r="U636" s="13">
        <f t="shared" si="1037"/>
        <v>-2.0793065073507876E-2</v>
      </c>
      <c r="V636" s="13">
        <f t="shared" si="1038"/>
        <v>7.5115207373271931E-2</v>
      </c>
      <c r="W636" s="13">
        <f t="shared" si="1039"/>
        <v>-2.3571428571428572</v>
      </c>
      <c r="X636" s="13">
        <f t="shared" si="1040"/>
        <v>7.5396825396825351E-2</v>
      </c>
      <c r="Y636" s="13">
        <f t="shared" si="1041"/>
        <v>-1.3333333333333333</v>
      </c>
    </row>
    <row r="637" spans="1:25" ht="14.4">
      <c r="A637" s="98" t="s">
        <v>917</v>
      </c>
      <c r="B637" s="99">
        <v>500338</v>
      </c>
      <c r="C637" s="98" t="s">
        <v>196</v>
      </c>
      <c r="D637" s="100" t="s">
        <v>109</v>
      </c>
      <c r="E637" s="11">
        <f ca="1">IFERROR(__xludf.DUMMYFUNCTION("GOOGLEFINANCE(""BOM:""&amp;B638,""PRICE"")"),123.05)</f>
        <v>123.05</v>
      </c>
      <c r="F637" s="20">
        <f ca="1">IFERROR(__xludf.DUMMYFUNCTION("GOOGLEFINANCE(""BOM:""&amp;B638,""MARKETCAP"")/10000000"),6186.7549258)</f>
        <v>6186.7549257999999</v>
      </c>
      <c r="G637" s="95">
        <f t="shared" ca="1" si="1056"/>
        <v>1.5356084963298846E-4</v>
      </c>
      <c r="H637" s="101">
        <v>5646</v>
      </c>
      <c r="I637" s="101">
        <v>5323</v>
      </c>
      <c r="J637" s="101">
        <v>46</v>
      </c>
      <c r="K637" s="101">
        <v>-76</v>
      </c>
      <c r="L637" s="101">
        <v>1850</v>
      </c>
      <c r="M637" s="101">
        <v>1792</v>
      </c>
      <c r="N637" s="101">
        <v>50</v>
      </c>
      <c r="O637" s="101">
        <v>46</v>
      </c>
      <c r="P637" s="13">
        <f t="shared" ref="P637:Q637" si="1287">J637/H637</f>
        <v>8.1473609635139919E-3</v>
      </c>
      <c r="Q637" s="13">
        <f t="shared" si="1287"/>
        <v>-1.4277662972008266E-2</v>
      </c>
      <c r="R637" s="13">
        <f t="shared" si="1035"/>
        <v>2.2425023935522259E-2</v>
      </c>
      <c r="S637" s="13">
        <f t="shared" ref="S637:T637" si="1288">N637/L637</f>
        <v>2.7027027027027029E-2</v>
      </c>
      <c r="T637" s="13">
        <f t="shared" si="1288"/>
        <v>2.5669642857142856E-2</v>
      </c>
      <c r="U637" s="13">
        <f t="shared" si="1037"/>
        <v>1.3573841698841724E-3</v>
      </c>
      <c r="V637" s="13">
        <f t="shared" si="1038"/>
        <v>6.0680067631035062E-2</v>
      </c>
      <c r="W637" s="13">
        <f t="shared" si="1039"/>
        <v>-1.6052631578947367</v>
      </c>
      <c r="X637" s="13">
        <f t="shared" si="1040"/>
        <v>3.2366071428571397E-2</v>
      </c>
      <c r="Y637" s="13">
        <f t="shared" si="1041"/>
        <v>8.6956521739130377E-2</v>
      </c>
    </row>
    <row r="638" spans="1:25" ht="14.4">
      <c r="A638" s="98" t="s">
        <v>918</v>
      </c>
      <c r="B638" s="99">
        <v>539302</v>
      </c>
      <c r="C638" s="98" t="s">
        <v>180</v>
      </c>
      <c r="D638" s="100" t="s">
        <v>181</v>
      </c>
      <c r="E638" s="11">
        <f ca="1">IFERROR(__xludf.DUMMYFUNCTION("GOOGLEFINANCE(""BOM:""&amp;B639,""PRICE"")"),1925.65)</f>
        <v>1925.65</v>
      </c>
      <c r="F638" s="20">
        <f ca="1">IFERROR(__xludf.DUMMYFUNCTION("GOOGLEFINANCE(""BOM:""&amp;B639,""MARKETCAP"")/10000000"),6085.1871819)</f>
        <v>6085.1871818999998</v>
      </c>
      <c r="G638" s="95">
        <f t="shared" ca="1" si="1056"/>
        <v>1.5103984641956749E-4</v>
      </c>
      <c r="H638" s="101">
        <v>3951</v>
      </c>
      <c r="I638" s="101">
        <v>3381</v>
      </c>
      <c r="J638" s="101">
        <v>258</v>
      </c>
      <c r="K638" s="101">
        <v>218</v>
      </c>
      <c r="L638" s="101">
        <v>1420</v>
      </c>
      <c r="M638" s="101">
        <v>1338</v>
      </c>
      <c r="N638" s="101">
        <v>100</v>
      </c>
      <c r="O638" s="101">
        <v>86</v>
      </c>
      <c r="P638" s="13">
        <f t="shared" ref="P638:Q638" si="1289">J638/H638</f>
        <v>6.5299924069855728E-2</v>
      </c>
      <c r="Q638" s="13">
        <f t="shared" si="1289"/>
        <v>6.4477965099083115E-2</v>
      </c>
      <c r="R638" s="13">
        <f t="shared" si="1035"/>
        <v>8.2195897077261271E-4</v>
      </c>
      <c r="S638" s="13">
        <f t="shared" ref="S638:T638" si="1290">N638/L638</f>
        <v>7.0422535211267609E-2</v>
      </c>
      <c r="T638" s="13">
        <f t="shared" si="1290"/>
        <v>6.4275037369207769E-2</v>
      </c>
      <c r="U638" s="13">
        <f t="shared" si="1037"/>
        <v>6.1474978420598403E-3</v>
      </c>
      <c r="V638" s="13">
        <f t="shared" si="1038"/>
        <v>0.16858917480035496</v>
      </c>
      <c r="W638" s="13">
        <f t="shared" si="1039"/>
        <v>0.1834862385321101</v>
      </c>
      <c r="X638" s="13">
        <f t="shared" si="1040"/>
        <v>6.1285500747384258E-2</v>
      </c>
      <c r="Y638" s="13">
        <f t="shared" si="1041"/>
        <v>0.16279069767441867</v>
      </c>
    </row>
    <row r="639" spans="1:25" ht="14.4">
      <c r="A639" s="98" t="s">
        <v>919</v>
      </c>
      <c r="B639" s="99">
        <v>532163</v>
      </c>
      <c r="C639" s="98" t="s">
        <v>187</v>
      </c>
      <c r="D639" s="70" t="s">
        <v>558</v>
      </c>
      <c r="E639" s="11">
        <f ca="1">IFERROR(__xludf.DUMMYFUNCTION("GOOGLEFINANCE(""BOM:""&amp;B640,""PRICE"")"),317.5)</f>
        <v>317.5</v>
      </c>
      <c r="F639" s="20">
        <f ca="1">IFERROR(__xludf.DUMMYFUNCTION("GOOGLEFINANCE(""BOM:""&amp;B640,""MARKETCAP"")/10000000"),6098.5535493)</f>
        <v>6098.5535492999998</v>
      </c>
      <c r="G639" s="95">
        <f t="shared" ca="1" si="1056"/>
        <v>1.5137161174065547E-4</v>
      </c>
      <c r="H639" s="101">
        <v>697</v>
      </c>
      <c r="I639" s="101">
        <v>930</v>
      </c>
      <c r="J639" s="101">
        <v>131</v>
      </c>
      <c r="K639" s="101">
        <v>144</v>
      </c>
      <c r="L639" s="101">
        <v>260</v>
      </c>
      <c r="M639" s="101">
        <v>483</v>
      </c>
      <c r="N639" s="101">
        <v>51</v>
      </c>
      <c r="O639" s="101">
        <v>62</v>
      </c>
      <c r="P639" s="13">
        <f t="shared" ref="P639:Q639" si="1291">J639/H639</f>
        <v>0.18794835007173602</v>
      </c>
      <c r="Q639" s="13">
        <f t="shared" si="1291"/>
        <v>0.15483870967741936</v>
      </c>
      <c r="R639" s="13">
        <f t="shared" si="1035"/>
        <v>3.3109640394316658E-2</v>
      </c>
      <c r="S639" s="13">
        <f t="shared" ref="S639:T639" si="1292">N639/L639</f>
        <v>0.19615384615384615</v>
      </c>
      <c r="T639" s="13">
        <f t="shared" si="1292"/>
        <v>0.12836438923395446</v>
      </c>
      <c r="U639" s="13">
        <f t="shared" si="1037"/>
        <v>6.7789456919891689E-2</v>
      </c>
      <c r="V639" s="13">
        <f t="shared" si="1038"/>
        <v>-0.25053763440860211</v>
      </c>
      <c r="W639" s="13">
        <f t="shared" si="1039"/>
        <v>-9.027777777777779E-2</v>
      </c>
      <c r="X639" s="13">
        <f t="shared" si="1040"/>
        <v>-0.4616977225672878</v>
      </c>
      <c r="Y639" s="13">
        <f t="shared" si="1041"/>
        <v>-0.17741935483870963</v>
      </c>
    </row>
    <row r="640" spans="1:25" ht="14.4">
      <c r="A640" s="98" t="s">
        <v>920</v>
      </c>
      <c r="B640" s="99">
        <v>530549</v>
      </c>
      <c r="C640" s="98" t="s">
        <v>190</v>
      </c>
      <c r="D640" s="102" t="s">
        <v>100</v>
      </c>
      <c r="E640" s="11">
        <f ca="1">IFERROR(__xludf.DUMMYFUNCTION("GOOGLEFINANCE(""BOM:""&amp;B641,""PRICE"")"),385.8)</f>
        <v>385.8</v>
      </c>
      <c r="F640" s="20">
        <f ca="1">IFERROR(__xludf.DUMMYFUNCTION("GOOGLEFINANCE(""BOM:""&amp;B641,""MARKETCAP"")/10000000"),7546.5238723)</f>
        <v>7546.5238723000002</v>
      </c>
      <c r="G640" s="95">
        <f t="shared" ca="1" si="1056"/>
        <v>1.873115440169418E-4</v>
      </c>
      <c r="H640" s="101">
        <v>1101</v>
      </c>
      <c r="I640" s="101">
        <v>955</v>
      </c>
      <c r="J640" s="101">
        <v>135</v>
      </c>
      <c r="K640" s="101">
        <v>63</v>
      </c>
      <c r="L640" s="101">
        <v>409</v>
      </c>
      <c r="M640" s="101">
        <v>319</v>
      </c>
      <c r="N640" s="101">
        <v>44</v>
      </c>
      <c r="O640" s="101">
        <v>31</v>
      </c>
      <c r="P640" s="13">
        <f t="shared" ref="P640:Q640" si="1293">J640/H640</f>
        <v>0.1226158038147139</v>
      </c>
      <c r="Q640" s="13">
        <f t="shared" si="1293"/>
        <v>6.5968586387434552E-2</v>
      </c>
      <c r="R640" s="13">
        <f t="shared" si="1035"/>
        <v>5.664721742727935E-2</v>
      </c>
      <c r="S640" s="13">
        <f t="shared" ref="S640:T640" si="1294">N640/L640</f>
        <v>0.10757946210268948</v>
      </c>
      <c r="T640" s="13">
        <f t="shared" si="1294"/>
        <v>9.7178683385579931E-2</v>
      </c>
      <c r="U640" s="13">
        <f t="shared" si="1037"/>
        <v>1.0400778717109552E-2</v>
      </c>
      <c r="V640" s="13">
        <f t="shared" si="1038"/>
        <v>0.15287958115183242</v>
      </c>
      <c r="W640" s="13">
        <f t="shared" si="1039"/>
        <v>1.1428571428571428</v>
      </c>
      <c r="X640" s="13">
        <f t="shared" si="1040"/>
        <v>0.28213166144200619</v>
      </c>
      <c r="Y640" s="13">
        <f t="shared" si="1041"/>
        <v>0.41935483870967749</v>
      </c>
    </row>
    <row r="641" spans="1:25" ht="14.4">
      <c r="A641" s="98" t="s">
        <v>921</v>
      </c>
      <c r="B641" s="99">
        <v>500245</v>
      </c>
      <c r="C641" s="98" t="s">
        <v>196</v>
      </c>
      <c r="D641" s="102" t="s">
        <v>922</v>
      </c>
      <c r="E641" s="11">
        <f ca="1">IFERROR(__xludf.DUMMYFUNCTION("GOOGLEFINANCE(""BOM:""&amp;B642,""PRICE"")"),376.45)</f>
        <v>376.45</v>
      </c>
      <c r="F641" s="20">
        <f ca="1">IFERROR(__xludf.DUMMYFUNCTION("GOOGLEFINANCE(""BOM:""&amp;B642,""MARKETCAP"")/10000000"),6208.4738333)</f>
        <v>6208.4738332999996</v>
      </c>
      <c r="G641" s="95">
        <f t="shared" ca="1" si="1056"/>
        <v>1.5409993254944469E-4</v>
      </c>
      <c r="H641" s="101">
        <v>5003</v>
      </c>
      <c r="I641" s="101">
        <v>4830</v>
      </c>
      <c r="J641" s="101">
        <v>246</v>
      </c>
      <c r="K641" s="101">
        <v>222</v>
      </c>
      <c r="L641" s="101">
        <v>1590</v>
      </c>
      <c r="M641" s="101">
        <v>1609</v>
      </c>
      <c r="N641" s="101">
        <v>57</v>
      </c>
      <c r="O641" s="101">
        <v>61</v>
      </c>
      <c r="P641" s="13">
        <f t="shared" ref="P641:Q641" si="1295">J641/H641</f>
        <v>4.9170497701379171E-2</v>
      </c>
      <c r="Q641" s="13">
        <f t="shared" si="1295"/>
        <v>4.5962732919254658E-2</v>
      </c>
      <c r="R641" s="13">
        <f t="shared" si="1035"/>
        <v>3.2077647821245128E-3</v>
      </c>
      <c r="S641" s="13">
        <f t="shared" ref="S641:T641" si="1296">N641/L641</f>
        <v>3.5849056603773584E-2</v>
      </c>
      <c r="T641" s="13">
        <f t="shared" si="1296"/>
        <v>3.791174642635177E-2</v>
      </c>
      <c r="U641" s="13">
        <f t="shared" si="1037"/>
        <v>-2.0626898225781856E-3</v>
      </c>
      <c r="V641" s="13">
        <f t="shared" si="1038"/>
        <v>3.5817805383022705E-2</v>
      </c>
      <c r="W641" s="13">
        <f t="shared" si="1039"/>
        <v>0.10810810810810811</v>
      </c>
      <c r="X641" s="13">
        <f t="shared" si="1040"/>
        <v>-1.1808576755748867E-2</v>
      </c>
      <c r="Y641" s="13">
        <f t="shared" si="1041"/>
        <v>-6.557377049180324E-2</v>
      </c>
    </row>
    <row r="642" spans="1:25" ht="14.4">
      <c r="A642" s="98" t="s">
        <v>923</v>
      </c>
      <c r="B642" s="99">
        <v>509557</v>
      </c>
      <c r="C642" s="98" t="s">
        <v>187</v>
      </c>
      <c r="D642" s="102" t="s">
        <v>492</v>
      </c>
      <c r="E642" s="11">
        <f ca="1">IFERROR(__xludf.DUMMYFUNCTION("GOOGLEFINANCE(""BOM:""&amp;B643,""PRICE"")"),600.2)</f>
        <v>600.20000000000005</v>
      </c>
      <c r="F642" s="20">
        <f ca="1">IFERROR(__xludf.DUMMYFUNCTION("GOOGLEFINANCE(""BOM:""&amp;B643,""MARKETCAP"")/10000000"),5959.9212759)</f>
        <v>5959.9212759000002</v>
      </c>
      <c r="G642" s="95">
        <f t="shared" ca="1" si="1056"/>
        <v>1.4793063340141669E-4</v>
      </c>
      <c r="H642" s="101">
        <v>1102</v>
      </c>
      <c r="I642" s="101">
        <v>1107</v>
      </c>
      <c r="J642" s="101">
        <v>141</v>
      </c>
      <c r="K642" s="101">
        <v>160</v>
      </c>
      <c r="L642" s="101">
        <v>387</v>
      </c>
      <c r="M642" s="101">
        <v>350</v>
      </c>
      <c r="N642" s="101">
        <v>56</v>
      </c>
      <c r="O642" s="101">
        <v>47</v>
      </c>
      <c r="P642" s="13">
        <f t="shared" ref="P642:Q642" si="1297">J642/H642</f>
        <v>0.1279491833030853</v>
      </c>
      <c r="Q642" s="13">
        <f t="shared" si="1297"/>
        <v>0.14453477868112014</v>
      </c>
      <c r="R642" s="13">
        <f t="shared" si="1035"/>
        <v>-1.6585595378034834E-2</v>
      </c>
      <c r="S642" s="13">
        <f t="shared" ref="S642:T642" si="1298">N642/L642</f>
        <v>0.14470284237726097</v>
      </c>
      <c r="T642" s="13">
        <f t="shared" si="1298"/>
        <v>0.13428571428571429</v>
      </c>
      <c r="U642" s="13">
        <f t="shared" si="1037"/>
        <v>1.0417128091546685E-2</v>
      </c>
      <c r="V642" s="13">
        <f t="shared" si="1038"/>
        <v>-4.5167118337849921E-3</v>
      </c>
      <c r="W642" s="13">
        <f t="shared" si="1039"/>
        <v>-0.11875000000000002</v>
      </c>
      <c r="X642" s="13">
        <f t="shared" si="1040"/>
        <v>0.10571428571428565</v>
      </c>
      <c r="Y642" s="13">
        <f t="shared" si="1041"/>
        <v>0.1914893617021276</v>
      </c>
    </row>
    <row r="643" spans="1:25" ht="14.4">
      <c r="A643" s="98" t="s">
        <v>924</v>
      </c>
      <c r="B643" s="99">
        <v>543532</v>
      </c>
      <c r="C643" s="98" t="s">
        <v>187</v>
      </c>
      <c r="D643" s="102" t="s">
        <v>70</v>
      </c>
      <c r="E643" s="11">
        <f ca="1">IFERROR(__xludf.DUMMYFUNCTION("GOOGLEFINANCE(""BOM:""&amp;B644,""PRICE"")"),2250.25)</f>
        <v>2250.25</v>
      </c>
      <c r="F643" s="20">
        <f ca="1">IFERROR(__xludf.DUMMYFUNCTION("GOOGLEFINANCE(""BOM:""&amp;B644,""MARKETCAP"")/10000000"),6032.7890487)</f>
        <v>6032.7890487000004</v>
      </c>
      <c r="G643" s="95">
        <f t="shared" ca="1" si="1056"/>
        <v>1.4973927738945775E-4</v>
      </c>
      <c r="H643" s="101">
        <v>1198</v>
      </c>
      <c r="I643" s="101">
        <v>940</v>
      </c>
      <c r="J643" s="101">
        <v>73</v>
      </c>
      <c r="K643" s="101">
        <v>73</v>
      </c>
      <c r="L643" s="101">
        <v>468</v>
      </c>
      <c r="M643" s="101">
        <v>369</v>
      </c>
      <c r="N643" s="101">
        <v>30</v>
      </c>
      <c r="O643" s="101">
        <v>29</v>
      </c>
      <c r="P643" s="13">
        <f t="shared" ref="P643:Q643" si="1299">J643/H643</f>
        <v>6.0934891485809682E-2</v>
      </c>
      <c r="Q643" s="13">
        <f t="shared" si="1299"/>
        <v>7.7659574468085107E-2</v>
      </c>
      <c r="R643" s="13">
        <f t="shared" si="1035"/>
        <v>-1.6724682982275425E-2</v>
      </c>
      <c r="S643" s="13">
        <f t="shared" ref="S643:T643" si="1300">N643/L643</f>
        <v>6.4102564102564097E-2</v>
      </c>
      <c r="T643" s="13">
        <f t="shared" si="1300"/>
        <v>7.8590785907859076E-2</v>
      </c>
      <c r="U643" s="13">
        <f t="shared" si="1037"/>
        <v>-1.4488221805294979E-2</v>
      </c>
      <c r="V643" s="13">
        <f t="shared" si="1038"/>
        <v>0.27446808510638299</v>
      </c>
      <c r="W643" s="13">
        <f t="shared" si="1039"/>
        <v>0</v>
      </c>
      <c r="X643" s="13">
        <f t="shared" si="1040"/>
        <v>0.26829268292682928</v>
      </c>
      <c r="Y643" s="13">
        <f t="shared" si="1041"/>
        <v>3.4482758620689724E-2</v>
      </c>
    </row>
    <row r="644" spans="1:25" ht="14.4">
      <c r="A644" s="98" t="s">
        <v>925</v>
      </c>
      <c r="B644" s="99">
        <v>532443</v>
      </c>
      <c r="C644" s="98" t="s">
        <v>187</v>
      </c>
      <c r="D644" s="100" t="s">
        <v>926</v>
      </c>
      <c r="E644" s="11">
        <f ca="1">IFERROR(__xludf.DUMMYFUNCTION("GOOGLEFINANCE(""BOM:""&amp;B645,""PRICE"")"),4790.95)</f>
        <v>4790.95</v>
      </c>
      <c r="F644" s="20">
        <f ca="1">IFERROR(__xludf.DUMMYFUNCTION("GOOGLEFINANCE(""BOM:""&amp;B645,""MARKETCAP"")/10000000"),6180.6744721)</f>
        <v>6180.6744720999995</v>
      </c>
      <c r="G644" s="95">
        <f t="shared" ca="1" si="1056"/>
        <v>1.5340992727586836E-4</v>
      </c>
      <c r="H644" s="101">
        <v>1406</v>
      </c>
      <c r="I644" s="101">
        <v>1337</v>
      </c>
      <c r="J644" s="101">
        <v>126</v>
      </c>
      <c r="K644" s="101">
        <v>160</v>
      </c>
      <c r="L644" s="101">
        <v>498</v>
      </c>
      <c r="M644" s="101">
        <v>449</v>
      </c>
      <c r="N644" s="101">
        <v>23</v>
      </c>
      <c r="O644" s="101">
        <v>45</v>
      </c>
      <c r="P644" s="13">
        <f t="shared" ref="P644:Q644" si="1301">J644/H644</f>
        <v>8.9615931721194877E-2</v>
      </c>
      <c r="Q644" s="13">
        <f t="shared" si="1301"/>
        <v>0.11967090501121914</v>
      </c>
      <c r="R644" s="13">
        <f t="shared" si="1035"/>
        <v>-3.0054973290024267E-2</v>
      </c>
      <c r="S644" s="13">
        <f t="shared" ref="S644:T644" si="1302">N644/L644</f>
        <v>4.6184738955823292E-2</v>
      </c>
      <c r="T644" s="13">
        <f t="shared" si="1302"/>
        <v>0.10022271714922049</v>
      </c>
      <c r="U644" s="13">
        <f t="shared" si="1037"/>
        <v>-5.4037978193397194E-2</v>
      </c>
      <c r="V644" s="13">
        <f t="shared" si="1038"/>
        <v>5.1608077786088336E-2</v>
      </c>
      <c r="W644" s="13">
        <f t="shared" si="1039"/>
        <v>-0.21250000000000002</v>
      </c>
      <c r="X644" s="13">
        <f t="shared" si="1040"/>
        <v>0.10913140311804015</v>
      </c>
      <c r="Y644" s="13">
        <f t="shared" si="1041"/>
        <v>-0.48888888888888893</v>
      </c>
    </row>
    <row r="645" spans="1:25" ht="14.4">
      <c r="A645" s="98" t="s">
        <v>927</v>
      </c>
      <c r="B645" s="99">
        <v>531431</v>
      </c>
      <c r="C645" s="98" t="s">
        <v>180</v>
      </c>
      <c r="D645" s="102" t="s">
        <v>264</v>
      </c>
      <c r="E645" s="11">
        <f ca="1">IFERROR(__xludf.DUMMYFUNCTION("GOOGLEFINANCE(""BOM:""&amp;B646,""PRICE"")"),496.3)</f>
        <v>496.3</v>
      </c>
      <c r="F645" s="20">
        <f ca="1">IFERROR(__xludf.DUMMYFUNCTION("GOOGLEFINANCE(""BOM:""&amp;B646,""MARKETCAP"")/10000000"),6122.3867331)</f>
        <v>6122.3867331000001</v>
      </c>
      <c r="G645" s="95">
        <f t="shared" ca="1" si="1056"/>
        <v>1.5196317290602909E-4</v>
      </c>
      <c r="H645" s="101">
        <v>1840</v>
      </c>
      <c r="I645" s="101">
        <v>1851</v>
      </c>
      <c r="J645" s="101">
        <v>219</v>
      </c>
      <c r="K645" s="101">
        <v>298</v>
      </c>
      <c r="L645" s="101">
        <v>550</v>
      </c>
      <c r="M645" s="101">
        <v>649</v>
      </c>
      <c r="N645" s="101">
        <v>32</v>
      </c>
      <c r="O645" s="101">
        <v>104</v>
      </c>
      <c r="P645" s="13">
        <f t="shared" ref="P645:Q645" si="1303">J645/H645</f>
        <v>0.11902173913043479</v>
      </c>
      <c r="Q645" s="13">
        <f t="shared" si="1303"/>
        <v>0.16099405726634253</v>
      </c>
      <c r="R645" s="13">
        <f t="shared" si="1035"/>
        <v>-4.1972318135907738E-2</v>
      </c>
      <c r="S645" s="13">
        <f t="shared" ref="S645:T645" si="1304">N645/L645</f>
        <v>5.8181818181818182E-2</v>
      </c>
      <c r="T645" s="13">
        <f t="shared" si="1304"/>
        <v>0.16024653312788906</v>
      </c>
      <c r="U645" s="13">
        <f t="shared" si="1037"/>
        <v>-0.10206471494607088</v>
      </c>
      <c r="V645" s="13">
        <f t="shared" si="1038"/>
        <v>-5.9427336574824352E-3</v>
      </c>
      <c r="W645" s="13">
        <f t="shared" si="1039"/>
        <v>-0.2651006711409396</v>
      </c>
      <c r="X645" s="13">
        <f t="shared" si="1040"/>
        <v>-0.15254237288135597</v>
      </c>
      <c r="Y645" s="13">
        <f t="shared" si="1041"/>
        <v>-0.69230769230769229</v>
      </c>
    </row>
    <row r="646" spans="1:25" ht="14.4">
      <c r="A646" s="98" t="s">
        <v>928</v>
      </c>
      <c r="B646" s="99">
        <v>539871</v>
      </c>
      <c r="C646" s="98" t="s">
        <v>190</v>
      </c>
      <c r="D646" s="70" t="s">
        <v>98</v>
      </c>
      <c r="E646" s="11">
        <f ca="1">IFERROR(__xludf.DUMMYFUNCTION("GOOGLEFINANCE(""BOM:""&amp;B647,""PRICE"")"),380)</f>
        <v>380</v>
      </c>
      <c r="F646" s="20">
        <f ca="1">IFERROR(__xludf.DUMMYFUNCTION("GOOGLEFINANCE(""BOM:""&amp;B647,""MARKETCAP"")/10000000"),6045.8)</f>
        <v>6045.8</v>
      </c>
      <c r="G646" s="95">
        <f t="shared" ca="1" si="1056"/>
        <v>1.5006222096167351E-4</v>
      </c>
      <c r="H646" s="101">
        <v>605</v>
      </c>
      <c r="I646" s="101">
        <v>500</v>
      </c>
      <c r="J646" s="101">
        <v>114</v>
      </c>
      <c r="K646" s="101">
        <v>69</v>
      </c>
      <c r="L646" s="101">
        <v>196</v>
      </c>
      <c r="M646" s="101">
        <v>166</v>
      </c>
      <c r="N646" s="101">
        <v>28</v>
      </c>
      <c r="O646" s="101">
        <v>19</v>
      </c>
      <c r="P646" s="13">
        <f t="shared" ref="P646:Q646" si="1305">J646/H646</f>
        <v>0.1884297520661157</v>
      </c>
      <c r="Q646" s="13">
        <f t="shared" si="1305"/>
        <v>0.13800000000000001</v>
      </c>
      <c r="R646" s="13">
        <f t="shared" si="1035"/>
        <v>5.0429752066115691E-2</v>
      </c>
      <c r="S646" s="13">
        <f t="shared" ref="S646:T646" si="1306">N646/L646</f>
        <v>0.14285714285714285</v>
      </c>
      <c r="T646" s="13">
        <f t="shared" si="1306"/>
        <v>0.1144578313253012</v>
      </c>
      <c r="U646" s="13">
        <f t="shared" si="1037"/>
        <v>2.8399311531841651E-2</v>
      </c>
      <c r="V646" s="13">
        <f t="shared" si="1038"/>
        <v>0.20999999999999996</v>
      </c>
      <c r="W646" s="13">
        <f t="shared" si="1039"/>
        <v>0.65217391304347827</v>
      </c>
      <c r="X646" s="13">
        <f t="shared" si="1040"/>
        <v>0.18072289156626509</v>
      </c>
      <c r="Y646" s="13">
        <f t="shared" si="1041"/>
        <v>0.47368421052631571</v>
      </c>
    </row>
    <row r="647" spans="1:25" ht="14.4">
      <c r="A647" s="104" t="s">
        <v>929</v>
      </c>
      <c r="B647" s="99">
        <v>502219</v>
      </c>
      <c r="C647" s="98" t="s">
        <v>180</v>
      </c>
      <c r="D647" s="70" t="s">
        <v>930</v>
      </c>
      <c r="E647" s="11">
        <f ca="1">IFERROR(__xludf.DUMMYFUNCTION("GOOGLEFINANCE(""BOM:""&amp;B648,""PRICE"")"),415.9)</f>
        <v>415.9</v>
      </c>
      <c r="F647" s="20">
        <f ca="1">IFERROR(__xludf.DUMMYFUNCTION("GOOGLEFINANCE(""BOM:""&amp;B648,""MARKETCAP"")/10000000"),5831.1533071)</f>
        <v>5831.1533071000003</v>
      </c>
      <c r="G647" s="95">
        <f t="shared" ca="1" si="1056"/>
        <v>1.4473449601896086E-4</v>
      </c>
      <c r="H647" s="101">
        <v>1115</v>
      </c>
      <c r="I647" s="101">
        <v>1105</v>
      </c>
      <c r="J647" s="101">
        <v>-41</v>
      </c>
      <c r="K647" s="101">
        <v>-57</v>
      </c>
      <c r="L647" s="101">
        <v>390</v>
      </c>
      <c r="M647" s="101">
        <v>361</v>
      </c>
      <c r="N647" s="101">
        <v>100</v>
      </c>
      <c r="O647" s="101">
        <v>-30</v>
      </c>
      <c r="P647" s="13">
        <f t="shared" ref="P647:Q647" si="1307">J647/H647</f>
        <v>-3.6771300448430494E-2</v>
      </c>
      <c r="Q647" s="13">
        <f t="shared" si="1307"/>
        <v>-5.1583710407239816E-2</v>
      </c>
      <c r="R647" s="13">
        <f t="shared" si="1035"/>
        <v>1.4812409958809322E-2</v>
      </c>
      <c r="S647" s="13">
        <f t="shared" ref="S647:T647" si="1308">N647/L647</f>
        <v>0.25641025641025639</v>
      </c>
      <c r="T647" s="13">
        <f t="shared" si="1308"/>
        <v>-8.3102493074792241E-2</v>
      </c>
      <c r="U647" s="13">
        <f t="shared" si="1037"/>
        <v>0.33951274948504861</v>
      </c>
      <c r="V647" s="13">
        <f t="shared" si="1038"/>
        <v>9.0497737556560764E-3</v>
      </c>
      <c r="W647" s="13">
        <f t="shared" si="1039"/>
        <v>-0.2807017543859649</v>
      </c>
      <c r="X647" s="13">
        <f t="shared" si="1040"/>
        <v>8.0332409972299068E-2</v>
      </c>
      <c r="Y647" s="13">
        <f t="shared" si="1041"/>
        <v>-4.3333333333333339</v>
      </c>
    </row>
    <row r="648" spans="1:25" ht="14.4">
      <c r="A648" s="98" t="s">
        <v>931</v>
      </c>
      <c r="B648" s="99">
        <v>500201</v>
      </c>
      <c r="C648" s="98" t="s">
        <v>183</v>
      </c>
      <c r="D648" s="102" t="s">
        <v>317</v>
      </c>
      <c r="E648" s="11">
        <f ca="1">IFERROR(__xludf.DUMMYFUNCTION("GOOGLEFINANCE(""BOM:""&amp;B649,""PRICE"")"),902.6)</f>
        <v>902.6</v>
      </c>
      <c r="F648" s="20">
        <f ca="1">IFERROR(__xludf.DUMMYFUNCTION("GOOGLEFINANCE(""BOM:""&amp;B649,""MARKETCAP"")/10000000"),6047.154369)</f>
        <v>6047.1543689999999</v>
      </c>
      <c r="G648" s="95">
        <f t="shared" ca="1" si="1056"/>
        <v>1.5009583762450417E-4</v>
      </c>
      <c r="H648" s="101">
        <v>7463</v>
      </c>
      <c r="I648" s="101">
        <v>6850</v>
      </c>
      <c r="J648" s="101">
        <v>206</v>
      </c>
      <c r="K648" s="101">
        <v>167</v>
      </c>
      <c r="L648" s="101">
        <v>2551</v>
      </c>
      <c r="M648" s="101">
        <v>2424</v>
      </c>
      <c r="N648" s="101">
        <v>68</v>
      </c>
      <c r="O648" s="101">
        <v>57</v>
      </c>
      <c r="P648" s="13">
        <f t="shared" ref="P648:Q648" si="1309">J648/H648</f>
        <v>2.760284068069141E-2</v>
      </c>
      <c r="Q648" s="13">
        <f t="shared" si="1309"/>
        <v>2.437956204379562E-2</v>
      </c>
      <c r="R648" s="13">
        <f t="shared" si="1035"/>
        <v>3.2232786368957891E-3</v>
      </c>
      <c r="S648" s="13">
        <f t="shared" ref="S648:T648" si="1310">N648/L648</f>
        <v>2.6656213249705997E-2</v>
      </c>
      <c r="T648" s="13">
        <f t="shared" si="1310"/>
        <v>2.3514851485148515E-2</v>
      </c>
      <c r="U648" s="13">
        <f t="shared" si="1037"/>
        <v>3.1413617645574821E-3</v>
      </c>
      <c r="V648" s="13">
        <f t="shared" si="1038"/>
        <v>8.948905109489047E-2</v>
      </c>
      <c r="W648" s="13">
        <f t="shared" si="1039"/>
        <v>0.23353293413173648</v>
      </c>
      <c r="X648" s="13">
        <f t="shared" si="1040"/>
        <v>5.2392739273927402E-2</v>
      </c>
      <c r="Y648" s="13">
        <f t="shared" si="1041"/>
        <v>0.19298245614035081</v>
      </c>
    </row>
    <row r="649" spans="1:25" ht="14.4">
      <c r="A649" s="98" t="s">
        <v>932</v>
      </c>
      <c r="B649" s="99">
        <v>532395</v>
      </c>
      <c r="C649" s="98" t="s">
        <v>180</v>
      </c>
      <c r="D649" s="100" t="s">
        <v>204</v>
      </c>
      <c r="E649" s="11">
        <f ca="1">IFERROR(__xludf.DUMMYFUNCTION("GOOGLEFINANCE(""BOM:""&amp;B650,""PRICE"")"),1679.3)</f>
        <v>1679.3</v>
      </c>
      <c r="F649" s="20">
        <f ca="1">IFERROR(__xludf.DUMMYFUNCTION("GOOGLEFINANCE(""BOM:""&amp;B650,""MARKETCAP"")/10000000"),7134.416364)</f>
        <v>7134.4163639999997</v>
      </c>
      <c r="G649" s="95">
        <f t="shared" ca="1" si="1056"/>
        <v>1.7708266314584459E-4</v>
      </c>
      <c r="H649" s="101">
        <v>885</v>
      </c>
      <c r="I649" s="101">
        <v>762</v>
      </c>
      <c r="J649" s="101">
        <v>71</v>
      </c>
      <c r="K649" s="101">
        <v>43</v>
      </c>
      <c r="L649" s="101">
        <v>343</v>
      </c>
      <c r="M649" s="101">
        <v>274</v>
      </c>
      <c r="N649" s="101">
        <v>27</v>
      </c>
      <c r="O649" s="101">
        <v>14</v>
      </c>
      <c r="P649" s="13">
        <f t="shared" ref="P649:Q649" si="1311">J649/H649</f>
        <v>8.0225988700564965E-2</v>
      </c>
      <c r="Q649" s="13">
        <f t="shared" si="1311"/>
        <v>5.6430446194225721E-2</v>
      </c>
      <c r="R649" s="13">
        <f t="shared" si="1035"/>
        <v>2.3795542506339244E-2</v>
      </c>
      <c r="S649" s="13">
        <f t="shared" ref="S649:T649" si="1312">N649/L649</f>
        <v>7.8717201166180764E-2</v>
      </c>
      <c r="T649" s="13">
        <f t="shared" si="1312"/>
        <v>5.1094890510948905E-2</v>
      </c>
      <c r="U649" s="13">
        <f t="shared" si="1037"/>
        <v>2.7622310655231859E-2</v>
      </c>
      <c r="V649" s="13">
        <f t="shared" si="1038"/>
        <v>0.1614173228346456</v>
      </c>
      <c r="W649" s="13">
        <f t="shared" si="1039"/>
        <v>0.65116279069767447</v>
      </c>
      <c r="X649" s="13">
        <f t="shared" si="1040"/>
        <v>0.25182481751824826</v>
      </c>
      <c r="Y649" s="13">
        <f t="shared" si="1041"/>
        <v>0.9285714285714286</v>
      </c>
    </row>
    <row r="650" spans="1:25" ht="14.4">
      <c r="A650" s="98" t="s">
        <v>933</v>
      </c>
      <c r="B650" s="99">
        <v>500250</v>
      </c>
      <c r="C650" s="98" t="s">
        <v>187</v>
      </c>
      <c r="D650" s="100" t="s">
        <v>312</v>
      </c>
      <c r="E650" s="11">
        <f ca="1">IFERROR(__xludf.DUMMYFUNCTION("GOOGLEFINANCE(""BOM:""&amp;B651,""PRICE"")"),1705.85)</f>
        <v>1705.85</v>
      </c>
      <c r="F650" s="20">
        <f ca="1">IFERROR(__xludf.DUMMYFUNCTION("GOOGLEFINANCE(""BOM:""&amp;B651,""MARKETCAP"")/10000000"),5422.0285462)</f>
        <v>5422.0285462000002</v>
      </c>
      <c r="G650" s="95">
        <f t="shared" ca="1" si="1056"/>
        <v>1.345796496345175E-4</v>
      </c>
      <c r="H650" s="101">
        <v>2260</v>
      </c>
      <c r="I650" s="101">
        <v>1909</v>
      </c>
      <c r="J650" s="101">
        <v>249</v>
      </c>
      <c r="K650" s="101">
        <v>218</v>
      </c>
      <c r="L650" s="101">
        <v>816</v>
      </c>
      <c r="M650" s="101">
        <v>676</v>
      </c>
      <c r="N650" s="101">
        <v>88</v>
      </c>
      <c r="O650" s="101">
        <v>75</v>
      </c>
      <c r="P650" s="13">
        <f t="shared" ref="P650:Q650" si="1313">J650/H650</f>
        <v>0.11017699115044248</v>
      </c>
      <c r="Q650" s="13">
        <f t="shared" si="1313"/>
        <v>0.1141959140911472</v>
      </c>
      <c r="R650" s="13">
        <f t="shared" si="1035"/>
        <v>-4.0189229407047167E-3</v>
      </c>
      <c r="S650" s="13">
        <f t="shared" ref="S650:T650" si="1314">N650/L650</f>
        <v>0.10784313725490197</v>
      </c>
      <c r="T650" s="13">
        <f t="shared" si="1314"/>
        <v>0.11094674556213018</v>
      </c>
      <c r="U650" s="13">
        <f t="shared" si="1037"/>
        <v>-3.1036083072282089E-3</v>
      </c>
      <c r="V650" s="13">
        <f t="shared" si="1038"/>
        <v>0.18386589837611322</v>
      </c>
      <c r="W650" s="13">
        <f t="shared" si="1039"/>
        <v>0.14220183486238525</v>
      </c>
      <c r="X650" s="13">
        <f t="shared" si="1040"/>
        <v>0.20710059171597628</v>
      </c>
      <c r="Y650" s="13">
        <f t="shared" si="1041"/>
        <v>0.17333333333333334</v>
      </c>
    </row>
    <row r="651" spans="1:25" ht="14.4">
      <c r="A651" s="98" t="s">
        <v>934</v>
      </c>
      <c r="B651" s="99">
        <v>533286</v>
      </c>
      <c r="C651" s="98" t="s">
        <v>196</v>
      </c>
      <c r="D651" s="102" t="s">
        <v>357</v>
      </c>
      <c r="E651" s="11">
        <f ca="1">IFERROR(__xludf.DUMMYFUNCTION("GOOGLEFINANCE(""BOM:""&amp;B652,""PRICE"")"),301)</f>
        <v>301</v>
      </c>
      <c r="F651" s="20">
        <f ca="1">IFERROR(__xludf.DUMMYFUNCTION("GOOGLEFINANCE(""BOM:""&amp;B652,""MARKETCAP"")/10000000"),6124.90151)</f>
        <v>6124.9015099999997</v>
      </c>
      <c r="G651" s="95">
        <f t="shared" ca="1" si="1056"/>
        <v>1.5202559194186173E-4</v>
      </c>
      <c r="H651" s="101">
        <v>1056</v>
      </c>
      <c r="I651" s="101">
        <v>1151</v>
      </c>
      <c r="J651" s="101">
        <v>174</v>
      </c>
      <c r="K651" s="101">
        <v>265</v>
      </c>
      <c r="L651" s="101">
        <v>359</v>
      </c>
      <c r="M651" s="101">
        <v>366</v>
      </c>
      <c r="N651" s="101">
        <v>52</v>
      </c>
      <c r="O651" s="101">
        <v>63</v>
      </c>
      <c r="P651" s="13">
        <f t="shared" ref="P651:Q651" si="1315">J651/H651</f>
        <v>0.16477272727272727</v>
      </c>
      <c r="Q651" s="13">
        <f t="shared" si="1315"/>
        <v>0.23023457862728064</v>
      </c>
      <c r="R651" s="13">
        <f t="shared" si="1035"/>
        <v>-6.5461851354553374E-2</v>
      </c>
      <c r="S651" s="13">
        <f t="shared" ref="S651:T651" si="1316">N651/L651</f>
        <v>0.14484679665738162</v>
      </c>
      <c r="T651" s="13">
        <f t="shared" si="1316"/>
        <v>0.1721311475409836</v>
      </c>
      <c r="U651" s="13">
        <f t="shared" si="1037"/>
        <v>-2.7284350883601982E-2</v>
      </c>
      <c r="V651" s="13">
        <f t="shared" si="1038"/>
        <v>-8.2536924413553425E-2</v>
      </c>
      <c r="W651" s="13">
        <f t="shared" si="1039"/>
        <v>-0.34339622641509437</v>
      </c>
      <c r="X651" s="13">
        <f t="shared" si="1040"/>
        <v>-1.9125683060109311E-2</v>
      </c>
      <c r="Y651" s="13">
        <f t="shared" si="1041"/>
        <v>-0.17460317460317465</v>
      </c>
    </row>
    <row r="652" spans="1:25" ht="14.4">
      <c r="A652" s="98" t="s">
        <v>935</v>
      </c>
      <c r="B652" s="99">
        <v>540205</v>
      </c>
      <c r="C652" s="98" t="s">
        <v>187</v>
      </c>
      <c r="D652" s="101" t="s">
        <v>90</v>
      </c>
      <c r="E652" s="11">
        <f ca="1">IFERROR(__xludf.DUMMYFUNCTION("GOOGLEFINANCE(""BOM:""&amp;B653,""PRICE"")"),459.55)</f>
        <v>459.55</v>
      </c>
      <c r="F652" s="20">
        <f ca="1">IFERROR(__xludf.DUMMYFUNCTION("GOOGLEFINANCE(""BOM:""&amp;B653,""MARKETCAP"")/10000000"),5926.1427411)</f>
        <v>5926.1427411000004</v>
      </c>
      <c r="G652" s="95">
        <f t="shared" ca="1" si="1056"/>
        <v>1.4709221963435208E-4</v>
      </c>
      <c r="H652" s="101">
        <v>2054</v>
      </c>
      <c r="I652" s="101">
        <v>1778</v>
      </c>
      <c r="J652" s="101">
        <v>95</v>
      </c>
      <c r="K652" s="101">
        <v>89</v>
      </c>
      <c r="L652" s="101">
        <v>652</v>
      </c>
      <c r="M652" s="101">
        <v>510</v>
      </c>
      <c r="N652" s="101">
        <v>27</v>
      </c>
      <c r="O652" s="101">
        <v>24</v>
      </c>
      <c r="P652" s="13">
        <f t="shared" ref="P652:Q652" si="1317">J652/H652</f>
        <v>4.6251217137293084E-2</v>
      </c>
      <c r="Q652" s="13">
        <f t="shared" si="1317"/>
        <v>5.0056242969628795E-2</v>
      </c>
      <c r="R652" s="13">
        <f t="shared" si="1035"/>
        <v>-3.8050258323357108E-3</v>
      </c>
      <c r="S652" s="13">
        <f t="shared" ref="S652:T652" si="1318">N652/L652</f>
        <v>4.1411042944785273E-2</v>
      </c>
      <c r="T652" s="13">
        <f t="shared" si="1318"/>
        <v>4.7058823529411764E-2</v>
      </c>
      <c r="U652" s="13">
        <f t="shared" si="1037"/>
        <v>-5.6477805846264911E-3</v>
      </c>
      <c r="V652" s="13">
        <f t="shared" si="1038"/>
        <v>0.15523059617547807</v>
      </c>
      <c r="W652" s="13">
        <f t="shared" si="1039"/>
        <v>6.7415730337078594E-2</v>
      </c>
      <c r="X652" s="13">
        <f t="shared" si="1040"/>
        <v>0.27843137254901951</v>
      </c>
      <c r="Y652" s="13">
        <f t="shared" si="1041"/>
        <v>0.125</v>
      </c>
    </row>
    <row r="653" spans="1:25" ht="14.4">
      <c r="A653" s="98" t="s">
        <v>936</v>
      </c>
      <c r="B653" s="99">
        <v>532976</v>
      </c>
      <c r="C653" s="98" t="s">
        <v>196</v>
      </c>
      <c r="D653" s="100" t="s">
        <v>211</v>
      </c>
      <c r="E653" s="11">
        <f ca="1">IFERROR(__xludf.DUMMYFUNCTION("GOOGLEFINANCE(""BOM:""&amp;B654,""PRICE"")"),56.87)</f>
        <v>56.87</v>
      </c>
      <c r="F653" s="20">
        <f ca="1">IFERROR(__xludf.DUMMYFUNCTION("GOOGLEFINANCE(""BOM:""&amp;B654,""MARKETCAP"")/10000000"),5195.271223)</f>
        <v>5195.2712229999997</v>
      </c>
      <c r="G653" s="95">
        <f t="shared" ca="1" si="1056"/>
        <v>1.2895132790063346E-4</v>
      </c>
      <c r="H653" s="101">
        <v>4039</v>
      </c>
      <c r="I653" s="101">
        <v>4761</v>
      </c>
      <c r="J653" s="101">
        <v>108</v>
      </c>
      <c r="K653" s="101">
        <v>482</v>
      </c>
      <c r="L653" s="101">
        <v>1328</v>
      </c>
      <c r="M653" s="101">
        <v>1486</v>
      </c>
      <c r="N653" s="101">
        <v>12</v>
      </c>
      <c r="O653" s="101">
        <v>120</v>
      </c>
      <c r="P653" s="13">
        <f t="shared" ref="P653:Q653" si="1319">J653/H653</f>
        <v>2.6739291903936618E-2</v>
      </c>
      <c r="Q653" s="13">
        <f t="shared" si="1319"/>
        <v>0.1012392354547364</v>
      </c>
      <c r="R653" s="13">
        <f t="shared" si="1035"/>
        <v>-7.449994355079978E-2</v>
      </c>
      <c r="S653" s="13">
        <f t="shared" ref="S653:T653" si="1320">N653/L653</f>
        <v>9.0361445783132526E-3</v>
      </c>
      <c r="T653" s="13">
        <f t="shared" si="1320"/>
        <v>8.0753701211305512E-2</v>
      </c>
      <c r="U653" s="13">
        <f t="shared" si="1037"/>
        <v>-7.1717556632992258E-2</v>
      </c>
      <c r="V653" s="13">
        <f t="shared" si="1038"/>
        <v>-0.15164881327452218</v>
      </c>
      <c r="W653" s="13">
        <f t="shared" si="1039"/>
        <v>-0.77593360995850624</v>
      </c>
      <c r="X653" s="13">
        <f t="shared" si="1040"/>
        <v>-0.10632570659488561</v>
      </c>
      <c r="Y653" s="13">
        <f t="shared" si="1041"/>
        <v>-0.9</v>
      </c>
    </row>
    <row r="654" spans="1:25" ht="14.4">
      <c r="A654" s="98" t="s">
        <v>937</v>
      </c>
      <c r="B654" s="99">
        <v>540203</v>
      </c>
      <c r="C654" s="98" t="s">
        <v>187</v>
      </c>
      <c r="D654" s="70" t="s">
        <v>938</v>
      </c>
      <c r="E654" s="11">
        <f ca="1">IFERROR(__xludf.DUMMYFUNCTION("GOOGLEFINANCE(""BOM:""&amp;B655,""PRICE"")"),502.45)</f>
        <v>502.45</v>
      </c>
      <c r="F654" s="20">
        <f ca="1">IFERROR(__xludf.DUMMYFUNCTION("GOOGLEFINANCE(""BOM:""&amp;B655,""MARKETCAP"")/10000000"),5469.2353833)</f>
        <v>5469.2353832999997</v>
      </c>
      <c r="G654" s="95">
        <f t="shared" ca="1" si="1056"/>
        <v>1.3575136600287268E-4</v>
      </c>
      <c r="H654" s="101">
        <v>2771</v>
      </c>
      <c r="I654" s="101">
        <v>2590</v>
      </c>
      <c r="J654" s="101">
        <v>69</v>
      </c>
      <c r="K654" s="101">
        <v>77</v>
      </c>
      <c r="L654" s="101">
        <v>1074</v>
      </c>
      <c r="M654" s="101">
        <v>967</v>
      </c>
      <c r="N654" s="101">
        <v>53</v>
      </c>
      <c r="O654" s="101">
        <v>17</v>
      </c>
      <c r="P654" s="13">
        <f t="shared" ref="P654:Q654" si="1321">J654/H654</f>
        <v>2.4900757849151932E-2</v>
      </c>
      <c r="Q654" s="13">
        <f t="shared" si="1321"/>
        <v>2.9729729729729731E-2</v>
      </c>
      <c r="R654" s="13">
        <f t="shared" si="1035"/>
        <v>-4.8289718805777995E-3</v>
      </c>
      <c r="S654" s="13">
        <f t="shared" ref="S654:T654" si="1322">N654/L654</f>
        <v>4.9348230912476726E-2</v>
      </c>
      <c r="T654" s="13">
        <f t="shared" si="1322"/>
        <v>1.7580144777662874E-2</v>
      </c>
      <c r="U654" s="13">
        <f t="shared" si="1037"/>
        <v>3.1768086134813855E-2</v>
      </c>
      <c r="V654" s="13">
        <f t="shared" si="1038"/>
        <v>6.98841698841699E-2</v>
      </c>
      <c r="W654" s="13">
        <f t="shared" si="1039"/>
        <v>-0.10389610389610393</v>
      </c>
      <c r="X654" s="13">
        <f t="shared" si="1040"/>
        <v>0.11065149948293684</v>
      </c>
      <c r="Y654" s="13">
        <f t="shared" si="1041"/>
        <v>2.1176470588235294</v>
      </c>
    </row>
    <row r="655" spans="1:25" ht="14.4">
      <c r="A655" s="98" t="s">
        <v>939</v>
      </c>
      <c r="B655" s="99">
        <v>531599</v>
      </c>
      <c r="C655" s="98" t="s">
        <v>190</v>
      </c>
      <c r="D655" s="100" t="s">
        <v>100</v>
      </c>
      <c r="E655" s="11">
        <f ca="1">IFERROR(__xludf.DUMMYFUNCTION("GOOGLEFINANCE(""BOM:""&amp;B656,""PRICE"")"),335.45)</f>
        <v>335.45</v>
      </c>
      <c r="F655" s="20">
        <f ca="1">IFERROR(__xludf.DUMMYFUNCTION("GOOGLEFINANCE(""BOM:""&amp;B656,""MARKETCAP"")/10000000"),5465.5318987)</f>
        <v>5465.5318987000001</v>
      </c>
      <c r="G655" s="95">
        <f t="shared" ca="1" si="1056"/>
        <v>1.3565944216742108E-4</v>
      </c>
      <c r="H655" s="101">
        <v>1586</v>
      </c>
      <c r="I655" s="101">
        <v>1616</v>
      </c>
      <c r="J655" s="101">
        <v>178</v>
      </c>
      <c r="K655" s="101">
        <v>228</v>
      </c>
      <c r="L655" s="101">
        <v>464</v>
      </c>
      <c r="M655" s="101">
        <v>464</v>
      </c>
      <c r="N655" s="101">
        <v>28</v>
      </c>
      <c r="O655" s="101">
        <v>37</v>
      </c>
      <c r="P655" s="13">
        <f t="shared" ref="P655:Q655" si="1323">J655/H655</f>
        <v>0.11223203026481715</v>
      </c>
      <c r="Q655" s="13">
        <f t="shared" si="1323"/>
        <v>0.14108910891089108</v>
      </c>
      <c r="R655" s="13">
        <f t="shared" si="1035"/>
        <v>-2.8857078646073925E-2</v>
      </c>
      <c r="S655" s="13">
        <f t="shared" ref="S655:T655" si="1324">N655/L655</f>
        <v>6.0344827586206899E-2</v>
      </c>
      <c r="T655" s="13">
        <f t="shared" si="1324"/>
        <v>7.9741379310344834E-2</v>
      </c>
      <c r="U655" s="13">
        <f t="shared" si="1037"/>
        <v>-1.9396551724137935E-2</v>
      </c>
      <c r="V655" s="13">
        <f t="shared" si="1038"/>
        <v>-1.8564356435643581E-2</v>
      </c>
      <c r="W655" s="13">
        <f t="shared" si="1039"/>
        <v>-0.2192982456140351</v>
      </c>
      <c r="X655" s="13">
        <f t="shared" si="1040"/>
        <v>0</v>
      </c>
      <c r="Y655" s="13">
        <f t="shared" si="1041"/>
        <v>-0.2432432432432432</v>
      </c>
    </row>
    <row r="656" spans="1:25" ht="14.4">
      <c r="A656" s="98" t="s">
        <v>940</v>
      </c>
      <c r="B656" s="99">
        <v>538979</v>
      </c>
      <c r="C656" s="98" t="s">
        <v>187</v>
      </c>
      <c r="D656" s="70" t="s">
        <v>624</v>
      </c>
      <c r="E656" s="11">
        <f ca="1">IFERROR(__xludf.DUMMYFUNCTION("GOOGLEFINANCE(""BOM:""&amp;B657,""PRICE"")"),219.35)</f>
        <v>219.35</v>
      </c>
      <c r="F656" s="20">
        <f ca="1">IFERROR(__xludf.DUMMYFUNCTION("GOOGLEFINANCE(""BOM:""&amp;B657,""MARKETCAP"")/10000000"),5580.0801211)</f>
        <v>5580.0801210999998</v>
      </c>
      <c r="G656" s="95">
        <f t="shared" ca="1" si="1056"/>
        <v>1.3850263259061665E-4</v>
      </c>
      <c r="H656" s="101">
        <v>2188</v>
      </c>
      <c r="I656" s="101">
        <v>1888</v>
      </c>
      <c r="J656" s="101">
        <v>15</v>
      </c>
      <c r="K656" s="101">
        <v>67</v>
      </c>
      <c r="L656" s="101">
        <v>706</v>
      </c>
      <c r="M656" s="101">
        <v>602</v>
      </c>
      <c r="N656" s="101">
        <v>-0.59</v>
      </c>
      <c r="O656" s="101">
        <v>13</v>
      </c>
      <c r="P656" s="13">
        <f t="shared" ref="P656:Q656" si="1325">J656/H656</f>
        <v>6.855575868372943E-3</v>
      </c>
      <c r="Q656" s="13">
        <f t="shared" si="1325"/>
        <v>3.5487288135593223E-2</v>
      </c>
      <c r="R656" s="13">
        <f t="shared" si="1035"/>
        <v>-2.8631712267220281E-2</v>
      </c>
      <c r="S656" s="13">
        <f t="shared" ref="S656:T656" si="1326">N656/L656</f>
        <v>-8.3569405099150138E-4</v>
      </c>
      <c r="T656" s="13">
        <f t="shared" si="1326"/>
        <v>2.1594684385382059E-2</v>
      </c>
      <c r="U656" s="13">
        <f t="shared" si="1037"/>
        <v>-2.243037843637356E-2</v>
      </c>
      <c r="V656" s="13">
        <f t="shared" si="1038"/>
        <v>0.15889830508474567</v>
      </c>
      <c r="W656" s="13">
        <f t="shared" si="1039"/>
        <v>-0.77611940298507465</v>
      </c>
      <c r="X656" s="13">
        <f t="shared" si="1040"/>
        <v>0.1727574750830565</v>
      </c>
      <c r="Y656" s="13">
        <f t="shared" si="1041"/>
        <v>-1.0453846153846154</v>
      </c>
    </row>
    <row r="657" spans="1:25" ht="14.4">
      <c r="A657" s="98" t="s">
        <v>941</v>
      </c>
      <c r="B657" s="99">
        <v>512329</v>
      </c>
      <c r="C657" s="98" t="s">
        <v>196</v>
      </c>
      <c r="D657" s="101" t="s">
        <v>867</v>
      </c>
      <c r="E657" s="11">
        <f ca="1">IFERROR(__xludf.DUMMYFUNCTION("GOOGLEFINANCE(""BOM:""&amp;B658,""PRICE"")"),503.2)</f>
        <v>503.2</v>
      </c>
      <c r="F657" s="20">
        <f ca="1">IFERROR(__xludf.DUMMYFUNCTION("GOOGLEFINANCE(""BOM:""&amp;B658,""MARKETCAP"")/10000000"),6344.7298461)</f>
        <v>6344.7298461</v>
      </c>
      <c r="G657" s="95">
        <f t="shared" ca="1" si="1056"/>
        <v>1.5748192995262546E-4</v>
      </c>
      <c r="H657" s="101">
        <v>4549</v>
      </c>
      <c r="I657" s="101">
        <v>4323</v>
      </c>
      <c r="J657" s="101">
        <v>69</v>
      </c>
      <c r="K657" s="101">
        <v>70</v>
      </c>
      <c r="L657" s="101">
        <v>1662</v>
      </c>
      <c r="M657" s="101">
        <v>1360</v>
      </c>
      <c r="N657" s="101">
        <v>10</v>
      </c>
      <c r="O657" s="101">
        <v>28</v>
      </c>
      <c r="P657" s="13">
        <f t="shared" ref="P657:Q657" si="1327">J657/H657</f>
        <v>1.5168168828313915E-2</v>
      </c>
      <c r="Q657" s="13">
        <f t="shared" si="1327"/>
        <v>1.6192458940550544E-2</v>
      </c>
      <c r="R657" s="13">
        <f t="shared" si="1035"/>
        <v>-1.0242901122366286E-3</v>
      </c>
      <c r="S657" s="13">
        <f t="shared" ref="S657:T657" si="1328">N657/L657</f>
        <v>6.0168471720818293E-3</v>
      </c>
      <c r="T657" s="13">
        <f t="shared" si="1328"/>
        <v>2.0588235294117647E-2</v>
      </c>
      <c r="U657" s="13">
        <f t="shared" si="1037"/>
        <v>-1.4571388122035817E-2</v>
      </c>
      <c r="V657" s="13">
        <f t="shared" si="1038"/>
        <v>5.2278510293777503E-2</v>
      </c>
      <c r="W657" s="13">
        <f t="shared" si="1039"/>
        <v>-1.4285714285714235E-2</v>
      </c>
      <c r="X657" s="13">
        <f t="shared" si="1040"/>
        <v>0.22205882352941186</v>
      </c>
      <c r="Y657" s="13">
        <f t="shared" si="1041"/>
        <v>-0.64285714285714279</v>
      </c>
    </row>
    <row r="658" spans="1:25" ht="14.4">
      <c r="A658" s="98" t="s">
        <v>942</v>
      </c>
      <c r="B658" s="99">
        <v>532509</v>
      </c>
      <c r="C658" s="98" t="s">
        <v>187</v>
      </c>
      <c r="D658" s="100" t="s">
        <v>312</v>
      </c>
      <c r="E658" s="11">
        <f ca="1">IFERROR(__xludf.DUMMYFUNCTION("GOOGLEFINANCE(""BOM:""&amp;B659,""PRICE"")"),413.15)</f>
        <v>413.15</v>
      </c>
      <c r="F658" s="20">
        <f ca="1">IFERROR(__xludf.DUMMYFUNCTION("GOOGLEFINANCE(""BOM:""&amp;B659,""MARKETCAP"")/10000000"),5667.2239127)</f>
        <v>5667.2239127000003</v>
      </c>
      <c r="G658" s="95">
        <f t="shared" ca="1" si="1056"/>
        <v>1.4066562026975211E-4</v>
      </c>
      <c r="H658" s="101">
        <v>2782</v>
      </c>
      <c r="I658" s="101">
        <v>2400</v>
      </c>
      <c r="J658" s="101">
        <v>111</v>
      </c>
      <c r="K658" s="101">
        <v>72</v>
      </c>
      <c r="L658" s="101">
        <v>978</v>
      </c>
      <c r="M658" s="101">
        <v>831</v>
      </c>
      <c r="N658" s="101">
        <v>12</v>
      </c>
      <c r="O658" s="101">
        <v>33</v>
      </c>
      <c r="P658" s="13">
        <f t="shared" ref="P658:Q658" si="1329">J658/H658</f>
        <v>3.9899352983465135E-2</v>
      </c>
      <c r="Q658" s="13">
        <f t="shared" si="1329"/>
        <v>0.03</v>
      </c>
      <c r="R658" s="13">
        <f t="shared" si="1035"/>
        <v>9.8993529834651359E-3</v>
      </c>
      <c r="S658" s="13">
        <f t="shared" ref="S658:T658" si="1330">N658/L658</f>
        <v>1.2269938650306749E-2</v>
      </c>
      <c r="T658" s="13">
        <f t="shared" si="1330"/>
        <v>3.9711191335740074E-2</v>
      </c>
      <c r="U658" s="13">
        <f t="shared" si="1037"/>
        <v>-2.7441252685433327E-2</v>
      </c>
      <c r="V658" s="13">
        <f t="shared" si="1038"/>
        <v>0.15916666666666668</v>
      </c>
      <c r="W658" s="13">
        <f t="shared" si="1039"/>
        <v>0.54166666666666674</v>
      </c>
      <c r="X658" s="13">
        <f t="shared" si="1040"/>
        <v>0.17689530685920585</v>
      </c>
      <c r="Y658" s="13">
        <f t="shared" si="1041"/>
        <v>-0.63636363636363635</v>
      </c>
    </row>
    <row r="659" spans="1:25" ht="14.4">
      <c r="A659" s="98" t="s">
        <v>943</v>
      </c>
      <c r="B659" s="99">
        <v>523539</v>
      </c>
      <c r="C659" s="98" t="s">
        <v>180</v>
      </c>
      <c r="D659" s="102" t="s">
        <v>944</v>
      </c>
      <c r="E659" s="11">
        <f ca="1">IFERROR(__xludf.DUMMYFUNCTION("GOOGLEFINANCE(""BOM:""&amp;B660,""PRICE"")"),299.9)</f>
        <v>299.89999999999998</v>
      </c>
      <c r="F659" s="20">
        <f ca="1">IFERROR(__xludf.DUMMYFUNCTION("GOOGLEFINANCE(""BOM:""&amp;B660,""MARKETCAP"")/10000000"),5475.096605)</f>
        <v>5475.0966049999997</v>
      </c>
      <c r="G659" s="95">
        <f t="shared" ca="1" si="1056"/>
        <v>1.3589684682358306E-4</v>
      </c>
      <c r="H659" s="101">
        <v>3666</v>
      </c>
      <c r="I659" s="101">
        <v>2969</v>
      </c>
      <c r="J659" s="101">
        <v>100</v>
      </c>
      <c r="K659" s="101">
        <v>60</v>
      </c>
      <c r="L659" s="101">
        <v>1336</v>
      </c>
      <c r="M659" s="101">
        <v>979</v>
      </c>
      <c r="N659" s="101">
        <v>37</v>
      </c>
      <c r="O659" s="101">
        <v>18</v>
      </c>
      <c r="P659" s="13">
        <f t="shared" ref="P659:Q659" si="1331">J659/H659</f>
        <v>2.7277686852154936E-2</v>
      </c>
      <c r="Q659" s="13">
        <f t="shared" si="1331"/>
        <v>2.0208824520040417E-2</v>
      </c>
      <c r="R659" s="13">
        <f t="shared" si="1035"/>
        <v>7.0688623321145186E-3</v>
      </c>
      <c r="S659" s="13">
        <f t="shared" ref="S659:T659" si="1332">N659/L659</f>
        <v>2.7694610778443114E-2</v>
      </c>
      <c r="T659" s="13">
        <f t="shared" si="1332"/>
        <v>1.8386108273748723E-2</v>
      </c>
      <c r="U659" s="13">
        <f t="shared" si="1037"/>
        <v>9.3085025046943902E-3</v>
      </c>
      <c r="V659" s="13">
        <f t="shared" si="1038"/>
        <v>0.23475917817446956</v>
      </c>
      <c r="W659" s="13">
        <f t="shared" si="1039"/>
        <v>0.66666666666666674</v>
      </c>
      <c r="X659" s="13">
        <f t="shared" si="1040"/>
        <v>0.36465781409601639</v>
      </c>
      <c r="Y659" s="13">
        <f t="shared" si="1041"/>
        <v>1.0555555555555554</v>
      </c>
    </row>
    <row r="660" spans="1:25" ht="14.4">
      <c r="A660" s="98" t="s">
        <v>945</v>
      </c>
      <c r="B660" s="99">
        <v>532162</v>
      </c>
      <c r="C660" s="98" t="s">
        <v>196</v>
      </c>
      <c r="D660" s="102" t="s">
        <v>672</v>
      </c>
      <c r="E660" s="11">
        <f ca="1">IFERROR(__xludf.DUMMYFUNCTION("GOOGLEFINANCE(""BOM:""&amp;B661,""PRICE"")"),336.5)</f>
        <v>336.5</v>
      </c>
      <c r="F660" s="20">
        <f ca="1">IFERROR(__xludf.DUMMYFUNCTION("GOOGLEFINANCE(""BOM:""&amp;B661,""MARKETCAP"")/10000000"),6103.1875526)</f>
        <v>6103.1875526000003</v>
      </c>
      <c r="G660" s="95">
        <f t="shared" ca="1" si="1056"/>
        <v>1.5148663189136204E-4</v>
      </c>
      <c r="H660" s="101">
        <v>5533</v>
      </c>
      <c r="I660" s="101">
        <v>5315</v>
      </c>
      <c r="J660" s="101">
        <v>191</v>
      </c>
      <c r="K660" s="101">
        <v>335</v>
      </c>
      <c r="L660" s="101">
        <v>1878</v>
      </c>
      <c r="M660" s="101">
        <v>1733</v>
      </c>
      <c r="N660" s="101">
        <v>28</v>
      </c>
      <c r="O660" s="101">
        <v>65</v>
      </c>
      <c r="P660" s="13">
        <f t="shared" ref="P660:Q660" si="1333">J660/H660</f>
        <v>3.4520151816374481E-2</v>
      </c>
      <c r="Q660" s="13">
        <f t="shared" si="1333"/>
        <v>6.3029162746942619E-2</v>
      </c>
      <c r="R660" s="13">
        <f t="shared" si="1035"/>
        <v>-2.8509010930568138E-2</v>
      </c>
      <c r="S660" s="13">
        <f t="shared" ref="S660:T660" si="1334">N660/L660</f>
        <v>1.4909478168264111E-2</v>
      </c>
      <c r="T660" s="13">
        <f t="shared" si="1334"/>
        <v>3.7507212925562611E-2</v>
      </c>
      <c r="U660" s="13">
        <f t="shared" si="1037"/>
        <v>-2.2597734757298499E-2</v>
      </c>
      <c r="V660" s="13">
        <f t="shared" si="1038"/>
        <v>4.1015992474129792E-2</v>
      </c>
      <c r="W660" s="13">
        <f t="shared" si="1039"/>
        <v>-0.42985074626865671</v>
      </c>
      <c r="X660" s="13">
        <f t="shared" si="1040"/>
        <v>8.3669936526254984E-2</v>
      </c>
      <c r="Y660" s="13">
        <f t="shared" si="1041"/>
        <v>-0.56923076923076921</v>
      </c>
    </row>
    <row r="661" spans="1:25" ht="14.4">
      <c r="A661" s="98" t="s">
        <v>946</v>
      </c>
      <c r="B661" s="99">
        <v>532772</v>
      </c>
      <c r="C661" s="98" t="s">
        <v>172</v>
      </c>
      <c r="D661" s="101" t="s">
        <v>72</v>
      </c>
      <c r="E661" s="11">
        <f ca="1">IFERROR(__xludf.DUMMYFUNCTION("GOOGLEFINANCE(""BOM:""&amp;B662,""PRICE"")"),168.45)</f>
        <v>168.45</v>
      </c>
      <c r="F661" s="20">
        <f ca="1">IFERROR(__xludf.DUMMYFUNCTION("GOOGLEFINANCE(""BOM:""&amp;B662,""MARKETCAP"")/10000000"),5424.6875859)</f>
        <v>5424.6875859000002</v>
      </c>
      <c r="G661" s="95">
        <f t="shared" ca="1" si="1056"/>
        <v>1.346456494034492E-4</v>
      </c>
      <c r="H661" s="101">
        <v>6140</v>
      </c>
      <c r="I661" s="101">
        <v>5260</v>
      </c>
      <c r="J661" s="101">
        <v>525</v>
      </c>
      <c r="K661" s="101">
        <v>438</v>
      </c>
      <c r="L661" s="101">
        <v>2082</v>
      </c>
      <c r="M661" s="101">
        <v>1855</v>
      </c>
      <c r="N661" s="101">
        <v>184</v>
      </c>
      <c r="O661" s="101">
        <v>151</v>
      </c>
      <c r="P661" s="13">
        <f t="shared" ref="P661:Q661" si="1335">J661/H661</f>
        <v>8.5504885993485338E-2</v>
      </c>
      <c r="Q661" s="13">
        <f t="shared" si="1335"/>
        <v>8.3269961977186308E-2</v>
      </c>
      <c r="R661" s="13">
        <f t="shared" si="1035"/>
        <v>2.2349240162990308E-3</v>
      </c>
      <c r="S661" s="13">
        <f t="shared" ref="S661:T661" si="1336">N661/L661</f>
        <v>8.8376560999039386E-2</v>
      </c>
      <c r="T661" s="13">
        <f t="shared" si="1336"/>
        <v>8.1401617250673852E-2</v>
      </c>
      <c r="U661" s="13">
        <f t="shared" si="1037"/>
        <v>6.9749437483655335E-3</v>
      </c>
      <c r="V661" s="13">
        <f t="shared" si="1038"/>
        <v>0.16730038022813698</v>
      </c>
      <c r="W661" s="13">
        <f t="shared" si="1039"/>
        <v>0.19863013698630128</v>
      </c>
      <c r="X661" s="13">
        <f t="shared" si="1040"/>
        <v>0.12237196765498659</v>
      </c>
      <c r="Y661" s="13">
        <f t="shared" si="1041"/>
        <v>0.2185430463576159</v>
      </c>
    </row>
    <row r="662" spans="1:25" ht="14.4">
      <c r="A662" s="98" t="s">
        <v>947</v>
      </c>
      <c r="B662" s="99">
        <v>524019</v>
      </c>
      <c r="C662" s="98" t="s">
        <v>180</v>
      </c>
      <c r="D662" s="100" t="s">
        <v>420</v>
      </c>
      <c r="E662" s="11">
        <f ca="1">IFERROR(__xludf.DUMMYFUNCTION("GOOGLEFINANCE(""BOM:""&amp;B663,""PRICE"")"),4234.4)</f>
        <v>4234.3999999999996</v>
      </c>
      <c r="F662" s="20">
        <f ca="1">IFERROR(__xludf.DUMMYFUNCTION("GOOGLEFINANCE(""BOM:""&amp;B663,""MARKETCAP"")/10000000"),5754.9997937)</f>
        <v>5754.9997936999998</v>
      </c>
      <c r="G662" s="95">
        <f t="shared" ca="1" si="1056"/>
        <v>1.4284429697915824E-4</v>
      </c>
      <c r="H662" s="101">
        <v>1417</v>
      </c>
      <c r="I662" s="101">
        <v>1275</v>
      </c>
      <c r="J662" s="101">
        <v>126</v>
      </c>
      <c r="K662" s="101">
        <v>110</v>
      </c>
      <c r="L662" s="101">
        <v>489</v>
      </c>
      <c r="M662" s="101">
        <v>440</v>
      </c>
      <c r="N662" s="101">
        <v>45</v>
      </c>
      <c r="O662" s="101">
        <v>34</v>
      </c>
      <c r="P662" s="13">
        <f t="shared" ref="P662:Q662" si="1337">J662/H662</f>
        <v>8.8920254057868742E-2</v>
      </c>
      <c r="Q662" s="13">
        <f t="shared" si="1337"/>
        <v>8.6274509803921567E-2</v>
      </c>
      <c r="R662" s="13">
        <f t="shared" si="1035"/>
        <v>2.6457442539471743E-3</v>
      </c>
      <c r="S662" s="13">
        <f t="shared" ref="S662:T662" si="1338">N662/L662</f>
        <v>9.202453987730061E-2</v>
      </c>
      <c r="T662" s="13">
        <f t="shared" si="1338"/>
        <v>7.7272727272727271E-2</v>
      </c>
      <c r="U662" s="13">
        <f t="shared" si="1037"/>
        <v>1.4751812604573339E-2</v>
      </c>
      <c r="V662" s="13">
        <f t="shared" si="1038"/>
        <v>0.1113725490196078</v>
      </c>
      <c r="W662" s="13">
        <f t="shared" si="1039"/>
        <v>0.1454545454545455</v>
      </c>
      <c r="X662" s="13">
        <f t="shared" si="1040"/>
        <v>0.11136363636363633</v>
      </c>
      <c r="Y662" s="13">
        <f t="shared" si="1041"/>
        <v>0.32352941176470584</v>
      </c>
    </row>
    <row r="663" spans="1:25" ht="14.4">
      <c r="A663" s="98" t="s">
        <v>948</v>
      </c>
      <c r="B663" s="99">
        <v>543417</v>
      </c>
      <c r="C663" s="98" t="s">
        <v>174</v>
      </c>
      <c r="D663" s="100" t="s">
        <v>175</v>
      </c>
      <c r="E663" s="11">
        <f ca="1">IFERROR(__xludf.DUMMYFUNCTION("GOOGLEFINANCE(""BOM:""&amp;B664,""PRICE"")"),496.65)</f>
        <v>496.65</v>
      </c>
      <c r="F663" s="20">
        <f ca="1">IFERROR(__xludf.DUMMYFUNCTION("GOOGLEFINANCE(""BOM:""&amp;B664,""MARKETCAP"")/10000000"),5870.0460343)</f>
        <v>5870.0460343000004</v>
      </c>
      <c r="G663" s="95">
        <f t="shared" ca="1" si="1056"/>
        <v>1.4569984866424991E-4</v>
      </c>
      <c r="H663" s="101">
        <v>1108</v>
      </c>
      <c r="I663" s="101">
        <v>815</v>
      </c>
      <c r="J663" s="101">
        <v>124</v>
      </c>
      <c r="K663" s="101">
        <v>154</v>
      </c>
      <c r="L663" s="101">
        <v>540</v>
      </c>
      <c r="M663" s="101">
        <v>278</v>
      </c>
      <c r="N663" s="101">
        <v>26</v>
      </c>
      <c r="O663" s="101">
        <v>56</v>
      </c>
      <c r="P663" s="13">
        <f t="shared" ref="P663:Q663" si="1339">J663/H663</f>
        <v>0.11191335740072202</v>
      </c>
      <c r="Q663" s="13">
        <f t="shared" si="1339"/>
        <v>0.18895705521472392</v>
      </c>
      <c r="R663" s="13">
        <f t="shared" si="1035"/>
        <v>-7.7043697814001902E-2</v>
      </c>
      <c r="S663" s="13">
        <f t="shared" ref="S663:T663" si="1340">N663/L663</f>
        <v>4.8148148148148148E-2</v>
      </c>
      <c r="T663" s="13">
        <f t="shared" si="1340"/>
        <v>0.20143884892086331</v>
      </c>
      <c r="U663" s="13">
        <f t="shared" si="1037"/>
        <v>-0.15329070077271517</v>
      </c>
      <c r="V663" s="13">
        <f t="shared" si="1038"/>
        <v>0.35950920245398765</v>
      </c>
      <c r="W663" s="13">
        <f t="shared" si="1039"/>
        <v>-0.19480519480519476</v>
      </c>
      <c r="X663" s="13">
        <f t="shared" si="1040"/>
        <v>0.94244604316546754</v>
      </c>
      <c r="Y663" s="13">
        <f t="shared" si="1041"/>
        <v>-0.5357142857142857</v>
      </c>
    </row>
    <row r="664" spans="1:25" ht="14.4">
      <c r="A664" s="98" t="s">
        <v>949</v>
      </c>
      <c r="B664" s="99">
        <v>523323</v>
      </c>
      <c r="C664" s="98" t="s">
        <v>190</v>
      </c>
      <c r="D664" s="93" t="s">
        <v>113</v>
      </c>
      <c r="E664" s="11">
        <f ca="1">IFERROR(__xludf.DUMMYFUNCTION("GOOGLEFINANCE(""BOM:""&amp;B665,""PRICE"")"),5233.85)</f>
        <v>5233.8500000000004</v>
      </c>
      <c r="F664" s="20">
        <f ca="1">IFERROR(__xludf.DUMMYFUNCTION("GOOGLEFINANCE(""BOM:""&amp;B665,""MARKETCAP"")/10000000"),5727.0148569)</f>
        <v>5727.0148569000003</v>
      </c>
      <c r="G664" s="95">
        <f t="shared" ca="1" si="1056"/>
        <v>1.4214968555144314E-4</v>
      </c>
      <c r="H664" s="101">
        <v>1170</v>
      </c>
      <c r="I664" s="101">
        <v>1013</v>
      </c>
      <c r="J664" s="101">
        <v>181</v>
      </c>
      <c r="K664" s="101">
        <v>154</v>
      </c>
      <c r="L664" s="101">
        <v>406</v>
      </c>
      <c r="M664" s="101">
        <v>354</v>
      </c>
      <c r="N664" s="101">
        <v>65</v>
      </c>
      <c r="O664" s="101">
        <v>57</v>
      </c>
      <c r="P664" s="13">
        <f t="shared" ref="P664:Q664" si="1341">J664/H664</f>
        <v>0.15470085470085471</v>
      </c>
      <c r="Q664" s="13">
        <f t="shared" si="1341"/>
        <v>0.15202369200394866</v>
      </c>
      <c r="R664" s="13">
        <f t="shared" si="1035"/>
        <v>2.6771626969060436E-3</v>
      </c>
      <c r="S664" s="13">
        <f t="shared" ref="S664:T664" si="1342">N664/L664</f>
        <v>0.16009852216748768</v>
      </c>
      <c r="T664" s="13">
        <f t="shared" si="1342"/>
        <v>0.16101694915254236</v>
      </c>
      <c r="U664" s="13">
        <f t="shared" si="1037"/>
        <v>-9.1842698505467668E-4</v>
      </c>
      <c r="V664" s="13">
        <f t="shared" si="1038"/>
        <v>0.15498519249753206</v>
      </c>
      <c r="W664" s="13">
        <f t="shared" si="1039"/>
        <v>0.17532467532467533</v>
      </c>
      <c r="X664" s="13">
        <f t="shared" si="1040"/>
        <v>0.14689265536723162</v>
      </c>
      <c r="Y664" s="13">
        <f t="shared" si="1041"/>
        <v>0.14035087719298245</v>
      </c>
    </row>
    <row r="665" spans="1:25" ht="14.4">
      <c r="A665" s="98" t="s">
        <v>950</v>
      </c>
      <c r="B665" s="99">
        <v>532790</v>
      </c>
      <c r="C665" s="98" t="s">
        <v>174</v>
      </c>
      <c r="D665" s="70" t="s">
        <v>389</v>
      </c>
      <c r="E665" s="11">
        <f ca="1">IFERROR(__xludf.DUMMYFUNCTION("GOOGLEFINANCE(""BOM:""&amp;B666,""PRICE"")"),421.2)</f>
        <v>421.2</v>
      </c>
      <c r="F665" s="20">
        <f ca="1">IFERROR(__xludf.DUMMYFUNCTION("GOOGLEFINANCE(""BOM:""&amp;B666,""MARKETCAP"")/10000000"),5561.72317)</f>
        <v>5561.7231700000002</v>
      </c>
      <c r="G665" s="95">
        <f t="shared" ca="1" si="1056"/>
        <v>1.3804699647097148E-4</v>
      </c>
      <c r="H665" s="101">
        <v>3240</v>
      </c>
      <c r="I665" s="101">
        <v>3003</v>
      </c>
      <c r="J665" s="101">
        <v>374</v>
      </c>
      <c r="K665" s="101">
        <v>389</v>
      </c>
      <c r="L665" s="101">
        <v>1121</v>
      </c>
      <c r="M665" s="101">
        <v>1000</v>
      </c>
      <c r="N665" s="101">
        <v>131</v>
      </c>
      <c r="O665" s="101">
        <v>118</v>
      </c>
      <c r="P665" s="13">
        <f t="shared" ref="P665:Q665" si="1343">J665/H665</f>
        <v>0.1154320987654321</v>
      </c>
      <c r="Q665" s="13">
        <f t="shared" si="1343"/>
        <v>0.12953712953712954</v>
      </c>
      <c r="R665" s="13">
        <f t="shared" si="1035"/>
        <v>-1.4105030771697433E-2</v>
      </c>
      <c r="S665" s="13">
        <f t="shared" ref="S665:T665" si="1344">N665/L665</f>
        <v>0.11685994647636039</v>
      </c>
      <c r="T665" s="13">
        <f t="shared" si="1344"/>
        <v>0.11799999999999999</v>
      </c>
      <c r="U665" s="13">
        <f t="shared" si="1037"/>
        <v>-1.1400535236396059E-3</v>
      </c>
      <c r="V665" s="13">
        <f t="shared" si="1038"/>
        <v>7.8921078921079024E-2</v>
      </c>
      <c r="W665" s="13">
        <f t="shared" si="1039"/>
        <v>-3.8560411311054033E-2</v>
      </c>
      <c r="X665" s="13">
        <f t="shared" si="1040"/>
        <v>0.121</v>
      </c>
      <c r="Y665" s="13">
        <f t="shared" si="1041"/>
        <v>0.11016949152542366</v>
      </c>
    </row>
    <row r="666" spans="1:25" ht="14.4">
      <c r="A666" s="98" t="s">
        <v>951</v>
      </c>
      <c r="B666" s="99">
        <v>542484</v>
      </c>
      <c r="C666" s="98" t="s">
        <v>187</v>
      </c>
      <c r="D666" s="101" t="s">
        <v>90</v>
      </c>
      <c r="E666" s="11">
        <f ca="1">IFERROR(__xludf.DUMMYFUNCTION("GOOGLEFINANCE(""BOM:""&amp;B667,""PRICE"")"),442.05)</f>
        <v>442.05</v>
      </c>
      <c r="F666" s="20">
        <f ca="1">IFERROR(__xludf.DUMMYFUNCTION("GOOGLEFINANCE(""BOM:""&amp;B667,""MARKETCAP"")/10000000"),5898.1905738)</f>
        <v>5898.1905737999996</v>
      </c>
      <c r="G666" s="95">
        <f t="shared" ca="1" si="1056"/>
        <v>1.4639842157524818E-4</v>
      </c>
      <c r="H666" s="101">
        <v>3934</v>
      </c>
      <c r="I666" s="101">
        <v>3454</v>
      </c>
      <c r="J666" s="101">
        <v>118</v>
      </c>
      <c r="K666" s="101">
        <v>106</v>
      </c>
      <c r="L666" s="101">
        <v>1382</v>
      </c>
      <c r="M666" s="101">
        <v>1211</v>
      </c>
      <c r="N666" s="101">
        <v>36</v>
      </c>
      <c r="O666" s="101">
        <v>47</v>
      </c>
      <c r="P666" s="13">
        <f t="shared" ref="P666:Q666" si="1345">J666/H666</f>
        <v>2.9994916115912557E-2</v>
      </c>
      <c r="Q666" s="13">
        <f t="shared" si="1345"/>
        <v>3.0689056166763172E-2</v>
      </c>
      <c r="R666" s="13">
        <f t="shared" si="1035"/>
        <v>-6.9414005085061473E-4</v>
      </c>
      <c r="S666" s="13">
        <f t="shared" ref="S666:T666" si="1346">N666/L666</f>
        <v>2.6049204052098408E-2</v>
      </c>
      <c r="T666" s="13">
        <f t="shared" si="1346"/>
        <v>3.8810900082576386E-2</v>
      </c>
      <c r="U666" s="13">
        <f t="shared" si="1037"/>
        <v>-1.2761696030477977E-2</v>
      </c>
      <c r="V666" s="13">
        <f t="shared" si="1038"/>
        <v>0.13896931094383325</v>
      </c>
      <c r="W666" s="13">
        <f t="shared" si="1039"/>
        <v>0.1132075471698113</v>
      </c>
      <c r="X666" s="13">
        <f t="shared" si="1040"/>
        <v>0.14120561519405439</v>
      </c>
      <c r="Y666" s="13">
        <f t="shared" si="1041"/>
        <v>-0.23404255319148937</v>
      </c>
    </row>
    <row r="667" spans="1:25" ht="14.4">
      <c r="A667" s="98" t="s">
        <v>952</v>
      </c>
      <c r="B667" s="99">
        <v>544263</v>
      </c>
      <c r="C667" s="98" t="s">
        <v>180</v>
      </c>
      <c r="D667" s="70" t="s">
        <v>512</v>
      </c>
      <c r="E667" s="11">
        <f ca="1">IFERROR(__xludf.DUMMYFUNCTION("GOOGLEFINANCE(""BOM:""&amp;B668,""PRICE"")"),889.7)</f>
        <v>889.7</v>
      </c>
      <c r="F667" s="20">
        <f ca="1">IFERROR(__xludf.DUMMYFUNCTION("GOOGLEFINANCE(""BOM:""&amp;B668,""MARKETCAP"")/10000000"),5538.15306)</f>
        <v>5538.1530599999996</v>
      </c>
      <c r="G667" s="95">
        <f t="shared" ca="1" si="1056"/>
        <v>1.3746196503511333E-4</v>
      </c>
      <c r="H667" s="101">
        <v>420</v>
      </c>
      <c r="I667" s="101">
        <v>298</v>
      </c>
      <c r="J667" s="101">
        <v>53</v>
      </c>
      <c r="K667" s="101">
        <v>38</v>
      </c>
      <c r="L667" s="101">
        <v>153</v>
      </c>
      <c r="M667" s="101">
        <v>111</v>
      </c>
      <c r="N667" s="101">
        <v>22</v>
      </c>
      <c r="O667" s="101">
        <v>13</v>
      </c>
      <c r="P667" s="13">
        <f t="shared" ref="P667:Q667" si="1347">J667/H667</f>
        <v>0.12619047619047619</v>
      </c>
      <c r="Q667" s="13">
        <f t="shared" si="1347"/>
        <v>0.12751677852348994</v>
      </c>
      <c r="R667" s="13">
        <f t="shared" si="1035"/>
        <v>-1.3263023330137569E-3</v>
      </c>
      <c r="S667" s="13">
        <f t="shared" ref="S667:T667" si="1348">N667/L667</f>
        <v>0.1437908496732026</v>
      </c>
      <c r="T667" s="13">
        <f t="shared" si="1348"/>
        <v>0.11711711711711711</v>
      </c>
      <c r="U667" s="13">
        <f t="shared" si="1037"/>
        <v>2.6673732556085489E-2</v>
      </c>
      <c r="V667" s="13">
        <f t="shared" si="1038"/>
        <v>0.40939597315436238</v>
      </c>
      <c r="W667" s="13">
        <f t="shared" si="1039"/>
        <v>0.39473684210526305</v>
      </c>
      <c r="X667" s="13">
        <f t="shared" si="1040"/>
        <v>0.37837837837837829</v>
      </c>
      <c r="Y667" s="13">
        <f t="shared" si="1041"/>
        <v>0.69230769230769229</v>
      </c>
    </row>
    <row r="668" spans="1:25" ht="14.4">
      <c r="A668" s="98" t="s">
        <v>953</v>
      </c>
      <c r="B668" s="99">
        <v>532768</v>
      </c>
      <c r="C668" s="98" t="s">
        <v>187</v>
      </c>
      <c r="D668" s="100" t="s">
        <v>312</v>
      </c>
      <c r="E668" s="11">
        <f ca="1">IFERROR(__xludf.DUMMYFUNCTION("GOOGLEFINANCE(""BOM:""&amp;B669,""PRICE"")"),2022.9)</f>
        <v>2022.9</v>
      </c>
      <c r="F668" s="20">
        <f ca="1">IFERROR(__xludf.DUMMYFUNCTION("GOOGLEFINANCE(""BOM:""&amp;B669,""MARKETCAP"")/10000000"),5314.6596762)</f>
        <v>5314.6596761999999</v>
      </c>
      <c r="G668" s="95">
        <f t="shared" ca="1" si="1056"/>
        <v>1.3191465722750019E-4</v>
      </c>
      <c r="H668" s="101">
        <v>2064</v>
      </c>
      <c r="I668" s="101">
        <v>1783</v>
      </c>
      <c r="J668" s="101">
        <v>184</v>
      </c>
      <c r="K668" s="101">
        <v>146</v>
      </c>
      <c r="L668" s="101">
        <v>685</v>
      </c>
      <c r="M668" s="101">
        <v>590</v>
      </c>
      <c r="N668" s="101">
        <v>63</v>
      </c>
      <c r="O668" s="101">
        <v>47</v>
      </c>
      <c r="P668" s="13">
        <f t="shared" ref="P668:Q668" si="1349">J668/H668</f>
        <v>8.9147286821705432E-2</v>
      </c>
      <c r="Q668" s="13">
        <f t="shared" si="1349"/>
        <v>8.1884464385866523E-2</v>
      </c>
      <c r="R668" s="13">
        <f t="shared" si="1035"/>
        <v>7.2628224358389087E-3</v>
      </c>
      <c r="S668" s="13">
        <f t="shared" ref="S668:T668" si="1350">N668/L668</f>
        <v>9.1970802919708022E-2</v>
      </c>
      <c r="T668" s="13">
        <f t="shared" si="1350"/>
        <v>7.9661016949152536E-2</v>
      </c>
      <c r="U668" s="13">
        <f t="shared" si="1037"/>
        <v>1.2309785970555487E-2</v>
      </c>
      <c r="V668" s="13">
        <f t="shared" si="1038"/>
        <v>0.15759955131800329</v>
      </c>
      <c r="W668" s="13">
        <f t="shared" si="1039"/>
        <v>0.26027397260273966</v>
      </c>
      <c r="X668" s="13">
        <f t="shared" si="1040"/>
        <v>0.16101694915254239</v>
      </c>
      <c r="Y668" s="13">
        <f t="shared" si="1041"/>
        <v>0.34042553191489366</v>
      </c>
    </row>
    <row r="669" spans="1:25" ht="14.4">
      <c r="A669" s="98" t="s">
        <v>954</v>
      </c>
      <c r="B669" s="99">
        <v>540749</v>
      </c>
      <c r="C669" s="98" t="s">
        <v>172</v>
      </c>
      <c r="D669" s="70" t="s">
        <v>178</v>
      </c>
      <c r="E669" s="11">
        <f ca="1">IFERROR(__xludf.DUMMYFUNCTION("GOOGLEFINANCE(""BOM:""&amp;B670,""PRICE"")"),304.3)</f>
        <v>304.3</v>
      </c>
      <c r="F669" s="20">
        <f ca="1">IFERROR(__xludf.DUMMYFUNCTION("GOOGLEFINANCE(""BOM:""&amp;B670,""MARKETCAP"")/10000000"),5513.4586312)</f>
        <v>5513.4586312000001</v>
      </c>
      <c r="G669" s="95">
        <f t="shared" ca="1" si="1056"/>
        <v>1.3684902699033716E-4</v>
      </c>
      <c r="H669" s="101">
        <v>1453</v>
      </c>
      <c r="I669" s="101">
        <v>1158</v>
      </c>
      <c r="J669" s="101">
        <v>271</v>
      </c>
      <c r="K669" s="101">
        <v>231</v>
      </c>
      <c r="L669" s="101">
        <v>507</v>
      </c>
      <c r="M669" s="101">
        <v>410</v>
      </c>
      <c r="N669" s="101">
        <v>93</v>
      </c>
      <c r="O669" s="101">
        <v>80</v>
      </c>
      <c r="P669" s="13">
        <f t="shared" ref="P669:Q669" si="1351">J669/H669</f>
        <v>0.18651066758430832</v>
      </c>
      <c r="Q669" s="13">
        <f t="shared" si="1351"/>
        <v>0.19948186528497408</v>
      </c>
      <c r="R669" s="13">
        <f t="shared" si="1035"/>
        <v>-1.2971197700665765E-2</v>
      </c>
      <c r="S669" s="13">
        <f t="shared" ref="S669:T669" si="1352">N669/L669</f>
        <v>0.18343195266272189</v>
      </c>
      <c r="T669" s="13">
        <f t="shared" si="1352"/>
        <v>0.1951219512195122</v>
      </c>
      <c r="U669" s="13">
        <f t="shared" si="1037"/>
        <v>-1.1689998556790315E-2</v>
      </c>
      <c r="V669" s="13">
        <f t="shared" si="1038"/>
        <v>0.25474956822107075</v>
      </c>
      <c r="W669" s="13">
        <f t="shared" si="1039"/>
        <v>0.17316017316017307</v>
      </c>
      <c r="X669" s="13">
        <f t="shared" si="1040"/>
        <v>0.23658536585365852</v>
      </c>
      <c r="Y669" s="13">
        <f t="shared" si="1041"/>
        <v>0.16250000000000009</v>
      </c>
    </row>
    <row r="670" spans="1:25" ht="14.4">
      <c r="A670" s="98" t="s">
        <v>955</v>
      </c>
      <c r="B670" s="99">
        <v>520051</v>
      </c>
      <c r="C670" s="98" t="s">
        <v>187</v>
      </c>
      <c r="D670" s="70" t="s">
        <v>312</v>
      </c>
      <c r="E670" s="11">
        <f ca="1">IFERROR(__xludf.DUMMYFUNCTION("GOOGLEFINANCE(""BOM:""&amp;B671,""PRICE"")"),116.7)</f>
        <v>116.7</v>
      </c>
      <c r="F670" s="20">
        <f ca="1">IFERROR(__xludf.DUMMYFUNCTION("GOOGLEFINANCE(""BOM:""&amp;B671,""MARKETCAP"")/10000000"),4666.309244)</f>
        <v>4666.309244</v>
      </c>
      <c r="G670" s="95">
        <f t="shared" ca="1" si="1056"/>
        <v>1.1582201343885469E-4</v>
      </c>
      <c r="H670" s="101">
        <v>1771</v>
      </c>
      <c r="I670" s="101">
        <v>1632</v>
      </c>
      <c r="J670" s="101">
        <v>143</v>
      </c>
      <c r="K670" s="101">
        <v>130</v>
      </c>
      <c r="L670" s="101">
        <v>667</v>
      </c>
      <c r="M670" s="101">
        <v>562</v>
      </c>
      <c r="N670" s="101">
        <v>58</v>
      </c>
      <c r="O670" s="101">
        <v>43</v>
      </c>
      <c r="P670" s="13">
        <f t="shared" ref="P670:Q670" si="1353">J670/H670</f>
        <v>8.0745341614906832E-2</v>
      </c>
      <c r="Q670" s="13">
        <f t="shared" si="1353"/>
        <v>7.9656862745098034E-2</v>
      </c>
      <c r="R670" s="13">
        <f t="shared" si="1035"/>
        <v>1.0884788698087983E-3</v>
      </c>
      <c r="S670" s="13">
        <f t="shared" ref="S670:T670" si="1354">N670/L670</f>
        <v>8.6956521739130432E-2</v>
      </c>
      <c r="T670" s="13">
        <f t="shared" si="1354"/>
        <v>7.6512455516014238E-2</v>
      </c>
      <c r="U670" s="13">
        <f t="shared" si="1037"/>
        <v>1.0444066223116194E-2</v>
      </c>
      <c r="V670" s="13">
        <f t="shared" si="1038"/>
        <v>8.5171568627451011E-2</v>
      </c>
      <c r="W670" s="13">
        <f t="shared" si="1039"/>
        <v>0.10000000000000009</v>
      </c>
      <c r="X670" s="13">
        <f t="shared" si="1040"/>
        <v>0.18683274021352303</v>
      </c>
      <c r="Y670" s="13">
        <f t="shared" si="1041"/>
        <v>0.34883720930232553</v>
      </c>
    </row>
    <row r="671" spans="1:25" ht="14.4">
      <c r="A671" s="98" t="s">
        <v>956</v>
      </c>
      <c r="B671" s="99">
        <v>512179</v>
      </c>
      <c r="C671" s="98" t="s">
        <v>187</v>
      </c>
      <c r="D671" s="70" t="s">
        <v>131</v>
      </c>
      <c r="E671" s="11">
        <f ca="1">IFERROR(__xludf.DUMMYFUNCTION("GOOGLEFINANCE(""BOM:""&amp;B672,""PRICE"")"),303)</f>
        <v>303</v>
      </c>
      <c r="F671" s="20">
        <f ca="1">IFERROR(__xludf.DUMMYFUNCTION("GOOGLEFINANCE(""BOM:""&amp;B672,""MARKETCAP"")/10000000"),4442.7045307)</f>
        <v>4442.7045306999999</v>
      </c>
      <c r="G671" s="95">
        <f t="shared" ca="1" si="1056"/>
        <v>1.1027194233241777E-4</v>
      </c>
      <c r="H671" s="101">
        <v>784</v>
      </c>
      <c r="I671" s="101">
        <v>647</v>
      </c>
      <c r="J671" s="101">
        <v>163</v>
      </c>
      <c r="K671" s="101">
        <v>105</v>
      </c>
      <c r="L671" s="101">
        <v>344</v>
      </c>
      <c r="M671" s="101">
        <v>161</v>
      </c>
      <c r="N671" s="101">
        <v>68</v>
      </c>
      <c r="O671" s="101">
        <v>47</v>
      </c>
      <c r="P671" s="13">
        <f t="shared" ref="P671:Q671" si="1355">J671/H671</f>
        <v>0.20790816326530612</v>
      </c>
      <c r="Q671" s="13">
        <f t="shared" si="1355"/>
        <v>0.16228748068006182</v>
      </c>
      <c r="R671" s="13">
        <f t="shared" si="1035"/>
        <v>4.5620682585244293E-2</v>
      </c>
      <c r="S671" s="13">
        <f t="shared" ref="S671:T671" si="1356">N671/L671</f>
        <v>0.19767441860465115</v>
      </c>
      <c r="T671" s="13">
        <f t="shared" si="1356"/>
        <v>0.29192546583850931</v>
      </c>
      <c r="U671" s="13">
        <f t="shared" si="1037"/>
        <v>-9.425104723385816E-2</v>
      </c>
      <c r="V671" s="13">
        <f t="shared" si="1038"/>
        <v>0.21174652241112835</v>
      </c>
      <c r="W671" s="13">
        <f t="shared" si="1039"/>
        <v>0.55238095238095242</v>
      </c>
      <c r="X671" s="13">
        <f t="shared" si="1040"/>
        <v>1.1366459627329193</v>
      </c>
      <c r="Y671" s="13">
        <f t="shared" si="1041"/>
        <v>0.44680851063829796</v>
      </c>
    </row>
    <row r="672" spans="1:25" ht="14.4">
      <c r="A672" s="98" t="s">
        <v>957</v>
      </c>
      <c r="B672" s="99">
        <v>519126</v>
      </c>
      <c r="C672" s="98" t="s">
        <v>183</v>
      </c>
      <c r="D672" s="100" t="s">
        <v>117</v>
      </c>
      <c r="E672" s="11">
        <f ca="1">IFERROR(__xludf.DUMMYFUNCTION("GOOGLEFINANCE(""BOM:""&amp;B673,""PRICE"")"),497.05)</f>
        <v>497.05</v>
      </c>
      <c r="F672" s="20">
        <f ca="1">IFERROR(__xludf.DUMMYFUNCTION("GOOGLEFINANCE(""BOM:""&amp;B673,""MARKETCAP"")/10000000"),5938.8377526)</f>
        <v>5938.8377526000004</v>
      </c>
      <c r="G672" s="95">
        <f t="shared" ca="1" si="1056"/>
        <v>1.4740732129514536E-4</v>
      </c>
      <c r="H672" s="101">
        <v>3031</v>
      </c>
      <c r="I672" s="101">
        <v>2631</v>
      </c>
      <c r="J672" s="101">
        <v>103</v>
      </c>
      <c r="K672" s="101">
        <v>79</v>
      </c>
      <c r="L672" s="101">
        <v>998</v>
      </c>
      <c r="M672" s="101">
        <v>880</v>
      </c>
      <c r="N672" s="101">
        <v>36</v>
      </c>
      <c r="O672" s="101">
        <v>29</v>
      </c>
      <c r="P672" s="13">
        <f t="shared" ref="P672:Q672" si="1357">J672/H672</f>
        <v>3.398218409765754E-2</v>
      </c>
      <c r="Q672" s="13">
        <f t="shared" si="1357"/>
        <v>3.0026605853287723E-2</v>
      </c>
      <c r="R672" s="13">
        <f t="shared" si="1035"/>
        <v>3.9555782443698173E-3</v>
      </c>
      <c r="S672" s="13">
        <f t="shared" ref="S672:T672" si="1358">N672/L672</f>
        <v>3.6072144288577156E-2</v>
      </c>
      <c r="T672" s="13">
        <f t="shared" si="1358"/>
        <v>3.2954545454545452E-2</v>
      </c>
      <c r="U672" s="13">
        <f t="shared" si="1037"/>
        <v>3.117598834031704E-3</v>
      </c>
      <c r="V672" s="13">
        <f t="shared" si="1038"/>
        <v>0.15203344735841884</v>
      </c>
      <c r="W672" s="13">
        <f t="shared" si="1039"/>
        <v>0.30379746835443044</v>
      </c>
      <c r="X672" s="13">
        <f t="shared" si="1040"/>
        <v>0.13409090909090904</v>
      </c>
      <c r="Y672" s="13">
        <f t="shared" si="1041"/>
        <v>0.24137931034482762</v>
      </c>
    </row>
    <row r="673" spans="1:25" ht="14.4">
      <c r="A673" s="98" t="s">
        <v>958</v>
      </c>
      <c r="B673" s="99">
        <v>533088</v>
      </c>
      <c r="C673" s="98" t="s">
        <v>187</v>
      </c>
      <c r="D673" s="101" t="s">
        <v>78</v>
      </c>
      <c r="E673" s="11">
        <f ca="1">IFERROR(__xludf.DUMMYFUNCTION("GOOGLEFINANCE(""BOM:""&amp;B674,""PRICE"")"),249.6)</f>
        <v>249.6</v>
      </c>
      <c r="F673" s="20">
        <f ca="1">IFERROR(__xludf.DUMMYFUNCTION("GOOGLEFINANCE(""BOM:""&amp;B674,""MARKETCAP"")/10000000"),5022.7481399)</f>
        <v>5022.7481398999998</v>
      </c>
      <c r="G673" s="95">
        <f t="shared" ca="1" si="1056"/>
        <v>1.2466914902982374E-4</v>
      </c>
      <c r="H673" s="101">
        <v>2171</v>
      </c>
      <c r="I673" s="101">
        <v>2002</v>
      </c>
      <c r="J673" s="101">
        <v>25</v>
      </c>
      <c r="K673" s="101">
        <v>52</v>
      </c>
      <c r="L673" s="101">
        <v>752</v>
      </c>
      <c r="M673" s="101">
        <v>678</v>
      </c>
      <c r="N673" s="101">
        <v>1</v>
      </c>
      <c r="O673" s="101">
        <v>35</v>
      </c>
      <c r="P673" s="13">
        <f t="shared" ref="P673:Q673" si="1359">J673/H673</f>
        <v>1.1515430677107323E-2</v>
      </c>
      <c r="Q673" s="13">
        <f t="shared" si="1359"/>
        <v>2.5974025974025976E-2</v>
      </c>
      <c r="R673" s="13">
        <f t="shared" si="1035"/>
        <v>-1.4458595296918652E-2</v>
      </c>
      <c r="S673" s="13">
        <f t="shared" ref="S673:T673" si="1360">N673/L673</f>
        <v>1.3297872340425532E-3</v>
      </c>
      <c r="T673" s="13">
        <f t="shared" si="1360"/>
        <v>5.1622418879056046E-2</v>
      </c>
      <c r="U673" s="13">
        <f t="shared" si="1037"/>
        <v>-5.0292631645013491E-2</v>
      </c>
      <c r="V673" s="13">
        <f t="shared" si="1038"/>
        <v>8.4415584415584499E-2</v>
      </c>
      <c r="W673" s="13">
        <f t="shared" si="1039"/>
        <v>-0.51923076923076916</v>
      </c>
      <c r="X673" s="13">
        <f t="shared" si="1040"/>
        <v>0.10914454277286145</v>
      </c>
      <c r="Y673" s="13">
        <f t="shared" si="1041"/>
        <v>-0.97142857142857142</v>
      </c>
    </row>
    <row r="674" spans="1:25" ht="14.4">
      <c r="A674" s="104" t="s">
        <v>959</v>
      </c>
      <c r="B674" s="99">
        <v>522205</v>
      </c>
      <c r="C674" s="98" t="s">
        <v>180</v>
      </c>
      <c r="D674" s="102" t="s">
        <v>514</v>
      </c>
      <c r="E674" s="11">
        <f ca="1">IFERROR(__xludf.DUMMYFUNCTION("GOOGLEFINANCE(""BOM:""&amp;B675,""PRICE"")"),340)</f>
        <v>340</v>
      </c>
      <c r="F674" s="20">
        <f ca="1">IFERROR(__xludf.DUMMYFUNCTION("GOOGLEFINANCE(""BOM:""&amp;B675,""MARKETCAP"")/10000000"),6252.3990828)</f>
        <v>6252.3990827999996</v>
      </c>
      <c r="G674" s="95">
        <f t="shared" ca="1" si="1056"/>
        <v>1.5519019694725238E-4</v>
      </c>
      <c r="H674" s="101">
        <v>2323</v>
      </c>
      <c r="I674" s="101">
        <v>2368</v>
      </c>
      <c r="J674" s="101">
        <v>12</v>
      </c>
      <c r="K674" s="101">
        <v>179</v>
      </c>
      <c r="L674" s="101">
        <v>841</v>
      </c>
      <c r="M674" s="101">
        <v>853</v>
      </c>
      <c r="N674" s="101">
        <v>-12</v>
      </c>
      <c r="O674" s="101">
        <v>41</v>
      </c>
      <c r="P674" s="13">
        <f t="shared" ref="P674:Q674" si="1361">J674/H674</f>
        <v>5.165733964700818E-3</v>
      </c>
      <c r="Q674" s="13">
        <f t="shared" si="1361"/>
        <v>7.5591216216216214E-2</v>
      </c>
      <c r="R674" s="13">
        <f t="shared" si="1035"/>
        <v>-7.0425482251515403E-2</v>
      </c>
      <c r="S674" s="13">
        <f t="shared" ref="S674:T674" si="1362">N674/L674</f>
        <v>-1.4268727705112961E-2</v>
      </c>
      <c r="T674" s="13">
        <f t="shared" si="1362"/>
        <v>4.8065650644783117E-2</v>
      </c>
      <c r="U674" s="13">
        <f t="shared" si="1037"/>
        <v>-6.233437834989608E-2</v>
      </c>
      <c r="V674" s="13">
        <f t="shared" si="1038"/>
        <v>-1.9003378378378399E-2</v>
      </c>
      <c r="W674" s="13">
        <f t="shared" si="1039"/>
        <v>-0.93296089385474856</v>
      </c>
      <c r="X674" s="13">
        <f t="shared" si="1040"/>
        <v>-1.4067995310668269E-2</v>
      </c>
      <c r="Y674" s="13">
        <f t="shared" si="1041"/>
        <v>-1.2926829268292683</v>
      </c>
    </row>
    <row r="675" spans="1:25" ht="14.4">
      <c r="A675" s="98" t="s">
        <v>960</v>
      </c>
      <c r="B675" s="99">
        <v>543425</v>
      </c>
      <c r="C675" s="98" t="s">
        <v>174</v>
      </c>
      <c r="D675" s="100" t="s">
        <v>389</v>
      </c>
      <c r="E675" s="11">
        <f ca="1">IFERROR(__xludf.DUMMYFUNCTION("GOOGLEFINANCE(""BOM:""&amp;B676,""PRICE"")"),877.7)</f>
        <v>877.7</v>
      </c>
      <c r="F675" s="20">
        <f ca="1">IFERROR(__xludf.DUMMYFUNCTION("GOOGLEFINANCE(""BOM:""&amp;B676,""MARKETCAP"")/10000000"),4799.089582)</f>
        <v>4799.0895819999996</v>
      </c>
      <c r="G675" s="95">
        <f t="shared" ca="1" si="1056"/>
        <v>1.1911774145174324E-4</v>
      </c>
      <c r="H675" s="101">
        <v>329</v>
      </c>
      <c r="I675" s="101">
        <v>319</v>
      </c>
      <c r="J675" s="101">
        <v>83</v>
      </c>
      <c r="K675" s="101">
        <v>98</v>
      </c>
      <c r="L675" s="101">
        <v>93</v>
      </c>
      <c r="M675" s="101">
        <v>114</v>
      </c>
      <c r="N675" s="101">
        <v>18</v>
      </c>
      <c r="O675" s="101">
        <v>32</v>
      </c>
      <c r="P675" s="13">
        <f t="shared" ref="P675:Q675" si="1363">J675/H675</f>
        <v>0.25227963525835867</v>
      </c>
      <c r="Q675" s="13">
        <f t="shared" si="1363"/>
        <v>0.30721003134796238</v>
      </c>
      <c r="R675" s="13">
        <f t="shared" si="1035"/>
        <v>-5.4930396089603706E-2</v>
      </c>
      <c r="S675" s="13">
        <f t="shared" ref="S675:T675" si="1364">N675/L675</f>
        <v>0.19354838709677419</v>
      </c>
      <c r="T675" s="13">
        <f t="shared" si="1364"/>
        <v>0.2807017543859649</v>
      </c>
      <c r="U675" s="13">
        <f t="shared" si="1037"/>
        <v>-8.7153367289190709E-2</v>
      </c>
      <c r="V675" s="13">
        <f t="shared" si="1038"/>
        <v>3.1347962382445083E-2</v>
      </c>
      <c r="W675" s="13">
        <f t="shared" si="1039"/>
        <v>-0.15306122448979587</v>
      </c>
      <c r="X675" s="13">
        <f t="shared" si="1040"/>
        <v>-0.18421052631578949</v>
      </c>
      <c r="Y675" s="13">
        <f t="shared" si="1041"/>
        <v>-0.4375</v>
      </c>
    </row>
    <row r="676" spans="1:25" ht="14.4">
      <c r="A676" s="98" t="s">
        <v>961</v>
      </c>
      <c r="B676" s="99">
        <v>517206</v>
      </c>
      <c r="C676" s="98" t="s">
        <v>187</v>
      </c>
      <c r="D676" s="101" t="s">
        <v>312</v>
      </c>
      <c r="E676" s="11">
        <f ca="1">IFERROR(__xludf.DUMMYFUNCTION("GOOGLEFINANCE(""BOM:""&amp;B677,""PRICE"")"),4832.2)</f>
        <v>4832.2</v>
      </c>
      <c r="F676" s="20">
        <f ca="1">IFERROR(__xludf.DUMMYFUNCTION("GOOGLEFINANCE(""BOM:""&amp;B677,""MARKETCAP"")/10000000"),4509.3459168)</f>
        <v>4509.3459167999999</v>
      </c>
      <c r="G676" s="95">
        <f t="shared" ca="1" si="1056"/>
        <v>1.1192604177436597E-4</v>
      </c>
      <c r="H676" s="101">
        <v>2983</v>
      </c>
      <c r="I676" s="101">
        <v>2477</v>
      </c>
      <c r="J676" s="101">
        <v>118</v>
      </c>
      <c r="K676" s="101">
        <v>95</v>
      </c>
      <c r="L676" s="101">
        <v>1052</v>
      </c>
      <c r="M676" s="101">
        <v>887</v>
      </c>
      <c r="N676" s="101">
        <v>46</v>
      </c>
      <c r="O676" s="101">
        <v>33</v>
      </c>
      <c r="P676" s="13">
        <f t="shared" ref="P676:Q676" si="1365">J676/H676</f>
        <v>3.9557492457257794E-2</v>
      </c>
      <c r="Q676" s="13">
        <f t="shared" si="1365"/>
        <v>3.835284618490109E-2</v>
      </c>
      <c r="R676" s="13">
        <f t="shared" si="1035"/>
        <v>1.2046462723567034E-3</v>
      </c>
      <c r="S676" s="13">
        <f t="shared" ref="S676:T676" si="1366">N676/L676</f>
        <v>4.3726235741444866E-2</v>
      </c>
      <c r="T676" s="13">
        <f t="shared" si="1366"/>
        <v>3.7204058624577228E-2</v>
      </c>
      <c r="U676" s="13">
        <f t="shared" si="1037"/>
        <v>6.5221771168676376E-3</v>
      </c>
      <c r="V676" s="13">
        <f t="shared" si="1038"/>
        <v>0.20427937020589426</v>
      </c>
      <c r="W676" s="13">
        <f t="shared" si="1039"/>
        <v>0.24210526315789482</v>
      </c>
      <c r="X676" s="13">
        <f t="shared" si="1040"/>
        <v>0.18602029312288604</v>
      </c>
      <c r="Y676" s="13">
        <f t="shared" si="1041"/>
        <v>0.39393939393939403</v>
      </c>
    </row>
    <row r="677" spans="1:25" ht="14.4">
      <c r="A677" s="98" t="s">
        <v>962</v>
      </c>
      <c r="B677" s="99">
        <v>543387</v>
      </c>
      <c r="C677" s="98" t="s">
        <v>187</v>
      </c>
      <c r="D677" s="70" t="s">
        <v>492</v>
      </c>
      <c r="E677" s="11">
        <f ca="1">IFERROR(__xludf.DUMMYFUNCTION("GOOGLEFINANCE(""BOM:""&amp;B678,""PRICE"")"),1598.2)</f>
        <v>1598.2</v>
      </c>
      <c r="F677" s="20">
        <f ca="1">IFERROR(__xludf.DUMMYFUNCTION("GOOGLEFINANCE(""BOM:""&amp;B678,""MARKETCAP"")/10000000"),5108.9241096)</f>
        <v>5108.9241095999996</v>
      </c>
      <c r="G677" s="95">
        <f t="shared" ca="1" si="1056"/>
        <v>1.268081144945609E-4</v>
      </c>
      <c r="H677" s="101">
        <v>20</v>
      </c>
      <c r="I677" s="101">
        <v>23</v>
      </c>
      <c r="J677" s="101">
        <v>1</v>
      </c>
      <c r="K677" s="101">
        <v>2</v>
      </c>
      <c r="L677" s="101">
        <v>6</v>
      </c>
      <c r="M677" s="101">
        <v>8</v>
      </c>
      <c r="N677" s="101">
        <v>1</v>
      </c>
      <c r="O677" s="101">
        <v>1</v>
      </c>
      <c r="P677" s="13">
        <f t="shared" ref="P677:Q677" si="1367">J677/H677</f>
        <v>0.05</v>
      </c>
      <c r="Q677" s="13">
        <f t="shared" si="1367"/>
        <v>8.6956521739130432E-2</v>
      </c>
      <c r="R677" s="13">
        <f t="shared" si="1035"/>
        <v>-3.695652173913043E-2</v>
      </c>
      <c r="S677" s="13">
        <f t="shared" ref="S677:T677" si="1368">N677/L677</f>
        <v>0.16666666666666666</v>
      </c>
      <c r="T677" s="13">
        <f t="shared" si="1368"/>
        <v>0.125</v>
      </c>
      <c r="U677" s="13">
        <f t="shared" si="1037"/>
        <v>4.1666666666666657E-2</v>
      </c>
      <c r="V677" s="13">
        <f t="shared" si="1038"/>
        <v>-0.13043478260869568</v>
      </c>
      <c r="W677" s="13">
        <f t="shared" si="1039"/>
        <v>-0.5</v>
      </c>
      <c r="X677" s="13">
        <f t="shared" si="1040"/>
        <v>-0.25</v>
      </c>
      <c r="Y677" s="13">
        <f t="shared" si="1041"/>
        <v>0</v>
      </c>
    </row>
    <row r="678" spans="1:25" ht="14.4">
      <c r="A678" s="98" t="s">
        <v>963</v>
      </c>
      <c r="B678" s="99">
        <v>543367</v>
      </c>
      <c r="C678" s="98" t="s">
        <v>180</v>
      </c>
      <c r="D678" s="70" t="s">
        <v>204</v>
      </c>
      <c r="E678" s="11">
        <f ca="1">IFERROR(__xludf.DUMMYFUNCTION("GOOGLEFINANCE(""BOM:""&amp;B679,""PRICE"")"),642.9)</f>
        <v>642.9</v>
      </c>
      <c r="F678" s="20">
        <f ca="1">IFERROR(__xludf.DUMMYFUNCTION("GOOGLEFINANCE(""BOM:""&amp;B679,""MARKETCAP"")/10000000"),5178.541629)</f>
        <v>5178.5416290000003</v>
      </c>
      <c r="G678" s="95">
        <f t="shared" ca="1" si="1056"/>
        <v>1.2853608425522227E-4</v>
      </c>
      <c r="H678" s="101">
        <v>305</v>
      </c>
      <c r="I678" s="101">
        <v>256</v>
      </c>
      <c r="J678" s="101">
        <v>50</v>
      </c>
      <c r="K678" s="101">
        <v>40</v>
      </c>
      <c r="L678" s="101">
        <v>106</v>
      </c>
      <c r="M678" s="101">
        <v>85</v>
      </c>
      <c r="N678" s="101">
        <v>16</v>
      </c>
      <c r="O678" s="101">
        <v>13</v>
      </c>
      <c r="P678" s="13">
        <f t="shared" ref="P678:Q678" si="1369">J678/H678</f>
        <v>0.16393442622950818</v>
      </c>
      <c r="Q678" s="13">
        <f t="shared" si="1369"/>
        <v>0.15625</v>
      </c>
      <c r="R678" s="13">
        <f t="shared" si="1035"/>
        <v>7.6844262295081844E-3</v>
      </c>
      <c r="S678" s="13">
        <f t="shared" ref="S678:T678" si="1370">N678/L678</f>
        <v>0.15094339622641509</v>
      </c>
      <c r="T678" s="13">
        <f t="shared" si="1370"/>
        <v>0.15294117647058825</v>
      </c>
      <c r="U678" s="13">
        <f t="shared" si="1037"/>
        <v>-1.9977802441731585E-3</v>
      </c>
      <c r="V678" s="13">
        <f t="shared" si="1038"/>
        <v>0.19140625</v>
      </c>
      <c r="W678" s="13">
        <f t="shared" si="1039"/>
        <v>0.25</v>
      </c>
      <c r="X678" s="13">
        <f t="shared" si="1040"/>
        <v>0.24705882352941178</v>
      </c>
      <c r="Y678" s="13">
        <f t="shared" si="1041"/>
        <v>0.23076923076923084</v>
      </c>
    </row>
    <row r="679" spans="1:25" ht="14.4">
      <c r="A679" s="98" t="s">
        <v>964</v>
      </c>
      <c r="B679" s="99">
        <v>531112</v>
      </c>
      <c r="C679" s="98" t="s">
        <v>180</v>
      </c>
      <c r="D679" s="100" t="s">
        <v>463</v>
      </c>
      <c r="E679" s="11">
        <f ca="1">IFERROR(__xludf.DUMMYFUNCTION("GOOGLEFINANCE(""BOM:""&amp;B680,""PRICE"")"),433)</f>
        <v>433</v>
      </c>
      <c r="F679" s="20">
        <f ca="1">IFERROR(__xludf.DUMMYFUNCTION("GOOGLEFINANCE(""BOM:""&amp;B680,""MARKETCAP"")/10000000"),5256.26927)</f>
        <v>5256.2692699999998</v>
      </c>
      <c r="G679" s="95">
        <f t="shared" ca="1" si="1056"/>
        <v>1.3046535456495324E-4</v>
      </c>
      <c r="H679" s="101">
        <v>843</v>
      </c>
      <c r="I679" s="101">
        <v>653</v>
      </c>
      <c r="J679" s="101">
        <v>193</v>
      </c>
      <c r="K679" s="101">
        <v>141</v>
      </c>
      <c r="L679" s="101">
        <v>311</v>
      </c>
      <c r="M679" s="101">
        <v>255</v>
      </c>
      <c r="N679" s="101">
        <v>71</v>
      </c>
      <c r="O679" s="101">
        <v>59</v>
      </c>
      <c r="P679" s="13">
        <f t="shared" ref="P679:Q679" si="1371">J679/H679</f>
        <v>0.22894424673784106</v>
      </c>
      <c r="Q679" s="13">
        <f t="shared" si="1371"/>
        <v>0.21592649310872894</v>
      </c>
      <c r="R679" s="13">
        <f t="shared" si="1035"/>
        <v>1.3017753629112117E-2</v>
      </c>
      <c r="S679" s="13">
        <f t="shared" ref="S679:T679" si="1372">N679/L679</f>
        <v>0.22829581993569131</v>
      </c>
      <c r="T679" s="13">
        <f t="shared" si="1372"/>
        <v>0.23137254901960785</v>
      </c>
      <c r="U679" s="13">
        <f t="shared" si="1037"/>
        <v>-3.0767290839165407E-3</v>
      </c>
      <c r="V679" s="13">
        <f t="shared" si="1038"/>
        <v>0.29096477794793252</v>
      </c>
      <c r="W679" s="13">
        <f t="shared" si="1039"/>
        <v>0.36879432624113484</v>
      </c>
      <c r="X679" s="13">
        <f t="shared" si="1040"/>
        <v>0.21960784313725501</v>
      </c>
      <c r="Y679" s="13">
        <f t="shared" si="1041"/>
        <v>0.20338983050847448</v>
      </c>
    </row>
    <row r="680" spans="1:25" ht="14.4">
      <c r="A680" s="98" t="s">
        <v>965</v>
      </c>
      <c r="B680" s="99">
        <v>532835</v>
      </c>
      <c r="C680" s="98" t="s">
        <v>172</v>
      </c>
      <c r="D680" s="102" t="s">
        <v>966</v>
      </c>
      <c r="E680" s="11">
        <f ca="1">IFERROR(__xludf.DUMMYFUNCTION("GOOGLEFINANCE(""BOM:""&amp;B681,""PRICE"")"),5115)</f>
        <v>5115</v>
      </c>
      <c r="F680" s="20">
        <f ca="1">IFERROR(__xludf.DUMMYFUNCTION("GOOGLEFINANCE(""BOM:""&amp;B681,""MARKETCAP"")/10000000"),4900.7745045)</f>
        <v>4900.7745045000001</v>
      </c>
      <c r="G680" s="95">
        <f t="shared" ca="1" si="1056"/>
        <v>1.2164165314393712E-4</v>
      </c>
      <c r="H680" s="101">
        <v>485</v>
      </c>
      <c r="I680" s="101">
        <v>418</v>
      </c>
      <c r="J680" s="101">
        <v>129</v>
      </c>
      <c r="K680" s="101">
        <v>115</v>
      </c>
      <c r="L680" s="101">
        <v>179</v>
      </c>
      <c r="M680" s="101">
        <v>139</v>
      </c>
      <c r="N680" s="101">
        <v>39</v>
      </c>
      <c r="O680" s="101">
        <v>42</v>
      </c>
      <c r="P680" s="13">
        <f t="shared" ref="P680:Q680" si="1373">J680/H680</f>
        <v>0.26597938144329897</v>
      </c>
      <c r="Q680" s="13">
        <f t="shared" si="1373"/>
        <v>0.27511961722488038</v>
      </c>
      <c r="R680" s="13">
        <f t="shared" si="1035"/>
        <v>-9.1402357815814073E-3</v>
      </c>
      <c r="S680" s="13">
        <f t="shared" ref="S680:T680" si="1374">N680/L680</f>
        <v>0.21787709497206703</v>
      </c>
      <c r="T680" s="13">
        <f t="shared" si="1374"/>
        <v>0.30215827338129497</v>
      </c>
      <c r="U680" s="13">
        <f t="shared" si="1037"/>
        <v>-8.4281178409227941E-2</v>
      </c>
      <c r="V680" s="13">
        <f t="shared" si="1038"/>
        <v>0.16028708133971281</v>
      </c>
      <c r="W680" s="13">
        <f t="shared" si="1039"/>
        <v>0.12173913043478257</v>
      </c>
      <c r="X680" s="13">
        <f t="shared" si="1040"/>
        <v>0.28776978417266186</v>
      </c>
      <c r="Y680" s="13">
        <f t="shared" si="1041"/>
        <v>-7.1428571428571397E-2</v>
      </c>
    </row>
    <row r="681" spans="1:25" ht="14.4">
      <c r="A681" s="104" t="s">
        <v>967</v>
      </c>
      <c r="B681" s="99">
        <v>517385</v>
      </c>
      <c r="C681" s="98" t="s">
        <v>187</v>
      </c>
      <c r="D681" s="70" t="s">
        <v>93</v>
      </c>
      <c r="E681" s="11">
        <f ca="1">IFERROR(__xludf.DUMMYFUNCTION("GOOGLEFINANCE(""BOM:""&amp;B682,""PRICE"")"),718.7)</f>
        <v>718.7</v>
      </c>
      <c r="F681" s="20">
        <f ca="1">IFERROR(__xludf.DUMMYFUNCTION("GOOGLEFINANCE(""BOM:""&amp;B682,""MARKETCAP"")/10000000"),4935.4128831)</f>
        <v>4935.4128830999998</v>
      </c>
      <c r="G681" s="95">
        <f t="shared" ca="1" si="1056"/>
        <v>1.2250140901135371E-4</v>
      </c>
      <c r="H681" s="101">
        <v>593</v>
      </c>
      <c r="I681" s="101">
        <v>875</v>
      </c>
      <c r="J681" s="101">
        <v>81</v>
      </c>
      <c r="K681" s="101">
        <v>134</v>
      </c>
      <c r="L681" s="101">
        <v>179</v>
      </c>
      <c r="M681" s="101">
        <v>193</v>
      </c>
      <c r="N681" s="101">
        <v>20</v>
      </c>
      <c r="O681" s="101">
        <v>-10</v>
      </c>
      <c r="P681" s="13">
        <f t="shared" ref="P681:Q681" si="1375">J681/H681</f>
        <v>0.13659359190556492</v>
      </c>
      <c r="Q681" s="13">
        <f t="shared" si="1375"/>
        <v>0.15314285714285714</v>
      </c>
      <c r="R681" s="13">
        <f t="shared" si="1035"/>
        <v>-1.6549265237292221E-2</v>
      </c>
      <c r="S681" s="13">
        <f t="shared" ref="S681:T681" si="1376">N681/L681</f>
        <v>0.11173184357541899</v>
      </c>
      <c r="T681" s="13">
        <f t="shared" si="1376"/>
        <v>-5.181347150259067E-2</v>
      </c>
      <c r="U681" s="13">
        <f t="shared" si="1037"/>
        <v>0.16354531507800965</v>
      </c>
      <c r="V681" s="13">
        <f t="shared" si="1038"/>
        <v>-0.32228571428571429</v>
      </c>
      <c r="W681" s="13">
        <f t="shared" si="1039"/>
        <v>-0.39552238805970152</v>
      </c>
      <c r="X681" s="13">
        <f t="shared" si="1040"/>
        <v>-7.2538860103626979E-2</v>
      </c>
      <c r="Y681" s="13">
        <f t="shared" si="1041"/>
        <v>-3</v>
      </c>
    </row>
    <row r="682" spans="1:25" ht="14.4">
      <c r="A682" s="98" t="s">
        <v>968</v>
      </c>
      <c r="B682" s="99">
        <v>544356</v>
      </c>
      <c r="C682" s="98" t="s">
        <v>180</v>
      </c>
      <c r="D682" s="102" t="s">
        <v>678</v>
      </c>
      <c r="E682" s="11">
        <f ca="1">IFERROR(__xludf.DUMMYFUNCTION("GOOGLEFINANCE(""BOM:""&amp;B683,""PRICE"")"),442.45)</f>
        <v>442.45</v>
      </c>
      <c r="F682" s="20">
        <f ca="1">IFERROR(__xludf.DUMMYFUNCTION("GOOGLEFINANCE(""BOM:""&amp;B683,""MARKETCAP"")/10000000"),5071.08141)</f>
        <v>5071.0814099999998</v>
      </c>
      <c r="G682" s="95">
        <f t="shared" ca="1" si="1056"/>
        <v>1.2586882448345211E-4</v>
      </c>
      <c r="H682" s="101">
        <v>1344</v>
      </c>
      <c r="I682" s="101">
        <v>1318</v>
      </c>
      <c r="J682" s="101">
        <v>130</v>
      </c>
      <c r="K682" s="101">
        <v>169</v>
      </c>
      <c r="L682" s="101">
        <v>433</v>
      </c>
      <c r="M682" s="101">
        <v>548</v>
      </c>
      <c r="N682" s="101">
        <v>38</v>
      </c>
      <c r="O682" s="101">
        <v>68</v>
      </c>
      <c r="P682" s="13">
        <f t="shared" ref="P682:Q682" si="1377">J682/H682</f>
        <v>9.6726190476190479E-2</v>
      </c>
      <c r="Q682" s="13">
        <f t="shared" si="1377"/>
        <v>0.12822458270106221</v>
      </c>
      <c r="R682" s="13">
        <f t="shared" si="1035"/>
        <v>-3.1498392224871732E-2</v>
      </c>
      <c r="S682" s="13">
        <f t="shared" ref="S682:T682" si="1378">N682/L682</f>
        <v>8.7759815242494224E-2</v>
      </c>
      <c r="T682" s="13">
        <f t="shared" si="1378"/>
        <v>0.12408759124087591</v>
      </c>
      <c r="U682" s="13">
        <f t="shared" si="1037"/>
        <v>-3.6327775998381689E-2</v>
      </c>
      <c r="V682" s="13">
        <f t="shared" si="1038"/>
        <v>1.9726858877086473E-2</v>
      </c>
      <c r="W682" s="13">
        <f t="shared" si="1039"/>
        <v>-0.23076923076923073</v>
      </c>
      <c r="X682" s="13">
        <f t="shared" si="1040"/>
        <v>-0.20985401459854014</v>
      </c>
      <c r="Y682" s="13">
        <f t="shared" si="1041"/>
        <v>-0.44117647058823528</v>
      </c>
    </row>
    <row r="683" spans="1:25" ht="14.4">
      <c r="A683" s="98" t="s">
        <v>969</v>
      </c>
      <c r="B683" s="99">
        <v>526367</v>
      </c>
      <c r="C683" s="98" t="s">
        <v>187</v>
      </c>
      <c r="D683" s="100" t="s">
        <v>131</v>
      </c>
      <c r="E683" s="11">
        <f ca="1">IFERROR(__xludf.DUMMYFUNCTION("GOOGLEFINANCE(""BOM:""&amp;B684,""PRICE"")"),566.05)</f>
        <v>566.04999999999995</v>
      </c>
      <c r="F683" s="20">
        <f ca="1">IFERROR(__xludf.DUMMYFUNCTION("GOOGLEFINANCE(""BOM:""&amp;B684,""MARKETCAP"")/10000000"),4719.709294)</f>
        <v>4719.7092940000002</v>
      </c>
      <c r="G683" s="95">
        <f t="shared" ca="1" si="1056"/>
        <v>1.1714745094960007E-4</v>
      </c>
      <c r="H683" s="101">
        <v>416</v>
      </c>
      <c r="I683" s="101">
        <v>708</v>
      </c>
      <c r="J683" s="101">
        <v>254</v>
      </c>
      <c r="K683" s="101">
        <v>433</v>
      </c>
      <c r="L683" s="101">
        <v>91</v>
      </c>
      <c r="M683" s="101">
        <v>257</v>
      </c>
      <c r="N683" s="101">
        <v>63</v>
      </c>
      <c r="O683" s="101">
        <v>160</v>
      </c>
      <c r="P683" s="13">
        <f t="shared" ref="P683:Q683" si="1379">J683/H683</f>
        <v>0.61057692307692313</v>
      </c>
      <c r="Q683" s="13">
        <f t="shared" si="1379"/>
        <v>0.6115819209039548</v>
      </c>
      <c r="R683" s="13">
        <f t="shared" si="1035"/>
        <v>-1.0049978270316728E-3</v>
      </c>
      <c r="S683" s="13">
        <f t="shared" ref="S683:T683" si="1380">N683/L683</f>
        <v>0.69230769230769229</v>
      </c>
      <c r="T683" s="13">
        <f t="shared" si="1380"/>
        <v>0.62256809338521402</v>
      </c>
      <c r="U683" s="13">
        <f t="shared" si="1037"/>
        <v>6.9739598922478274E-2</v>
      </c>
      <c r="V683" s="13">
        <f t="shared" si="1038"/>
        <v>-0.41242937853107342</v>
      </c>
      <c r="W683" s="13">
        <f t="shared" si="1039"/>
        <v>-0.41339491916859128</v>
      </c>
      <c r="X683" s="13">
        <f t="shared" si="1040"/>
        <v>-0.64591439688715946</v>
      </c>
      <c r="Y683" s="13">
        <f t="shared" si="1041"/>
        <v>-0.60624999999999996</v>
      </c>
    </row>
    <row r="684" spans="1:25" ht="14.4">
      <c r="A684" s="98" t="s">
        <v>970</v>
      </c>
      <c r="B684" s="99">
        <v>541967</v>
      </c>
      <c r="C684" s="98" t="s">
        <v>187</v>
      </c>
      <c r="D684" s="70" t="s">
        <v>70</v>
      </c>
      <c r="E684" s="11">
        <f ca="1">IFERROR(__xludf.DUMMYFUNCTION("GOOGLEFINANCE(""BOM:""&amp;B685,""PRICE"")"),361.05)</f>
        <v>361.05</v>
      </c>
      <c r="F684" s="20">
        <f ca="1">IFERROR(__xludf.DUMMYFUNCTION("GOOGLEFINANCE(""BOM:""&amp;B685,""MARKETCAP"")/10000000"),5600.2367025)</f>
        <v>5600.2367025000003</v>
      </c>
      <c r="G684" s="95">
        <f t="shared" ca="1" si="1056"/>
        <v>1.390029371610422E-4</v>
      </c>
      <c r="H684" s="101">
        <v>4383</v>
      </c>
      <c r="I684" s="101">
        <v>2489</v>
      </c>
      <c r="J684" s="101">
        <v>191</v>
      </c>
      <c r="K684" s="101">
        <v>94</v>
      </c>
      <c r="L684" s="101">
        <v>1767</v>
      </c>
      <c r="M684" s="101">
        <v>997</v>
      </c>
      <c r="N684" s="101">
        <v>80</v>
      </c>
      <c r="O684" s="101">
        <v>36</v>
      </c>
      <c r="P684" s="13">
        <f t="shared" ref="P684:Q684" si="1381">J684/H684</f>
        <v>4.357745836185261E-2</v>
      </c>
      <c r="Q684" s="13">
        <f t="shared" si="1381"/>
        <v>3.776617115307352E-2</v>
      </c>
      <c r="R684" s="13">
        <f t="shared" si="1035"/>
        <v>5.8112872087790896E-3</v>
      </c>
      <c r="S684" s="13">
        <f t="shared" ref="S684:T684" si="1382">N684/L684</f>
        <v>4.5274476513865305E-2</v>
      </c>
      <c r="T684" s="13">
        <f t="shared" si="1382"/>
        <v>3.6108324974924777E-2</v>
      </c>
      <c r="U684" s="13">
        <f t="shared" si="1037"/>
        <v>9.1661515389405285E-3</v>
      </c>
      <c r="V684" s="13">
        <f t="shared" si="1038"/>
        <v>0.76094817195660913</v>
      </c>
      <c r="W684" s="13">
        <f t="shared" si="1039"/>
        <v>1.0319148936170213</v>
      </c>
      <c r="X684" s="13">
        <f t="shared" si="1040"/>
        <v>0.77231695085255758</v>
      </c>
      <c r="Y684" s="13">
        <f t="shared" si="1041"/>
        <v>1.2222222222222223</v>
      </c>
    </row>
    <row r="685" spans="1:25" ht="14.4">
      <c r="A685" s="98" t="s">
        <v>971</v>
      </c>
      <c r="B685" s="99">
        <v>538567</v>
      </c>
      <c r="C685" s="98" t="s">
        <v>91</v>
      </c>
      <c r="D685" s="102" t="s">
        <v>589</v>
      </c>
      <c r="E685" s="11">
        <f ca="1">IFERROR(__xludf.DUMMYFUNCTION("GOOGLEFINANCE(""BOM:""&amp;B686,""PRICE"")"),882.85)</f>
        <v>882.85</v>
      </c>
      <c r="F685" s="20">
        <f ca="1">IFERROR(__xludf.DUMMYFUNCTION("GOOGLEFINANCE(""BOM:""&amp;B686,""MARKETCAP"")/10000000"),4363.4939499)</f>
        <v>4363.4939499000002</v>
      </c>
      <c r="G685" s="95">
        <f t="shared" ca="1" si="1056"/>
        <v>1.0830586411638152E-4</v>
      </c>
      <c r="H685" s="101">
        <v>3000</v>
      </c>
      <c r="I685" s="101">
        <v>2678</v>
      </c>
      <c r="J685" s="101">
        <v>255</v>
      </c>
      <c r="K685" s="101">
        <v>264</v>
      </c>
      <c r="L685" s="101">
        <v>1017</v>
      </c>
      <c r="M685" s="101">
        <v>920</v>
      </c>
      <c r="N685" s="101">
        <v>76</v>
      </c>
      <c r="O685" s="101">
        <v>97</v>
      </c>
      <c r="P685" s="13">
        <f t="shared" ref="P685:Q685" si="1383">J685/H685</f>
        <v>8.5000000000000006E-2</v>
      </c>
      <c r="Q685" s="13">
        <f t="shared" si="1383"/>
        <v>9.8581030619865576E-2</v>
      </c>
      <c r="R685" s="13">
        <f t="shared" si="1035"/>
        <v>-1.3581030619865569E-2</v>
      </c>
      <c r="S685" s="13">
        <f t="shared" ref="S685:T685" si="1384">N685/L685</f>
        <v>7.4729596853490662E-2</v>
      </c>
      <c r="T685" s="13">
        <f t="shared" si="1384"/>
        <v>0.10543478260869565</v>
      </c>
      <c r="U685" s="13">
        <f t="shared" si="1037"/>
        <v>-3.0705185755204992E-2</v>
      </c>
      <c r="V685" s="13">
        <f t="shared" si="1038"/>
        <v>0.12023898431665425</v>
      </c>
      <c r="W685" s="13">
        <f t="shared" si="1039"/>
        <v>-3.4090909090909061E-2</v>
      </c>
      <c r="X685" s="13">
        <f t="shared" si="1040"/>
        <v>0.10543478260869565</v>
      </c>
      <c r="Y685" s="13">
        <f t="shared" si="1041"/>
        <v>-0.21649484536082475</v>
      </c>
    </row>
    <row r="686" spans="1:25" ht="14.4">
      <c r="A686" s="98" t="s">
        <v>972</v>
      </c>
      <c r="B686" s="99">
        <v>543669</v>
      </c>
      <c r="C686" s="98" t="s">
        <v>187</v>
      </c>
      <c r="D686" s="100" t="s">
        <v>131</v>
      </c>
      <c r="E686" s="11">
        <f ca="1">IFERROR(__xludf.DUMMYFUNCTION("GOOGLEFINANCE(""BOM:""&amp;B687,""PRICE"")"),388.25)</f>
        <v>388.25</v>
      </c>
      <c r="F686" s="20">
        <f ca="1">IFERROR(__xludf.DUMMYFUNCTION("GOOGLEFINANCE(""BOM:""&amp;B687,""MARKETCAP"")/10000000"),4898.6305114)</f>
        <v>4898.6305113999997</v>
      </c>
      <c r="G686" s="95">
        <f t="shared" ca="1" si="1056"/>
        <v>1.2158843729718192E-4</v>
      </c>
      <c r="H686" s="101">
        <v>1038</v>
      </c>
      <c r="I686" s="101">
        <v>1419</v>
      </c>
      <c r="J686" s="101">
        <v>31</v>
      </c>
      <c r="K686" s="101">
        <v>121</v>
      </c>
      <c r="L686" s="101">
        <v>266</v>
      </c>
      <c r="M686" s="101">
        <v>464</v>
      </c>
      <c r="N686" s="101">
        <v>5</v>
      </c>
      <c r="O686" s="101">
        <v>29</v>
      </c>
      <c r="P686" s="13">
        <f t="shared" ref="P686:Q686" si="1385">J686/H686</f>
        <v>2.9865125240847785E-2</v>
      </c>
      <c r="Q686" s="13">
        <f t="shared" si="1385"/>
        <v>8.5271317829457363E-2</v>
      </c>
      <c r="R686" s="13">
        <f t="shared" si="1035"/>
        <v>-5.5406192588609578E-2</v>
      </c>
      <c r="S686" s="13">
        <f t="shared" ref="S686:T686" si="1386">N686/L686</f>
        <v>1.8796992481203006E-2</v>
      </c>
      <c r="T686" s="13">
        <f t="shared" si="1386"/>
        <v>6.25E-2</v>
      </c>
      <c r="U686" s="13">
        <f t="shared" si="1037"/>
        <v>-4.3703007518796994E-2</v>
      </c>
      <c r="V686" s="13">
        <f t="shared" si="1038"/>
        <v>-0.26849894291754761</v>
      </c>
      <c r="W686" s="13">
        <f t="shared" si="1039"/>
        <v>-0.74380165289256195</v>
      </c>
      <c r="X686" s="13">
        <f t="shared" si="1040"/>
        <v>-0.42672413793103448</v>
      </c>
      <c r="Y686" s="13">
        <f t="shared" si="1041"/>
        <v>-0.82758620689655171</v>
      </c>
    </row>
    <row r="687" spans="1:25" ht="14.4">
      <c r="A687" s="98" t="s">
        <v>973</v>
      </c>
      <c r="B687" s="99">
        <v>530305</v>
      </c>
      <c r="C687" s="98" t="s">
        <v>183</v>
      </c>
      <c r="D687" s="101" t="s">
        <v>317</v>
      </c>
      <c r="E687" s="11">
        <f ca="1">IFERROR(__xludf.DUMMYFUNCTION("GOOGLEFINANCE(""BOM:""&amp;B688,""PRICE"")"),532.95)</f>
        <v>532.95000000000005</v>
      </c>
      <c r="F687" s="20">
        <f ca="1">IFERROR(__xludf.DUMMYFUNCTION("GOOGLEFINANCE(""BOM:""&amp;B688,""MARKETCAP"")/10000000"),5255.3402963)</f>
        <v>5255.3402962999999</v>
      </c>
      <c r="G687" s="95">
        <f t="shared" ca="1" si="1056"/>
        <v>1.3044229659799487E-4</v>
      </c>
      <c r="H687" s="101">
        <v>775</v>
      </c>
      <c r="I687" s="101">
        <v>614</v>
      </c>
      <c r="J687" s="101">
        <v>92</v>
      </c>
      <c r="K687" s="101">
        <v>62</v>
      </c>
      <c r="L687" s="101">
        <v>312</v>
      </c>
      <c r="M687" s="101">
        <v>203</v>
      </c>
      <c r="N687" s="101">
        <v>47</v>
      </c>
      <c r="O687" s="101">
        <v>24</v>
      </c>
      <c r="P687" s="13">
        <f t="shared" ref="P687:Q687" si="1387">J687/H687</f>
        <v>0.11870967741935484</v>
      </c>
      <c r="Q687" s="13">
        <f t="shared" si="1387"/>
        <v>0.10097719869706841</v>
      </c>
      <c r="R687" s="13">
        <f t="shared" si="1035"/>
        <v>1.7732478722286435E-2</v>
      </c>
      <c r="S687" s="13">
        <f t="shared" ref="S687:T687" si="1388">N687/L687</f>
        <v>0.15064102564102563</v>
      </c>
      <c r="T687" s="13">
        <f t="shared" si="1388"/>
        <v>0.11822660098522167</v>
      </c>
      <c r="U687" s="13">
        <f t="shared" si="1037"/>
        <v>3.2414424655803964E-2</v>
      </c>
      <c r="V687" s="13">
        <f t="shared" si="1038"/>
        <v>0.26221498371335494</v>
      </c>
      <c r="W687" s="13">
        <f t="shared" si="1039"/>
        <v>0.4838709677419355</v>
      </c>
      <c r="X687" s="13">
        <f t="shared" si="1040"/>
        <v>0.53694581280788167</v>
      </c>
      <c r="Y687" s="13">
        <f t="shared" si="1041"/>
        <v>0.95833333333333326</v>
      </c>
    </row>
    <row r="688" spans="1:25" ht="14.4">
      <c r="A688" s="98" t="s">
        <v>974</v>
      </c>
      <c r="B688" s="99">
        <v>544240</v>
      </c>
      <c r="C688" s="98" t="s">
        <v>187</v>
      </c>
      <c r="D688" s="70" t="s">
        <v>492</v>
      </c>
      <c r="E688" s="11">
        <f ca="1">IFERROR(__xludf.DUMMYFUNCTION("GOOGLEFINANCE(""BOM:""&amp;B689,""PRICE"")"),794.3)</f>
        <v>794.3</v>
      </c>
      <c r="F688" s="20">
        <f ca="1">IFERROR(__xludf.DUMMYFUNCTION("GOOGLEFINANCE(""BOM:""&amp;B689,""MARKETCAP"")/10000000"),4843.8374043)</f>
        <v>4843.8374043000003</v>
      </c>
      <c r="G688" s="95">
        <f t="shared" ca="1" si="1056"/>
        <v>1.2022842284999268E-4</v>
      </c>
      <c r="H688" s="101">
        <v>5111</v>
      </c>
      <c r="I688" s="101">
        <v>4682</v>
      </c>
      <c r="J688" s="101">
        <v>98</v>
      </c>
      <c r="K688" s="101">
        <v>83</v>
      </c>
      <c r="L688" s="101">
        <v>1848</v>
      </c>
      <c r="M688" s="101">
        <v>1754</v>
      </c>
      <c r="N688" s="101">
        <v>42</v>
      </c>
      <c r="O688" s="101">
        <v>64</v>
      </c>
      <c r="P688" s="13">
        <f t="shared" ref="P688:Q688" si="1389">J688/H688</f>
        <v>1.9174329876736451E-2</v>
      </c>
      <c r="Q688" s="13">
        <f t="shared" si="1389"/>
        <v>1.7727466894489535E-2</v>
      </c>
      <c r="R688" s="13">
        <f t="shared" si="1035"/>
        <v>1.4468629822469159E-3</v>
      </c>
      <c r="S688" s="13">
        <f t="shared" ref="S688:T688" si="1390">N688/L688</f>
        <v>2.2727272727272728E-2</v>
      </c>
      <c r="T688" s="13">
        <f t="shared" si="1390"/>
        <v>3.6488027366020526E-2</v>
      </c>
      <c r="U688" s="13">
        <f t="shared" si="1037"/>
        <v>-1.3760754638747798E-2</v>
      </c>
      <c r="V688" s="13">
        <f t="shared" si="1038"/>
        <v>9.1627509611277302E-2</v>
      </c>
      <c r="W688" s="13">
        <f t="shared" si="1039"/>
        <v>0.18072289156626509</v>
      </c>
      <c r="X688" s="13">
        <f t="shared" si="1040"/>
        <v>5.3591790193842748E-2</v>
      </c>
      <c r="Y688" s="13">
        <f t="shared" si="1041"/>
        <v>-0.34375</v>
      </c>
    </row>
    <row r="689" spans="1:25" ht="14.4">
      <c r="A689" s="98" t="s">
        <v>975</v>
      </c>
      <c r="B689" s="99">
        <v>543227</v>
      </c>
      <c r="C689" s="98" t="s">
        <v>174</v>
      </c>
      <c r="D689" s="102" t="s">
        <v>175</v>
      </c>
      <c r="E689" s="11">
        <f ca="1">IFERROR(__xludf.DUMMYFUNCTION("GOOGLEFINANCE(""BOM:""&amp;B690,""PRICE"")"),384.85)</f>
        <v>384.85</v>
      </c>
      <c r="F689" s="20">
        <f ca="1">IFERROR(__xludf.DUMMYFUNCTION("GOOGLEFINANCE(""BOM:""&amp;B690,""MARKETCAP"")/10000000"),5782.3949473)</f>
        <v>5782.3949473000002</v>
      </c>
      <c r="G689" s="95">
        <f t="shared" ca="1" si="1056"/>
        <v>1.4352426945472843E-4</v>
      </c>
      <c r="H689" s="101">
        <v>1711</v>
      </c>
      <c r="I689" s="101">
        <v>1516</v>
      </c>
      <c r="J689" s="101">
        <v>151</v>
      </c>
      <c r="K689" s="101">
        <v>150</v>
      </c>
      <c r="L689" s="101">
        <v>587</v>
      </c>
      <c r="M689" s="101">
        <v>530</v>
      </c>
      <c r="N689" s="101">
        <v>40</v>
      </c>
      <c r="O689" s="101">
        <v>50</v>
      </c>
      <c r="P689" s="13">
        <f t="shared" ref="P689:Q689" si="1391">J689/H689</f>
        <v>8.8252483927527756E-2</v>
      </c>
      <c r="Q689" s="13">
        <f t="shared" si="1391"/>
        <v>9.894459102902374E-2</v>
      </c>
      <c r="R689" s="13">
        <f t="shared" si="1035"/>
        <v>-1.0692107101495985E-2</v>
      </c>
      <c r="S689" s="13">
        <f t="shared" ref="S689:T689" si="1392">N689/L689</f>
        <v>6.8143100511073251E-2</v>
      </c>
      <c r="T689" s="13">
        <f t="shared" si="1392"/>
        <v>9.4339622641509441E-2</v>
      </c>
      <c r="U689" s="13">
        <f t="shared" si="1037"/>
        <v>-2.6196522130436189E-2</v>
      </c>
      <c r="V689" s="13">
        <f t="shared" si="1038"/>
        <v>0.12862796833773094</v>
      </c>
      <c r="W689" s="13">
        <f t="shared" si="1039"/>
        <v>6.6666666666665986E-3</v>
      </c>
      <c r="X689" s="13">
        <f t="shared" si="1040"/>
        <v>0.10754716981132084</v>
      </c>
      <c r="Y689" s="13">
        <f t="shared" si="1041"/>
        <v>-0.19999999999999996</v>
      </c>
    </row>
    <row r="690" spans="1:25" ht="14.4">
      <c r="A690" s="98" t="s">
        <v>976</v>
      </c>
      <c r="B690" s="99">
        <v>539150</v>
      </c>
      <c r="C690" s="98" t="s">
        <v>180</v>
      </c>
      <c r="D690" s="100" t="s">
        <v>181</v>
      </c>
      <c r="E690" s="11">
        <f ca="1">IFERROR(__xludf.DUMMYFUNCTION("GOOGLEFINANCE(""BOM:""&amp;B691,""PRICE"")"),174.95)</f>
        <v>174.95</v>
      </c>
      <c r="F690" s="20">
        <f ca="1">IFERROR(__xludf.DUMMYFUNCTION("GOOGLEFINANCE(""BOM:""&amp;B691,""MARKETCAP"")/10000000"),4487.6382884)</f>
        <v>4487.6382884000004</v>
      </c>
      <c r="G690" s="95">
        <f t="shared" ca="1" si="1056"/>
        <v>1.1138723881536723E-4</v>
      </c>
      <c r="H690" s="101">
        <v>3751</v>
      </c>
      <c r="I690" s="101">
        <v>5064</v>
      </c>
      <c r="J690" s="101">
        <v>723</v>
      </c>
      <c r="K690" s="101">
        <v>739</v>
      </c>
      <c r="L690" s="101">
        <v>1200</v>
      </c>
      <c r="M690" s="101">
        <v>1470</v>
      </c>
      <c r="N690" s="101">
        <v>76</v>
      </c>
      <c r="O690" s="101">
        <v>81</v>
      </c>
      <c r="P690" s="13">
        <f t="shared" ref="P690:Q690" si="1393">J690/H690</f>
        <v>0.1927486003732338</v>
      </c>
      <c r="Q690" s="13">
        <f t="shared" si="1393"/>
        <v>0.14593206951026857</v>
      </c>
      <c r="R690" s="13">
        <f t="shared" si="1035"/>
        <v>4.6816530862965222E-2</v>
      </c>
      <c r="S690" s="13">
        <f t="shared" ref="S690:T690" si="1394">N690/L690</f>
        <v>6.3333333333333339E-2</v>
      </c>
      <c r="T690" s="13">
        <f t="shared" si="1394"/>
        <v>5.5102040816326532E-2</v>
      </c>
      <c r="U690" s="13">
        <f t="shared" si="1037"/>
        <v>8.2312925170068066E-3</v>
      </c>
      <c r="V690" s="13">
        <f t="shared" si="1038"/>
        <v>-0.25928120063191151</v>
      </c>
      <c r="W690" s="13">
        <f t="shared" si="1039"/>
        <v>-2.1650879566982417E-2</v>
      </c>
      <c r="X690" s="13">
        <f t="shared" si="1040"/>
        <v>-0.18367346938775508</v>
      </c>
      <c r="Y690" s="13">
        <f t="shared" si="1041"/>
        <v>-6.1728395061728447E-2</v>
      </c>
    </row>
    <row r="691" spans="1:25" ht="14.4">
      <c r="A691" s="98" t="s">
        <v>977</v>
      </c>
      <c r="B691" s="99">
        <v>532804</v>
      </c>
      <c r="C691" s="98" t="s">
        <v>180</v>
      </c>
      <c r="D691" s="102" t="s">
        <v>384</v>
      </c>
      <c r="E691" s="11">
        <f ca="1">IFERROR(__xludf.DUMMYFUNCTION("GOOGLEFINANCE(""BOM:""&amp;B692,""PRICE"")"),2252.25)</f>
        <v>2252.25</v>
      </c>
      <c r="F691" s="20">
        <f ca="1">IFERROR(__xludf.DUMMYFUNCTION("GOOGLEFINANCE(""BOM:""&amp;B692,""MARKETCAP"")/10000000"),5099.563816)</f>
        <v>5099.5638159999999</v>
      </c>
      <c r="G691" s="95">
        <f t="shared" ca="1" si="1056"/>
        <v>1.2657578354638706E-4</v>
      </c>
      <c r="H691" s="101">
        <v>2047</v>
      </c>
      <c r="I691" s="101">
        <v>1893</v>
      </c>
      <c r="J691" s="101">
        <v>215</v>
      </c>
      <c r="K691" s="101">
        <v>196</v>
      </c>
      <c r="L691" s="101">
        <v>662</v>
      </c>
      <c r="M691" s="101">
        <v>644</v>
      </c>
      <c r="N691" s="101">
        <v>53</v>
      </c>
      <c r="O691" s="101">
        <v>41</v>
      </c>
      <c r="P691" s="13">
        <f t="shared" ref="P691:Q691" si="1395">J691/H691</f>
        <v>0.10503175378602833</v>
      </c>
      <c r="Q691" s="13">
        <f t="shared" si="1395"/>
        <v>0.10353935552033809</v>
      </c>
      <c r="R691" s="13">
        <f t="shared" si="1035"/>
        <v>1.4923982656902396E-3</v>
      </c>
      <c r="S691" s="13">
        <f t="shared" ref="S691:T691" si="1396">N691/L691</f>
        <v>8.0060422960725075E-2</v>
      </c>
      <c r="T691" s="13">
        <f t="shared" si="1396"/>
        <v>6.3664596273291921E-2</v>
      </c>
      <c r="U691" s="13">
        <f t="shared" si="1037"/>
        <v>1.6395826687433154E-2</v>
      </c>
      <c r="V691" s="13">
        <f t="shared" si="1038"/>
        <v>8.1352350765979908E-2</v>
      </c>
      <c r="W691" s="13">
        <f t="shared" si="1039"/>
        <v>9.6938775510204023E-2</v>
      </c>
      <c r="X691" s="13">
        <f t="shared" si="1040"/>
        <v>2.7950310559006208E-2</v>
      </c>
      <c r="Y691" s="13">
        <f t="shared" si="1041"/>
        <v>0.29268292682926833</v>
      </c>
    </row>
    <row r="692" spans="1:25" ht="14.4">
      <c r="A692" s="98" t="s">
        <v>978</v>
      </c>
      <c r="B692" s="99">
        <v>521016</v>
      </c>
      <c r="C692" s="98" t="s">
        <v>187</v>
      </c>
      <c r="D692" s="100" t="s">
        <v>492</v>
      </c>
      <c r="E692" s="11">
        <f ca="1">IFERROR(__xludf.DUMMYFUNCTION("GOOGLEFINANCE(""BOM:""&amp;B693,""PRICE"")"),253.55)</f>
        <v>253.55</v>
      </c>
      <c r="F692" s="20">
        <f ca="1">IFERROR(__xludf.DUMMYFUNCTION("GOOGLEFINANCE(""BOM:""&amp;B693,""MARKETCAP"")/10000000"),5026.4199467)</f>
        <v>5026.4199466999999</v>
      </c>
      <c r="G692" s="95">
        <f t="shared" ca="1" si="1056"/>
        <v>1.2476028659364494E-4</v>
      </c>
      <c r="H692" s="101">
        <v>3083</v>
      </c>
      <c r="I692" s="101">
        <v>3128</v>
      </c>
      <c r="J692" s="101">
        <v>102</v>
      </c>
      <c r="K692" s="101">
        <v>228</v>
      </c>
      <c r="L692" s="101">
        <v>1062</v>
      </c>
      <c r="M692" s="101">
        <v>1151</v>
      </c>
      <c r="N692" s="101">
        <v>24</v>
      </c>
      <c r="O692" s="101">
        <v>70</v>
      </c>
      <c r="P692" s="13">
        <f t="shared" ref="P692:Q692" si="1397">J692/H692</f>
        <v>3.3084657800843333E-2</v>
      </c>
      <c r="Q692" s="13">
        <f t="shared" si="1397"/>
        <v>7.2890025575447576E-2</v>
      </c>
      <c r="R692" s="13">
        <f t="shared" si="1035"/>
        <v>-3.9805367774604243E-2</v>
      </c>
      <c r="S692" s="13">
        <f t="shared" ref="S692:T692" si="1398">N692/L692</f>
        <v>2.2598870056497175E-2</v>
      </c>
      <c r="T692" s="13">
        <f t="shared" si="1398"/>
        <v>6.0816681146828845E-2</v>
      </c>
      <c r="U692" s="13">
        <f t="shared" si="1037"/>
        <v>-3.821781109033167E-2</v>
      </c>
      <c r="V692" s="13">
        <f t="shared" si="1038"/>
        <v>-1.4386189258312032E-2</v>
      </c>
      <c r="W692" s="13">
        <f t="shared" si="1039"/>
        <v>-0.55263157894736836</v>
      </c>
      <c r="X692" s="13">
        <f t="shared" si="1040"/>
        <v>-7.7324066029539562E-2</v>
      </c>
      <c r="Y692" s="13">
        <f t="shared" si="1041"/>
        <v>-0.65714285714285714</v>
      </c>
    </row>
    <row r="693" spans="1:25" ht="14.4">
      <c r="A693" s="98" t="s">
        <v>979</v>
      </c>
      <c r="B693" s="99">
        <v>535602</v>
      </c>
      <c r="C693" s="98" t="s">
        <v>187</v>
      </c>
      <c r="D693" s="102" t="s">
        <v>312</v>
      </c>
      <c r="E693" s="11">
        <f ca="1">IFERROR(__xludf.DUMMYFUNCTION("GOOGLEFINANCE(""BOM:""&amp;B694,""PRICE"")"),749.9)</f>
        <v>749.9</v>
      </c>
      <c r="F693" s="20">
        <f ca="1">IFERROR(__xludf.DUMMYFUNCTION("GOOGLEFINANCE(""BOM:""&amp;B694,""MARKETCAP"")/10000000"),4294.3829284)</f>
        <v>4294.3829284000003</v>
      </c>
      <c r="G693" s="95">
        <f t="shared" ca="1" si="1056"/>
        <v>1.0659046609143528E-4</v>
      </c>
      <c r="H693" s="101">
        <v>2425</v>
      </c>
      <c r="I693" s="101">
        <v>2086</v>
      </c>
      <c r="J693" s="101">
        <v>255</v>
      </c>
      <c r="K693" s="101">
        <v>230</v>
      </c>
      <c r="L693" s="101">
        <v>881</v>
      </c>
      <c r="M693" s="101">
        <v>689</v>
      </c>
      <c r="N693" s="101">
        <v>81</v>
      </c>
      <c r="O693" s="101">
        <v>75</v>
      </c>
      <c r="P693" s="13">
        <f t="shared" ref="P693:Q693" si="1399">J693/H693</f>
        <v>0.10515463917525773</v>
      </c>
      <c r="Q693" s="13">
        <f t="shared" si="1399"/>
        <v>0.11025886864813039</v>
      </c>
      <c r="R693" s="13">
        <f t="shared" si="1035"/>
        <v>-5.1042294728726595E-3</v>
      </c>
      <c r="S693" s="13">
        <f t="shared" ref="S693:T693" si="1400">N693/L693</f>
        <v>9.1940976163450622E-2</v>
      </c>
      <c r="T693" s="13">
        <f t="shared" si="1400"/>
        <v>0.10885341074020319</v>
      </c>
      <c r="U693" s="13">
        <f t="shared" si="1037"/>
        <v>-1.6912434576752566E-2</v>
      </c>
      <c r="V693" s="13">
        <f t="shared" si="1038"/>
        <v>0.16251198465963568</v>
      </c>
      <c r="W693" s="13">
        <f t="shared" si="1039"/>
        <v>0.10869565217391308</v>
      </c>
      <c r="X693" s="13">
        <f t="shared" si="1040"/>
        <v>0.27866473149492021</v>
      </c>
      <c r="Y693" s="13">
        <f t="shared" si="1041"/>
        <v>8.0000000000000071E-2</v>
      </c>
    </row>
    <row r="694" spans="1:25" ht="14.4">
      <c r="A694" s="98" t="s">
        <v>980</v>
      </c>
      <c r="B694" s="99">
        <v>505890</v>
      </c>
      <c r="C694" s="98" t="s">
        <v>180</v>
      </c>
      <c r="D694" s="100" t="s">
        <v>514</v>
      </c>
      <c r="E694" s="11">
        <f ca="1">IFERROR(__xludf.DUMMYFUNCTION("GOOGLEFINANCE(""BOM:""&amp;B695,""PRICE"")"),2210)</f>
        <v>2210</v>
      </c>
      <c r="F694" s="20">
        <f ca="1">IFERROR(__xludf.DUMMYFUNCTION("GOOGLEFINANCE(""BOM:""&amp;B695,""MARKETCAP"")/10000000"),4857.18883)</f>
        <v>4857.1888300000001</v>
      </c>
      <c r="G694" s="95">
        <f t="shared" ca="1" si="1056"/>
        <v>1.2055981730458044E-4</v>
      </c>
      <c r="H694" s="101">
        <v>630</v>
      </c>
      <c r="I694" s="101">
        <v>557</v>
      </c>
      <c r="J694" s="101">
        <v>55</v>
      </c>
      <c r="K694" s="101">
        <v>47</v>
      </c>
      <c r="L694" s="101">
        <v>33</v>
      </c>
      <c r="M694" s="101">
        <v>28</v>
      </c>
      <c r="N694" s="101">
        <v>24</v>
      </c>
      <c r="O694" s="101">
        <v>22</v>
      </c>
      <c r="P694" s="13">
        <f t="shared" ref="P694:Q694" si="1401">J694/H694</f>
        <v>8.7301587301587297E-2</v>
      </c>
      <c r="Q694" s="13">
        <f t="shared" si="1401"/>
        <v>8.4380610412926396E-2</v>
      </c>
      <c r="R694" s="13">
        <f t="shared" si="1035"/>
        <v>2.9209768886609006E-3</v>
      </c>
      <c r="S694" s="13">
        <f t="shared" ref="S694:T694" si="1402">N694/L694</f>
        <v>0.72727272727272729</v>
      </c>
      <c r="T694" s="13">
        <f t="shared" si="1402"/>
        <v>0.7857142857142857</v>
      </c>
      <c r="U694" s="13">
        <f t="shared" si="1037"/>
        <v>-5.8441558441558406E-2</v>
      </c>
      <c r="V694" s="13">
        <f t="shared" si="1038"/>
        <v>0.13105924596050267</v>
      </c>
      <c r="W694" s="13">
        <f t="shared" si="1039"/>
        <v>0.17021276595744683</v>
      </c>
      <c r="X694" s="13">
        <f t="shared" si="1040"/>
        <v>0.1785714285714286</v>
      </c>
      <c r="Y694" s="13">
        <f t="shared" si="1041"/>
        <v>9.0909090909090828E-2</v>
      </c>
    </row>
    <row r="695" spans="1:25" ht="14.4">
      <c r="A695" s="98" t="s">
        <v>981</v>
      </c>
      <c r="B695" s="99">
        <v>543434</v>
      </c>
      <c r="C695" s="98" t="s">
        <v>190</v>
      </c>
      <c r="D695" s="100" t="s">
        <v>100</v>
      </c>
      <c r="E695" s="11">
        <f ca="1">IFERROR(__xludf.DUMMYFUNCTION("GOOGLEFINANCE(""BOM:""&amp;B696,""PRICE"")"),613.9)</f>
        <v>613.9</v>
      </c>
      <c r="F695" s="20">
        <f ca="1">IFERROR(__xludf.DUMMYFUNCTION("GOOGLEFINANCE(""BOM:""&amp;B696,""MARKETCAP"")/10000000"),4941.6459531)</f>
        <v>4941.6459531</v>
      </c>
      <c r="G695" s="95">
        <f t="shared" ca="1" si="1056"/>
        <v>1.2265611944299381E-4</v>
      </c>
      <c r="H695" s="101">
        <v>551</v>
      </c>
      <c r="I695" s="101">
        <v>512</v>
      </c>
      <c r="J695" s="101">
        <v>134</v>
      </c>
      <c r="K695" s="101">
        <v>137</v>
      </c>
      <c r="L695" s="101">
        <v>206</v>
      </c>
      <c r="M695" s="101">
        <v>185</v>
      </c>
      <c r="N695" s="101">
        <v>49</v>
      </c>
      <c r="O695" s="101">
        <v>46</v>
      </c>
      <c r="P695" s="13">
        <f t="shared" ref="P695:Q695" si="1403">J695/H695</f>
        <v>0.24319419237749546</v>
      </c>
      <c r="Q695" s="13">
        <f t="shared" si="1403"/>
        <v>0.267578125</v>
      </c>
      <c r="R695" s="13">
        <f t="shared" si="1035"/>
        <v>-2.4383932622504545E-2</v>
      </c>
      <c r="S695" s="13">
        <f t="shared" ref="S695:T695" si="1404">N695/L695</f>
        <v>0.23786407766990292</v>
      </c>
      <c r="T695" s="13">
        <f t="shared" si="1404"/>
        <v>0.24864864864864866</v>
      </c>
      <c r="U695" s="13">
        <f t="shared" si="1037"/>
        <v>-1.0784570978745744E-2</v>
      </c>
      <c r="V695" s="13">
        <f t="shared" si="1038"/>
        <v>7.6171875E-2</v>
      </c>
      <c r="W695" s="13">
        <f t="shared" si="1039"/>
        <v>-2.1897810218978075E-2</v>
      </c>
      <c r="X695" s="13">
        <f t="shared" si="1040"/>
        <v>0.11351351351351346</v>
      </c>
      <c r="Y695" s="13">
        <f t="shared" si="1041"/>
        <v>6.5217391304347894E-2</v>
      </c>
    </row>
    <row r="696" spans="1:25" ht="14.4">
      <c r="A696" s="98" t="s">
        <v>982</v>
      </c>
      <c r="B696" s="99">
        <v>500355</v>
      </c>
      <c r="C696" s="98" t="s">
        <v>196</v>
      </c>
      <c r="D696" s="70" t="s">
        <v>414</v>
      </c>
      <c r="E696" s="11">
        <f ca="1">IFERROR(__xludf.DUMMYFUNCTION("GOOGLEFINANCE(""BOM:""&amp;B697,""PRICE"")"),239.1)</f>
        <v>239.1</v>
      </c>
      <c r="F696" s="20">
        <f ca="1">IFERROR(__xludf.DUMMYFUNCTION("GOOGLEFINANCE(""BOM:""&amp;B697,""MARKETCAP"")/10000000"),4650.1402418)</f>
        <v>4650.1402417999998</v>
      </c>
      <c r="G696" s="95">
        <f t="shared" ca="1" si="1056"/>
        <v>1.1542068418865353E-4</v>
      </c>
      <c r="H696" s="101">
        <v>2441</v>
      </c>
      <c r="I696" s="101">
        <v>2233</v>
      </c>
      <c r="J696" s="101">
        <v>199</v>
      </c>
      <c r="K696" s="101">
        <v>157</v>
      </c>
      <c r="L696" s="101">
        <v>623</v>
      </c>
      <c r="M696" s="101">
        <v>522</v>
      </c>
      <c r="N696" s="101">
        <v>2</v>
      </c>
      <c r="O696" s="101">
        <v>11</v>
      </c>
      <c r="P696" s="13">
        <f t="shared" ref="P696:Q696" si="1405">J696/H696</f>
        <v>8.1523965587873823E-2</v>
      </c>
      <c r="Q696" s="13">
        <f t="shared" si="1405"/>
        <v>7.0309001343484098E-2</v>
      </c>
      <c r="R696" s="13">
        <f t="shared" si="1035"/>
        <v>1.1214964244389725E-2</v>
      </c>
      <c r="S696" s="13">
        <f t="shared" ref="S696:T696" si="1406">N696/L696</f>
        <v>3.2102728731942215E-3</v>
      </c>
      <c r="T696" s="13">
        <f t="shared" si="1406"/>
        <v>2.1072796934865901E-2</v>
      </c>
      <c r="U696" s="13">
        <f t="shared" si="1037"/>
        <v>-1.7862524061671679E-2</v>
      </c>
      <c r="V696" s="13">
        <f t="shared" si="1038"/>
        <v>9.3148231079265509E-2</v>
      </c>
      <c r="W696" s="13">
        <f t="shared" si="1039"/>
        <v>0.26751592356687892</v>
      </c>
      <c r="X696" s="13">
        <f t="shared" si="1040"/>
        <v>0.19348659003831425</v>
      </c>
      <c r="Y696" s="13">
        <f t="shared" si="1041"/>
        <v>-0.81818181818181812</v>
      </c>
    </row>
    <row r="697" spans="1:25" ht="14.4">
      <c r="A697" s="104" t="s">
        <v>983</v>
      </c>
      <c r="B697" s="99">
        <v>532798</v>
      </c>
      <c r="C697" s="98" t="s">
        <v>187</v>
      </c>
      <c r="D697" s="108" t="s">
        <v>558</v>
      </c>
      <c r="E697" s="11">
        <f ca="1">IFERROR(__xludf.DUMMYFUNCTION("GOOGLEFINANCE(""BOM:""&amp;B698,""PRICE"")"),30.35)</f>
        <v>30.35</v>
      </c>
      <c r="F697" s="20">
        <f ca="1">IFERROR(__xludf.DUMMYFUNCTION("GOOGLEFINANCE(""BOM:""&amp;B698,""MARKETCAP"")/10000000"),4664.55)</f>
        <v>4664.55</v>
      </c>
      <c r="G697" s="95">
        <f t="shared" ca="1" si="1056"/>
        <v>1.1577834741254659E-4</v>
      </c>
      <c r="H697" s="101">
        <v>1505</v>
      </c>
      <c r="I697" s="101">
        <v>6326</v>
      </c>
      <c r="J697" s="101">
        <v>184</v>
      </c>
      <c r="K697" s="101">
        <v>-1747</v>
      </c>
      <c r="L697" s="101">
        <v>539</v>
      </c>
      <c r="M697" s="101">
        <v>1360</v>
      </c>
      <c r="N697" s="101">
        <v>-5</v>
      </c>
      <c r="O697" s="101">
        <v>-1399</v>
      </c>
      <c r="P697" s="13">
        <f t="shared" ref="P697:Q697" si="1407">J697/H697</f>
        <v>0.12225913621262459</v>
      </c>
      <c r="Q697" s="13">
        <f t="shared" si="1407"/>
        <v>-0.27616187164084732</v>
      </c>
      <c r="R697" s="13">
        <f t="shared" si="1035"/>
        <v>0.3984210078534719</v>
      </c>
      <c r="S697" s="13">
        <f t="shared" ref="S697:T697" si="1408">N697/L697</f>
        <v>-9.2764378478664197E-3</v>
      </c>
      <c r="T697" s="13">
        <f t="shared" si="1408"/>
        <v>-1.0286764705882352</v>
      </c>
      <c r="U697" s="13">
        <f t="shared" si="1037"/>
        <v>1.0194000327403687</v>
      </c>
      <c r="V697" s="13">
        <f t="shared" si="1038"/>
        <v>-0.76209294973126784</v>
      </c>
      <c r="W697" s="13">
        <f t="shared" si="1039"/>
        <v>-1.1053234115626789</v>
      </c>
      <c r="X697" s="13">
        <f t="shared" si="1040"/>
        <v>-0.60367647058823537</v>
      </c>
      <c r="Y697" s="13">
        <f t="shared" si="1041"/>
        <v>-0.99642601858470337</v>
      </c>
    </row>
    <row r="698" spans="1:25" ht="14.4">
      <c r="A698" s="98" t="s">
        <v>984</v>
      </c>
      <c r="B698" s="99">
        <v>532811</v>
      </c>
      <c r="C698" s="98" t="s">
        <v>180</v>
      </c>
      <c r="D698" s="102" t="s">
        <v>181</v>
      </c>
      <c r="E698" s="11">
        <f ca="1">IFERROR(__xludf.DUMMYFUNCTION("GOOGLEFINANCE(""BOM:""&amp;B699,""PRICE"")"),714.1)</f>
        <v>714.1</v>
      </c>
      <c r="F698" s="20">
        <f ca="1">IFERROR(__xludf.DUMMYFUNCTION("GOOGLEFINANCE(""BOM:""&amp;B699,""MARKETCAP"")/10000000"),4798.3181247)</f>
        <v>4798.3181247000002</v>
      </c>
      <c r="G698" s="95">
        <f t="shared" ca="1" si="1056"/>
        <v>1.190985931842162E-4</v>
      </c>
      <c r="H698" s="101">
        <v>3242</v>
      </c>
      <c r="I698" s="101">
        <v>2882</v>
      </c>
      <c r="J698" s="101">
        <v>184</v>
      </c>
      <c r="K698" s="101">
        <v>118</v>
      </c>
      <c r="L698" s="101">
        <v>1060</v>
      </c>
      <c r="M698" s="101">
        <v>951</v>
      </c>
      <c r="N698" s="101">
        <v>54</v>
      </c>
      <c r="O698" s="101">
        <v>49</v>
      </c>
      <c r="P698" s="13">
        <f t="shared" ref="P698:Q698" si="1409">J698/H698</f>
        <v>5.6755089450956198E-2</v>
      </c>
      <c r="Q698" s="13">
        <f t="shared" si="1409"/>
        <v>4.0943789035392086E-2</v>
      </c>
      <c r="R698" s="13">
        <f t="shared" si="1035"/>
        <v>1.5811300415564111E-2</v>
      </c>
      <c r="S698" s="13">
        <f t="shared" ref="S698:T698" si="1410">N698/L698</f>
        <v>5.0943396226415097E-2</v>
      </c>
      <c r="T698" s="13">
        <f t="shared" si="1410"/>
        <v>5.152471083070452E-2</v>
      </c>
      <c r="U698" s="13">
        <f t="shared" si="1037"/>
        <v>-5.813146042894235E-4</v>
      </c>
      <c r="V698" s="13">
        <f t="shared" si="1038"/>
        <v>0.12491325468424708</v>
      </c>
      <c r="W698" s="13">
        <f t="shared" si="1039"/>
        <v>0.55932203389830515</v>
      </c>
      <c r="X698" s="13">
        <f t="shared" si="1040"/>
        <v>0.11461619348054675</v>
      </c>
      <c r="Y698" s="13">
        <f t="shared" si="1041"/>
        <v>0.1020408163265305</v>
      </c>
    </row>
    <row r="699" spans="1:25" ht="14.4">
      <c r="A699" s="98" t="s">
        <v>985</v>
      </c>
      <c r="B699" s="99">
        <v>543936</v>
      </c>
      <c r="C699" s="98" t="s">
        <v>187</v>
      </c>
      <c r="D699" s="100" t="s">
        <v>70</v>
      </c>
      <c r="E699" s="11">
        <f ca="1">IFERROR(__xludf.DUMMYFUNCTION("GOOGLEFINANCE(""BOM:""&amp;B700,""PRICE"")"),328.55)</f>
        <v>328.55</v>
      </c>
      <c r="F699" s="20">
        <f ca="1">IFERROR(__xludf.DUMMYFUNCTION("GOOGLEFINANCE(""BOM:""&amp;B700,""MARKETCAP"")/10000000"),5403.1608009)</f>
        <v>5403.1608009000001</v>
      </c>
      <c r="G699" s="95">
        <f t="shared" ca="1" si="1056"/>
        <v>1.3411133514110765E-4</v>
      </c>
      <c r="H699" s="101">
        <v>6433</v>
      </c>
      <c r="I699" s="101">
        <v>4950</v>
      </c>
      <c r="J699" s="101">
        <v>417</v>
      </c>
      <c r="K699" s="101">
        <v>96</v>
      </c>
      <c r="L699" s="101">
        <v>3070</v>
      </c>
      <c r="M699" s="101">
        <v>2045</v>
      </c>
      <c r="N699" s="101">
        <v>264</v>
      </c>
      <c r="O699" s="101">
        <v>33</v>
      </c>
      <c r="P699" s="13">
        <f t="shared" ref="P699:Q699" si="1411">J699/H699</f>
        <v>6.4822011503186699E-2</v>
      </c>
      <c r="Q699" s="13">
        <f t="shared" si="1411"/>
        <v>1.9393939393939394E-2</v>
      </c>
      <c r="R699" s="13">
        <f t="shared" si="1035"/>
        <v>4.5428072109247306E-2</v>
      </c>
      <c r="S699" s="13">
        <f t="shared" ref="S699:T699" si="1412">N699/L699</f>
        <v>8.5993485342019546E-2</v>
      </c>
      <c r="T699" s="13">
        <f t="shared" si="1412"/>
        <v>1.6136919315403422E-2</v>
      </c>
      <c r="U699" s="13">
        <f t="shared" si="1037"/>
        <v>6.9856566026616121E-2</v>
      </c>
      <c r="V699" s="13">
        <f t="shared" si="1038"/>
        <v>0.29959595959595964</v>
      </c>
      <c r="W699" s="13">
        <f t="shared" si="1039"/>
        <v>3.34375</v>
      </c>
      <c r="X699" s="13">
        <f t="shared" si="1040"/>
        <v>0.50122249388753048</v>
      </c>
      <c r="Y699" s="13">
        <f t="shared" si="1041"/>
        <v>7</v>
      </c>
    </row>
    <row r="700" spans="1:25" ht="14.4">
      <c r="A700" s="98" t="s">
        <v>986</v>
      </c>
      <c r="B700" s="99">
        <v>533229</v>
      </c>
      <c r="C700" s="98" t="s">
        <v>183</v>
      </c>
      <c r="D700" s="100" t="s">
        <v>282</v>
      </c>
      <c r="E700" s="11">
        <f ca="1">IFERROR(__xludf.DUMMYFUNCTION("GOOGLEFINANCE(""BOM:""&amp;B701,""PRICE"")"),380.6)</f>
        <v>380.6</v>
      </c>
      <c r="F700" s="20">
        <f ca="1">IFERROR(__xludf.DUMMYFUNCTION("GOOGLEFINANCE(""BOM:""&amp;B701,""MARKETCAP"")/10000000"),4963.4954)</f>
        <v>4963.4953999999998</v>
      </c>
      <c r="G700" s="95">
        <f t="shared" ca="1" si="1056"/>
        <v>1.2319844246535611E-4</v>
      </c>
      <c r="H700" s="101">
        <v>838</v>
      </c>
      <c r="I700" s="101">
        <v>714</v>
      </c>
      <c r="J700" s="101">
        <v>126</v>
      </c>
      <c r="K700" s="101">
        <v>94</v>
      </c>
      <c r="L700" s="101">
        <v>306</v>
      </c>
      <c r="M700" s="101">
        <v>234</v>
      </c>
      <c r="N700" s="101">
        <v>46</v>
      </c>
      <c r="O700" s="101">
        <v>25</v>
      </c>
      <c r="P700" s="13">
        <f t="shared" ref="P700:Q700" si="1413">J700/H700</f>
        <v>0.15035799522673032</v>
      </c>
      <c r="Q700" s="13">
        <f t="shared" si="1413"/>
        <v>0.13165266106442577</v>
      </c>
      <c r="R700" s="13">
        <f t="shared" si="1035"/>
        <v>1.8705334162304549E-2</v>
      </c>
      <c r="S700" s="13">
        <f t="shared" ref="S700:T700" si="1414">N700/L700</f>
        <v>0.15032679738562091</v>
      </c>
      <c r="T700" s="13">
        <f t="shared" si="1414"/>
        <v>0.10683760683760683</v>
      </c>
      <c r="U700" s="13">
        <f t="shared" si="1037"/>
        <v>4.3489190548014076E-2</v>
      </c>
      <c r="V700" s="13">
        <f t="shared" si="1038"/>
        <v>0.1736694677871149</v>
      </c>
      <c r="W700" s="13">
        <f t="shared" si="1039"/>
        <v>0.34042553191489366</v>
      </c>
      <c r="X700" s="13">
        <f t="shared" si="1040"/>
        <v>0.30769230769230771</v>
      </c>
      <c r="Y700" s="13">
        <f t="shared" si="1041"/>
        <v>0.84000000000000008</v>
      </c>
    </row>
    <row r="701" spans="1:25" ht="14.4">
      <c r="A701" s="104" t="s">
        <v>987</v>
      </c>
      <c r="B701" s="99">
        <v>507880</v>
      </c>
      <c r="C701" s="98" t="s">
        <v>187</v>
      </c>
      <c r="D701" s="102" t="s">
        <v>827</v>
      </c>
      <c r="E701" s="11">
        <f ca="1">IFERROR(__xludf.DUMMYFUNCTION("GOOGLEFINANCE(""BOM:""&amp;B702,""PRICE"")"),317)</f>
        <v>317</v>
      </c>
      <c r="F701" s="20">
        <f ca="1">IFERROR(__xludf.DUMMYFUNCTION("GOOGLEFINANCE(""BOM:""&amp;B702,""MARKETCAP"")/10000000"),4510.14465)</f>
        <v>4510.1446500000002</v>
      </c>
      <c r="G701" s="95">
        <f t="shared" ca="1" si="1056"/>
        <v>1.1194586705438646E-4</v>
      </c>
      <c r="H701" s="101">
        <v>1422</v>
      </c>
      <c r="I701" s="101">
        <v>1684</v>
      </c>
      <c r="J701" s="101">
        <v>-209</v>
      </c>
      <c r="K701" s="101">
        <v>-41</v>
      </c>
      <c r="L701" s="101">
        <v>454</v>
      </c>
      <c r="M701" s="101">
        <v>501</v>
      </c>
      <c r="N701" s="101">
        <v>-53</v>
      </c>
      <c r="O701" s="101">
        <v>-12</v>
      </c>
      <c r="P701" s="13">
        <f t="shared" ref="P701:Q701" si="1415">J701/H701</f>
        <v>-0.1469760900140647</v>
      </c>
      <c r="Q701" s="13">
        <f t="shared" si="1415"/>
        <v>-2.4346793349168647E-2</v>
      </c>
      <c r="R701" s="13">
        <f t="shared" si="1035"/>
        <v>-0.12262929666489605</v>
      </c>
      <c r="S701" s="13">
        <f t="shared" ref="S701:T701" si="1416">N701/L701</f>
        <v>-0.11674008810572688</v>
      </c>
      <c r="T701" s="13">
        <f t="shared" si="1416"/>
        <v>-2.3952095808383235E-2</v>
      </c>
      <c r="U701" s="13">
        <f t="shared" si="1037"/>
        <v>-9.2787992297343636E-2</v>
      </c>
      <c r="V701" s="13">
        <f t="shared" si="1038"/>
        <v>-0.1555819477434679</v>
      </c>
      <c r="W701" s="13">
        <f t="shared" si="1039"/>
        <v>4.0975609756097562</v>
      </c>
      <c r="X701" s="13">
        <f t="shared" si="1040"/>
        <v>-9.3812375249501034E-2</v>
      </c>
      <c r="Y701" s="13">
        <f t="shared" si="1041"/>
        <v>3.416666666666667</v>
      </c>
    </row>
    <row r="702" spans="1:25" ht="14.4">
      <c r="A702" s="104" t="s">
        <v>988</v>
      </c>
      <c r="B702" s="99">
        <v>532670</v>
      </c>
      <c r="C702" s="98" t="s">
        <v>183</v>
      </c>
      <c r="D702" s="108" t="s">
        <v>797</v>
      </c>
      <c r="E702" s="11">
        <f ca="1">IFERROR(__xludf.DUMMYFUNCTION("GOOGLEFINANCE(""BOM:""&amp;B703,""PRICE"")"),28.38)</f>
        <v>28.38</v>
      </c>
      <c r="F702" s="20">
        <f ca="1">IFERROR(__xludf.DUMMYFUNCTION("GOOGLEFINANCE(""BOM:""&amp;B703,""MARKETCAP"")/10000000"),6040.6516033)</f>
        <v>6040.6516032999998</v>
      </c>
      <c r="G702" s="95">
        <f t="shared" ca="1" si="1056"/>
        <v>1.4993443310180489E-4</v>
      </c>
      <c r="H702" s="101">
        <v>6780</v>
      </c>
      <c r="I702" s="101">
        <v>8288</v>
      </c>
      <c r="J702" s="101">
        <v>-670</v>
      </c>
      <c r="K702" s="101">
        <v>-393</v>
      </c>
      <c r="L702" s="101">
        <v>2300</v>
      </c>
      <c r="M702" s="101">
        <v>2635</v>
      </c>
      <c r="N702" s="101">
        <v>-38</v>
      </c>
      <c r="O702" s="101">
        <v>-203</v>
      </c>
      <c r="P702" s="13">
        <f t="shared" ref="P702:Q702" si="1417">J702/H702</f>
        <v>-9.8820058997050153E-2</v>
      </c>
      <c r="Q702" s="13">
        <f t="shared" si="1417"/>
        <v>-4.741795366795367E-2</v>
      </c>
      <c r="R702" s="13">
        <f t="shared" si="1035"/>
        <v>-5.1402105329096483E-2</v>
      </c>
      <c r="S702" s="13">
        <f t="shared" ref="S702:T702" si="1418">N702/L702</f>
        <v>-1.6521739130434782E-2</v>
      </c>
      <c r="T702" s="13">
        <f t="shared" si="1418"/>
        <v>-7.7039848197343455E-2</v>
      </c>
      <c r="U702" s="13">
        <f t="shared" si="1037"/>
        <v>6.0518109066908674E-2</v>
      </c>
      <c r="V702" s="13">
        <f t="shared" si="1038"/>
        <v>-0.181949806949807</v>
      </c>
      <c r="W702" s="13">
        <f t="shared" si="1039"/>
        <v>0.7048346055979644</v>
      </c>
      <c r="X702" s="13">
        <f t="shared" si="1040"/>
        <v>-0.12713472485768496</v>
      </c>
      <c r="Y702" s="13">
        <f t="shared" si="1041"/>
        <v>-0.81280788177339902</v>
      </c>
    </row>
    <row r="703" spans="1:25" ht="14.4">
      <c r="A703" s="98" t="s">
        <v>989</v>
      </c>
      <c r="B703" s="99">
        <v>543441</v>
      </c>
      <c r="C703" s="98" t="s">
        <v>206</v>
      </c>
      <c r="D703" s="102" t="s">
        <v>657</v>
      </c>
      <c r="E703" s="11">
        <f ca="1">IFERROR(__xludf.DUMMYFUNCTION("GOOGLEFINANCE(""BOM:""&amp;B704,""PRICE"")"),287.25)</f>
        <v>287.25</v>
      </c>
      <c r="F703" s="20">
        <f ca="1">IFERROR(__xludf.DUMMYFUNCTION("GOOGLEFINANCE(""BOM:""&amp;B704,""MARKETCAP"")/10000000"),4725.09625)</f>
        <v>4725.0962499999996</v>
      </c>
      <c r="G703" s="95">
        <f t="shared" ca="1" si="1056"/>
        <v>1.1728116006693488E-4</v>
      </c>
      <c r="H703" s="101">
        <v>1854</v>
      </c>
      <c r="I703" s="101">
        <v>1805</v>
      </c>
      <c r="J703" s="101">
        <v>224</v>
      </c>
      <c r="K703" s="101">
        <v>274</v>
      </c>
      <c r="L703" s="101">
        <v>6182</v>
      </c>
      <c r="M703" s="101">
        <v>5815</v>
      </c>
      <c r="N703" s="101">
        <v>57</v>
      </c>
      <c r="O703" s="101">
        <v>93</v>
      </c>
      <c r="P703" s="13">
        <f t="shared" ref="P703:Q703" si="1419">J703/H703</f>
        <v>0.12081984897518878</v>
      </c>
      <c r="Q703" s="13">
        <f t="shared" si="1419"/>
        <v>0.15180055401662049</v>
      </c>
      <c r="R703" s="13">
        <f t="shared" si="1035"/>
        <v>-3.0980705041431703E-2</v>
      </c>
      <c r="S703" s="13">
        <f t="shared" ref="S703:T703" si="1420">N703/L703</f>
        <v>9.2203170494985446E-3</v>
      </c>
      <c r="T703" s="13">
        <f t="shared" si="1420"/>
        <v>1.599312123817713E-2</v>
      </c>
      <c r="U703" s="13">
        <f t="shared" si="1037"/>
        <v>-6.7728041886785852E-3</v>
      </c>
      <c r="V703" s="13">
        <f t="shared" si="1038"/>
        <v>2.7146814404432229E-2</v>
      </c>
      <c r="W703" s="13">
        <f t="shared" si="1039"/>
        <v>-0.18248175182481752</v>
      </c>
      <c r="X703" s="13">
        <f t="shared" si="1040"/>
        <v>6.3112639724849595E-2</v>
      </c>
      <c r="Y703" s="13">
        <f t="shared" si="1041"/>
        <v>-0.38709677419354838</v>
      </c>
    </row>
    <row r="704" spans="1:25" ht="14.4">
      <c r="A704" s="98" t="s">
        <v>990</v>
      </c>
      <c r="B704" s="99">
        <v>517168</v>
      </c>
      <c r="C704" s="98" t="s">
        <v>180</v>
      </c>
      <c r="D704" s="100" t="s">
        <v>512</v>
      </c>
      <c r="E704" s="11">
        <f ca="1">IFERROR(__xludf.DUMMYFUNCTION("GOOGLEFINANCE(""BOM:""&amp;B705,""PRICE"")"),690.85)</f>
        <v>690.85</v>
      </c>
      <c r="F704" s="20">
        <f ca="1">IFERROR(__xludf.DUMMYFUNCTION("GOOGLEFINANCE(""BOM:""&amp;B705,""MARKETCAP"")/10000000"),4499.3097571)</f>
        <v>4499.3097570999998</v>
      </c>
      <c r="G704" s="95">
        <f t="shared" ca="1" si="1056"/>
        <v>1.1167693521865655E-4</v>
      </c>
      <c r="H704" s="101">
        <v>2705</v>
      </c>
      <c r="I704" s="101">
        <v>2459</v>
      </c>
      <c r="J704" s="101">
        <v>116</v>
      </c>
      <c r="K704" s="101">
        <v>104</v>
      </c>
      <c r="L704" s="101">
        <v>947</v>
      </c>
      <c r="M704" s="101">
        <v>820</v>
      </c>
      <c r="N704" s="101">
        <v>34</v>
      </c>
      <c r="O704" s="101">
        <v>32</v>
      </c>
      <c r="P704" s="13">
        <f t="shared" ref="P704:Q704" si="1421">J704/H704</f>
        <v>4.2883548983364141E-2</v>
      </c>
      <c r="Q704" s="13">
        <f t="shared" si="1421"/>
        <v>4.2293615290768603E-2</v>
      </c>
      <c r="R704" s="13">
        <f t="shared" si="1035"/>
        <v>5.899336925955373E-4</v>
      </c>
      <c r="S704" s="13">
        <f t="shared" ref="S704:T704" si="1422">N704/L704</f>
        <v>3.5902851108764518E-2</v>
      </c>
      <c r="T704" s="13">
        <f t="shared" si="1422"/>
        <v>3.9024390243902439E-2</v>
      </c>
      <c r="U704" s="13">
        <f t="shared" si="1037"/>
        <v>-3.1215391351379213E-3</v>
      </c>
      <c r="V704" s="13">
        <f t="shared" si="1038"/>
        <v>0.10004066693777958</v>
      </c>
      <c r="W704" s="13">
        <f t="shared" si="1039"/>
        <v>0.11538461538461542</v>
      </c>
      <c r="X704" s="13">
        <f t="shared" si="1040"/>
        <v>0.15487804878048772</v>
      </c>
      <c r="Y704" s="13">
        <f t="shared" si="1041"/>
        <v>6.25E-2</v>
      </c>
    </row>
    <row r="705" spans="1:25" ht="14.4">
      <c r="A705" s="98" t="s">
        <v>991</v>
      </c>
      <c r="B705" s="99">
        <v>539883</v>
      </c>
      <c r="C705" s="98" t="s">
        <v>172</v>
      </c>
      <c r="D705" s="116"/>
      <c r="E705" s="11">
        <f ca="1">IFERROR(__xludf.DUMMYFUNCTION("GOOGLEFINANCE(""BOM:""&amp;B706,""PRICE"")"),4395)</f>
        <v>4395</v>
      </c>
      <c r="F705" s="20">
        <f ca="1">IFERROR(__xludf.DUMMYFUNCTION("GOOGLEFINANCE(""BOM:""&amp;B706,""MARKETCAP"")/10000000"),4890.7236556)</f>
        <v>4890.7236555999998</v>
      </c>
      <c r="G705" s="95">
        <f t="shared" ca="1" si="1056"/>
        <v>1.2139218198900573E-4</v>
      </c>
      <c r="H705" s="101">
        <v>239</v>
      </c>
      <c r="I705" s="101">
        <v>247</v>
      </c>
      <c r="J705" s="101">
        <v>64</v>
      </c>
      <c r="K705" s="101">
        <v>133</v>
      </c>
      <c r="L705" s="101">
        <v>59</v>
      </c>
      <c r="M705" s="101">
        <v>61</v>
      </c>
      <c r="N705" s="101">
        <v>9</v>
      </c>
      <c r="O705" s="101">
        <v>26</v>
      </c>
      <c r="P705" s="13">
        <f t="shared" ref="P705:Q705" si="1423">J705/H705</f>
        <v>0.26778242677824265</v>
      </c>
      <c r="Q705" s="13">
        <f t="shared" si="1423"/>
        <v>0.53846153846153844</v>
      </c>
      <c r="R705" s="13">
        <f t="shared" si="1035"/>
        <v>-0.27067911168329578</v>
      </c>
      <c r="S705" s="13">
        <f t="shared" ref="S705:T705" si="1424">N705/L705</f>
        <v>0.15254237288135594</v>
      </c>
      <c r="T705" s="13">
        <f t="shared" si="1424"/>
        <v>0.42622950819672129</v>
      </c>
      <c r="U705" s="13">
        <f t="shared" si="1037"/>
        <v>-0.27368713531536537</v>
      </c>
      <c r="V705" s="13">
        <f t="shared" si="1038"/>
        <v>-3.2388663967611309E-2</v>
      </c>
      <c r="W705" s="13">
        <f t="shared" si="1039"/>
        <v>-0.51879699248120303</v>
      </c>
      <c r="X705" s="13">
        <f t="shared" si="1040"/>
        <v>-3.2786885245901676E-2</v>
      </c>
      <c r="Y705" s="13">
        <f t="shared" si="1041"/>
        <v>-0.65384615384615385</v>
      </c>
    </row>
    <row r="706" spans="1:25" ht="14.4">
      <c r="A706" s="104" t="s">
        <v>992</v>
      </c>
      <c r="B706" s="99">
        <v>543965</v>
      </c>
      <c r="C706" s="98" t="s">
        <v>206</v>
      </c>
      <c r="D706" s="108" t="s">
        <v>476</v>
      </c>
      <c r="E706" s="11">
        <f ca="1">IFERROR(__xludf.DUMMYFUNCTION("GOOGLEFINANCE(""BOM:""&amp;B707,""PRICE"")"),102)</f>
        <v>102</v>
      </c>
      <c r="F706" s="20">
        <f ca="1">IFERROR(__xludf.DUMMYFUNCTION("GOOGLEFINANCE(""BOM:""&amp;B707,""MARKETCAP"")/10000000"),4500.4772742)</f>
        <v>4500.4772741999996</v>
      </c>
      <c r="G706" s="95">
        <f t="shared" ca="1" si="1056"/>
        <v>1.1170591404842873E-4</v>
      </c>
      <c r="H706" s="101">
        <v>7971</v>
      </c>
      <c r="I706" s="101">
        <v>7497</v>
      </c>
      <c r="J706" s="101">
        <v>99</v>
      </c>
      <c r="K706" s="101">
        <v>-6</v>
      </c>
      <c r="L706" s="101">
        <v>2716</v>
      </c>
      <c r="M706" s="101">
        <v>2445</v>
      </c>
      <c r="N706" s="101">
        <v>11</v>
      </c>
      <c r="O706" s="101">
        <v>-24</v>
      </c>
      <c r="P706" s="13">
        <f t="shared" ref="P706:Q706" si="1425">J706/H706</f>
        <v>1.2420022581859239E-2</v>
      </c>
      <c r="Q706" s="13">
        <f t="shared" si="1425"/>
        <v>-8.0032012805122054E-4</v>
      </c>
      <c r="R706" s="13">
        <f t="shared" si="1035"/>
        <v>1.322034270991046E-2</v>
      </c>
      <c r="S706" s="13">
        <f t="shared" ref="S706:T706" si="1426">N706/L706</f>
        <v>4.050073637702504E-3</v>
      </c>
      <c r="T706" s="13">
        <f t="shared" si="1426"/>
        <v>-9.8159509202453993E-3</v>
      </c>
      <c r="U706" s="13">
        <f t="shared" si="1037"/>
        <v>1.3866024557947904E-2</v>
      </c>
      <c r="V706" s="13">
        <f t="shared" si="1038"/>
        <v>6.3225290116046384E-2</v>
      </c>
      <c r="W706" s="13">
        <f t="shared" si="1039"/>
        <v>-17.5</v>
      </c>
      <c r="X706" s="13">
        <f t="shared" si="1040"/>
        <v>0.11083844580777091</v>
      </c>
      <c r="Y706" s="13">
        <f t="shared" si="1041"/>
        <v>-1.4583333333333333</v>
      </c>
    </row>
    <row r="707" spans="1:25" ht="14.4">
      <c r="A707" s="98" t="s">
        <v>993</v>
      </c>
      <c r="B707" s="99">
        <v>531266</v>
      </c>
      <c r="C707" s="98" t="s">
        <v>180</v>
      </c>
      <c r="D707" s="100" t="s">
        <v>450</v>
      </c>
      <c r="E707" s="11">
        <f ca="1">IFERROR(__xludf.DUMMYFUNCTION("GOOGLEFINANCE(""BOM:""&amp;B708,""PRICE"")"),5078.3)</f>
        <v>5078.3</v>
      </c>
      <c r="F707" s="20">
        <f ca="1">IFERROR(__xludf.DUMMYFUNCTION("GOOGLEFINANCE(""BOM:""&amp;B708,""MARKETCAP"")/10000000"),4397.6534367)</f>
        <v>4397.6534367000004</v>
      </c>
      <c r="G707" s="95">
        <f t="shared" ca="1" si="1056"/>
        <v>1.0915373345643891E-4</v>
      </c>
      <c r="H707" s="101">
        <v>911</v>
      </c>
      <c r="I707" s="101">
        <v>693</v>
      </c>
      <c r="J707" s="101">
        <v>99</v>
      </c>
      <c r="K707" s="101">
        <v>68</v>
      </c>
      <c r="L707" s="101">
        <v>314</v>
      </c>
      <c r="M707" s="101">
        <v>219</v>
      </c>
      <c r="N707" s="101">
        <v>30</v>
      </c>
      <c r="O707" s="101">
        <v>1</v>
      </c>
      <c r="P707" s="13">
        <f t="shared" ref="P707:Q707" si="1427">J707/H707</f>
        <v>0.10867178924259056</v>
      </c>
      <c r="Q707" s="13">
        <f t="shared" si="1427"/>
        <v>9.8124098124098127E-2</v>
      </c>
      <c r="R707" s="13">
        <f t="shared" si="1035"/>
        <v>1.0547691118492436E-2</v>
      </c>
      <c r="S707" s="13">
        <f t="shared" ref="S707:T707" si="1428">N707/L707</f>
        <v>9.5541401273885357E-2</v>
      </c>
      <c r="T707" s="13">
        <f t="shared" si="1428"/>
        <v>4.5662100456621002E-3</v>
      </c>
      <c r="U707" s="13">
        <f t="shared" si="1037"/>
        <v>9.0975191228223257E-2</v>
      </c>
      <c r="V707" s="13">
        <f t="shared" si="1038"/>
        <v>0.31457431457431451</v>
      </c>
      <c r="W707" s="13">
        <f t="shared" si="1039"/>
        <v>0.45588235294117641</v>
      </c>
      <c r="X707" s="13">
        <f t="shared" si="1040"/>
        <v>0.43378995433789957</v>
      </c>
      <c r="Y707" s="13">
        <f t="shared" si="1041"/>
        <v>29</v>
      </c>
    </row>
    <row r="708" spans="1:25" ht="14.4">
      <c r="A708" s="98" t="s">
        <v>994</v>
      </c>
      <c r="B708" s="99">
        <v>534804</v>
      </c>
      <c r="C708" s="98" t="s">
        <v>172</v>
      </c>
      <c r="D708" s="100" t="s">
        <v>966</v>
      </c>
      <c r="E708" s="11">
        <f ca="1">IFERROR(__xludf.DUMMYFUNCTION("GOOGLEFINANCE(""BOM:""&amp;B709,""PRICE"")"),1533.2)</f>
        <v>1533.2</v>
      </c>
      <c r="F708" s="20">
        <f ca="1">IFERROR(__xludf.DUMMYFUNCTION("GOOGLEFINANCE(""BOM:""&amp;B709,""MARKETCAP"")/10000000"),4602.5006678)</f>
        <v>4602.5006678</v>
      </c>
      <c r="G708" s="95">
        <f t="shared" ca="1" si="1056"/>
        <v>1.1423822689927777E-4</v>
      </c>
      <c r="H708" s="101">
        <v>342</v>
      </c>
      <c r="I708" s="101">
        <v>292</v>
      </c>
      <c r="J708" s="101">
        <v>120</v>
      </c>
      <c r="K708" s="101">
        <v>96</v>
      </c>
      <c r="L708" s="101">
        <v>112</v>
      </c>
      <c r="M708" s="101">
        <v>96</v>
      </c>
      <c r="N708" s="101">
        <v>36</v>
      </c>
      <c r="O708" s="101">
        <v>28</v>
      </c>
      <c r="P708" s="13">
        <f t="shared" ref="P708:Q708" si="1429">J708/H708</f>
        <v>0.35087719298245612</v>
      </c>
      <c r="Q708" s="13">
        <f t="shared" si="1429"/>
        <v>0.32876712328767121</v>
      </c>
      <c r="R708" s="13">
        <f t="shared" si="1035"/>
        <v>2.2110069694784906E-2</v>
      </c>
      <c r="S708" s="13">
        <f t="shared" ref="S708:T708" si="1430">N708/L708</f>
        <v>0.32142857142857145</v>
      </c>
      <c r="T708" s="13">
        <f t="shared" si="1430"/>
        <v>0.29166666666666669</v>
      </c>
      <c r="U708" s="13">
        <f t="shared" si="1037"/>
        <v>2.9761904761904767E-2</v>
      </c>
      <c r="V708" s="13">
        <f t="shared" si="1038"/>
        <v>0.17123287671232879</v>
      </c>
      <c r="W708" s="13">
        <f t="shared" si="1039"/>
        <v>0.25</v>
      </c>
      <c r="X708" s="13">
        <f t="shared" si="1040"/>
        <v>0.16666666666666674</v>
      </c>
      <c r="Y708" s="13">
        <f t="shared" si="1041"/>
        <v>0.28571428571428581</v>
      </c>
    </row>
    <row r="709" spans="1:25" ht="14.4">
      <c r="A709" s="98" t="s">
        <v>995</v>
      </c>
      <c r="B709" s="99">
        <v>500339</v>
      </c>
      <c r="C709" s="98" t="s">
        <v>196</v>
      </c>
      <c r="D709" s="100" t="s">
        <v>695</v>
      </c>
      <c r="E709" s="11">
        <f ca="1">IFERROR(__xludf.DUMMYFUNCTION("GOOGLEFINANCE(""BOM:""&amp;B710,""PRICE"")"),111.45)</f>
        <v>111.45</v>
      </c>
      <c r="F709" s="20">
        <f ca="1">IFERROR(__xludf.DUMMYFUNCTION("GOOGLEFINANCE(""BOM:""&amp;B710,""MARKETCAP"")/10000000"),3745.5446221)</f>
        <v>3745.5446221000002</v>
      </c>
      <c r="G709" s="95">
        <f t="shared" ca="1" si="1056"/>
        <v>9.2967803219322196E-5</v>
      </c>
      <c r="H709" s="101">
        <v>16946</v>
      </c>
      <c r="I709" s="101">
        <v>15374</v>
      </c>
      <c r="J709" s="101">
        <v>136</v>
      </c>
      <c r="K709" s="101">
        <v>-450</v>
      </c>
      <c r="L709" s="101">
        <v>4301</v>
      </c>
      <c r="M709" s="101">
        <v>3676</v>
      </c>
      <c r="N709" s="101">
        <v>38</v>
      </c>
      <c r="O709" s="101">
        <v>-133</v>
      </c>
      <c r="P709" s="13">
        <f t="shared" ref="P709:Q709" si="1431">J709/H709</f>
        <v>8.0254927416499467E-3</v>
      </c>
      <c r="Q709" s="13">
        <f t="shared" si="1431"/>
        <v>-2.9270196435540522E-2</v>
      </c>
      <c r="R709" s="13">
        <f t="shared" si="1035"/>
        <v>3.7295689177190471E-2</v>
      </c>
      <c r="S709" s="13">
        <f t="shared" ref="S709:T709" si="1432">N709/L709</f>
        <v>8.8351546152057661E-3</v>
      </c>
      <c r="T709" s="13">
        <f t="shared" si="1432"/>
        <v>-3.6180631120783457E-2</v>
      </c>
      <c r="U709" s="13">
        <f t="shared" si="1037"/>
        <v>4.5015785735989224E-2</v>
      </c>
      <c r="V709" s="13">
        <f t="shared" si="1038"/>
        <v>0.10225055288148832</v>
      </c>
      <c r="W709" s="13">
        <f t="shared" si="1039"/>
        <v>-1.3022222222222222</v>
      </c>
      <c r="X709" s="13">
        <f t="shared" si="1040"/>
        <v>0.17002176278563663</v>
      </c>
      <c r="Y709" s="13">
        <f t="shared" si="1041"/>
        <v>-1.2857142857142856</v>
      </c>
    </row>
    <row r="710" spans="1:25" ht="14.4">
      <c r="A710" s="98" t="s">
        <v>996</v>
      </c>
      <c r="B710" s="99">
        <v>523704</v>
      </c>
      <c r="C710" s="98" t="s">
        <v>174</v>
      </c>
      <c r="D710" s="70" t="s">
        <v>175</v>
      </c>
      <c r="E710" s="11">
        <f ca="1">IFERROR(__xludf.DUMMYFUNCTION("GOOGLEFINANCE(""BOM:""&amp;B711,""PRICE"")"),1490.5)</f>
        <v>1490.5</v>
      </c>
      <c r="F710" s="20">
        <f ca="1">IFERROR(__xludf.DUMMYFUNCTION("GOOGLEFINANCE(""BOM:""&amp;B711,""MARKETCAP"")/10000000"),4618.60366)</f>
        <v>4618.6036599999998</v>
      </c>
      <c r="G710" s="95">
        <f t="shared" ca="1" si="1056"/>
        <v>1.1463791772161071E-4</v>
      </c>
      <c r="H710" s="101">
        <v>2760</v>
      </c>
      <c r="I710" s="101">
        <v>2549</v>
      </c>
      <c r="J710" s="101">
        <v>297</v>
      </c>
      <c r="K710" s="101">
        <v>294</v>
      </c>
      <c r="L710" s="101">
        <v>905</v>
      </c>
      <c r="M710" s="101">
        <v>869</v>
      </c>
      <c r="N710" s="101">
        <v>108</v>
      </c>
      <c r="O710" s="101">
        <v>94</v>
      </c>
      <c r="P710" s="13">
        <f t="shared" ref="P710:Q710" si="1433">J710/H710</f>
        <v>0.10760869565217392</v>
      </c>
      <c r="Q710" s="13">
        <f t="shared" si="1433"/>
        <v>0.11533934876422126</v>
      </c>
      <c r="R710" s="13">
        <f t="shared" si="1035"/>
        <v>-7.7306531120473476E-3</v>
      </c>
      <c r="S710" s="13">
        <f t="shared" ref="S710:T710" si="1434">N710/L710</f>
        <v>0.11933701657458563</v>
      </c>
      <c r="T710" s="13">
        <f t="shared" si="1434"/>
        <v>0.10817031070195628</v>
      </c>
      <c r="U710" s="13">
        <f t="shared" si="1037"/>
        <v>1.1166705872629357E-2</v>
      </c>
      <c r="V710" s="13">
        <f t="shared" si="1038"/>
        <v>8.2777559827383218E-2</v>
      </c>
      <c r="W710" s="13">
        <f t="shared" si="1039"/>
        <v>1.0204081632652962E-2</v>
      </c>
      <c r="X710" s="13">
        <f t="shared" si="1040"/>
        <v>4.1426927502876909E-2</v>
      </c>
      <c r="Y710" s="13">
        <f t="shared" si="1041"/>
        <v>0.14893617021276606</v>
      </c>
    </row>
    <row r="711" spans="1:25" ht="14.4">
      <c r="A711" s="98" t="s">
        <v>997</v>
      </c>
      <c r="B711" s="99">
        <v>539118</v>
      </c>
      <c r="C711" s="98" t="s">
        <v>206</v>
      </c>
      <c r="D711" s="108" t="s">
        <v>476</v>
      </c>
      <c r="E711" s="11">
        <f ca="1">IFERROR(__xludf.DUMMYFUNCTION("GOOGLEFINANCE(""BOM:""&amp;B712,""PRICE"")"),235.3)</f>
        <v>235.3</v>
      </c>
      <c r="F711" s="20">
        <f ca="1">IFERROR(__xludf.DUMMYFUNCTION("GOOGLEFINANCE(""BOM:""&amp;B712,""MARKETCAP"")/10000000"),4116.4401511)</f>
        <v>4116.4401510999996</v>
      </c>
      <c r="G711" s="95">
        <f t="shared" ca="1" si="1056"/>
        <v>1.0217376551157379E-4</v>
      </c>
      <c r="H711" s="101">
        <v>2368</v>
      </c>
      <c r="I711" s="101">
        <v>2351</v>
      </c>
      <c r="J711" s="101">
        <v>164</v>
      </c>
      <c r="K711" s="101">
        <v>108</v>
      </c>
      <c r="L711" s="101">
        <v>826</v>
      </c>
      <c r="M711" s="101">
        <v>825</v>
      </c>
      <c r="N711" s="101">
        <v>64</v>
      </c>
      <c r="O711" s="101">
        <v>59</v>
      </c>
      <c r="P711" s="13">
        <f t="shared" ref="P711:Q711" si="1435">J711/H711</f>
        <v>6.9256756756756757E-2</v>
      </c>
      <c r="Q711" s="13">
        <f t="shared" si="1435"/>
        <v>4.5937898766482348E-2</v>
      </c>
      <c r="R711" s="13">
        <f t="shared" si="1035"/>
        <v>2.3318857990274409E-2</v>
      </c>
      <c r="S711" s="13">
        <f t="shared" ref="S711:T711" si="1436">N711/L711</f>
        <v>7.7481840193704604E-2</v>
      </c>
      <c r="T711" s="13">
        <f t="shared" si="1436"/>
        <v>7.1515151515151518E-2</v>
      </c>
      <c r="U711" s="13">
        <f t="shared" si="1037"/>
        <v>5.9666886785530865E-3</v>
      </c>
      <c r="V711" s="13">
        <f t="shared" si="1038"/>
        <v>7.2309655465758738E-3</v>
      </c>
      <c r="W711" s="13">
        <f t="shared" si="1039"/>
        <v>0.5185185185185186</v>
      </c>
      <c r="X711" s="13">
        <f t="shared" si="1040"/>
        <v>1.2121212121212199E-3</v>
      </c>
      <c r="Y711" s="13">
        <f t="shared" si="1041"/>
        <v>8.4745762711864403E-2</v>
      </c>
    </row>
    <row r="712" spans="1:25" ht="14.4">
      <c r="A712" s="98" t="s">
        <v>998</v>
      </c>
      <c r="B712" s="99">
        <v>532524</v>
      </c>
      <c r="C712" s="98" t="s">
        <v>198</v>
      </c>
      <c r="D712" s="100" t="s">
        <v>999</v>
      </c>
      <c r="E712" s="11">
        <f ca="1">IFERROR(__xludf.DUMMYFUNCTION("GOOGLEFINANCE(""BOM:""&amp;B713,""PRICE"")"),164.8)</f>
        <v>164.8</v>
      </c>
      <c r="F712" s="20">
        <f ca="1">IFERROR(__xludf.DUMMYFUNCTION("GOOGLEFINANCE(""BOM:""&amp;B713,""MARKETCAP"")/10000000"),4878.2152263)</f>
        <v>4878.2152262999998</v>
      </c>
      <c r="G712" s="95">
        <f t="shared" ca="1" si="1056"/>
        <v>1.2108171146707314E-4</v>
      </c>
      <c r="H712" s="101">
        <v>12873</v>
      </c>
      <c r="I712" s="101">
        <v>12755</v>
      </c>
      <c r="J712" s="101">
        <v>596</v>
      </c>
      <c r="K712" s="101">
        <v>489</v>
      </c>
      <c r="L712" s="101">
        <v>3405</v>
      </c>
      <c r="M712" s="101">
        <v>3315</v>
      </c>
      <c r="N712" s="101">
        <v>131</v>
      </c>
      <c r="O712" s="101">
        <v>176</v>
      </c>
      <c r="P712" s="13">
        <f t="shared" ref="P712:Q712" si="1437">J712/H712</f>
        <v>4.6298454128796705E-2</v>
      </c>
      <c r="Q712" s="13">
        <f t="shared" si="1437"/>
        <v>3.8337906703253627E-2</v>
      </c>
      <c r="R712" s="13">
        <f t="shared" si="1035"/>
        <v>7.9605474255430783E-3</v>
      </c>
      <c r="S712" s="13">
        <f t="shared" ref="S712:T712" si="1438">N712/L712</f>
        <v>3.8472834067547722E-2</v>
      </c>
      <c r="T712" s="13">
        <f t="shared" si="1438"/>
        <v>5.3092006033182503E-2</v>
      </c>
      <c r="U712" s="13">
        <f t="shared" si="1037"/>
        <v>-1.4619171965634781E-2</v>
      </c>
      <c r="V712" s="13">
        <f t="shared" si="1038"/>
        <v>9.2512740101919899E-3</v>
      </c>
      <c r="W712" s="13">
        <f t="shared" si="1039"/>
        <v>0.21881390593047034</v>
      </c>
      <c r="X712" s="13">
        <f t="shared" si="1040"/>
        <v>2.7149321266968229E-2</v>
      </c>
      <c r="Y712" s="13">
        <f t="shared" si="1041"/>
        <v>-0.25568181818181823</v>
      </c>
    </row>
    <row r="713" spans="1:25" ht="14.4">
      <c r="A713" s="98" t="s">
        <v>1000</v>
      </c>
      <c r="B713" s="99">
        <v>539725</v>
      </c>
      <c r="C713" s="98" t="s">
        <v>183</v>
      </c>
      <c r="D713" s="100" t="s">
        <v>130</v>
      </c>
      <c r="E713" s="11">
        <f ca="1">IFERROR(__xludf.DUMMYFUNCTION("GOOGLEFINANCE(""BOM:""&amp;B714,""PRICE"")"),196.15)</f>
        <v>196.15</v>
      </c>
      <c r="F713" s="20">
        <f ca="1">IFERROR(__xludf.DUMMYFUNCTION("GOOGLEFINANCE(""BOM:""&amp;B714,""MARKETCAP"")/10000000"),5783.1090205)</f>
        <v>5783.1090205</v>
      </c>
      <c r="G713" s="95">
        <f t="shared" ca="1" si="1056"/>
        <v>1.4354199339702245E-4</v>
      </c>
      <c r="H713" s="101">
        <v>17876</v>
      </c>
      <c r="I713" s="101">
        <v>14088</v>
      </c>
      <c r="J713" s="101">
        <v>250</v>
      </c>
      <c r="K713" s="101">
        <v>196</v>
      </c>
      <c r="L713" s="101">
        <v>6314</v>
      </c>
      <c r="M713" s="101">
        <v>4988</v>
      </c>
      <c r="N713" s="101">
        <v>77</v>
      </c>
      <c r="O713" s="101">
        <v>72</v>
      </c>
      <c r="P713" s="13">
        <f t="shared" ref="P713:Q713" si="1439">J713/H713</f>
        <v>1.3985231595435221E-2</v>
      </c>
      <c r="Q713" s="13">
        <f t="shared" si="1439"/>
        <v>1.3912549687677456E-2</v>
      </c>
      <c r="R713" s="13">
        <f t="shared" si="1035"/>
        <v>7.2681907757764577E-5</v>
      </c>
      <c r="S713" s="13">
        <f t="shared" ref="S713:T713" si="1440">N713/L713</f>
        <v>1.2195121951219513E-2</v>
      </c>
      <c r="T713" s="13">
        <f t="shared" si="1440"/>
        <v>1.4434643143544507E-2</v>
      </c>
      <c r="U713" s="13">
        <f t="shared" si="1037"/>
        <v>-2.239521192324994E-3</v>
      </c>
      <c r="V713" s="13">
        <f t="shared" si="1038"/>
        <v>0.26888131743327648</v>
      </c>
      <c r="W713" s="13">
        <f t="shared" si="1039"/>
        <v>0.27551020408163263</v>
      </c>
      <c r="X713" s="13">
        <f t="shared" si="1040"/>
        <v>0.26583801122694473</v>
      </c>
      <c r="Y713" s="13">
        <f t="shared" si="1041"/>
        <v>6.944444444444442E-2</v>
      </c>
    </row>
    <row r="714" spans="1:25" ht="14.4">
      <c r="A714" s="98" t="s">
        <v>1001</v>
      </c>
      <c r="B714" s="99">
        <v>500336</v>
      </c>
      <c r="C714" s="98" t="s">
        <v>180</v>
      </c>
      <c r="D714" s="108" t="s">
        <v>384</v>
      </c>
      <c r="E714" s="11">
        <f ca="1">IFERROR(__xludf.DUMMYFUNCTION("GOOGLEFINANCE(""BOM:""&amp;B715,""PRICE"")"),210)</f>
        <v>210</v>
      </c>
      <c r="F714" s="20">
        <f ca="1">IFERROR(__xludf.DUMMYFUNCTION("GOOGLEFINANCE(""BOM:""&amp;B715,""MARKETCAP"")/10000000"),4567.3551)</f>
        <v>4567.3550999999998</v>
      </c>
      <c r="G714" s="95">
        <f t="shared" ca="1" si="1056"/>
        <v>1.1336588213745516E-4</v>
      </c>
      <c r="H714" s="101">
        <v>5377</v>
      </c>
      <c r="I714" s="101">
        <v>5290</v>
      </c>
      <c r="J714" s="101">
        <v>187</v>
      </c>
      <c r="K714" s="101">
        <v>216</v>
      </c>
      <c r="L714" s="101">
        <v>1927</v>
      </c>
      <c r="M714" s="101">
        <v>1867</v>
      </c>
      <c r="N714" s="101">
        <v>79</v>
      </c>
      <c r="O714" s="101">
        <v>89</v>
      </c>
      <c r="P714" s="13">
        <f t="shared" ref="P714:Q714" si="1441">J714/H714</f>
        <v>3.4777757113632138E-2</v>
      </c>
      <c r="Q714" s="13">
        <f t="shared" si="1441"/>
        <v>4.0831758034026465E-2</v>
      </c>
      <c r="R714" s="13">
        <f t="shared" si="1035"/>
        <v>-6.0540009203943271E-3</v>
      </c>
      <c r="S714" s="13">
        <f t="shared" ref="S714:T714" si="1442">N714/L714</f>
        <v>4.0996367410482612E-2</v>
      </c>
      <c r="T714" s="13">
        <f t="shared" si="1442"/>
        <v>4.7670058918050345E-2</v>
      </c>
      <c r="U714" s="13">
        <f t="shared" si="1037"/>
        <v>-6.6736915075677333E-3</v>
      </c>
      <c r="V714" s="13">
        <f t="shared" si="1038"/>
        <v>1.6446124763705106E-2</v>
      </c>
      <c r="W714" s="13">
        <f t="shared" si="1039"/>
        <v>-0.1342592592592593</v>
      </c>
      <c r="X714" s="13">
        <f t="shared" si="1040"/>
        <v>3.2137118371719398E-2</v>
      </c>
      <c r="Y714" s="13">
        <f t="shared" si="1041"/>
        <v>-0.11235955056179781</v>
      </c>
    </row>
    <row r="715" spans="1:25" ht="14.4">
      <c r="A715" s="98" t="s">
        <v>1002</v>
      </c>
      <c r="B715" s="99">
        <v>544223</v>
      </c>
      <c r="C715" s="98" t="s">
        <v>180</v>
      </c>
      <c r="D715" s="102" t="s">
        <v>181</v>
      </c>
      <c r="E715" s="11">
        <f ca="1">IFERROR(__xludf.DUMMYFUNCTION("GOOGLEFINANCE(""BOM:""&amp;B716,""PRICE"")"),280.4)</f>
        <v>280.39999999999998</v>
      </c>
      <c r="F715" s="20">
        <f ca="1">IFERROR(__xludf.DUMMYFUNCTION("GOOGLEFINANCE(""BOM:""&amp;B716,""MARKETCAP"")/10000000"),4879.4765543)</f>
        <v>4879.4765543000003</v>
      </c>
      <c r="G715" s="95">
        <f t="shared" ca="1" si="1056"/>
        <v>1.2111301876818154E-4</v>
      </c>
      <c r="H715" s="101">
        <v>2635</v>
      </c>
      <c r="I715" s="101">
        <v>2425</v>
      </c>
      <c r="J715" s="101">
        <v>181</v>
      </c>
      <c r="K715" s="101">
        <v>214</v>
      </c>
      <c r="L715" s="101">
        <v>991</v>
      </c>
      <c r="M715" s="101">
        <v>830</v>
      </c>
      <c r="N715" s="101">
        <v>72</v>
      </c>
      <c r="O715" s="101">
        <v>70</v>
      </c>
      <c r="P715" s="13">
        <f t="shared" ref="P715:Q715" si="1443">J715/H715</f>
        <v>6.8690702087286531E-2</v>
      </c>
      <c r="Q715" s="13">
        <f t="shared" si="1443"/>
        <v>8.8247422680412371E-2</v>
      </c>
      <c r="R715" s="13">
        <f t="shared" si="1035"/>
        <v>-1.955672059312584E-2</v>
      </c>
      <c r="S715" s="13">
        <f t="shared" ref="S715:T715" si="1444">N715/L715</f>
        <v>7.2653884964682142E-2</v>
      </c>
      <c r="T715" s="13">
        <f t="shared" si="1444"/>
        <v>8.4337349397590355E-2</v>
      </c>
      <c r="U715" s="13">
        <f t="shared" si="1037"/>
        <v>-1.1683464432908214E-2</v>
      </c>
      <c r="V715" s="13">
        <f t="shared" si="1038"/>
        <v>8.6597938144329811E-2</v>
      </c>
      <c r="W715" s="13">
        <f t="shared" si="1039"/>
        <v>-0.15420560747663548</v>
      </c>
      <c r="X715" s="13">
        <f t="shared" si="1040"/>
        <v>0.19397590361445793</v>
      </c>
      <c r="Y715" s="13">
        <f t="shared" si="1041"/>
        <v>2.857142857142847E-2</v>
      </c>
    </row>
    <row r="716" spans="1:25" ht="14.4">
      <c r="A716" s="98" t="s">
        <v>1003</v>
      </c>
      <c r="B716" s="99">
        <v>544027</v>
      </c>
      <c r="C716" s="98" t="s">
        <v>172</v>
      </c>
      <c r="D716" s="102" t="s">
        <v>178</v>
      </c>
      <c r="E716" s="11">
        <f ca="1">IFERROR(__xludf.DUMMYFUNCTION("GOOGLEFINANCE(""BOM:""&amp;B717,""PRICE"")"),135.65)</f>
        <v>135.65</v>
      </c>
      <c r="F716" s="20">
        <f ca="1">IFERROR(__xludf.DUMMYFUNCTION("GOOGLEFINANCE(""BOM:""&amp;B717,""MARKETCAP"")/10000000"),5079.0088896)</f>
        <v>5079.0088895999997</v>
      </c>
      <c r="G716" s="95">
        <f t="shared" ca="1" si="1056"/>
        <v>1.2606559169298673E-4</v>
      </c>
      <c r="H716" s="101">
        <v>1609</v>
      </c>
      <c r="I716" s="101">
        <v>1542</v>
      </c>
      <c r="J716" s="101">
        <v>243</v>
      </c>
      <c r="K716" s="101">
        <v>153</v>
      </c>
      <c r="L716" s="101">
        <v>555</v>
      </c>
      <c r="M716" s="101">
        <v>532</v>
      </c>
      <c r="N716" s="101">
        <v>87</v>
      </c>
      <c r="O716" s="101">
        <v>18</v>
      </c>
      <c r="P716" s="13">
        <f t="shared" ref="P716:Q716" si="1445">J716/H716</f>
        <v>0.15102548166563082</v>
      </c>
      <c r="Q716" s="13">
        <f t="shared" si="1445"/>
        <v>9.9221789883268477E-2</v>
      </c>
      <c r="R716" s="13">
        <f t="shared" si="1035"/>
        <v>5.1803691782362341E-2</v>
      </c>
      <c r="S716" s="13">
        <f t="shared" ref="S716:T716" si="1446">N716/L716</f>
        <v>0.15675675675675677</v>
      </c>
      <c r="T716" s="13">
        <f t="shared" si="1446"/>
        <v>3.3834586466165412E-2</v>
      </c>
      <c r="U716" s="13">
        <f t="shared" si="1037"/>
        <v>0.12292217029059135</v>
      </c>
      <c r="V716" s="13">
        <f t="shared" si="1038"/>
        <v>4.3450064850843129E-2</v>
      </c>
      <c r="W716" s="13">
        <f t="shared" si="1039"/>
        <v>0.58823529411764697</v>
      </c>
      <c r="X716" s="13">
        <f t="shared" si="1040"/>
        <v>4.3233082706766846E-2</v>
      </c>
      <c r="Y716" s="13">
        <f t="shared" si="1041"/>
        <v>3.833333333333333</v>
      </c>
    </row>
    <row r="717" spans="1:25" ht="14.4">
      <c r="A717" s="98" t="s">
        <v>1004</v>
      </c>
      <c r="B717" s="99">
        <v>532668</v>
      </c>
      <c r="C717" s="98" t="s">
        <v>174</v>
      </c>
      <c r="D717" s="70" t="s">
        <v>175</v>
      </c>
      <c r="E717" s="11">
        <f ca="1">IFERROR(__xludf.DUMMYFUNCTION("GOOGLEFINANCE(""BOM:""&amp;B718,""PRICE"")"),785.3)</f>
        <v>785.3</v>
      </c>
      <c r="F717" s="20">
        <f ca="1">IFERROR(__xludf.DUMMYFUNCTION("GOOGLEFINANCE(""BOM:""&amp;B718,""MARKETCAP"")/10000000"),4334.26132)</f>
        <v>4334.2613199999996</v>
      </c>
      <c r="G717" s="95">
        <f t="shared" ca="1" si="1056"/>
        <v>1.0758028381810094E-4</v>
      </c>
      <c r="H717" s="101">
        <v>1065</v>
      </c>
      <c r="I717" s="101">
        <v>846</v>
      </c>
      <c r="J717" s="101">
        <v>150</v>
      </c>
      <c r="K717" s="101">
        <v>137</v>
      </c>
      <c r="L717" s="101">
        <v>371</v>
      </c>
      <c r="M717" s="101">
        <v>306</v>
      </c>
      <c r="N717" s="101">
        <v>43</v>
      </c>
      <c r="O717" s="101">
        <v>47</v>
      </c>
      <c r="P717" s="13">
        <f t="shared" ref="P717:Q717" si="1447">J717/H717</f>
        <v>0.14084507042253522</v>
      </c>
      <c r="Q717" s="13">
        <f t="shared" si="1447"/>
        <v>0.16193853427895982</v>
      </c>
      <c r="R717" s="13">
        <f t="shared" si="1035"/>
        <v>-2.1093463856424605E-2</v>
      </c>
      <c r="S717" s="13">
        <f t="shared" ref="S717:T717" si="1448">N717/L717</f>
        <v>0.11590296495956873</v>
      </c>
      <c r="T717" s="13">
        <f t="shared" si="1448"/>
        <v>0.15359477124183007</v>
      </c>
      <c r="U717" s="13">
        <f t="shared" si="1037"/>
        <v>-3.7691806282261348E-2</v>
      </c>
      <c r="V717" s="13">
        <f t="shared" si="1038"/>
        <v>0.25886524822695045</v>
      </c>
      <c r="W717" s="13">
        <f t="shared" si="1039"/>
        <v>9.4890510948905105E-2</v>
      </c>
      <c r="X717" s="13">
        <f t="shared" si="1040"/>
        <v>0.21241830065359468</v>
      </c>
      <c r="Y717" s="13">
        <f t="shared" si="1041"/>
        <v>-8.5106382978723416E-2</v>
      </c>
    </row>
    <row r="718" spans="1:25" ht="14.4">
      <c r="A718" s="98" t="s">
        <v>1005</v>
      </c>
      <c r="B718" s="99">
        <v>532630</v>
      </c>
      <c r="C718" s="98" t="s">
        <v>187</v>
      </c>
      <c r="D718" s="70" t="s">
        <v>96</v>
      </c>
      <c r="E718" s="11">
        <f ca="1">IFERROR(__xludf.DUMMYFUNCTION("GOOGLEFINANCE(""BOM:""&amp;B719,""PRICE"")"),621.2)</f>
        <v>621.20000000000005</v>
      </c>
      <c r="F718" s="20">
        <f ca="1">IFERROR(__xludf.DUMMYFUNCTION("GOOGLEFINANCE(""BOM:""&amp;B719,""MARKETCAP"")/10000000"),4547.1879489)</f>
        <v>4547.1879489000003</v>
      </c>
      <c r="G718" s="95">
        <f t="shared" ca="1" si="1056"/>
        <v>1.1286531521752139E-4</v>
      </c>
      <c r="H718" s="101">
        <v>2918</v>
      </c>
      <c r="I718" s="101">
        <v>2848</v>
      </c>
      <c r="J718" s="101">
        <v>64</v>
      </c>
      <c r="K718" s="101">
        <v>105</v>
      </c>
      <c r="L718" s="101">
        <v>978</v>
      </c>
      <c r="M718" s="101">
        <v>987</v>
      </c>
      <c r="N718" s="101">
        <v>14</v>
      </c>
      <c r="O718" s="101">
        <v>50</v>
      </c>
      <c r="P718" s="13">
        <f t="shared" ref="P718:Q718" si="1449">J718/H718</f>
        <v>2.193283070596299E-2</v>
      </c>
      <c r="Q718" s="13">
        <f t="shared" si="1449"/>
        <v>3.6867977528089887E-2</v>
      </c>
      <c r="R718" s="13">
        <f t="shared" si="1035"/>
        <v>-1.4935146822126898E-2</v>
      </c>
      <c r="S718" s="13">
        <f t="shared" ref="S718:T718" si="1450">N718/L718</f>
        <v>1.4314928425357873E-2</v>
      </c>
      <c r="T718" s="13">
        <f t="shared" si="1450"/>
        <v>5.0658561296859167E-2</v>
      </c>
      <c r="U718" s="13">
        <f t="shared" si="1037"/>
        <v>-3.6343632871501295E-2</v>
      </c>
      <c r="V718" s="13">
        <f t="shared" si="1038"/>
        <v>2.4578651685393194E-2</v>
      </c>
      <c r="W718" s="13">
        <f t="shared" si="1039"/>
        <v>-0.39047619047619042</v>
      </c>
      <c r="X718" s="13">
        <f t="shared" si="1040"/>
        <v>-9.1185410334346795E-3</v>
      </c>
      <c r="Y718" s="13">
        <f t="shared" si="1041"/>
        <v>-0.72</v>
      </c>
    </row>
    <row r="719" spans="1:25" ht="14.4">
      <c r="A719" s="98" t="s">
        <v>1006</v>
      </c>
      <c r="B719" s="99">
        <v>544129</v>
      </c>
      <c r="C719" s="98" t="s">
        <v>187</v>
      </c>
      <c r="D719" s="102" t="s">
        <v>78</v>
      </c>
      <c r="E719" s="11">
        <f ca="1">IFERROR(__xludf.DUMMYFUNCTION("GOOGLEFINANCE(""BOM:""&amp;B720,""PRICE"")"),203.25)</f>
        <v>203.25</v>
      </c>
      <c r="F719" s="20">
        <f ca="1">IFERROR(__xludf.DUMMYFUNCTION("GOOGLEFINANCE(""BOM:""&amp;B720,""MARKETCAP"")/10000000"),4524.8067863)</f>
        <v>4524.8067862999997</v>
      </c>
      <c r="G719" s="95">
        <f t="shared" ca="1" si="1056"/>
        <v>1.1230979453085289E-4</v>
      </c>
      <c r="H719" s="101">
        <v>746</v>
      </c>
      <c r="I719" s="101">
        <v>666</v>
      </c>
      <c r="J719" s="101">
        <v>91</v>
      </c>
      <c r="K719" s="101">
        <v>16</v>
      </c>
      <c r="L719" s="101">
        <v>295</v>
      </c>
      <c r="M719" s="101">
        <v>252</v>
      </c>
      <c r="N719" s="101">
        <v>65</v>
      </c>
      <c r="O719" s="101">
        <v>32</v>
      </c>
      <c r="P719" s="13">
        <f t="shared" ref="P719:Q719" si="1451">J719/H719</f>
        <v>0.12198391420911528</v>
      </c>
      <c r="Q719" s="13">
        <f t="shared" si="1451"/>
        <v>2.4024024024024024E-2</v>
      </c>
      <c r="R719" s="13">
        <f t="shared" si="1035"/>
        <v>9.7959890185091256E-2</v>
      </c>
      <c r="S719" s="13">
        <f t="shared" ref="S719:T719" si="1452">N719/L719</f>
        <v>0.22033898305084745</v>
      </c>
      <c r="T719" s="13">
        <f t="shared" si="1452"/>
        <v>0.12698412698412698</v>
      </c>
      <c r="U719" s="13">
        <f t="shared" si="1037"/>
        <v>9.3354856066720476E-2</v>
      </c>
      <c r="V719" s="13">
        <f t="shared" si="1038"/>
        <v>0.12012012012012008</v>
      </c>
      <c r="W719" s="13">
        <f t="shared" si="1039"/>
        <v>4.6875</v>
      </c>
      <c r="X719" s="13">
        <f t="shared" si="1040"/>
        <v>0.17063492063492069</v>
      </c>
      <c r="Y719" s="13">
        <f t="shared" si="1041"/>
        <v>1.03125</v>
      </c>
    </row>
    <row r="720" spans="1:25" ht="14.4">
      <c r="A720" s="98" t="s">
        <v>1007</v>
      </c>
      <c r="B720" s="99">
        <v>500413</v>
      </c>
      <c r="C720" s="98" t="s">
        <v>187</v>
      </c>
      <c r="D720" s="108" t="s">
        <v>88</v>
      </c>
      <c r="E720" s="11">
        <f ca="1">IFERROR(__xludf.DUMMYFUNCTION("GOOGLEFINANCE(""BOM:""&amp;B721,""PRICE"")"),97.05)</f>
        <v>97.05</v>
      </c>
      <c r="F720" s="20">
        <f ca="1">IFERROR(__xludf.DUMMYFUNCTION("GOOGLEFINANCE(""BOM:""&amp;B721,""MARKETCAP"")/10000000"),4523.4422689)</f>
        <v>4523.4422689000003</v>
      </c>
      <c r="G720" s="95">
        <f t="shared" ca="1" si="1056"/>
        <v>1.1227592597556083E-4</v>
      </c>
      <c r="H720" s="101">
        <v>6627</v>
      </c>
      <c r="I720" s="101">
        <v>6170</v>
      </c>
      <c r="J720" s="101">
        <v>188</v>
      </c>
      <c r="K720" s="101">
        <v>191</v>
      </c>
      <c r="L720" s="101">
        <v>2145</v>
      </c>
      <c r="M720" s="101">
        <v>2061</v>
      </c>
      <c r="N720" s="101">
        <v>44</v>
      </c>
      <c r="O720" s="101">
        <v>46</v>
      </c>
      <c r="P720" s="13">
        <f t="shared" ref="P720:Q720" si="1453">J720/H720</f>
        <v>2.8368794326241134E-2</v>
      </c>
      <c r="Q720" s="13">
        <f t="shared" si="1453"/>
        <v>3.0956239870340355E-2</v>
      </c>
      <c r="R720" s="13">
        <f t="shared" si="1035"/>
        <v>-2.5874455440992213E-3</v>
      </c>
      <c r="S720" s="13">
        <f t="shared" ref="S720:T720" si="1454">N720/L720</f>
        <v>2.0512820512820513E-2</v>
      </c>
      <c r="T720" s="13">
        <f t="shared" si="1454"/>
        <v>2.2319262493934983E-2</v>
      </c>
      <c r="U720" s="13">
        <f t="shared" si="1037"/>
        <v>-1.8064419811144698E-3</v>
      </c>
      <c r="V720" s="13">
        <f t="shared" si="1038"/>
        <v>7.4068071312803907E-2</v>
      </c>
      <c r="W720" s="13">
        <f t="shared" si="1039"/>
        <v>-1.5706806282722474E-2</v>
      </c>
      <c r="X720" s="13">
        <f t="shared" si="1040"/>
        <v>4.0756914119359555E-2</v>
      </c>
      <c r="Y720" s="13">
        <f t="shared" si="1041"/>
        <v>-4.3478260869565188E-2</v>
      </c>
    </row>
    <row r="721" spans="1:25" ht="14.4">
      <c r="A721" s="98" t="s">
        <v>1008</v>
      </c>
      <c r="B721" s="99">
        <v>535648</v>
      </c>
      <c r="C721" s="98" t="s">
        <v>187</v>
      </c>
      <c r="D721" s="100" t="s">
        <v>122</v>
      </c>
      <c r="E721" s="11">
        <f ca="1">IFERROR(__xludf.DUMMYFUNCTION("GOOGLEFINANCE(""BOM:""&amp;B722,""PRICE"")"),517.3)</f>
        <v>517.29999999999995</v>
      </c>
      <c r="F721" s="20">
        <f ca="1">IFERROR(__xludf.DUMMYFUNCTION("GOOGLEFINANCE(""BOM:""&amp;B722,""MARKETCAP"")/10000000"),4402.3501519)</f>
        <v>4402.3501519000001</v>
      </c>
      <c r="G721" s="95">
        <f t="shared" ca="1" si="1056"/>
        <v>1.0927031017319044E-4</v>
      </c>
      <c r="H721" s="101">
        <v>906</v>
      </c>
      <c r="I721" s="101">
        <v>852</v>
      </c>
      <c r="J721" s="101">
        <v>397</v>
      </c>
      <c r="K721" s="101">
        <v>426</v>
      </c>
      <c r="L721" s="101">
        <v>305</v>
      </c>
      <c r="M721" s="101">
        <v>287</v>
      </c>
      <c r="N721" s="101">
        <v>117</v>
      </c>
      <c r="O721" s="101">
        <v>131</v>
      </c>
      <c r="P721" s="13">
        <f t="shared" ref="P721:Q721" si="1455">J721/H721</f>
        <v>0.4381898454746137</v>
      </c>
      <c r="Q721" s="13">
        <f t="shared" si="1455"/>
        <v>0.5</v>
      </c>
      <c r="R721" s="13">
        <f t="shared" si="1035"/>
        <v>-6.1810154525386296E-2</v>
      </c>
      <c r="S721" s="13">
        <f t="shared" ref="S721:T721" si="1456">N721/L721</f>
        <v>0.38360655737704918</v>
      </c>
      <c r="T721" s="13">
        <f t="shared" si="1456"/>
        <v>0.45644599303135891</v>
      </c>
      <c r="U721" s="13">
        <f t="shared" si="1037"/>
        <v>-7.2839435654309725E-2</v>
      </c>
      <c r="V721" s="13">
        <f t="shared" si="1038"/>
        <v>6.3380281690140761E-2</v>
      </c>
      <c r="W721" s="13">
        <f t="shared" si="1039"/>
        <v>-6.8075117370892002E-2</v>
      </c>
      <c r="X721" s="13">
        <f t="shared" si="1040"/>
        <v>6.2717770034843134E-2</v>
      </c>
      <c r="Y721" s="13">
        <f t="shared" si="1041"/>
        <v>-0.10687022900763354</v>
      </c>
    </row>
    <row r="722" spans="1:25" ht="14.4">
      <c r="A722" s="98" t="s">
        <v>1009</v>
      </c>
      <c r="B722" s="99">
        <v>543952</v>
      </c>
      <c r="C722" s="98" t="s">
        <v>187</v>
      </c>
      <c r="D722" s="100" t="s">
        <v>133</v>
      </c>
      <c r="E722" s="11">
        <f ca="1">IFERROR(__xludf.DUMMYFUNCTION("GOOGLEFINANCE(""BOM:""&amp;B723,""PRICE"")"),285.5)</f>
        <v>285.5</v>
      </c>
      <c r="F722" s="20">
        <f ca="1">IFERROR(__xludf.DUMMYFUNCTION("GOOGLEFINANCE(""BOM:""&amp;B723,""MARKETCAP"")/10000000"),3916.5808241)</f>
        <v>3916.5808241</v>
      </c>
      <c r="G722" s="95">
        <f t="shared" ca="1" si="1056"/>
        <v>9.7213076357197982E-5</v>
      </c>
      <c r="H722" s="101">
        <v>1426</v>
      </c>
      <c r="I722" s="101">
        <v>1223</v>
      </c>
      <c r="J722" s="101">
        <v>170</v>
      </c>
      <c r="K722" s="101">
        <v>178</v>
      </c>
      <c r="L722" s="101">
        <v>499</v>
      </c>
      <c r="M722" s="101">
        <v>418</v>
      </c>
      <c r="N722" s="101">
        <v>74</v>
      </c>
      <c r="O722" s="101">
        <v>61</v>
      </c>
      <c r="P722" s="13">
        <f t="shared" ref="P722:Q722" si="1457">J722/H722</f>
        <v>0.11921458625525946</v>
      </c>
      <c r="Q722" s="13">
        <f t="shared" si="1457"/>
        <v>0.14554374488961569</v>
      </c>
      <c r="R722" s="13">
        <f t="shared" si="1035"/>
        <v>-2.6329158634356226E-2</v>
      </c>
      <c r="S722" s="13">
        <f t="shared" ref="S722:T722" si="1458">N722/L722</f>
        <v>0.14829659318637275</v>
      </c>
      <c r="T722" s="13">
        <f t="shared" si="1458"/>
        <v>0.145933014354067</v>
      </c>
      <c r="U722" s="13">
        <f t="shared" si="1037"/>
        <v>2.3635788323057572E-3</v>
      </c>
      <c r="V722" s="13">
        <f t="shared" si="1038"/>
        <v>0.1659852820932135</v>
      </c>
      <c r="W722" s="13">
        <f t="shared" si="1039"/>
        <v>-4.49438202247191E-2</v>
      </c>
      <c r="X722" s="13">
        <f t="shared" si="1040"/>
        <v>0.19377990430622005</v>
      </c>
      <c r="Y722" s="13">
        <f t="shared" si="1041"/>
        <v>0.21311475409836067</v>
      </c>
    </row>
    <row r="723" spans="1:25" ht="14.4">
      <c r="A723" s="98" t="s">
        <v>1010</v>
      </c>
      <c r="B723" s="99">
        <v>507717</v>
      </c>
      <c r="C723" s="98" t="s">
        <v>196</v>
      </c>
      <c r="D723" s="102" t="s">
        <v>414</v>
      </c>
      <c r="E723" s="11">
        <f ca="1">IFERROR(__xludf.DUMMYFUNCTION("GOOGLEFINANCE(""BOM:""&amp;B724,""PRICE"")"),991.6)</f>
        <v>991.6</v>
      </c>
      <c r="F723" s="20">
        <f ca="1">IFERROR(__xludf.DUMMYFUNCTION("GOOGLEFINANCE(""BOM:""&amp;B724,""MARKETCAP"")/10000000"),4471.769344)</f>
        <v>4471.7693440000003</v>
      </c>
      <c r="G723" s="95">
        <f t="shared" ca="1" si="1056"/>
        <v>1.109933572709924E-4</v>
      </c>
      <c r="H723" s="101">
        <v>1539</v>
      </c>
      <c r="I723" s="101">
        <v>1593</v>
      </c>
      <c r="J723" s="101">
        <v>189</v>
      </c>
      <c r="K723" s="101">
        <v>221</v>
      </c>
      <c r="L723" s="101">
        <v>409</v>
      </c>
      <c r="M723" s="101">
        <v>445</v>
      </c>
      <c r="N723" s="101">
        <v>39</v>
      </c>
      <c r="O723" s="101">
        <v>55</v>
      </c>
      <c r="P723" s="13">
        <f t="shared" ref="P723:Q723" si="1459">J723/H723</f>
        <v>0.12280701754385964</v>
      </c>
      <c r="Q723" s="13">
        <f t="shared" si="1459"/>
        <v>0.13873195229127433</v>
      </c>
      <c r="R723" s="13">
        <f t="shared" si="1035"/>
        <v>-1.5924934747414687E-2</v>
      </c>
      <c r="S723" s="13">
        <f t="shared" ref="S723:T723" si="1460">N723/L723</f>
        <v>9.5354523227383858E-2</v>
      </c>
      <c r="T723" s="13">
        <f t="shared" si="1460"/>
        <v>0.12359550561797752</v>
      </c>
      <c r="U723" s="13">
        <f t="shared" si="1037"/>
        <v>-2.8240982390593666E-2</v>
      </c>
      <c r="V723" s="13">
        <f t="shared" si="1038"/>
        <v>-3.3898305084745783E-2</v>
      </c>
      <c r="W723" s="13">
        <f t="shared" si="1039"/>
        <v>-0.14479638009049778</v>
      </c>
      <c r="X723" s="13">
        <f t="shared" si="1040"/>
        <v>-8.0898876404494335E-2</v>
      </c>
      <c r="Y723" s="13">
        <f t="shared" si="1041"/>
        <v>-0.29090909090909089</v>
      </c>
    </row>
    <row r="724" spans="1:25" ht="14.4">
      <c r="A724" s="98" t="s">
        <v>1011</v>
      </c>
      <c r="B724" s="99">
        <v>532928</v>
      </c>
      <c r="C724" s="98" t="s">
        <v>180</v>
      </c>
      <c r="D724" s="102" t="s">
        <v>275</v>
      </c>
      <c r="E724" s="11">
        <f ca="1">IFERROR(__xludf.DUMMYFUNCTION("GOOGLEFINANCE(""BOM:""&amp;B725,""PRICE"")"),274.15)</f>
        <v>274.14999999999998</v>
      </c>
      <c r="F724" s="20">
        <f ca="1">IFERROR(__xludf.DUMMYFUNCTION("GOOGLEFINANCE(""BOM:""&amp;B725,""MARKETCAP"")/10000000"),4163.6777058)</f>
        <v>4163.6777057999998</v>
      </c>
      <c r="G724" s="95">
        <f t="shared" ca="1" si="1056"/>
        <v>1.0334624431852748E-4</v>
      </c>
      <c r="H724" s="101">
        <v>1764</v>
      </c>
      <c r="I724" s="101">
        <v>1367</v>
      </c>
      <c r="J724" s="101">
        <v>181</v>
      </c>
      <c r="K724" s="101">
        <v>122</v>
      </c>
      <c r="L724" s="101">
        <v>741</v>
      </c>
      <c r="M724" s="101">
        <v>568</v>
      </c>
      <c r="N724" s="101">
        <v>76</v>
      </c>
      <c r="O724" s="101">
        <v>55</v>
      </c>
      <c r="P724" s="13">
        <f t="shared" ref="P724:Q724" si="1461">J724/H724</f>
        <v>0.10260770975056689</v>
      </c>
      <c r="Q724" s="13">
        <f t="shared" si="1461"/>
        <v>8.9246525237746885E-2</v>
      </c>
      <c r="R724" s="13">
        <f t="shared" si="1035"/>
        <v>1.3361184512820007E-2</v>
      </c>
      <c r="S724" s="13">
        <f t="shared" ref="S724:T724" si="1462">N724/L724</f>
        <v>0.10256410256410256</v>
      </c>
      <c r="T724" s="13">
        <f t="shared" si="1462"/>
        <v>9.6830985915492954E-2</v>
      </c>
      <c r="U724" s="13">
        <f t="shared" si="1037"/>
        <v>5.7331166486096069E-3</v>
      </c>
      <c r="V724" s="13">
        <f t="shared" si="1038"/>
        <v>0.29041697147037304</v>
      </c>
      <c r="W724" s="13">
        <f t="shared" si="1039"/>
        <v>0.48360655737704916</v>
      </c>
      <c r="X724" s="13">
        <f t="shared" si="1040"/>
        <v>0.30457746478873249</v>
      </c>
      <c r="Y724" s="13">
        <f t="shared" si="1041"/>
        <v>0.38181818181818183</v>
      </c>
    </row>
    <row r="725" spans="1:25" ht="14.4">
      <c r="A725" s="98" t="s">
        <v>1012</v>
      </c>
      <c r="B725" s="99">
        <v>505509</v>
      </c>
      <c r="C725" s="98" t="s">
        <v>187</v>
      </c>
      <c r="D725" s="100" t="s">
        <v>938</v>
      </c>
      <c r="E725" s="11">
        <f ca="1">IFERROR(__xludf.DUMMYFUNCTION("GOOGLEFINANCE(""BOM:""&amp;B726,""PRICE"")"),132.9)</f>
        <v>132.9</v>
      </c>
      <c r="F725" s="20">
        <f ca="1">IFERROR(__xludf.DUMMYFUNCTION("GOOGLEFINANCE(""BOM:""&amp;B726,""MARKETCAP"")/10000000"),3522.4313718)</f>
        <v>3522.4313717999999</v>
      </c>
      <c r="G725" s="95">
        <f t="shared" ca="1" si="1056"/>
        <v>8.7429930668791943E-5</v>
      </c>
      <c r="H725" s="101">
        <v>963</v>
      </c>
      <c r="I725" s="101">
        <v>1037</v>
      </c>
      <c r="J725" s="101">
        <v>125</v>
      </c>
      <c r="K725" s="101">
        <v>144</v>
      </c>
      <c r="L725" s="101">
        <v>311</v>
      </c>
      <c r="M725" s="101">
        <v>367</v>
      </c>
      <c r="N725" s="101">
        <v>22</v>
      </c>
      <c r="O725" s="101">
        <v>46</v>
      </c>
      <c r="P725" s="13">
        <f t="shared" ref="P725:Q725" si="1463">J725/H725</f>
        <v>0.12980269989615784</v>
      </c>
      <c r="Q725" s="13">
        <f t="shared" si="1463"/>
        <v>0.13886210221793635</v>
      </c>
      <c r="R725" s="13">
        <f t="shared" si="1035"/>
        <v>-9.0594023217785147E-3</v>
      </c>
      <c r="S725" s="13">
        <f t="shared" ref="S725:T725" si="1464">N725/L725</f>
        <v>7.0739549839228297E-2</v>
      </c>
      <c r="T725" s="13">
        <f t="shared" si="1464"/>
        <v>0.12534059945504086</v>
      </c>
      <c r="U725" s="13">
        <f t="shared" si="1037"/>
        <v>-5.4601049615812566E-2</v>
      </c>
      <c r="V725" s="13">
        <f t="shared" si="1038"/>
        <v>-7.1359691417550608E-2</v>
      </c>
      <c r="W725" s="13">
        <f t="shared" si="1039"/>
        <v>-0.13194444444444442</v>
      </c>
      <c r="X725" s="13">
        <f t="shared" si="1040"/>
        <v>-0.15258855585831066</v>
      </c>
      <c r="Y725" s="13">
        <f t="shared" si="1041"/>
        <v>-0.52173913043478259</v>
      </c>
    </row>
    <row r="726" spans="1:25" ht="14.4">
      <c r="A726" s="98" t="s">
        <v>1013</v>
      </c>
      <c r="B726" s="99">
        <v>500041</v>
      </c>
      <c r="C726" s="98" t="s">
        <v>183</v>
      </c>
      <c r="D726" s="109" t="s">
        <v>797</v>
      </c>
      <c r="E726" s="11">
        <f ca="1">IFERROR(__xludf.DUMMYFUNCTION("GOOGLEFINANCE(""BOM:""&amp;B727,""PRICE"")"),3670)</f>
        <v>3670</v>
      </c>
      <c r="F726" s="20">
        <f ca="1">IFERROR(__xludf.DUMMYFUNCTION("GOOGLEFINANCE(""BOM:""&amp;B727,""MARKETCAP"")/10000000"),4575.9836135)</f>
        <v>4575.9836134999996</v>
      </c>
      <c r="G726" s="95">
        <f t="shared" ca="1" si="1056"/>
        <v>1.1358004964207122E-4</v>
      </c>
      <c r="H726" s="101">
        <v>1634</v>
      </c>
      <c r="I726" s="101">
        <v>1299</v>
      </c>
      <c r="J726" s="101">
        <v>106</v>
      </c>
      <c r="K726" s="101">
        <v>69</v>
      </c>
      <c r="L726" s="101">
        <v>644</v>
      </c>
      <c r="M726" s="101">
        <v>421</v>
      </c>
      <c r="N726" s="101">
        <v>48</v>
      </c>
      <c r="O726" s="101">
        <v>28</v>
      </c>
      <c r="P726" s="13">
        <f t="shared" ref="P726:Q726" si="1465">J726/H726</f>
        <v>6.4871481028151781E-2</v>
      </c>
      <c r="Q726" s="13">
        <f t="shared" si="1465"/>
        <v>5.3117782909930716E-2</v>
      </c>
      <c r="R726" s="13">
        <f t="shared" si="1035"/>
        <v>1.1753698118221065E-2</v>
      </c>
      <c r="S726" s="13">
        <f t="shared" ref="S726:T726" si="1466">N726/L726</f>
        <v>7.4534161490683232E-2</v>
      </c>
      <c r="T726" s="13">
        <f t="shared" si="1466"/>
        <v>6.6508313539192399E-2</v>
      </c>
      <c r="U726" s="13">
        <f t="shared" si="1037"/>
        <v>8.0258479514908332E-3</v>
      </c>
      <c r="V726" s="13">
        <f t="shared" si="1038"/>
        <v>0.2578906851424172</v>
      </c>
      <c r="W726" s="13">
        <f t="shared" si="1039"/>
        <v>0.53623188405797095</v>
      </c>
      <c r="X726" s="13">
        <f t="shared" si="1040"/>
        <v>0.52969121140142517</v>
      </c>
      <c r="Y726" s="13">
        <f t="shared" si="1041"/>
        <v>0.71428571428571419</v>
      </c>
    </row>
    <row r="727" spans="1:25" ht="14.4">
      <c r="A727" s="98" t="s">
        <v>1014</v>
      </c>
      <c r="B727" s="99">
        <v>500307</v>
      </c>
      <c r="C727" s="98" t="s">
        <v>206</v>
      </c>
      <c r="D727" s="100" t="s">
        <v>657</v>
      </c>
      <c r="E727" s="11">
        <f ca="1">IFERROR(__xludf.DUMMYFUNCTION("GOOGLEFINANCE(""BOM:""&amp;B728,""PRICE"")"),514.85)</f>
        <v>514.85</v>
      </c>
      <c r="F727" s="20">
        <f ca="1">IFERROR(__xludf.DUMMYFUNCTION("GOOGLEFINANCE(""BOM:""&amp;B728,""MARKETCAP"")/10000000"),4639.7265545)</f>
        <v>4639.7265545</v>
      </c>
      <c r="G727" s="95">
        <f t="shared" ca="1" si="1056"/>
        <v>1.1516220705665472E-4</v>
      </c>
      <c r="H727" s="101">
        <v>498</v>
      </c>
      <c r="I727" s="101">
        <v>478</v>
      </c>
      <c r="J727" s="101">
        <v>275</v>
      </c>
      <c r="K727" s="101">
        <v>164</v>
      </c>
      <c r="L727" s="101">
        <v>169</v>
      </c>
      <c r="M727" s="101">
        <v>161</v>
      </c>
      <c r="N727" s="101">
        <v>69</v>
      </c>
      <c r="O727" s="101">
        <v>58</v>
      </c>
      <c r="P727" s="13">
        <f t="shared" ref="P727:Q727" si="1467">J727/H727</f>
        <v>0.55220883534136544</v>
      </c>
      <c r="Q727" s="13">
        <f t="shared" si="1467"/>
        <v>0.34309623430962344</v>
      </c>
      <c r="R727" s="13">
        <f t="shared" si="1035"/>
        <v>0.20911260103174201</v>
      </c>
      <c r="S727" s="13">
        <f t="shared" ref="S727:T727" si="1468">N727/L727</f>
        <v>0.40828402366863903</v>
      </c>
      <c r="T727" s="13">
        <f t="shared" si="1468"/>
        <v>0.36024844720496896</v>
      </c>
      <c r="U727" s="13">
        <f t="shared" si="1037"/>
        <v>4.8035576463670071E-2</v>
      </c>
      <c r="V727" s="13">
        <f t="shared" si="1038"/>
        <v>4.1841004184100417E-2</v>
      </c>
      <c r="W727" s="13">
        <f t="shared" si="1039"/>
        <v>0.67682926829268286</v>
      </c>
      <c r="X727" s="13">
        <f t="shared" si="1040"/>
        <v>4.9689440993788914E-2</v>
      </c>
      <c r="Y727" s="13">
        <f t="shared" si="1041"/>
        <v>0.18965517241379315</v>
      </c>
    </row>
    <row r="728" spans="1:25" ht="14.4">
      <c r="A728" s="98" t="s">
        <v>1015</v>
      </c>
      <c r="B728" s="99">
        <v>531201</v>
      </c>
      <c r="C728" s="98" t="s">
        <v>180</v>
      </c>
      <c r="D728" s="70" t="s">
        <v>275</v>
      </c>
      <c r="E728" s="11">
        <f ca="1">IFERROR(__xludf.DUMMYFUNCTION("GOOGLEFINANCE(""BOM:""&amp;B729,""PRICE"")"),4066.7)</f>
        <v>4066.7</v>
      </c>
      <c r="F728" s="20">
        <f ca="1">IFERROR(__xludf.DUMMYFUNCTION("GOOGLEFINANCE(""BOM:""&amp;B729,""MARKETCAP"")/10000000"),4656.1614)</f>
        <v>4656.1614</v>
      </c>
      <c r="G728" s="95">
        <f t="shared" ca="1" si="1056"/>
        <v>1.1557013477786482E-4</v>
      </c>
      <c r="H728" s="101">
        <v>500</v>
      </c>
      <c r="I728" s="101">
        <v>391</v>
      </c>
      <c r="J728" s="101">
        <v>129</v>
      </c>
      <c r="K728" s="101">
        <v>91</v>
      </c>
      <c r="L728" s="101">
        <v>170</v>
      </c>
      <c r="M728" s="101">
        <v>153</v>
      </c>
      <c r="N728" s="101">
        <v>42</v>
      </c>
      <c r="O728" s="101">
        <v>34</v>
      </c>
      <c r="P728" s="13">
        <f t="shared" ref="P728:Q728" si="1469">J728/H728</f>
        <v>0.25800000000000001</v>
      </c>
      <c r="Q728" s="13">
        <f t="shared" si="1469"/>
        <v>0.23273657289002558</v>
      </c>
      <c r="R728" s="13">
        <f t="shared" si="1035"/>
        <v>2.5263427109974423E-2</v>
      </c>
      <c r="S728" s="13">
        <f t="shared" ref="S728:T728" si="1470">N728/L728</f>
        <v>0.24705882352941178</v>
      </c>
      <c r="T728" s="13">
        <f t="shared" si="1470"/>
        <v>0.22222222222222221</v>
      </c>
      <c r="U728" s="13">
        <f t="shared" si="1037"/>
        <v>2.4836601307189565E-2</v>
      </c>
      <c r="V728" s="13">
        <f t="shared" si="1038"/>
        <v>0.27877237851662406</v>
      </c>
      <c r="W728" s="13">
        <f t="shared" si="1039"/>
        <v>0.41758241758241765</v>
      </c>
      <c r="X728" s="13">
        <f t="shared" si="1040"/>
        <v>0.11111111111111116</v>
      </c>
      <c r="Y728" s="13">
        <f t="shared" si="1041"/>
        <v>0.23529411764705888</v>
      </c>
    </row>
    <row r="729" spans="1:25" ht="14.4">
      <c r="A729" s="98" t="s">
        <v>1016</v>
      </c>
      <c r="B729" s="99">
        <v>544122</v>
      </c>
      <c r="C729" s="98" t="s">
        <v>187</v>
      </c>
      <c r="D729" s="102" t="s">
        <v>769</v>
      </c>
      <c r="E729" s="11">
        <f ca="1">IFERROR(__xludf.DUMMYFUNCTION("GOOGLEFINANCE(""BOM:""&amp;B730,""PRICE"")"),1235.45)</f>
        <v>1235.45</v>
      </c>
      <c r="F729" s="20">
        <f ca="1">IFERROR(__xludf.DUMMYFUNCTION("GOOGLEFINANCE(""BOM:""&amp;B730,""MARKETCAP"")/10000000"),5372.7298488)</f>
        <v>5372.7298487999997</v>
      </c>
      <c r="G729" s="95">
        <f t="shared" ca="1" si="1056"/>
        <v>1.3335601140262733E-4</v>
      </c>
      <c r="H729" s="101">
        <v>4681</v>
      </c>
      <c r="I729" s="101">
        <v>3756</v>
      </c>
      <c r="J729" s="101">
        <v>100</v>
      </c>
      <c r="K729" s="101">
        <v>76</v>
      </c>
      <c r="L729" s="101">
        <v>1706</v>
      </c>
      <c r="M729" s="101">
        <v>1358</v>
      </c>
      <c r="N729" s="101">
        <v>33</v>
      </c>
      <c r="O729" s="101">
        <v>29</v>
      </c>
      <c r="P729" s="13">
        <f t="shared" ref="P729:Q729" si="1471">J729/H729</f>
        <v>2.1362956633198035E-2</v>
      </c>
      <c r="Q729" s="13">
        <f t="shared" si="1471"/>
        <v>2.0234291799787009E-2</v>
      </c>
      <c r="R729" s="13">
        <f t="shared" si="1035"/>
        <v>1.1286648334110257E-3</v>
      </c>
      <c r="S729" s="13">
        <f t="shared" ref="S729:T729" si="1472">N729/L729</f>
        <v>1.9343493552168817E-2</v>
      </c>
      <c r="T729" s="13">
        <f t="shared" si="1472"/>
        <v>2.1354933726067747E-2</v>
      </c>
      <c r="U729" s="13">
        <f t="shared" si="1037"/>
        <v>-2.0114401738989297E-3</v>
      </c>
      <c r="V729" s="13">
        <f t="shared" si="1038"/>
        <v>0.24627263045793391</v>
      </c>
      <c r="W729" s="13">
        <f t="shared" si="1039"/>
        <v>0.31578947368421062</v>
      </c>
      <c r="X729" s="13">
        <f t="shared" si="1040"/>
        <v>0.25625920471281294</v>
      </c>
      <c r="Y729" s="13">
        <f t="shared" si="1041"/>
        <v>0.13793103448275867</v>
      </c>
    </row>
    <row r="730" spans="1:25" ht="14.4">
      <c r="A730" s="104" t="s">
        <v>1017</v>
      </c>
      <c r="B730" s="99">
        <v>542760</v>
      </c>
      <c r="C730" s="98" t="s">
        <v>180</v>
      </c>
      <c r="D730" s="102" t="s">
        <v>181</v>
      </c>
      <c r="E730" s="11">
        <f ca="1">IFERROR(__xludf.DUMMYFUNCTION("GOOGLEFINANCE(""BOM:""&amp;B731,""PRICE"")"),166.55)</f>
        <v>166.55</v>
      </c>
      <c r="F730" s="20">
        <f ca="1">IFERROR(__xludf.DUMMYFUNCTION("GOOGLEFINANCE(""BOM:""&amp;B731,""MARKETCAP"")/10000000"),3890.6313882)</f>
        <v>3890.6313881999999</v>
      </c>
      <c r="G730" s="95">
        <f t="shared" ca="1" si="1056"/>
        <v>9.6568987901765019E-5</v>
      </c>
      <c r="H730" s="101">
        <v>5602</v>
      </c>
      <c r="I730" s="101">
        <v>3782</v>
      </c>
      <c r="J730" s="101">
        <v>-437</v>
      </c>
      <c r="K730" s="101">
        <v>30</v>
      </c>
      <c r="L730" s="101">
        <v>2092</v>
      </c>
      <c r="M730" s="101">
        <v>1837</v>
      </c>
      <c r="N730" s="101">
        <v>1</v>
      </c>
      <c r="O730" s="101">
        <v>17</v>
      </c>
      <c r="P730" s="13">
        <f t="shared" ref="P730:Q730" si="1473">J730/H730</f>
        <v>-7.8007854337736521E-2</v>
      </c>
      <c r="Q730" s="13">
        <f t="shared" si="1473"/>
        <v>7.9323109465891072E-3</v>
      </c>
      <c r="R730" s="13">
        <f t="shared" si="1035"/>
        <v>-8.5940165284325631E-2</v>
      </c>
      <c r="S730" s="13">
        <f t="shared" ref="S730:T730" si="1474">N730/L730</f>
        <v>4.7801147227533459E-4</v>
      </c>
      <c r="T730" s="13">
        <f t="shared" si="1474"/>
        <v>9.2542188350571587E-3</v>
      </c>
      <c r="U730" s="13">
        <f t="shared" si="1037"/>
        <v>-8.7762073627818248E-3</v>
      </c>
      <c r="V730" s="13">
        <f t="shared" si="1038"/>
        <v>0.48122686409307236</v>
      </c>
      <c r="W730" s="13">
        <f t="shared" si="1039"/>
        <v>-15.566666666666666</v>
      </c>
      <c r="X730" s="13">
        <f t="shared" si="1040"/>
        <v>0.13881328252585745</v>
      </c>
      <c r="Y730" s="13">
        <f t="shared" si="1041"/>
        <v>-0.94117647058823528</v>
      </c>
    </row>
    <row r="731" spans="1:25" ht="14.4">
      <c r="A731" s="98" t="s">
        <v>1018</v>
      </c>
      <c r="B731" s="99">
        <v>544322</v>
      </c>
      <c r="C731" s="98" t="s">
        <v>180</v>
      </c>
      <c r="D731" s="108" t="s">
        <v>204</v>
      </c>
      <c r="E731" s="11">
        <f ca="1">IFERROR(__xludf.DUMMYFUNCTION("GOOGLEFINANCE(""BOM:""&amp;B732,""PRICE"")"),729.95)</f>
        <v>729.95</v>
      </c>
      <c r="F731" s="20">
        <f ca="1">IFERROR(__xludf.DUMMYFUNCTION("GOOGLEFINANCE(""BOM:""&amp;B732,""MARKETCAP"")/10000000"),3717.637197)</f>
        <v>3717.637197</v>
      </c>
      <c r="G731" s="95">
        <f t="shared" ca="1" si="1056"/>
        <v>9.227511570206599E-5</v>
      </c>
      <c r="H731" s="101">
        <v>158</v>
      </c>
      <c r="I731" s="101">
        <v>174</v>
      </c>
      <c r="J731" s="101">
        <v>37</v>
      </c>
      <c r="K731" s="101">
        <v>54</v>
      </c>
      <c r="L731" s="101">
        <v>33</v>
      </c>
      <c r="M731" s="101">
        <v>53</v>
      </c>
      <c r="N731" s="101">
        <v>2</v>
      </c>
      <c r="O731" s="101">
        <v>15</v>
      </c>
      <c r="P731" s="13">
        <f t="shared" ref="P731:Q731" si="1475">J731/H731</f>
        <v>0.23417721518987342</v>
      </c>
      <c r="Q731" s="13">
        <f t="shared" si="1475"/>
        <v>0.31034482758620691</v>
      </c>
      <c r="R731" s="13">
        <f t="shared" si="1035"/>
        <v>-7.6167612396333489E-2</v>
      </c>
      <c r="S731" s="13">
        <f t="shared" ref="S731:T731" si="1476">N731/L731</f>
        <v>6.0606060606060608E-2</v>
      </c>
      <c r="T731" s="13">
        <f t="shared" si="1476"/>
        <v>0.28301886792452829</v>
      </c>
      <c r="U731" s="13">
        <f t="shared" si="1037"/>
        <v>-0.22241280731846769</v>
      </c>
      <c r="V731" s="13">
        <f t="shared" si="1038"/>
        <v>-9.1954022988505746E-2</v>
      </c>
      <c r="W731" s="13">
        <f t="shared" si="1039"/>
        <v>-0.31481481481481477</v>
      </c>
      <c r="X731" s="13">
        <f t="shared" si="1040"/>
        <v>-0.37735849056603776</v>
      </c>
      <c r="Y731" s="13">
        <f t="shared" si="1041"/>
        <v>-0.8666666666666667</v>
      </c>
    </row>
    <row r="732" spans="1:25" ht="14.4">
      <c r="A732" s="98" t="s">
        <v>1019</v>
      </c>
      <c r="B732" s="99">
        <v>500404</v>
      </c>
      <c r="C732" s="98" t="s">
        <v>180</v>
      </c>
      <c r="D732" s="102" t="s">
        <v>384</v>
      </c>
      <c r="E732" s="11">
        <f ca="1">IFERROR(__xludf.DUMMYFUNCTION("GOOGLEFINANCE(""BOM:""&amp;B733,""PRICE"")"),224.75)</f>
        <v>224.75</v>
      </c>
      <c r="F732" s="20">
        <f ca="1">IFERROR(__xludf.DUMMYFUNCTION("GOOGLEFINANCE(""BOM:""&amp;B733,""MARKETCAP"")/10000000"),4050.9716512)</f>
        <v>4050.9716512</v>
      </c>
      <c r="G732" s="95">
        <f t="shared" ca="1" si="1056"/>
        <v>1.0054877816531308E-4</v>
      </c>
      <c r="H732" s="101">
        <v>2938</v>
      </c>
      <c r="I732" s="101">
        <v>2652</v>
      </c>
      <c r="J732" s="101">
        <v>168</v>
      </c>
      <c r="K732" s="101">
        <v>118</v>
      </c>
      <c r="L732" s="101">
        <v>942</v>
      </c>
      <c r="M732" s="101">
        <v>892</v>
      </c>
      <c r="N732" s="101">
        <v>59</v>
      </c>
      <c r="O732" s="101">
        <v>50</v>
      </c>
      <c r="P732" s="13">
        <f t="shared" ref="P732:Q732" si="1477">J732/H732</f>
        <v>5.7181756296800543E-2</v>
      </c>
      <c r="Q732" s="13">
        <f t="shared" si="1477"/>
        <v>4.4494720965309202E-2</v>
      </c>
      <c r="R732" s="13">
        <f t="shared" si="1035"/>
        <v>1.2687035331491341E-2</v>
      </c>
      <c r="S732" s="13">
        <f t="shared" ref="S732:T732" si="1478">N732/L732</f>
        <v>6.2632696390658174E-2</v>
      </c>
      <c r="T732" s="13">
        <f t="shared" si="1478"/>
        <v>5.6053811659192827E-2</v>
      </c>
      <c r="U732" s="13">
        <f t="shared" si="1037"/>
        <v>6.5788847314653467E-3</v>
      </c>
      <c r="V732" s="13">
        <f t="shared" si="1038"/>
        <v>0.10784313725490202</v>
      </c>
      <c r="W732" s="13">
        <f t="shared" si="1039"/>
        <v>0.42372881355932202</v>
      </c>
      <c r="X732" s="13">
        <f t="shared" si="1040"/>
        <v>5.6053811659192876E-2</v>
      </c>
      <c r="Y732" s="13">
        <f t="shared" si="1041"/>
        <v>0.17999999999999994</v>
      </c>
    </row>
    <row r="733" spans="1:25" ht="14.4">
      <c r="A733" s="104" t="s">
        <v>1020</v>
      </c>
      <c r="B733" s="99">
        <v>500185</v>
      </c>
      <c r="C733" s="98" t="s">
        <v>180</v>
      </c>
      <c r="D733" s="100" t="s">
        <v>181</v>
      </c>
      <c r="E733" s="11">
        <f ca="1">IFERROR(__xludf.DUMMYFUNCTION("GOOGLEFINANCE(""BOM:""&amp;B734,""PRICE"")"),15.48)</f>
        <v>15.48</v>
      </c>
      <c r="F733" s="20">
        <f ca="1">IFERROR(__xludf.DUMMYFUNCTION("GOOGLEFINANCE(""BOM:""&amp;B734,""MARKETCAP"")/10000000"),4054.936344)</f>
        <v>4054.9363440000002</v>
      </c>
      <c r="G733" s="95">
        <f t="shared" ca="1" si="1056"/>
        <v>1.0064718542440183E-4</v>
      </c>
      <c r="H733" s="101">
        <v>2977</v>
      </c>
      <c r="I733" s="101">
        <v>4230</v>
      </c>
      <c r="J733" s="101">
        <v>106</v>
      </c>
      <c r="K733" s="101">
        <v>22</v>
      </c>
      <c r="L733" s="101">
        <v>925</v>
      </c>
      <c r="M733" s="101">
        <v>1007</v>
      </c>
      <c r="N733" s="101">
        <v>8</v>
      </c>
      <c r="O733" s="101">
        <v>-39</v>
      </c>
      <c r="P733" s="13">
        <f t="shared" ref="P733:Q733" si="1479">J733/H733</f>
        <v>3.5606315082297613E-2</v>
      </c>
      <c r="Q733" s="13">
        <f t="shared" si="1479"/>
        <v>5.2009456264775411E-3</v>
      </c>
      <c r="R733" s="13">
        <f t="shared" si="1035"/>
        <v>3.0405369455820071E-2</v>
      </c>
      <c r="S733" s="13">
        <f t="shared" ref="S733:T733" si="1480">N733/L733</f>
        <v>8.6486486486486488E-3</v>
      </c>
      <c r="T733" s="13">
        <f t="shared" si="1480"/>
        <v>-3.8728897715988087E-2</v>
      </c>
      <c r="U733" s="13">
        <f t="shared" si="1037"/>
        <v>4.7377546364636737E-2</v>
      </c>
      <c r="V733" s="13">
        <f t="shared" si="1038"/>
        <v>-0.29621749408983455</v>
      </c>
      <c r="W733" s="13">
        <f t="shared" si="1039"/>
        <v>3.8181818181818183</v>
      </c>
      <c r="X733" s="13">
        <f t="shared" si="1040"/>
        <v>-8.1429990069513458E-2</v>
      </c>
      <c r="Y733" s="13">
        <f t="shared" si="1041"/>
        <v>-1.2051282051282051</v>
      </c>
    </row>
    <row r="734" spans="1:25" ht="14.4">
      <c r="A734" s="98" t="s">
        <v>1021</v>
      </c>
      <c r="B734" s="99">
        <v>532528</v>
      </c>
      <c r="C734" s="98" t="s">
        <v>174</v>
      </c>
      <c r="D734" s="101" t="s">
        <v>455</v>
      </c>
      <c r="E734" s="11">
        <f ca="1">IFERROR(__xludf.DUMMYFUNCTION("GOOGLEFINANCE(""BOM:""&amp;B735,""PRICE"")"),700.85)</f>
        <v>700.85</v>
      </c>
      <c r="F734" s="20">
        <f ca="1">IFERROR(__xludf.DUMMYFUNCTION("GOOGLEFINANCE(""BOM:""&amp;B735,""MARKETCAP"")/10000000"),4156.9523365)</f>
        <v>4156.9523364999995</v>
      </c>
      <c r="G734" s="95">
        <f t="shared" ca="1" si="1056"/>
        <v>1.0317931457325878E-4</v>
      </c>
      <c r="H734" s="101">
        <v>1467</v>
      </c>
      <c r="I734" s="101">
        <v>1226</v>
      </c>
      <c r="J734" s="101">
        <v>150</v>
      </c>
      <c r="K734" s="101">
        <v>160</v>
      </c>
      <c r="L734" s="101">
        <v>510</v>
      </c>
      <c r="M734" s="101">
        <v>425</v>
      </c>
      <c r="N734" s="101">
        <v>36</v>
      </c>
      <c r="O734" s="101">
        <v>74</v>
      </c>
      <c r="P734" s="13">
        <f t="shared" ref="P734:Q734" si="1481">J734/H734</f>
        <v>0.10224948875255624</v>
      </c>
      <c r="Q734" s="13">
        <f t="shared" si="1481"/>
        <v>0.13050570962479607</v>
      </c>
      <c r="R734" s="13">
        <f t="shared" si="1035"/>
        <v>-2.8256220872239834E-2</v>
      </c>
      <c r="S734" s="13">
        <f t="shared" ref="S734:T734" si="1482">N734/L734</f>
        <v>7.0588235294117646E-2</v>
      </c>
      <c r="T734" s="13">
        <f t="shared" si="1482"/>
        <v>0.17411764705882352</v>
      </c>
      <c r="U734" s="13">
        <f t="shared" si="1037"/>
        <v>-0.10352941176470587</v>
      </c>
      <c r="V734" s="13">
        <f t="shared" si="1038"/>
        <v>0.19657422512234901</v>
      </c>
      <c r="W734" s="13">
        <f t="shared" si="1039"/>
        <v>-6.25E-2</v>
      </c>
      <c r="X734" s="13">
        <f t="shared" si="1040"/>
        <v>0.19999999999999996</v>
      </c>
      <c r="Y734" s="13">
        <f t="shared" si="1041"/>
        <v>-0.51351351351351349</v>
      </c>
    </row>
    <row r="735" spans="1:25" ht="14.4">
      <c r="A735" s="98" t="s">
        <v>1022</v>
      </c>
      <c r="B735" s="99">
        <v>534976</v>
      </c>
      <c r="C735" s="98" t="s">
        <v>187</v>
      </c>
      <c r="D735" s="70" t="s">
        <v>84</v>
      </c>
      <c r="E735" s="11">
        <f ca="1">IFERROR(__xludf.DUMMYFUNCTION("GOOGLEFINANCE(""BOM:""&amp;B736,""PRICE"")"),628.05)</f>
        <v>628.04999999999995</v>
      </c>
      <c r="F735" s="20">
        <f ca="1">IFERROR(__xludf.DUMMYFUNCTION("GOOGLEFINANCE(""BOM:""&amp;B736,""MARKETCAP"")/10000000"),4958.61799)</f>
        <v>4958.6179899999997</v>
      </c>
      <c r="G735" s="95">
        <f t="shared" ca="1" si="1056"/>
        <v>1.2307738074033368E-4</v>
      </c>
      <c r="H735" s="101">
        <v>2818</v>
      </c>
      <c r="I735" s="101">
        <v>2473</v>
      </c>
      <c r="J735" s="101">
        <v>112</v>
      </c>
      <c r="K735" s="101">
        <v>27</v>
      </c>
      <c r="L735" s="101">
        <v>1126</v>
      </c>
      <c r="M735" s="101">
        <v>1026</v>
      </c>
      <c r="N735" s="101">
        <v>87</v>
      </c>
      <c r="O735" s="101">
        <v>71</v>
      </c>
      <c r="P735" s="13">
        <f t="shared" ref="P735:Q735" si="1483">J735/H735</f>
        <v>3.9744499645138397E-2</v>
      </c>
      <c r="Q735" s="13">
        <f t="shared" si="1483"/>
        <v>1.0917913465426607E-2</v>
      </c>
      <c r="R735" s="13">
        <f t="shared" si="1035"/>
        <v>2.8826586179711788E-2</v>
      </c>
      <c r="S735" s="13">
        <f t="shared" ref="S735:T735" si="1484">N735/L735</f>
        <v>7.7264653641207812E-2</v>
      </c>
      <c r="T735" s="13">
        <f t="shared" si="1484"/>
        <v>6.9200779727095513E-2</v>
      </c>
      <c r="U735" s="13">
        <f t="shared" si="1037"/>
        <v>8.0638739141122989E-3</v>
      </c>
      <c r="V735" s="13">
        <f t="shared" si="1038"/>
        <v>0.13950667205822898</v>
      </c>
      <c r="W735" s="13">
        <f t="shared" si="1039"/>
        <v>3.1481481481481479</v>
      </c>
      <c r="X735" s="13">
        <f t="shared" si="1040"/>
        <v>9.7465886939571256E-2</v>
      </c>
      <c r="Y735" s="13">
        <f t="shared" si="1041"/>
        <v>0.22535211267605626</v>
      </c>
    </row>
    <row r="736" spans="1:25" ht="14.4">
      <c r="A736" s="98" t="s">
        <v>1023</v>
      </c>
      <c r="B736" s="99">
        <v>543258</v>
      </c>
      <c r="C736" s="98" t="s">
        <v>187</v>
      </c>
      <c r="D736" s="100" t="s">
        <v>102</v>
      </c>
      <c r="E736" s="11">
        <f ca="1">IFERROR(__xludf.DUMMYFUNCTION("GOOGLEFINANCE(""BOM:""&amp;B737,""PRICE"")"),770.05)</f>
        <v>770.05</v>
      </c>
      <c r="F736" s="20">
        <f ca="1">IFERROR(__xludf.DUMMYFUNCTION("GOOGLEFINANCE(""BOM:""&amp;B737,""MARKETCAP"")/10000000"),3674.8398146)</f>
        <v>3674.8398146</v>
      </c>
      <c r="G736" s="95">
        <f t="shared" ca="1" si="1056"/>
        <v>9.1212845985189799E-5</v>
      </c>
      <c r="H736" s="101">
        <v>979</v>
      </c>
      <c r="I736" s="101">
        <v>953</v>
      </c>
      <c r="J736" s="101">
        <v>88</v>
      </c>
      <c r="K736" s="101">
        <v>84</v>
      </c>
      <c r="L736" s="101">
        <v>358</v>
      </c>
      <c r="M736" s="101">
        <v>342</v>
      </c>
      <c r="N736" s="101">
        <v>37</v>
      </c>
      <c r="O736" s="101">
        <v>35</v>
      </c>
      <c r="P736" s="13">
        <f t="shared" ref="P736:Q736" si="1485">J736/H736</f>
        <v>8.98876404494382E-2</v>
      </c>
      <c r="Q736" s="13">
        <f t="shared" si="1485"/>
        <v>8.8142707240293813E-2</v>
      </c>
      <c r="R736" s="13">
        <f t="shared" si="1035"/>
        <v>1.7449332091443864E-3</v>
      </c>
      <c r="S736" s="13">
        <f t="shared" ref="S736:T736" si="1486">N736/L736</f>
        <v>0.10335195530726257</v>
      </c>
      <c r="T736" s="13">
        <f t="shared" si="1486"/>
        <v>0.1023391812865497</v>
      </c>
      <c r="U736" s="13">
        <f t="shared" si="1037"/>
        <v>1.0127740207128699E-3</v>
      </c>
      <c r="V736" s="13">
        <f t="shared" si="1038"/>
        <v>2.7282266526757581E-2</v>
      </c>
      <c r="W736" s="13">
        <f t="shared" si="1039"/>
        <v>4.7619047619047672E-2</v>
      </c>
      <c r="X736" s="13">
        <f t="shared" si="1040"/>
        <v>4.6783625730994149E-2</v>
      </c>
      <c r="Y736" s="13">
        <f t="shared" si="1041"/>
        <v>5.7142857142857162E-2</v>
      </c>
    </row>
    <row r="737" spans="1:25" ht="14.4">
      <c r="A737" s="98" t="s">
        <v>1024</v>
      </c>
      <c r="B737" s="99">
        <v>505726</v>
      </c>
      <c r="C737" s="98" t="s">
        <v>187</v>
      </c>
      <c r="D737" s="70" t="s">
        <v>93</v>
      </c>
      <c r="E737" s="11">
        <f ca="1">IFERROR(__xludf.DUMMYFUNCTION("GOOGLEFINANCE(""BOM:""&amp;B738,""PRICE"")"),962.5)</f>
        <v>962.5</v>
      </c>
      <c r="F737" s="20">
        <f ca="1">IFERROR(__xludf.DUMMYFUNCTION("GOOGLEFINANCE(""BOM:""&amp;B738,""MARKETCAP"")/10000000"),3893.587775)</f>
        <v>3893.587775</v>
      </c>
      <c r="G737" s="95">
        <f t="shared" ca="1" si="1056"/>
        <v>9.6642368094498784E-5</v>
      </c>
      <c r="H737" s="101">
        <v>4145</v>
      </c>
      <c r="I737" s="101">
        <v>3781</v>
      </c>
      <c r="J737" s="101">
        <v>101</v>
      </c>
      <c r="K737" s="101">
        <v>100</v>
      </c>
      <c r="L737" s="101">
        <v>1419</v>
      </c>
      <c r="M737" s="101">
        <v>1273</v>
      </c>
      <c r="N737" s="101">
        <v>24</v>
      </c>
      <c r="O737" s="101">
        <v>31</v>
      </c>
      <c r="P737" s="13">
        <f t="shared" ref="P737:Q737" si="1487">J737/H737</f>
        <v>2.4366706875753919E-2</v>
      </c>
      <c r="Q737" s="13">
        <f t="shared" si="1487"/>
        <v>2.6448029621793177E-2</v>
      </c>
      <c r="R737" s="13">
        <f t="shared" si="1035"/>
        <v>-2.0813227460392582E-3</v>
      </c>
      <c r="S737" s="13">
        <f t="shared" ref="S737:T737" si="1488">N737/L737</f>
        <v>1.6913319238900635E-2</v>
      </c>
      <c r="T737" s="13">
        <f t="shared" si="1488"/>
        <v>2.4351924587588374E-2</v>
      </c>
      <c r="U737" s="13">
        <f t="shared" si="1037"/>
        <v>-7.4386053486877393E-3</v>
      </c>
      <c r="V737" s="13">
        <f t="shared" si="1038"/>
        <v>9.6270827823327076E-2</v>
      </c>
      <c r="W737" s="13">
        <f t="shared" si="1039"/>
        <v>1.0000000000000009E-2</v>
      </c>
      <c r="X737" s="13">
        <f t="shared" si="1040"/>
        <v>0.11468970934799683</v>
      </c>
      <c r="Y737" s="13">
        <f t="shared" si="1041"/>
        <v>-0.22580645161290325</v>
      </c>
    </row>
    <row r="738" spans="1:25" ht="14.4">
      <c r="A738" s="104" t="s">
        <v>1025</v>
      </c>
      <c r="B738" s="99">
        <v>540673</v>
      </c>
      <c r="C738" s="98" t="s">
        <v>187</v>
      </c>
      <c r="D738" s="102" t="s">
        <v>1026</v>
      </c>
      <c r="E738" s="11">
        <f ca="1">IFERROR(__xludf.DUMMYFUNCTION("GOOGLEFINANCE(""BOM:""&amp;B739,""PRICE"")"),288.45)</f>
        <v>288.45</v>
      </c>
      <c r="F738" s="20">
        <f ca="1">IFERROR(__xludf.DUMMYFUNCTION("GOOGLEFINANCE(""BOM:""&amp;B739,""MARKETCAP"")/10000000"),4075.700085)</f>
        <v>4075.7000849999999</v>
      </c>
      <c r="G738" s="95">
        <f t="shared" ca="1" si="1056"/>
        <v>1.0116256024492731E-4</v>
      </c>
      <c r="H738" s="101">
        <v>11492</v>
      </c>
      <c r="I738" s="101">
        <v>9761</v>
      </c>
      <c r="J738" s="101">
        <v>35</v>
      </c>
      <c r="K738" s="101">
        <v>235</v>
      </c>
      <c r="L738" s="101">
        <v>4185</v>
      </c>
      <c r="M738" s="101">
        <v>3362</v>
      </c>
      <c r="N738" s="101">
        <v>-138</v>
      </c>
      <c r="O738" s="101">
        <v>102</v>
      </c>
      <c r="P738" s="13">
        <f t="shared" ref="P738:Q738" si="1489">J738/H738</f>
        <v>3.0455969369996517E-3</v>
      </c>
      <c r="Q738" s="13">
        <f t="shared" si="1489"/>
        <v>2.4075402110439504E-2</v>
      </c>
      <c r="R738" s="13">
        <f t="shared" si="1035"/>
        <v>-2.1029805173439851E-2</v>
      </c>
      <c r="S738" s="13">
        <f t="shared" ref="S738:T738" si="1490">N738/L738</f>
        <v>-3.2974910394265235E-2</v>
      </c>
      <c r="T738" s="13">
        <f t="shared" si="1490"/>
        <v>3.0339083878643664E-2</v>
      </c>
      <c r="U738" s="13">
        <f t="shared" si="1037"/>
        <v>-6.3313994272908902E-2</v>
      </c>
      <c r="V738" s="13">
        <f t="shared" si="1038"/>
        <v>0.17733838746030117</v>
      </c>
      <c r="W738" s="13">
        <f t="shared" si="1039"/>
        <v>-0.85106382978723405</v>
      </c>
      <c r="X738" s="13">
        <f t="shared" si="1040"/>
        <v>0.24479476502082087</v>
      </c>
      <c r="Y738" s="13">
        <f t="shared" si="1041"/>
        <v>-2.3529411764705883</v>
      </c>
    </row>
    <row r="739" spans="1:25" ht="14.4">
      <c r="A739" s="98" t="s">
        <v>1027</v>
      </c>
      <c r="B739" s="99">
        <v>500214</v>
      </c>
      <c r="C739" s="98" t="s">
        <v>198</v>
      </c>
      <c r="D739" s="70" t="s">
        <v>856</v>
      </c>
      <c r="E739" s="11">
        <f ca="1">IFERROR(__xludf.DUMMYFUNCTION("GOOGLEFINANCE(""BOM:""&amp;B740,""PRICE"")"),343.5)</f>
        <v>343.5</v>
      </c>
      <c r="F739" s="20">
        <f ca="1">IFERROR(__xludf.DUMMYFUNCTION("GOOGLEFINANCE(""BOM:""&amp;B740,""MARKETCAP"")/10000000"),4220.815359)</f>
        <v>4220.8153590000002</v>
      </c>
      <c r="G739" s="95">
        <f t="shared" ca="1" si="1056"/>
        <v>1.047644525192172E-4</v>
      </c>
      <c r="H739" s="101">
        <v>2051</v>
      </c>
      <c r="I739" s="101">
        <v>1902</v>
      </c>
      <c r="J739" s="101">
        <v>118</v>
      </c>
      <c r="K739" s="101">
        <v>145</v>
      </c>
      <c r="L739" s="101">
        <v>734</v>
      </c>
      <c r="M739" s="101">
        <v>690</v>
      </c>
      <c r="N739" s="101">
        <v>20</v>
      </c>
      <c r="O739" s="101">
        <v>49</v>
      </c>
      <c r="P739" s="13">
        <f t="shared" ref="P739:Q739" si="1491">J739/H739</f>
        <v>5.7532910775231594E-2</v>
      </c>
      <c r="Q739" s="13">
        <f t="shared" si="1491"/>
        <v>7.6235541535226076E-2</v>
      </c>
      <c r="R739" s="13">
        <f t="shared" si="1035"/>
        <v>-1.8702630759994482E-2</v>
      </c>
      <c r="S739" s="13">
        <f t="shared" ref="S739:T739" si="1492">N739/L739</f>
        <v>2.7247956403269755E-2</v>
      </c>
      <c r="T739" s="13">
        <f t="shared" si="1492"/>
        <v>7.101449275362319E-2</v>
      </c>
      <c r="U739" s="13">
        <f t="shared" si="1037"/>
        <v>-4.3766536350353435E-2</v>
      </c>
      <c r="V739" s="13">
        <f t="shared" si="1038"/>
        <v>7.8338590956887444E-2</v>
      </c>
      <c r="W739" s="13">
        <f t="shared" si="1039"/>
        <v>-0.18620689655172418</v>
      </c>
      <c r="X739" s="13">
        <f t="shared" si="1040"/>
        <v>6.3768115942028913E-2</v>
      </c>
      <c r="Y739" s="13">
        <f t="shared" si="1041"/>
        <v>-0.59183673469387754</v>
      </c>
    </row>
    <row r="740" spans="1:25" ht="14.4">
      <c r="A740" s="98" t="s">
        <v>1028</v>
      </c>
      <c r="B740" s="99">
        <v>532189</v>
      </c>
      <c r="C740" s="98" t="s">
        <v>187</v>
      </c>
      <c r="D740" s="100" t="s">
        <v>78</v>
      </c>
      <c r="E740" s="11">
        <f ca="1">IFERROR(__xludf.DUMMYFUNCTION("GOOGLEFINANCE(""BOM:""&amp;B741,""PRICE"")"),409.5)</f>
        <v>409.5</v>
      </c>
      <c r="F740" s="20">
        <f ca="1">IFERROR(__xludf.DUMMYFUNCTION("GOOGLEFINANCE(""BOM:""&amp;B741,""MARKETCAP"")/10000000"),3504.5369191)</f>
        <v>3504.5369191</v>
      </c>
      <c r="G740" s="95">
        <f t="shared" ca="1" si="1056"/>
        <v>8.6985774177499541E-5</v>
      </c>
      <c r="H740" s="101">
        <v>391</v>
      </c>
      <c r="I740" s="101">
        <v>387</v>
      </c>
      <c r="J740" s="101">
        <v>54</v>
      </c>
      <c r="K740" s="101">
        <v>56</v>
      </c>
      <c r="L740" s="101">
        <v>184</v>
      </c>
      <c r="M740" s="101">
        <v>149</v>
      </c>
      <c r="N740" s="101">
        <v>28</v>
      </c>
      <c r="O740" s="101">
        <v>20</v>
      </c>
      <c r="P740" s="13">
        <f t="shared" ref="P740:Q740" si="1493">J740/H740</f>
        <v>0.13810741687979539</v>
      </c>
      <c r="Q740" s="13">
        <f t="shared" si="1493"/>
        <v>0.14470284237726097</v>
      </c>
      <c r="R740" s="13">
        <f t="shared" si="1035"/>
        <v>-6.5954254974655846E-3</v>
      </c>
      <c r="S740" s="13">
        <f t="shared" ref="S740:T740" si="1494">N740/L740</f>
        <v>0.15217391304347827</v>
      </c>
      <c r="T740" s="13">
        <f t="shared" si="1494"/>
        <v>0.13422818791946309</v>
      </c>
      <c r="U740" s="13">
        <f t="shared" si="1037"/>
        <v>1.7945725124015183E-2</v>
      </c>
      <c r="V740" s="13">
        <f t="shared" si="1038"/>
        <v>1.0335917312661591E-2</v>
      </c>
      <c r="W740" s="13">
        <f t="shared" si="1039"/>
        <v>-3.5714285714285698E-2</v>
      </c>
      <c r="X740" s="13">
        <f t="shared" si="1040"/>
        <v>0.2348993288590604</v>
      </c>
      <c r="Y740" s="13">
        <f t="shared" si="1041"/>
        <v>0.39999999999999991</v>
      </c>
    </row>
    <row r="741" spans="1:25" ht="14.4">
      <c r="A741" s="98" t="s">
        <v>1029</v>
      </c>
      <c r="B741" s="99">
        <v>500171</v>
      </c>
      <c r="C741" s="98" t="s">
        <v>196</v>
      </c>
      <c r="D741" s="70" t="s">
        <v>346</v>
      </c>
      <c r="E741" s="11">
        <f ca="1">IFERROR(__xludf.DUMMYFUNCTION("GOOGLEFINANCE(""BOM:""&amp;B742,""PRICE"")"),451.05)</f>
        <v>451.05</v>
      </c>
      <c r="F741" s="20">
        <f ca="1">IFERROR(__xludf.DUMMYFUNCTION("GOOGLEFINANCE(""BOM:""&amp;B742,""MARKETCAP"")/10000000"),4148.0591112)</f>
        <v>4148.0591112000002</v>
      </c>
      <c r="G741" s="95">
        <f t="shared" ca="1" si="1056"/>
        <v>1.0295857668248659E-4</v>
      </c>
      <c r="H741" s="101">
        <v>2274</v>
      </c>
      <c r="I741" s="101">
        <v>2402</v>
      </c>
      <c r="J741" s="101">
        <v>357</v>
      </c>
      <c r="K741" s="101">
        <v>474</v>
      </c>
      <c r="L741" s="101">
        <v>757</v>
      </c>
      <c r="M741" s="101">
        <v>779</v>
      </c>
      <c r="N741" s="101">
        <v>106</v>
      </c>
      <c r="O741" s="101">
        <v>168</v>
      </c>
      <c r="P741" s="13">
        <f t="shared" ref="P741:Q741" si="1495">J741/H741</f>
        <v>0.15699208443271767</v>
      </c>
      <c r="Q741" s="13">
        <f t="shared" si="1495"/>
        <v>0.19733555370524564</v>
      </c>
      <c r="R741" s="13">
        <f t="shared" si="1035"/>
        <v>-4.0343469272527965E-2</v>
      </c>
      <c r="S741" s="13">
        <f t="shared" ref="S741:T741" si="1496">N741/L741</f>
        <v>0.14002642007926025</v>
      </c>
      <c r="T741" s="13">
        <f t="shared" si="1496"/>
        <v>0.21566110397946084</v>
      </c>
      <c r="U741" s="13">
        <f t="shared" si="1037"/>
        <v>-7.5634683900200589E-2</v>
      </c>
      <c r="V741" s="13">
        <f t="shared" si="1038"/>
        <v>-5.328892589508738E-2</v>
      </c>
      <c r="W741" s="13">
        <f t="shared" si="1039"/>
        <v>-0.24683544303797467</v>
      </c>
      <c r="X741" s="13">
        <f t="shared" si="1040"/>
        <v>-2.8241335044929428E-2</v>
      </c>
      <c r="Y741" s="13">
        <f t="shared" si="1041"/>
        <v>-0.36904761904761907</v>
      </c>
    </row>
    <row r="742" spans="1:25" ht="14.4">
      <c r="A742" s="98" t="s">
        <v>1030</v>
      </c>
      <c r="B742" s="99">
        <v>533122</v>
      </c>
      <c r="C742" s="98" t="s">
        <v>198</v>
      </c>
      <c r="D742" s="100" t="s">
        <v>199</v>
      </c>
      <c r="E742" s="11">
        <f ca="1">IFERROR(__xludf.DUMMYFUNCTION("GOOGLEFINANCE(""BOM:""&amp;B743,""PRICE"")"),8.29)</f>
        <v>8.2899999999999991</v>
      </c>
      <c r="F742" s="20">
        <f ca="1">IFERROR(__xludf.DUMMYFUNCTION("GOOGLEFINANCE(""BOM:""&amp;B743,""MARKETCAP"")/10000000"),4441.0640655)</f>
        <v>4441.0640654999997</v>
      </c>
      <c r="G742" s="95">
        <f t="shared" ca="1" si="1056"/>
        <v>1.1023122450329304E-4</v>
      </c>
      <c r="H742" s="101">
        <v>2204</v>
      </c>
      <c r="I742" s="101">
        <v>2348</v>
      </c>
      <c r="J742" s="101">
        <v>10</v>
      </c>
      <c r="K742" s="101">
        <v>96</v>
      </c>
      <c r="L742" s="101">
        <v>728</v>
      </c>
      <c r="M742" s="101">
        <v>733</v>
      </c>
      <c r="N742" s="101">
        <v>54</v>
      </c>
      <c r="O742" s="101">
        <v>4</v>
      </c>
      <c r="P742" s="13">
        <f t="shared" ref="P742:Q742" si="1497">J742/H742</f>
        <v>4.5372050816696917E-3</v>
      </c>
      <c r="Q742" s="13">
        <f t="shared" si="1497"/>
        <v>4.0885860306643949E-2</v>
      </c>
      <c r="R742" s="13">
        <f t="shared" si="1035"/>
        <v>-3.6348655224974255E-2</v>
      </c>
      <c r="S742" s="13">
        <f t="shared" ref="S742:T742" si="1498">N742/L742</f>
        <v>7.4175824175824176E-2</v>
      </c>
      <c r="T742" s="13">
        <f t="shared" si="1498"/>
        <v>5.4570259208731242E-3</v>
      </c>
      <c r="U742" s="13">
        <f t="shared" si="1037"/>
        <v>6.8718798254951058E-2</v>
      </c>
      <c r="V742" s="13">
        <f t="shared" si="1038"/>
        <v>-6.1328790459965976E-2</v>
      </c>
      <c r="W742" s="13">
        <f t="shared" si="1039"/>
        <v>-0.89583333333333337</v>
      </c>
      <c r="X742" s="13">
        <f t="shared" si="1040"/>
        <v>-6.8212824010913664E-3</v>
      </c>
      <c r="Y742" s="13">
        <f t="shared" si="1041"/>
        <v>12.5</v>
      </c>
    </row>
    <row r="743" spans="1:25" ht="14.4">
      <c r="A743" s="98" t="s">
        <v>1031</v>
      </c>
      <c r="B743" s="99">
        <v>500407</v>
      </c>
      <c r="C743" s="98" t="s">
        <v>180</v>
      </c>
      <c r="D743" s="100" t="s">
        <v>264</v>
      </c>
      <c r="E743" s="11">
        <f ca="1">IFERROR(__xludf.DUMMYFUNCTION("GOOGLEFINANCE(""BOM:""&amp;B744,""PRICE"")"),3630)</f>
        <v>3630</v>
      </c>
      <c r="F743" s="20">
        <f ca="1">IFERROR(__xludf.DUMMYFUNCTION("GOOGLEFINANCE(""BOM:""&amp;B744,""MARKETCAP"")/10000000"),4412.829152)</f>
        <v>4412.8291520000002</v>
      </c>
      <c r="G743" s="95">
        <f t="shared" ca="1" si="1056"/>
        <v>1.0953040842792325E-4</v>
      </c>
      <c r="H743" s="101">
        <v>1461</v>
      </c>
      <c r="I743" s="101">
        <v>1227</v>
      </c>
      <c r="J743" s="101">
        <v>141</v>
      </c>
      <c r="K743" s="101">
        <v>120</v>
      </c>
      <c r="L743" s="101">
        <v>476</v>
      </c>
      <c r="M743" s="101">
        <v>349</v>
      </c>
      <c r="N743" s="101">
        <v>42</v>
      </c>
      <c r="O743" s="101">
        <v>31</v>
      </c>
      <c r="P743" s="13">
        <f t="shared" ref="P743:Q743" si="1499">J743/H743</f>
        <v>9.6509240246406572E-2</v>
      </c>
      <c r="Q743" s="13">
        <f t="shared" si="1499"/>
        <v>9.7799511002444994E-2</v>
      </c>
      <c r="R743" s="13">
        <f t="shared" si="1035"/>
        <v>-1.2902707560384225E-3</v>
      </c>
      <c r="S743" s="13">
        <f t="shared" ref="S743:T743" si="1500">N743/L743</f>
        <v>8.8235294117647065E-2</v>
      </c>
      <c r="T743" s="13">
        <f t="shared" si="1500"/>
        <v>8.882521489971347E-2</v>
      </c>
      <c r="U743" s="13">
        <f t="shared" si="1037"/>
        <v>-5.8992078206640541E-4</v>
      </c>
      <c r="V743" s="13">
        <f t="shared" si="1038"/>
        <v>0.19070904645476783</v>
      </c>
      <c r="W743" s="13">
        <f t="shared" si="1039"/>
        <v>0.17500000000000004</v>
      </c>
      <c r="X743" s="13">
        <f t="shared" si="1040"/>
        <v>0.36389684813753576</v>
      </c>
      <c r="Y743" s="13">
        <f t="shared" si="1041"/>
        <v>0.35483870967741926</v>
      </c>
    </row>
    <row r="744" spans="1:25" ht="14.4">
      <c r="A744" s="98" t="s">
        <v>1032</v>
      </c>
      <c r="B744" s="99">
        <v>538730</v>
      </c>
      <c r="C744" s="98" t="s">
        <v>187</v>
      </c>
      <c r="D744" s="100" t="s">
        <v>1033</v>
      </c>
      <c r="E744" s="11">
        <f ca="1">IFERROR(__xludf.DUMMYFUNCTION("GOOGLEFINANCE(""BOM:""&amp;B745,""PRICE"")"),287.95)</f>
        <v>287.95</v>
      </c>
      <c r="F744" s="20">
        <f ca="1">IFERROR(__xludf.DUMMYFUNCTION("GOOGLEFINANCE(""BOM:""&amp;B745,""MARKETCAP"")/10000000"),4052.98817)</f>
        <v>4052.9881700000001</v>
      </c>
      <c r="G744" s="95">
        <f t="shared" ca="1" si="1056"/>
        <v>1.0059882998471481E-4</v>
      </c>
      <c r="H744" s="101">
        <v>9591</v>
      </c>
      <c r="I744" s="101">
        <v>9052</v>
      </c>
      <c r="J744" s="101">
        <v>105</v>
      </c>
      <c r="K744" s="101">
        <v>161</v>
      </c>
      <c r="L744" s="101">
        <v>3172</v>
      </c>
      <c r="M744" s="101">
        <v>3124</v>
      </c>
      <c r="N744" s="101">
        <v>37</v>
      </c>
      <c r="O744" s="101">
        <v>45</v>
      </c>
      <c r="P744" s="13">
        <f t="shared" ref="P744:Q744" si="1501">J744/H744</f>
        <v>1.0947763528307789E-2</v>
      </c>
      <c r="Q744" s="13">
        <f t="shared" si="1501"/>
        <v>1.7786124613345118E-2</v>
      </c>
      <c r="R744" s="13">
        <f t="shared" si="1035"/>
        <v>-6.838361085037329E-3</v>
      </c>
      <c r="S744" s="13">
        <f t="shared" ref="S744:T744" si="1502">N744/L744</f>
        <v>1.1664564943253467E-2</v>
      </c>
      <c r="T744" s="13">
        <f t="shared" si="1502"/>
        <v>1.4404609475032011E-2</v>
      </c>
      <c r="U744" s="13">
        <f t="shared" si="1037"/>
        <v>-2.7400445317785436E-3</v>
      </c>
      <c r="V744" s="13">
        <f t="shared" si="1038"/>
        <v>5.9544851966416346E-2</v>
      </c>
      <c r="W744" s="13">
        <f t="shared" si="1039"/>
        <v>-0.34782608695652173</v>
      </c>
      <c r="X744" s="13">
        <f t="shared" si="1040"/>
        <v>1.5364916773367376E-2</v>
      </c>
      <c r="Y744" s="13">
        <f t="shared" si="1041"/>
        <v>-0.17777777777777781</v>
      </c>
    </row>
    <row r="745" spans="1:25" ht="14.4">
      <c r="A745" s="104" t="s">
        <v>1034</v>
      </c>
      <c r="B745" s="99">
        <v>500128</v>
      </c>
      <c r="C745" s="98" t="s">
        <v>180</v>
      </c>
      <c r="D745" s="100" t="s">
        <v>384</v>
      </c>
      <c r="E745" s="11">
        <f ca="1">IFERROR(__xludf.DUMMYFUNCTION("GOOGLEFINANCE(""BOM:""&amp;B746,""PRICE"")"),78.63)</f>
        <v>78.63</v>
      </c>
      <c r="F745" s="20">
        <f ca="1">IFERROR(__xludf.DUMMYFUNCTION("GOOGLEFINANCE(""BOM:""&amp;B746,""MARKETCAP"")/10000000"),4858.3117591)</f>
        <v>4858.3117591</v>
      </c>
      <c r="G745" s="95">
        <f t="shared" ca="1" si="1056"/>
        <v>1.2058768941988834E-4</v>
      </c>
      <c r="H745" s="101">
        <v>4425</v>
      </c>
      <c r="I745" s="101">
        <v>5619</v>
      </c>
      <c r="J745" s="101">
        <v>145</v>
      </c>
      <c r="K745" s="101">
        <v>541</v>
      </c>
      <c r="L745" s="101">
        <v>1471</v>
      </c>
      <c r="M745" s="101">
        <v>1779</v>
      </c>
      <c r="N745" s="101">
        <v>-21</v>
      </c>
      <c r="O745" s="101">
        <v>160</v>
      </c>
      <c r="P745" s="13">
        <f t="shared" ref="P745:Q745" si="1503">J745/H745</f>
        <v>3.2768361581920903E-2</v>
      </c>
      <c r="Q745" s="13">
        <f t="shared" si="1503"/>
        <v>9.6280476953194513E-2</v>
      </c>
      <c r="R745" s="13">
        <f t="shared" si="1035"/>
        <v>-6.3512115371273603E-2</v>
      </c>
      <c r="S745" s="13">
        <f t="shared" ref="S745:T745" si="1504">N745/L745</f>
        <v>-1.4276002719238613E-2</v>
      </c>
      <c r="T745" s="13">
        <f t="shared" si="1504"/>
        <v>8.9938167509836991E-2</v>
      </c>
      <c r="U745" s="13">
        <f t="shared" si="1037"/>
        <v>-0.1042141702290756</v>
      </c>
      <c r="V745" s="13">
        <f t="shared" si="1038"/>
        <v>-0.21249332621462891</v>
      </c>
      <c r="W745" s="13">
        <f t="shared" si="1039"/>
        <v>-0.73197781885397406</v>
      </c>
      <c r="X745" s="13">
        <f t="shared" si="1040"/>
        <v>-0.17313097245643616</v>
      </c>
      <c r="Y745" s="13">
        <f t="shared" si="1041"/>
        <v>-1.1312500000000001</v>
      </c>
    </row>
    <row r="746" spans="1:25" ht="14.4">
      <c r="A746" s="104" t="s">
        <v>1035</v>
      </c>
      <c r="B746" s="99">
        <v>543249</v>
      </c>
      <c r="C746" s="98" t="s">
        <v>187</v>
      </c>
      <c r="D746" s="100" t="s">
        <v>131</v>
      </c>
      <c r="E746" s="11">
        <f ca="1">IFERROR(__xludf.DUMMYFUNCTION("GOOGLEFINANCE(""BOM:""&amp;B747,""PRICE"")"),116.85)</f>
        <v>116.85</v>
      </c>
      <c r="F746" s="20">
        <f ca="1">IFERROR(__xludf.DUMMYFUNCTION("GOOGLEFINANCE(""BOM:""&amp;B747,""MARKETCAP"")/10000000"),3438.1670543)</f>
        <v>3438.1670543</v>
      </c>
      <c r="G746" s="95">
        <f t="shared" ca="1" si="1056"/>
        <v>8.5338414139652776E-5</v>
      </c>
      <c r="H746" s="101">
        <v>121</v>
      </c>
      <c r="I746" s="101">
        <v>21</v>
      </c>
      <c r="J746" s="101">
        <v>17</v>
      </c>
      <c r="K746" s="101">
        <v>-126</v>
      </c>
      <c r="L746" s="101">
        <v>38</v>
      </c>
      <c r="M746" s="101">
        <v>9</v>
      </c>
      <c r="N746" s="101">
        <v>-21</v>
      </c>
      <c r="O746" s="101">
        <v>-28</v>
      </c>
      <c r="P746" s="13">
        <f t="shared" ref="P746:Q746" si="1505">J746/H746</f>
        <v>0.14049586776859505</v>
      </c>
      <c r="Q746" s="13">
        <f t="shared" si="1505"/>
        <v>-6</v>
      </c>
      <c r="R746" s="13">
        <f t="shared" si="1035"/>
        <v>6.1404958677685952</v>
      </c>
      <c r="S746" s="13">
        <f t="shared" ref="S746:T746" si="1506">N746/L746</f>
        <v>-0.55263157894736847</v>
      </c>
      <c r="T746" s="13">
        <f t="shared" si="1506"/>
        <v>-3.1111111111111112</v>
      </c>
      <c r="U746" s="13">
        <f t="shared" si="1037"/>
        <v>2.5584795321637426</v>
      </c>
      <c r="V746" s="13">
        <f t="shared" si="1038"/>
        <v>4.7619047619047619</v>
      </c>
      <c r="W746" s="13">
        <f t="shared" si="1039"/>
        <v>-1.1349206349206349</v>
      </c>
      <c r="X746" s="13">
        <f t="shared" si="1040"/>
        <v>3.2222222222222223</v>
      </c>
      <c r="Y746" s="13">
        <f t="shared" si="1041"/>
        <v>-0.25</v>
      </c>
    </row>
    <row r="747" spans="1:25" ht="14.4">
      <c r="A747" s="98" t="s">
        <v>1036</v>
      </c>
      <c r="B747" s="99">
        <v>500031</v>
      </c>
      <c r="C747" s="98" t="s">
        <v>187</v>
      </c>
      <c r="D747" s="100" t="s">
        <v>93</v>
      </c>
      <c r="E747" s="11">
        <f ca="1">IFERROR(__xludf.DUMMYFUNCTION("GOOGLEFINANCE(""BOM:""&amp;B748,""PRICE"")"),351)</f>
        <v>351</v>
      </c>
      <c r="F747" s="20">
        <f ca="1">IFERROR(__xludf.DUMMYFUNCTION("GOOGLEFINANCE(""BOM:""&amp;B748,""MARKETCAP"")/10000000"),4062.3294526)</f>
        <v>4062.3294526</v>
      </c>
      <c r="G747" s="95">
        <f t="shared" ca="1" si="1056"/>
        <v>1.0083068906268408E-4</v>
      </c>
      <c r="H747" s="101">
        <v>3210</v>
      </c>
      <c r="I747" s="101">
        <v>5553</v>
      </c>
      <c r="J747" s="101">
        <v>-23</v>
      </c>
      <c r="K747" s="101">
        <v>74</v>
      </c>
      <c r="L747" s="101">
        <v>1048</v>
      </c>
      <c r="M747" s="101">
        <v>1286</v>
      </c>
      <c r="N747" s="101">
        <v>-34</v>
      </c>
      <c r="O747" s="101">
        <v>33</v>
      </c>
      <c r="P747" s="13">
        <f t="shared" ref="P747:Q747" si="1507">J747/H747</f>
        <v>-7.1651090342679125E-3</v>
      </c>
      <c r="Q747" s="13">
        <f t="shared" si="1507"/>
        <v>1.3326130019809113E-2</v>
      </c>
      <c r="R747" s="13">
        <f t="shared" si="1035"/>
        <v>-2.0491239054077025E-2</v>
      </c>
      <c r="S747" s="13">
        <f t="shared" ref="S747:T747" si="1508">N747/L747</f>
        <v>-3.2442748091603052E-2</v>
      </c>
      <c r="T747" s="13">
        <f t="shared" si="1508"/>
        <v>2.5660964230171075E-2</v>
      </c>
      <c r="U747" s="13">
        <f t="shared" si="1037"/>
        <v>-5.8103712321774123E-2</v>
      </c>
      <c r="V747" s="13">
        <f t="shared" si="1038"/>
        <v>-0.42193408968125334</v>
      </c>
      <c r="W747" s="13">
        <f t="shared" si="1039"/>
        <v>-1.3108108108108107</v>
      </c>
      <c r="X747" s="13">
        <f t="shared" si="1040"/>
        <v>-0.18506998444790046</v>
      </c>
      <c r="Y747" s="13">
        <f t="shared" si="1041"/>
        <v>-2.0303030303030303</v>
      </c>
    </row>
    <row r="748" spans="1:25" ht="14.4">
      <c r="A748" s="98" t="s">
        <v>1037</v>
      </c>
      <c r="B748" s="99">
        <v>533169</v>
      </c>
      <c r="C748" s="98" t="s">
        <v>180</v>
      </c>
      <c r="D748" s="100" t="s">
        <v>181</v>
      </c>
      <c r="E748" s="11">
        <f ca="1">IFERROR(__xludf.DUMMYFUNCTION("GOOGLEFINANCE(""BOM:""&amp;B749,""PRICE"")"),89.02)</f>
        <v>89.02</v>
      </c>
      <c r="F748" s="20">
        <f ca="1">IFERROR(__xludf.DUMMYFUNCTION("GOOGLEFINANCE(""BOM:""&amp;B749,""MARKETCAP"")/10000000"),3598.4900421)</f>
        <v>3598.4900421000002</v>
      </c>
      <c r="G748" s="95">
        <f t="shared" ca="1" si="1056"/>
        <v>8.9317775617121323E-5</v>
      </c>
      <c r="H748" s="101">
        <v>484</v>
      </c>
      <c r="I748" s="101">
        <v>814</v>
      </c>
      <c r="J748" s="101">
        <v>169</v>
      </c>
      <c r="K748" s="101">
        <v>215</v>
      </c>
      <c r="L748" s="101">
        <v>153</v>
      </c>
      <c r="M748" s="101">
        <v>242</v>
      </c>
      <c r="N748" s="101">
        <v>51</v>
      </c>
      <c r="O748" s="101">
        <v>84</v>
      </c>
      <c r="P748" s="13">
        <f t="shared" ref="P748:Q748" si="1509">J748/H748</f>
        <v>0.34917355371900827</v>
      </c>
      <c r="Q748" s="13">
        <f t="shared" si="1509"/>
        <v>0.26412776412776412</v>
      </c>
      <c r="R748" s="13">
        <f t="shared" si="1035"/>
        <v>8.5045789591244147E-2</v>
      </c>
      <c r="S748" s="13">
        <f t="shared" ref="S748:T748" si="1510">N748/L748</f>
        <v>0.33333333333333331</v>
      </c>
      <c r="T748" s="13">
        <f t="shared" si="1510"/>
        <v>0.34710743801652894</v>
      </c>
      <c r="U748" s="13">
        <f t="shared" si="1037"/>
        <v>-1.377410468319562E-2</v>
      </c>
      <c r="V748" s="13">
        <f t="shared" si="1038"/>
        <v>-0.40540540540540537</v>
      </c>
      <c r="W748" s="13">
        <f t="shared" si="1039"/>
        <v>-0.21395348837209305</v>
      </c>
      <c r="X748" s="13">
        <f t="shared" si="1040"/>
        <v>-0.36776859504132231</v>
      </c>
      <c r="Y748" s="13">
        <f t="shared" si="1041"/>
        <v>-0.3928571428571429</v>
      </c>
    </row>
    <row r="749" spans="1:25" ht="14.4">
      <c r="A749" s="104" t="s">
        <v>1038</v>
      </c>
      <c r="B749" s="99">
        <v>505255</v>
      </c>
      <c r="C749" s="98" t="s">
        <v>180</v>
      </c>
      <c r="D749" s="108" t="s">
        <v>514</v>
      </c>
      <c r="E749" s="11">
        <f ca="1">IFERROR(__xludf.DUMMYFUNCTION("GOOGLEFINANCE(""BOM:""&amp;B750,""PRICE"")"),865.85)</f>
        <v>865.85</v>
      </c>
      <c r="F749" s="20">
        <f ca="1">IFERROR(__xludf.DUMMYFUNCTION("GOOGLEFINANCE(""BOM:""&amp;B750,""MARKETCAP"")/10000000"),3890.3729229)</f>
        <v>3890.3729229</v>
      </c>
      <c r="G749" s="95">
        <f t="shared" ca="1" si="1056"/>
        <v>9.6562572559385267E-5</v>
      </c>
      <c r="H749" s="101">
        <v>2580</v>
      </c>
      <c r="I749" s="101">
        <v>2392</v>
      </c>
      <c r="J749" s="101">
        <v>41</v>
      </c>
      <c r="K749" s="101">
        <v>77</v>
      </c>
      <c r="L749" s="101">
        <v>883</v>
      </c>
      <c r="M749" s="101">
        <v>801</v>
      </c>
      <c r="N749" s="101">
        <v>-9</v>
      </c>
      <c r="O749" s="101">
        <v>40</v>
      </c>
      <c r="P749" s="13">
        <f t="shared" ref="P749:Q749" si="1511">J749/H749</f>
        <v>1.5891472868217054E-2</v>
      </c>
      <c r="Q749" s="13">
        <f t="shared" si="1511"/>
        <v>3.2190635451505016E-2</v>
      </c>
      <c r="R749" s="13">
        <f t="shared" si="1035"/>
        <v>-1.6299162583287962E-2</v>
      </c>
      <c r="S749" s="13">
        <f t="shared" ref="S749:T749" si="1512">N749/L749</f>
        <v>-1.0192525481313703E-2</v>
      </c>
      <c r="T749" s="13">
        <f t="shared" si="1512"/>
        <v>4.9937578027465665E-2</v>
      </c>
      <c r="U749" s="13">
        <f t="shared" si="1037"/>
        <v>-6.013010350877937E-2</v>
      </c>
      <c r="V749" s="13">
        <f t="shared" si="1038"/>
        <v>7.8595317725752567E-2</v>
      </c>
      <c r="W749" s="13">
        <f t="shared" si="1039"/>
        <v>-0.46753246753246758</v>
      </c>
      <c r="X749" s="13">
        <f t="shared" si="1040"/>
        <v>0.10237203495630465</v>
      </c>
      <c r="Y749" s="13">
        <f t="shared" si="1041"/>
        <v>-1.2250000000000001</v>
      </c>
    </row>
    <row r="750" spans="1:25" ht="14.4">
      <c r="A750" s="104" t="s">
        <v>1039</v>
      </c>
      <c r="B750" s="99">
        <v>532872</v>
      </c>
      <c r="C750" s="98" t="s">
        <v>190</v>
      </c>
      <c r="D750" s="100" t="s">
        <v>100</v>
      </c>
      <c r="E750" s="11">
        <f ca="1">IFERROR(__xludf.DUMMYFUNCTION("GOOGLEFINANCE(""BOM:""&amp;B751,""PRICE"")"),121.95)</f>
        <v>121.95</v>
      </c>
      <c r="F750" s="20">
        <f ca="1">IFERROR(__xludf.DUMMYFUNCTION("GOOGLEFINANCE(""BOM:""&amp;B751,""MARKETCAP"")/10000000"),3946.7238482)</f>
        <v>3946.7238481999998</v>
      </c>
      <c r="G750" s="95">
        <f t="shared" ca="1" si="1056"/>
        <v>9.7961253462452408E-5</v>
      </c>
      <c r="H750" s="101">
        <v>25</v>
      </c>
      <c r="I750" s="101">
        <v>44</v>
      </c>
      <c r="J750" s="101">
        <v>-208</v>
      </c>
      <c r="K750" s="101">
        <v>-282</v>
      </c>
      <c r="L750" s="101">
        <v>8</v>
      </c>
      <c r="M750" s="101">
        <v>14</v>
      </c>
      <c r="N750" s="101">
        <v>-80</v>
      </c>
      <c r="O750" s="101">
        <v>-79</v>
      </c>
      <c r="P750" s="13">
        <f t="shared" ref="P750:Q750" si="1513">J750/H750</f>
        <v>-8.32</v>
      </c>
      <c r="Q750" s="13">
        <f t="shared" si="1513"/>
        <v>-6.4090909090909092</v>
      </c>
      <c r="R750" s="13">
        <f t="shared" si="1035"/>
        <v>-1.9109090909090911</v>
      </c>
      <c r="S750" s="13">
        <f t="shared" ref="S750:T750" si="1514">N750/L750</f>
        <v>-10</v>
      </c>
      <c r="T750" s="13">
        <f t="shared" si="1514"/>
        <v>-5.6428571428571432</v>
      </c>
      <c r="U750" s="13">
        <f t="shared" si="1037"/>
        <v>-4.3571428571428568</v>
      </c>
      <c r="V750" s="13">
        <f t="shared" si="1038"/>
        <v>-0.43181818181818177</v>
      </c>
      <c r="W750" s="13">
        <f t="shared" si="1039"/>
        <v>-0.26241134751773054</v>
      </c>
      <c r="X750" s="13">
        <f t="shared" si="1040"/>
        <v>-0.4285714285714286</v>
      </c>
      <c r="Y750" s="13">
        <f t="shared" si="1041"/>
        <v>1.2658227848101333E-2</v>
      </c>
    </row>
    <row r="751" spans="1:25" ht="14.4">
      <c r="A751" s="98" t="s">
        <v>1040</v>
      </c>
      <c r="B751" s="99">
        <v>531500</v>
      </c>
      <c r="C751" s="98" t="s">
        <v>187</v>
      </c>
      <c r="D751" s="102" t="s">
        <v>70</v>
      </c>
      <c r="E751" s="11">
        <f ca="1">IFERROR(__xludf.DUMMYFUNCTION("GOOGLEFINANCE(""BOM:""&amp;B752,""PRICE"")"),91.78)</f>
        <v>91.78</v>
      </c>
      <c r="F751" s="20">
        <f ca="1">IFERROR(__xludf.DUMMYFUNCTION("GOOGLEFINANCE(""BOM:""&amp;B752,""MARKETCAP"")/10000000"),2705.7617055)</f>
        <v>2705.7617055000001</v>
      </c>
      <c r="G751" s="95">
        <f t="shared" ca="1" si="1056"/>
        <v>6.7159451341489233E-5</v>
      </c>
      <c r="H751" s="101">
        <v>541884</v>
      </c>
      <c r="I751" s="101">
        <v>223613</v>
      </c>
      <c r="J751" s="101">
        <v>165</v>
      </c>
      <c r="K751" s="101">
        <v>92</v>
      </c>
      <c r="L751" s="101">
        <v>234937</v>
      </c>
      <c r="M751" s="101">
        <v>96496</v>
      </c>
      <c r="N751" s="101">
        <v>71</v>
      </c>
      <c r="O751" s="101">
        <v>35</v>
      </c>
      <c r="P751" s="13">
        <f t="shared" ref="P751:Q751" si="1515">J751/H751</f>
        <v>3.0449321256947984E-4</v>
      </c>
      <c r="Q751" s="13">
        <f t="shared" si="1515"/>
        <v>4.1142509603645585E-4</v>
      </c>
      <c r="R751" s="13">
        <f t="shared" si="1035"/>
        <v>-1.06931883466976E-4</v>
      </c>
      <c r="S751" s="13">
        <f t="shared" ref="S751:T751" si="1516">N751/L751</f>
        <v>3.0220867721985045E-4</v>
      </c>
      <c r="T751" s="13">
        <f t="shared" si="1516"/>
        <v>3.6270933510197315E-4</v>
      </c>
      <c r="U751" s="13">
        <f t="shared" si="1037"/>
        <v>-6.0500657882122701E-5</v>
      </c>
      <c r="V751" s="13">
        <f t="shared" si="1038"/>
        <v>1.4233117037023786</v>
      </c>
      <c r="W751" s="13">
        <f t="shared" si="1039"/>
        <v>0.79347826086956519</v>
      </c>
      <c r="X751" s="13">
        <f t="shared" si="1040"/>
        <v>1.4346812303100647</v>
      </c>
      <c r="Y751" s="13">
        <f t="shared" si="1041"/>
        <v>1.0285714285714285</v>
      </c>
    </row>
    <row r="752" spans="1:25" ht="14.4">
      <c r="A752" s="98" t="s">
        <v>1041</v>
      </c>
      <c r="B752" s="99">
        <v>500150</v>
      </c>
      <c r="C752" s="98" t="s">
        <v>196</v>
      </c>
      <c r="D752" s="100" t="s">
        <v>251</v>
      </c>
      <c r="E752" s="11">
        <f ca="1">IFERROR(__xludf.DUMMYFUNCTION("GOOGLEFINANCE(""BOM:""&amp;B753,""PRICE"")"),4621.3)</f>
        <v>4621.3</v>
      </c>
      <c r="F752" s="20">
        <f ca="1">IFERROR(__xludf.DUMMYFUNCTION("GOOGLEFINANCE(""BOM:""&amp;B753,""MARKETCAP"")/10000000"),3466.1589836)</f>
        <v>3466.1589835999998</v>
      </c>
      <c r="G752" s="95">
        <f t="shared" ca="1" si="1056"/>
        <v>8.6033199127538603E-5</v>
      </c>
      <c r="H752" s="101">
        <v>643</v>
      </c>
      <c r="I752" s="101">
        <v>525</v>
      </c>
      <c r="J752" s="101">
        <v>75</v>
      </c>
      <c r="K752" s="101">
        <v>73</v>
      </c>
      <c r="L752" s="101">
        <v>187</v>
      </c>
      <c r="M752" s="101">
        <v>136</v>
      </c>
      <c r="N752" s="101">
        <v>15</v>
      </c>
      <c r="O752" s="101">
        <v>19</v>
      </c>
      <c r="P752" s="13">
        <f t="shared" ref="P752:Q752" si="1517">J752/H752</f>
        <v>0.1166407465007776</v>
      </c>
      <c r="Q752" s="13">
        <f t="shared" si="1517"/>
        <v>0.13904761904761906</v>
      </c>
      <c r="R752" s="13">
        <f t="shared" si="1035"/>
        <v>-2.2406872546841455E-2</v>
      </c>
      <c r="S752" s="13">
        <f t="shared" ref="S752:T752" si="1518">N752/L752</f>
        <v>8.0213903743315509E-2</v>
      </c>
      <c r="T752" s="13">
        <f t="shared" si="1518"/>
        <v>0.13970588235294118</v>
      </c>
      <c r="U752" s="13">
        <f t="shared" si="1037"/>
        <v>-5.949197860962567E-2</v>
      </c>
      <c r="V752" s="13">
        <f t="shared" si="1038"/>
        <v>0.22476190476190472</v>
      </c>
      <c r="W752" s="13">
        <f t="shared" si="1039"/>
        <v>2.7397260273972712E-2</v>
      </c>
      <c r="X752" s="13">
        <f t="shared" si="1040"/>
        <v>0.375</v>
      </c>
      <c r="Y752" s="13">
        <f t="shared" si="1041"/>
        <v>-0.21052631578947367</v>
      </c>
    </row>
    <row r="753" spans="1:25" ht="14.4">
      <c r="A753" s="98" t="s">
        <v>1042</v>
      </c>
      <c r="B753" s="99">
        <v>506854</v>
      </c>
      <c r="C753" s="98" t="s">
        <v>196</v>
      </c>
      <c r="D753" s="70" t="s">
        <v>346</v>
      </c>
      <c r="E753" s="11">
        <f ca="1">IFERROR(__xludf.DUMMYFUNCTION("GOOGLEFINANCE(""BOM:""&amp;B754,""PRICE"")"),2010.2)</f>
        <v>2010.2</v>
      </c>
      <c r="F753" s="20">
        <f ca="1">IFERROR(__xludf.DUMMYFUNCTION("GOOGLEFINANCE(""BOM:""&amp;B754,""MARKETCAP"")/10000000"),4010.3468923)</f>
        <v>4010.3468923</v>
      </c>
      <c r="G753" s="95">
        <f t="shared" ca="1" si="1056"/>
        <v>9.9540434927599875E-5</v>
      </c>
      <c r="H753" s="101">
        <v>517</v>
      </c>
      <c r="I753" s="101">
        <v>385</v>
      </c>
      <c r="J753" s="101">
        <v>52</v>
      </c>
      <c r="K753" s="101">
        <v>65</v>
      </c>
      <c r="L753" s="101">
        <v>173</v>
      </c>
      <c r="M753" s="101">
        <v>178</v>
      </c>
      <c r="N753" s="101">
        <v>15</v>
      </c>
      <c r="O753" s="101">
        <v>34</v>
      </c>
      <c r="P753" s="13">
        <f t="shared" ref="P753:Q753" si="1519">J753/H753</f>
        <v>0.10058027079303675</v>
      </c>
      <c r="Q753" s="13">
        <f t="shared" si="1519"/>
        <v>0.16883116883116883</v>
      </c>
      <c r="R753" s="13">
        <f t="shared" si="1035"/>
        <v>-6.8250898038132085E-2</v>
      </c>
      <c r="S753" s="13">
        <f t="shared" ref="S753:T753" si="1520">N753/L753</f>
        <v>8.6705202312138727E-2</v>
      </c>
      <c r="T753" s="13">
        <f t="shared" si="1520"/>
        <v>0.19101123595505617</v>
      </c>
      <c r="U753" s="13">
        <f t="shared" si="1037"/>
        <v>-0.10430603364291745</v>
      </c>
      <c r="V753" s="13">
        <f t="shared" si="1038"/>
        <v>0.34285714285714275</v>
      </c>
      <c r="W753" s="13">
        <f t="shared" si="1039"/>
        <v>-0.19999999999999996</v>
      </c>
      <c r="X753" s="13">
        <f t="shared" si="1040"/>
        <v>-2.8089887640449396E-2</v>
      </c>
      <c r="Y753" s="13">
        <f t="shared" si="1041"/>
        <v>-0.55882352941176472</v>
      </c>
    </row>
    <row r="754" spans="1:25" ht="14.4">
      <c r="A754" s="98" t="s">
        <v>1043</v>
      </c>
      <c r="B754" s="99">
        <v>533326</v>
      </c>
      <c r="C754" s="98" t="s">
        <v>180</v>
      </c>
      <c r="D754" s="108" t="s">
        <v>514</v>
      </c>
      <c r="E754" s="11">
        <f ca="1">IFERROR(__xludf.DUMMYFUNCTION("GOOGLEFINANCE(""BOM:""&amp;B755,""PRICE"")"),89.95)</f>
        <v>89.95</v>
      </c>
      <c r="F754" s="20">
        <f ca="1">IFERROR(__xludf.DUMMYFUNCTION("GOOGLEFINANCE(""BOM:""&amp;B755,""MARKETCAP"")/10000000"),3656.4913732)</f>
        <v>3656.4913732</v>
      </c>
      <c r="G754" s="95">
        <f t="shared" ca="1" si="1056"/>
        <v>9.0757421083990767E-5</v>
      </c>
      <c r="H754" s="101">
        <v>3210</v>
      </c>
      <c r="I754" s="101">
        <v>3760</v>
      </c>
      <c r="J754" s="101">
        <v>135</v>
      </c>
      <c r="K754" s="101">
        <v>209</v>
      </c>
      <c r="L754" s="101">
        <v>1041</v>
      </c>
      <c r="M754" s="101">
        <v>1326</v>
      </c>
      <c r="N754" s="101">
        <v>42</v>
      </c>
      <c r="O754" s="101">
        <v>76</v>
      </c>
      <c r="P754" s="13">
        <f t="shared" ref="P754:Q754" si="1521">J754/H754</f>
        <v>4.2056074766355138E-2</v>
      </c>
      <c r="Q754" s="13">
        <f t="shared" si="1521"/>
        <v>5.558510638297872E-2</v>
      </c>
      <c r="R754" s="13">
        <f t="shared" si="1035"/>
        <v>-1.3529031616623582E-2</v>
      </c>
      <c r="S754" s="13">
        <f t="shared" ref="S754:T754" si="1522">N754/L754</f>
        <v>4.0345821325648415E-2</v>
      </c>
      <c r="T754" s="13">
        <f t="shared" si="1522"/>
        <v>5.7315233785822019E-2</v>
      </c>
      <c r="U754" s="13">
        <f t="shared" si="1037"/>
        <v>-1.6969412460173604E-2</v>
      </c>
      <c r="V754" s="13">
        <f t="shared" si="1038"/>
        <v>-0.14627659574468088</v>
      </c>
      <c r="W754" s="13">
        <f t="shared" si="1039"/>
        <v>-0.35406698564593297</v>
      </c>
      <c r="X754" s="13">
        <f t="shared" si="1040"/>
        <v>-0.21493212669683259</v>
      </c>
      <c r="Y754" s="13">
        <f t="shared" si="1041"/>
        <v>-0.44736842105263153</v>
      </c>
    </row>
    <row r="755" spans="1:25" ht="14.4">
      <c r="A755" s="98" t="s">
        <v>1044</v>
      </c>
      <c r="B755" s="99">
        <v>544260</v>
      </c>
      <c r="C755" s="98" t="s">
        <v>172</v>
      </c>
      <c r="D755" s="100" t="s">
        <v>178</v>
      </c>
      <c r="E755" s="11">
        <f ca="1">IFERROR(__xludf.DUMMYFUNCTION("GOOGLEFINANCE(""BOM:""&amp;B756,""PRICE"")"),225.3)</f>
        <v>225.3</v>
      </c>
      <c r="F755" s="20">
        <f ca="1">IFERROR(__xludf.DUMMYFUNCTION("GOOGLEFINANCE(""BOM:""&amp;B756,""MARKETCAP"")/10000000"),3638.178687)</f>
        <v>3638.1786870000001</v>
      </c>
      <c r="G755" s="95">
        <f t="shared" ca="1" si="1056"/>
        <v>9.0302883659175825E-5</v>
      </c>
      <c r="H755" s="101">
        <v>1960</v>
      </c>
      <c r="I755" s="101">
        <v>1749</v>
      </c>
      <c r="J755" s="101">
        <v>270</v>
      </c>
      <c r="K755" s="101">
        <v>262</v>
      </c>
      <c r="L755" s="101">
        <v>724</v>
      </c>
      <c r="M755" s="101">
        <v>580</v>
      </c>
      <c r="N755" s="101">
        <v>101</v>
      </c>
      <c r="O755" s="101">
        <v>73</v>
      </c>
      <c r="P755" s="13">
        <f t="shared" ref="P755:Q755" si="1523">J755/H755</f>
        <v>0.13775510204081631</v>
      </c>
      <c r="Q755" s="13">
        <f t="shared" si="1523"/>
        <v>0.14979988564894225</v>
      </c>
      <c r="R755" s="13">
        <f t="shared" si="1035"/>
        <v>-1.2044783608125942E-2</v>
      </c>
      <c r="S755" s="13">
        <f t="shared" ref="S755:T755" si="1524">N755/L755</f>
        <v>0.13950276243093923</v>
      </c>
      <c r="T755" s="13">
        <f t="shared" si="1524"/>
        <v>0.12586206896551724</v>
      </c>
      <c r="U755" s="13">
        <f t="shared" si="1037"/>
        <v>1.3640693465421988E-2</v>
      </c>
      <c r="V755" s="13">
        <f t="shared" si="1038"/>
        <v>0.12064036592338478</v>
      </c>
      <c r="W755" s="13">
        <f t="shared" si="1039"/>
        <v>3.0534351145038219E-2</v>
      </c>
      <c r="X755" s="13">
        <f t="shared" si="1040"/>
        <v>0.24827586206896557</v>
      </c>
      <c r="Y755" s="13">
        <f t="shared" si="1041"/>
        <v>0.38356164383561642</v>
      </c>
    </row>
    <row r="756" spans="1:25" ht="14.4">
      <c r="A756" s="98" t="s">
        <v>1045</v>
      </c>
      <c r="B756" s="99">
        <v>532856</v>
      </c>
      <c r="C756" s="98" t="s">
        <v>180</v>
      </c>
      <c r="D756" s="100" t="s">
        <v>420</v>
      </c>
      <c r="E756" s="11">
        <f ca="1">IFERROR(__xludf.DUMMYFUNCTION("GOOGLEFINANCE(""BOM:""&amp;B757,""PRICE"")"),170.4)</f>
        <v>170.4</v>
      </c>
      <c r="F756" s="20">
        <f ca="1">IFERROR(__xludf.DUMMYFUNCTION("GOOGLEFINANCE(""BOM:""&amp;B757,""MARKETCAP"")/10000000"),3862.8366536)</f>
        <v>3862.8366535999999</v>
      </c>
      <c r="G756" s="95">
        <f t="shared" ca="1" si="1056"/>
        <v>9.5879097464582799E-5</v>
      </c>
      <c r="H756" s="101">
        <v>4428</v>
      </c>
      <c r="I756" s="101">
        <v>3988</v>
      </c>
      <c r="J756" s="101">
        <v>342</v>
      </c>
      <c r="K756" s="101">
        <v>282</v>
      </c>
      <c r="L756" s="101">
        <v>1564</v>
      </c>
      <c r="M756" s="101">
        <v>1387</v>
      </c>
      <c r="N756" s="101">
        <v>128</v>
      </c>
      <c r="O756" s="101">
        <v>102</v>
      </c>
      <c r="P756" s="13">
        <f t="shared" ref="P756:Q756" si="1525">J756/H756</f>
        <v>7.7235772357723581E-2</v>
      </c>
      <c r="Q756" s="13">
        <f t="shared" si="1525"/>
        <v>7.0712136409227688E-2</v>
      </c>
      <c r="R756" s="13">
        <f t="shared" si="1035"/>
        <v>6.5236359484958928E-3</v>
      </c>
      <c r="S756" s="13">
        <f t="shared" ref="S756:T756" si="1526">N756/L756</f>
        <v>8.1841432225063945E-2</v>
      </c>
      <c r="T756" s="13">
        <f t="shared" si="1526"/>
        <v>7.3540014419610666E-2</v>
      </c>
      <c r="U756" s="13">
        <f t="shared" si="1037"/>
        <v>8.3014178054532789E-3</v>
      </c>
      <c r="V756" s="13">
        <f t="shared" si="1038"/>
        <v>0.11033099297893689</v>
      </c>
      <c r="W756" s="13">
        <f t="shared" si="1039"/>
        <v>0.2127659574468086</v>
      </c>
      <c r="X756" s="13">
        <f t="shared" si="1040"/>
        <v>0.12761355443403022</v>
      </c>
      <c r="Y756" s="13">
        <f t="shared" si="1041"/>
        <v>0.25490196078431371</v>
      </c>
    </row>
    <row r="757" spans="1:25" ht="14.4">
      <c r="A757" s="104" t="s">
        <v>1046</v>
      </c>
      <c r="B757" s="99">
        <v>543242</v>
      </c>
      <c r="C757" s="98" t="s">
        <v>206</v>
      </c>
      <c r="D757" s="70" t="s">
        <v>657</v>
      </c>
      <c r="E757" s="11">
        <f ca="1">IFERROR(__xludf.DUMMYFUNCTION("GOOGLEFINANCE(""BOM:""&amp;B758,""PRICE"")"),119.9)</f>
        <v>119.9</v>
      </c>
      <c r="F757" s="20">
        <f ca="1">IFERROR(__xludf.DUMMYFUNCTION("GOOGLEFINANCE(""BOM:""&amp;B758,""MARKETCAP"")/10000000"),3412.0200347)</f>
        <v>3412.0200347</v>
      </c>
      <c r="G757" s="95">
        <f t="shared" ca="1" si="1056"/>
        <v>8.4689421478184576E-5</v>
      </c>
      <c r="H757" s="101">
        <v>4</v>
      </c>
      <c r="I757" s="101">
        <v>5</v>
      </c>
      <c r="J757" s="101">
        <v>-9</v>
      </c>
      <c r="K757" s="101">
        <v>-6</v>
      </c>
      <c r="L757" s="101">
        <v>1</v>
      </c>
      <c r="M757" s="101">
        <v>1</v>
      </c>
      <c r="N757" s="101">
        <v>-3</v>
      </c>
      <c r="O757" s="101">
        <v>-2</v>
      </c>
      <c r="P757" s="13">
        <f t="shared" ref="P757:Q757" si="1527">J757/H757</f>
        <v>-2.25</v>
      </c>
      <c r="Q757" s="13">
        <f t="shared" si="1527"/>
        <v>-1.2</v>
      </c>
      <c r="R757" s="13">
        <f t="shared" si="1035"/>
        <v>-1.05</v>
      </c>
      <c r="S757" s="13">
        <f t="shared" ref="S757:T757" si="1528">N757/L757</f>
        <v>-3</v>
      </c>
      <c r="T757" s="13">
        <f t="shared" si="1528"/>
        <v>-2</v>
      </c>
      <c r="U757" s="13">
        <f t="shared" si="1037"/>
        <v>-1</v>
      </c>
      <c r="V757" s="13">
        <f t="shared" si="1038"/>
        <v>-0.19999999999999996</v>
      </c>
      <c r="W757" s="13">
        <f t="shared" si="1039"/>
        <v>0.5</v>
      </c>
      <c r="X757" s="13">
        <f t="shared" si="1040"/>
        <v>0</v>
      </c>
      <c r="Y757" s="13">
        <f t="shared" si="1041"/>
        <v>0.5</v>
      </c>
    </row>
    <row r="758" spans="1:25" ht="14.4">
      <c r="A758" s="98" t="s">
        <v>1047</v>
      </c>
      <c r="B758" s="99">
        <v>544209</v>
      </c>
      <c r="C758" s="98" t="s">
        <v>180</v>
      </c>
      <c r="D758" s="102" t="s">
        <v>384</v>
      </c>
      <c r="E758" s="11">
        <f ca="1">IFERROR(__xludf.DUMMYFUNCTION("GOOGLEFINANCE(""BOM:""&amp;B759,""PRICE"")"),252.8)</f>
        <v>252.8</v>
      </c>
      <c r="F758" s="20">
        <f ca="1">IFERROR(__xludf.DUMMYFUNCTION("GOOGLEFINANCE(""BOM:""&amp;B759,""MARKETCAP"")/10000000"),3956.9503725)</f>
        <v>3956.9503725</v>
      </c>
      <c r="G758" s="95">
        <f t="shared" ca="1" si="1056"/>
        <v>9.8215085039609531E-5</v>
      </c>
      <c r="H758" s="101">
        <v>3023</v>
      </c>
      <c r="I758" s="101">
        <v>2566</v>
      </c>
      <c r="J758" s="101">
        <v>120</v>
      </c>
      <c r="K758" s="101">
        <v>113</v>
      </c>
      <c r="L758" s="101">
        <v>1029</v>
      </c>
      <c r="M758" s="101">
        <v>924</v>
      </c>
      <c r="N758" s="101">
        <v>43</v>
      </c>
      <c r="O758" s="101">
        <v>41</v>
      </c>
      <c r="P758" s="13">
        <f t="shared" ref="P758:Q758" si="1529">J758/H758</f>
        <v>3.9695666556400923E-2</v>
      </c>
      <c r="Q758" s="13">
        <f t="shared" si="1529"/>
        <v>4.4037412314886983E-2</v>
      </c>
      <c r="R758" s="13">
        <f t="shared" si="1035"/>
        <v>-4.3417457584860597E-3</v>
      </c>
      <c r="S758" s="13">
        <f t="shared" ref="S758:T758" si="1530">N758/L758</f>
        <v>4.1788143828960157E-2</v>
      </c>
      <c r="T758" s="13">
        <f t="shared" si="1530"/>
        <v>4.4372294372294376E-2</v>
      </c>
      <c r="U758" s="13">
        <f t="shared" si="1037"/>
        <v>-2.5841505433342182E-3</v>
      </c>
      <c r="V758" s="13">
        <f t="shared" si="1038"/>
        <v>0.17809820732657844</v>
      </c>
      <c r="W758" s="13">
        <f t="shared" si="1039"/>
        <v>6.1946902654867353E-2</v>
      </c>
      <c r="X758" s="13">
        <f t="shared" si="1040"/>
        <v>0.11363636363636354</v>
      </c>
      <c r="Y758" s="13">
        <f t="shared" si="1041"/>
        <v>4.8780487804878092E-2</v>
      </c>
    </row>
    <row r="759" spans="1:25" ht="14.4">
      <c r="A759" s="104" t="s">
        <v>1048</v>
      </c>
      <c r="B759" s="99">
        <v>517544</v>
      </c>
      <c r="C759" s="98" t="s">
        <v>180</v>
      </c>
      <c r="D759" s="108" t="s">
        <v>514</v>
      </c>
      <c r="E759" s="11">
        <f ca="1">IFERROR(__xludf.DUMMYFUNCTION("GOOGLEFINANCE(""BOM:""&amp;B760,""PRICE"")"),2786.6)</f>
        <v>2786.6</v>
      </c>
      <c r="F759" s="20">
        <f ca="1">IFERROR(__xludf.DUMMYFUNCTION("GOOGLEFINANCE(""BOM:""&amp;B760,""MARKETCAP"")/10000000"),4114.207518)</f>
        <v>4114.2075180000002</v>
      </c>
      <c r="G759" s="95">
        <f t="shared" ca="1" si="1056"/>
        <v>1.0211834953989453E-4</v>
      </c>
      <c r="H759" s="101">
        <v>8519</v>
      </c>
      <c r="I759" s="101">
        <v>7372</v>
      </c>
      <c r="J759" s="101">
        <v>-53</v>
      </c>
      <c r="K759" s="101">
        <v>-23</v>
      </c>
      <c r="L759" s="101">
        <v>232</v>
      </c>
      <c r="M759" s="101">
        <v>267</v>
      </c>
      <c r="N759" s="101">
        <v>-61</v>
      </c>
      <c r="O759" s="101">
        <v>-19</v>
      </c>
      <c r="P759" s="13">
        <f t="shared" ref="P759:Q759" si="1531">J759/H759</f>
        <v>-6.2213874867942248E-3</v>
      </c>
      <c r="Q759" s="13">
        <f t="shared" si="1531"/>
        <v>-3.1199131850244166E-3</v>
      </c>
      <c r="R759" s="13">
        <f t="shared" si="1035"/>
        <v>-3.1014743017698083E-3</v>
      </c>
      <c r="S759" s="13">
        <f t="shared" ref="S759:T759" si="1532">N759/L759</f>
        <v>-0.26293103448275862</v>
      </c>
      <c r="T759" s="13">
        <f t="shared" si="1532"/>
        <v>-7.116104868913857E-2</v>
      </c>
      <c r="U759" s="13">
        <f t="shared" si="1037"/>
        <v>-0.19176998579362003</v>
      </c>
      <c r="V759" s="13">
        <f t="shared" si="1038"/>
        <v>0.1555887140531742</v>
      </c>
      <c r="W759" s="13">
        <f t="shared" si="1039"/>
        <v>1.3043478260869565</v>
      </c>
      <c r="X759" s="13">
        <f t="shared" si="1040"/>
        <v>-0.13108614232209737</v>
      </c>
      <c r="Y759" s="13">
        <f t="shared" si="1041"/>
        <v>2.2105263157894739</v>
      </c>
    </row>
    <row r="760" spans="1:25" ht="14.4">
      <c r="A760" s="98" t="s">
        <v>1049</v>
      </c>
      <c r="B760" s="99">
        <v>538562</v>
      </c>
      <c r="C760" s="98" t="s">
        <v>180</v>
      </c>
      <c r="D760" s="70" t="s">
        <v>275</v>
      </c>
      <c r="E760" s="11">
        <f ca="1">IFERROR(__xludf.DUMMYFUNCTION("GOOGLEFINANCE(""BOM:""&amp;B761,""PRICE"")"),357.7)</f>
        <v>357.7</v>
      </c>
      <c r="F760" s="20">
        <f ca="1">IFERROR(__xludf.DUMMYFUNCTION("GOOGLEFINANCE(""BOM:""&amp;B761,""MARKETCAP"")/10000000"),4043.7163081)</f>
        <v>4043.7163080999999</v>
      </c>
      <c r="G760" s="95">
        <f t="shared" ca="1" si="1056"/>
        <v>1.0036869399127077E-4</v>
      </c>
      <c r="H760" s="101">
        <v>3886</v>
      </c>
      <c r="I760" s="101">
        <v>3336</v>
      </c>
      <c r="J760" s="101">
        <v>135</v>
      </c>
      <c r="K760" s="101">
        <v>101</v>
      </c>
      <c r="L760" s="101">
        <v>1370</v>
      </c>
      <c r="M760" s="101">
        <v>1135</v>
      </c>
      <c r="N760" s="101">
        <v>52</v>
      </c>
      <c r="O760" s="101">
        <v>36</v>
      </c>
      <c r="P760" s="13">
        <f t="shared" ref="P760:Q760" si="1533">J760/H760</f>
        <v>3.4740092640247043E-2</v>
      </c>
      <c r="Q760" s="13">
        <f t="shared" si="1533"/>
        <v>3.02757793764988E-2</v>
      </c>
      <c r="R760" s="13">
        <f t="shared" si="1035"/>
        <v>4.464313263748243E-3</v>
      </c>
      <c r="S760" s="13">
        <f t="shared" ref="S760:T760" si="1534">N760/L760</f>
        <v>3.7956204379562042E-2</v>
      </c>
      <c r="T760" s="13">
        <f t="shared" si="1534"/>
        <v>3.1718061674008813E-2</v>
      </c>
      <c r="U760" s="13">
        <f t="shared" si="1037"/>
        <v>6.238142705553229E-3</v>
      </c>
      <c r="V760" s="13">
        <f t="shared" si="1038"/>
        <v>0.16486810551558762</v>
      </c>
      <c r="W760" s="13">
        <f t="shared" si="1039"/>
        <v>0.33663366336633671</v>
      </c>
      <c r="X760" s="13">
        <f t="shared" si="1040"/>
        <v>0.20704845814977979</v>
      </c>
      <c r="Y760" s="13">
        <f t="shared" si="1041"/>
        <v>0.44444444444444442</v>
      </c>
    </row>
    <row r="761" spans="1:25" ht="14.4">
      <c r="A761" s="98" t="s">
        <v>1050</v>
      </c>
      <c r="B761" s="99">
        <v>543273</v>
      </c>
      <c r="C761" s="98" t="s">
        <v>206</v>
      </c>
      <c r="D761" s="100" t="s">
        <v>1051</v>
      </c>
      <c r="E761" s="11">
        <f ca="1">IFERROR(__xludf.DUMMYFUNCTION("GOOGLEFINANCE(""BOM:""&amp;B762,""PRICE"")"),1621.7)</f>
        <v>1621.7</v>
      </c>
      <c r="F761" s="20">
        <f ca="1">IFERROR(__xludf.DUMMYFUNCTION("GOOGLEFINANCE(""BOM:""&amp;B762,""MARKETCAP"")/10000000"),3969.9662213)</f>
        <v>3969.9662213000001</v>
      </c>
      <c r="G761" s="95">
        <f t="shared" ca="1" si="1056"/>
        <v>9.8538150172202308E-5</v>
      </c>
      <c r="H761" s="101">
        <v>90</v>
      </c>
      <c r="I761" s="101">
        <v>50</v>
      </c>
      <c r="J761" s="101">
        <v>32</v>
      </c>
      <c r="K761" s="101">
        <v>11</v>
      </c>
      <c r="L761" s="101">
        <v>82</v>
      </c>
      <c r="M761" s="101">
        <v>42</v>
      </c>
      <c r="N761" s="101">
        <v>30</v>
      </c>
      <c r="O761" s="101">
        <v>10</v>
      </c>
      <c r="P761" s="13">
        <f t="shared" ref="P761:Q761" si="1535">J761/H761</f>
        <v>0.35555555555555557</v>
      </c>
      <c r="Q761" s="13">
        <f t="shared" si="1535"/>
        <v>0.22</v>
      </c>
      <c r="R761" s="13">
        <f t="shared" si="1035"/>
        <v>0.13555555555555557</v>
      </c>
      <c r="S761" s="13">
        <f t="shared" ref="S761:T761" si="1536">N761/L761</f>
        <v>0.36585365853658536</v>
      </c>
      <c r="T761" s="13">
        <f t="shared" si="1536"/>
        <v>0.23809523809523808</v>
      </c>
      <c r="U761" s="13">
        <f t="shared" si="1037"/>
        <v>0.12775842044134728</v>
      </c>
      <c r="V761" s="13">
        <f t="shared" si="1038"/>
        <v>0.8</v>
      </c>
      <c r="W761" s="13">
        <f t="shared" si="1039"/>
        <v>1.9090909090909092</v>
      </c>
      <c r="X761" s="13">
        <f t="shared" si="1040"/>
        <v>0.95238095238095233</v>
      </c>
      <c r="Y761" s="13">
        <f t="shared" si="1041"/>
        <v>2</v>
      </c>
    </row>
    <row r="762" spans="1:25" ht="14.4">
      <c r="A762" s="104" t="s">
        <v>1052</v>
      </c>
      <c r="B762" s="99">
        <v>540768</v>
      </c>
      <c r="C762" s="98" t="s">
        <v>206</v>
      </c>
      <c r="D762" s="70" t="s">
        <v>476</v>
      </c>
      <c r="E762" s="11">
        <f ca="1">IFERROR(__xludf.DUMMYFUNCTION("GOOGLEFINANCE(""BOM:""&amp;B763,""PRICE"")"),352.7)</f>
        <v>352.7</v>
      </c>
      <c r="F762" s="20">
        <f ca="1">IFERROR(__xludf.DUMMYFUNCTION("GOOGLEFINANCE(""BOM:""&amp;B763,""MARKETCAP"")/10000000"),3489.1580969)</f>
        <v>3489.1580969000001</v>
      </c>
      <c r="G762" s="95">
        <f t="shared" ca="1" si="1056"/>
        <v>8.6604057909163399E-5</v>
      </c>
      <c r="H762" s="101">
        <v>5207</v>
      </c>
      <c r="I762" s="101">
        <v>4535</v>
      </c>
      <c r="J762" s="101">
        <v>-12</v>
      </c>
      <c r="K762" s="101">
        <v>-25</v>
      </c>
      <c r="L762" s="101">
        <v>1898</v>
      </c>
      <c r="M762" s="101">
        <v>1594</v>
      </c>
      <c r="N762" s="101">
        <v>6</v>
      </c>
      <c r="O762" s="101">
        <v>-7</v>
      </c>
      <c r="P762" s="13">
        <f t="shared" ref="P762:Q762" si="1537">J762/H762</f>
        <v>-2.3045899750336087E-3</v>
      </c>
      <c r="Q762" s="13">
        <f t="shared" si="1537"/>
        <v>-5.512679162072767E-3</v>
      </c>
      <c r="R762" s="13">
        <f t="shared" si="1035"/>
        <v>3.2080891870391584E-3</v>
      </c>
      <c r="S762" s="13">
        <f t="shared" ref="S762:T762" si="1538">N762/L762</f>
        <v>3.1612223393045311E-3</v>
      </c>
      <c r="T762" s="13">
        <f t="shared" si="1538"/>
        <v>-4.3914680050188204E-3</v>
      </c>
      <c r="U762" s="13">
        <f t="shared" si="1037"/>
        <v>7.5526903443233519E-3</v>
      </c>
      <c r="V762" s="13">
        <f t="shared" si="1038"/>
        <v>0.14818081587651588</v>
      </c>
      <c r="W762" s="13">
        <f t="shared" si="1039"/>
        <v>-0.52</v>
      </c>
      <c r="X762" s="13">
        <f t="shared" si="1040"/>
        <v>0.1907151819322459</v>
      </c>
      <c r="Y762" s="13">
        <f t="shared" si="1041"/>
        <v>-1.8571428571428572</v>
      </c>
    </row>
    <row r="763" spans="1:25" ht="14.4">
      <c r="A763" s="98" t="s">
        <v>1053</v>
      </c>
      <c r="B763" s="99">
        <v>509966</v>
      </c>
      <c r="C763" s="98" t="s">
        <v>183</v>
      </c>
      <c r="D763" s="70" t="s">
        <v>480</v>
      </c>
      <c r="E763" s="11">
        <f ca="1">IFERROR(__xludf.DUMMYFUNCTION("GOOGLEFINANCE(""BOM:""&amp;B764,""PRICE"")"),212.25)</f>
        <v>212.25</v>
      </c>
      <c r="F763" s="20">
        <f ca="1">IFERROR(__xludf.DUMMYFUNCTION("GOOGLEFINANCE(""BOM:""&amp;B764,""MARKETCAP"")/10000000"),3601.1059605)</f>
        <v>3601.1059605</v>
      </c>
      <c r="G763" s="95">
        <f t="shared" ca="1" si="1056"/>
        <v>8.9382705076408505E-5</v>
      </c>
      <c r="H763" s="101">
        <v>1356</v>
      </c>
      <c r="I763" s="101">
        <v>1355</v>
      </c>
      <c r="J763" s="101">
        <v>175</v>
      </c>
      <c r="K763" s="101">
        <v>237</v>
      </c>
      <c r="L763" s="101">
        <v>491</v>
      </c>
      <c r="M763" s="101">
        <v>470</v>
      </c>
      <c r="N763" s="101">
        <v>60</v>
      </c>
      <c r="O763" s="101">
        <v>136</v>
      </c>
      <c r="P763" s="13">
        <f t="shared" ref="P763:Q763" si="1539">J763/H763</f>
        <v>0.12905604719764011</v>
      </c>
      <c r="Q763" s="13">
        <f t="shared" si="1539"/>
        <v>0.17490774907749077</v>
      </c>
      <c r="R763" s="13">
        <f t="shared" si="1035"/>
        <v>-4.5851701879850659E-2</v>
      </c>
      <c r="S763" s="13">
        <f t="shared" ref="S763:T763" si="1540">N763/L763</f>
        <v>0.12219959266802444</v>
      </c>
      <c r="T763" s="13">
        <f t="shared" si="1540"/>
        <v>0.28936170212765955</v>
      </c>
      <c r="U763" s="13">
        <f t="shared" si="1037"/>
        <v>-0.16716210945963511</v>
      </c>
      <c r="V763" s="13">
        <f t="shared" si="1038"/>
        <v>7.3800738007379074E-4</v>
      </c>
      <c r="W763" s="13">
        <f t="shared" si="1039"/>
        <v>-0.26160337552742619</v>
      </c>
      <c r="X763" s="13">
        <f t="shared" si="1040"/>
        <v>4.4680851063829685E-2</v>
      </c>
      <c r="Y763" s="13">
        <f t="shared" si="1041"/>
        <v>-0.55882352941176472</v>
      </c>
    </row>
    <row r="764" spans="1:25" ht="14.4">
      <c r="A764" s="98" t="s">
        <v>1054</v>
      </c>
      <c r="B764" s="99">
        <v>533151</v>
      </c>
      <c r="C764" s="98" t="s">
        <v>187</v>
      </c>
      <c r="D764" s="100" t="s">
        <v>1055</v>
      </c>
      <c r="E764" s="11">
        <f ca="1">IFERROR(__xludf.DUMMYFUNCTION("GOOGLEFINANCE(""BOM:""&amp;B765,""PRICE"")"),198.25)</f>
        <v>198.25</v>
      </c>
      <c r="F764" s="20">
        <f ca="1">IFERROR(__xludf.DUMMYFUNCTION("GOOGLEFINANCE(""BOM:""&amp;B765,""MARKETCAP"")/10000000"),3545.1326942)</f>
        <v>3545.1326942000001</v>
      </c>
      <c r="G764" s="95">
        <f t="shared" ca="1" si="1056"/>
        <v>8.7993398011097519E-5</v>
      </c>
      <c r="H764" s="101">
        <v>1779</v>
      </c>
      <c r="I764" s="101">
        <v>1791</v>
      </c>
      <c r="J764" s="101">
        <v>269</v>
      </c>
      <c r="K764" s="101">
        <v>318</v>
      </c>
      <c r="L764" s="101">
        <v>605</v>
      </c>
      <c r="M764" s="101">
        <v>642</v>
      </c>
      <c r="N764" s="101">
        <v>95</v>
      </c>
      <c r="O764" s="101">
        <v>118</v>
      </c>
      <c r="P764" s="13">
        <f t="shared" ref="P764:Q764" si="1541">J764/H764</f>
        <v>0.15120854412591345</v>
      </c>
      <c r="Q764" s="13">
        <f t="shared" si="1541"/>
        <v>0.17755443886097153</v>
      </c>
      <c r="R764" s="13">
        <f t="shared" si="1035"/>
        <v>-2.6345894735058079E-2</v>
      </c>
      <c r="S764" s="13">
        <f t="shared" ref="S764:T764" si="1542">N764/L764</f>
        <v>0.15702479338842976</v>
      </c>
      <c r="T764" s="13">
        <f t="shared" si="1542"/>
        <v>0.18380062305295949</v>
      </c>
      <c r="U764" s="13">
        <f t="shared" si="1037"/>
        <v>-2.6775829664529738E-2</v>
      </c>
      <c r="V764" s="13">
        <f t="shared" si="1038"/>
        <v>-6.7001675041875597E-3</v>
      </c>
      <c r="W764" s="13">
        <f t="shared" si="1039"/>
        <v>-0.15408805031446537</v>
      </c>
      <c r="X764" s="13">
        <f t="shared" si="1040"/>
        <v>-5.7632398753894032E-2</v>
      </c>
      <c r="Y764" s="13">
        <f t="shared" si="1041"/>
        <v>-0.19491525423728817</v>
      </c>
    </row>
    <row r="765" spans="1:25" ht="14.4">
      <c r="A765" s="98" t="s">
        <v>1056</v>
      </c>
      <c r="B765" s="99">
        <v>544118</v>
      </c>
      <c r="C765" s="98" t="s">
        <v>172</v>
      </c>
      <c r="D765" s="100" t="s">
        <v>355</v>
      </c>
      <c r="E765" s="11">
        <f ca="1">IFERROR(__xludf.DUMMYFUNCTION("GOOGLEFINANCE(""BOM:""&amp;B766,""PRICE"")"),386.25)</f>
        <v>386.25</v>
      </c>
      <c r="F765" s="20">
        <f ca="1">IFERROR(__xludf.DUMMYFUNCTION("GOOGLEFINANCE(""BOM:""&amp;B766,""MARKETCAP"")/10000000"),4067.6323185)</f>
        <v>4067.6323185000001</v>
      </c>
      <c r="G765" s="95">
        <f t="shared" ca="1" si="1056"/>
        <v>1.0096231098772559E-4</v>
      </c>
      <c r="H765" s="101">
        <v>46972</v>
      </c>
      <c r="I765" s="101">
        <v>40524</v>
      </c>
      <c r="J765" s="101">
        <v>1866</v>
      </c>
      <c r="K765" s="101">
        <v>3779</v>
      </c>
      <c r="L765" s="101">
        <v>13841</v>
      </c>
      <c r="M765" s="101">
        <v>11774</v>
      </c>
      <c r="N765" s="101">
        <v>96</v>
      </c>
      <c r="O765" s="101">
        <v>1106</v>
      </c>
      <c r="P765" s="13">
        <f t="shared" ref="P765:Q765" si="1543">J765/H765</f>
        <v>3.9725794090096231E-2</v>
      </c>
      <c r="Q765" s="13">
        <f t="shared" si="1543"/>
        <v>9.3253380712664105E-2</v>
      </c>
      <c r="R765" s="13">
        <f t="shared" si="1035"/>
        <v>-5.3527586622567874E-2</v>
      </c>
      <c r="S765" s="13">
        <f t="shared" ref="S765:T765" si="1544">N765/L765</f>
        <v>6.9359150350408209E-3</v>
      </c>
      <c r="T765" s="13">
        <f t="shared" si="1544"/>
        <v>9.3935790725326998E-2</v>
      </c>
      <c r="U765" s="13">
        <f t="shared" si="1037"/>
        <v>-8.699987569028618E-2</v>
      </c>
      <c r="V765" s="13">
        <f t="shared" si="1038"/>
        <v>0.15911558582568364</v>
      </c>
      <c r="W765" s="13">
        <f t="shared" si="1039"/>
        <v>-0.50621857634294787</v>
      </c>
      <c r="X765" s="13">
        <f t="shared" si="1040"/>
        <v>0.17555631051469334</v>
      </c>
      <c r="Y765" s="13">
        <f t="shared" si="1041"/>
        <v>-0.91320072332730562</v>
      </c>
    </row>
    <row r="766" spans="1:25" ht="14.4">
      <c r="A766" s="98" t="s">
        <v>1057</v>
      </c>
      <c r="B766" s="99">
        <v>505872</v>
      </c>
      <c r="C766" s="98" t="s">
        <v>180</v>
      </c>
      <c r="D766" s="70" t="s">
        <v>514</v>
      </c>
      <c r="E766" s="11">
        <f ca="1">IFERROR(__xludf.DUMMYFUNCTION("GOOGLEFINANCE(""BOM:""&amp;B767,""PRICE"")"),394.75)</f>
        <v>394.75</v>
      </c>
      <c r="F766" s="20">
        <f ca="1">IFERROR(__xludf.DUMMYFUNCTION("GOOGLEFINANCE(""BOM:""&amp;B767,""MARKETCAP"")/10000000"),3855.5552247)</f>
        <v>3855.5552247000001</v>
      </c>
      <c r="G766" s="95">
        <f t="shared" ca="1" si="1056"/>
        <v>9.5698365817404842E-5</v>
      </c>
      <c r="H766" s="101">
        <v>1343</v>
      </c>
      <c r="I766" s="101">
        <v>1235</v>
      </c>
      <c r="J766" s="101">
        <v>153</v>
      </c>
      <c r="K766" s="101">
        <v>150</v>
      </c>
      <c r="L766" s="101">
        <v>538</v>
      </c>
      <c r="M766" s="101">
        <v>381</v>
      </c>
      <c r="N766" s="101">
        <v>75</v>
      </c>
      <c r="O766" s="101">
        <v>37</v>
      </c>
      <c r="P766" s="13">
        <f t="shared" ref="P766:Q766" si="1545">J766/H766</f>
        <v>0.11392405063291139</v>
      </c>
      <c r="Q766" s="13">
        <f t="shared" si="1545"/>
        <v>0.1214574898785425</v>
      </c>
      <c r="R766" s="13">
        <f t="shared" si="1035"/>
        <v>-7.5334392456311156E-3</v>
      </c>
      <c r="S766" s="13">
        <f t="shared" ref="S766:T766" si="1546">N766/L766</f>
        <v>0.13940520446096655</v>
      </c>
      <c r="T766" s="13">
        <f t="shared" si="1546"/>
        <v>9.711286089238845E-2</v>
      </c>
      <c r="U766" s="13">
        <f t="shared" si="1037"/>
        <v>4.2292343568578097E-2</v>
      </c>
      <c r="V766" s="13">
        <f t="shared" si="1038"/>
        <v>8.7449392712550589E-2</v>
      </c>
      <c r="W766" s="13">
        <f t="shared" si="1039"/>
        <v>2.0000000000000018E-2</v>
      </c>
      <c r="X766" s="13">
        <f t="shared" si="1040"/>
        <v>0.4120734908136483</v>
      </c>
      <c r="Y766" s="13">
        <f t="shared" si="1041"/>
        <v>1.0270270270270272</v>
      </c>
    </row>
    <row r="767" spans="1:25" ht="14.4">
      <c r="A767" s="98" t="s">
        <v>1058</v>
      </c>
      <c r="B767" s="99">
        <v>508486</v>
      </c>
      <c r="C767" s="98" t="s">
        <v>187</v>
      </c>
      <c r="D767" s="100" t="s">
        <v>800</v>
      </c>
      <c r="E767" s="11">
        <f ca="1">IFERROR(__xludf.DUMMYFUNCTION("GOOGLEFINANCE(""BOM:""&amp;B768,""PRICE"")"),7384.9)</f>
        <v>7384.9</v>
      </c>
      <c r="F767" s="20">
        <f ca="1">IFERROR(__xludf.DUMMYFUNCTION("GOOGLEFINANCE(""BOM:""&amp;B768,""MARKETCAP"")/10000000"),3904.9984477)</f>
        <v>3904.9984476999998</v>
      </c>
      <c r="G767" s="95">
        <f t="shared" ca="1" si="1056"/>
        <v>9.6925591305327576E-5</v>
      </c>
      <c r="H767" s="101">
        <v>887</v>
      </c>
      <c r="I767" s="101">
        <v>809</v>
      </c>
      <c r="J767" s="101">
        <v>91</v>
      </c>
      <c r="K767" s="101">
        <v>80</v>
      </c>
      <c r="L767" s="101">
        <v>332</v>
      </c>
      <c r="M767" s="101">
        <v>286</v>
      </c>
      <c r="N767" s="101">
        <v>34</v>
      </c>
      <c r="O767" s="101">
        <v>21</v>
      </c>
      <c r="P767" s="13">
        <f t="shared" ref="P767:Q767" si="1547">J767/H767</f>
        <v>0.10259301014656144</v>
      </c>
      <c r="Q767" s="13">
        <f t="shared" si="1547"/>
        <v>9.8887515451174288E-2</v>
      </c>
      <c r="R767" s="13">
        <f t="shared" si="1035"/>
        <v>3.7054946953871543E-3</v>
      </c>
      <c r="S767" s="13">
        <f t="shared" ref="S767:T767" si="1548">N767/L767</f>
        <v>0.10240963855421686</v>
      </c>
      <c r="T767" s="13">
        <f t="shared" si="1548"/>
        <v>7.3426573426573424E-2</v>
      </c>
      <c r="U767" s="13">
        <f t="shared" si="1037"/>
        <v>2.898306512764344E-2</v>
      </c>
      <c r="V767" s="13">
        <f t="shared" si="1038"/>
        <v>9.6415327564894904E-2</v>
      </c>
      <c r="W767" s="13">
        <f t="shared" si="1039"/>
        <v>0.13749999999999996</v>
      </c>
      <c r="X767" s="13">
        <f t="shared" si="1040"/>
        <v>0.16083916083916083</v>
      </c>
      <c r="Y767" s="13">
        <f t="shared" si="1041"/>
        <v>0.61904761904761907</v>
      </c>
    </row>
    <row r="768" spans="1:25" ht="14.4">
      <c r="A768" s="98" t="s">
        <v>1059</v>
      </c>
      <c r="B768" s="99">
        <v>520057</v>
      </c>
      <c r="C768" s="98" t="s">
        <v>187</v>
      </c>
      <c r="D768" s="100" t="s">
        <v>312</v>
      </c>
      <c r="E768" s="11">
        <f ca="1">IFERROR(__xludf.DUMMYFUNCTION("GOOGLEFINANCE(""BOM:""&amp;B769,""PRICE"")"),125.55)</f>
        <v>125.55</v>
      </c>
      <c r="F768" s="20">
        <f ca="1">IFERROR(__xludf.DUMMYFUNCTION("GOOGLEFINANCE(""BOM:""&amp;B769,""MARKETCAP"")/10000000"),3498.5285177)</f>
        <v>3498.5285177000001</v>
      </c>
      <c r="G768" s="95">
        <f t="shared" ca="1" si="1056"/>
        <v>8.6836640223595472E-5</v>
      </c>
      <c r="H768" s="101">
        <v>1885</v>
      </c>
      <c r="I768" s="101">
        <v>1750</v>
      </c>
      <c r="J768" s="101">
        <v>49</v>
      </c>
      <c r="K768" s="101">
        <v>50</v>
      </c>
      <c r="L768" s="101">
        <v>680</v>
      </c>
      <c r="M768" s="101">
        <v>591</v>
      </c>
      <c r="N768" s="101">
        <v>20</v>
      </c>
      <c r="O768" s="101">
        <v>16</v>
      </c>
      <c r="P768" s="13">
        <f t="shared" ref="P768:Q768" si="1549">J768/H768</f>
        <v>2.59946949602122E-2</v>
      </c>
      <c r="Q768" s="13">
        <f t="shared" si="1549"/>
        <v>2.8571428571428571E-2</v>
      </c>
      <c r="R768" s="13">
        <f t="shared" si="1035"/>
        <v>-2.5767336112163704E-3</v>
      </c>
      <c r="S768" s="13">
        <f t="shared" ref="S768:T768" si="1550">N768/L768</f>
        <v>2.9411764705882353E-2</v>
      </c>
      <c r="T768" s="13">
        <f t="shared" si="1550"/>
        <v>2.7072758037225041E-2</v>
      </c>
      <c r="U768" s="13">
        <f t="shared" si="1037"/>
        <v>2.3390066686573112E-3</v>
      </c>
      <c r="V768" s="13">
        <f t="shared" si="1038"/>
        <v>7.714285714285718E-2</v>
      </c>
      <c r="W768" s="13">
        <f t="shared" si="1039"/>
        <v>-2.0000000000000018E-2</v>
      </c>
      <c r="X768" s="13">
        <f t="shared" si="1040"/>
        <v>0.15059221658206434</v>
      </c>
      <c r="Y768" s="13">
        <f t="shared" si="1041"/>
        <v>0.25</v>
      </c>
    </row>
    <row r="769" spans="1:25" ht="14.4">
      <c r="A769" s="98" t="s">
        <v>1060</v>
      </c>
      <c r="B769" s="99">
        <v>532940</v>
      </c>
      <c r="C769" s="98" t="s">
        <v>180</v>
      </c>
      <c r="D769" s="100" t="s">
        <v>181</v>
      </c>
      <c r="E769" s="11">
        <f ca="1">IFERROR(__xludf.DUMMYFUNCTION("GOOGLEFINANCE(""BOM:""&amp;B770,""PRICE"")"),457.8)</f>
        <v>457.8</v>
      </c>
      <c r="F769" s="20">
        <f ca="1">IFERROR(__xludf.DUMMYFUNCTION("GOOGLEFINANCE(""BOM:""&amp;B770,""MARKETCAP"")/10000000"),3461.3007283)</f>
        <v>3461.3007283000002</v>
      </c>
      <c r="G769" s="95">
        <f t="shared" ca="1" si="1056"/>
        <v>8.5912612839484617E-5</v>
      </c>
      <c r="H769" s="101">
        <v>4137</v>
      </c>
      <c r="I769" s="101">
        <v>4060</v>
      </c>
      <c r="J769" s="101">
        <v>276</v>
      </c>
      <c r="K769" s="101">
        <v>277</v>
      </c>
      <c r="L769" s="101">
        <v>1311</v>
      </c>
      <c r="M769" s="101">
        <v>1486</v>
      </c>
      <c r="N769" s="101">
        <v>82</v>
      </c>
      <c r="O769" s="101">
        <v>99</v>
      </c>
      <c r="P769" s="13">
        <f t="shared" ref="P769:Q769" si="1551">J769/H769</f>
        <v>6.6715010877447425E-2</v>
      </c>
      <c r="Q769" s="13">
        <f t="shared" si="1551"/>
        <v>6.822660098522168E-2</v>
      </c>
      <c r="R769" s="13">
        <f t="shared" ref="R769:R1022" si="1552">P769-Q769</f>
        <v>-1.511590107774255E-3</v>
      </c>
      <c r="S769" s="13">
        <f t="shared" ref="S769:T769" si="1553">N769/L769</f>
        <v>6.2547673531655232E-2</v>
      </c>
      <c r="T769" s="13">
        <f t="shared" si="1553"/>
        <v>6.6621803499327059E-2</v>
      </c>
      <c r="U769" s="13">
        <f t="shared" ref="U769:U1022" si="1554">S769-T769</f>
        <v>-4.0741299676718273E-3</v>
      </c>
      <c r="V769" s="13">
        <f t="shared" ref="V769:V1022" si="1555">(H769/I769)-1</f>
        <v>1.8965517241379404E-2</v>
      </c>
      <c r="W769" s="13">
        <f t="shared" ref="W769:W1022" si="1556">(J769/K769)-1</f>
        <v>-3.6101083032491488E-3</v>
      </c>
      <c r="X769" s="13">
        <f t="shared" ref="X769:X1022" si="1557">(L769/M769)-1</f>
        <v>-0.11776581426648725</v>
      </c>
      <c r="Y769" s="13">
        <f t="shared" ref="Y769:Y1022" si="1558">(N769/O769)-1</f>
        <v>-0.17171717171717171</v>
      </c>
    </row>
    <row r="770" spans="1:25" ht="14.4">
      <c r="A770" s="98" t="s">
        <v>1061</v>
      </c>
      <c r="B770" s="99">
        <v>541301</v>
      </c>
      <c r="C770" s="98" t="s">
        <v>187</v>
      </c>
      <c r="D770" s="70" t="s">
        <v>93</v>
      </c>
      <c r="E770" s="11">
        <f ca="1">IFERROR(__xludf.DUMMYFUNCTION("GOOGLEFINANCE(""BOM:""&amp;B771,""PRICE"")"),161.1)</f>
        <v>161.1</v>
      </c>
      <c r="F770" s="20">
        <f ca="1">IFERROR(__xludf.DUMMYFUNCTION("GOOGLEFINANCE(""BOM:""&amp;B771,""MARKETCAP"")/10000000"),3427.0813754)</f>
        <v>3427.0813754000001</v>
      </c>
      <c r="G770" s="95">
        <f t="shared" ca="1" si="1056"/>
        <v>8.5063257568710645E-5</v>
      </c>
      <c r="H770" s="101">
        <v>2378</v>
      </c>
      <c r="I770" s="101">
        <v>2231</v>
      </c>
      <c r="J770" s="101">
        <v>55</v>
      </c>
      <c r="K770" s="101">
        <v>51</v>
      </c>
      <c r="L770" s="101">
        <v>906</v>
      </c>
      <c r="M770" s="101">
        <v>816</v>
      </c>
      <c r="N770" s="101">
        <v>25</v>
      </c>
      <c r="O770" s="101">
        <v>27</v>
      </c>
      <c r="P770" s="13">
        <f t="shared" ref="P770:Q770" si="1559">J770/H770</f>
        <v>2.3128679562657694E-2</v>
      </c>
      <c r="Q770" s="13">
        <f t="shared" si="1559"/>
        <v>2.2859704168534289E-2</v>
      </c>
      <c r="R770" s="13">
        <f t="shared" si="1552"/>
        <v>2.6897539412340521E-4</v>
      </c>
      <c r="S770" s="13">
        <f t="shared" ref="S770:T770" si="1560">N770/L770</f>
        <v>2.759381898454746E-2</v>
      </c>
      <c r="T770" s="13">
        <f t="shared" si="1560"/>
        <v>3.3088235294117647E-2</v>
      </c>
      <c r="U770" s="13">
        <f t="shared" si="1554"/>
        <v>-5.4944163095701874E-3</v>
      </c>
      <c r="V770" s="13">
        <f t="shared" si="1555"/>
        <v>6.5889735544598871E-2</v>
      </c>
      <c r="W770" s="13">
        <f t="shared" si="1556"/>
        <v>7.8431372549019551E-2</v>
      </c>
      <c r="X770" s="13">
        <f t="shared" si="1557"/>
        <v>0.11029411764705888</v>
      </c>
      <c r="Y770" s="13">
        <f t="shared" si="1558"/>
        <v>-7.407407407407407E-2</v>
      </c>
    </row>
    <row r="771" spans="1:25" ht="14.4">
      <c r="A771" s="98" t="s">
        <v>1062</v>
      </c>
      <c r="B771" s="99">
        <v>532899</v>
      </c>
      <c r="C771" s="98" t="s">
        <v>183</v>
      </c>
      <c r="D771" s="100" t="s">
        <v>664</v>
      </c>
      <c r="E771" s="11">
        <f ca="1">IFERROR(__xludf.DUMMYFUNCTION("GOOGLEFINANCE(""BOM:""&amp;B772,""PRICE"")"),847.9)</f>
        <v>847.9</v>
      </c>
      <c r="F771" s="20">
        <f ca="1">IFERROR(__xludf.DUMMYFUNCTION("GOOGLEFINANCE(""BOM:""&amp;B772,""MARKETCAP"")/10000000"),4300.8237615)</f>
        <v>4300.8237614999998</v>
      </c>
      <c r="G771" s="95">
        <f t="shared" ca="1" si="1056"/>
        <v>1.0675033339102001E-4</v>
      </c>
      <c r="H771" s="101">
        <v>1287</v>
      </c>
      <c r="I771" s="101">
        <v>1114</v>
      </c>
      <c r="J771" s="101">
        <v>323</v>
      </c>
      <c r="K771" s="101">
        <v>305</v>
      </c>
      <c r="L771" s="101">
        <v>210</v>
      </c>
      <c r="M771" s="101">
        <v>174</v>
      </c>
      <c r="N771" s="101">
        <v>12</v>
      </c>
      <c r="O771" s="101">
        <v>14</v>
      </c>
      <c r="P771" s="13">
        <f t="shared" ref="P771:Q771" si="1561">J771/H771</f>
        <v>0.25097125097125095</v>
      </c>
      <c r="Q771" s="13">
        <f t="shared" si="1561"/>
        <v>0.27378815080789948</v>
      </c>
      <c r="R771" s="13">
        <f t="shared" si="1552"/>
        <v>-2.281689983664853E-2</v>
      </c>
      <c r="S771" s="13">
        <f t="shared" ref="S771:T771" si="1562">N771/L771</f>
        <v>5.7142857142857141E-2</v>
      </c>
      <c r="T771" s="13">
        <f t="shared" si="1562"/>
        <v>8.0459770114942528E-2</v>
      </c>
      <c r="U771" s="13">
        <f t="shared" si="1554"/>
        <v>-2.3316912972085387E-2</v>
      </c>
      <c r="V771" s="13">
        <f t="shared" si="1555"/>
        <v>0.15529622980251356</v>
      </c>
      <c r="W771" s="13">
        <f t="shared" si="1556"/>
        <v>5.9016393442622883E-2</v>
      </c>
      <c r="X771" s="13">
        <f t="shared" si="1557"/>
        <v>0.2068965517241379</v>
      </c>
      <c r="Y771" s="13">
        <f t="shared" si="1558"/>
        <v>-0.1428571428571429</v>
      </c>
    </row>
    <row r="772" spans="1:25" ht="14.4">
      <c r="A772" s="98" t="s">
        <v>1063</v>
      </c>
      <c r="B772" s="99">
        <v>544067</v>
      </c>
      <c r="C772" s="98" t="s">
        <v>190</v>
      </c>
      <c r="D772" s="100" t="s">
        <v>100</v>
      </c>
      <c r="E772" s="11">
        <f ca="1">IFERROR(__xludf.DUMMYFUNCTION("GOOGLEFINANCE(""BOM:""&amp;B773,""PRICE"")"),698.2)</f>
        <v>698.2</v>
      </c>
      <c r="F772" s="20">
        <f ca="1">IFERROR(__xludf.DUMMYFUNCTION("GOOGLEFINANCE(""BOM:""&amp;B773,""MARKETCAP"")/10000000"),3988.0048145)</f>
        <v>3988.0048145000001</v>
      </c>
      <c r="G772" s="95">
        <f t="shared" ca="1" si="1056"/>
        <v>9.8985884360997195E-5</v>
      </c>
      <c r="H772" s="101">
        <v>1188</v>
      </c>
      <c r="I772" s="101">
        <v>937</v>
      </c>
      <c r="J772" s="101">
        <v>102</v>
      </c>
      <c r="K772" s="101">
        <v>98</v>
      </c>
      <c r="L772" s="101">
        <v>451</v>
      </c>
      <c r="M772" s="101">
        <v>320</v>
      </c>
      <c r="N772" s="101">
        <v>42</v>
      </c>
      <c r="O772" s="101">
        <v>34</v>
      </c>
      <c r="P772" s="13">
        <f t="shared" ref="P772:Q772" si="1563">J772/H772</f>
        <v>8.5858585858585856E-2</v>
      </c>
      <c r="Q772" s="13">
        <f t="shared" si="1563"/>
        <v>0.10458911419423693</v>
      </c>
      <c r="R772" s="13">
        <f t="shared" si="1552"/>
        <v>-1.8730528335651073E-2</v>
      </c>
      <c r="S772" s="13">
        <f t="shared" ref="S772:T772" si="1564">N772/L772</f>
        <v>9.3126385809312637E-2</v>
      </c>
      <c r="T772" s="13">
        <f t="shared" si="1564"/>
        <v>0.10625</v>
      </c>
      <c r="U772" s="13">
        <f t="shared" si="1554"/>
        <v>-1.312361419068736E-2</v>
      </c>
      <c r="V772" s="13">
        <f t="shared" si="1555"/>
        <v>0.26787620064034146</v>
      </c>
      <c r="W772" s="13">
        <f t="shared" si="1556"/>
        <v>4.081632653061229E-2</v>
      </c>
      <c r="X772" s="13">
        <f t="shared" si="1557"/>
        <v>0.40937500000000004</v>
      </c>
      <c r="Y772" s="13">
        <f t="shared" si="1558"/>
        <v>0.23529411764705888</v>
      </c>
    </row>
    <row r="773" spans="1:25" ht="14.4">
      <c r="A773" s="98" t="s">
        <v>1064</v>
      </c>
      <c r="B773" s="99">
        <v>530655</v>
      </c>
      <c r="C773" s="98" t="s">
        <v>180</v>
      </c>
      <c r="D773" s="70" t="s">
        <v>384</v>
      </c>
      <c r="E773" s="11">
        <f ca="1">IFERROR(__xludf.DUMMYFUNCTION("GOOGLEFINANCE(""BOM:""&amp;B774,""PRICE"")"),1049.55)</f>
        <v>1049.55</v>
      </c>
      <c r="F773" s="20">
        <f ca="1">IFERROR(__xludf.DUMMYFUNCTION("GOOGLEFINANCE(""BOM:""&amp;B774,""MARKETCAP"")/10000000"),3483.2284452)</f>
        <v>3483.2284451999999</v>
      </c>
      <c r="G773" s="95">
        <f t="shared" ca="1" si="1056"/>
        <v>8.6456878593997293E-5</v>
      </c>
      <c r="H773" s="101">
        <v>3011</v>
      </c>
      <c r="I773" s="101">
        <v>2831</v>
      </c>
      <c r="J773" s="101">
        <v>126</v>
      </c>
      <c r="K773" s="101">
        <v>123</v>
      </c>
      <c r="L773" s="101">
        <v>1037</v>
      </c>
      <c r="M773" s="101">
        <v>941</v>
      </c>
      <c r="N773" s="101">
        <v>43</v>
      </c>
      <c r="O773" s="101">
        <v>41</v>
      </c>
      <c r="P773" s="13">
        <f t="shared" ref="P773:Q773" si="1565">J773/H773</f>
        <v>4.1846562603786115E-2</v>
      </c>
      <c r="Q773" s="13">
        <f t="shared" si="1565"/>
        <v>4.344754503708937E-2</v>
      </c>
      <c r="R773" s="13">
        <f t="shared" si="1552"/>
        <v>-1.6009824333032552E-3</v>
      </c>
      <c r="S773" s="13">
        <f t="shared" ref="S773:T773" si="1566">N773/L773</f>
        <v>4.1465766634522665E-2</v>
      </c>
      <c r="T773" s="13">
        <f t="shared" si="1566"/>
        <v>4.3570669500531352E-2</v>
      </c>
      <c r="U773" s="13">
        <f t="shared" si="1554"/>
        <v>-2.1049028660086871E-3</v>
      </c>
      <c r="V773" s="13">
        <f t="shared" si="1555"/>
        <v>6.3581773225008797E-2</v>
      </c>
      <c r="W773" s="13">
        <f t="shared" si="1556"/>
        <v>2.4390243902439046E-2</v>
      </c>
      <c r="X773" s="13">
        <f t="shared" si="1557"/>
        <v>0.10201912858660989</v>
      </c>
      <c r="Y773" s="13">
        <f t="shared" si="1558"/>
        <v>4.8780487804878092E-2</v>
      </c>
    </row>
    <row r="774" spans="1:25" ht="14.4">
      <c r="A774" s="104" t="s">
        <v>1065</v>
      </c>
      <c r="B774" s="99">
        <v>543336</v>
      </c>
      <c r="C774" s="98" t="s">
        <v>196</v>
      </c>
      <c r="D774" s="100" t="s">
        <v>346</v>
      </c>
      <c r="E774" s="11">
        <f ca="1">IFERROR(__xludf.DUMMYFUNCTION("GOOGLEFINANCE(""BOM:""&amp;B775,""PRICE"")"),240.4)</f>
        <v>240.4</v>
      </c>
      <c r="F774" s="20">
        <f ca="1">IFERROR(__xludf.DUMMYFUNCTION("GOOGLEFINANCE(""BOM:""&amp;B775,""MARKETCAP"")/10000000"),3798.5807375)</f>
        <v>3798.5807374999999</v>
      </c>
      <c r="G774" s="95">
        <f t="shared" ca="1" si="1056"/>
        <v>9.4284207544325266E-5</v>
      </c>
      <c r="H774" s="101">
        <v>2968</v>
      </c>
      <c r="I774" s="101">
        <v>3195</v>
      </c>
      <c r="J774" s="101">
        <v>-234</v>
      </c>
      <c r="K774" s="101">
        <v>-56</v>
      </c>
      <c r="L774" s="101">
        <v>835</v>
      </c>
      <c r="M774" s="101">
        <v>1058</v>
      </c>
      <c r="N774" s="101">
        <v>-119</v>
      </c>
      <c r="O774" s="101">
        <v>-49</v>
      </c>
      <c r="P774" s="13">
        <f t="shared" ref="P774:Q774" si="1567">J774/H774</f>
        <v>-7.8840970350404313E-2</v>
      </c>
      <c r="Q774" s="13">
        <f t="shared" si="1567"/>
        <v>-1.7527386541471048E-2</v>
      </c>
      <c r="R774" s="13">
        <f t="shared" si="1552"/>
        <v>-6.1313583808933265E-2</v>
      </c>
      <c r="S774" s="13">
        <f t="shared" ref="S774:T774" si="1568">N774/L774</f>
        <v>-0.14251497005988023</v>
      </c>
      <c r="T774" s="13">
        <f t="shared" si="1568"/>
        <v>-4.6313799621928164E-2</v>
      </c>
      <c r="U774" s="13">
        <f t="shared" si="1554"/>
        <v>-9.6201170437952066E-2</v>
      </c>
      <c r="V774" s="13">
        <f t="shared" si="1555"/>
        <v>-7.1048513302034433E-2</v>
      </c>
      <c r="W774" s="13">
        <f t="shared" si="1556"/>
        <v>3.1785714285714288</v>
      </c>
      <c r="X774" s="13">
        <f t="shared" si="1557"/>
        <v>-0.21077504725897922</v>
      </c>
      <c r="Y774" s="13">
        <f t="shared" si="1558"/>
        <v>1.4285714285714284</v>
      </c>
    </row>
    <row r="775" spans="1:25" ht="14.4">
      <c r="A775" s="98" t="s">
        <v>1066</v>
      </c>
      <c r="B775" s="99">
        <v>526729</v>
      </c>
      <c r="C775" s="98" t="s">
        <v>187</v>
      </c>
      <c r="D775" s="100" t="s">
        <v>70</v>
      </c>
      <c r="E775" s="11">
        <f ca="1">IFERROR(__xludf.DUMMYFUNCTION("GOOGLEFINANCE(""BOM:""&amp;B776,""PRICE"")"),302.2)</f>
        <v>302.2</v>
      </c>
      <c r="F775" s="20">
        <f ca="1">IFERROR(__xludf.DUMMYFUNCTION("GOOGLEFINANCE(""BOM:""&amp;B776,""MARKETCAP"")/10000000"),3412.940505)</f>
        <v>3412.940505</v>
      </c>
      <c r="G775" s="95">
        <f t="shared" ca="1" si="1056"/>
        <v>8.4712268383068507E-5</v>
      </c>
      <c r="H775" s="101">
        <v>742</v>
      </c>
      <c r="I775" s="101">
        <v>582</v>
      </c>
      <c r="J775" s="101">
        <v>133</v>
      </c>
      <c r="K775" s="101">
        <v>93</v>
      </c>
      <c r="L775" s="101">
        <v>319</v>
      </c>
      <c r="M775" s="101">
        <v>279</v>
      </c>
      <c r="N775" s="101">
        <v>68</v>
      </c>
      <c r="O775" s="101">
        <v>49</v>
      </c>
      <c r="P775" s="13">
        <f t="shared" ref="P775:Q775" si="1569">J775/H775</f>
        <v>0.17924528301886791</v>
      </c>
      <c r="Q775" s="13">
        <f t="shared" si="1569"/>
        <v>0.15979381443298968</v>
      </c>
      <c r="R775" s="13">
        <f t="shared" si="1552"/>
        <v>1.9451468585878234E-2</v>
      </c>
      <c r="S775" s="13">
        <f t="shared" ref="S775:T775" si="1570">N775/L775</f>
        <v>0.21316614420062696</v>
      </c>
      <c r="T775" s="13">
        <f t="shared" si="1570"/>
        <v>0.17562724014336917</v>
      </c>
      <c r="U775" s="13">
        <f t="shared" si="1554"/>
        <v>3.7538904057257794E-2</v>
      </c>
      <c r="V775" s="13">
        <f t="shared" si="1555"/>
        <v>0.27491408934707895</v>
      </c>
      <c r="W775" s="13">
        <f t="shared" si="1556"/>
        <v>0.43010752688172049</v>
      </c>
      <c r="X775" s="13">
        <f t="shared" si="1557"/>
        <v>0.14336917562724016</v>
      </c>
      <c r="Y775" s="13">
        <f t="shared" si="1558"/>
        <v>0.38775510204081631</v>
      </c>
    </row>
    <row r="776" spans="1:25" ht="14.4">
      <c r="A776" s="104" t="s">
        <v>1067</v>
      </c>
      <c r="B776" s="99">
        <v>534597</v>
      </c>
      <c r="C776" s="98" t="s">
        <v>187</v>
      </c>
      <c r="D776" s="108" t="s">
        <v>120</v>
      </c>
      <c r="E776" s="11">
        <f ca="1">IFERROR(__xludf.DUMMYFUNCTION("GOOGLEFINANCE(""BOM:""&amp;B777,""PRICE"")"),28.96)</f>
        <v>28.96</v>
      </c>
      <c r="F776" s="20">
        <f ca="1">IFERROR(__xludf.DUMMYFUNCTION("GOOGLEFINANCE(""BOM:""&amp;B777,""MARKETCAP"")/10000000"),3996.2870517)</f>
        <v>3996.2870517000001</v>
      </c>
      <c r="G776" s="95">
        <f t="shared" ca="1" si="1056"/>
        <v>9.9191456974838767E-5</v>
      </c>
      <c r="H776" s="101">
        <v>5833</v>
      </c>
      <c r="I776" s="101">
        <v>5773</v>
      </c>
      <c r="J776" s="101">
        <v>-56</v>
      </c>
      <c r="K776" s="101">
        <v>439</v>
      </c>
      <c r="L776" s="101">
        <v>2006</v>
      </c>
      <c r="M776" s="101">
        <v>1921</v>
      </c>
      <c r="N776" s="101">
        <v>-162</v>
      </c>
      <c r="O776" s="101">
        <v>-170</v>
      </c>
      <c r="P776" s="13">
        <f t="shared" ref="P776:Q776" si="1571">J776/H776</f>
        <v>-9.6005486027773007E-3</v>
      </c>
      <c r="Q776" s="13">
        <f t="shared" si="1571"/>
        <v>7.6043651481032398E-2</v>
      </c>
      <c r="R776" s="13">
        <f t="shared" si="1552"/>
        <v>-8.5644200083809699E-2</v>
      </c>
      <c r="S776" s="13">
        <f t="shared" ref="S776:T776" si="1572">N776/L776</f>
        <v>-8.0757726819541381E-2</v>
      </c>
      <c r="T776" s="13">
        <f t="shared" si="1572"/>
        <v>-8.8495575221238937E-2</v>
      </c>
      <c r="U776" s="13">
        <f t="shared" si="1554"/>
        <v>7.7378484016975557E-3</v>
      </c>
      <c r="V776" s="13">
        <f t="shared" si="1555"/>
        <v>1.0393209769617107E-2</v>
      </c>
      <c r="W776" s="13">
        <f t="shared" si="1556"/>
        <v>-1.1275626423690206</v>
      </c>
      <c r="X776" s="13">
        <f t="shared" si="1557"/>
        <v>4.4247787610619538E-2</v>
      </c>
      <c r="Y776" s="13">
        <f t="shared" si="1558"/>
        <v>-4.705882352941182E-2</v>
      </c>
    </row>
    <row r="777" spans="1:25" ht="14.4">
      <c r="A777" s="98" t="s">
        <v>1068</v>
      </c>
      <c r="B777" s="99">
        <v>532406</v>
      </c>
      <c r="C777" s="98" t="s">
        <v>180</v>
      </c>
      <c r="D777" s="70" t="s">
        <v>204</v>
      </c>
      <c r="E777" s="11">
        <f ca="1">IFERROR(__xludf.DUMMYFUNCTION("GOOGLEFINANCE(""BOM:""&amp;B778,""PRICE"")"),135.3)</f>
        <v>135.30000000000001</v>
      </c>
      <c r="F777" s="20">
        <f ca="1">IFERROR(__xludf.DUMMYFUNCTION("GOOGLEFINANCE(""BOM:""&amp;B778,""MARKETCAP"")/10000000"),3594.0041348)</f>
        <v>3594.0041348</v>
      </c>
      <c r="G777" s="95">
        <f t="shared" ref="G777:G1030" ca="1" si="1573">F777/$F$2</f>
        <v>8.9206431343002724E-5</v>
      </c>
      <c r="H777" s="101">
        <v>159</v>
      </c>
      <c r="I777" s="101">
        <v>199</v>
      </c>
      <c r="J777" s="101">
        <v>10</v>
      </c>
      <c r="K777" s="101">
        <v>50</v>
      </c>
      <c r="L777" s="101">
        <v>51</v>
      </c>
      <c r="M777" s="101">
        <v>70</v>
      </c>
      <c r="N777" s="101">
        <v>2</v>
      </c>
      <c r="O777" s="101">
        <v>20</v>
      </c>
      <c r="P777" s="13">
        <f t="shared" ref="P777:Q777" si="1574">J777/H777</f>
        <v>6.2893081761006289E-2</v>
      </c>
      <c r="Q777" s="13">
        <f t="shared" si="1574"/>
        <v>0.25125628140703515</v>
      </c>
      <c r="R777" s="13">
        <f t="shared" si="1552"/>
        <v>-0.18836319964602888</v>
      </c>
      <c r="S777" s="13">
        <f t="shared" ref="S777:T777" si="1575">N777/L777</f>
        <v>3.9215686274509803E-2</v>
      </c>
      <c r="T777" s="13">
        <f t="shared" si="1575"/>
        <v>0.2857142857142857</v>
      </c>
      <c r="U777" s="13">
        <f t="shared" si="1554"/>
        <v>-0.2464985994397759</v>
      </c>
      <c r="V777" s="13">
        <f t="shared" si="1555"/>
        <v>-0.20100502512562812</v>
      </c>
      <c r="W777" s="13">
        <f t="shared" si="1556"/>
        <v>-0.8</v>
      </c>
      <c r="X777" s="13">
        <f t="shared" si="1557"/>
        <v>-0.27142857142857146</v>
      </c>
      <c r="Y777" s="13">
        <f t="shared" si="1558"/>
        <v>-0.9</v>
      </c>
    </row>
    <row r="778" spans="1:25" ht="14.4">
      <c r="A778" s="98" t="s">
        <v>1069</v>
      </c>
      <c r="B778" s="99">
        <v>526951</v>
      </c>
      <c r="C778" s="98" t="s">
        <v>187</v>
      </c>
      <c r="D778" s="70" t="s">
        <v>624</v>
      </c>
      <c r="E778" s="11">
        <f ca="1">IFERROR(__xludf.DUMMYFUNCTION("GOOGLEFINANCE(""BOM:""&amp;B779,""PRICE"")"),2211.55)</f>
        <v>2211.5500000000002</v>
      </c>
      <c r="F778" s="20">
        <f ca="1">IFERROR(__xludf.DUMMYFUNCTION("GOOGLEFINANCE(""BOM:""&amp;B779,""MARKETCAP"")/10000000"),3756.7049285)</f>
        <v>3756.7049284999998</v>
      </c>
      <c r="G778" s="95">
        <f t="shared" ca="1" si="1573"/>
        <v>9.3244812112272142E-5</v>
      </c>
      <c r="H778" s="101">
        <v>849</v>
      </c>
      <c r="I778" s="101">
        <v>766</v>
      </c>
      <c r="J778" s="101">
        <v>111</v>
      </c>
      <c r="K778" s="101">
        <v>92</v>
      </c>
      <c r="L778" s="101">
        <v>272</v>
      </c>
      <c r="M778" s="101">
        <v>256</v>
      </c>
      <c r="N778" s="101">
        <v>46</v>
      </c>
      <c r="O778" s="101">
        <v>29</v>
      </c>
      <c r="P778" s="13">
        <f t="shared" ref="P778:Q778" si="1576">J778/H778</f>
        <v>0.13074204946996468</v>
      </c>
      <c r="Q778" s="13">
        <f t="shared" si="1576"/>
        <v>0.12010443864229765</v>
      </c>
      <c r="R778" s="13">
        <f t="shared" si="1552"/>
        <v>1.0637610827667024E-2</v>
      </c>
      <c r="S778" s="13">
        <f t="shared" ref="S778:T778" si="1577">N778/L778</f>
        <v>0.16911764705882354</v>
      </c>
      <c r="T778" s="13">
        <f t="shared" si="1577"/>
        <v>0.11328125</v>
      </c>
      <c r="U778" s="13">
        <f t="shared" si="1554"/>
        <v>5.5836397058823539E-2</v>
      </c>
      <c r="V778" s="13">
        <f t="shared" si="1555"/>
        <v>0.10835509138381205</v>
      </c>
      <c r="W778" s="13">
        <f t="shared" si="1556"/>
        <v>0.20652173913043481</v>
      </c>
      <c r="X778" s="13">
        <f t="shared" si="1557"/>
        <v>6.25E-2</v>
      </c>
      <c r="Y778" s="13">
        <f t="shared" si="1558"/>
        <v>0.5862068965517242</v>
      </c>
    </row>
    <row r="779" spans="1:25" ht="14.4">
      <c r="A779" s="98" t="s">
        <v>1070</v>
      </c>
      <c r="B779" s="99">
        <v>543332</v>
      </c>
      <c r="C779" s="98" t="s">
        <v>196</v>
      </c>
      <c r="D779" s="100" t="s">
        <v>251</v>
      </c>
      <c r="E779" s="11">
        <f ca="1">IFERROR(__xludf.DUMMYFUNCTION("GOOGLEFINANCE(""BOM:""&amp;B780,""PRICE"")"),896.1)</f>
        <v>896.1</v>
      </c>
      <c r="F779" s="20">
        <f ca="1">IFERROR(__xludf.DUMMYFUNCTION("GOOGLEFINANCE(""BOM:""&amp;B780,""MARKETCAP"")/10000000"),3867.8649998)</f>
        <v>3867.8649998000001</v>
      </c>
      <c r="G779" s="95">
        <f t="shared" ca="1" si="1573"/>
        <v>9.6003905562524539E-5</v>
      </c>
      <c r="H779" s="101">
        <v>1791</v>
      </c>
      <c r="I779" s="101">
        <v>1922</v>
      </c>
      <c r="J779" s="101">
        <v>251</v>
      </c>
      <c r="K779" s="101">
        <v>271</v>
      </c>
      <c r="L779" s="101">
        <v>597</v>
      </c>
      <c r="M779" s="101">
        <v>645</v>
      </c>
      <c r="N779" s="101">
        <v>39</v>
      </c>
      <c r="O779" s="101">
        <v>104</v>
      </c>
      <c r="P779" s="13">
        <f t="shared" ref="P779:Q779" si="1578">J779/H779</f>
        <v>0.14014517029592408</v>
      </c>
      <c r="Q779" s="13">
        <f t="shared" si="1578"/>
        <v>0.14099895941727367</v>
      </c>
      <c r="R779" s="13">
        <f t="shared" si="1552"/>
        <v>-8.5378912134959073E-4</v>
      </c>
      <c r="S779" s="13">
        <f t="shared" ref="S779:T779" si="1579">N779/L779</f>
        <v>6.5326633165829151E-2</v>
      </c>
      <c r="T779" s="13">
        <f t="shared" si="1579"/>
        <v>0.16124031007751938</v>
      </c>
      <c r="U779" s="13">
        <f t="shared" si="1554"/>
        <v>-9.5913676911690227E-2</v>
      </c>
      <c r="V779" s="13">
        <f t="shared" si="1555"/>
        <v>-6.8158168574401712E-2</v>
      </c>
      <c r="W779" s="13">
        <f t="shared" si="1556"/>
        <v>-7.3800738007380073E-2</v>
      </c>
      <c r="X779" s="13">
        <f t="shared" si="1557"/>
        <v>-7.441860465116279E-2</v>
      </c>
      <c r="Y779" s="13">
        <f t="shared" si="1558"/>
        <v>-0.625</v>
      </c>
    </row>
    <row r="780" spans="1:25" ht="14.4">
      <c r="A780" s="104" t="s">
        <v>1071</v>
      </c>
      <c r="B780" s="99">
        <v>523398</v>
      </c>
      <c r="C780" s="98" t="s">
        <v>187</v>
      </c>
      <c r="D780" s="70" t="s">
        <v>93</v>
      </c>
      <c r="E780" s="11">
        <f ca="1">IFERROR(__xludf.DUMMYFUNCTION("GOOGLEFINANCE(""BOM:""&amp;B781,""PRICE"")"),1159.3)</f>
        <v>1159.3</v>
      </c>
      <c r="F780" s="20">
        <f ca="1">IFERROR(__xludf.DUMMYFUNCTION("GOOGLEFINANCE(""BOM:""&amp;B781,""MARKETCAP"")/10000000"),3159.8520984)</f>
        <v>3159.8520984000002</v>
      </c>
      <c r="G780" s="95">
        <f t="shared" ca="1" si="1573"/>
        <v>7.8430385357820069E-5</v>
      </c>
      <c r="H780" s="101">
        <v>1752</v>
      </c>
      <c r="I780" s="101">
        <v>1846</v>
      </c>
      <c r="J780" s="101">
        <v>-43</v>
      </c>
      <c r="K780" s="101">
        <v>2</v>
      </c>
      <c r="L780" s="101">
        <v>477</v>
      </c>
      <c r="M780" s="101">
        <v>436</v>
      </c>
      <c r="N780" s="101">
        <v>-19</v>
      </c>
      <c r="O780" s="101">
        <v>-3</v>
      </c>
      <c r="P780" s="13">
        <f t="shared" ref="P780:Q780" si="1580">J780/H780</f>
        <v>-2.4543378995433789E-2</v>
      </c>
      <c r="Q780" s="13">
        <f t="shared" si="1580"/>
        <v>1.0834236186348862E-3</v>
      </c>
      <c r="R780" s="13">
        <f t="shared" si="1552"/>
        <v>-2.5626802614068675E-2</v>
      </c>
      <c r="S780" s="13">
        <f t="shared" ref="S780:T780" si="1581">N780/L780</f>
        <v>-3.9832285115303984E-2</v>
      </c>
      <c r="T780" s="13">
        <f t="shared" si="1581"/>
        <v>-6.8807339449541288E-3</v>
      </c>
      <c r="U780" s="13">
        <f t="shared" si="1554"/>
        <v>-3.2951551170349855E-2</v>
      </c>
      <c r="V780" s="13">
        <f t="shared" si="1555"/>
        <v>-5.0920910075839654E-2</v>
      </c>
      <c r="W780" s="13">
        <f t="shared" si="1556"/>
        <v>-22.5</v>
      </c>
      <c r="X780" s="13">
        <f t="shared" si="1557"/>
        <v>9.4036697247706469E-2</v>
      </c>
      <c r="Y780" s="13">
        <f t="shared" si="1558"/>
        <v>5.333333333333333</v>
      </c>
    </row>
    <row r="781" spans="1:25" ht="14.4">
      <c r="A781" s="98" t="s">
        <v>1072</v>
      </c>
      <c r="B781" s="99">
        <v>543626</v>
      </c>
      <c r="C781" s="98" t="s">
        <v>187</v>
      </c>
      <c r="D781" s="100" t="s">
        <v>84</v>
      </c>
      <c r="E781" s="11">
        <f ca="1">IFERROR(__xludf.DUMMYFUNCTION("GOOGLEFINANCE(""BOM:""&amp;B782,""PRICE"")"),96)</f>
        <v>96</v>
      </c>
      <c r="F781" s="20">
        <f ca="1">IFERROR(__xludf.DUMMYFUNCTION("GOOGLEFINANCE(""BOM:""&amp;B782,""MARKETCAP"")/10000000"),3687.4313999)</f>
        <v>3687.4313999000001</v>
      </c>
      <c r="G781" s="95">
        <f t="shared" ca="1" si="1573"/>
        <v>9.152538051420935E-5</v>
      </c>
      <c r="H781" s="101">
        <v>5270</v>
      </c>
      <c r="I781" s="101">
        <v>5067</v>
      </c>
      <c r="J781" s="101">
        <v>67</v>
      </c>
      <c r="K781" s="101">
        <v>133</v>
      </c>
      <c r="L781" s="101">
        <v>1939</v>
      </c>
      <c r="M781" s="101">
        <v>1804</v>
      </c>
      <c r="N781" s="101">
        <v>29</v>
      </c>
      <c r="O781" s="101">
        <v>33</v>
      </c>
      <c r="P781" s="13">
        <f t="shared" ref="P781:Q781" si="1582">J781/H781</f>
        <v>1.2713472485768502E-2</v>
      </c>
      <c r="Q781" s="13">
        <f t="shared" si="1582"/>
        <v>2.6248273139925005E-2</v>
      </c>
      <c r="R781" s="13">
        <f t="shared" si="1552"/>
        <v>-1.3534800654156503E-2</v>
      </c>
      <c r="S781" s="13">
        <f t="shared" ref="S781:T781" si="1583">N781/L781</f>
        <v>1.4956162970603403E-2</v>
      </c>
      <c r="T781" s="13">
        <f t="shared" si="1583"/>
        <v>1.8292682926829267E-2</v>
      </c>
      <c r="U781" s="13">
        <f t="shared" si="1554"/>
        <v>-3.3365199562258637E-3</v>
      </c>
      <c r="V781" s="13">
        <f t="shared" si="1555"/>
        <v>4.0063153739885449E-2</v>
      </c>
      <c r="W781" s="13">
        <f t="shared" si="1556"/>
        <v>-0.49624060150375937</v>
      </c>
      <c r="X781" s="13">
        <f t="shared" si="1557"/>
        <v>7.4833702882483477E-2</v>
      </c>
      <c r="Y781" s="13">
        <f t="shared" si="1558"/>
        <v>-0.12121212121212122</v>
      </c>
    </row>
    <row r="782" spans="1:25" ht="14.4">
      <c r="A782" s="104" t="s">
        <v>1073</v>
      </c>
      <c r="B782" s="99">
        <v>543248</v>
      </c>
      <c r="C782" s="98" t="s">
        <v>187</v>
      </c>
      <c r="D782" s="101" t="s">
        <v>124</v>
      </c>
      <c r="E782" s="11">
        <f ca="1">IFERROR(__xludf.DUMMYFUNCTION("GOOGLEFINANCE(""BOM:""&amp;B783,""PRICE"")"),60.82)</f>
        <v>60.82</v>
      </c>
      <c r="F782" s="20">
        <f ca="1">IFERROR(__xludf.DUMMYFUNCTION("GOOGLEFINANCE(""BOM:""&amp;B783,""MARKETCAP"")/10000000"),3543.8878595)</f>
        <v>3543.8878595000001</v>
      </c>
      <c r="G782" s="95">
        <f t="shared" ca="1" si="1573"/>
        <v>8.7962500088603851E-5</v>
      </c>
      <c r="H782" s="101">
        <v>2115</v>
      </c>
      <c r="I782" s="101">
        <v>1918</v>
      </c>
      <c r="J782" s="101">
        <v>-156</v>
      </c>
      <c r="K782" s="101">
        <v>-172</v>
      </c>
      <c r="L782" s="101">
        <v>714</v>
      </c>
      <c r="M782" s="101">
        <v>639</v>
      </c>
      <c r="N782" s="101">
        <v>-47</v>
      </c>
      <c r="O782" s="101">
        <v>-54</v>
      </c>
      <c r="P782" s="13">
        <f t="shared" ref="P782:Q782" si="1584">J782/H782</f>
        <v>-7.3758865248226946E-2</v>
      </c>
      <c r="Q782" s="13">
        <f t="shared" si="1584"/>
        <v>-8.9676746611053182E-2</v>
      </c>
      <c r="R782" s="13">
        <f t="shared" si="1552"/>
        <v>1.5917881362826236E-2</v>
      </c>
      <c r="S782" s="13">
        <f t="shared" ref="S782:T782" si="1585">N782/L782</f>
        <v>-6.5826330532212887E-2</v>
      </c>
      <c r="T782" s="13">
        <f t="shared" si="1585"/>
        <v>-8.4507042253521125E-2</v>
      </c>
      <c r="U782" s="13">
        <f t="shared" si="1554"/>
        <v>1.8680711721308238E-2</v>
      </c>
      <c r="V782" s="13">
        <f t="shared" si="1555"/>
        <v>0.10271115745568293</v>
      </c>
      <c r="W782" s="13">
        <f t="shared" si="1556"/>
        <v>-9.3023255813953543E-2</v>
      </c>
      <c r="X782" s="13">
        <f t="shared" si="1557"/>
        <v>0.11737089201877926</v>
      </c>
      <c r="Y782" s="13">
        <f t="shared" si="1558"/>
        <v>-0.12962962962962965</v>
      </c>
    </row>
    <row r="783" spans="1:25" ht="14.4">
      <c r="A783" s="98" t="s">
        <v>1074</v>
      </c>
      <c r="B783" s="99">
        <v>539042</v>
      </c>
      <c r="C783" s="98" t="s">
        <v>187</v>
      </c>
      <c r="D783" s="102" t="s">
        <v>131</v>
      </c>
      <c r="E783" s="11">
        <f ca="1">IFERROR(__xludf.DUMMYFUNCTION("GOOGLEFINANCE(""BOM:""&amp;B784,""PRICE"")"),312.35)</f>
        <v>312.35000000000002</v>
      </c>
      <c r="F783" s="20">
        <f ca="1">IFERROR(__xludf.DUMMYFUNCTION("GOOGLEFINANCE(""BOM:""&amp;B784,""MARKETCAP"")/10000000"),3906.165625)</f>
        <v>3906.1656250000001</v>
      </c>
      <c r="G783" s="95">
        <f t="shared" ca="1" si="1573"/>
        <v>9.6954561700956615E-5</v>
      </c>
      <c r="H783" s="101">
        <v>264</v>
      </c>
      <c r="I783" s="101">
        <v>241</v>
      </c>
      <c r="J783" s="101">
        <v>68</v>
      </c>
      <c r="K783" s="101">
        <v>50</v>
      </c>
      <c r="L783" s="101">
        <v>87</v>
      </c>
      <c r="M783" s="101">
        <v>91</v>
      </c>
      <c r="N783" s="101">
        <v>26</v>
      </c>
      <c r="O783" s="101">
        <v>19</v>
      </c>
      <c r="P783" s="13">
        <f t="shared" ref="P783:Q783" si="1586">J783/H783</f>
        <v>0.25757575757575757</v>
      </c>
      <c r="Q783" s="13">
        <f t="shared" si="1586"/>
        <v>0.2074688796680498</v>
      </c>
      <c r="R783" s="13">
        <f t="shared" si="1552"/>
        <v>5.0106877907707764E-2</v>
      </c>
      <c r="S783" s="13">
        <f t="shared" ref="S783:T783" si="1587">N783/L783</f>
        <v>0.2988505747126437</v>
      </c>
      <c r="T783" s="13">
        <f t="shared" si="1587"/>
        <v>0.2087912087912088</v>
      </c>
      <c r="U783" s="13">
        <f t="shared" si="1554"/>
        <v>9.0059365921434903E-2</v>
      </c>
      <c r="V783" s="13">
        <f t="shared" si="1555"/>
        <v>9.543568464730301E-2</v>
      </c>
      <c r="W783" s="13">
        <f t="shared" si="1556"/>
        <v>0.3600000000000001</v>
      </c>
      <c r="X783" s="13">
        <f t="shared" si="1557"/>
        <v>-4.3956043956043911E-2</v>
      </c>
      <c r="Y783" s="13">
        <f t="shared" si="1558"/>
        <v>0.36842105263157898</v>
      </c>
    </row>
    <row r="784" spans="1:25" ht="14.4">
      <c r="A784" s="98" t="s">
        <v>1075</v>
      </c>
      <c r="B784" s="99">
        <v>532156</v>
      </c>
      <c r="C784" s="98" t="s">
        <v>187</v>
      </c>
      <c r="D784" s="70" t="s">
        <v>70</v>
      </c>
      <c r="E784" s="11">
        <f ca="1">IFERROR(__xludf.DUMMYFUNCTION("GOOGLEFINANCE(""BOM:""&amp;B785,""PRICE"")"),191.65)</f>
        <v>191.65</v>
      </c>
      <c r="F784" s="20">
        <f ca="1">IFERROR(__xludf.DUMMYFUNCTION("GOOGLEFINANCE(""BOM:""&amp;B785,""MARKETCAP"")/10000000"),3195.3411349)</f>
        <v>3195.3411348999998</v>
      </c>
      <c r="G784" s="95">
        <f t="shared" ca="1" si="1573"/>
        <v>7.9311255323247272E-5</v>
      </c>
      <c r="H784" s="101">
        <v>2757</v>
      </c>
      <c r="I784" s="101">
        <v>2529</v>
      </c>
      <c r="J784" s="101">
        <v>174</v>
      </c>
      <c r="K784" s="101">
        <v>119</v>
      </c>
      <c r="L784" s="101">
        <v>1066</v>
      </c>
      <c r="M784" s="101">
        <v>977</v>
      </c>
      <c r="N784" s="101">
        <v>89</v>
      </c>
      <c r="O784" s="101">
        <v>63</v>
      </c>
      <c r="P784" s="13">
        <f t="shared" ref="P784:Q784" si="1588">J784/H784</f>
        <v>6.3112078346028291E-2</v>
      </c>
      <c r="Q784" s="13">
        <f t="shared" si="1588"/>
        <v>4.7054171609331751E-2</v>
      </c>
      <c r="R784" s="13">
        <f t="shared" si="1552"/>
        <v>1.6057906736696541E-2</v>
      </c>
      <c r="S784" s="13">
        <f t="shared" ref="S784:T784" si="1589">N784/L784</f>
        <v>8.3489681050656656E-2</v>
      </c>
      <c r="T784" s="13">
        <f t="shared" si="1589"/>
        <v>6.4483111566018422E-2</v>
      </c>
      <c r="U784" s="13">
        <f t="shared" si="1554"/>
        <v>1.9006569484638233E-2</v>
      </c>
      <c r="V784" s="13">
        <f t="shared" si="1555"/>
        <v>9.0154211150652364E-2</v>
      </c>
      <c r="W784" s="13">
        <f t="shared" si="1556"/>
        <v>0.46218487394957974</v>
      </c>
      <c r="X784" s="13">
        <f t="shared" si="1557"/>
        <v>9.1095189355168804E-2</v>
      </c>
      <c r="Y784" s="13">
        <f t="shared" si="1558"/>
        <v>0.41269841269841279</v>
      </c>
    </row>
    <row r="785" spans="1:25" ht="14.4">
      <c r="A785" s="98" t="s">
        <v>1076</v>
      </c>
      <c r="B785" s="99">
        <v>542919</v>
      </c>
      <c r="C785" s="98" t="s">
        <v>190</v>
      </c>
      <c r="D785" s="70" t="s">
        <v>113</v>
      </c>
      <c r="E785" s="11">
        <f ca="1">IFERROR(__xludf.DUMMYFUNCTION("GOOGLEFINANCE(""BOM:""&amp;B786,""PRICE"")"),228.9)</f>
        <v>228.9</v>
      </c>
      <c r="F785" s="20">
        <f ca="1">IFERROR(__xludf.DUMMYFUNCTION("GOOGLEFINANCE(""BOM:""&amp;B786,""MARKETCAP"")/10000000"),3622.8374836)</f>
        <v>3622.8374835999998</v>
      </c>
      <c r="G785" s="95">
        <f t="shared" ca="1" si="1573"/>
        <v>8.9922101123460324E-5</v>
      </c>
      <c r="H785" s="101">
        <v>802</v>
      </c>
      <c r="I785" s="101">
        <v>697</v>
      </c>
      <c r="J785" s="101">
        <v>73</v>
      </c>
      <c r="K785" s="101">
        <v>59</v>
      </c>
      <c r="L785" s="101">
        <v>272</v>
      </c>
      <c r="M785" s="101">
        <v>232</v>
      </c>
      <c r="N785" s="101">
        <v>22</v>
      </c>
      <c r="O785" s="101">
        <v>20</v>
      </c>
      <c r="P785" s="13">
        <f t="shared" ref="P785:Q785" si="1590">J785/H785</f>
        <v>9.1022443890274321E-2</v>
      </c>
      <c r="Q785" s="13">
        <f t="shared" si="1590"/>
        <v>8.4648493543758974E-2</v>
      </c>
      <c r="R785" s="13">
        <f t="shared" si="1552"/>
        <v>6.3739503465153474E-3</v>
      </c>
      <c r="S785" s="13">
        <f t="shared" ref="S785:T785" si="1591">N785/L785</f>
        <v>8.0882352941176475E-2</v>
      </c>
      <c r="T785" s="13">
        <f t="shared" si="1591"/>
        <v>8.6206896551724144E-2</v>
      </c>
      <c r="U785" s="13">
        <f t="shared" si="1554"/>
        <v>-5.324543610547669E-3</v>
      </c>
      <c r="V785" s="13">
        <f t="shared" si="1555"/>
        <v>0.15064562410329985</v>
      </c>
      <c r="W785" s="13">
        <f t="shared" si="1556"/>
        <v>0.23728813559322037</v>
      </c>
      <c r="X785" s="13">
        <f t="shared" si="1557"/>
        <v>0.17241379310344818</v>
      </c>
      <c r="Y785" s="13">
        <f t="shared" si="1558"/>
        <v>0.10000000000000009</v>
      </c>
    </row>
    <row r="786" spans="1:25" ht="14.4">
      <c r="A786" s="98" t="s">
        <v>1077</v>
      </c>
      <c r="B786" s="99">
        <v>500292</v>
      </c>
      <c r="C786" s="98" t="s">
        <v>196</v>
      </c>
      <c r="D786" s="100" t="s">
        <v>109</v>
      </c>
      <c r="E786" s="11">
        <f ca="1">IFERROR(__xludf.DUMMYFUNCTION("GOOGLEFINANCE(""BOM:""&amp;B787,""PRICE"")"),147.5)</f>
        <v>147.5</v>
      </c>
      <c r="F786" s="20">
        <f ca="1">IFERROR(__xludf.DUMMYFUNCTION("GOOGLEFINANCE(""BOM:""&amp;B787,""MARKETCAP"")/10000000"),3338.4628819)</f>
        <v>3338.4628819</v>
      </c>
      <c r="G786" s="95">
        <f t="shared" ca="1" si="1573"/>
        <v>8.2863666455394353E-5</v>
      </c>
      <c r="H786" s="101">
        <v>1683</v>
      </c>
      <c r="I786" s="101">
        <v>1536</v>
      </c>
      <c r="J786" s="101">
        <v>88</v>
      </c>
      <c r="K786" s="101">
        <v>56</v>
      </c>
      <c r="L786" s="101">
        <v>574</v>
      </c>
      <c r="M786" s="101">
        <v>542</v>
      </c>
      <c r="N786" s="101">
        <v>15</v>
      </c>
      <c r="O786" s="101">
        <v>5</v>
      </c>
      <c r="P786" s="13">
        <f t="shared" ref="P786:Q786" si="1592">J786/H786</f>
        <v>5.2287581699346407E-2</v>
      </c>
      <c r="Q786" s="13">
        <f t="shared" si="1592"/>
        <v>3.6458333333333336E-2</v>
      </c>
      <c r="R786" s="13">
        <f t="shared" si="1552"/>
        <v>1.5829248366013071E-2</v>
      </c>
      <c r="S786" s="13">
        <f t="shared" ref="S786:T786" si="1593">N786/L786</f>
        <v>2.6132404181184669E-2</v>
      </c>
      <c r="T786" s="13">
        <f t="shared" si="1593"/>
        <v>9.2250922509225092E-3</v>
      </c>
      <c r="U786" s="13">
        <f t="shared" si="1554"/>
        <v>1.690731193026216E-2</v>
      </c>
      <c r="V786" s="13">
        <f t="shared" si="1555"/>
        <v>9.5703125E-2</v>
      </c>
      <c r="W786" s="13">
        <f t="shared" si="1556"/>
        <v>0.5714285714285714</v>
      </c>
      <c r="X786" s="13">
        <f t="shared" si="1557"/>
        <v>5.9040590405904148E-2</v>
      </c>
      <c r="Y786" s="13">
        <f t="shared" si="1558"/>
        <v>2</v>
      </c>
    </row>
    <row r="787" spans="1:25" ht="14.4">
      <c r="A787" s="98" t="s">
        <v>1078</v>
      </c>
      <c r="B787" s="99">
        <v>532029</v>
      </c>
      <c r="C787" s="98" t="s">
        <v>206</v>
      </c>
      <c r="D787" s="100" t="s">
        <v>476</v>
      </c>
      <c r="E787" s="11">
        <f ca="1">IFERROR(__xludf.DUMMYFUNCTION("GOOGLEFINANCE(""BOM:""&amp;B788,""PRICE"")"),22.44)</f>
        <v>22.44</v>
      </c>
      <c r="F787" s="20">
        <f ca="1">IFERROR(__xludf.DUMMYFUNCTION("GOOGLEFINANCE(""BOM:""&amp;B788,""MARKETCAP"")/10000000"),3461.6284776)</f>
        <v>3461.6284776000002</v>
      </c>
      <c r="G787" s="95">
        <f t="shared" ca="1" si="1573"/>
        <v>8.5920747873372054E-5</v>
      </c>
      <c r="H787" s="101">
        <v>322</v>
      </c>
      <c r="I787" s="101">
        <v>352</v>
      </c>
      <c r="J787" s="101">
        <v>16</v>
      </c>
      <c r="K787" s="101">
        <v>45</v>
      </c>
      <c r="L787" s="101">
        <v>95</v>
      </c>
      <c r="M787" s="101">
        <v>113</v>
      </c>
      <c r="N787" s="101">
        <v>5</v>
      </c>
      <c r="O787" s="101">
        <v>14</v>
      </c>
      <c r="P787" s="13">
        <f t="shared" ref="P787:Q787" si="1594">J787/H787</f>
        <v>4.9689440993788817E-2</v>
      </c>
      <c r="Q787" s="13">
        <f t="shared" si="1594"/>
        <v>0.12784090909090909</v>
      </c>
      <c r="R787" s="13">
        <f t="shared" si="1552"/>
        <v>-7.8151468097120272E-2</v>
      </c>
      <c r="S787" s="13">
        <f t="shared" ref="S787:T787" si="1595">N787/L787</f>
        <v>5.2631578947368418E-2</v>
      </c>
      <c r="T787" s="13">
        <f t="shared" si="1595"/>
        <v>0.12389380530973451</v>
      </c>
      <c r="U787" s="13">
        <f t="shared" si="1554"/>
        <v>-7.1262226362366093E-2</v>
      </c>
      <c r="V787" s="13">
        <f t="shared" si="1555"/>
        <v>-8.5227272727272707E-2</v>
      </c>
      <c r="W787" s="13">
        <f t="shared" si="1556"/>
        <v>-0.64444444444444438</v>
      </c>
      <c r="X787" s="13">
        <f t="shared" si="1557"/>
        <v>-0.15929203539823011</v>
      </c>
      <c r="Y787" s="13">
        <f t="shared" si="1558"/>
        <v>-0.64285714285714279</v>
      </c>
    </row>
    <row r="788" spans="1:25" ht="14.4">
      <c r="A788" s="98" t="s">
        <v>1079</v>
      </c>
      <c r="B788" s="99">
        <v>542665</v>
      </c>
      <c r="C788" s="98" t="s">
        <v>196</v>
      </c>
      <c r="D788" s="100" t="s">
        <v>251</v>
      </c>
      <c r="E788" s="11">
        <f ca="1">IFERROR(__xludf.DUMMYFUNCTION("GOOGLEFINANCE(""BOM:""&amp;B789,""PRICE"")"),1187.85)</f>
        <v>1187.8499999999999</v>
      </c>
      <c r="F788" s="20">
        <f ca="1">IFERROR(__xludf.DUMMYFUNCTION("GOOGLEFINANCE(""BOM:""&amp;B789,""MARKETCAP"")/10000000"),3138.0996465)</f>
        <v>3138.0996464999998</v>
      </c>
      <c r="G788" s="95">
        <f t="shared" ca="1" si="1573"/>
        <v>7.7890469839034121E-5</v>
      </c>
      <c r="H788" s="101">
        <v>615</v>
      </c>
      <c r="I788" s="101">
        <v>575</v>
      </c>
      <c r="J788" s="101">
        <v>17</v>
      </c>
      <c r="K788" s="101">
        <v>32</v>
      </c>
      <c r="L788" s="101">
        <v>220</v>
      </c>
      <c r="M788" s="101">
        <v>201</v>
      </c>
      <c r="N788" s="101">
        <v>4</v>
      </c>
      <c r="O788" s="101">
        <v>10</v>
      </c>
      <c r="P788" s="13">
        <f t="shared" ref="P788:Q788" si="1596">J788/H788</f>
        <v>2.7642276422764227E-2</v>
      </c>
      <c r="Q788" s="13">
        <f t="shared" si="1596"/>
        <v>5.565217391304348E-2</v>
      </c>
      <c r="R788" s="13">
        <f t="shared" si="1552"/>
        <v>-2.8009897490279254E-2</v>
      </c>
      <c r="S788" s="13">
        <f t="shared" ref="S788:T788" si="1597">N788/L788</f>
        <v>1.8181818181818181E-2</v>
      </c>
      <c r="T788" s="13">
        <f t="shared" si="1597"/>
        <v>4.975124378109453E-2</v>
      </c>
      <c r="U788" s="13">
        <f t="shared" si="1554"/>
        <v>-3.1569425599276349E-2</v>
      </c>
      <c r="V788" s="13">
        <f t="shared" si="1555"/>
        <v>6.956521739130439E-2</v>
      </c>
      <c r="W788" s="13">
        <f t="shared" si="1556"/>
        <v>-0.46875</v>
      </c>
      <c r="X788" s="13">
        <f t="shared" si="1557"/>
        <v>9.4527363184079505E-2</v>
      </c>
      <c r="Y788" s="13">
        <f t="shared" si="1558"/>
        <v>-0.6</v>
      </c>
    </row>
    <row r="789" spans="1:25" ht="14.4">
      <c r="A789" s="98" t="s">
        <v>1080</v>
      </c>
      <c r="B789" s="99">
        <v>544140</v>
      </c>
      <c r="C789" s="98" t="s">
        <v>183</v>
      </c>
      <c r="D789" s="70" t="s">
        <v>105</v>
      </c>
      <c r="E789" s="11">
        <f ca="1">IFERROR(__xludf.DUMMYFUNCTION("GOOGLEFINANCE(""BOM:""&amp;B790,""PRICE"")"),263.9)</f>
        <v>263.89999999999998</v>
      </c>
      <c r="F789" s="20">
        <f ca="1">IFERROR(__xludf.DUMMYFUNCTION("GOOGLEFINANCE(""BOM:""&amp;B790,""MARKETCAP"")/10000000"),3280.1225699)</f>
        <v>3280.1225699000001</v>
      </c>
      <c r="G789" s="95">
        <f t="shared" ca="1" si="1573"/>
        <v>8.1415607176172912E-5</v>
      </c>
      <c r="H789" s="101">
        <v>1098</v>
      </c>
      <c r="I789" s="101">
        <v>1150</v>
      </c>
      <c r="J789" s="101">
        <v>43</v>
      </c>
      <c r="K789" s="101">
        <v>58</v>
      </c>
      <c r="L789" s="101">
        <v>4007</v>
      </c>
      <c r="M789" s="101">
        <v>3935</v>
      </c>
      <c r="N789" s="101">
        <v>15</v>
      </c>
      <c r="O789" s="101">
        <v>5</v>
      </c>
      <c r="P789" s="13">
        <f t="shared" ref="P789:Q789" si="1598">J789/H789</f>
        <v>3.9162112932604735E-2</v>
      </c>
      <c r="Q789" s="13">
        <f t="shared" si="1598"/>
        <v>5.0434782608695654E-2</v>
      </c>
      <c r="R789" s="13">
        <f t="shared" si="1552"/>
        <v>-1.1272669676090918E-2</v>
      </c>
      <c r="S789" s="13">
        <f t="shared" ref="S789:T789" si="1599">N789/L789</f>
        <v>3.7434489643124532E-3</v>
      </c>
      <c r="T789" s="13">
        <f t="shared" si="1599"/>
        <v>1.2706480304955528E-3</v>
      </c>
      <c r="U789" s="13">
        <f t="shared" si="1554"/>
        <v>2.4728009338169004E-3</v>
      </c>
      <c r="V789" s="13">
        <f t="shared" si="1555"/>
        <v>-4.5217391304347876E-2</v>
      </c>
      <c r="W789" s="13">
        <f t="shared" si="1556"/>
        <v>-0.25862068965517238</v>
      </c>
      <c r="X789" s="13">
        <f t="shared" si="1557"/>
        <v>1.8297331639135939E-2</v>
      </c>
      <c r="Y789" s="13">
        <f t="shared" si="1558"/>
        <v>2</v>
      </c>
    </row>
    <row r="790" spans="1:25" ht="14.4">
      <c r="A790" s="104" t="s">
        <v>1081</v>
      </c>
      <c r="B790" s="99">
        <v>519156</v>
      </c>
      <c r="C790" s="98" t="s">
        <v>183</v>
      </c>
      <c r="D790" s="70" t="s">
        <v>569</v>
      </c>
      <c r="E790" s="11">
        <f ca="1">IFERROR(__xludf.DUMMYFUNCTION("GOOGLEFINANCE(""BOM:""&amp;B791,""PRICE"")"),4417.25)</f>
        <v>4417.25</v>
      </c>
      <c r="F790" s="20">
        <f ca="1">IFERROR(__xludf.DUMMYFUNCTION("GOOGLEFINANCE(""BOM:""&amp;B791,""MARKETCAP"")/10000000"),3169.40169)</f>
        <v>3169.4016900000001</v>
      </c>
      <c r="G790" s="95">
        <f t="shared" ca="1" si="1573"/>
        <v>7.8667414853465461E-5</v>
      </c>
      <c r="H790" s="101">
        <v>1085</v>
      </c>
      <c r="I790" s="101">
        <v>964</v>
      </c>
      <c r="J790" s="101">
        <v>100</v>
      </c>
      <c r="K790" s="101">
        <v>128</v>
      </c>
      <c r="L790" s="101">
        <v>238</v>
      </c>
      <c r="M790" s="101">
        <v>204</v>
      </c>
      <c r="N790" s="101">
        <v>-0.15</v>
      </c>
      <c r="O790" s="101">
        <v>12</v>
      </c>
      <c r="P790" s="13">
        <f t="shared" ref="P790:Q790" si="1600">J790/H790</f>
        <v>9.2165898617511524E-2</v>
      </c>
      <c r="Q790" s="13">
        <f t="shared" si="1600"/>
        <v>0.13278008298755187</v>
      </c>
      <c r="R790" s="13">
        <f t="shared" si="1552"/>
        <v>-4.0614184370040343E-2</v>
      </c>
      <c r="S790" s="13">
        <f t="shared" ref="S790:T790" si="1601">N790/L790</f>
        <v>-6.3025210084033606E-4</v>
      </c>
      <c r="T790" s="13">
        <f t="shared" si="1601"/>
        <v>5.8823529411764705E-2</v>
      </c>
      <c r="U790" s="13">
        <f t="shared" si="1554"/>
        <v>-5.9453781512605039E-2</v>
      </c>
      <c r="V790" s="13">
        <f t="shared" si="1555"/>
        <v>0.12551867219917012</v>
      </c>
      <c r="W790" s="13">
        <f t="shared" si="1556"/>
        <v>-0.21875</v>
      </c>
      <c r="X790" s="13">
        <f t="shared" si="1557"/>
        <v>0.16666666666666674</v>
      </c>
      <c r="Y790" s="13">
        <f t="shared" si="1558"/>
        <v>-1.0125</v>
      </c>
    </row>
    <row r="791" spans="1:25" ht="14.4">
      <c r="A791" s="98" t="s">
        <v>1082</v>
      </c>
      <c r="B791" s="99">
        <v>532942</v>
      </c>
      <c r="C791" s="98" t="s">
        <v>180</v>
      </c>
      <c r="D791" s="70" t="s">
        <v>181</v>
      </c>
      <c r="E791" s="11">
        <f ca="1">IFERROR(__xludf.DUMMYFUNCTION("GOOGLEFINANCE(""BOM:""&amp;B792,""PRICE"")"),115)</f>
        <v>115</v>
      </c>
      <c r="F791" s="20">
        <f ca="1">IFERROR(__xludf.DUMMYFUNCTION("GOOGLEFINANCE(""BOM:""&amp;B792,""MARKETCAP"")/10000000"),3233.3542305)</f>
        <v>3233.3542305000001</v>
      </c>
      <c r="G791" s="95">
        <f t="shared" ca="1" si="1573"/>
        <v>8.0254774717101595E-5</v>
      </c>
      <c r="H791" s="101">
        <v>2002</v>
      </c>
      <c r="I791" s="101">
        <v>3777</v>
      </c>
      <c r="J791" s="101">
        <v>325</v>
      </c>
      <c r="K791" s="101">
        <v>1013</v>
      </c>
      <c r="L791" s="101">
        <v>743</v>
      </c>
      <c r="M791" s="101">
        <v>848</v>
      </c>
      <c r="N791" s="101">
        <v>101</v>
      </c>
      <c r="O791" s="101">
        <v>250</v>
      </c>
      <c r="P791" s="13">
        <f t="shared" ref="P791:Q791" si="1602">J791/H791</f>
        <v>0.16233766233766234</v>
      </c>
      <c r="Q791" s="13">
        <f t="shared" si="1602"/>
        <v>0.26820227693936988</v>
      </c>
      <c r="R791" s="13">
        <f t="shared" si="1552"/>
        <v>-0.10586461460170754</v>
      </c>
      <c r="S791" s="13">
        <f t="shared" ref="S791:T791" si="1603">N791/L791</f>
        <v>0.13593539703903096</v>
      </c>
      <c r="T791" s="13">
        <f t="shared" si="1603"/>
        <v>0.294811320754717</v>
      </c>
      <c r="U791" s="13">
        <f t="shared" si="1554"/>
        <v>-0.15887592371568604</v>
      </c>
      <c r="V791" s="13">
        <f t="shared" si="1555"/>
        <v>-0.46994969552554933</v>
      </c>
      <c r="W791" s="13">
        <f t="shared" si="1556"/>
        <v>-0.67917077986179664</v>
      </c>
      <c r="X791" s="13">
        <f t="shared" si="1557"/>
        <v>-0.12382075471698117</v>
      </c>
      <c r="Y791" s="13">
        <f t="shared" si="1558"/>
        <v>-0.59599999999999997</v>
      </c>
    </row>
    <row r="792" spans="1:25" ht="14.4">
      <c r="A792" s="98" t="s">
        <v>1083</v>
      </c>
      <c r="B792" s="99">
        <v>523630</v>
      </c>
      <c r="C792" s="98" t="s">
        <v>196</v>
      </c>
      <c r="D792" s="100" t="s">
        <v>376</v>
      </c>
      <c r="E792" s="11">
        <f ca="1">IFERROR(__xludf.DUMMYFUNCTION("GOOGLEFINANCE(""BOM:""&amp;B793,""PRICE"")"),69.84)</f>
        <v>69.84</v>
      </c>
      <c r="F792" s="20">
        <f ca="1">IFERROR(__xludf.DUMMYFUNCTION("GOOGLEFINANCE(""BOM:""&amp;B793,""MARKETCAP"")/10000000"),3431.1054493)</f>
        <v>3431.1054493000001</v>
      </c>
      <c r="G792" s="95">
        <f t="shared" ca="1" si="1573"/>
        <v>8.5163138720377563E-5</v>
      </c>
      <c r="H792" s="101">
        <v>17166</v>
      </c>
      <c r="I792" s="101">
        <v>15137</v>
      </c>
      <c r="J792" s="101">
        <v>51</v>
      </c>
      <c r="K792" s="101">
        <v>-21</v>
      </c>
      <c r="L792" s="101">
        <v>6869</v>
      </c>
      <c r="M792" s="101">
        <v>5855</v>
      </c>
      <c r="N792" s="101">
        <v>93</v>
      </c>
      <c r="O792" s="101">
        <v>30</v>
      </c>
      <c r="P792" s="13">
        <f t="shared" ref="P792:Q792" si="1604">J792/H792</f>
        <v>2.9709891646277527E-3</v>
      </c>
      <c r="Q792" s="13">
        <f t="shared" si="1604"/>
        <v>-1.3873290612406686E-3</v>
      </c>
      <c r="R792" s="13">
        <f t="shared" si="1552"/>
        <v>4.3583182258684211E-3</v>
      </c>
      <c r="S792" s="13">
        <f t="shared" ref="S792:T792" si="1605">N792/L792</f>
        <v>1.3539088659193479E-2</v>
      </c>
      <c r="T792" s="13">
        <f t="shared" si="1605"/>
        <v>5.1238257899231428E-3</v>
      </c>
      <c r="U792" s="13">
        <f t="shared" si="1554"/>
        <v>8.415262869270336E-3</v>
      </c>
      <c r="V792" s="13">
        <f t="shared" si="1555"/>
        <v>0.13404241263130068</v>
      </c>
      <c r="W792" s="13">
        <f t="shared" si="1556"/>
        <v>-3.4285714285714284</v>
      </c>
      <c r="X792" s="13">
        <f t="shared" si="1557"/>
        <v>0.17318531169940221</v>
      </c>
      <c r="Y792" s="13">
        <f t="shared" si="1558"/>
        <v>2.1</v>
      </c>
    </row>
    <row r="793" spans="1:25" ht="14.4">
      <c r="A793" s="98" t="s">
        <v>1084</v>
      </c>
      <c r="B793" s="99">
        <v>533271</v>
      </c>
      <c r="C793" s="98" t="s">
        <v>180</v>
      </c>
      <c r="D793" s="100" t="s">
        <v>181</v>
      </c>
      <c r="E793" s="11">
        <f ca="1">IFERROR(__xludf.DUMMYFUNCTION("GOOGLEFINANCE(""BOM:""&amp;B794,""PRICE"")"),112.3)</f>
        <v>112.3</v>
      </c>
      <c r="F793" s="20">
        <f ca="1">IFERROR(__xludf.DUMMYFUNCTION("GOOGLEFINANCE(""BOM:""&amp;B794,""MARKETCAP"")/10000000"),3152.2397156)</f>
        <v>3152.2397156000002</v>
      </c>
      <c r="G793" s="95">
        <f t="shared" ca="1" si="1573"/>
        <v>7.8241439135685943E-5</v>
      </c>
      <c r="H793" s="101">
        <v>5565</v>
      </c>
      <c r="I793" s="101">
        <v>7342</v>
      </c>
      <c r="J793" s="101">
        <v>2428</v>
      </c>
      <c r="K793" s="101">
        <v>1281</v>
      </c>
      <c r="L793" s="101">
        <v>1827</v>
      </c>
      <c r="M793" s="101">
        <v>2387</v>
      </c>
      <c r="N793" s="101">
        <v>2111</v>
      </c>
      <c r="O793" s="101">
        <v>661</v>
      </c>
      <c r="P793" s="13">
        <f t="shared" ref="P793:Q793" si="1606">J793/H793</f>
        <v>0.43629829290206651</v>
      </c>
      <c r="Q793" s="13">
        <f t="shared" si="1606"/>
        <v>0.17447561972214656</v>
      </c>
      <c r="R793" s="13">
        <f t="shared" si="1552"/>
        <v>0.26182267317991992</v>
      </c>
      <c r="S793" s="13">
        <f t="shared" ref="S793:T793" si="1607">N793/L793</f>
        <v>1.1554460864805693</v>
      </c>
      <c r="T793" s="13">
        <f t="shared" si="1607"/>
        <v>0.27691663175534142</v>
      </c>
      <c r="U793" s="13">
        <f t="shared" si="1554"/>
        <v>0.87852945472522792</v>
      </c>
      <c r="V793" s="13">
        <f t="shared" si="1555"/>
        <v>-0.24203214383001903</v>
      </c>
      <c r="W793" s="13">
        <f t="shared" si="1556"/>
        <v>0.89539422326307583</v>
      </c>
      <c r="X793" s="13">
        <f t="shared" si="1557"/>
        <v>-0.23460410557184752</v>
      </c>
      <c r="Y793" s="13">
        <f t="shared" si="1558"/>
        <v>2.1936459909228443</v>
      </c>
    </row>
    <row r="794" spans="1:25" ht="14.4">
      <c r="A794" s="98" t="s">
        <v>1085</v>
      </c>
      <c r="B794" s="99">
        <v>532150</v>
      </c>
      <c r="C794" s="98" t="s">
        <v>190</v>
      </c>
      <c r="D794" s="100" t="s">
        <v>113</v>
      </c>
      <c r="E794" s="11">
        <f ca="1">IFERROR(__xludf.DUMMYFUNCTION("GOOGLEFINANCE(""BOM:""&amp;B795,""PRICE"")"),411)</f>
        <v>411</v>
      </c>
      <c r="F794" s="20">
        <f ca="1">IFERROR(__xludf.DUMMYFUNCTION("GOOGLEFINANCE(""BOM:""&amp;B795,""MARKETCAP"")/10000000"),3760.4261617)</f>
        <v>3760.4261617000002</v>
      </c>
      <c r="G794" s="95">
        <f t="shared" ca="1" si="1573"/>
        <v>9.3337176484019189E-5</v>
      </c>
      <c r="H794" s="101">
        <v>1118</v>
      </c>
      <c r="I794" s="101">
        <v>1023</v>
      </c>
      <c r="J794" s="101">
        <v>142</v>
      </c>
      <c r="K794" s="101">
        <v>120</v>
      </c>
      <c r="L794" s="101">
        <v>372</v>
      </c>
      <c r="M794" s="101">
        <v>325</v>
      </c>
      <c r="N794" s="101">
        <v>41</v>
      </c>
      <c r="O794" s="101">
        <v>33</v>
      </c>
      <c r="P794" s="13">
        <f t="shared" ref="P794:Q794" si="1608">J794/H794</f>
        <v>0.12701252236135957</v>
      </c>
      <c r="Q794" s="13">
        <f t="shared" si="1608"/>
        <v>0.11730205278592376</v>
      </c>
      <c r="R794" s="13">
        <f t="shared" si="1552"/>
        <v>9.7104695754358095E-3</v>
      </c>
      <c r="S794" s="13">
        <f t="shared" ref="S794:T794" si="1609">N794/L794</f>
        <v>0.11021505376344086</v>
      </c>
      <c r="T794" s="13">
        <f t="shared" si="1609"/>
        <v>0.10153846153846154</v>
      </c>
      <c r="U794" s="13">
        <f t="shared" si="1554"/>
        <v>8.6765922249793237E-3</v>
      </c>
      <c r="V794" s="13">
        <f t="shared" si="1555"/>
        <v>9.2864125122189556E-2</v>
      </c>
      <c r="W794" s="13">
        <f t="shared" si="1556"/>
        <v>0.18333333333333335</v>
      </c>
      <c r="X794" s="13">
        <f t="shared" si="1557"/>
        <v>0.14461538461538459</v>
      </c>
      <c r="Y794" s="13">
        <f t="shared" si="1558"/>
        <v>0.24242424242424243</v>
      </c>
    </row>
    <row r="795" spans="1:25" ht="14.4">
      <c r="A795" s="98" t="s">
        <v>1086</v>
      </c>
      <c r="B795" s="99">
        <v>543325</v>
      </c>
      <c r="C795" s="98" t="s">
        <v>187</v>
      </c>
      <c r="D795" s="100" t="s">
        <v>312</v>
      </c>
      <c r="E795" s="11">
        <f ca="1">IFERROR(__xludf.DUMMYFUNCTION("GOOGLEFINANCE(""BOM:""&amp;B796,""PRICE"")"),120)</f>
        <v>120</v>
      </c>
      <c r="F795" s="20">
        <f ca="1">IFERROR(__xludf.DUMMYFUNCTION("GOOGLEFINANCE(""BOM:""&amp;B796,""MARKETCAP"")/10000000"),3266.0908766)</f>
        <v>3266.0908765999998</v>
      </c>
      <c r="G795" s="95">
        <f t="shared" ca="1" si="1573"/>
        <v>8.1067327864840896E-5</v>
      </c>
      <c r="H795" s="101">
        <v>837</v>
      </c>
      <c r="I795" s="101">
        <v>870</v>
      </c>
      <c r="J795" s="101">
        <v>141</v>
      </c>
      <c r="K795" s="101">
        <v>119</v>
      </c>
      <c r="L795" s="101">
        <v>274</v>
      </c>
      <c r="M795" s="101">
        <v>259</v>
      </c>
      <c r="N795" s="101">
        <v>47</v>
      </c>
      <c r="O795" s="101">
        <v>20</v>
      </c>
      <c r="P795" s="13">
        <f t="shared" ref="P795:Q795" si="1610">J795/H795</f>
        <v>0.16845878136200718</v>
      </c>
      <c r="Q795" s="13">
        <f t="shared" si="1610"/>
        <v>0.1367816091954023</v>
      </c>
      <c r="R795" s="13">
        <f t="shared" si="1552"/>
        <v>3.1677172166604872E-2</v>
      </c>
      <c r="S795" s="13">
        <f t="shared" ref="S795:T795" si="1611">N795/L795</f>
        <v>0.17153284671532848</v>
      </c>
      <c r="T795" s="13">
        <f t="shared" si="1611"/>
        <v>7.7220077220077218E-2</v>
      </c>
      <c r="U795" s="13">
        <f t="shared" si="1554"/>
        <v>9.4312769495251261E-2</v>
      </c>
      <c r="V795" s="13">
        <f t="shared" si="1555"/>
        <v>-3.7931034482758585E-2</v>
      </c>
      <c r="W795" s="13">
        <f t="shared" si="1556"/>
        <v>0.18487394957983194</v>
      </c>
      <c r="X795" s="13">
        <f t="shared" si="1557"/>
        <v>5.7915057915058021E-2</v>
      </c>
      <c r="Y795" s="13">
        <f t="shared" si="1558"/>
        <v>1.35</v>
      </c>
    </row>
    <row r="796" spans="1:25" ht="14.4">
      <c r="A796" s="98" t="s">
        <v>1087</v>
      </c>
      <c r="B796" s="99">
        <v>530135</v>
      </c>
      <c r="C796" s="98" t="s">
        <v>170</v>
      </c>
      <c r="D796" s="100" t="s">
        <v>526</v>
      </c>
      <c r="E796" s="11">
        <f ca="1">IFERROR(__xludf.DUMMYFUNCTION("GOOGLEFINANCE(""BOM:""&amp;B797,""PRICE"")"),318)</f>
        <v>318</v>
      </c>
      <c r="F796" s="20">
        <f ca="1">IFERROR(__xludf.DUMMYFUNCTION("GOOGLEFINANCE(""BOM:""&amp;B797,""MARKETCAP"")/10000000"),2818.5293201)</f>
        <v>2818.5293200999999</v>
      </c>
      <c r="G796" s="95">
        <f t="shared" ca="1" si="1573"/>
        <v>6.9958445469549374E-5</v>
      </c>
      <c r="H796" s="101">
        <v>1283</v>
      </c>
      <c r="I796" s="101">
        <v>1440</v>
      </c>
      <c r="J796" s="101">
        <v>43</v>
      </c>
      <c r="K796" s="101">
        <v>40</v>
      </c>
      <c r="L796" s="101">
        <v>430</v>
      </c>
      <c r="M796" s="101">
        <v>471</v>
      </c>
      <c r="N796" s="101">
        <v>12</v>
      </c>
      <c r="O796" s="101">
        <v>15</v>
      </c>
      <c r="P796" s="13">
        <f t="shared" ref="P796:Q796" si="1612">J796/H796</f>
        <v>3.3515198752922838E-2</v>
      </c>
      <c r="Q796" s="13">
        <f t="shared" si="1612"/>
        <v>2.7777777777777776E-2</v>
      </c>
      <c r="R796" s="13">
        <f t="shared" si="1552"/>
        <v>5.7374209751450619E-3</v>
      </c>
      <c r="S796" s="13">
        <f t="shared" ref="S796:T796" si="1613">N796/L796</f>
        <v>2.7906976744186046E-2</v>
      </c>
      <c r="T796" s="13">
        <f t="shared" si="1613"/>
        <v>3.1847133757961783E-2</v>
      </c>
      <c r="U796" s="13">
        <f t="shared" si="1554"/>
        <v>-3.9401570137757372E-3</v>
      </c>
      <c r="V796" s="13">
        <f t="shared" si="1555"/>
        <v>-0.10902777777777772</v>
      </c>
      <c r="W796" s="13">
        <f t="shared" si="1556"/>
        <v>7.4999999999999956E-2</v>
      </c>
      <c r="X796" s="13">
        <f t="shared" si="1557"/>
        <v>-8.7048832271762189E-2</v>
      </c>
      <c r="Y796" s="13">
        <f t="shared" si="1558"/>
        <v>-0.19999999999999996</v>
      </c>
    </row>
    <row r="797" spans="1:25" ht="14.4">
      <c r="A797" s="98" t="s">
        <v>1088</v>
      </c>
      <c r="B797" s="99">
        <v>532407</v>
      </c>
      <c r="C797" s="98" t="s">
        <v>174</v>
      </c>
      <c r="D797" s="70" t="s">
        <v>1089</v>
      </c>
      <c r="E797" s="11">
        <f ca="1">IFERROR(__xludf.DUMMYFUNCTION("GOOGLEFINANCE(""BOM:""&amp;B798,""PRICE"")"),167.05)</f>
        <v>167.05</v>
      </c>
      <c r="F797" s="20">
        <f ca="1">IFERROR(__xludf.DUMMYFUNCTION("GOOGLEFINANCE(""BOM:""&amp;B798,""MARKETCAP"")/10000000"),3237.3710749)</f>
        <v>3237.3710749000002</v>
      </c>
      <c r="G797" s="95">
        <f t="shared" ca="1" si="1573"/>
        <v>8.0354476426043592E-5</v>
      </c>
      <c r="H797" s="101">
        <v>431</v>
      </c>
      <c r="I797" s="101">
        <v>332</v>
      </c>
      <c r="J797" s="101">
        <v>27</v>
      </c>
      <c r="K797" s="101">
        <v>24</v>
      </c>
      <c r="L797" s="101">
        <v>149</v>
      </c>
      <c r="M797" s="101">
        <v>126</v>
      </c>
      <c r="N797" s="101">
        <v>4</v>
      </c>
      <c r="O797" s="101">
        <v>11</v>
      </c>
      <c r="P797" s="13">
        <f t="shared" ref="P797:Q797" si="1614">J797/H797</f>
        <v>6.2645011600928072E-2</v>
      </c>
      <c r="Q797" s="13">
        <f t="shared" si="1614"/>
        <v>7.2289156626506021E-2</v>
      </c>
      <c r="R797" s="13">
        <f t="shared" si="1552"/>
        <v>-9.6441450255779493E-3</v>
      </c>
      <c r="S797" s="13">
        <f t="shared" ref="S797:T797" si="1615">N797/L797</f>
        <v>2.6845637583892617E-2</v>
      </c>
      <c r="T797" s="13">
        <f t="shared" si="1615"/>
        <v>8.7301587301587297E-2</v>
      </c>
      <c r="U797" s="13">
        <f t="shared" si="1554"/>
        <v>-6.0455949717694676E-2</v>
      </c>
      <c r="V797" s="13">
        <f t="shared" si="1555"/>
        <v>0.29819277108433728</v>
      </c>
      <c r="W797" s="13">
        <f t="shared" si="1556"/>
        <v>0.125</v>
      </c>
      <c r="X797" s="13">
        <f t="shared" si="1557"/>
        <v>0.18253968253968256</v>
      </c>
      <c r="Y797" s="13">
        <f t="shared" si="1558"/>
        <v>-0.63636363636363635</v>
      </c>
    </row>
    <row r="798" spans="1:25" ht="14.4">
      <c r="A798" s="98" t="s">
        <v>1090</v>
      </c>
      <c r="B798" s="99">
        <v>543533</v>
      </c>
      <c r="C798" s="98" t="s">
        <v>174</v>
      </c>
      <c r="D798" s="101" t="s">
        <v>455</v>
      </c>
      <c r="E798" s="11">
        <f ca="1">IFERROR(__xludf.DUMMYFUNCTION("GOOGLEFINANCE(""BOM:""&amp;B799,""PRICE"")"),422.45)</f>
        <v>422.45</v>
      </c>
      <c r="F798" s="20">
        <f ca="1">IFERROR(__xludf.DUMMYFUNCTION("GOOGLEFINANCE(""BOM:""&amp;B799,""MARKETCAP"")/10000000"),3460.1208519)</f>
        <v>3460.1208519000002</v>
      </c>
      <c r="G798" s="95">
        <f t="shared" ca="1" si="1573"/>
        <v>8.5883327240714511E-5</v>
      </c>
      <c r="H798" s="101">
        <v>516</v>
      </c>
      <c r="I798" s="101">
        <v>378</v>
      </c>
      <c r="J798" s="101">
        <v>80</v>
      </c>
      <c r="K798" s="101">
        <v>62</v>
      </c>
      <c r="L798" s="101">
        <v>191</v>
      </c>
      <c r="M798" s="101">
        <v>140</v>
      </c>
      <c r="N798" s="101">
        <v>28</v>
      </c>
      <c r="O798" s="101">
        <v>22</v>
      </c>
      <c r="P798" s="13">
        <f t="shared" ref="P798:Q798" si="1616">J798/H798</f>
        <v>0.15503875968992248</v>
      </c>
      <c r="Q798" s="13">
        <f t="shared" si="1616"/>
        <v>0.16402116402116401</v>
      </c>
      <c r="R798" s="13">
        <f t="shared" si="1552"/>
        <v>-8.9824043312415336E-3</v>
      </c>
      <c r="S798" s="13">
        <f t="shared" ref="S798:T798" si="1617">N798/L798</f>
        <v>0.14659685863874344</v>
      </c>
      <c r="T798" s="13">
        <f t="shared" si="1617"/>
        <v>0.15714285714285714</v>
      </c>
      <c r="U798" s="13">
        <f t="shared" si="1554"/>
        <v>-1.0545998504113696E-2</v>
      </c>
      <c r="V798" s="13">
        <f t="shared" si="1555"/>
        <v>0.36507936507936511</v>
      </c>
      <c r="W798" s="13">
        <f t="shared" si="1556"/>
        <v>0.29032258064516125</v>
      </c>
      <c r="X798" s="13">
        <f t="shared" si="1557"/>
        <v>0.36428571428571432</v>
      </c>
      <c r="Y798" s="13">
        <f t="shared" si="1558"/>
        <v>0.27272727272727271</v>
      </c>
    </row>
    <row r="799" spans="1:25" ht="14.4">
      <c r="A799" s="98" t="s">
        <v>1091</v>
      </c>
      <c r="B799" s="99">
        <v>501455</v>
      </c>
      <c r="C799" s="98" t="s">
        <v>180</v>
      </c>
      <c r="D799" s="100" t="s">
        <v>264</v>
      </c>
      <c r="E799" s="11">
        <f ca="1">IFERROR(__xludf.DUMMYFUNCTION("GOOGLEFINANCE(""BOM:""&amp;B800,""PRICE"")"),135.2)</f>
        <v>135.19999999999999</v>
      </c>
      <c r="F799" s="20">
        <f ca="1">IFERROR(__xludf.DUMMYFUNCTION("GOOGLEFINANCE(""BOM:""&amp;B800,""MARKETCAP"")/10000000"),3156.5777001)</f>
        <v>3156.5777001000001</v>
      </c>
      <c r="G799" s="95">
        <f t="shared" ca="1" si="1573"/>
        <v>7.8349111832197126E-5</v>
      </c>
      <c r="H799" s="101">
        <v>2436</v>
      </c>
      <c r="I799" s="101">
        <v>2096</v>
      </c>
      <c r="J799" s="101">
        <v>33</v>
      </c>
      <c r="K799" s="101">
        <v>-7</v>
      </c>
      <c r="L799" s="101">
        <v>875</v>
      </c>
      <c r="M799" s="101">
        <v>751</v>
      </c>
      <c r="N799" s="101">
        <v>6</v>
      </c>
      <c r="O799" s="101">
        <v>7</v>
      </c>
      <c r="P799" s="13">
        <f t="shared" ref="P799:Q799" si="1618">J799/H799</f>
        <v>1.3546798029556651E-2</v>
      </c>
      <c r="Q799" s="13">
        <f t="shared" si="1618"/>
        <v>-3.3396946564885495E-3</v>
      </c>
      <c r="R799" s="13">
        <f t="shared" si="1552"/>
        <v>1.6886492686045199E-2</v>
      </c>
      <c r="S799" s="13">
        <f t="shared" ref="S799:T799" si="1619">N799/L799</f>
        <v>6.8571428571428568E-3</v>
      </c>
      <c r="T799" s="13">
        <f t="shared" si="1619"/>
        <v>9.3209054593874838E-3</v>
      </c>
      <c r="U799" s="13">
        <f t="shared" si="1554"/>
        <v>-2.463762602244627E-3</v>
      </c>
      <c r="V799" s="13">
        <f t="shared" si="1555"/>
        <v>0.16221374045801529</v>
      </c>
      <c r="W799" s="13">
        <f t="shared" si="1556"/>
        <v>-5.7142857142857144</v>
      </c>
      <c r="X799" s="13">
        <f t="shared" si="1557"/>
        <v>0.16511318242343531</v>
      </c>
      <c r="Y799" s="13">
        <f t="shared" si="1558"/>
        <v>-0.1428571428571429</v>
      </c>
    </row>
    <row r="800" spans="1:25" ht="14.4">
      <c r="A800" s="104" t="s">
        <v>1092</v>
      </c>
      <c r="B800" s="99">
        <v>500390</v>
      </c>
      <c r="C800" s="98" t="s">
        <v>198</v>
      </c>
      <c r="D800" s="70" t="s">
        <v>288</v>
      </c>
      <c r="E800" s="11">
        <f ca="1">IFERROR(__xludf.DUMMYFUNCTION("GOOGLEFINANCE(""BOM:""&amp;B801,""PRICE"")"),77.2)</f>
        <v>77.2</v>
      </c>
      <c r="F800" s="20">
        <f ca="1">IFERROR(__xludf.DUMMYFUNCTION("GOOGLEFINANCE(""BOM:""&amp;B801,""MARKETCAP"")/10000000"),3141.7295318)</f>
        <v>3141.7295318000001</v>
      </c>
      <c r="G800" s="95">
        <f t="shared" ca="1" si="1573"/>
        <v>7.7980566873331352E-5</v>
      </c>
      <c r="H800" s="101">
        <v>16439</v>
      </c>
      <c r="I800" s="101">
        <v>19484</v>
      </c>
      <c r="J800" s="101">
        <v>1982</v>
      </c>
      <c r="K800" s="101">
        <v>550</v>
      </c>
      <c r="L800" s="101">
        <v>4297</v>
      </c>
      <c r="M800" s="101">
        <v>5033</v>
      </c>
      <c r="N800" s="101">
        <v>11</v>
      </c>
      <c r="O800" s="101">
        <v>-3298</v>
      </c>
      <c r="P800" s="13">
        <f t="shared" ref="P800:Q800" si="1620">J800/H800</f>
        <v>0.12056694446134193</v>
      </c>
      <c r="Q800" s="13">
        <f t="shared" si="1620"/>
        <v>2.8228289878874973E-2</v>
      </c>
      <c r="R800" s="13">
        <f t="shared" si="1552"/>
        <v>9.2338654582466956E-2</v>
      </c>
      <c r="S800" s="13">
        <f t="shared" ref="S800:T800" si="1621">N800/L800</f>
        <v>2.5599255294391438E-3</v>
      </c>
      <c r="T800" s="13">
        <f t="shared" si="1621"/>
        <v>-0.65527518378700578</v>
      </c>
      <c r="U800" s="13">
        <f t="shared" si="1554"/>
        <v>0.65783510931644495</v>
      </c>
      <c r="V800" s="13">
        <f t="shared" si="1555"/>
        <v>-0.15628207760213508</v>
      </c>
      <c r="W800" s="13">
        <f t="shared" si="1556"/>
        <v>2.6036363636363635</v>
      </c>
      <c r="X800" s="13">
        <f t="shared" si="1557"/>
        <v>-0.14623484999006553</v>
      </c>
      <c r="Y800" s="13">
        <f t="shared" si="1558"/>
        <v>-1.0033353547604609</v>
      </c>
    </row>
    <row r="801" spans="1:25" ht="14.4">
      <c r="A801" s="98" t="s">
        <v>1093</v>
      </c>
      <c r="B801" s="99">
        <v>543984</v>
      </c>
      <c r="C801" s="98" t="s">
        <v>187</v>
      </c>
      <c r="D801" s="70" t="s">
        <v>78</v>
      </c>
      <c r="E801" s="11">
        <f ca="1">IFERROR(__xludf.DUMMYFUNCTION("GOOGLEFINANCE(""BOM:""&amp;B802,""PRICE"")"),147.95)</f>
        <v>147.94999999999999</v>
      </c>
      <c r="F801" s="20">
        <f ca="1">IFERROR(__xludf.DUMMYFUNCTION("GOOGLEFINANCE(""BOM:""&amp;B802,""MARKETCAP"")/10000000"),3284.8006272)</f>
        <v>3284.8006271999998</v>
      </c>
      <c r="G801" s="95">
        <f t="shared" ca="1" si="1573"/>
        <v>8.1531720786981061E-5</v>
      </c>
      <c r="H801" s="101">
        <v>902</v>
      </c>
      <c r="I801" s="101">
        <v>801</v>
      </c>
      <c r="J801" s="101">
        <v>167</v>
      </c>
      <c r="K801" s="101">
        <v>39</v>
      </c>
      <c r="L801" s="101">
        <v>337</v>
      </c>
      <c r="M801" s="101">
        <v>292</v>
      </c>
      <c r="N801" s="101">
        <v>48</v>
      </c>
      <c r="O801" s="101">
        <v>22</v>
      </c>
      <c r="P801" s="13">
        <f t="shared" ref="P801:Q801" si="1622">J801/H801</f>
        <v>0.18514412416851442</v>
      </c>
      <c r="Q801" s="13">
        <f t="shared" si="1622"/>
        <v>4.8689138576779027E-2</v>
      </c>
      <c r="R801" s="13">
        <f t="shared" si="1552"/>
        <v>0.13645498559173538</v>
      </c>
      <c r="S801" s="13">
        <f t="shared" ref="S801:T801" si="1623">N801/L801</f>
        <v>0.14243323442136499</v>
      </c>
      <c r="T801" s="13">
        <f t="shared" si="1623"/>
        <v>7.5342465753424653E-2</v>
      </c>
      <c r="U801" s="13">
        <f t="shared" si="1554"/>
        <v>6.7090768667940337E-2</v>
      </c>
      <c r="V801" s="13">
        <f t="shared" si="1555"/>
        <v>0.1260923845193509</v>
      </c>
      <c r="W801" s="13">
        <f t="shared" si="1556"/>
        <v>3.2820512820512819</v>
      </c>
      <c r="X801" s="13">
        <f t="shared" si="1557"/>
        <v>0.15410958904109595</v>
      </c>
      <c r="Y801" s="13">
        <f t="shared" si="1558"/>
        <v>1.1818181818181817</v>
      </c>
    </row>
    <row r="802" spans="1:25" ht="14.4">
      <c r="A802" s="98" t="s">
        <v>1094</v>
      </c>
      <c r="B802" s="99">
        <v>544319</v>
      </c>
      <c r="C802" s="98" t="s">
        <v>190</v>
      </c>
      <c r="D802" s="100" t="s">
        <v>100</v>
      </c>
      <c r="E802" s="11">
        <f ca="1">IFERROR(__xludf.DUMMYFUNCTION("GOOGLEFINANCE(""BOM:""&amp;B803,""PRICE"")"),781.65)</f>
        <v>781.65</v>
      </c>
      <c r="F802" s="20">
        <f ca="1">IFERROR(__xludf.DUMMYFUNCTION("GOOGLEFINANCE(""BOM:""&amp;B803,""MARKETCAP"")/10000000"),3605.996097)</f>
        <v>3605.9960970000002</v>
      </c>
      <c r="G802" s="95">
        <f t="shared" ca="1" si="1573"/>
        <v>8.9504082684664781E-5</v>
      </c>
      <c r="H802" s="101">
        <v>474</v>
      </c>
      <c r="I802" s="101">
        <v>284</v>
      </c>
      <c r="J802" s="101">
        <v>85</v>
      </c>
      <c r="K802" s="101">
        <v>40</v>
      </c>
      <c r="L802" s="101">
        <v>175</v>
      </c>
      <c r="M802" s="101">
        <v>103</v>
      </c>
      <c r="N802" s="101">
        <v>34</v>
      </c>
      <c r="O802" s="101">
        <v>16</v>
      </c>
      <c r="P802" s="13">
        <f t="shared" ref="P802:Q802" si="1624">J802/H802</f>
        <v>0.17932489451476794</v>
      </c>
      <c r="Q802" s="13">
        <f t="shared" si="1624"/>
        <v>0.14084507042253522</v>
      </c>
      <c r="R802" s="13">
        <f t="shared" si="1552"/>
        <v>3.8479824092232717E-2</v>
      </c>
      <c r="S802" s="13">
        <f t="shared" ref="S802:T802" si="1625">N802/L802</f>
        <v>0.19428571428571428</v>
      </c>
      <c r="T802" s="13">
        <f t="shared" si="1625"/>
        <v>0.1553398058252427</v>
      </c>
      <c r="U802" s="13">
        <f t="shared" si="1554"/>
        <v>3.8945908460471579E-2</v>
      </c>
      <c r="V802" s="13">
        <f t="shared" si="1555"/>
        <v>0.66901408450704225</v>
      </c>
      <c r="W802" s="13">
        <f t="shared" si="1556"/>
        <v>1.125</v>
      </c>
      <c r="X802" s="13">
        <f t="shared" si="1557"/>
        <v>0.69902912621359214</v>
      </c>
      <c r="Y802" s="13">
        <f t="shared" si="1558"/>
        <v>1.125</v>
      </c>
    </row>
    <row r="803" spans="1:25" ht="14.4">
      <c r="A803" s="98" t="s">
        <v>1095</v>
      </c>
      <c r="B803" s="99">
        <v>532815</v>
      </c>
      <c r="C803" s="98" t="s">
        <v>190</v>
      </c>
      <c r="D803" s="100" t="s">
        <v>100</v>
      </c>
      <c r="E803" s="11">
        <f ca="1">IFERROR(__xludf.DUMMYFUNCTION("GOOGLEFINANCE(""BOM:""&amp;B804,""PRICE"")"),386.95)</f>
        <v>386.95</v>
      </c>
      <c r="F803" s="20">
        <f ca="1">IFERROR(__xludf.DUMMYFUNCTION("GOOGLEFINANCE(""BOM:""&amp;B804,""MARKETCAP"")/10000000"),3628.5476292)</f>
        <v>3628.5476291999998</v>
      </c>
      <c r="G803" s="95">
        <f t="shared" ca="1" si="1573"/>
        <v>9.006383209880694E-5</v>
      </c>
      <c r="H803" s="101">
        <v>648</v>
      </c>
      <c r="I803" s="101">
        <v>534</v>
      </c>
      <c r="J803" s="101">
        <v>67</v>
      </c>
      <c r="K803" s="101">
        <v>47</v>
      </c>
      <c r="L803" s="101">
        <v>210</v>
      </c>
      <c r="M803" s="101">
        <v>173</v>
      </c>
      <c r="N803" s="101">
        <v>23</v>
      </c>
      <c r="O803" s="101">
        <v>17</v>
      </c>
      <c r="P803" s="13">
        <f t="shared" ref="P803:Q803" si="1626">J803/H803</f>
        <v>0.10339506172839506</v>
      </c>
      <c r="Q803" s="13">
        <f t="shared" si="1626"/>
        <v>8.8014981273408247E-2</v>
      </c>
      <c r="R803" s="13">
        <f t="shared" si="1552"/>
        <v>1.5380080454986816E-2</v>
      </c>
      <c r="S803" s="13">
        <f t="shared" ref="S803:T803" si="1627">N803/L803</f>
        <v>0.10952380952380952</v>
      </c>
      <c r="T803" s="13">
        <f t="shared" si="1627"/>
        <v>9.8265895953757232E-2</v>
      </c>
      <c r="U803" s="13">
        <f t="shared" si="1554"/>
        <v>1.1257913570052291E-2</v>
      </c>
      <c r="V803" s="13">
        <f t="shared" si="1555"/>
        <v>0.21348314606741581</v>
      </c>
      <c r="W803" s="13">
        <f t="shared" si="1556"/>
        <v>0.42553191489361697</v>
      </c>
      <c r="X803" s="13">
        <f t="shared" si="1557"/>
        <v>0.21387283236994215</v>
      </c>
      <c r="Y803" s="13">
        <f t="shared" si="1558"/>
        <v>0.35294117647058831</v>
      </c>
    </row>
    <row r="804" spans="1:25" ht="14.4">
      <c r="A804" s="98" t="s">
        <v>1096</v>
      </c>
      <c r="B804" s="99">
        <v>530999</v>
      </c>
      <c r="C804" s="98" t="s">
        <v>196</v>
      </c>
      <c r="D804" s="70" t="s">
        <v>251</v>
      </c>
      <c r="E804" s="11">
        <f ca="1">IFERROR(__xludf.DUMMYFUNCTION("GOOGLEFINANCE(""BOM:""&amp;B805,""PRICE"")"),1035.85)</f>
        <v>1035.8499999999999</v>
      </c>
      <c r="F804" s="20">
        <f ca="1">IFERROR(__xludf.DUMMYFUNCTION("GOOGLEFINANCE(""BOM:""&amp;B805,""MARKETCAP"")/10000000"),3360.9548509)</f>
        <v>3360.9548509000001</v>
      </c>
      <c r="G804" s="95">
        <f t="shared" ca="1" si="1573"/>
        <v>8.3421937457071727E-5</v>
      </c>
      <c r="H804" s="101">
        <v>1030</v>
      </c>
      <c r="I804" s="101">
        <v>1044</v>
      </c>
      <c r="J804" s="101">
        <v>104</v>
      </c>
      <c r="K804" s="101">
        <v>118</v>
      </c>
      <c r="L804" s="101">
        <v>331</v>
      </c>
      <c r="M804" s="101">
        <v>312</v>
      </c>
      <c r="N804" s="101">
        <v>30</v>
      </c>
      <c r="O804" s="101">
        <v>31</v>
      </c>
      <c r="P804" s="13">
        <f t="shared" ref="P804:Q804" si="1628">J804/H804</f>
        <v>0.10097087378640776</v>
      </c>
      <c r="Q804" s="13">
        <f t="shared" si="1628"/>
        <v>0.11302681992337164</v>
      </c>
      <c r="R804" s="13">
        <f t="shared" si="1552"/>
        <v>-1.2055946136963883E-2</v>
      </c>
      <c r="S804" s="13">
        <f t="shared" ref="S804:T804" si="1629">N804/L804</f>
        <v>9.0634441087613288E-2</v>
      </c>
      <c r="T804" s="13">
        <f t="shared" si="1629"/>
        <v>9.9358974358974353E-2</v>
      </c>
      <c r="U804" s="13">
        <f t="shared" si="1554"/>
        <v>-8.7245332713610652E-3</v>
      </c>
      <c r="V804" s="13">
        <f t="shared" si="1555"/>
        <v>-1.3409961685823757E-2</v>
      </c>
      <c r="W804" s="13">
        <f t="shared" si="1556"/>
        <v>-0.11864406779661019</v>
      </c>
      <c r="X804" s="13">
        <f t="shared" si="1557"/>
        <v>6.0897435897435903E-2</v>
      </c>
      <c r="Y804" s="13">
        <f t="shared" si="1558"/>
        <v>-3.2258064516129004E-2</v>
      </c>
    </row>
    <row r="805" spans="1:25" ht="14.4">
      <c r="A805" s="98" t="s">
        <v>1097</v>
      </c>
      <c r="B805" s="99">
        <v>541019</v>
      </c>
      <c r="C805" s="98" t="s">
        <v>180</v>
      </c>
      <c r="D805" s="70" t="s">
        <v>181</v>
      </c>
      <c r="E805" s="11">
        <f ca="1">IFERROR(__xludf.DUMMYFUNCTION("GOOGLEFINANCE(""BOM:""&amp;B806,""PRICE"")"),486.35)</f>
        <v>486.35</v>
      </c>
      <c r="F805" s="20">
        <f ca="1">IFERROR(__xludf.DUMMYFUNCTION("GOOGLEFINANCE(""BOM:""&amp;B806,""MARKETCAP"")/10000000"),3171.2257657)</f>
        <v>3171.2257657</v>
      </c>
      <c r="G805" s="95">
        <f t="shared" ca="1" si="1573"/>
        <v>7.8712690061170682E-5</v>
      </c>
      <c r="H805" s="101">
        <v>3807</v>
      </c>
      <c r="I805" s="101">
        <v>3695</v>
      </c>
      <c r="J805" s="101">
        <v>245</v>
      </c>
      <c r="K805" s="101">
        <v>358</v>
      </c>
      <c r="L805" s="101">
        <v>1421</v>
      </c>
      <c r="M805" s="101">
        <v>1264</v>
      </c>
      <c r="N805" s="101">
        <v>94</v>
      </c>
      <c r="O805" s="101">
        <v>115</v>
      </c>
      <c r="P805" s="13">
        <f t="shared" ref="P805:Q805" si="1630">J805/H805</f>
        <v>6.4355135277121098E-2</v>
      </c>
      <c r="Q805" s="13">
        <f t="shared" si="1630"/>
        <v>9.6887686062246278E-2</v>
      </c>
      <c r="R805" s="13">
        <f t="shared" si="1552"/>
        <v>-3.2532550785125181E-2</v>
      </c>
      <c r="S805" s="13">
        <f t="shared" ref="S805:T805" si="1631">N805/L805</f>
        <v>6.615059817030261E-2</v>
      </c>
      <c r="T805" s="13">
        <f t="shared" si="1631"/>
        <v>9.0981012658227847E-2</v>
      </c>
      <c r="U805" s="13">
        <f t="shared" si="1554"/>
        <v>-2.4830414487925237E-2</v>
      </c>
      <c r="V805" s="13">
        <f t="shared" si="1555"/>
        <v>3.0311231393775451E-2</v>
      </c>
      <c r="W805" s="13">
        <f t="shared" si="1556"/>
        <v>-0.31564245810055869</v>
      </c>
      <c r="X805" s="13">
        <f t="shared" si="1557"/>
        <v>0.12420886075949378</v>
      </c>
      <c r="Y805" s="13">
        <f t="shared" si="1558"/>
        <v>-0.18260869565217386</v>
      </c>
    </row>
    <row r="806" spans="1:25" ht="14.4">
      <c r="A806" s="98" t="s">
        <v>1098</v>
      </c>
      <c r="B806" s="99">
        <v>522034</v>
      </c>
      <c r="C806" s="98" t="s">
        <v>180</v>
      </c>
      <c r="D806" s="70" t="s">
        <v>514</v>
      </c>
      <c r="E806" s="11">
        <f ca="1">IFERROR(__xludf.DUMMYFUNCTION("GOOGLEFINANCE(""BOM:""&amp;B807,""PRICE"")"),458.3)</f>
        <v>458.3</v>
      </c>
      <c r="F806" s="20">
        <f ca="1">IFERROR(__xludf.DUMMYFUNCTION("GOOGLEFINANCE(""BOM:""&amp;B807,""MARKETCAP"")/10000000"),3501.6955233)</f>
        <v>3501.6955232999999</v>
      </c>
      <c r="G806" s="95">
        <f t="shared" ca="1" si="1573"/>
        <v>8.6915248165329246E-5</v>
      </c>
      <c r="H806" s="101">
        <v>383</v>
      </c>
      <c r="I806" s="101">
        <v>451</v>
      </c>
      <c r="J806" s="101">
        <v>60</v>
      </c>
      <c r="K806" s="101">
        <v>73</v>
      </c>
      <c r="L806" s="101">
        <v>116</v>
      </c>
      <c r="M806" s="101">
        <v>157</v>
      </c>
      <c r="N806" s="101">
        <v>16</v>
      </c>
      <c r="O806" s="101">
        <v>26</v>
      </c>
      <c r="P806" s="13">
        <f t="shared" ref="P806:Q806" si="1632">J806/H806</f>
        <v>0.1566579634464752</v>
      </c>
      <c r="Q806" s="13">
        <f t="shared" si="1632"/>
        <v>0.16186252771618626</v>
      </c>
      <c r="R806" s="13">
        <f t="shared" si="1552"/>
        <v>-5.2045642697110539E-3</v>
      </c>
      <c r="S806" s="13">
        <f t="shared" ref="S806:T806" si="1633">N806/L806</f>
        <v>0.13793103448275862</v>
      </c>
      <c r="T806" s="13">
        <f t="shared" si="1633"/>
        <v>0.16560509554140126</v>
      </c>
      <c r="U806" s="13">
        <f t="shared" si="1554"/>
        <v>-2.7674061058642646E-2</v>
      </c>
      <c r="V806" s="13">
        <f t="shared" si="1555"/>
        <v>-0.15077605321507759</v>
      </c>
      <c r="W806" s="13">
        <f t="shared" si="1556"/>
        <v>-0.17808219178082196</v>
      </c>
      <c r="X806" s="13">
        <f t="shared" si="1557"/>
        <v>-0.26114649681528668</v>
      </c>
      <c r="Y806" s="13">
        <f t="shared" si="1558"/>
        <v>-0.38461538461538458</v>
      </c>
    </row>
    <row r="807" spans="1:25" ht="14.4">
      <c r="A807" s="104" t="s">
        <v>1099</v>
      </c>
      <c r="B807" s="99">
        <v>530001</v>
      </c>
      <c r="C807" s="98" t="s">
        <v>196</v>
      </c>
      <c r="D807" s="100" t="s">
        <v>346</v>
      </c>
      <c r="E807" s="11">
        <f ca="1">IFERROR(__xludf.DUMMYFUNCTION("GOOGLEFINANCE(""BOM:""&amp;B808,""PRICE"")"),588.55)</f>
        <v>588.54999999999995</v>
      </c>
      <c r="F807" s="20">
        <f ca="1">IFERROR(__xludf.DUMMYFUNCTION("GOOGLEFINANCE(""BOM:""&amp;B808,""MARKETCAP"")/10000000"),4316.6226557)</f>
        <v>4316.6226557</v>
      </c>
      <c r="G807" s="95">
        <f t="shared" ca="1" si="1573"/>
        <v>1.0714247622611057E-4</v>
      </c>
      <c r="H807" s="101">
        <v>3232</v>
      </c>
      <c r="I807" s="101">
        <v>2997</v>
      </c>
      <c r="J807" s="101">
        <v>-17</v>
      </c>
      <c r="K807" s="101">
        <v>-73</v>
      </c>
      <c r="L807" s="101">
        <v>1044</v>
      </c>
      <c r="M807" s="101">
        <v>1029</v>
      </c>
      <c r="N807" s="101">
        <v>-19</v>
      </c>
      <c r="O807" s="101">
        <v>-11</v>
      </c>
      <c r="P807" s="13">
        <f t="shared" ref="P807:Q807" si="1634">J807/H807</f>
        <v>-5.2599009900990102E-3</v>
      </c>
      <c r="Q807" s="13">
        <f t="shared" si="1634"/>
        <v>-2.435769102435769E-2</v>
      </c>
      <c r="R807" s="13">
        <f t="shared" si="1552"/>
        <v>1.9097790034258679E-2</v>
      </c>
      <c r="S807" s="13">
        <f t="shared" ref="S807:T807" si="1635">N807/L807</f>
        <v>-1.8199233716475097E-2</v>
      </c>
      <c r="T807" s="13">
        <f t="shared" si="1635"/>
        <v>-1.0689990281827016E-2</v>
      </c>
      <c r="U807" s="13">
        <f t="shared" si="1554"/>
        <v>-7.5092434346480802E-3</v>
      </c>
      <c r="V807" s="13">
        <f t="shared" si="1555"/>
        <v>7.8411745078411643E-2</v>
      </c>
      <c r="W807" s="13">
        <f t="shared" si="1556"/>
        <v>-0.76712328767123283</v>
      </c>
      <c r="X807" s="13">
        <f t="shared" si="1557"/>
        <v>1.4577259475218707E-2</v>
      </c>
      <c r="Y807" s="13">
        <f t="shared" si="1558"/>
        <v>0.72727272727272729</v>
      </c>
    </row>
    <row r="808" spans="1:25" ht="14.4">
      <c r="A808" s="98" t="s">
        <v>1100</v>
      </c>
      <c r="B808" s="99">
        <v>544418</v>
      </c>
      <c r="C808" s="98" t="s">
        <v>180</v>
      </c>
      <c r="D808" s="100" t="s">
        <v>264</v>
      </c>
      <c r="E808" s="11">
        <f ca="1">IFERROR(__xludf.DUMMYFUNCTION("GOOGLEFINANCE(""BOM:""&amp;B809,""PRICE"")"),322.4)</f>
        <v>322.39999999999998</v>
      </c>
      <c r="F808" s="20">
        <f ca="1">IFERROR(__xludf.DUMMYFUNCTION("GOOGLEFINANCE(""BOM:""&amp;B809,""MARKETCAP"")/10000000"),3673.4914628)</f>
        <v>3673.4914628000001</v>
      </c>
      <c r="G808" s="95">
        <f t="shared" ca="1" si="1573"/>
        <v>9.1179378674702247E-5</v>
      </c>
      <c r="H808" s="101">
        <v>1554</v>
      </c>
      <c r="I808" s="101">
        <v>1065</v>
      </c>
      <c r="J808" s="101">
        <v>283</v>
      </c>
      <c r="K808" s="101">
        <v>216</v>
      </c>
      <c r="L808" s="101">
        <v>501</v>
      </c>
      <c r="M808" s="101">
        <v>379</v>
      </c>
      <c r="N808" s="101">
        <v>91</v>
      </c>
      <c r="O808" s="101">
        <v>80</v>
      </c>
      <c r="P808" s="13">
        <f t="shared" ref="P808:Q808" si="1636">J808/H808</f>
        <v>0.1821106821106821</v>
      </c>
      <c r="Q808" s="13">
        <f t="shared" si="1636"/>
        <v>0.20281690140845071</v>
      </c>
      <c r="R808" s="13">
        <f t="shared" si="1552"/>
        <v>-2.0706219297768613E-2</v>
      </c>
      <c r="S808" s="13">
        <f t="shared" ref="S808:T808" si="1637">N808/L808</f>
        <v>0.18163672654690619</v>
      </c>
      <c r="T808" s="13">
        <f t="shared" si="1637"/>
        <v>0.21108179419525067</v>
      </c>
      <c r="U808" s="13">
        <f t="shared" si="1554"/>
        <v>-2.9445067648344481E-2</v>
      </c>
      <c r="V808" s="13">
        <f t="shared" si="1555"/>
        <v>0.45915492957746484</v>
      </c>
      <c r="W808" s="13">
        <f t="shared" si="1556"/>
        <v>0.31018518518518512</v>
      </c>
      <c r="X808" s="13">
        <f t="shared" si="1557"/>
        <v>0.32189973614775735</v>
      </c>
      <c r="Y808" s="13">
        <f t="shared" si="1558"/>
        <v>0.13749999999999996</v>
      </c>
    </row>
    <row r="809" spans="1:25" ht="14.4">
      <c r="A809" s="98" t="s">
        <v>1101</v>
      </c>
      <c r="B809" s="99">
        <v>500187</v>
      </c>
      <c r="C809" s="98" t="s">
        <v>180</v>
      </c>
      <c r="D809" s="70" t="s">
        <v>895</v>
      </c>
      <c r="E809" s="11">
        <f ca="1">IFERROR(__xludf.DUMMYFUNCTION("GOOGLEFINANCE(""BOM:""&amp;B810,""PRICE"")"),497.7)</f>
        <v>497.7</v>
      </c>
      <c r="F809" s="20">
        <f ca="1">IFERROR(__xludf.DUMMYFUNCTION("GOOGLEFINANCE(""BOM:""&amp;B810,""MARKETCAP"")/10000000"),3218.371247)</f>
        <v>3218.371247</v>
      </c>
      <c r="G809" s="95">
        <f t="shared" ca="1" si="1573"/>
        <v>7.9882883523108724E-5</v>
      </c>
      <c r="H809" s="101">
        <v>1964</v>
      </c>
      <c r="I809" s="101">
        <v>1861</v>
      </c>
      <c r="J809" s="101">
        <v>236</v>
      </c>
      <c r="K809" s="101">
        <v>225</v>
      </c>
      <c r="L809" s="101">
        <v>637</v>
      </c>
      <c r="M809" s="101">
        <v>673</v>
      </c>
      <c r="N809" s="101">
        <v>71</v>
      </c>
      <c r="O809" s="101">
        <v>90</v>
      </c>
      <c r="P809" s="13">
        <f t="shared" ref="P809:Q809" si="1638">J809/H809</f>
        <v>0.12016293279022404</v>
      </c>
      <c r="Q809" s="13">
        <f t="shared" si="1638"/>
        <v>0.12090274046211714</v>
      </c>
      <c r="R809" s="13">
        <f t="shared" si="1552"/>
        <v>-7.398076718931057E-4</v>
      </c>
      <c r="S809" s="13">
        <f t="shared" ref="S809:T809" si="1639">N809/L809</f>
        <v>0.11145996860282574</v>
      </c>
      <c r="T809" s="13">
        <f t="shared" si="1639"/>
        <v>0.1337295690936107</v>
      </c>
      <c r="U809" s="13">
        <f t="shared" si="1554"/>
        <v>-2.2269600490784955E-2</v>
      </c>
      <c r="V809" s="13">
        <f t="shared" si="1555"/>
        <v>5.5346587855991336E-2</v>
      </c>
      <c r="W809" s="13">
        <f t="shared" si="1556"/>
        <v>4.8888888888888982E-2</v>
      </c>
      <c r="X809" s="13">
        <f t="shared" si="1557"/>
        <v>-5.3491827637444311E-2</v>
      </c>
      <c r="Y809" s="13">
        <f t="shared" si="1558"/>
        <v>-0.21111111111111114</v>
      </c>
    </row>
    <row r="810" spans="1:25" ht="14.4">
      <c r="A810" s="98" t="s">
        <v>1102</v>
      </c>
      <c r="B810" s="99">
        <v>526807</v>
      </c>
      <c r="C810" s="98" t="s">
        <v>206</v>
      </c>
      <c r="D810" s="100" t="s">
        <v>585</v>
      </c>
      <c r="E810" s="11">
        <f ca="1">IFERROR(__xludf.DUMMYFUNCTION("GOOGLEFINANCE(""BOM:""&amp;B811,""PRICE"")"),1484)</f>
        <v>1484</v>
      </c>
      <c r="F810" s="20">
        <f ca="1">IFERROR(__xludf.DUMMYFUNCTION("GOOGLEFINANCE(""BOM:""&amp;B811,""MARKETCAP"")/10000000"),3777.1364523)</f>
        <v>3777.1364523000002</v>
      </c>
      <c r="G810" s="95">
        <f t="shared" ca="1" si="1573"/>
        <v>9.3751941001593545E-5</v>
      </c>
      <c r="H810" s="101">
        <v>625</v>
      </c>
      <c r="I810" s="101">
        <v>452</v>
      </c>
      <c r="J810" s="101">
        <v>149</v>
      </c>
      <c r="K810" s="101">
        <v>46</v>
      </c>
      <c r="L810" s="101">
        <v>317</v>
      </c>
      <c r="M810" s="101">
        <v>149</v>
      </c>
      <c r="N810" s="101">
        <v>99</v>
      </c>
      <c r="O810" s="101">
        <v>-3</v>
      </c>
      <c r="P810" s="13">
        <f t="shared" ref="P810:Q810" si="1640">J810/H810</f>
        <v>0.2384</v>
      </c>
      <c r="Q810" s="13">
        <f t="shared" si="1640"/>
        <v>0.10176991150442478</v>
      </c>
      <c r="R810" s="13">
        <f t="shared" si="1552"/>
        <v>0.13663008849557523</v>
      </c>
      <c r="S810" s="13">
        <f t="shared" ref="S810:T810" si="1641">N810/L810</f>
        <v>0.31230283911671924</v>
      </c>
      <c r="T810" s="13">
        <f t="shared" si="1641"/>
        <v>-2.0134228187919462E-2</v>
      </c>
      <c r="U810" s="13">
        <f t="shared" si="1554"/>
        <v>0.33243706730463873</v>
      </c>
      <c r="V810" s="13">
        <f t="shared" si="1555"/>
        <v>0.38274336283185839</v>
      </c>
      <c r="W810" s="13">
        <f t="shared" si="1556"/>
        <v>2.2391304347826089</v>
      </c>
      <c r="X810" s="13">
        <f t="shared" si="1557"/>
        <v>1.1275167785234901</v>
      </c>
      <c r="Y810" s="13">
        <f t="shared" si="1558"/>
        <v>-34</v>
      </c>
    </row>
    <row r="811" spans="1:25" ht="14.4">
      <c r="A811" s="104" t="s">
        <v>1103</v>
      </c>
      <c r="B811" s="99">
        <v>544314</v>
      </c>
      <c r="C811" s="98" t="s">
        <v>187</v>
      </c>
      <c r="D811" s="100" t="s">
        <v>492</v>
      </c>
      <c r="E811" s="11">
        <f ca="1">IFERROR(__xludf.DUMMYFUNCTION("GOOGLEFINANCE(""BOM:""&amp;B812,""PRICE"")"),423)</f>
        <v>423</v>
      </c>
      <c r="F811" s="20">
        <f ca="1">IFERROR(__xludf.DUMMYFUNCTION("GOOGLEFINANCE(""BOM:""&amp;B812,""MARKETCAP"")/10000000"),3579.9977292)</f>
        <v>3579.9977291999999</v>
      </c>
      <c r="G811" s="95">
        <f t="shared" ca="1" si="1573"/>
        <v>8.8858779695242949E-5</v>
      </c>
      <c r="H811" s="101">
        <v>2642</v>
      </c>
      <c r="I811" s="101">
        <v>2266</v>
      </c>
      <c r="J811" s="101">
        <v>56</v>
      </c>
      <c r="K811" s="101">
        <v>117</v>
      </c>
      <c r="L811" s="101">
        <v>1079</v>
      </c>
      <c r="M811" s="101">
        <v>743</v>
      </c>
      <c r="N811" s="101">
        <v>-5</v>
      </c>
      <c r="O811" s="101">
        <v>34</v>
      </c>
      <c r="P811" s="13">
        <f t="shared" ref="P811:Q811" si="1642">J811/H811</f>
        <v>2.1196063588190765E-2</v>
      </c>
      <c r="Q811" s="13">
        <f t="shared" si="1642"/>
        <v>5.1632833186231242E-2</v>
      </c>
      <c r="R811" s="13">
        <f t="shared" si="1552"/>
        <v>-3.0436769598040477E-2</v>
      </c>
      <c r="S811" s="13">
        <f t="shared" ref="S811:T811" si="1643">N811/L811</f>
        <v>-4.6339202965708986E-3</v>
      </c>
      <c r="T811" s="13">
        <f t="shared" si="1643"/>
        <v>4.5760430686406457E-2</v>
      </c>
      <c r="U811" s="13">
        <f t="shared" si="1554"/>
        <v>-5.0394350982977357E-2</v>
      </c>
      <c r="V811" s="13">
        <f t="shared" si="1555"/>
        <v>0.16593115622241839</v>
      </c>
      <c r="W811" s="13">
        <f t="shared" si="1556"/>
        <v>-0.52136752136752129</v>
      </c>
      <c r="X811" s="13">
        <f t="shared" si="1557"/>
        <v>0.45222072678331093</v>
      </c>
      <c r="Y811" s="13">
        <f t="shared" si="1558"/>
        <v>-1.1470588235294117</v>
      </c>
    </row>
    <row r="812" spans="1:25" ht="14.4">
      <c r="A812" s="98" t="s">
        <v>1104</v>
      </c>
      <c r="B812" s="99">
        <v>541336</v>
      </c>
      <c r="C812" s="98" t="s">
        <v>172</v>
      </c>
      <c r="D812" s="100" t="s">
        <v>178</v>
      </c>
      <c r="E812" s="11">
        <f ca="1">IFERROR(__xludf.DUMMYFUNCTION("GOOGLEFINANCE(""BOM:""&amp;B813,""PRICE"")"),201.8)</f>
        <v>201.8</v>
      </c>
      <c r="F812" s="20">
        <f ca="1">IFERROR(__xludf.DUMMYFUNCTION("GOOGLEFINANCE(""BOM:""&amp;B813,""MARKETCAP"")/10000000"),3225.2517943)</f>
        <v>3225.2517942999998</v>
      </c>
      <c r="G812" s="95">
        <f t="shared" ca="1" si="1573"/>
        <v>8.0053664926606994E-5</v>
      </c>
      <c r="H812" s="101">
        <v>1046</v>
      </c>
      <c r="I812" s="101">
        <v>1031</v>
      </c>
      <c r="J812" s="101">
        <v>564</v>
      </c>
      <c r="K812" s="101">
        <v>84</v>
      </c>
      <c r="L812" s="101">
        <v>346</v>
      </c>
      <c r="M812" s="101">
        <v>373</v>
      </c>
      <c r="N812" s="101">
        <v>8</v>
      </c>
      <c r="O812" s="101">
        <v>27</v>
      </c>
      <c r="P812" s="13">
        <f t="shared" ref="P812:Q812" si="1644">J812/H812</f>
        <v>0.53919694072657742</v>
      </c>
      <c r="Q812" s="13">
        <f t="shared" si="1644"/>
        <v>8.147429679922405E-2</v>
      </c>
      <c r="R812" s="13">
        <f t="shared" si="1552"/>
        <v>0.4577226439273534</v>
      </c>
      <c r="S812" s="13">
        <f t="shared" ref="S812:T812" si="1645">N812/L812</f>
        <v>2.3121387283236993E-2</v>
      </c>
      <c r="T812" s="13">
        <f t="shared" si="1645"/>
        <v>7.2386058981233251E-2</v>
      </c>
      <c r="U812" s="13">
        <f t="shared" si="1554"/>
        <v>-4.9264671697996254E-2</v>
      </c>
      <c r="V812" s="13">
        <f t="shared" si="1555"/>
        <v>1.4548981571290032E-2</v>
      </c>
      <c r="W812" s="13">
        <f t="shared" si="1556"/>
        <v>5.7142857142857144</v>
      </c>
      <c r="X812" s="13">
        <f t="shared" si="1557"/>
        <v>-7.2386058981233292E-2</v>
      </c>
      <c r="Y812" s="13">
        <f t="shared" si="1558"/>
        <v>-0.70370370370370372</v>
      </c>
    </row>
    <row r="813" spans="1:25" ht="14.4">
      <c r="A813" s="104" t="s">
        <v>1105</v>
      </c>
      <c r="B813" s="99">
        <v>521248</v>
      </c>
      <c r="C813" s="98" t="s">
        <v>187</v>
      </c>
      <c r="D813" s="100" t="s">
        <v>96</v>
      </c>
      <c r="E813" s="11">
        <f ca="1">IFERROR(__xludf.DUMMYFUNCTION("GOOGLEFINANCE(""BOM:""&amp;B814,""PRICE"")"),159.75)</f>
        <v>159.75</v>
      </c>
      <c r="F813" s="20">
        <f ca="1">IFERROR(__xludf.DUMMYFUNCTION("GOOGLEFINANCE(""BOM:""&amp;B814,""MARKETCAP"")/10000000"),3181.0258446)</f>
        <v>3181.0258445999998</v>
      </c>
      <c r="G813" s="95">
        <f t="shared" ca="1" si="1573"/>
        <v>7.895593687802429E-5</v>
      </c>
      <c r="H813" s="101">
        <v>500</v>
      </c>
      <c r="I813" s="101">
        <v>682</v>
      </c>
      <c r="J813" s="101">
        <v>-3</v>
      </c>
      <c r="K813" s="101">
        <v>103</v>
      </c>
      <c r="L813" s="101">
        <v>181</v>
      </c>
      <c r="M813" s="101">
        <v>276</v>
      </c>
      <c r="N813" s="101">
        <v>-17</v>
      </c>
      <c r="O813" s="101">
        <v>40</v>
      </c>
      <c r="P813" s="13">
        <f t="shared" ref="P813:Q813" si="1646">J813/H813</f>
        <v>-6.0000000000000001E-3</v>
      </c>
      <c r="Q813" s="13">
        <f t="shared" si="1646"/>
        <v>0.15102639296187684</v>
      </c>
      <c r="R813" s="13">
        <f t="shared" si="1552"/>
        <v>-0.15702639296187684</v>
      </c>
      <c r="S813" s="13">
        <f t="shared" ref="S813:T813" si="1647">N813/L813</f>
        <v>-9.3922651933701654E-2</v>
      </c>
      <c r="T813" s="13">
        <f t="shared" si="1647"/>
        <v>0.14492753623188406</v>
      </c>
      <c r="U813" s="13">
        <f t="shared" si="1554"/>
        <v>-0.23885018816558573</v>
      </c>
      <c r="V813" s="13">
        <f t="shared" si="1555"/>
        <v>-0.26686217008797652</v>
      </c>
      <c r="W813" s="13">
        <f t="shared" si="1556"/>
        <v>-1.029126213592233</v>
      </c>
      <c r="X813" s="13">
        <f t="shared" si="1557"/>
        <v>-0.34420289855072461</v>
      </c>
      <c r="Y813" s="13">
        <f t="shared" si="1558"/>
        <v>-1.425</v>
      </c>
    </row>
    <row r="814" spans="1:25" ht="14.4">
      <c r="A814" s="98" t="s">
        <v>1106</v>
      </c>
      <c r="B814" s="99">
        <v>506222</v>
      </c>
      <c r="C814" s="98" t="s">
        <v>196</v>
      </c>
      <c r="D814" s="101" t="s">
        <v>251</v>
      </c>
      <c r="E814" s="11">
        <f ca="1">IFERROR(__xludf.DUMMYFUNCTION("GOOGLEFINANCE(""BOM:""&amp;B815,""PRICE"")"),1880.6)</f>
        <v>1880.6</v>
      </c>
      <c r="F814" s="20">
        <f ca="1">IFERROR(__xludf.DUMMYFUNCTION("GOOGLEFINANCE(""BOM:""&amp;B815,""MARKETCAP"")/10000000"),3217.114)</f>
        <v>3217.114</v>
      </c>
      <c r="G814" s="95">
        <f t="shared" ca="1" si="1573"/>
        <v>7.9851677516109261E-5</v>
      </c>
      <c r="H814" s="101">
        <v>2612</v>
      </c>
      <c r="I814" s="101">
        <v>2043</v>
      </c>
      <c r="J814" s="101">
        <v>109</v>
      </c>
      <c r="K814" s="101">
        <v>179</v>
      </c>
      <c r="L814" s="101">
        <v>869</v>
      </c>
      <c r="M814" s="101">
        <v>691</v>
      </c>
      <c r="N814" s="101">
        <v>16</v>
      </c>
      <c r="O814" s="101">
        <v>49</v>
      </c>
      <c r="P814" s="13">
        <f t="shared" ref="P814:Q814" si="1648">J814/H814</f>
        <v>4.1730474732006126E-2</v>
      </c>
      <c r="Q814" s="13">
        <f t="shared" si="1648"/>
        <v>8.7616250611845331E-2</v>
      </c>
      <c r="R814" s="13">
        <f t="shared" si="1552"/>
        <v>-4.5885775879839205E-2</v>
      </c>
      <c r="S814" s="13">
        <f t="shared" ref="S814:T814" si="1649">N814/L814</f>
        <v>1.8411967779056387E-2</v>
      </c>
      <c r="T814" s="13">
        <f t="shared" si="1649"/>
        <v>7.0911722141823438E-2</v>
      </c>
      <c r="U814" s="13">
        <f t="shared" si="1554"/>
        <v>-5.2499754362767048E-2</v>
      </c>
      <c r="V814" s="13">
        <f t="shared" si="1555"/>
        <v>0.27851199216837985</v>
      </c>
      <c r="W814" s="13">
        <f t="shared" si="1556"/>
        <v>-0.39106145251396651</v>
      </c>
      <c r="X814" s="13">
        <f t="shared" si="1557"/>
        <v>0.25759768451519527</v>
      </c>
      <c r="Y814" s="13">
        <f t="shared" si="1558"/>
        <v>-0.67346938775510212</v>
      </c>
    </row>
    <row r="815" spans="1:25" ht="14.4">
      <c r="A815" s="98" t="s">
        <v>1107</v>
      </c>
      <c r="B815" s="99">
        <v>532626</v>
      </c>
      <c r="C815" s="98" t="s">
        <v>196</v>
      </c>
      <c r="D815" s="108" t="s">
        <v>216</v>
      </c>
      <c r="E815" s="11">
        <f ca="1">IFERROR(__xludf.DUMMYFUNCTION("GOOGLEFINANCE(""BOM:""&amp;B816,""PRICE"")"),1090.75)</f>
        <v>1090.75</v>
      </c>
      <c r="F815" s="20">
        <f ca="1">IFERROR(__xludf.DUMMYFUNCTION("GOOGLEFINANCE(""BOM:""&amp;B816,""MARKETCAP"")/10000000"),3321.5857132)</f>
        <v>3321.5857132000001</v>
      </c>
      <c r="G815" s="95">
        <f t="shared" ca="1" si="1573"/>
        <v>8.2444759872532395E-5</v>
      </c>
      <c r="H815" s="101">
        <v>2023</v>
      </c>
      <c r="I815" s="101">
        <v>1533</v>
      </c>
      <c r="J815" s="101">
        <v>94</v>
      </c>
      <c r="K815" s="101">
        <v>41</v>
      </c>
      <c r="L815" s="101">
        <v>779</v>
      </c>
      <c r="M815" s="101">
        <v>509</v>
      </c>
      <c r="N815" s="101">
        <v>35</v>
      </c>
      <c r="O815" s="101">
        <v>13</v>
      </c>
      <c r="P815" s="13">
        <f t="shared" ref="P815:Q815" si="1650">J815/H815</f>
        <v>4.6465645081562035E-2</v>
      </c>
      <c r="Q815" s="13">
        <f t="shared" si="1650"/>
        <v>2.674494455316373E-2</v>
      </c>
      <c r="R815" s="13">
        <f t="shared" si="1552"/>
        <v>1.9720700528398305E-2</v>
      </c>
      <c r="S815" s="13">
        <f t="shared" ref="S815:T815" si="1651">N815/L815</f>
        <v>4.4929396662387676E-2</v>
      </c>
      <c r="T815" s="13">
        <f t="shared" si="1651"/>
        <v>2.5540275049115914E-2</v>
      </c>
      <c r="U815" s="13">
        <f t="shared" si="1554"/>
        <v>1.9389121613271762E-2</v>
      </c>
      <c r="V815" s="13">
        <f t="shared" si="1555"/>
        <v>0.31963470319634713</v>
      </c>
      <c r="W815" s="13">
        <f t="shared" si="1556"/>
        <v>1.2926829268292681</v>
      </c>
      <c r="X815" s="13">
        <f t="shared" si="1557"/>
        <v>0.53045186640471509</v>
      </c>
      <c r="Y815" s="13">
        <f t="shared" si="1558"/>
        <v>1.6923076923076925</v>
      </c>
    </row>
    <row r="816" spans="1:25" ht="14.4">
      <c r="A816" s="98" t="s">
        <v>1108</v>
      </c>
      <c r="B816" s="99">
        <v>533676</v>
      </c>
      <c r="C816" s="98" t="s">
        <v>172</v>
      </c>
      <c r="D816" s="100" t="s">
        <v>436</v>
      </c>
      <c r="E816" s="11">
        <f ca="1">IFERROR(__xludf.DUMMYFUNCTION("GOOGLEFINANCE(""BOM:""&amp;B817,""PRICE"")"),297.7)</f>
        <v>297.7</v>
      </c>
      <c r="F816" s="20">
        <f ca="1">IFERROR(__xludf.DUMMYFUNCTION("GOOGLEFINANCE(""BOM:""&amp;B817,""MARKETCAP"")/10000000"),3830.890187)</f>
        <v>3830.890187</v>
      </c>
      <c r="G816" s="95">
        <f t="shared" ca="1" si="1573"/>
        <v>9.5086157286298058E-5</v>
      </c>
      <c r="H816" s="101">
        <v>66</v>
      </c>
      <c r="I816" s="101">
        <v>26</v>
      </c>
      <c r="J816" s="101">
        <v>39</v>
      </c>
      <c r="K816" s="101">
        <v>10</v>
      </c>
      <c r="L816" s="101">
        <v>27</v>
      </c>
      <c r="M816" s="101">
        <v>5</v>
      </c>
      <c r="N816" s="101">
        <v>17</v>
      </c>
      <c r="O816" s="101">
        <v>0.55000000000000004</v>
      </c>
      <c r="P816" s="13">
        <f t="shared" ref="P816:Q816" si="1652">J816/H816</f>
        <v>0.59090909090909094</v>
      </c>
      <c r="Q816" s="13">
        <f t="shared" si="1652"/>
        <v>0.38461538461538464</v>
      </c>
      <c r="R816" s="13">
        <f t="shared" si="1552"/>
        <v>0.2062937062937063</v>
      </c>
      <c r="S816" s="13">
        <f t="shared" ref="S816:T816" si="1653">N816/L816</f>
        <v>0.62962962962962965</v>
      </c>
      <c r="T816" s="13">
        <f t="shared" si="1653"/>
        <v>0.11000000000000001</v>
      </c>
      <c r="U816" s="13">
        <f t="shared" si="1554"/>
        <v>0.51962962962962966</v>
      </c>
      <c r="V816" s="13">
        <f t="shared" si="1555"/>
        <v>1.5384615384615383</v>
      </c>
      <c r="W816" s="13">
        <f t="shared" si="1556"/>
        <v>2.9</v>
      </c>
      <c r="X816" s="13">
        <f t="shared" si="1557"/>
        <v>4.4000000000000004</v>
      </c>
      <c r="Y816" s="13">
        <f t="shared" si="1558"/>
        <v>29.909090909090907</v>
      </c>
    </row>
    <row r="817" spans="1:25" ht="14.4">
      <c r="A817" s="98" t="s">
        <v>1109</v>
      </c>
      <c r="B817" s="99">
        <v>543277</v>
      </c>
      <c r="C817" s="98" t="s">
        <v>196</v>
      </c>
      <c r="D817" s="70" t="s">
        <v>251</v>
      </c>
      <c r="E817" s="11">
        <f ca="1">IFERROR(__xludf.DUMMYFUNCTION("GOOGLEFINANCE(""BOM:""&amp;B818,""PRICE"")"),117.05)</f>
        <v>117.05</v>
      </c>
      <c r="F817" s="20">
        <f ca="1">IFERROR(__xludf.DUMMYFUNCTION("GOOGLEFINANCE(""BOM:""&amp;B818,""MARKETCAP"")/10000000"),3246.7865192)</f>
        <v>3246.7865191999999</v>
      </c>
      <c r="G817" s="95">
        <f t="shared" ca="1" si="1573"/>
        <v>8.0588176264443615E-5</v>
      </c>
      <c r="H817" s="101">
        <v>2111</v>
      </c>
      <c r="I817" s="101">
        <v>2275</v>
      </c>
      <c r="J817" s="101">
        <v>57</v>
      </c>
      <c r="K817" s="101">
        <v>91</v>
      </c>
      <c r="L817" s="101">
        <v>718</v>
      </c>
      <c r="M817" s="101">
        <v>786</v>
      </c>
      <c r="N817" s="101">
        <v>25</v>
      </c>
      <c r="O817" s="101">
        <v>29</v>
      </c>
      <c r="P817" s="13">
        <f t="shared" ref="P817:Q817" si="1654">J817/H817</f>
        <v>2.700142112742776E-2</v>
      </c>
      <c r="Q817" s="13">
        <f t="shared" si="1654"/>
        <v>0.04</v>
      </c>
      <c r="R817" s="13">
        <f t="shared" si="1552"/>
        <v>-1.299857887257224E-2</v>
      </c>
      <c r="S817" s="13">
        <f t="shared" ref="S817:T817" si="1655">N817/L817</f>
        <v>3.4818941504178275E-2</v>
      </c>
      <c r="T817" s="13">
        <f t="shared" si="1655"/>
        <v>3.689567430025445E-2</v>
      </c>
      <c r="U817" s="13">
        <f t="shared" si="1554"/>
        <v>-2.076732796076175E-3</v>
      </c>
      <c r="V817" s="13">
        <f t="shared" si="1555"/>
        <v>-7.2087912087912098E-2</v>
      </c>
      <c r="W817" s="13">
        <f t="shared" si="1556"/>
        <v>-0.37362637362637363</v>
      </c>
      <c r="X817" s="13">
        <f t="shared" si="1557"/>
        <v>-8.6513994910941472E-2</v>
      </c>
      <c r="Y817" s="13">
        <f t="shared" si="1558"/>
        <v>-0.13793103448275867</v>
      </c>
    </row>
    <row r="818" spans="1:25" ht="14.4">
      <c r="A818" s="98" t="s">
        <v>1110</v>
      </c>
      <c r="B818" s="99">
        <v>526433</v>
      </c>
      <c r="C818" s="98" t="s">
        <v>174</v>
      </c>
      <c r="D818" s="70" t="s">
        <v>175</v>
      </c>
      <c r="E818" s="11">
        <f ca="1">IFERROR(__xludf.DUMMYFUNCTION("GOOGLEFINANCE(""BOM:""&amp;B819,""PRICE"")"),2504.95)</f>
        <v>2504.9499999999998</v>
      </c>
      <c r="F818" s="20">
        <f ca="1">IFERROR(__xludf.DUMMYFUNCTION("GOOGLEFINANCE(""BOM:""&amp;B819,""MARKETCAP"")/10000000"),3654.3712857)</f>
        <v>3654.3712857</v>
      </c>
      <c r="G818" s="95">
        <f t="shared" ca="1" si="1573"/>
        <v>9.0704798595836505E-5</v>
      </c>
      <c r="H818" s="101">
        <v>393</v>
      </c>
      <c r="I818" s="101">
        <v>174</v>
      </c>
      <c r="J818" s="101">
        <v>44</v>
      </c>
      <c r="K818" s="101">
        <v>10</v>
      </c>
      <c r="L818" s="101">
        <v>116</v>
      </c>
      <c r="M818" s="101">
        <v>64</v>
      </c>
      <c r="N818" s="101">
        <v>9</v>
      </c>
      <c r="O818" s="101">
        <v>5</v>
      </c>
      <c r="P818" s="13">
        <f t="shared" ref="P818:Q818" si="1656">J818/H818</f>
        <v>0.11195928753180662</v>
      </c>
      <c r="Q818" s="13">
        <f t="shared" si="1656"/>
        <v>5.7471264367816091E-2</v>
      </c>
      <c r="R818" s="13">
        <f t="shared" si="1552"/>
        <v>5.4488023163990526E-2</v>
      </c>
      <c r="S818" s="13">
        <f t="shared" ref="S818:T818" si="1657">N818/L818</f>
        <v>7.7586206896551727E-2</v>
      </c>
      <c r="T818" s="13">
        <f t="shared" si="1657"/>
        <v>7.8125E-2</v>
      </c>
      <c r="U818" s="13">
        <f t="shared" si="1554"/>
        <v>-5.3879310344827347E-4</v>
      </c>
      <c r="V818" s="13">
        <f t="shared" si="1555"/>
        <v>1.2586206896551726</v>
      </c>
      <c r="W818" s="13">
        <f t="shared" si="1556"/>
        <v>3.4000000000000004</v>
      </c>
      <c r="X818" s="13">
        <f t="shared" si="1557"/>
        <v>0.8125</v>
      </c>
      <c r="Y818" s="13">
        <f t="shared" si="1558"/>
        <v>0.8</v>
      </c>
    </row>
    <row r="819" spans="1:25" ht="14.4">
      <c r="A819" s="98" t="s">
        <v>1111</v>
      </c>
      <c r="B819" s="99">
        <v>513269</v>
      </c>
      <c r="C819" s="98" t="s">
        <v>180</v>
      </c>
      <c r="D819" s="102" t="s">
        <v>384</v>
      </c>
      <c r="E819" s="11">
        <f ca="1">IFERROR(__xludf.DUMMYFUNCTION("GOOGLEFINANCE(""BOM:""&amp;B820,""PRICE"")"),359)</f>
        <v>359</v>
      </c>
      <c r="F819" s="20">
        <f ca="1">IFERROR(__xludf.DUMMYFUNCTION("GOOGLEFINANCE(""BOM:""&amp;B820,""MARKETCAP"")/10000000"),2696.2194446)</f>
        <v>2696.2194445999999</v>
      </c>
      <c r="G819" s="95">
        <f t="shared" ca="1" si="1573"/>
        <v>6.6922603800444248E-5</v>
      </c>
      <c r="H819" s="101">
        <v>2406</v>
      </c>
      <c r="I819" s="101">
        <v>2286</v>
      </c>
      <c r="J819" s="101">
        <v>119</v>
      </c>
      <c r="K819" s="101">
        <v>85</v>
      </c>
      <c r="L819" s="101">
        <v>830</v>
      </c>
      <c r="M819" s="101">
        <v>731</v>
      </c>
      <c r="N819" s="101">
        <v>55</v>
      </c>
      <c r="O819" s="101">
        <v>34</v>
      </c>
      <c r="P819" s="13">
        <f t="shared" ref="P819:Q819" si="1658">J819/H819</f>
        <v>4.9459684123025767E-2</v>
      </c>
      <c r="Q819" s="13">
        <f t="shared" si="1658"/>
        <v>3.7182852143482062E-2</v>
      </c>
      <c r="R819" s="13">
        <f t="shared" si="1552"/>
        <v>1.2276831979543705E-2</v>
      </c>
      <c r="S819" s="13">
        <f t="shared" ref="S819:T819" si="1659">N819/L819</f>
        <v>6.6265060240963861E-2</v>
      </c>
      <c r="T819" s="13">
        <f t="shared" si="1659"/>
        <v>4.6511627906976744E-2</v>
      </c>
      <c r="U819" s="13">
        <f t="shared" si="1554"/>
        <v>1.9753432333987117E-2</v>
      </c>
      <c r="V819" s="13">
        <f t="shared" si="1555"/>
        <v>5.2493438320210029E-2</v>
      </c>
      <c r="W819" s="13">
        <f t="shared" si="1556"/>
        <v>0.39999999999999991</v>
      </c>
      <c r="X819" s="13">
        <f t="shared" si="1557"/>
        <v>0.13543091655266748</v>
      </c>
      <c r="Y819" s="13">
        <f t="shared" si="1558"/>
        <v>0.61764705882352944</v>
      </c>
    </row>
    <row r="820" spans="1:25" ht="14.4">
      <c r="A820" s="104" t="s">
        <v>1112</v>
      </c>
      <c r="B820" s="99">
        <v>532638</v>
      </c>
      <c r="C820" s="98" t="s">
        <v>187</v>
      </c>
      <c r="D820" s="102" t="s">
        <v>84</v>
      </c>
      <c r="E820" s="11">
        <f ca="1">IFERROR(__xludf.DUMMYFUNCTION("GOOGLEFINANCE(""BOM:""&amp;B821,""PRICE"")"),300.1)</f>
        <v>300.10000000000002</v>
      </c>
      <c r="F820" s="20">
        <f ca="1">IFERROR(__xludf.DUMMYFUNCTION("GOOGLEFINANCE(""BOM:""&amp;B821,""MARKETCAP"")/10000000"),3308.4744129)</f>
        <v>3308.4744129000001</v>
      </c>
      <c r="G820" s="95">
        <f t="shared" ca="1" si="1573"/>
        <v>8.2119325547428442E-5</v>
      </c>
      <c r="H820" s="101">
        <v>3834</v>
      </c>
      <c r="I820" s="101">
        <v>3564</v>
      </c>
      <c r="J820" s="101">
        <v>-20</v>
      </c>
      <c r="K820" s="101">
        <v>9</v>
      </c>
      <c r="L820" s="101">
        <v>1416</v>
      </c>
      <c r="M820" s="101">
        <v>1379</v>
      </c>
      <c r="N820" s="101">
        <v>16</v>
      </c>
      <c r="O820" s="101">
        <v>52</v>
      </c>
      <c r="P820" s="13">
        <f t="shared" ref="P820:Q820" si="1660">J820/H820</f>
        <v>-5.2164840897235268E-3</v>
      </c>
      <c r="Q820" s="13">
        <f t="shared" si="1660"/>
        <v>2.5252525252525255E-3</v>
      </c>
      <c r="R820" s="13">
        <f t="shared" si="1552"/>
        <v>-7.7417366149760518E-3</v>
      </c>
      <c r="S820" s="13">
        <f t="shared" ref="S820:T820" si="1661">N820/L820</f>
        <v>1.1299435028248588E-2</v>
      </c>
      <c r="T820" s="13">
        <f t="shared" si="1661"/>
        <v>3.7708484408992021E-2</v>
      </c>
      <c r="U820" s="13">
        <f t="shared" si="1554"/>
        <v>-2.6409049380743434E-2</v>
      </c>
      <c r="V820" s="13">
        <f t="shared" si="1555"/>
        <v>7.575757575757569E-2</v>
      </c>
      <c r="W820" s="13">
        <f t="shared" si="1556"/>
        <v>-3.2222222222222223</v>
      </c>
      <c r="X820" s="13">
        <f t="shared" si="1557"/>
        <v>2.6831036983321344E-2</v>
      </c>
      <c r="Y820" s="13">
        <f t="shared" si="1558"/>
        <v>-0.69230769230769229</v>
      </c>
    </row>
    <row r="821" spans="1:25" ht="14.4">
      <c r="A821" s="104" t="s">
        <v>1113</v>
      </c>
      <c r="B821" s="99">
        <v>500148</v>
      </c>
      <c r="C821" s="98" t="s">
        <v>180</v>
      </c>
      <c r="D821" s="102" t="s">
        <v>895</v>
      </c>
      <c r="E821" s="11">
        <f ca="1">IFERROR(__xludf.DUMMYFUNCTION("GOOGLEFINANCE(""BOM:""&amp;B822,""PRICE"")"),351.9)</f>
        <v>351.9</v>
      </c>
      <c r="F821" s="20">
        <f ca="1">IFERROR(__xludf.DUMMYFUNCTION("GOOGLEFINANCE(""BOM:""&amp;B822,""MARKETCAP"")/10000000"),2544.0103522)</f>
        <v>2544.0103521999999</v>
      </c>
      <c r="G821" s="95">
        <f t="shared" ca="1" si="1573"/>
        <v>6.3144636541172586E-5</v>
      </c>
      <c r="H821" s="101">
        <v>11344</v>
      </c>
      <c r="I821" s="101">
        <v>11221</v>
      </c>
      <c r="J821" s="101">
        <v>131</v>
      </c>
      <c r="K821" s="101">
        <v>-13</v>
      </c>
      <c r="L821" s="101">
        <v>3612</v>
      </c>
      <c r="M821" s="101">
        <v>3734</v>
      </c>
      <c r="N821" s="101">
        <v>38</v>
      </c>
      <c r="O821" s="101">
        <v>140</v>
      </c>
      <c r="P821" s="13">
        <f t="shared" ref="P821:Q821" si="1662">J821/H821</f>
        <v>1.1547954866008462E-2</v>
      </c>
      <c r="Q821" s="13">
        <f t="shared" si="1662"/>
        <v>-1.1585420194278584E-3</v>
      </c>
      <c r="R821" s="13">
        <f t="shared" si="1552"/>
        <v>1.2706496885436321E-2</v>
      </c>
      <c r="S821" s="13">
        <f t="shared" ref="S821:T821" si="1663">N821/L821</f>
        <v>1.0520487264673311E-2</v>
      </c>
      <c r="T821" s="13">
        <f t="shared" si="1663"/>
        <v>3.7493304767005894E-2</v>
      </c>
      <c r="U821" s="13">
        <f t="shared" si="1554"/>
        <v>-2.6972817502332581E-2</v>
      </c>
      <c r="V821" s="13">
        <f t="shared" si="1555"/>
        <v>1.0961589876125055E-2</v>
      </c>
      <c r="W821" s="13">
        <f t="shared" si="1556"/>
        <v>-11.076923076923077</v>
      </c>
      <c r="X821" s="13">
        <f t="shared" si="1557"/>
        <v>-3.2672737011247954E-2</v>
      </c>
      <c r="Y821" s="13">
        <f t="shared" si="1558"/>
        <v>-0.72857142857142865</v>
      </c>
    </row>
    <row r="822" spans="1:25" ht="14.4">
      <c r="A822" s="98" t="s">
        <v>1114</v>
      </c>
      <c r="B822" s="99">
        <v>516072</v>
      </c>
      <c r="C822" s="98" t="s">
        <v>196</v>
      </c>
      <c r="D822" s="70" t="s">
        <v>251</v>
      </c>
      <c r="E822" s="11">
        <f ca="1">IFERROR(__xludf.DUMMYFUNCTION("GOOGLEFINANCE(""BOM:""&amp;B823,""PRICE"")"),510.3)</f>
        <v>510.3</v>
      </c>
      <c r="F822" s="20">
        <f ca="1">IFERROR(__xludf.DUMMYFUNCTION("GOOGLEFINANCE(""BOM:""&amp;B823,""MARKETCAP"")/10000000"),3455.6302478)</f>
        <v>3455.6302477999998</v>
      </c>
      <c r="G822" s="95">
        <f t="shared" ca="1" si="1573"/>
        <v>8.5771866387774351E-5</v>
      </c>
      <c r="H822" s="101">
        <v>1159</v>
      </c>
      <c r="I822" s="101">
        <v>1053</v>
      </c>
      <c r="J822" s="101">
        <v>98</v>
      </c>
      <c r="K822" s="101">
        <v>87</v>
      </c>
      <c r="L822" s="101">
        <v>411</v>
      </c>
      <c r="M822" s="101">
        <v>371</v>
      </c>
      <c r="N822" s="101">
        <v>33</v>
      </c>
      <c r="O822" s="101">
        <v>34</v>
      </c>
      <c r="P822" s="13">
        <f t="shared" ref="P822:Q822" si="1664">J822/H822</f>
        <v>8.4555651423641076E-2</v>
      </c>
      <c r="Q822" s="13">
        <f t="shared" si="1664"/>
        <v>8.2621082621082614E-2</v>
      </c>
      <c r="R822" s="13">
        <f t="shared" si="1552"/>
        <v>1.9345688025584618E-3</v>
      </c>
      <c r="S822" s="13">
        <f t="shared" ref="S822:T822" si="1665">N822/L822</f>
        <v>8.0291970802919707E-2</v>
      </c>
      <c r="T822" s="13">
        <f t="shared" si="1665"/>
        <v>9.1644204851752023E-2</v>
      </c>
      <c r="U822" s="13">
        <f t="shared" si="1554"/>
        <v>-1.1352234048832316E-2</v>
      </c>
      <c r="V822" s="13">
        <f t="shared" si="1555"/>
        <v>0.10066476733143404</v>
      </c>
      <c r="W822" s="13">
        <f t="shared" si="1556"/>
        <v>0.12643678160919536</v>
      </c>
      <c r="X822" s="13">
        <f t="shared" si="1557"/>
        <v>0.1078167115902966</v>
      </c>
      <c r="Y822" s="13">
        <f t="shared" si="1558"/>
        <v>-2.9411764705882359E-2</v>
      </c>
    </row>
    <row r="823" spans="1:25" ht="14.4">
      <c r="A823" s="98" t="s">
        <v>1115</v>
      </c>
      <c r="B823" s="99">
        <v>513519</v>
      </c>
      <c r="C823" s="98" t="s">
        <v>180</v>
      </c>
      <c r="D823" s="100" t="s">
        <v>514</v>
      </c>
      <c r="E823" s="11">
        <f ca="1">IFERROR(__xludf.DUMMYFUNCTION("GOOGLEFINANCE(""BOM:""&amp;B824,""PRICE"")"),761.1)</f>
        <v>761.1</v>
      </c>
      <c r="F823" s="20">
        <f ca="1">IFERROR(__xludf.DUMMYFUNCTION("GOOGLEFINANCE(""BOM:""&amp;B824,""MARKETCAP"")/10000000"),2810.7845941)</f>
        <v>2810.7845941</v>
      </c>
      <c r="G823" s="95">
        <f t="shared" ca="1" si="1573"/>
        <v>6.9766214369562678E-5</v>
      </c>
      <c r="H823" s="101">
        <v>1411</v>
      </c>
      <c r="I823" s="101">
        <v>1235</v>
      </c>
      <c r="J823" s="101">
        <v>91</v>
      </c>
      <c r="K823" s="101">
        <v>86</v>
      </c>
      <c r="L823" s="101">
        <v>477</v>
      </c>
      <c r="M823" s="101">
        <v>414</v>
      </c>
      <c r="N823" s="101">
        <v>28</v>
      </c>
      <c r="O823" s="101">
        <v>28</v>
      </c>
      <c r="P823" s="13">
        <f t="shared" ref="P823:Q823" si="1666">J823/H823</f>
        <v>6.449326718639263E-2</v>
      </c>
      <c r="Q823" s="13">
        <f t="shared" si="1666"/>
        <v>6.9635627530364369E-2</v>
      </c>
      <c r="R823" s="13">
        <f t="shared" si="1552"/>
        <v>-5.1423603439717386E-3</v>
      </c>
      <c r="S823" s="13">
        <f t="shared" ref="S823:T823" si="1667">N823/L823</f>
        <v>5.8700209643605873E-2</v>
      </c>
      <c r="T823" s="13">
        <f t="shared" si="1667"/>
        <v>6.7632850241545889E-2</v>
      </c>
      <c r="U823" s="13">
        <f t="shared" si="1554"/>
        <v>-8.9326405979400156E-3</v>
      </c>
      <c r="V823" s="13">
        <f t="shared" si="1555"/>
        <v>0.14251012145748998</v>
      </c>
      <c r="W823" s="13">
        <f t="shared" si="1556"/>
        <v>5.8139534883721034E-2</v>
      </c>
      <c r="X823" s="13">
        <f t="shared" si="1557"/>
        <v>0.15217391304347827</v>
      </c>
      <c r="Y823" s="13">
        <f t="shared" si="1558"/>
        <v>0</v>
      </c>
    </row>
    <row r="824" spans="1:25" ht="14.4">
      <c r="A824" s="98" t="s">
        <v>1116</v>
      </c>
      <c r="B824" s="99">
        <v>540025</v>
      </c>
      <c r="C824" s="98" t="s">
        <v>190</v>
      </c>
      <c r="D824" s="101" t="s">
        <v>446</v>
      </c>
      <c r="E824" s="11">
        <f ca="1">IFERROR(__xludf.DUMMYFUNCTION("GOOGLEFINANCE(""BOM:""&amp;B825,""PRICE"")"),279.9)</f>
        <v>279.89999999999998</v>
      </c>
      <c r="F824" s="20">
        <f ca="1">IFERROR(__xludf.DUMMYFUNCTION("GOOGLEFINANCE(""BOM:""&amp;B825,""MARKETCAP"")/10000000"),3138.9844381)</f>
        <v>3138.9844380999998</v>
      </c>
      <c r="G824" s="95">
        <f t="shared" ca="1" si="1573"/>
        <v>7.7912431166333115E-5</v>
      </c>
      <c r="H824" s="101">
        <v>542</v>
      </c>
      <c r="I824" s="101">
        <v>469</v>
      </c>
      <c r="J824" s="101">
        <v>128</v>
      </c>
      <c r="K824" s="101">
        <v>107</v>
      </c>
      <c r="L824" s="101">
        <v>171</v>
      </c>
      <c r="M824" s="101">
        <v>169</v>
      </c>
      <c r="N824" s="101">
        <v>43</v>
      </c>
      <c r="O824" s="101">
        <v>38</v>
      </c>
      <c r="P824" s="13">
        <f t="shared" ref="P824:Q824" si="1668">J824/H824</f>
        <v>0.23616236162361623</v>
      </c>
      <c r="Q824" s="13">
        <f t="shared" si="1668"/>
        <v>0.22814498933901919</v>
      </c>
      <c r="R824" s="13">
        <f t="shared" si="1552"/>
        <v>8.0173722845970352E-3</v>
      </c>
      <c r="S824" s="13">
        <f t="shared" ref="S824:T824" si="1669">N824/L824</f>
        <v>0.25146198830409355</v>
      </c>
      <c r="T824" s="13">
        <f t="shared" si="1669"/>
        <v>0.22485207100591717</v>
      </c>
      <c r="U824" s="13">
        <f t="shared" si="1554"/>
        <v>2.6609917298176383E-2</v>
      </c>
      <c r="V824" s="13">
        <f t="shared" si="1555"/>
        <v>0.15565031982942434</v>
      </c>
      <c r="W824" s="13">
        <f t="shared" si="1556"/>
        <v>0.19626168224299056</v>
      </c>
      <c r="X824" s="13">
        <f t="shared" si="1557"/>
        <v>1.1834319526627279E-2</v>
      </c>
      <c r="Y824" s="13">
        <f t="shared" si="1558"/>
        <v>0.13157894736842102</v>
      </c>
    </row>
    <row r="825" spans="1:25" ht="14.4">
      <c r="A825" s="104" t="s">
        <v>1117</v>
      </c>
      <c r="B825" s="99">
        <v>530239</v>
      </c>
      <c r="C825" s="98" t="s">
        <v>190</v>
      </c>
      <c r="D825" s="70" t="s">
        <v>618</v>
      </c>
      <c r="E825" s="11">
        <f ca="1">IFERROR(__xludf.DUMMYFUNCTION("GOOGLEFINANCE(""BOM:""&amp;B826,""PRICE"")"),165.8)</f>
        <v>165.8</v>
      </c>
      <c r="F825" s="20">
        <f ca="1">IFERROR(__xludf.DUMMYFUNCTION("GOOGLEFINANCE(""BOM:""&amp;B826,""MARKETCAP"")/10000000"),4379.0789829)</f>
        <v>4379.0789828999996</v>
      </c>
      <c r="G825" s="95">
        <f t="shared" ca="1" si="1573"/>
        <v>1.0869269872317315E-4</v>
      </c>
      <c r="H825" s="101">
        <v>5</v>
      </c>
      <c r="I825" s="101">
        <v>5</v>
      </c>
      <c r="J825" s="101">
        <v>-230</v>
      </c>
      <c r="K825" s="101">
        <v>-116</v>
      </c>
      <c r="L825" s="101">
        <v>2</v>
      </c>
      <c r="M825" s="101">
        <v>1</v>
      </c>
      <c r="N825" s="101">
        <v>-101</v>
      </c>
      <c r="O825" s="101">
        <v>-39</v>
      </c>
      <c r="P825" s="13">
        <f t="shared" ref="P825:Q825" si="1670">J825/H825</f>
        <v>-46</v>
      </c>
      <c r="Q825" s="13">
        <f t="shared" si="1670"/>
        <v>-23.2</v>
      </c>
      <c r="R825" s="13">
        <f t="shared" si="1552"/>
        <v>-22.8</v>
      </c>
      <c r="S825" s="13">
        <f t="shared" ref="S825:T825" si="1671">N825/L825</f>
        <v>-50.5</v>
      </c>
      <c r="T825" s="13">
        <f t="shared" si="1671"/>
        <v>-39</v>
      </c>
      <c r="U825" s="13">
        <f t="shared" si="1554"/>
        <v>-11.5</v>
      </c>
      <c r="V825" s="13">
        <f t="shared" si="1555"/>
        <v>0</v>
      </c>
      <c r="W825" s="13">
        <f t="shared" si="1556"/>
        <v>0.98275862068965525</v>
      </c>
      <c r="X825" s="13">
        <f t="shared" si="1557"/>
        <v>1</v>
      </c>
      <c r="Y825" s="13">
        <f t="shared" si="1558"/>
        <v>1.5897435897435899</v>
      </c>
    </row>
    <row r="826" spans="1:25" ht="14.4">
      <c r="A826" s="98" t="s">
        <v>1118</v>
      </c>
      <c r="B826" s="99">
        <v>544030</v>
      </c>
      <c r="C826" s="98" t="s">
        <v>183</v>
      </c>
      <c r="D826" s="102" t="s">
        <v>674</v>
      </c>
      <c r="E826" s="11">
        <f ca="1">IFERROR(__xludf.DUMMYFUNCTION("GOOGLEFINANCE(""BOM:""&amp;B827,""PRICE"")"),297.7)</f>
        <v>297.7</v>
      </c>
      <c r="F826" s="20">
        <f ca="1">IFERROR(__xludf.DUMMYFUNCTION("GOOGLEFINANCE(""BOM:""&amp;B827,""MARKETCAP"")/10000000"),3113.9042671)</f>
        <v>3113.9042671000002</v>
      </c>
      <c r="G826" s="95">
        <f t="shared" ca="1" si="1573"/>
        <v>7.7289918651470159E-5</v>
      </c>
      <c r="H826" s="101">
        <v>9271</v>
      </c>
      <c r="I826" s="101">
        <v>7818</v>
      </c>
      <c r="J826" s="101">
        <v>104</v>
      </c>
      <c r="K826" s="101">
        <v>88</v>
      </c>
      <c r="L826" s="101">
        <v>317</v>
      </c>
      <c r="M826" s="101">
        <v>264</v>
      </c>
      <c r="N826" s="101">
        <v>33</v>
      </c>
      <c r="O826" s="101">
        <v>29</v>
      </c>
      <c r="P826" s="13">
        <f t="shared" ref="P826:Q826" si="1672">J826/H826</f>
        <v>1.1217775860209256E-2</v>
      </c>
      <c r="Q826" s="13">
        <f t="shared" si="1672"/>
        <v>1.1256075722691225E-2</v>
      </c>
      <c r="R826" s="13">
        <f t="shared" si="1552"/>
        <v>-3.8299862481969843E-5</v>
      </c>
      <c r="S826" s="13">
        <f t="shared" ref="S826:T826" si="1673">N826/L826</f>
        <v>0.10410094637223975</v>
      </c>
      <c r="T826" s="13">
        <f t="shared" si="1673"/>
        <v>0.10984848484848485</v>
      </c>
      <c r="U826" s="13">
        <f t="shared" si="1554"/>
        <v>-5.7475384762450954E-3</v>
      </c>
      <c r="V826" s="13">
        <f t="shared" si="1555"/>
        <v>0.18585315937579949</v>
      </c>
      <c r="W826" s="13">
        <f t="shared" si="1556"/>
        <v>0.18181818181818188</v>
      </c>
      <c r="X826" s="13">
        <f t="shared" si="1557"/>
        <v>0.20075757575757569</v>
      </c>
      <c r="Y826" s="13">
        <f t="shared" si="1558"/>
        <v>0.13793103448275867</v>
      </c>
    </row>
    <row r="827" spans="1:25" ht="14.4">
      <c r="A827" s="98" t="s">
        <v>1119</v>
      </c>
      <c r="B827" s="99">
        <v>532735</v>
      </c>
      <c r="C827" s="98" t="s">
        <v>174</v>
      </c>
      <c r="D827" s="109" t="s">
        <v>455</v>
      </c>
      <c r="E827" s="11">
        <f ca="1">IFERROR(__xludf.DUMMYFUNCTION("GOOGLEFINANCE(""BOM:""&amp;B828,""PRICE"")"),262.85)</f>
        <v>262.85000000000002</v>
      </c>
      <c r="F827" s="20">
        <f ca="1">IFERROR(__xludf.DUMMYFUNCTION("GOOGLEFINANCE(""BOM:""&amp;B828,""MARKETCAP"")/10000000"),3110.2710977)</f>
        <v>3110.2710977000002</v>
      </c>
      <c r="G827" s="95">
        <f t="shared" ca="1" si="1573"/>
        <v>7.7199740102842351E-5</v>
      </c>
      <c r="H827" s="101">
        <v>1958</v>
      </c>
      <c r="I827" s="101">
        <v>1741</v>
      </c>
      <c r="J827" s="101">
        <v>186</v>
      </c>
      <c r="K827" s="101">
        <v>131</v>
      </c>
      <c r="L827" s="101">
        <v>555</v>
      </c>
      <c r="M827" s="101">
        <v>448</v>
      </c>
      <c r="N827" s="101">
        <v>36</v>
      </c>
      <c r="O827" s="101">
        <v>38</v>
      </c>
      <c r="P827" s="13">
        <f t="shared" ref="P827:Q827" si="1674">J827/H827</f>
        <v>9.4994892747701731E-2</v>
      </c>
      <c r="Q827" s="13">
        <f t="shared" si="1674"/>
        <v>7.5244112578977604E-2</v>
      </c>
      <c r="R827" s="13">
        <f t="shared" si="1552"/>
        <v>1.9750780168724127E-2</v>
      </c>
      <c r="S827" s="13">
        <f t="shared" ref="S827:T827" si="1675">N827/L827</f>
        <v>6.4864864864864868E-2</v>
      </c>
      <c r="T827" s="13">
        <f t="shared" si="1675"/>
        <v>8.4821428571428575E-2</v>
      </c>
      <c r="U827" s="13">
        <f t="shared" si="1554"/>
        <v>-1.9956563706563707E-2</v>
      </c>
      <c r="V827" s="13">
        <f t="shared" si="1555"/>
        <v>0.12464101091326829</v>
      </c>
      <c r="W827" s="13">
        <f t="shared" si="1556"/>
        <v>0.41984732824427473</v>
      </c>
      <c r="X827" s="13">
        <f t="shared" si="1557"/>
        <v>0.23883928571428581</v>
      </c>
      <c r="Y827" s="13">
        <f t="shared" si="1558"/>
        <v>-5.2631578947368474E-2</v>
      </c>
    </row>
    <row r="828" spans="1:25" ht="14.4">
      <c r="A828" s="98" t="s">
        <v>1120</v>
      </c>
      <c r="B828" s="99">
        <v>531449</v>
      </c>
      <c r="C828" s="98" t="s">
        <v>183</v>
      </c>
      <c r="D828" s="100" t="s">
        <v>664</v>
      </c>
      <c r="E828" s="11">
        <f ca="1">IFERROR(__xludf.DUMMYFUNCTION("GOOGLEFINANCE(""BOM:""&amp;B829,""PRICE"")"),157.7)</f>
        <v>157.69999999999999</v>
      </c>
      <c r="F828" s="20">
        <f ca="1">IFERROR(__xludf.DUMMYFUNCTION("GOOGLEFINANCE(""BOM:""&amp;B829,""MARKETCAP"")/10000000"),3275.9886454)</f>
        <v>3275.9886454000002</v>
      </c>
      <c r="G828" s="95">
        <f t="shared" ca="1" si="1573"/>
        <v>8.1312999433317068E-5</v>
      </c>
      <c r="H828" s="101">
        <v>1171</v>
      </c>
      <c r="I828" s="101">
        <v>1056</v>
      </c>
      <c r="J828" s="101">
        <v>52</v>
      </c>
      <c r="K828" s="101">
        <v>40</v>
      </c>
      <c r="L828" s="101">
        <v>482</v>
      </c>
      <c r="M828" s="101">
        <v>371</v>
      </c>
      <c r="N828" s="101">
        <v>19</v>
      </c>
      <c r="O828" s="101">
        <v>13</v>
      </c>
      <c r="P828" s="13">
        <f t="shared" ref="P828:Q828" si="1676">J828/H828</f>
        <v>4.4406490179333902E-2</v>
      </c>
      <c r="Q828" s="13">
        <f t="shared" si="1676"/>
        <v>3.787878787878788E-2</v>
      </c>
      <c r="R828" s="13">
        <f t="shared" si="1552"/>
        <v>6.5277023005460219E-3</v>
      </c>
      <c r="S828" s="13">
        <f t="shared" ref="S828:T828" si="1677">N828/L828</f>
        <v>3.9419087136929459E-2</v>
      </c>
      <c r="T828" s="13">
        <f t="shared" si="1677"/>
        <v>3.5040431266846361E-2</v>
      </c>
      <c r="U828" s="13">
        <f t="shared" si="1554"/>
        <v>4.378655870083098E-3</v>
      </c>
      <c r="V828" s="13">
        <f t="shared" si="1555"/>
        <v>0.10890151515151514</v>
      </c>
      <c r="W828" s="13">
        <f t="shared" si="1556"/>
        <v>0.30000000000000004</v>
      </c>
      <c r="X828" s="13">
        <f t="shared" si="1557"/>
        <v>0.29919137466307277</v>
      </c>
      <c r="Y828" s="13">
        <f t="shared" si="1558"/>
        <v>0.46153846153846145</v>
      </c>
    </row>
    <row r="829" spans="1:25" ht="14.4">
      <c r="A829" s="98" t="s">
        <v>1121</v>
      </c>
      <c r="B829" s="99">
        <v>543600</v>
      </c>
      <c r="C829" s="98" t="s">
        <v>180</v>
      </c>
      <c r="D829" s="100" t="s">
        <v>512</v>
      </c>
      <c r="E829" s="11">
        <f ca="1">IFERROR(__xludf.DUMMYFUNCTION("GOOGLEFINANCE(""BOM:""&amp;B830,""PRICE"")"),332.35)</f>
        <v>332.35</v>
      </c>
      <c r="F829" s="20">
        <f ca="1">IFERROR(__xludf.DUMMYFUNCTION("GOOGLEFINANCE(""BOM:""&amp;B830,""MARKETCAP"")/10000000"),3034.955129)</f>
        <v>3034.9551289999999</v>
      </c>
      <c r="G829" s="95">
        <f t="shared" ca="1" si="1573"/>
        <v>7.5330329679572987E-5</v>
      </c>
      <c r="H829" s="101">
        <v>1152</v>
      </c>
      <c r="I829" s="101">
        <v>1034</v>
      </c>
      <c r="J829" s="101">
        <v>102</v>
      </c>
      <c r="K829" s="101">
        <v>90</v>
      </c>
      <c r="L829" s="101">
        <v>409</v>
      </c>
      <c r="M829" s="101">
        <v>338</v>
      </c>
      <c r="N829" s="101">
        <v>33</v>
      </c>
      <c r="O829" s="101">
        <v>26</v>
      </c>
      <c r="P829" s="13">
        <f t="shared" ref="P829:Q829" si="1678">J829/H829</f>
        <v>8.8541666666666671E-2</v>
      </c>
      <c r="Q829" s="13">
        <f t="shared" si="1678"/>
        <v>8.7040618955512572E-2</v>
      </c>
      <c r="R829" s="13">
        <f t="shared" si="1552"/>
        <v>1.5010477111540993E-3</v>
      </c>
      <c r="S829" s="13">
        <f t="shared" ref="S829:T829" si="1679">N829/L829</f>
        <v>8.0684596577017112E-2</v>
      </c>
      <c r="T829" s="13">
        <f t="shared" si="1679"/>
        <v>7.6923076923076927E-2</v>
      </c>
      <c r="U829" s="13">
        <f t="shared" si="1554"/>
        <v>3.7615196539401846E-3</v>
      </c>
      <c r="V829" s="13">
        <f t="shared" si="1555"/>
        <v>0.11411992263056092</v>
      </c>
      <c r="W829" s="13">
        <f t="shared" si="1556"/>
        <v>0.1333333333333333</v>
      </c>
      <c r="X829" s="13">
        <f t="shared" si="1557"/>
        <v>0.21005917159763321</v>
      </c>
      <c r="Y829" s="13">
        <f t="shared" si="1558"/>
        <v>0.26923076923076916</v>
      </c>
    </row>
    <row r="830" spans="1:25" ht="14.4">
      <c r="A830" s="98" t="s">
        <v>1122</v>
      </c>
      <c r="B830" s="99">
        <v>524348</v>
      </c>
      <c r="C830" s="98" t="s">
        <v>190</v>
      </c>
      <c r="D830" s="101" t="s">
        <v>100</v>
      </c>
      <c r="E830" s="11">
        <f ca="1">IFERROR(__xludf.DUMMYFUNCTION("GOOGLEFINANCE(""BOM:""&amp;B831,""PRICE"")"),352.5)</f>
        <v>352.5</v>
      </c>
      <c r="F830" s="20">
        <f ca="1">IFERROR(__xludf.DUMMYFUNCTION("GOOGLEFINANCE(""BOM:""&amp;B831,""MARKETCAP"")/10000000"),3220.4620057)</f>
        <v>3220.4620057000002</v>
      </c>
      <c r="G830" s="95">
        <f t="shared" ca="1" si="1573"/>
        <v>7.9934778043935903E-5</v>
      </c>
      <c r="H830" s="101">
        <v>1628</v>
      </c>
      <c r="I830" s="101">
        <v>1550</v>
      </c>
      <c r="J830" s="101">
        <v>124</v>
      </c>
      <c r="K830" s="101">
        <v>95</v>
      </c>
      <c r="L830" s="101">
        <v>528</v>
      </c>
      <c r="M830" s="101">
        <v>514</v>
      </c>
      <c r="N830" s="101">
        <v>33</v>
      </c>
      <c r="O830" s="101">
        <v>38</v>
      </c>
      <c r="P830" s="13">
        <f t="shared" ref="P830:Q830" si="1680">J830/H830</f>
        <v>7.6167076167076173E-2</v>
      </c>
      <c r="Q830" s="13">
        <f t="shared" si="1680"/>
        <v>6.1290322580645158E-2</v>
      </c>
      <c r="R830" s="13">
        <f t="shared" si="1552"/>
        <v>1.4876753586431014E-2</v>
      </c>
      <c r="S830" s="13">
        <f t="shared" ref="S830:T830" si="1681">N830/L830</f>
        <v>6.25E-2</v>
      </c>
      <c r="T830" s="13">
        <f t="shared" si="1681"/>
        <v>7.3929961089494164E-2</v>
      </c>
      <c r="U830" s="13">
        <f t="shared" si="1554"/>
        <v>-1.1429961089494164E-2</v>
      </c>
      <c r="V830" s="13">
        <f t="shared" si="1555"/>
        <v>5.0322580645161263E-2</v>
      </c>
      <c r="W830" s="13">
        <f t="shared" si="1556"/>
        <v>0.3052631578947369</v>
      </c>
      <c r="X830" s="13">
        <f t="shared" si="1557"/>
        <v>2.7237354085603016E-2</v>
      </c>
      <c r="Y830" s="13">
        <f t="shared" si="1558"/>
        <v>-0.13157894736842102</v>
      </c>
    </row>
    <row r="831" spans="1:25" ht="14.4">
      <c r="A831" s="98" t="s">
        <v>1123</v>
      </c>
      <c r="B831" s="99">
        <v>513262</v>
      </c>
      <c r="C831" s="98" t="s">
        <v>187</v>
      </c>
      <c r="D831" s="101" t="s">
        <v>312</v>
      </c>
      <c r="E831" s="11">
        <f ca="1">IFERROR(__xludf.DUMMYFUNCTION("GOOGLEFINANCE(""BOM:""&amp;B832,""PRICE"")"),190.5)</f>
        <v>190.5</v>
      </c>
      <c r="F831" s="20">
        <f ca="1">IFERROR(__xludf.DUMMYFUNCTION("GOOGLEFINANCE(""BOM:""&amp;B832,""MARKETCAP"")/10000000"),2981.5798972)</f>
        <v>2981.5798971999998</v>
      </c>
      <c r="G831" s="95">
        <f t="shared" ca="1" si="1573"/>
        <v>7.4005508178985445E-5</v>
      </c>
      <c r="H831" s="101">
        <v>3708</v>
      </c>
      <c r="I831" s="101">
        <v>3195</v>
      </c>
      <c r="J831" s="101">
        <v>129</v>
      </c>
      <c r="K831" s="101">
        <v>134</v>
      </c>
      <c r="L831" s="101">
        <v>1320</v>
      </c>
      <c r="M831" s="101">
        <v>1074</v>
      </c>
      <c r="N831" s="101">
        <v>46</v>
      </c>
      <c r="O831" s="101">
        <v>47</v>
      </c>
      <c r="P831" s="13">
        <f t="shared" ref="P831:Q831" si="1682">J831/H831</f>
        <v>3.4789644012944987E-2</v>
      </c>
      <c r="Q831" s="13">
        <f t="shared" si="1682"/>
        <v>4.1940532081377151E-2</v>
      </c>
      <c r="R831" s="13">
        <f t="shared" si="1552"/>
        <v>-7.1508880684321638E-3</v>
      </c>
      <c r="S831" s="13">
        <f t="shared" ref="S831:T831" si="1683">N831/L831</f>
        <v>3.4848484848484851E-2</v>
      </c>
      <c r="T831" s="13">
        <f t="shared" si="1683"/>
        <v>4.3761638733705775E-2</v>
      </c>
      <c r="U831" s="13">
        <f t="shared" si="1554"/>
        <v>-8.9131538852209244E-3</v>
      </c>
      <c r="V831" s="13">
        <f t="shared" si="1555"/>
        <v>0.16056338028169015</v>
      </c>
      <c r="W831" s="13">
        <f t="shared" si="1556"/>
        <v>-3.7313432835820892E-2</v>
      </c>
      <c r="X831" s="13">
        <f t="shared" si="1557"/>
        <v>0.22905027932960897</v>
      </c>
      <c r="Y831" s="13">
        <f t="shared" si="1558"/>
        <v>-2.1276595744680882E-2</v>
      </c>
    </row>
    <row r="832" spans="1:25" ht="14.4">
      <c r="A832" s="98" t="s">
        <v>1124</v>
      </c>
      <c r="B832" s="99">
        <v>501301</v>
      </c>
      <c r="C832" s="98" t="s">
        <v>172</v>
      </c>
      <c r="D832" s="100" t="s">
        <v>243</v>
      </c>
      <c r="E832" s="11">
        <f ca="1">IFERROR(__xludf.DUMMYFUNCTION("GOOGLEFINANCE(""BOM:""&amp;B833,""PRICE"")"),588.45)</f>
        <v>588.45000000000005</v>
      </c>
      <c r="F832" s="20">
        <f ca="1">IFERROR(__xludf.DUMMYFUNCTION("GOOGLEFINANCE(""BOM:""&amp;B833,""MARKETCAP"")/10000000"),29787.982875)</f>
        <v>29787.982875000002</v>
      </c>
      <c r="G832" s="95">
        <f t="shared" ca="1" si="1573"/>
        <v>7.3936466111859417E-4</v>
      </c>
      <c r="H832" s="101">
        <v>360</v>
      </c>
      <c r="I832" s="101">
        <v>290</v>
      </c>
      <c r="J832" s="101">
        <v>370</v>
      </c>
      <c r="K832" s="101">
        <v>274</v>
      </c>
      <c r="L832" s="101">
        <v>61</v>
      </c>
      <c r="M832" s="101">
        <v>4</v>
      </c>
      <c r="N832" s="101">
        <v>75</v>
      </c>
      <c r="O832" s="101">
        <v>20</v>
      </c>
      <c r="P832" s="13">
        <f t="shared" ref="P832:Q832" si="1684">J832/H832</f>
        <v>1.0277777777777777</v>
      </c>
      <c r="Q832" s="13">
        <f t="shared" si="1684"/>
        <v>0.94482758620689655</v>
      </c>
      <c r="R832" s="13">
        <f t="shared" si="1552"/>
        <v>8.2950191570881127E-2</v>
      </c>
      <c r="S832" s="13">
        <f t="shared" ref="S832:T832" si="1685">N832/L832</f>
        <v>1.2295081967213115</v>
      </c>
      <c r="T832" s="13">
        <f t="shared" si="1685"/>
        <v>5</v>
      </c>
      <c r="U832" s="13">
        <f t="shared" si="1554"/>
        <v>-3.7704918032786887</v>
      </c>
      <c r="V832" s="13">
        <f t="shared" si="1555"/>
        <v>0.24137931034482762</v>
      </c>
      <c r="W832" s="13">
        <f t="shared" si="1556"/>
        <v>0.35036496350364965</v>
      </c>
      <c r="X832" s="13">
        <f t="shared" si="1557"/>
        <v>14.25</v>
      </c>
      <c r="Y832" s="13">
        <f t="shared" si="1558"/>
        <v>2.75</v>
      </c>
    </row>
    <row r="833" spans="1:25" ht="14.4">
      <c r="A833" s="98" t="s">
        <v>1125</v>
      </c>
      <c r="B833" s="99">
        <v>523716</v>
      </c>
      <c r="C833" s="98" t="s">
        <v>187</v>
      </c>
      <c r="D833" s="102" t="s">
        <v>131</v>
      </c>
      <c r="E833" s="11">
        <f ca="1">IFERROR(__xludf.DUMMYFUNCTION("GOOGLEFINANCE(""BOM:""&amp;B834,""PRICE"")"),308.4)</f>
        <v>308.39999999999998</v>
      </c>
      <c r="F833" s="20">
        <f ca="1">IFERROR(__xludf.DUMMYFUNCTION("GOOGLEFINANCE(""BOM:""&amp;B834,""MARKETCAP"")/10000000"),3089.1269812)</f>
        <v>3089.1269812</v>
      </c>
      <c r="G833" s="95">
        <f t="shared" ca="1" si="1573"/>
        <v>7.6674924018575188E-5</v>
      </c>
      <c r="H833" s="101">
        <v>762</v>
      </c>
      <c r="I833" s="101">
        <v>257</v>
      </c>
      <c r="J833" s="101">
        <v>101</v>
      </c>
      <c r="K833" s="101">
        <v>-1</v>
      </c>
      <c r="L833" s="101">
        <v>342</v>
      </c>
      <c r="M833" s="101">
        <v>115</v>
      </c>
      <c r="N833" s="101">
        <v>56</v>
      </c>
      <c r="O833" s="101">
        <v>11</v>
      </c>
      <c r="P833" s="13">
        <f t="shared" ref="P833:Q833" si="1686">J833/H833</f>
        <v>0.13254593175853019</v>
      </c>
      <c r="Q833" s="13">
        <f t="shared" si="1686"/>
        <v>-3.8910505836575876E-3</v>
      </c>
      <c r="R833" s="13">
        <f t="shared" si="1552"/>
        <v>0.13643698234218776</v>
      </c>
      <c r="S833" s="13">
        <f t="shared" ref="S833:T833" si="1687">N833/L833</f>
        <v>0.16374269005847952</v>
      </c>
      <c r="T833" s="13">
        <f t="shared" si="1687"/>
        <v>9.5652173913043481E-2</v>
      </c>
      <c r="U833" s="13">
        <f t="shared" si="1554"/>
        <v>6.8090516145436042E-2</v>
      </c>
      <c r="V833" s="13">
        <f t="shared" si="1555"/>
        <v>1.9649805447470818</v>
      </c>
      <c r="W833" s="13">
        <f t="shared" si="1556"/>
        <v>-102</v>
      </c>
      <c r="X833" s="13">
        <f t="shared" si="1557"/>
        <v>1.973913043478261</v>
      </c>
      <c r="Y833" s="13">
        <f t="shared" si="1558"/>
        <v>4.0909090909090908</v>
      </c>
    </row>
    <row r="834" spans="1:25" ht="14.4">
      <c r="A834" s="98" t="s">
        <v>1126</v>
      </c>
      <c r="B834" s="99">
        <v>506879</v>
      </c>
      <c r="C834" s="98" t="s">
        <v>190</v>
      </c>
      <c r="D834" s="102" t="s">
        <v>100</v>
      </c>
      <c r="E834" s="11">
        <f ca="1">IFERROR(__xludf.DUMMYFUNCTION("GOOGLEFINANCE(""BOM:""&amp;B835,""PRICE"")"),258.05)</f>
        <v>258.05</v>
      </c>
      <c r="F834" s="20">
        <f ca="1">IFERROR(__xludf.DUMMYFUNCTION("GOOGLEFINANCE(""BOM:""&amp;B835,""MARKETCAP"")/10000000"),2811.6290422)</f>
        <v>2811.6290422000002</v>
      </c>
      <c r="G834" s="95">
        <f t="shared" ca="1" si="1573"/>
        <v>6.9787174334724094E-5</v>
      </c>
      <c r="H834" s="101">
        <v>121</v>
      </c>
      <c r="I834" s="101">
        <v>113</v>
      </c>
      <c r="J834" s="101">
        <v>35</v>
      </c>
      <c r="K834" s="101">
        <v>36</v>
      </c>
      <c r="L834" s="101">
        <v>43</v>
      </c>
      <c r="M834" s="101">
        <v>39</v>
      </c>
      <c r="N834" s="101">
        <v>12</v>
      </c>
      <c r="O834" s="101">
        <v>12</v>
      </c>
      <c r="P834" s="13">
        <f t="shared" ref="P834:Q834" si="1688">J834/H834</f>
        <v>0.28925619834710742</v>
      </c>
      <c r="Q834" s="13">
        <f t="shared" si="1688"/>
        <v>0.31858407079646017</v>
      </c>
      <c r="R834" s="13">
        <f t="shared" si="1552"/>
        <v>-2.9327872449352754E-2</v>
      </c>
      <c r="S834" s="13">
        <f t="shared" ref="S834:T834" si="1689">N834/L834</f>
        <v>0.27906976744186046</v>
      </c>
      <c r="T834" s="13">
        <f t="shared" si="1689"/>
        <v>0.30769230769230771</v>
      </c>
      <c r="U834" s="13">
        <f t="shared" si="1554"/>
        <v>-2.8622540250447248E-2</v>
      </c>
      <c r="V834" s="13">
        <f t="shared" si="1555"/>
        <v>7.079646017699126E-2</v>
      </c>
      <c r="W834" s="13">
        <f t="shared" si="1556"/>
        <v>-2.777777777777779E-2</v>
      </c>
      <c r="X834" s="13">
        <f t="shared" si="1557"/>
        <v>0.10256410256410264</v>
      </c>
      <c r="Y834" s="13">
        <f t="shared" si="1558"/>
        <v>0</v>
      </c>
    </row>
    <row r="835" spans="1:25" ht="14.4">
      <c r="A835" s="98" t="s">
        <v>1127</v>
      </c>
      <c r="B835" s="99">
        <v>532309</v>
      </c>
      <c r="C835" s="98" t="s">
        <v>180</v>
      </c>
      <c r="D835" s="100" t="s">
        <v>275</v>
      </c>
      <c r="E835" s="11">
        <f ca="1">IFERROR(__xludf.DUMMYFUNCTION("GOOGLEFINANCE(""BOM:""&amp;B836,""PRICE"")"),429)</f>
        <v>429</v>
      </c>
      <c r="F835" s="20">
        <f ca="1">IFERROR(__xludf.DUMMYFUNCTION("GOOGLEFINANCE(""BOM:""&amp;B836,""MARKETCAP"")/10000000"),2763.049)</f>
        <v>2763.049</v>
      </c>
      <c r="G835" s="95">
        <f t="shared" ca="1" si="1573"/>
        <v>6.8581373774509756E-5</v>
      </c>
      <c r="H835" s="101">
        <v>952</v>
      </c>
      <c r="I835" s="101">
        <v>780</v>
      </c>
      <c r="J835" s="101">
        <v>139</v>
      </c>
      <c r="K835" s="101">
        <v>38</v>
      </c>
      <c r="L835" s="101">
        <v>385</v>
      </c>
      <c r="M835" s="101">
        <v>316</v>
      </c>
      <c r="N835" s="101">
        <v>72</v>
      </c>
      <c r="O835" s="101">
        <v>-18</v>
      </c>
      <c r="P835" s="13">
        <f t="shared" ref="P835:Q835" si="1690">J835/H835</f>
        <v>0.14600840336134455</v>
      </c>
      <c r="Q835" s="13">
        <f t="shared" si="1690"/>
        <v>4.8717948717948718E-2</v>
      </c>
      <c r="R835" s="13">
        <f t="shared" si="1552"/>
        <v>9.7290454643395835E-2</v>
      </c>
      <c r="S835" s="13">
        <f t="shared" ref="S835:T835" si="1691">N835/L835</f>
        <v>0.18701298701298702</v>
      </c>
      <c r="T835" s="13">
        <f t="shared" si="1691"/>
        <v>-5.6962025316455694E-2</v>
      </c>
      <c r="U835" s="13">
        <f t="shared" si="1554"/>
        <v>0.24397501232944271</v>
      </c>
      <c r="V835" s="13">
        <f t="shared" si="1555"/>
        <v>0.22051282051282062</v>
      </c>
      <c r="W835" s="13">
        <f t="shared" si="1556"/>
        <v>2.6578947368421053</v>
      </c>
      <c r="X835" s="13">
        <f t="shared" si="1557"/>
        <v>0.21835443037974689</v>
      </c>
      <c r="Y835" s="13">
        <f t="shared" si="1558"/>
        <v>-5</v>
      </c>
    </row>
    <row r="836" spans="1:25" ht="14.4">
      <c r="A836" s="98" t="s">
        <v>1128</v>
      </c>
      <c r="B836" s="99">
        <v>526650</v>
      </c>
      <c r="C836" s="98" t="s">
        <v>172</v>
      </c>
      <c r="D836" s="100" t="s">
        <v>266</v>
      </c>
      <c r="E836" s="11">
        <f ca="1">IFERROR(__xludf.DUMMYFUNCTION("GOOGLEFINANCE(""BOM:""&amp;B837,""PRICE"")"),64.82)</f>
        <v>64.819999999999993</v>
      </c>
      <c r="F836" s="20">
        <f ca="1">IFERROR(__xludf.DUMMYFUNCTION("GOOGLEFINANCE(""BOM:""&amp;B837,""MARKETCAP"")/10000000"),2991.9165809)</f>
        <v>2991.9165809000001</v>
      </c>
      <c r="G836" s="95">
        <f t="shared" ca="1" si="1573"/>
        <v>7.4262074012026625E-5</v>
      </c>
      <c r="H836" s="101">
        <v>202</v>
      </c>
      <c r="I836" s="101">
        <v>190</v>
      </c>
      <c r="J836" s="101">
        <v>91</v>
      </c>
      <c r="K836" s="101">
        <v>73</v>
      </c>
      <c r="L836" s="101">
        <v>705</v>
      </c>
      <c r="M836" s="101">
        <v>641</v>
      </c>
      <c r="N836" s="101">
        <v>31</v>
      </c>
      <c r="O836" s="101">
        <v>22</v>
      </c>
      <c r="P836" s="13">
        <f t="shared" ref="P836:Q836" si="1692">J836/H836</f>
        <v>0.45049504950495051</v>
      </c>
      <c r="Q836" s="13">
        <f t="shared" si="1692"/>
        <v>0.38421052631578945</v>
      </c>
      <c r="R836" s="13">
        <f t="shared" si="1552"/>
        <v>6.628452318916106E-2</v>
      </c>
      <c r="S836" s="13">
        <f t="shared" ref="S836:T836" si="1693">N836/L836</f>
        <v>4.397163120567376E-2</v>
      </c>
      <c r="T836" s="13">
        <f t="shared" si="1693"/>
        <v>3.4321372854914198E-2</v>
      </c>
      <c r="U836" s="13">
        <f t="shared" si="1554"/>
        <v>9.6502583507595621E-3</v>
      </c>
      <c r="V836" s="13">
        <f t="shared" si="1555"/>
        <v>6.315789473684208E-2</v>
      </c>
      <c r="W836" s="13">
        <f t="shared" si="1556"/>
        <v>0.24657534246575352</v>
      </c>
      <c r="X836" s="13">
        <f t="shared" si="1557"/>
        <v>9.9843993759750393E-2</v>
      </c>
      <c r="Y836" s="13">
        <f t="shared" si="1558"/>
        <v>0.40909090909090917</v>
      </c>
    </row>
    <row r="837" spans="1:25" ht="14.4">
      <c r="A837" s="98" t="s">
        <v>1129</v>
      </c>
      <c r="B837" s="99">
        <v>500235</v>
      </c>
      <c r="C837" s="98" t="s">
        <v>180</v>
      </c>
      <c r="D837" s="70" t="s">
        <v>384</v>
      </c>
      <c r="E837" s="11">
        <f ca="1">IFERROR(__xludf.DUMMYFUNCTION("GOOGLEFINANCE(""BOM:""&amp;B838,""PRICE"")"),635.9)</f>
        <v>635.9</v>
      </c>
      <c r="F837" s="20">
        <f ca="1">IFERROR(__xludf.DUMMYFUNCTION("GOOGLEFINANCE(""BOM:""&amp;B838,""MARKETCAP"")/10000000"),2776.0177566)</f>
        <v>2776.0177566000002</v>
      </c>
      <c r="G837" s="95">
        <f t="shared" ca="1" si="1573"/>
        <v>6.890327003613061E-5</v>
      </c>
      <c r="H837" s="101">
        <v>1361</v>
      </c>
      <c r="I837" s="101">
        <v>1437</v>
      </c>
      <c r="J837" s="101">
        <v>186</v>
      </c>
      <c r="K837" s="101">
        <v>176</v>
      </c>
      <c r="L837" s="101">
        <v>462</v>
      </c>
      <c r="M837" s="101">
        <v>484</v>
      </c>
      <c r="N837" s="101">
        <v>21</v>
      </c>
      <c r="O837" s="101">
        <v>19</v>
      </c>
      <c r="P837" s="13">
        <f t="shared" ref="P837:Q837" si="1694">J837/H837</f>
        <v>0.1366642174871418</v>
      </c>
      <c r="Q837" s="13">
        <f t="shared" si="1694"/>
        <v>0.12247738343771747</v>
      </c>
      <c r="R837" s="13">
        <f t="shared" si="1552"/>
        <v>1.4186834049424335E-2</v>
      </c>
      <c r="S837" s="13">
        <f t="shared" ref="S837:T837" si="1695">N837/L837</f>
        <v>4.5454545454545456E-2</v>
      </c>
      <c r="T837" s="13">
        <f t="shared" si="1695"/>
        <v>3.9256198347107439E-2</v>
      </c>
      <c r="U837" s="13">
        <f t="shared" si="1554"/>
        <v>6.1983471074380167E-3</v>
      </c>
      <c r="V837" s="13">
        <f t="shared" si="1555"/>
        <v>-5.2887961029923436E-2</v>
      </c>
      <c r="W837" s="13">
        <f t="shared" si="1556"/>
        <v>5.6818181818181879E-2</v>
      </c>
      <c r="X837" s="13">
        <f t="shared" si="1557"/>
        <v>-4.5454545454545414E-2</v>
      </c>
      <c r="Y837" s="13">
        <f t="shared" si="1558"/>
        <v>0.10526315789473695</v>
      </c>
    </row>
    <row r="838" spans="1:25" ht="14.4">
      <c r="A838" s="98" t="s">
        <v>1130</v>
      </c>
      <c r="B838" s="99">
        <v>534758</v>
      </c>
      <c r="C838" s="98" t="s">
        <v>174</v>
      </c>
      <c r="D838" s="101" t="s">
        <v>455</v>
      </c>
      <c r="E838" s="11">
        <f ca="1">IFERROR(__xludf.DUMMYFUNCTION("GOOGLEFINANCE(""BOM:""&amp;B839,""PRICE"")"),1201.1)</f>
        <v>1201.0999999999999</v>
      </c>
      <c r="F838" s="20">
        <f ca="1">IFERROR(__xludf.DUMMYFUNCTION("GOOGLEFINANCE(""BOM:""&amp;B839,""MARKETCAP"")/10000000"),3299.8492077)</f>
        <v>3299.8492077000001</v>
      </c>
      <c r="G838" s="95">
        <f t="shared" ca="1" si="1573"/>
        <v>8.1905240157808837E-5</v>
      </c>
      <c r="H838" s="101">
        <v>1680</v>
      </c>
      <c r="I838" s="101">
        <v>1484</v>
      </c>
      <c r="J838" s="101">
        <v>228</v>
      </c>
      <c r="K838" s="101">
        <v>127</v>
      </c>
      <c r="L838" s="101">
        <v>579</v>
      </c>
      <c r="M838" s="101">
        <v>516</v>
      </c>
      <c r="N838" s="101">
        <v>80</v>
      </c>
      <c r="O838" s="101">
        <v>63</v>
      </c>
      <c r="P838" s="13">
        <f t="shared" ref="P838:Q838" si="1696">J838/H838</f>
        <v>0.1357142857142857</v>
      </c>
      <c r="Q838" s="13">
        <f t="shared" si="1696"/>
        <v>8.557951482479785E-2</v>
      </c>
      <c r="R838" s="13">
        <f t="shared" si="1552"/>
        <v>5.0134770889487854E-2</v>
      </c>
      <c r="S838" s="13">
        <f t="shared" ref="S838:T838" si="1697">N838/L838</f>
        <v>0.1381692573402418</v>
      </c>
      <c r="T838" s="13">
        <f t="shared" si="1697"/>
        <v>0.12209302325581395</v>
      </c>
      <c r="U838" s="13">
        <f t="shared" si="1554"/>
        <v>1.6076234084427848E-2</v>
      </c>
      <c r="V838" s="13">
        <f t="shared" si="1555"/>
        <v>0.13207547169811318</v>
      </c>
      <c r="W838" s="13">
        <f t="shared" si="1556"/>
        <v>0.79527559055118102</v>
      </c>
      <c r="X838" s="13">
        <f t="shared" si="1557"/>
        <v>0.12209302325581395</v>
      </c>
      <c r="Y838" s="13">
        <f t="shared" si="1558"/>
        <v>0.26984126984126977</v>
      </c>
    </row>
    <row r="839" spans="1:25" ht="14.4">
      <c r="A839" s="98" t="s">
        <v>1131</v>
      </c>
      <c r="B839" s="99">
        <v>542597</v>
      </c>
      <c r="C839" s="98" t="s">
        <v>206</v>
      </c>
      <c r="D839" s="100" t="s">
        <v>563</v>
      </c>
      <c r="E839" s="11">
        <f ca="1">IFERROR(__xludf.DUMMYFUNCTION("GOOGLEFINANCE(""BOM:""&amp;B840,""PRICE"")"),402.05)</f>
        <v>402.05</v>
      </c>
      <c r="F839" s="20">
        <f ca="1">IFERROR(__xludf.DUMMYFUNCTION("GOOGLEFINANCE(""BOM:""&amp;B840,""MARKETCAP"")/10000000"),2837.12)</f>
        <v>2837.12</v>
      </c>
      <c r="G839" s="95">
        <f t="shared" ca="1" si="1573"/>
        <v>7.0419882949284316E-5</v>
      </c>
      <c r="H839" s="101">
        <v>250</v>
      </c>
      <c r="I839" s="101">
        <v>222</v>
      </c>
      <c r="J839" s="101">
        <v>141</v>
      </c>
      <c r="K839" s="101">
        <v>331</v>
      </c>
      <c r="L839" s="101">
        <v>88</v>
      </c>
      <c r="M839" s="101">
        <v>81</v>
      </c>
      <c r="N839" s="101">
        <v>51</v>
      </c>
      <c r="O839" s="101">
        <v>47</v>
      </c>
      <c r="P839" s="13">
        <f t="shared" ref="P839:Q839" si="1698">J839/H839</f>
        <v>0.56399999999999995</v>
      </c>
      <c r="Q839" s="13">
        <f t="shared" si="1698"/>
        <v>1.4909909909909911</v>
      </c>
      <c r="R839" s="13">
        <f t="shared" si="1552"/>
        <v>-0.92699099099099114</v>
      </c>
      <c r="S839" s="13">
        <f t="shared" ref="S839:T839" si="1699">N839/L839</f>
        <v>0.57954545454545459</v>
      </c>
      <c r="T839" s="13">
        <f t="shared" si="1699"/>
        <v>0.58024691358024694</v>
      </c>
      <c r="U839" s="13">
        <f t="shared" si="1554"/>
        <v>-7.0145903479235105E-4</v>
      </c>
      <c r="V839" s="13">
        <f t="shared" si="1555"/>
        <v>0.12612612612612617</v>
      </c>
      <c r="W839" s="13">
        <f t="shared" si="1556"/>
        <v>-0.57401812688821752</v>
      </c>
      <c r="X839" s="13">
        <f t="shared" si="1557"/>
        <v>8.6419753086419693E-2</v>
      </c>
      <c r="Y839" s="13">
        <f t="shared" si="1558"/>
        <v>8.5106382978723305E-2</v>
      </c>
    </row>
    <row r="840" spans="1:25" ht="14.4">
      <c r="A840" s="104" t="s">
        <v>1132</v>
      </c>
      <c r="B840" s="99">
        <v>508989</v>
      </c>
      <c r="C840" s="98" t="s">
        <v>187</v>
      </c>
      <c r="D840" s="100" t="s">
        <v>1133</v>
      </c>
      <c r="E840" s="11">
        <f ca="1">IFERROR(__xludf.DUMMYFUNCTION("GOOGLEFINANCE(""BOM:""&amp;B841,""PRICE"")"),133.45)</f>
        <v>133.44999999999999</v>
      </c>
      <c r="F840" s="20">
        <f ca="1">IFERROR(__xludf.DUMMYFUNCTION("GOOGLEFINANCE(""BOM:""&amp;B841,""MARKETCAP"")/10000000"),2950.5404358)</f>
        <v>2950.5404358000001</v>
      </c>
      <c r="G840" s="95">
        <f t="shared" ca="1" si="1573"/>
        <v>7.3235080689631164E-5</v>
      </c>
      <c r="H840" s="101">
        <v>1291</v>
      </c>
      <c r="I840" s="101">
        <v>1352</v>
      </c>
      <c r="J840" s="101">
        <v>330</v>
      </c>
      <c r="K840" s="101">
        <v>757</v>
      </c>
      <c r="L840" s="101">
        <v>250</v>
      </c>
      <c r="M840" s="101">
        <v>247</v>
      </c>
      <c r="N840" s="101">
        <v>188</v>
      </c>
      <c r="O840" s="101">
        <v>-15</v>
      </c>
      <c r="P840" s="13">
        <f t="shared" ref="P840:Q840" si="1700">J840/H840</f>
        <v>0.25561580170410536</v>
      </c>
      <c r="Q840" s="13">
        <f t="shared" si="1700"/>
        <v>0.5599112426035503</v>
      </c>
      <c r="R840" s="13">
        <f t="shared" si="1552"/>
        <v>-0.30429544089944494</v>
      </c>
      <c r="S840" s="13">
        <f t="shared" ref="S840:T840" si="1701">N840/L840</f>
        <v>0.752</v>
      </c>
      <c r="T840" s="13">
        <f t="shared" si="1701"/>
        <v>-6.0728744939271252E-2</v>
      </c>
      <c r="U840" s="13">
        <f t="shared" si="1554"/>
        <v>0.81272874493927127</v>
      </c>
      <c r="V840" s="13">
        <f t="shared" si="1555"/>
        <v>-4.5118343195266308E-2</v>
      </c>
      <c r="W840" s="13">
        <f t="shared" si="1556"/>
        <v>-0.56406869220607669</v>
      </c>
      <c r="X840" s="13">
        <f t="shared" si="1557"/>
        <v>1.2145748987854255E-2</v>
      </c>
      <c r="Y840" s="13">
        <f t="shared" si="1558"/>
        <v>-13.533333333333333</v>
      </c>
    </row>
    <row r="841" spans="1:25" ht="14.4">
      <c r="A841" s="98" t="s">
        <v>1134</v>
      </c>
      <c r="B841" s="99">
        <v>539837</v>
      </c>
      <c r="C841" s="98" t="s">
        <v>180</v>
      </c>
      <c r="D841" s="102" t="s">
        <v>669</v>
      </c>
      <c r="E841" s="11">
        <f ca="1">IFERROR(__xludf.DUMMYFUNCTION("GOOGLEFINANCE(""BOM:""&amp;B842,""PRICE"")"),635.65)</f>
        <v>635.65</v>
      </c>
      <c r="F841" s="20">
        <f ca="1">IFERROR(__xludf.DUMMYFUNCTION("GOOGLEFINANCE(""BOM:""&amp;B842,""MARKETCAP"")/10000000"),2911.0471337)</f>
        <v>2911.0471336999999</v>
      </c>
      <c r="G841" s="95">
        <f t="shared" ca="1" si="1573"/>
        <v>7.2254821232448272E-5</v>
      </c>
      <c r="H841" s="101">
        <v>186</v>
      </c>
      <c r="I841" s="101">
        <v>148</v>
      </c>
      <c r="J841" s="101">
        <v>39</v>
      </c>
      <c r="K841" s="101">
        <v>26</v>
      </c>
      <c r="L841" s="101">
        <v>64</v>
      </c>
      <c r="M841" s="101">
        <v>55</v>
      </c>
      <c r="N841" s="101">
        <v>14</v>
      </c>
      <c r="O841" s="101">
        <v>9</v>
      </c>
      <c r="P841" s="13">
        <f t="shared" ref="P841:Q841" si="1702">J841/H841</f>
        <v>0.20967741935483872</v>
      </c>
      <c r="Q841" s="13">
        <f t="shared" si="1702"/>
        <v>0.17567567567567569</v>
      </c>
      <c r="R841" s="13">
        <f t="shared" si="1552"/>
        <v>3.4001743679163032E-2</v>
      </c>
      <c r="S841" s="13">
        <f t="shared" ref="S841:T841" si="1703">N841/L841</f>
        <v>0.21875</v>
      </c>
      <c r="T841" s="13">
        <f t="shared" si="1703"/>
        <v>0.16363636363636364</v>
      </c>
      <c r="U841" s="13">
        <f t="shared" si="1554"/>
        <v>5.5113636363636365E-2</v>
      </c>
      <c r="V841" s="13">
        <f t="shared" si="1555"/>
        <v>0.2567567567567568</v>
      </c>
      <c r="W841" s="13">
        <f t="shared" si="1556"/>
        <v>0.5</v>
      </c>
      <c r="X841" s="13">
        <f t="shared" si="1557"/>
        <v>0.16363636363636358</v>
      </c>
      <c r="Y841" s="13">
        <f t="shared" si="1558"/>
        <v>0.55555555555555558</v>
      </c>
    </row>
    <row r="842" spans="1:25" ht="14.4">
      <c r="A842" s="98" t="s">
        <v>1135</v>
      </c>
      <c r="B842" s="99">
        <v>512008</v>
      </c>
      <c r="C842" s="98" t="s">
        <v>206</v>
      </c>
      <c r="D842" s="102" t="s">
        <v>657</v>
      </c>
      <c r="E842" s="11">
        <f ca="1">IFERROR(__xludf.DUMMYFUNCTION("GOOGLEFINANCE(""BOM:""&amp;B843,""PRICE"")"),193.4)</f>
        <v>193.4</v>
      </c>
      <c r="F842" s="20">
        <f ca="1">IFERROR(__xludf.DUMMYFUNCTION("GOOGLEFINANCE(""BOM:""&amp;B843,""MARKETCAP"")/10000000"),2659.0402712)</f>
        <v>2659.0402712</v>
      </c>
      <c r="G842" s="95">
        <f t="shared" ca="1" si="1573"/>
        <v>6.5999783109398701E-5</v>
      </c>
      <c r="H842" s="101">
        <v>743</v>
      </c>
      <c r="I842" s="101">
        <v>445</v>
      </c>
      <c r="J842" s="101">
        <v>165</v>
      </c>
      <c r="K842" s="101">
        <v>92</v>
      </c>
      <c r="L842" s="101">
        <v>269</v>
      </c>
      <c r="M842" s="101">
        <v>177</v>
      </c>
      <c r="N842" s="101">
        <v>62</v>
      </c>
      <c r="O842" s="101">
        <v>40</v>
      </c>
      <c r="P842" s="13">
        <f t="shared" ref="P842:Q842" si="1704">J842/H842</f>
        <v>0.22207267833109018</v>
      </c>
      <c r="Q842" s="13">
        <f t="shared" si="1704"/>
        <v>0.20674157303370785</v>
      </c>
      <c r="R842" s="13">
        <f t="shared" si="1552"/>
        <v>1.5331105297382325E-2</v>
      </c>
      <c r="S842" s="13">
        <f t="shared" ref="S842:T842" si="1705">N842/L842</f>
        <v>0.23048327137546468</v>
      </c>
      <c r="T842" s="13">
        <f t="shared" si="1705"/>
        <v>0.22598870056497175</v>
      </c>
      <c r="U842" s="13">
        <f t="shared" si="1554"/>
        <v>4.4945708104929261E-3</v>
      </c>
      <c r="V842" s="13">
        <f t="shared" si="1555"/>
        <v>0.66966292134831451</v>
      </c>
      <c r="W842" s="13">
        <f t="shared" si="1556"/>
        <v>0.79347826086956519</v>
      </c>
      <c r="X842" s="13">
        <f t="shared" si="1557"/>
        <v>0.51977401129943512</v>
      </c>
      <c r="Y842" s="13">
        <f t="shared" si="1558"/>
        <v>0.55000000000000004</v>
      </c>
    </row>
    <row r="843" spans="1:25" ht="14.4">
      <c r="A843" s="98" t="s">
        <v>1136</v>
      </c>
      <c r="B843" s="99">
        <v>542460</v>
      </c>
      <c r="C843" s="98" t="s">
        <v>180</v>
      </c>
      <c r="D843" s="70" t="s">
        <v>514</v>
      </c>
      <c r="E843" s="11">
        <f ca="1">IFERROR(__xludf.DUMMYFUNCTION("GOOGLEFINANCE(""BOM:""&amp;B844,""PRICE"")"),1710.95)</f>
        <v>1710.95</v>
      </c>
      <c r="F843" s="20">
        <f ca="1">IFERROR(__xludf.DUMMYFUNCTION("GOOGLEFINANCE(""BOM:""&amp;B844,""MARKETCAP"")/10000000"),3431.9901396)</f>
        <v>3431.9901396</v>
      </c>
      <c r="G843" s="95">
        <f t="shared" ca="1" si="1573"/>
        <v>8.5185097533318991E-5</v>
      </c>
      <c r="H843" s="101">
        <v>614</v>
      </c>
      <c r="I843" s="101">
        <v>511</v>
      </c>
      <c r="J843" s="101">
        <v>83</v>
      </c>
      <c r="K843" s="101">
        <v>86</v>
      </c>
      <c r="L843" s="101">
        <v>206</v>
      </c>
      <c r="M843" s="101">
        <v>171</v>
      </c>
      <c r="N843" s="101">
        <v>25</v>
      </c>
      <c r="O843" s="101">
        <v>30</v>
      </c>
      <c r="P843" s="13">
        <f t="shared" ref="P843:Q843" si="1706">J843/H843</f>
        <v>0.13517915309446255</v>
      </c>
      <c r="Q843" s="13">
        <f t="shared" si="1706"/>
        <v>0.16829745596868884</v>
      </c>
      <c r="R843" s="13">
        <f t="shared" si="1552"/>
        <v>-3.3118302874226291E-2</v>
      </c>
      <c r="S843" s="13">
        <f t="shared" ref="S843:T843" si="1707">N843/L843</f>
        <v>0.12135922330097088</v>
      </c>
      <c r="T843" s="13">
        <f t="shared" si="1707"/>
        <v>0.17543859649122806</v>
      </c>
      <c r="U843" s="13">
        <f t="shared" si="1554"/>
        <v>-5.4079373190257185E-2</v>
      </c>
      <c r="V843" s="13">
        <f t="shared" si="1555"/>
        <v>0.20156555772994134</v>
      </c>
      <c r="W843" s="13">
        <f t="shared" si="1556"/>
        <v>-3.4883720930232509E-2</v>
      </c>
      <c r="X843" s="13">
        <f t="shared" si="1557"/>
        <v>0.20467836257309946</v>
      </c>
      <c r="Y843" s="13">
        <f t="shared" si="1558"/>
        <v>-0.16666666666666663</v>
      </c>
    </row>
    <row r="844" spans="1:25" ht="14.4">
      <c r="A844" s="98" t="s">
        <v>1137</v>
      </c>
      <c r="B844" s="99">
        <v>535754</v>
      </c>
      <c r="C844" s="98" t="s">
        <v>196</v>
      </c>
      <c r="D844" s="101" t="s">
        <v>109</v>
      </c>
      <c r="E844" s="11">
        <f ca="1">IFERROR(__xludf.DUMMYFUNCTION("GOOGLEFINANCE(""BOM:""&amp;B845,""PRICE"")"),134.3)</f>
        <v>134.30000000000001</v>
      </c>
      <c r="F844" s="20">
        <f ca="1">IFERROR(__xludf.DUMMYFUNCTION("GOOGLEFINANCE(""BOM:""&amp;B845,""MARKETCAP"")/10000000"),2762.4069482)</f>
        <v>2762.4069482</v>
      </c>
      <c r="G844" s="95">
        <f t="shared" ca="1" si="1573"/>
        <v>6.8565437468465809E-5</v>
      </c>
      <c r="H844" s="101">
        <v>2145</v>
      </c>
      <c r="I844" s="101">
        <v>1883</v>
      </c>
      <c r="J844" s="101">
        <v>282</v>
      </c>
      <c r="K844" s="101">
        <v>49</v>
      </c>
      <c r="L844" s="101">
        <v>636</v>
      </c>
      <c r="M844" s="101">
        <v>643</v>
      </c>
      <c r="N844" s="101">
        <v>27</v>
      </c>
      <c r="O844" s="101">
        <v>10</v>
      </c>
      <c r="P844" s="13">
        <f t="shared" ref="P844:Q844" si="1708">J844/H844</f>
        <v>0.13146853146853146</v>
      </c>
      <c r="Q844" s="13">
        <f t="shared" si="1708"/>
        <v>2.6022304832713755E-2</v>
      </c>
      <c r="R844" s="13">
        <f t="shared" si="1552"/>
        <v>0.10544622663581771</v>
      </c>
      <c r="S844" s="13">
        <f t="shared" ref="S844:T844" si="1709">N844/L844</f>
        <v>4.2452830188679243E-2</v>
      </c>
      <c r="T844" s="13">
        <f t="shared" si="1709"/>
        <v>1.5552099533437015E-2</v>
      </c>
      <c r="U844" s="13">
        <f t="shared" si="1554"/>
        <v>2.6900730655242226E-2</v>
      </c>
      <c r="V844" s="13">
        <f t="shared" si="1555"/>
        <v>0.13913967073818378</v>
      </c>
      <c r="W844" s="13">
        <f t="shared" si="1556"/>
        <v>4.7551020408163263</v>
      </c>
      <c r="X844" s="13">
        <f t="shared" si="1557"/>
        <v>-1.0886469673405896E-2</v>
      </c>
      <c r="Y844" s="13">
        <f t="shared" si="1558"/>
        <v>1.7000000000000002</v>
      </c>
    </row>
    <row r="845" spans="1:25" ht="14.4">
      <c r="A845" s="98" t="s">
        <v>1138</v>
      </c>
      <c r="B845" s="99">
        <v>543228</v>
      </c>
      <c r="C845" s="98" t="s">
        <v>170</v>
      </c>
      <c r="D845" s="100" t="s">
        <v>790</v>
      </c>
      <c r="E845" s="11">
        <f ca="1">IFERROR(__xludf.DUMMYFUNCTION("GOOGLEFINANCE(""BOM:""&amp;B846,""PRICE"")"),462.4)</f>
        <v>462.4</v>
      </c>
      <c r="F845" s="20">
        <f ca="1">IFERROR(__xludf.DUMMYFUNCTION("GOOGLEFINANCE(""BOM:""&amp;B846,""MARKETCAP"")/10000000"),2911.4331212)</f>
        <v>2911.4331212000002</v>
      </c>
      <c r="G845" s="95">
        <f t="shared" ca="1" si="1573"/>
        <v>7.2264401791102787E-5</v>
      </c>
      <c r="H845" s="101">
        <v>3277</v>
      </c>
      <c r="I845" s="101">
        <v>3401</v>
      </c>
      <c r="J845" s="101">
        <v>143</v>
      </c>
      <c r="K845" s="101">
        <v>274</v>
      </c>
      <c r="L845" s="101">
        <v>1107</v>
      </c>
      <c r="M845" s="101">
        <v>1184</v>
      </c>
      <c r="N845" s="101">
        <v>103</v>
      </c>
      <c r="O845" s="101">
        <v>85</v>
      </c>
      <c r="P845" s="13">
        <f t="shared" ref="P845:Q845" si="1710">J845/H845</f>
        <v>4.3637473298748855E-2</v>
      </c>
      <c r="Q845" s="13">
        <f t="shared" si="1710"/>
        <v>8.0564539841223165E-2</v>
      </c>
      <c r="R845" s="13">
        <f t="shared" si="1552"/>
        <v>-3.692706654247431E-2</v>
      </c>
      <c r="S845" s="13">
        <f t="shared" ref="S845:T845" si="1711">N845/L845</f>
        <v>9.3044263775971095E-2</v>
      </c>
      <c r="T845" s="13">
        <f t="shared" si="1711"/>
        <v>7.1790540540540543E-2</v>
      </c>
      <c r="U845" s="13">
        <f t="shared" si="1554"/>
        <v>2.1253723235430552E-2</v>
      </c>
      <c r="V845" s="13">
        <f t="shared" si="1555"/>
        <v>-3.6459864745663095E-2</v>
      </c>
      <c r="W845" s="13">
        <f t="shared" si="1556"/>
        <v>-0.47810218978102192</v>
      </c>
      <c r="X845" s="13">
        <f t="shared" si="1557"/>
        <v>-6.5033783783783772E-2</v>
      </c>
      <c r="Y845" s="13">
        <f t="shared" si="1558"/>
        <v>0.21176470588235285</v>
      </c>
    </row>
    <row r="846" spans="1:25" ht="14.4">
      <c r="A846" s="98" t="s">
        <v>1139</v>
      </c>
      <c r="B846" s="99">
        <v>522281</v>
      </c>
      <c r="C846" s="98" t="s">
        <v>180</v>
      </c>
      <c r="D846" s="100" t="s">
        <v>344</v>
      </c>
      <c r="E846" s="11">
        <f ca="1">IFERROR(__xludf.DUMMYFUNCTION("GOOGLEFINANCE(""BOM:""&amp;B847,""PRICE"")"),304)</f>
        <v>304</v>
      </c>
      <c r="F846" s="20">
        <f ca="1">IFERROR(__xludf.DUMMYFUNCTION("GOOGLEFINANCE(""BOM:""&amp;B847,""MARKETCAP"")/10000000"),2826.143397)</f>
        <v>2826.1433969999998</v>
      </c>
      <c r="G846" s="95">
        <f t="shared" ca="1" si="1573"/>
        <v>7.0147433740776834E-5</v>
      </c>
      <c r="H846" s="101">
        <v>3423</v>
      </c>
      <c r="I846" s="101">
        <v>2720</v>
      </c>
      <c r="J846" s="101">
        <v>69</v>
      </c>
      <c r="K846" s="101">
        <v>51</v>
      </c>
      <c r="L846" s="101">
        <v>1277</v>
      </c>
      <c r="M846" s="101">
        <v>888</v>
      </c>
      <c r="N846" s="101">
        <v>31</v>
      </c>
      <c r="O846" s="101">
        <v>18</v>
      </c>
      <c r="P846" s="13">
        <f t="shared" ref="P846:Q846" si="1712">J846/H846</f>
        <v>2.0157756354075372E-2</v>
      </c>
      <c r="Q846" s="13">
        <f t="shared" si="1712"/>
        <v>1.8749999999999999E-2</v>
      </c>
      <c r="R846" s="13">
        <f t="shared" si="1552"/>
        <v>1.4077563540753728E-3</v>
      </c>
      <c r="S846" s="13">
        <f t="shared" ref="S846:T846" si="1713">N846/L846</f>
        <v>2.4275646045418951E-2</v>
      </c>
      <c r="T846" s="13">
        <f t="shared" si="1713"/>
        <v>2.0270270270270271E-2</v>
      </c>
      <c r="U846" s="13">
        <f t="shared" si="1554"/>
        <v>4.0053757751486799E-3</v>
      </c>
      <c r="V846" s="13">
        <f t="shared" si="1555"/>
        <v>0.25845588235294126</v>
      </c>
      <c r="W846" s="13">
        <f t="shared" si="1556"/>
        <v>0.35294117647058831</v>
      </c>
      <c r="X846" s="13">
        <f t="shared" si="1557"/>
        <v>0.43806306306306309</v>
      </c>
      <c r="Y846" s="13">
        <f t="shared" si="1558"/>
        <v>0.72222222222222232</v>
      </c>
    </row>
    <row r="847" spans="1:25" ht="14.4">
      <c r="A847" s="104" t="s">
        <v>1140</v>
      </c>
      <c r="B847" s="99">
        <v>544066</v>
      </c>
      <c r="C847" s="98" t="s">
        <v>187</v>
      </c>
      <c r="D847" s="70" t="s">
        <v>312</v>
      </c>
      <c r="E847" s="11">
        <f ca="1">IFERROR(__xludf.DUMMYFUNCTION("GOOGLEFINANCE(""BOM:""&amp;B848,""PRICE"")"),1251.3)</f>
        <v>1251.3</v>
      </c>
      <c r="F847" s="20">
        <f ca="1">IFERROR(__xludf.DUMMYFUNCTION("GOOGLEFINANCE(""BOM:""&amp;B848,""MARKETCAP"")/10000000"),2777.81616)</f>
        <v>2777.8161599999999</v>
      </c>
      <c r="G847" s="95">
        <f t="shared" ca="1" si="1573"/>
        <v>6.8947908034143932E-5</v>
      </c>
      <c r="H847" s="101">
        <v>1507</v>
      </c>
      <c r="I847" s="101">
        <v>1672</v>
      </c>
      <c r="J847" s="101">
        <v>-174</v>
      </c>
      <c r="K847" s="101">
        <v>-154</v>
      </c>
      <c r="L847" s="101">
        <v>501</v>
      </c>
      <c r="M847" s="101">
        <v>529</v>
      </c>
      <c r="N847" s="101">
        <v>-52</v>
      </c>
      <c r="O847" s="101">
        <v>-44</v>
      </c>
      <c r="P847" s="13">
        <f t="shared" ref="P847:Q847" si="1714">J847/H847</f>
        <v>-0.11546118115461181</v>
      </c>
      <c r="Q847" s="13">
        <f t="shared" si="1714"/>
        <v>-9.2105263157894732E-2</v>
      </c>
      <c r="R847" s="13">
        <f t="shared" si="1552"/>
        <v>-2.3355917996717074E-2</v>
      </c>
      <c r="S847" s="13">
        <f t="shared" ref="S847:T847" si="1715">N847/L847</f>
        <v>-0.10379241516966067</v>
      </c>
      <c r="T847" s="13">
        <f t="shared" si="1715"/>
        <v>-8.3175803402646506E-2</v>
      </c>
      <c r="U847" s="13">
        <f t="shared" si="1554"/>
        <v>-2.0616611767014167E-2</v>
      </c>
      <c r="V847" s="13">
        <f t="shared" si="1555"/>
        <v>-9.8684210526315819E-2</v>
      </c>
      <c r="W847" s="13">
        <f t="shared" si="1556"/>
        <v>0.12987012987012991</v>
      </c>
      <c r="X847" s="13">
        <f t="shared" si="1557"/>
        <v>-5.2930056710774998E-2</v>
      </c>
      <c r="Y847" s="13">
        <f t="shared" si="1558"/>
        <v>0.18181818181818188</v>
      </c>
    </row>
    <row r="848" spans="1:25" ht="14.4">
      <c r="A848" s="98" t="s">
        <v>1141</v>
      </c>
      <c r="B848" s="99">
        <v>533262</v>
      </c>
      <c r="C848" s="98" t="s">
        <v>180</v>
      </c>
      <c r="D848" s="100" t="s">
        <v>181</v>
      </c>
      <c r="E848" s="11">
        <f ca="1">IFERROR(__xludf.DUMMYFUNCTION("GOOGLEFINANCE(""BOM:""&amp;B849,""PRICE"")"),456.8)</f>
        <v>456.8</v>
      </c>
      <c r="F848" s="20">
        <f ca="1">IFERROR(__xludf.DUMMYFUNCTION("GOOGLEFINANCE(""BOM:""&amp;B849,""MARKETCAP"")/10000000"),3155.7651284)</f>
        <v>3155.7651283999999</v>
      </c>
      <c r="G848" s="95">
        <f t="shared" ca="1" si="1573"/>
        <v>7.8328943068097653E-5</v>
      </c>
      <c r="H848" s="101">
        <v>1339</v>
      </c>
      <c r="I848" s="101">
        <v>1555</v>
      </c>
      <c r="J848" s="101">
        <v>230</v>
      </c>
      <c r="K848" s="101">
        <v>213</v>
      </c>
      <c r="L848" s="101">
        <v>488</v>
      </c>
      <c r="M848" s="101">
        <v>459</v>
      </c>
      <c r="N848" s="101">
        <v>77</v>
      </c>
      <c r="O848" s="101">
        <v>59</v>
      </c>
      <c r="P848" s="13">
        <f t="shared" ref="P848:Q848" si="1716">J848/H848</f>
        <v>0.17176997759522031</v>
      </c>
      <c r="Q848" s="13">
        <f t="shared" si="1716"/>
        <v>0.13697749196141479</v>
      </c>
      <c r="R848" s="13">
        <f t="shared" si="1552"/>
        <v>3.479248563380552E-2</v>
      </c>
      <c r="S848" s="13">
        <f t="shared" ref="S848:T848" si="1717">N848/L848</f>
        <v>0.15778688524590165</v>
      </c>
      <c r="T848" s="13">
        <f t="shared" si="1717"/>
        <v>0.12854030501089325</v>
      </c>
      <c r="U848" s="13">
        <f t="shared" si="1554"/>
        <v>2.9246580235008396E-2</v>
      </c>
      <c r="V848" s="13">
        <f t="shared" si="1555"/>
        <v>-0.13890675241157557</v>
      </c>
      <c r="W848" s="13">
        <f t="shared" si="1556"/>
        <v>7.9812206572769995E-2</v>
      </c>
      <c r="X848" s="13">
        <f t="shared" si="1557"/>
        <v>6.3180827886710311E-2</v>
      </c>
      <c r="Y848" s="13">
        <f t="shared" si="1558"/>
        <v>0.30508474576271194</v>
      </c>
    </row>
    <row r="849" spans="1:25" ht="14.4">
      <c r="A849" s="98" t="s">
        <v>1142</v>
      </c>
      <c r="B849" s="99">
        <v>544232</v>
      </c>
      <c r="C849" s="98" t="s">
        <v>180</v>
      </c>
      <c r="D849" s="70" t="s">
        <v>181</v>
      </c>
      <c r="E849" s="11">
        <f ca="1">IFERROR(__xludf.DUMMYFUNCTION("GOOGLEFINANCE(""BOM:""&amp;B850,""PRICE"")"),1818.75)</f>
        <v>1818.75</v>
      </c>
      <c r="F849" s="20">
        <f ca="1">IFERROR(__xludf.DUMMYFUNCTION("GOOGLEFINANCE(""BOM:""&amp;B850,""MARKETCAP"")/10000000"),3055.6633924)</f>
        <v>3055.6633923999998</v>
      </c>
      <c r="G849" s="95">
        <f t="shared" ca="1" si="1573"/>
        <v>7.5844327495918758E-5</v>
      </c>
      <c r="H849" s="101">
        <v>1394</v>
      </c>
      <c r="I849" s="101">
        <v>990</v>
      </c>
      <c r="J849" s="101">
        <v>97</v>
      </c>
      <c r="K849" s="101">
        <v>69</v>
      </c>
      <c r="L849" s="101">
        <v>522</v>
      </c>
      <c r="M849" s="101">
        <v>363</v>
      </c>
      <c r="N849" s="101">
        <v>37</v>
      </c>
      <c r="O849" s="101">
        <v>28</v>
      </c>
      <c r="P849" s="13">
        <f t="shared" ref="P849:Q849" si="1718">J849/H849</f>
        <v>6.9583931133428978E-2</v>
      </c>
      <c r="Q849" s="13">
        <f t="shared" si="1718"/>
        <v>6.9696969696969702E-2</v>
      </c>
      <c r="R849" s="13">
        <f t="shared" si="1552"/>
        <v>-1.1303856354072384E-4</v>
      </c>
      <c r="S849" s="13">
        <f t="shared" ref="S849:T849" si="1719">N849/L849</f>
        <v>7.0881226053639848E-2</v>
      </c>
      <c r="T849" s="13">
        <f t="shared" si="1719"/>
        <v>7.7134986225895319E-2</v>
      </c>
      <c r="U849" s="13">
        <f t="shared" si="1554"/>
        <v>-6.2537601722554709E-3</v>
      </c>
      <c r="V849" s="13">
        <f t="shared" si="1555"/>
        <v>0.40808080808080804</v>
      </c>
      <c r="W849" s="13">
        <f t="shared" si="1556"/>
        <v>0.40579710144927539</v>
      </c>
      <c r="X849" s="13">
        <f t="shared" si="1557"/>
        <v>0.43801652892561993</v>
      </c>
      <c r="Y849" s="13">
        <f t="shared" si="1558"/>
        <v>0.3214285714285714</v>
      </c>
    </row>
    <row r="850" spans="1:25" ht="14.4">
      <c r="A850" s="104" t="s">
        <v>1143</v>
      </c>
      <c r="B850" s="99">
        <v>524372</v>
      </c>
      <c r="C850" s="98" t="s">
        <v>190</v>
      </c>
      <c r="D850" s="101" t="s">
        <v>100</v>
      </c>
      <c r="E850" s="11">
        <f ca="1">IFERROR(__xludf.DUMMYFUNCTION("GOOGLEFINANCE(""BOM:""&amp;B851,""PRICE"")"),524.3)</f>
        <v>524.29999999999995</v>
      </c>
      <c r="F850" s="20">
        <f ca="1">IFERROR(__xludf.DUMMYFUNCTION("GOOGLEFINANCE(""BOM:""&amp;B851,""MARKETCAP"")/10000000"),2655.1454085)</f>
        <v>2655.1454085</v>
      </c>
      <c r="G850" s="95">
        <f t="shared" ca="1" si="1573"/>
        <v>6.5903109096513259E-5</v>
      </c>
      <c r="H850" s="101">
        <v>573</v>
      </c>
      <c r="I850" s="101">
        <v>684</v>
      </c>
      <c r="J850" s="101">
        <v>-3</v>
      </c>
      <c r="K850" s="101">
        <v>77</v>
      </c>
      <c r="L850" s="101">
        <v>207</v>
      </c>
      <c r="M850" s="101">
        <v>217</v>
      </c>
      <c r="N850" s="101">
        <v>-12</v>
      </c>
      <c r="O850" s="101">
        <v>22</v>
      </c>
      <c r="P850" s="13">
        <f t="shared" ref="P850:Q850" si="1720">J850/H850</f>
        <v>-5.235602094240838E-3</v>
      </c>
      <c r="Q850" s="13">
        <f t="shared" si="1720"/>
        <v>0.11257309941520467</v>
      </c>
      <c r="R850" s="13">
        <f t="shared" si="1552"/>
        <v>-0.11780870150944552</v>
      </c>
      <c r="S850" s="13">
        <f t="shared" ref="S850:T850" si="1721">N850/L850</f>
        <v>-5.7971014492753624E-2</v>
      </c>
      <c r="T850" s="13">
        <f t="shared" si="1721"/>
        <v>0.10138248847926268</v>
      </c>
      <c r="U850" s="13">
        <f t="shared" si="1554"/>
        <v>-0.15935350297201631</v>
      </c>
      <c r="V850" s="13">
        <f t="shared" si="1555"/>
        <v>-0.16228070175438591</v>
      </c>
      <c r="W850" s="13">
        <f t="shared" si="1556"/>
        <v>-1.0389610389610389</v>
      </c>
      <c r="X850" s="13">
        <f t="shared" si="1557"/>
        <v>-4.6082949308755783E-2</v>
      </c>
      <c r="Y850" s="13">
        <f t="shared" si="1558"/>
        <v>-1.5454545454545454</v>
      </c>
    </row>
    <row r="851" spans="1:25" ht="14.4">
      <c r="A851" s="98" t="s">
        <v>1144</v>
      </c>
      <c r="B851" s="99">
        <v>532900</v>
      </c>
      <c r="C851" s="98" t="s">
        <v>172</v>
      </c>
      <c r="D851" s="100" t="s">
        <v>178</v>
      </c>
      <c r="E851" s="11">
        <f ca="1">IFERROR(__xludf.DUMMYFUNCTION("GOOGLEFINANCE(""BOM:""&amp;B852,""PRICE"")"),35.8)</f>
        <v>35.799999999999997</v>
      </c>
      <c r="F851" s="20">
        <f ca="1">IFERROR(__xludf.DUMMYFUNCTION("GOOGLEFINANCE(""BOM:""&amp;B852,""MARKETCAP"")/10000000"),3256.0879746)</f>
        <v>3256.0879746000001</v>
      </c>
      <c r="G851" s="95">
        <f t="shared" ca="1" si="1573"/>
        <v>8.0819046795308012E-5</v>
      </c>
      <c r="H851" s="101">
        <v>682</v>
      </c>
      <c r="I851" s="101">
        <v>577</v>
      </c>
      <c r="J851" s="101">
        <v>164</v>
      </c>
      <c r="K851" s="101">
        <v>153</v>
      </c>
      <c r="L851" s="101">
        <v>243</v>
      </c>
      <c r="M851" s="101">
        <v>181</v>
      </c>
      <c r="N851" s="101">
        <v>66</v>
      </c>
      <c r="O851" s="101">
        <v>62</v>
      </c>
      <c r="P851" s="13">
        <f t="shared" ref="P851:Q851" si="1722">J851/H851</f>
        <v>0.2404692082111437</v>
      </c>
      <c r="Q851" s="13">
        <f t="shared" si="1722"/>
        <v>0.26516464471403811</v>
      </c>
      <c r="R851" s="13">
        <f t="shared" si="1552"/>
        <v>-2.4695436502894408E-2</v>
      </c>
      <c r="S851" s="13">
        <f t="shared" ref="S851:T851" si="1723">N851/L851</f>
        <v>0.27160493827160492</v>
      </c>
      <c r="T851" s="13">
        <f t="shared" si="1723"/>
        <v>0.34254143646408841</v>
      </c>
      <c r="U851" s="13">
        <f t="shared" si="1554"/>
        <v>-7.0936498192483488E-2</v>
      </c>
      <c r="V851" s="13">
        <f t="shared" si="1555"/>
        <v>0.18197573656845756</v>
      </c>
      <c r="W851" s="13">
        <f t="shared" si="1556"/>
        <v>7.1895424836601274E-2</v>
      </c>
      <c r="X851" s="13">
        <f t="shared" si="1557"/>
        <v>0.34254143646408841</v>
      </c>
      <c r="Y851" s="13">
        <f t="shared" si="1558"/>
        <v>6.4516129032258007E-2</v>
      </c>
    </row>
    <row r="852" spans="1:25" ht="14.4">
      <c r="A852" s="98" t="s">
        <v>1145</v>
      </c>
      <c r="B852" s="99">
        <v>532732</v>
      </c>
      <c r="C852" s="98" t="s">
        <v>187</v>
      </c>
      <c r="D852" s="100" t="s">
        <v>96</v>
      </c>
      <c r="E852" s="11">
        <f ca="1">IFERROR(__xludf.DUMMYFUNCTION("GOOGLEFINANCE(""BOM:""&amp;B853,""PRICE"")"),446.85)</f>
        <v>446.85</v>
      </c>
      <c r="F852" s="20">
        <f ca="1">IFERROR(__xludf.DUMMYFUNCTION("GOOGLEFINANCE(""BOM:""&amp;B853,""MARKETCAP"")/10000000"),2754.3379422)</f>
        <v>2754.3379421999998</v>
      </c>
      <c r="G852" s="95">
        <f t="shared" ca="1" si="1573"/>
        <v>6.836515744575366E-5</v>
      </c>
      <c r="H852" s="101">
        <v>888</v>
      </c>
      <c r="I852" s="101">
        <v>714</v>
      </c>
      <c r="J852" s="101">
        <v>117</v>
      </c>
      <c r="K852" s="101">
        <v>118</v>
      </c>
      <c r="L852" s="101">
        <v>301</v>
      </c>
      <c r="M852" s="101">
        <v>255</v>
      </c>
      <c r="N852" s="101">
        <v>37</v>
      </c>
      <c r="O852" s="101">
        <v>26</v>
      </c>
      <c r="P852" s="13">
        <f t="shared" ref="P852:Q852" si="1724">J852/H852</f>
        <v>0.13175675675675674</v>
      </c>
      <c r="Q852" s="13">
        <f t="shared" si="1724"/>
        <v>0.16526610644257703</v>
      </c>
      <c r="R852" s="13">
        <f t="shared" si="1552"/>
        <v>-3.3509349685820283E-2</v>
      </c>
      <c r="S852" s="13">
        <f t="shared" ref="S852:T852" si="1725">N852/L852</f>
        <v>0.12292358803986711</v>
      </c>
      <c r="T852" s="13">
        <f t="shared" si="1725"/>
        <v>0.10196078431372549</v>
      </c>
      <c r="U852" s="13">
        <f t="shared" si="1554"/>
        <v>2.0962803726141621E-2</v>
      </c>
      <c r="V852" s="13">
        <f t="shared" si="1555"/>
        <v>0.24369747899159666</v>
      </c>
      <c r="W852" s="13">
        <f t="shared" si="1556"/>
        <v>-8.4745762711864181E-3</v>
      </c>
      <c r="X852" s="13">
        <f t="shared" si="1557"/>
        <v>0.18039215686274512</v>
      </c>
      <c r="Y852" s="13">
        <f t="shared" si="1558"/>
        <v>0.42307692307692313</v>
      </c>
    </row>
    <row r="853" spans="1:25" ht="14.4">
      <c r="A853" s="104" t="s">
        <v>1146</v>
      </c>
      <c r="B853" s="99">
        <v>532924</v>
      </c>
      <c r="C853" s="98" t="s">
        <v>187</v>
      </c>
      <c r="D853" s="102" t="s">
        <v>131</v>
      </c>
      <c r="E853" s="11">
        <f ca="1">IFERROR(__xludf.DUMMYFUNCTION("GOOGLEFINANCE(""BOM:""&amp;B854,""PRICE"")"),309.5)</f>
        <v>309.5</v>
      </c>
      <c r="F853" s="20">
        <f ca="1">IFERROR(__xludf.DUMMYFUNCTION("GOOGLEFINANCE(""BOM:""&amp;B854,""MARKETCAP"")/10000000"),2736.6682487)</f>
        <v>2736.6682486999998</v>
      </c>
      <c r="G853" s="95">
        <f t="shared" ca="1" si="1573"/>
        <v>6.7926579680971166E-5</v>
      </c>
      <c r="H853" s="101">
        <v>486</v>
      </c>
      <c r="I853" s="101">
        <v>998</v>
      </c>
      <c r="J853" s="101">
        <v>-23</v>
      </c>
      <c r="K853" s="101">
        <v>43</v>
      </c>
      <c r="L853" s="101">
        <v>265</v>
      </c>
      <c r="M853" s="101">
        <v>349</v>
      </c>
      <c r="N853" s="101">
        <v>4</v>
      </c>
      <c r="O853" s="101">
        <v>26</v>
      </c>
      <c r="P853" s="13">
        <f t="shared" ref="P853:Q853" si="1726">J853/H853</f>
        <v>-4.7325102880658436E-2</v>
      </c>
      <c r="Q853" s="13">
        <f t="shared" si="1726"/>
        <v>4.308617234468938E-2</v>
      </c>
      <c r="R853" s="13">
        <f t="shared" si="1552"/>
        <v>-9.0411275225347809E-2</v>
      </c>
      <c r="S853" s="13">
        <f t="shared" ref="S853:T853" si="1727">N853/L853</f>
        <v>1.509433962264151E-2</v>
      </c>
      <c r="T853" s="13">
        <f t="shared" si="1727"/>
        <v>7.4498567335243557E-2</v>
      </c>
      <c r="U853" s="13">
        <f t="shared" si="1554"/>
        <v>-5.9404227712602051E-2</v>
      </c>
      <c r="V853" s="13">
        <f t="shared" si="1555"/>
        <v>-0.51302605210420849</v>
      </c>
      <c r="W853" s="13">
        <f t="shared" si="1556"/>
        <v>-1.5348837209302326</v>
      </c>
      <c r="X853" s="13">
        <f t="shared" si="1557"/>
        <v>-0.24068767908309452</v>
      </c>
      <c r="Y853" s="13">
        <f t="shared" si="1558"/>
        <v>-0.84615384615384615</v>
      </c>
    </row>
    <row r="854" spans="1:25" ht="14.4">
      <c r="A854" s="98" t="s">
        <v>1147</v>
      </c>
      <c r="B854" s="99">
        <v>523319</v>
      </c>
      <c r="C854" s="98" t="s">
        <v>441</v>
      </c>
      <c r="D854" s="109" t="s">
        <v>441</v>
      </c>
      <c r="E854" s="11">
        <f ca="1">IFERROR(__xludf.DUMMYFUNCTION("GOOGLEFINANCE(""BOM:""&amp;B855,""PRICE"")"),160.4)</f>
        <v>160.4</v>
      </c>
      <c r="F854" s="20">
        <f ca="1">IFERROR(__xludf.DUMMYFUNCTION("GOOGLEFINANCE(""BOM:""&amp;B855,""MARKETCAP"")/10000000"),2738.6257526)</f>
        <v>2738.6257525999999</v>
      </c>
      <c r="G854" s="95">
        <f t="shared" ca="1" si="1573"/>
        <v>6.7975166697209732E-5</v>
      </c>
      <c r="H854" s="101">
        <v>1973</v>
      </c>
      <c r="I854" s="101">
        <v>1907</v>
      </c>
      <c r="J854" s="101">
        <v>187</v>
      </c>
      <c r="K854" s="101">
        <v>185</v>
      </c>
      <c r="L854" s="101">
        <v>656</v>
      </c>
      <c r="M854" s="101">
        <v>630</v>
      </c>
      <c r="N854" s="101">
        <v>64</v>
      </c>
      <c r="O854" s="101">
        <v>61</v>
      </c>
      <c r="P854" s="13">
        <f t="shared" ref="P854:Q854" si="1728">J854/H854</f>
        <v>9.4779523568170293E-2</v>
      </c>
      <c r="Q854" s="13">
        <f t="shared" si="1728"/>
        <v>9.701101206082853E-2</v>
      </c>
      <c r="R854" s="13">
        <f t="shared" si="1552"/>
        <v>-2.2314884926582373E-3</v>
      </c>
      <c r="S854" s="13">
        <f t="shared" ref="S854:T854" si="1729">N854/L854</f>
        <v>9.7560975609756101E-2</v>
      </c>
      <c r="T854" s="13">
        <f t="shared" si="1729"/>
        <v>9.6825396825396828E-2</v>
      </c>
      <c r="U854" s="13">
        <f t="shared" si="1554"/>
        <v>7.355787843592726E-4</v>
      </c>
      <c r="V854" s="13">
        <f t="shared" si="1555"/>
        <v>3.4609334032511763E-2</v>
      </c>
      <c r="W854" s="13">
        <f t="shared" si="1556"/>
        <v>1.08108108108107E-2</v>
      </c>
      <c r="X854" s="13">
        <f t="shared" si="1557"/>
        <v>4.1269841269841345E-2</v>
      </c>
      <c r="Y854" s="13">
        <f t="shared" si="1558"/>
        <v>4.9180327868852514E-2</v>
      </c>
    </row>
    <row r="855" spans="1:25" ht="14.4">
      <c r="A855" s="98" t="s">
        <v>1148</v>
      </c>
      <c r="B855" s="99">
        <v>505010</v>
      </c>
      <c r="C855" s="98" t="s">
        <v>187</v>
      </c>
      <c r="D855" s="109" t="s">
        <v>312</v>
      </c>
      <c r="E855" s="11">
        <f ca="1">IFERROR(__xludf.DUMMYFUNCTION("GOOGLEFINANCE(""BOM:""&amp;B856,""PRICE"")"),1682)</f>
        <v>1682</v>
      </c>
      <c r="F855" s="20">
        <f ca="1">IFERROR(__xludf.DUMMYFUNCTION("GOOGLEFINANCE(""BOM:""&amp;B856,""MARKETCAP"")/10000000"),2523.8500728)</f>
        <v>2523.8500727999999</v>
      </c>
      <c r="G855" s="95">
        <f t="shared" ca="1" si="1573"/>
        <v>6.264424018304433E-5</v>
      </c>
      <c r="H855" s="101">
        <v>1513</v>
      </c>
      <c r="I855" s="101">
        <v>1517</v>
      </c>
      <c r="J855" s="101">
        <v>110</v>
      </c>
      <c r="K855" s="101">
        <v>109</v>
      </c>
      <c r="L855" s="101">
        <v>562</v>
      </c>
      <c r="M855" s="101">
        <v>530</v>
      </c>
      <c r="N855" s="101">
        <v>38</v>
      </c>
      <c r="O855" s="101">
        <v>39</v>
      </c>
      <c r="P855" s="13">
        <f t="shared" ref="P855:Q855" si="1730">J855/H855</f>
        <v>7.270323859881031E-2</v>
      </c>
      <c r="Q855" s="13">
        <f t="shared" si="1730"/>
        <v>7.1852340145023078E-2</v>
      </c>
      <c r="R855" s="13">
        <f t="shared" si="1552"/>
        <v>8.5089845378723272E-4</v>
      </c>
      <c r="S855" s="13">
        <f t="shared" ref="S855:T855" si="1731">N855/L855</f>
        <v>6.7615658362989328E-2</v>
      </c>
      <c r="T855" s="13">
        <f t="shared" si="1731"/>
        <v>7.3584905660377356E-2</v>
      </c>
      <c r="U855" s="13">
        <f t="shared" si="1554"/>
        <v>-5.9692472973880278E-3</v>
      </c>
      <c r="V855" s="13">
        <f t="shared" si="1555"/>
        <v>-2.636783124588038E-3</v>
      </c>
      <c r="W855" s="13">
        <f t="shared" si="1556"/>
        <v>9.1743119266054496E-3</v>
      </c>
      <c r="X855" s="13">
        <f t="shared" si="1557"/>
        <v>6.0377358490566024E-2</v>
      </c>
      <c r="Y855" s="13">
        <f t="shared" si="1558"/>
        <v>-2.5641025641025661E-2</v>
      </c>
    </row>
    <row r="856" spans="1:25" ht="14.4">
      <c r="A856" s="98" t="s">
        <v>1149</v>
      </c>
      <c r="B856" s="99">
        <v>541163</v>
      </c>
      <c r="C856" s="98" t="s">
        <v>187</v>
      </c>
      <c r="D856" s="100" t="s">
        <v>312</v>
      </c>
      <c r="E856" s="11">
        <f ca="1">IFERROR(__xludf.DUMMYFUNCTION("GOOGLEFINANCE(""BOM:""&amp;B857,""PRICE"")"),466.7)</f>
        <v>466.7</v>
      </c>
      <c r="F856" s="20">
        <f ca="1">IFERROR(__xludf.DUMMYFUNCTION("GOOGLEFINANCE(""BOM:""&amp;B857,""MARKETCAP"")/10000000"),2814.8180487)</f>
        <v>2814.8180487</v>
      </c>
      <c r="G856" s="95">
        <f t="shared" ca="1" si="1573"/>
        <v>6.986632835868307E-5</v>
      </c>
      <c r="H856" s="101">
        <v>3545</v>
      </c>
      <c r="I856" s="101">
        <v>2870</v>
      </c>
      <c r="J856" s="101">
        <v>134</v>
      </c>
      <c r="K856" s="101">
        <v>99</v>
      </c>
      <c r="L856" s="101">
        <v>1184</v>
      </c>
      <c r="M856" s="101">
        <v>973</v>
      </c>
      <c r="N856" s="101">
        <v>33</v>
      </c>
      <c r="O856" s="101">
        <v>29</v>
      </c>
      <c r="P856" s="13">
        <f t="shared" ref="P856:Q856" si="1732">J856/H856</f>
        <v>3.7799717912552891E-2</v>
      </c>
      <c r="Q856" s="13">
        <f t="shared" si="1732"/>
        <v>3.449477351916376E-2</v>
      </c>
      <c r="R856" s="13">
        <f t="shared" si="1552"/>
        <v>3.3049443933891309E-3</v>
      </c>
      <c r="S856" s="13">
        <f t="shared" ref="S856:T856" si="1733">N856/L856</f>
        <v>2.7871621621621621E-2</v>
      </c>
      <c r="T856" s="13">
        <f t="shared" si="1733"/>
        <v>2.9804727646454265E-2</v>
      </c>
      <c r="U856" s="13">
        <f t="shared" si="1554"/>
        <v>-1.9331060248326433E-3</v>
      </c>
      <c r="V856" s="13">
        <f t="shared" si="1555"/>
        <v>0.23519163763066198</v>
      </c>
      <c r="W856" s="13">
        <f t="shared" si="1556"/>
        <v>0.35353535353535359</v>
      </c>
      <c r="X856" s="13">
        <f t="shared" si="1557"/>
        <v>0.21685508735868453</v>
      </c>
      <c r="Y856" s="13">
        <f t="shared" si="1558"/>
        <v>0.13793103448275867</v>
      </c>
    </row>
    <row r="857" spans="1:25" ht="14.4">
      <c r="A857" s="98" t="s">
        <v>1150</v>
      </c>
      <c r="B857" s="99">
        <v>538268</v>
      </c>
      <c r="C857" s="98" t="s">
        <v>187</v>
      </c>
      <c r="D857" s="101" t="s">
        <v>104</v>
      </c>
      <c r="E857" s="11">
        <f ca="1">IFERROR(__xludf.DUMMYFUNCTION("GOOGLEFINANCE(""BOM:""&amp;B858,""PRICE"")"),521.25)</f>
        <v>521.25</v>
      </c>
      <c r="F857" s="20">
        <f ca="1">IFERROR(__xludf.DUMMYFUNCTION("GOOGLEFINANCE(""BOM:""&amp;B858,""MARKETCAP"")/10000000"),3295.0051805)</f>
        <v>3295.0051804999998</v>
      </c>
      <c r="G857" s="95">
        <f t="shared" ca="1" si="1573"/>
        <v>8.1785007024058002E-5</v>
      </c>
      <c r="H857" s="101">
        <v>3829</v>
      </c>
      <c r="I857" s="101">
        <v>3617</v>
      </c>
      <c r="J857" s="101">
        <v>65</v>
      </c>
      <c r="K857" s="101">
        <v>98</v>
      </c>
      <c r="L857" s="101">
        <v>1345</v>
      </c>
      <c r="M857" s="101">
        <v>1215</v>
      </c>
      <c r="N857" s="101">
        <v>14</v>
      </c>
      <c r="O857" s="101">
        <v>20</v>
      </c>
      <c r="P857" s="13">
        <f t="shared" ref="P857:Q857" si="1734">J857/H857</f>
        <v>1.6975711674066335E-2</v>
      </c>
      <c r="Q857" s="13">
        <f t="shared" si="1734"/>
        <v>2.7094277025158972E-2</v>
      </c>
      <c r="R857" s="13">
        <f t="shared" si="1552"/>
        <v>-1.0118565351092637E-2</v>
      </c>
      <c r="S857" s="13">
        <f t="shared" ref="S857:T857" si="1735">N857/L857</f>
        <v>1.0408921933085501E-2</v>
      </c>
      <c r="T857" s="13">
        <f t="shared" si="1735"/>
        <v>1.646090534979424E-2</v>
      </c>
      <c r="U857" s="13">
        <f t="shared" si="1554"/>
        <v>-6.0519834167087391E-3</v>
      </c>
      <c r="V857" s="13">
        <f t="shared" si="1555"/>
        <v>5.8612109482996999E-2</v>
      </c>
      <c r="W857" s="13">
        <f t="shared" si="1556"/>
        <v>-0.33673469387755106</v>
      </c>
      <c r="X857" s="13">
        <f t="shared" si="1557"/>
        <v>0.10699588477366251</v>
      </c>
      <c r="Y857" s="13">
        <f t="shared" si="1558"/>
        <v>-0.30000000000000004</v>
      </c>
    </row>
    <row r="858" spans="1:25" ht="14.4">
      <c r="A858" s="104" t="s">
        <v>1151</v>
      </c>
      <c r="B858" s="99">
        <v>524709</v>
      </c>
      <c r="C858" s="98" t="s">
        <v>196</v>
      </c>
      <c r="D858" s="70" t="s">
        <v>414</v>
      </c>
      <c r="E858" s="11">
        <f ca="1">IFERROR(__xludf.DUMMYFUNCTION("GOOGLEFINANCE(""BOM:""&amp;B859,""PRICE"")"),143.95)</f>
        <v>143.94999999999999</v>
      </c>
      <c r="F858" s="20">
        <f ca="1">IFERROR(__xludf.DUMMYFUNCTION("GOOGLEFINANCE(""BOM:""&amp;B859,""MARKETCAP"")/10000000"),3396.7563129)</f>
        <v>3396.7563129</v>
      </c>
      <c r="G858" s="95">
        <f t="shared" ca="1" si="1573"/>
        <v>8.4310562105818784E-5</v>
      </c>
      <c r="H858" s="101">
        <v>1223</v>
      </c>
      <c r="I858" s="101">
        <v>1033</v>
      </c>
      <c r="J858" s="101">
        <v>5</v>
      </c>
      <c r="K858" s="101">
        <v>-42</v>
      </c>
      <c r="L858" s="101">
        <v>318</v>
      </c>
      <c r="M858" s="101">
        <v>267</v>
      </c>
      <c r="N858" s="101">
        <v>-10</v>
      </c>
      <c r="O858" s="101">
        <v>-36</v>
      </c>
      <c r="P858" s="13">
        <f t="shared" ref="P858:Q858" si="1736">J858/H858</f>
        <v>4.0883074407195418E-3</v>
      </c>
      <c r="Q858" s="13">
        <f t="shared" si="1736"/>
        <v>-4.0658276863504358E-2</v>
      </c>
      <c r="R858" s="13">
        <f t="shared" si="1552"/>
        <v>4.4746584304223902E-2</v>
      </c>
      <c r="S858" s="13">
        <f t="shared" ref="S858:T858" si="1737">N858/L858</f>
        <v>-3.1446540880503145E-2</v>
      </c>
      <c r="T858" s="13">
        <f t="shared" si="1737"/>
        <v>-0.1348314606741573</v>
      </c>
      <c r="U858" s="13">
        <f t="shared" si="1554"/>
        <v>0.10338491979365416</v>
      </c>
      <c r="V858" s="13">
        <f t="shared" si="1555"/>
        <v>0.18393030009680533</v>
      </c>
      <c r="W858" s="13">
        <f t="shared" si="1556"/>
        <v>-1.1190476190476191</v>
      </c>
      <c r="X858" s="13">
        <f t="shared" si="1557"/>
        <v>0.1910112359550562</v>
      </c>
      <c r="Y858" s="13">
        <f t="shared" si="1558"/>
        <v>-0.72222222222222221</v>
      </c>
    </row>
    <row r="859" spans="1:25" ht="14.4">
      <c r="A859" s="98" t="s">
        <v>1152</v>
      </c>
      <c r="B859" s="99">
        <v>532256</v>
      </c>
      <c r="C859" s="98" t="s">
        <v>172</v>
      </c>
      <c r="D859" s="100" t="s">
        <v>243</v>
      </c>
      <c r="E859" s="11">
        <f ca="1">IFERROR(__xludf.DUMMYFUNCTION("GOOGLEFINANCE(""BOM:""&amp;B860,""PRICE"")"),5270)</f>
        <v>5270</v>
      </c>
      <c r="F859" s="20">
        <f ca="1">IFERROR(__xludf.DUMMYFUNCTION("GOOGLEFINANCE(""BOM:""&amp;B860,""MARKETCAP"")/10000000"),2716.043641)</f>
        <v>2716.0436410000002</v>
      </c>
      <c r="G859" s="95">
        <f t="shared" ca="1" si="1573"/>
        <v>6.7414658274718035E-5</v>
      </c>
      <c r="H859" s="101">
        <v>59</v>
      </c>
      <c r="I859" s="101">
        <v>80</v>
      </c>
      <c r="J859" s="101">
        <v>42</v>
      </c>
      <c r="K859" s="101">
        <v>59</v>
      </c>
      <c r="L859" s="101">
        <v>8</v>
      </c>
      <c r="M859" s="101">
        <v>8</v>
      </c>
      <c r="N859" s="101">
        <v>5</v>
      </c>
      <c r="O859" s="101">
        <v>5</v>
      </c>
      <c r="P859" s="13">
        <f t="shared" ref="P859:Q859" si="1738">J859/H859</f>
        <v>0.71186440677966101</v>
      </c>
      <c r="Q859" s="13">
        <f t="shared" si="1738"/>
        <v>0.73750000000000004</v>
      </c>
      <c r="R859" s="13">
        <f t="shared" si="1552"/>
        <v>-2.5635593220339037E-2</v>
      </c>
      <c r="S859" s="13">
        <f t="shared" ref="S859:T859" si="1739">N859/L859</f>
        <v>0.625</v>
      </c>
      <c r="T859" s="13">
        <f t="shared" si="1739"/>
        <v>0.625</v>
      </c>
      <c r="U859" s="13">
        <f t="shared" si="1554"/>
        <v>0</v>
      </c>
      <c r="V859" s="13">
        <f t="shared" si="1555"/>
        <v>-0.26249999999999996</v>
      </c>
      <c r="W859" s="13">
        <f t="shared" si="1556"/>
        <v>-0.28813559322033899</v>
      </c>
      <c r="X859" s="13">
        <f t="shared" si="1557"/>
        <v>0</v>
      </c>
      <c r="Y859" s="13">
        <f t="shared" si="1558"/>
        <v>0</v>
      </c>
    </row>
    <row r="860" spans="1:25" ht="14.4">
      <c r="A860" s="98" t="s">
        <v>1153</v>
      </c>
      <c r="B860" s="99">
        <v>532983</v>
      </c>
      <c r="C860" s="98" t="s">
        <v>190</v>
      </c>
      <c r="D860" s="101" t="s">
        <v>100</v>
      </c>
      <c r="E860" s="11">
        <f ca="1">IFERROR(__xludf.DUMMYFUNCTION("GOOGLEFINANCE(""BOM:""&amp;B861,""PRICE"")"),1915.6)</f>
        <v>1915.6</v>
      </c>
      <c r="F860" s="20">
        <f ca="1">IFERROR(__xludf.DUMMYFUNCTION("GOOGLEFINANCE(""BOM:""&amp;B861,""MARKETCAP"")/10000000"),3169.2050154)</f>
        <v>3169.2050153999999</v>
      </c>
      <c r="G860" s="95">
        <f t="shared" ca="1" si="1573"/>
        <v>7.8662533212113975E-5</v>
      </c>
      <c r="H860" s="101">
        <v>530</v>
      </c>
      <c r="I860" s="101">
        <v>510</v>
      </c>
      <c r="J860" s="101">
        <v>85</v>
      </c>
      <c r="K860" s="101">
        <v>65</v>
      </c>
      <c r="L860" s="101">
        <v>180</v>
      </c>
      <c r="M860" s="101">
        <v>172</v>
      </c>
      <c r="N860" s="101">
        <v>22</v>
      </c>
      <c r="O860" s="101">
        <v>34</v>
      </c>
      <c r="P860" s="13">
        <f t="shared" ref="P860:Q860" si="1740">J860/H860</f>
        <v>0.16037735849056603</v>
      </c>
      <c r="Q860" s="13">
        <f t="shared" si="1740"/>
        <v>0.12745098039215685</v>
      </c>
      <c r="R860" s="13">
        <f t="shared" si="1552"/>
        <v>3.2926378098409176E-2</v>
      </c>
      <c r="S860" s="13">
        <f t="shared" ref="S860:T860" si="1741">N860/L860</f>
        <v>0.12222222222222222</v>
      </c>
      <c r="T860" s="13">
        <f t="shared" si="1741"/>
        <v>0.19767441860465115</v>
      </c>
      <c r="U860" s="13">
        <f t="shared" si="1554"/>
        <v>-7.5452196382428935E-2</v>
      </c>
      <c r="V860" s="13">
        <f t="shared" si="1555"/>
        <v>3.9215686274509887E-2</v>
      </c>
      <c r="W860" s="13">
        <f t="shared" si="1556"/>
        <v>0.30769230769230771</v>
      </c>
      <c r="X860" s="13">
        <f t="shared" si="1557"/>
        <v>4.6511627906976827E-2</v>
      </c>
      <c r="Y860" s="13">
        <f t="shared" si="1558"/>
        <v>-0.3529411764705882</v>
      </c>
    </row>
    <row r="861" spans="1:25" ht="14.4">
      <c r="A861" s="98" t="s">
        <v>1154</v>
      </c>
      <c r="B861" s="99">
        <v>532054</v>
      </c>
      <c r="C861" s="98" t="s">
        <v>187</v>
      </c>
      <c r="D861" s="100" t="s">
        <v>70</v>
      </c>
      <c r="E861" s="11">
        <f ca="1">IFERROR(__xludf.DUMMYFUNCTION("GOOGLEFINANCE(""BOM:""&amp;B862,""PRICE"")"),2210.3)</f>
        <v>2210.3000000000002</v>
      </c>
      <c r="F861" s="20">
        <f ca="1">IFERROR(__xludf.DUMMYFUNCTION("GOOGLEFINANCE(""BOM:""&amp;B862,""MARKETCAP"")/10000000"),2715.4328906)</f>
        <v>2715.4328906000001</v>
      </c>
      <c r="G861" s="95">
        <f t="shared" ca="1" si="1573"/>
        <v>6.7399498897716267E-5</v>
      </c>
      <c r="H861" s="101">
        <v>1578</v>
      </c>
      <c r="I861" s="101">
        <v>1228</v>
      </c>
      <c r="J861" s="101">
        <v>100</v>
      </c>
      <c r="K861" s="101">
        <v>110</v>
      </c>
      <c r="L861" s="101">
        <v>596</v>
      </c>
      <c r="M861" s="101">
        <v>472</v>
      </c>
      <c r="N861" s="101">
        <v>38</v>
      </c>
      <c r="O861" s="101">
        <v>47</v>
      </c>
      <c r="P861" s="13">
        <f t="shared" ref="P861:Q861" si="1742">J861/H861</f>
        <v>6.3371356147021551E-2</v>
      </c>
      <c r="Q861" s="13">
        <f t="shared" si="1742"/>
        <v>8.9576547231270356E-2</v>
      </c>
      <c r="R861" s="13">
        <f t="shared" si="1552"/>
        <v>-2.6205191084248805E-2</v>
      </c>
      <c r="S861" s="13">
        <f t="shared" ref="S861:T861" si="1743">N861/L861</f>
        <v>6.3758389261744972E-2</v>
      </c>
      <c r="T861" s="13">
        <f t="shared" si="1743"/>
        <v>9.9576271186440676E-2</v>
      </c>
      <c r="U861" s="13">
        <f t="shared" si="1554"/>
        <v>-3.5817881924695705E-2</v>
      </c>
      <c r="V861" s="13">
        <f t="shared" si="1555"/>
        <v>0.28501628664495104</v>
      </c>
      <c r="W861" s="13">
        <f t="shared" si="1556"/>
        <v>-9.0909090909090939E-2</v>
      </c>
      <c r="X861" s="13">
        <f t="shared" si="1557"/>
        <v>0.26271186440677963</v>
      </c>
      <c r="Y861" s="13">
        <f t="shared" si="1558"/>
        <v>-0.19148936170212771</v>
      </c>
    </row>
    <row r="862" spans="1:25" ht="14.4">
      <c r="A862" s="98" t="s">
        <v>1155</v>
      </c>
      <c r="B862" s="99">
        <v>543985</v>
      </c>
      <c r="C862" s="98" t="s">
        <v>174</v>
      </c>
      <c r="D862" s="70" t="s">
        <v>455</v>
      </c>
      <c r="E862" s="11">
        <f ca="1">IFERROR(__xludf.DUMMYFUNCTION("GOOGLEFINANCE(""BOM:""&amp;B863,""PRICE"")"),225.35)</f>
        <v>225.35</v>
      </c>
      <c r="F862" s="20">
        <f ca="1">IFERROR(__xludf.DUMMYFUNCTION("GOOGLEFINANCE(""BOM:""&amp;B863,""MARKETCAP"")/10000000"),3034.5916624)</f>
        <v>3034.5916624000001</v>
      </c>
      <c r="G862" s="95">
        <f t="shared" ca="1" si="1573"/>
        <v>7.5321308110013719E-5</v>
      </c>
      <c r="H862" s="101">
        <v>1289</v>
      </c>
      <c r="I862" s="101">
        <v>891</v>
      </c>
      <c r="J862" s="101">
        <v>98</v>
      </c>
      <c r="K862" s="101">
        <v>56</v>
      </c>
      <c r="L862" s="101">
        <v>525</v>
      </c>
      <c r="M862" s="101">
        <v>336</v>
      </c>
      <c r="N862" s="101">
        <v>37</v>
      </c>
      <c r="O862" s="101">
        <v>19</v>
      </c>
      <c r="P862" s="13">
        <f t="shared" ref="P862:Q862" si="1744">J862/H862</f>
        <v>7.6027928626842517E-2</v>
      </c>
      <c r="Q862" s="13">
        <f t="shared" si="1744"/>
        <v>6.2850729517396189E-2</v>
      </c>
      <c r="R862" s="13">
        <f t="shared" si="1552"/>
        <v>1.3177199109446328E-2</v>
      </c>
      <c r="S862" s="13">
        <f t="shared" ref="S862:T862" si="1745">N862/L862</f>
        <v>7.047619047619047E-2</v>
      </c>
      <c r="T862" s="13">
        <f t="shared" si="1745"/>
        <v>5.6547619047619048E-2</v>
      </c>
      <c r="U862" s="13">
        <f t="shared" si="1554"/>
        <v>1.3928571428571422E-2</v>
      </c>
      <c r="V862" s="13">
        <f t="shared" si="1555"/>
        <v>0.44668911335577999</v>
      </c>
      <c r="W862" s="13">
        <f t="shared" si="1556"/>
        <v>0.75</v>
      </c>
      <c r="X862" s="13">
        <f t="shared" si="1557"/>
        <v>0.5625</v>
      </c>
      <c r="Y862" s="13">
        <f t="shared" si="1558"/>
        <v>0.94736842105263164</v>
      </c>
    </row>
    <row r="863" spans="1:25" ht="14.4">
      <c r="A863" s="98" t="s">
        <v>1156</v>
      </c>
      <c r="B863" s="99">
        <v>543972</v>
      </c>
      <c r="C863" s="98" t="s">
        <v>180</v>
      </c>
      <c r="D863" s="101" t="s">
        <v>384</v>
      </c>
      <c r="E863" s="11">
        <f ca="1">IFERROR(__xludf.DUMMYFUNCTION("GOOGLEFINANCE(""BOM:""&amp;B864,""PRICE"")"),252.55)</f>
        <v>252.55</v>
      </c>
      <c r="F863" s="20">
        <f ca="1">IFERROR(__xludf.DUMMYFUNCTION("GOOGLEFINANCE(""BOM:""&amp;B864,""MARKETCAP"")/10000000"),3341.350175)</f>
        <v>3341.350175</v>
      </c>
      <c r="G863" s="95">
        <f t="shared" ca="1" si="1573"/>
        <v>8.2935331680038447E-5</v>
      </c>
      <c r="H863" s="101">
        <v>316</v>
      </c>
      <c r="I863" s="101">
        <v>286</v>
      </c>
      <c r="J863" s="101">
        <v>37</v>
      </c>
      <c r="K863" s="101">
        <v>41</v>
      </c>
      <c r="L863" s="101">
        <v>121</v>
      </c>
      <c r="M863" s="101">
        <v>100</v>
      </c>
      <c r="N863" s="101">
        <v>16</v>
      </c>
      <c r="O863" s="101">
        <v>15</v>
      </c>
      <c r="P863" s="13">
        <f t="shared" ref="P863:Q863" si="1746">J863/H863</f>
        <v>0.11708860759493671</v>
      </c>
      <c r="Q863" s="13">
        <f t="shared" si="1746"/>
        <v>0.14335664335664336</v>
      </c>
      <c r="R863" s="13">
        <f t="shared" si="1552"/>
        <v>-2.6268035761706651E-2</v>
      </c>
      <c r="S863" s="13">
        <f t="shared" ref="S863:T863" si="1747">N863/L863</f>
        <v>0.13223140495867769</v>
      </c>
      <c r="T863" s="13">
        <f t="shared" si="1747"/>
        <v>0.15</v>
      </c>
      <c r="U863" s="13">
        <f t="shared" si="1554"/>
        <v>-1.7768595041322305E-2</v>
      </c>
      <c r="V863" s="13">
        <f t="shared" si="1555"/>
        <v>0.10489510489510478</v>
      </c>
      <c r="W863" s="13">
        <f t="shared" si="1556"/>
        <v>-9.7560975609756073E-2</v>
      </c>
      <c r="X863" s="13">
        <f t="shared" si="1557"/>
        <v>0.20999999999999996</v>
      </c>
      <c r="Y863" s="13">
        <f t="shared" si="1558"/>
        <v>6.6666666666666652E-2</v>
      </c>
    </row>
    <row r="864" spans="1:25" ht="14.4">
      <c r="A864" s="98" t="s">
        <v>1157</v>
      </c>
      <c r="B864" s="99">
        <v>500243</v>
      </c>
      <c r="C864" s="98" t="s">
        <v>180</v>
      </c>
      <c r="D864" s="100" t="s">
        <v>512</v>
      </c>
      <c r="E864" s="11">
        <f ca="1">IFERROR(__xludf.DUMMYFUNCTION("GOOGLEFINANCE(""BOM:""&amp;B865,""PRICE"")"),2866)</f>
        <v>2866</v>
      </c>
      <c r="F864" s="20">
        <f ca="1">IFERROR(__xludf.DUMMYFUNCTION("GOOGLEFINANCE(""BOM:""&amp;B865,""MARKETCAP"")/10000000"),2995.2756463)</f>
        <v>2995.2756463000001</v>
      </c>
      <c r="G864" s="95">
        <f t="shared" ca="1" si="1573"/>
        <v>7.4345449051604434E-5</v>
      </c>
      <c r="H864" s="101">
        <v>5111</v>
      </c>
      <c r="I864" s="101">
        <v>4860</v>
      </c>
      <c r="J864" s="101">
        <v>110</v>
      </c>
      <c r="K864" s="101">
        <v>94</v>
      </c>
      <c r="L864" s="101">
        <v>1624</v>
      </c>
      <c r="M864" s="101">
        <v>1614</v>
      </c>
      <c r="N864" s="101">
        <v>26</v>
      </c>
      <c r="O864" s="101">
        <v>26</v>
      </c>
      <c r="P864" s="13">
        <f t="shared" ref="P864:Q864" si="1748">J864/H864</f>
        <v>2.1522207004500096E-2</v>
      </c>
      <c r="Q864" s="13">
        <f t="shared" si="1748"/>
        <v>1.934156378600823E-2</v>
      </c>
      <c r="R864" s="13">
        <f t="shared" si="1552"/>
        <v>2.1806432184918664E-3</v>
      </c>
      <c r="S864" s="13">
        <f t="shared" ref="S864:T864" si="1749">N864/L864</f>
        <v>1.600985221674877E-2</v>
      </c>
      <c r="T864" s="13">
        <f t="shared" si="1749"/>
        <v>1.6109045848822799E-2</v>
      </c>
      <c r="U864" s="13">
        <f t="shared" si="1554"/>
        <v>-9.9193632074029425E-5</v>
      </c>
      <c r="V864" s="13">
        <f t="shared" si="1555"/>
        <v>5.1646090534979372E-2</v>
      </c>
      <c r="W864" s="13">
        <f t="shared" si="1556"/>
        <v>0.17021276595744683</v>
      </c>
      <c r="X864" s="13">
        <f t="shared" si="1557"/>
        <v>6.1957868649318293E-3</v>
      </c>
      <c r="Y864" s="13">
        <f t="shared" si="1558"/>
        <v>0</v>
      </c>
    </row>
    <row r="865" spans="1:25" ht="14.4">
      <c r="A865" s="98" t="s">
        <v>1158</v>
      </c>
      <c r="B865" s="99">
        <v>509243</v>
      </c>
      <c r="C865" s="98" t="s">
        <v>187</v>
      </c>
      <c r="D865" s="70" t="s">
        <v>392</v>
      </c>
      <c r="E865" s="11">
        <f ca="1">IFERROR(__xludf.DUMMYFUNCTION("GOOGLEFINANCE(""BOM:""&amp;B866,""PRICE"")"),3460.3)</f>
        <v>3460.3</v>
      </c>
      <c r="F865" s="20">
        <f ca="1">IFERROR(__xludf.DUMMYFUNCTION("GOOGLEFINANCE(""BOM:""&amp;B866,""MARKETCAP"")/10000000"),2673.0758059)</f>
        <v>2673.0758059</v>
      </c>
      <c r="G865" s="95">
        <f t="shared" ca="1" si="1573"/>
        <v>6.6348157767751048E-5</v>
      </c>
      <c r="H865" s="101">
        <v>2665</v>
      </c>
      <c r="I865" s="101">
        <v>2435</v>
      </c>
      <c r="J865" s="101">
        <v>35</v>
      </c>
      <c r="K865" s="101">
        <v>11</v>
      </c>
      <c r="L865" s="101">
        <v>916</v>
      </c>
      <c r="M865" s="101">
        <v>803</v>
      </c>
      <c r="N865" s="101">
        <v>11</v>
      </c>
      <c r="O865" s="101">
        <v>-6</v>
      </c>
      <c r="P865" s="13">
        <f t="shared" ref="P865:Q865" si="1750">J865/H865</f>
        <v>1.3133208255159476E-2</v>
      </c>
      <c r="Q865" s="13">
        <f t="shared" si="1750"/>
        <v>4.517453798767967E-3</v>
      </c>
      <c r="R865" s="13">
        <f t="shared" si="1552"/>
        <v>8.6157544563915077E-3</v>
      </c>
      <c r="S865" s="13">
        <f t="shared" ref="S865:T865" si="1751">N865/L865</f>
        <v>1.2008733624454149E-2</v>
      </c>
      <c r="T865" s="13">
        <f t="shared" si="1751"/>
        <v>-7.4719800747198011E-3</v>
      </c>
      <c r="U865" s="13">
        <f t="shared" si="1554"/>
        <v>1.9480713699173952E-2</v>
      </c>
      <c r="V865" s="13">
        <f t="shared" si="1555"/>
        <v>9.4455852156057452E-2</v>
      </c>
      <c r="W865" s="13">
        <f t="shared" si="1556"/>
        <v>2.1818181818181817</v>
      </c>
      <c r="X865" s="13">
        <f t="shared" si="1557"/>
        <v>0.14072229140722281</v>
      </c>
      <c r="Y865" s="13">
        <f t="shared" si="1558"/>
        <v>-2.833333333333333</v>
      </c>
    </row>
    <row r="866" spans="1:25" ht="14.4">
      <c r="A866" s="104" t="s">
        <v>1159</v>
      </c>
      <c r="B866" s="99">
        <v>543652</v>
      </c>
      <c r="C866" s="98" t="s">
        <v>172</v>
      </c>
      <c r="D866" s="100" t="s">
        <v>579</v>
      </c>
      <c r="E866" s="11">
        <f ca="1">IFERROR(__xludf.DUMMYFUNCTION("GOOGLEFINANCE(""BOM:""&amp;B867,""PRICE"")"),153.95)</f>
        <v>153.94999999999999</v>
      </c>
      <c r="F866" s="20">
        <f ca="1">IFERROR(__xludf.DUMMYFUNCTION("GOOGLEFINANCE(""BOM:""&amp;B867,""MARKETCAP"")/10000000"),2479.7027773)</f>
        <v>2479.7027773</v>
      </c>
      <c r="G866" s="95">
        <f t="shared" ca="1" si="1573"/>
        <v>6.1548464402803283E-5</v>
      </c>
      <c r="H866" s="101">
        <v>1275</v>
      </c>
      <c r="I866" s="101">
        <v>1870</v>
      </c>
      <c r="J866" s="101">
        <v>-100</v>
      </c>
      <c r="K866" s="101">
        <v>-1060</v>
      </c>
      <c r="L866" s="101">
        <v>416</v>
      </c>
      <c r="M866" s="101">
        <v>480</v>
      </c>
      <c r="N866" s="101">
        <v>14</v>
      </c>
      <c r="O866" s="101">
        <v>-719</v>
      </c>
      <c r="P866" s="13">
        <f t="shared" ref="P866:Q866" si="1752">J866/H866</f>
        <v>-7.8431372549019607E-2</v>
      </c>
      <c r="Q866" s="13">
        <f t="shared" si="1752"/>
        <v>-0.5668449197860963</v>
      </c>
      <c r="R866" s="13">
        <f t="shared" si="1552"/>
        <v>0.4884135472370767</v>
      </c>
      <c r="S866" s="13">
        <f t="shared" ref="S866:T866" si="1753">N866/L866</f>
        <v>3.3653846153846152E-2</v>
      </c>
      <c r="T866" s="13">
        <f t="shared" si="1753"/>
        <v>-1.4979166666666666</v>
      </c>
      <c r="U866" s="13">
        <f t="shared" si="1554"/>
        <v>1.5315705128205128</v>
      </c>
      <c r="V866" s="13">
        <f t="shared" si="1555"/>
        <v>-0.31818181818181823</v>
      </c>
      <c r="W866" s="13">
        <f t="shared" si="1556"/>
        <v>-0.90566037735849059</v>
      </c>
      <c r="X866" s="13">
        <f t="shared" si="1557"/>
        <v>-0.1333333333333333</v>
      </c>
      <c r="Y866" s="13">
        <f t="shared" si="1558"/>
        <v>-1.0194714881780251</v>
      </c>
    </row>
    <row r="867" spans="1:25" ht="14.4">
      <c r="A867" s="98" t="s">
        <v>1160</v>
      </c>
      <c r="B867" s="99">
        <v>532884</v>
      </c>
      <c r="C867" s="98" t="s">
        <v>196</v>
      </c>
      <c r="D867" s="70" t="s">
        <v>399</v>
      </c>
      <c r="E867" s="11">
        <f ca="1">IFERROR(__xludf.DUMMYFUNCTION("GOOGLEFINANCE(""BOM:""&amp;B868,""PRICE"")"),210.9)</f>
        <v>210.9</v>
      </c>
      <c r="F867" s="20">
        <f ca="1">IFERROR(__xludf.DUMMYFUNCTION("GOOGLEFINANCE(""BOM:""&amp;B868,""MARKETCAP"")/10000000"),2892.0260604)</f>
        <v>2892.0260604</v>
      </c>
      <c r="G867" s="95">
        <f t="shared" ca="1" si="1573"/>
        <v>7.1782700999481117E-5</v>
      </c>
      <c r="H867" s="101">
        <v>1342</v>
      </c>
      <c r="I867" s="101">
        <v>1664</v>
      </c>
      <c r="J867" s="101">
        <v>136</v>
      </c>
      <c r="K867" s="101">
        <v>125</v>
      </c>
      <c r="L867" s="101">
        <v>576</v>
      </c>
      <c r="M867" s="101">
        <v>686</v>
      </c>
      <c r="N867" s="101">
        <v>61</v>
      </c>
      <c r="O867" s="101">
        <v>58</v>
      </c>
      <c r="P867" s="13">
        <f t="shared" ref="P867:Q867" si="1754">J867/H867</f>
        <v>0.10134128166915052</v>
      </c>
      <c r="Q867" s="13">
        <f t="shared" si="1754"/>
        <v>7.5120192307692304E-2</v>
      </c>
      <c r="R867" s="13">
        <f t="shared" si="1552"/>
        <v>2.6221089361458214E-2</v>
      </c>
      <c r="S867" s="13">
        <f t="shared" ref="S867:T867" si="1755">N867/L867</f>
        <v>0.10590277777777778</v>
      </c>
      <c r="T867" s="13">
        <f t="shared" si="1755"/>
        <v>8.4548104956268216E-2</v>
      </c>
      <c r="U867" s="13">
        <f t="shared" si="1554"/>
        <v>2.135467282150956E-2</v>
      </c>
      <c r="V867" s="13">
        <f t="shared" si="1555"/>
        <v>-0.19350961538461542</v>
      </c>
      <c r="W867" s="13">
        <f t="shared" si="1556"/>
        <v>8.8000000000000078E-2</v>
      </c>
      <c r="X867" s="13">
        <f t="shared" si="1557"/>
        <v>-0.16034985422740522</v>
      </c>
      <c r="Y867" s="13">
        <f t="shared" si="1558"/>
        <v>5.1724137931034475E-2</v>
      </c>
    </row>
    <row r="868" spans="1:25" ht="14.4">
      <c r="A868" s="104" t="s">
        <v>1161</v>
      </c>
      <c r="B868" s="99">
        <v>530943</v>
      </c>
      <c r="C868" s="98" t="s">
        <v>187</v>
      </c>
      <c r="D868" s="100" t="s">
        <v>528</v>
      </c>
      <c r="E868" s="11">
        <f ca="1">IFERROR(__xludf.DUMMYFUNCTION("GOOGLEFINANCE(""BOM:""&amp;B869,""PRICE"")"),43.32)</f>
        <v>43.32</v>
      </c>
      <c r="F868" s="20">
        <f ca="1">IFERROR(__xludf.DUMMYFUNCTION("GOOGLEFINANCE(""BOM:""&amp;B869,""MARKETCAP"")/10000000"),1103.4744219)</f>
        <v>1103.4744218999999</v>
      </c>
      <c r="G868" s="95">
        <f t="shared" ca="1" si="1573"/>
        <v>2.7389232611848347E-5</v>
      </c>
      <c r="H868" s="101">
        <v>9</v>
      </c>
      <c r="I868" s="101">
        <v>4</v>
      </c>
      <c r="J868" s="101">
        <v>13</v>
      </c>
      <c r="K868" s="101">
        <v>-22</v>
      </c>
      <c r="L868" s="101">
        <v>4</v>
      </c>
      <c r="M868" s="101">
        <v>2</v>
      </c>
      <c r="N868" s="101">
        <v>1</v>
      </c>
      <c r="O868" s="101">
        <v>-22</v>
      </c>
      <c r="P868" s="13">
        <f t="shared" ref="P868:Q868" si="1756">J868/H868</f>
        <v>1.4444444444444444</v>
      </c>
      <c r="Q868" s="13">
        <f t="shared" si="1756"/>
        <v>-5.5</v>
      </c>
      <c r="R868" s="13">
        <f t="shared" si="1552"/>
        <v>6.9444444444444446</v>
      </c>
      <c r="S868" s="13">
        <f t="shared" ref="S868:T868" si="1757">N868/L868</f>
        <v>0.25</v>
      </c>
      <c r="T868" s="13">
        <f t="shared" si="1757"/>
        <v>-11</v>
      </c>
      <c r="U868" s="13">
        <f t="shared" si="1554"/>
        <v>11.25</v>
      </c>
      <c r="V868" s="13">
        <f t="shared" si="1555"/>
        <v>1.25</v>
      </c>
      <c r="W868" s="13">
        <f t="shared" si="1556"/>
        <v>-1.5909090909090908</v>
      </c>
      <c r="X868" s="13">
        <f t="shared" si="1557"/>
        <v>1</v>
      </c>
      <c r="Y868" s="13">
        <f t="shared" si="1558"/>
        <v>-1.0454545454545454</v>
      </c>
    </row>
    <row r="869" spans="1:25" ht="14.4">
      <c r="A869" s="98" t="s">
        <v>1162</v>
      </c>
      <c r="B869" s="99">
        <v>519552</v>
      </c>
      <c r="C869" s="98" t="s">
        <v>183</v>
      </c>
      <c r="D869" s="70" t="s">
        <v>569</v>
      </c>
      <c r="E869" s="11">
        <f ca="1">IFERROR(__xludf.DUMMYFUNCTION("GOOGLEFINANCE(""BOM:""&amp;B870,""PRICE"")"),311.45)</f>
        <v>311.45</v>
      </c>
      <c r="F869" s="20">
        <f ca="1">IFERROR(__xludf.DUMMYFUNCTION("GOOGLEFINANCE(""BOM:""&amp;B870,""MARKETCAP"")/10000000"),2885.955289)</f>
        <v>2885.955289</v>
      </c>
      <c r="G869" s="95">
        <f t="shared" ca="1" si="1573"/>
        <v>7.1632018965799127E-5</v>
      </c>
      <c r="H869" s="101">
        <v>3368</v>
      </c>
      <c r="I869" s="101">
        <v>3086</v>
      </c>
      <c r="J869" s="101">
        <v>125</v>
      </c>
      <c r="K869" s="101">
        <v>150</v>
      </c>
      <c r="L869" s="101">
        <v>1119</v>
      </c>
      <c r="M869" s="101">
        <v>1033</v>
      </c>
      <c r="N869" s="101">
        <v>34</v>
      </c>
      <c r="O869" s="101">
        <v>43</v>
      </c>
      <c r="P869" s="13">
        <f t="shared" ref="P869:Q869" si="1758">J869/H869</f>
        <v>3.7114014251781471E-2</v>
      </c>
      <c r="Q869" s="13">
        <f t="shared" si="1758"/>
        <v>4.8606610499027869E-2</v>
      </c>
      <c r="R869" s="13">
        <f t="shared" si="1552"/>
        <v>-1.1492596247246398E-2</v>
      </c>
      <c r="S869" s="13">
        <f t="shared" ref="S869:T869" si="1759">N869/L869</f>
        <v>3.038427167113494E-2</v>
      </c>
      <c r="T869" s="13">
        <f t="shared" si="1759"/>
        <v>4.1626331074540175E-2</v>
      </c>
      <c r="U869" s="13">
        <f t="shared" si="1554"/>
        <v>-1.1242059403405235E-2</v>
      </c>
      <c r="V869" s="13">
        <f t="shared" si="1555"/>
        <v>9.1380427738172454E-2</v>
      </c>
      <c r="W869" s="13">
        <f t="shared" si="1556"/>
        <v>-0.16666666666666663</v>
      </c>
      <c r="X869" s="13">
        <f t="shared" si="1557"/>
        <v>8.3252662149080336E-2</v>
      </c>
      <c r="Y869" s="13">
        <f t="shared" si="1558"/>
        <v>-0.20930232558139539</v>
      </c>
    </row>
    <row r="870" spans="1:25" ht="14.4">
      <c r="A870" s="98" t="s">
        <v>1163</v>
      </c>
      <c r="B870" s="99">
        <v>544320</v>
      </c>
      <c r="C870" s="98" t="s">
        <v>187</v>
      </c>
      <c r="D870" s="100" t="s">
        <v>312</v>
      </c>
      <c r="E870" s="11">
        <f ca="1">IFERROR(__xludf.DUMMYFUNCTION("GOOGLEFINANCE(""BOM:""&amp;B871,""PRICE"")"),460.75)</f>
        <v>460.75</v>
      </c>
      <c r="F870" s="20">
        <f ca="1">IFERROR(__xludf.DUMMYFUNCTION("GOOGLEFINANCE(""BOM:""&amp;B871,""MARKETCAP"")/10000000"),2606.0741005)</f>
        <v>2606.0741005</v>
      </c>
      <c r="G870" s="95">
        <f t="shared" ca="1" si="1573"/>
        <v>6.4685114875074522E-5</v>
      </c>
      <c r="H870" s="101">
        <v>1648</v>
      </c>
      <c r="I870" s="101">
        <v>1363</v>
      </c>
      <c r="J870" s="101">
        <v>88</v>
      </c>
      <c r="K870" s="101">
        <v>64</v>
      </c>
      <c r="L870" s="101">
        <v>569</v>
      </c>
      <c r="M870" s="101">
        <v>448</v>
      </c>
      <c r="N870" s="101">
        <v>28</v>
      </c>
      <c r="O870" s="101">
        <v>14</v>
      </c>
      <c r="P870" s="13">
        <f t="shared" ref="P870:Q870" si="1760">J870/H870</f>
        <v>5.3398058252427182E-2</v>
      </c>
      <c r="Q870" s="13">
        <f t="shared" si="1760"/>
        <v>4.6955245781364639E-2</v>
      </c>
      <c r="R870" s="13">
        <f t="shared" si="1552"/>
        <v>6.4428124710625423E-3</v>
      </c>
      <c r="S870" s="13">
        <f t="shared" ref="S870:T870" si="1761">N870/L870</f>
        <v>4.9209138840070298E-2</v>
      </c>
      <c r="T870" s="13">
        <f t="shared" si="1761"/>
        <v>3.125E-2</v>
      </c>
      <c r="U870" s="13">
        <f t="shared" si="1554"/>
        <v>1.7959138840070298E-2</v>
      </c>
      <c r="V870" s="13">
        <f t="shared" si="1555"/>
        <v>0.20909757887013947</v>
      </c>
      <c r="W870" s="13">
        <f t="shared" si="1556"/>
        <v>0.375</v>
      </c>
      <c r="X870" s="13">
        <f t="shared" si="1557"/>
        <v>0.27008928571428581</v>
      </c>
      <c r="Y870" s="13">
        <f t="shared" si="1558"/>
        <v>1</v>
      </c>
    </row>
    <row r="871" spans="1:25" ht="14.4">
      <c r="A871" s="98" t="s">
        <v>1164</v>
      </c>
      <c r="B871" s="99">
        <v>532799</v>
      </c>
      <c r="C871" s="98" t="s">
        <v>187</v>
      </c>
      <c r="D871" s="100" t="s">
        <v>131</v>
      </c>
      <c r="E871" s="11">
        <f ca="1">IFERROR(__xludf.DUMMYFUNCTION("GOOGLEFINANCE(""BOM:""&amp;B872,""PRICE"")"),190.8)</f>
        <v>190.8</v>
      </c>
      <c r="F871" s="20">
        <f ca="1">IFERROR(__xludf.DUMMYFUNCTION("GOOGLEFINANCE(""BOM:""&amp;B872,""MARKETCAP"")/10000000"),2716.2528822)</f>
        <v>2716.2528821999999</v>
      </c>
      <c r="G871" s="95">
        <f t="shared" ca="1" si="1573"/>
        <v>6.7419851830440792E-5</v>
      </c>
      <c r="H871" s="101">
        <v>483</v>
      </c>
      <c r="I871" s="101">
        <v>311</v>
      </c>
      <c r="J871" s="101">
        <v>138</v>
      </c>
      <c r="K871" s="101">
        <v>51</v>
      </c>
      <c r="L871" s="101">
        <v>87</v>
      </c>
      <c r="M871" s="101">
        <v>92</v>
      </c>
      <c r="N871" s="101">
        <v>24</v>
      </c>
      <c r="O871" s="101">
        <v>15</v>
      </c>
      <c r="P871" s="13">
        <f t="shared" ref="P871:Q871" si="1762">J871/H871</f>
        <v>0.2857142857142857</v>
      </c>
      <c r="Q871" s="13">
        <f t="shared" si="1762"/>
        <v>0.16398713826366559</v>
      </c>
      <c r="R871" s="13">
        <f t="shared" si="1552"/>
        <v>0.1217271474506201</v>
      </c>
      <c r="S871" s="13">
        <f t="shared" ref="S871:T871" si="1763">N871/L871</f>
        <v>0.27586206896551724</v>
      </c>
      <c r="T871" s="13">
        <f t="shared" si="1763"/>
        <v>0.16304347826086957</v>
      </c>
      <c r="U871" s="13">
        <f t="shared" si="1554"/>
        <v>0.11281859070464767</v>
      </c>
      <c r="V871" s="13">
        <f t="shared" si="1555"/>
        <v>0.55305466237942125</v>
      </c>
      <c r="W871" s="13">
        <f t="shared" si="1556"/>
        <v>1.7058823529411766</v>
      </c>
      <c r="X871" s="13">
        <f t="shared" si="1557"/>
        <v>-5.4347826086956541E-2</v>
      </c>
      <c r="Y871" s="13">
        <f t="shared" si="1558"/>
        <v>0.60000000000000009</v>
      </c>
    </row>
    <row r="872" spans="1:25" ht="14.4">
      <c r="A872" s="98" t="s">
        <v>1165</v>
      </c>
      <c r="B872" s="99">
        <v>539978</v>
      </c>
      <c r="C872" s="98" t="s">
        <v>206</v>
      </c>
      <c r="D872" s="101" t="s">
        <v>657</v>
      </c>
      <c r="E872" s="11">
        <f ca="1">IFERROR(__xludf.DUMMYFUNCTION("GOOGLEFINANCE(""BOM:""&amp;B873,""PRICE"")"),179.1)</f>
        <v>179.1</v>
      </c>
      <c r="F872" s="20">
        <f ca="1">IFERROR(__xludf.DUMMYFUNCTION("GOOGLEFINANCE(""BOM:""&amp;B873,""MARKETCAP"")/10000000"),2656.4041265)</f>
        <v>2656.4041265000001</v>
      </c>
      <c r="G872" s="95">
        <f t="shared" ca="1" si="1573"/>
        <v>6.5934351615062406E-5</v>
      </c>
      <c r="H872" s="101">
        <v>11412</v>
      </c>
      <c r="I872" s="101">
        <v>11310</v>
      </c>
      <c r="J872" s="101">
        <v>157</v>
      </c>
      <c r="K872" s="101">
        <v>141</v>
      </c>
      <c r="L872" s="101">
        <v>3929</v>
      </c>
      <c r="M872" s="101">
        <v>4019</v>
      </c>
      <c r="N872" s="101">
        <v>55</v>
      </c>
      <c r="O872" s="101">
        <v>41</v>
      </c>
      <c r="P872" s="13">
        <f t="shared" ref="P872:Q872" si="1764">J872/H872</f>
        <v>1.3757448300035051E-2</v>
      </c>
      <c r="Q872" s="13">
        <f t="shared" si="1764"/>
        <v>1.246684350132626E-2</v>
      </c>
      <c r="R872" s="13">
        <f t="shared" si="1552"/>
        <v>1.2906047987087908E-3</v>
      </c>
      <c r="S872" s="13">
        <f t="shared" ref="S872:T872" si="1765">N872/L872</f>
        <v>1.3998472893866123E-2</v>
      </c>
      <c r="T872" s="13">
        <f t="shared" si="1765"/>
        <v>1.0201542672306545E-2</v>
      </c>
      <c r="U872" s="13">
        <f t="shared" si="1554"/>
        <v>3.7969302215595784E-3</v>
      </c>
      <c r="V872" s="13">
        <f t="shared" si="1555"/>
        <v>9.0185676392573466E-3</v>
      </c>
      <c r="W872" s="13">
        <f t="shared" si="1556"/>
        <v>0.11347517730496448</v>
      </c>
      <c r="X872" s="13">
        <f t="shared" si="1557"/>
        <v>-2.2393630256282604E-2</v>
      </c>
      <c r="Y872" s="13">
        <f t="shared" si="1558"/>
        <v>0.34146341463414642</v>
      </c>
    </row>
    <row r="873" spans="1:25" ht="15.6">
      <c r="A873" s="118" t="s">
        <v>1166</v>
      </c>
      <c r="B873" s="99">
        <v>544430</v>
      </c>
      <c r="C873" s="102" t="s">
        <v>384</v>
      </c>
      <c r="D873" s="100" t="s">
        <v>180</v>
      </c>
      <c r="E873" s="11">
        <f ca="1">IFERROR(__xludf.DUMMYFUNCTION("GOOGLEFINANCE(""BOM:""&amp;B874,""PRICE"")"),105)</f>
        <v>105</v>
      </c>
      <c r="F873" s="20">
        <f ca="1">IFERROR(__xludf.DUMMYFUNCTION("GOOGLEFINANCE(""BOM:""&amp;B874,""MARKETCAP"")/10000000"),3099.943038)</f>
        <v>3099.9430379999999</v>
      </c>
      <c r="G873" s="95">
        <f t="shared" ca="1" si="1573"/>
        <v>7.6943388325276637E-5</v>
      </c>
      <c r="H873" s="101">
        <v>1727</v>
      </c>
      <c r="I873" s="101">
        <v>1016</v>
      </c>
      <c r="J873" s="101">
        <v>88</v>
      </c>
      <c r="K873" s="101">
        <v>40</v>
      </c>
      <c r="L873" s="101">
        <v>589</v>
      </c>
      <c r="M873" s="101">
        <v>369</v>
      </c>
      <c r="N873" s="101">
        <v>24</v>
      </c>
      <c r="O873" s="101">
        <v>10</v>
      </c>
      <c r="P873" s="13">
        <f t="shared" ref="P873:Q873" si="1766">J873/H873</f>
        <v>5.0955414012738856E-2</v>
      </c>
      <c r="Q873" s="13">
        <f t="shared" si="1766"/>
        <v>3.937007874015748E-2</v>
      </c>
      <c r="R873" s="13">
        <f t="shared" si="1552"/>
        <v>1.1585335272581376E-2</v>
      </c>
      <c r="S873" s="13">
        <f t="shared" ref="S873:T873" si="1767">N873/L873</f>
        <v>4.074702886247878E-2</v>
      </c>
      <c r="T873" s="13">
        <f t="shared" si="1767"/>
        <v>2.7100271002710029E-2</v>
      </c>
      <c r="U873" s="13">
        <f t="shared" si="1554"/>
        <v>1.3646757859768752E-2</v>
      </c>
      <c r="V873" s="13">
        <f t="shared" si="1555"/>
        <v>0.6998031496062993</v>
      </c>
      <c r="W873" s="13">
        <f t="shared" si="1556"/>
        <v>1.2000000000000002</v>
      </c>
      <c r="X873" s="13">
        <f t="shared" si="1557"/>
        <v>0.59620596205962051</v>
      </c>
      <c r="Y873" s="13">
        <f t="shared" si="1558"/>
        <v>1.4</v>
      </c>
    </row>
    <row r="874" spans="1:25" ht="14.4">
      <c r="A874" s="98" t="s">
        <v>1167</v>
      </c>
      <c r="B874" s="99">
        <v>543489</v>
      </c>
      <c r="C874" s="98" t="s">
        <v>206</v>
      </c>
      <c r="D874" s="108" t="s">
        <v>476</v>
      </c>
      <c r="E874" s="11">
        <f ca="1">IFERROR(__xludf.DUMMYFUNCTION("GOOGLEFINANCE(""BOM:""&amp;B875,""PRICE"")"),54.32)</f>
        <v>54.32</v>
      </c>
      <c r="F874" s="20">
        <f ca="1">IFERROR(__xludf.DUMMYFUNCTION("GOOGLEFINANCE(""BOM:""&amp;B875,""MARKETCAP"")/10000000"),2714.0651063)</f>
        <v>2714.0651063</v>
      </c>
      <c r="G874" s="95">
        <f t="shared" ca="1" si="1573"/>
        <v>6.7365549255013151E-5</v>
      </c>
      <c r="H874" s="101">
        <v>1678</v>
      </c>
      <c r="I874" s="101">
        <v>1145</v>
      </c>
      <c r="J874" s="101">
        <v>195</v>
      </c>
      <c r="K874" s="101">
        <v>564</v>
      </c>
      <c r="L874" s="101">
        <v>560</v>
      </c>
      <c r="M874" s="101">
        <v>402</v>
      </c>
      <c r="N874" s="101">
        <v>67</v>
      </c>
      <c r="O874" s="101">
        <v>455</v>
      </c>
      <c r="P874" s="13">
        <f t="shared" ref="P874:Q874" si="1768">J874/H874</f>
        <v>0.11620977353992849</v>
      </c>
      <c r="Q874" s="13">
        <f t="shared" si="1768"/>
        <v>0.49257641921397383</v>
      </c>
      <c r="R874" s="13">
        <f t="shared" si="1552"/>
        <v>-0.37636664567404532</v>
      </c>
      <c r="S874" s="13">
        <f t="shared" ref="S874:T874" si="1769">N874/L874</f>
        <v>0.11964285714285715</v>
      </c>
      <c r="T874" s="13">
        <f t="shared" si="1769"/>
        <v>1.1318407960199004</v>
      </c>
      <c r="U874" s="13">
        <f t="shared" si="1554"/>
        <v>-1.0121979388770432</v>
      </c>
      <c r="V874" s="13">
        <f t="shared" si="1555"/>
        <v>0.46550218340611349</v>
      </c>
      <c r="W874" s="13">
        <f t="shared" si="1556"/>
        <v>-0.6542553191489362</v>
      </c>
      <c r="X874" s="13">
        <f t="shared" si="1557"/>
        <v>0.39303482587064686</v>
      </c>
      <c r="Y874" s="13">
        <f t="shared" si="1558"/>
        <v>-0.85274725274725272</v>
      </c>
    </row>
    <row r="875" spans="1:25" ht="14.4">
      <c r="A875" s="98" t="s">
        <v>1168</v>
      </c>
      <c r="B875" s="99">
        <v>500414</v>
      </c>
      <c r="C875" s="98" t="s">
        <v>187</v>
      </c>
      <c r="D875" s="70" t="s">
        <v>70</v>
      </c>
      <c r="E875" s="11">
        <f ca="1">IFERROR(__xludf.DUMMYFUNCTION("GOOGLEFINANCE(""BOM:""&amp;B876,""PRICE"")"),263.7)</f>
        <v>263.7</v>
      </c>
      <c r="F875" s="20">
        <f ca="1">IFERROR(__xludf.DUMMYFUNCTION("GOOGLEFINANCE(""BOM:""&amp;B876,""MARKETCAP"")/10000000"),2662.0516232)</f>
        <v>2662.0516232</v>
      </c>
      <c r="G875" s="95">
        <f t="shared" ca="1" si="1573"/>
        <v>6.6074527588080989E-5</v>
      </c>
      <c r="H875" s="101">
        <v>563</v>
      </c>
      <c r="I875" s="101">
        <v>402</v>
      </c>
      <c r="J875" s="101">
        <v>48</v>
      </c>
      <c r="K875" s="101">
        <v>22</v>
      </c>
      <c r="L875" s="101">
        <v>150</v>
      </c>
      <c r="M875" s="101">
        <v>119</v>
      </c>
      <c r="N875" s="101">
        <v>3</v>
      </c>
      <c r="O875" s="101">
        <v>1</v>
      </c>
      <c r="P875" s="13">
        <f t="shared" ref="P875:Q875" si="1770">J875/H875</f>
        <v>8.5257548845470696E-2</v>
      </c>
      <c r="Q875" s="13">
        <f t="shared" si="1770"/>
        <v>5.4726368159203981E-2</v>
      </c>
      <c r="R875" s="13">
        <f t="shared" si="1552"/>
        <v>3.0531180686266715E-2</v>
      </c>
      <c r="S875" s="13">
        <f t="shared" ref="S875:T875" si="1771">N875/L875</f>
        <v>0.02</v>
      </c>
      <c r="T875" s="13">
        <f t="shared" si="1771"/>
        <v>8.4033613445378148E-3</v>
      </c>
      <c r="U875" s="13">
        <f t="shared" si="1554"/>
        <v>1.1596638655462186E-2</v>
      </c>
      <c r="V875" s="13">
        <f t="shared" si="1555"/>
        <v>0.40049751243781095</v>
      </c>
      <c r="W875" s="13">
        <f t="shared" si="1556"/>
        <v>1.1818181818181817</v>
      </c>
      <c r="X875" s="13">
        <f t="shared" si="1557"/>
        <v>0.26050420168067223</v>
      </c>
      <c r="Y875" s="13">
        <f t="shared" si="1558"/>
        <v>2</v>
      </c>
    </row>
    <row r="876" spans="1:25" ht="14.4">
      <c r="A876" s="98" t="s">
        <v>1169</v>
      </c>
      <c r="B876" s="99">
        <v>526247</v>
      </c>
      <c r="C876" s="98" t="s">
        <v>196</v>
      </c>
      <c r="D876" s="100" t="s">
        <v>277</v>
      </c>
      <c r="E876" s="11">
        <f ca="1">IFERROR(__xludf.DUMMYFUNCTION("GOOGLEFINANCE(""BOM:""&amp;B877,""PRICE"")"),429.05)</f>
        <v>429.05</v>
      </c>
      <c r="F876" s="20">
        <f ca="1">IFERROR(__xludf.DUMMYFUNCTION("GOOGLEFINANCE(""BOM:""&amp;B877,""MARKETCAP"")/10000000"),2292.3535002)</f>
        <v>2292.3535001999999</v>
      </c>
      <c r="G876" s="95">
        <f t="shared" ca="1" si="1573"/>
        <v>5.6898285995116955E-5</v>
      </c>
      <c r="H876" s="101">
        <v>299</v>
      </c>
      <c r="I876" s="101">
        <v>343</v>
      </c>
      <c r="J876" s="101">
        <v>39</v>
      </c>
      <c r="K876" s="101">
        <v>24</v>
      </c>
      <c r="L876" s="101">
        <v>81</v>
      </c>
      <c r="M876" s="101">
        <v>165</v>
      </c>
      <c r="N876" s="101">
        <v>6</v>
      </c>
      <c r="O876" s="101">
        <v>9</v>
      </c>
      <c r="P876" s="13">
        <f t="shared" ref="P876:Q876" si="1772">J876/H876</f>
        <v>0.13043478260869565</v>
      </c>
      <c r="Q876" s="13">
        <f t="shared" si="1772"/>
        <v>6.9970845481049565E-2</v>
      </c>
      <c r="R876" s="13">
        <f t="shared" si="1552"/>
        <v>6.0463937127646084E-2</v>
      </c>
      <c r="S876" s="13">
        <f t="shared" ref="S876:T876" si="1773">N876/L876</f>
        <v>7.407407407407407E-2</v>
      </c>
      <c r="T876" s="13">
        <f t="shared" si="1773"/>
        <v>5.4545454545454543E-2</v>
      </c>
      <c r="U876" s="13">
        <f t="shared" si="1554"/>
        <v>1.9528619528619527E-2</v>
      </c>
      <c r="V876" s="13">
        <f t="shared" si="1555"/>
        <v>-0.1282798833819242</v>
      </c>
      <c r="W876" s="13">
        <f t="shared" si="1556"/>
        <v>0.625</v>
      </c>
      <c r="X876" s="13">
        <f t="shared" si="1557"/>
        <v>-0.50909090909090904</v>
      </c>
      <c r="Y876" s="13">
        <f t="shared" si="1558"/>
        <v>-0.33333333333333337</v>
      </c>
    </row>
    <row r="877" spans="1:25" ht="14.4">
      <c r="A877" s="98" t="s">
        <v>1170</v>
      </c>
      <c r="B877" s="99">
        <v>503101</v>
      </c>
      <c r="C877" s="98" t="s">
        <v>187</v>
      </c>
      <c r="D877" s="100" t="s">
        <v>131</v>
      </c>
      <c r="E877" s="11">
        <f ca="1">IFERROR(__xludf.DUMMYFUNCTION("GOOGLEFINANCE(""BOM:""&amp;B878,""PRICE"")"),415.9)</f>
        <v>415.9</v>
      </c>
      <c r="F877" s="20">
        <f ca="1">IFERROR(__xludf.DUMMYFUNCTION("GOOGLEFINANCE(""BOM:""&amp;B878,""MARKETCAP"")/10000000"),2804.694464)</f>
        <v>2804.6944640000002</v>
      </c>
      <c r="G877" s="95">
        <f t="shared" ca="1" si="1573"/>
        <v>6.961505183544783E-5</v>
      </c>
      <c r="H877" s="101">
        <v>382</v>
      </c>
      <c r="I877" s="101">
        <v>431</v>
      </c>
      <c r="J877" s="101">
        <v>144</v>
      </c>
      <c r="K877" s="101">
        <v>114</v>
      </c>
      <c r="L877" s="101">
        <v>124</v>
      </c>
      <c r="M877" s="101">
        <v>123</v>
      </c>
      <c r="N877" s="101">
        <v>27</v>
      </c>
      <c r="O877" s="101">
        <v>42</v>
      </c>
      <c r="P877" s="13">
        <f t="shared" ref="P877:Q877" si="1774">J877/H877</f>
        <v>0.37696335078534032</v>
      </c>
      <c r="Q877" s="13">
        <f t="shared" si="1774"/>
        <v>0.26450116009280744</v>
      </c>
      <c r="R877" s="13">
        <f t="shared" si="1552"/>
        <v>0.11246219069253288</v>
      </c>
      <c r="S877" s="13">
        <f t="shared" ref="S877:T877" si="1775">N877/L877</f>
        <v>0.21774193548387097</v>
      </c>
      <c r="T877" s="13">
        <f t="shared" si="1775"/>
        <v>0.34146341463414637</v>
      </c>
      <c r="U877" s="13">
        <f t="shared" si="1554"/>
        <v>-0.1237214791502754</v>
      </c>
      <c r="V877" s="13">
        <f t="shared" si="1555"/>
        <v>-0.11368909512761016</v>
      </c>
      <c r="W877" s="13">
        <f t="shared" si="1556"/>
        <v>0.26315789473684204</v>
      </c>
      <c r="X877" s="13">
        <f t="shared" si="1557"/>
        <v>8.1300813008129413E-3</v>
      </c>
      <c r="Y877" s="13">
        <f t="shared" si="1558"/>
        <v>-0.3571428571428571</v>
      </c>
    </row>
    <row r="878" spans="1:25" ht="14.4">
      <c r="A878" s="98" t="s">
        <v>1171</v>
      </c>
      <c r="B878" s="99">
        <v>540544</v>
      </c>
      <c r="C878" s="98" t="s">
        <v>180</v>
      </c>
      <c r="D878" s="100" t="s">
        <v>181</v>
      </c>
      <c r="E878" s="11">
        <f ca="1">IFERROR(__xludf.DUMMYFUNCTION("GOOGLEFINANCE(""BOM:""&amp;B879,""PRICE"")"),635.4)</f>
        <v>635.4</v>
      </c>
      <c r="F878" s="20">
        <f ca="1">IFERROR(__xludf.DUMMYFUNCTION("GOOGLEFINANCE(""BOM:""&amp;B879,""MARKETCAP"")/10000000"),2522.2088887)</f>
        <v>2522.2088887</v>
      </c>
      <c r="G878" s="95">
        <f t="shared" ca="1" si="1573"/>
        <v>6.2603504510171755E-5</v>
      </c>
      <c r="H878" s="101">
        <v>2033</v>
      </c>
      <c r="I878" s="101">
        <v>1839</v>
      </c>
      <c r="J878" s="101">
        <v>34</v>
      </c>
      <c r="K878" s="101">
        <v>49</v>
      </c>
      <c r="L878" s="101">
        <v>812</v>
      </c>
      <c r="M878" s="101">
        <v>630</v>
      </c>
      <c r="N878" s="101">
        <v>17</v>
      </c>
      <c r="O878" s="101">
        <v>5</v>
      </c>
      <c r="P878" s="13">
        <f t="shared" ref="P878:Q878" si="1776">J878/H878</f>
        <v>1.6724053123462864E-2</v>
      </c>
      <c r="Q878" s="13">
        <f t="shared" si="1776"/>
        <v>2.6644915715062535E-2</v>
      </c>
      <c r="R878" s="13">
        <f t="shared" si="1552"/>
        <v>-9.9208625915996711E-3</v>
      </c>
      <c r="S878" s="13">
        <f t="shared" ref="S878:T878" si="1777">N878/L878</f>
        <v>2.0935960591133004E-2</v>
      </c>
      <c r="T878" s="13">
        <f t="shared" si="1777"/>
        <v>7.9365079365079361E-3</v>
      </c>
      <c r="U878" s="13">
        <f t="shared" si="1554"/>
        <v>1.2999452654625068E-2</v>
      </c>
      <c r="V878" s="13">
        <f t="shared" si="1555"/>
        <v>0.10549211528004343</v>
      </c>
      <c r="W878" s="13">
        <f t="shared" si="1556"/>
        <v>-0.30612244897959184</v>
      </c>
      <c r="X878" s="13">
        <f t="shared" si="1557"/>
        <v>0.28888888888888897</v>
      </c>
      <c r="Y878" s="13">
        <f t="shared" si="1558"/>
        <v>2.4</v>
      </c>
    </row>
    <row r="879" spans="1:25" ht="14.4">
      <c r="A879" s="98" t="s">
        <v>1172</v>
      </c>
      <c r="B879" s="99">
        <v>509079</v>
      </c>
      <c r="C879" s="98" t="s">
        <v>190</v>
      </c>
      <c r="D879" s="70" t="s">
        <v>1173</v>
      </c>
      <c r="E879" s="11">
        <f ca="1">IFERROR(__xludf.DUMMYFUNCTION("GOOGLEFINANCE(""BOM:""&amp;B880,""PRICE"")"),291.45)</f>
        <v>291.45</v>
      </c>
      <c r="F879" s="20">
        <f ca="1">IFERROR(__xludf.DUMMYFUNCTION("GOOGLEFINANCE(""BOM:""&amp;B880,""MARKETCAP"")/10000000"),2920.2265224)</f>
        <v>2920.2265223999998</v>
      </c>
      <c r="G879" s="95">
        <f t="shared" ca="1" si="1573"/>
        <v>7.248266195747927E-5</v>
      </c>
      <c r="H879" s="101">
        <v>692</v>
      </c>
      <c r="I879" s="101">
        <v>614</v>
      </c>
      <c r="J879" s="101">
        <v>42</v>
      </c>
      <c r="K879" s="101">
        <v>61</v>
      </c>
      <c r="L879" s="101">
        <v>231</v>
      </c>
      <c r="M879" s="101">
        <v>207</v>
      </c>
      <c r="N879" s="101">
        <v>12</v>
      </c>
      <c r="O879" s="101">
        <v>19</v>
      </c>
      <c r="P879" s="13">
        <f t="shared" ref="P879:Q879" si="1778">J879/H879</f>
        <v>6.0693641618497107E-2</v>
      </c>
      <c r="Q879" s="13">
        <f t="shared" si="1778"/>
        <v>9.93485342019544E-2</v>
      </c>
      <c r="R879" s="13">
        <f t="shared" si="1552"/>
        <v>-3.8654892583457293E-2</v>
      </c>
      <c r="S879" s="13">
        <f t="shared" ref="S879:T879" si="1779">N879/L879</f>
        <v>5.1948051948051951E-2</v>
      </c>
      <c r="T879" s="13">
        <f t="shared" si="1779"/>
        <v>9.1787439613526575E-2</v>
      </c>
      <c r="U879" s="13">
        <f t="shared" si="1554"/>
        <v>-3.9839387665474624E-2</v>
      </c>
      <c r="V879" s="13">
        <f t="shared" si="1555"/>
        <v>0.12703583061889256</v>
      </c>
      <c r="W879" s="13">
        <f t="shared" si="1556"/>
        <v>-0.31147540983606559</v>
      </c>
      <c r="X879" s="13">
        <f t="shared" si="1557"/>
        <v>0.11594202898550732</v>
      </c>
      <c r="Y879" s="13">
        <f t="shared" si="1558"/>
        <v>-0.36842105263157898</v>
      </c>
    </row>
    <row r="880" spans="1:25" ht="14.4">
      <c r="A880" s="104" t="s">
        <v>1174</v>
      </c>
      <c r="B880" s="99">
        <v>526881</v>
      </c>
      <c r="C880" s="98" t="s">
        <v>174</v>
      </c>
      <c r="D880" s="100" t="s">
        <v>175</v>
      </c>
      <c r="E880" s="11">
        <f ca="1">IFERROR(__xludf.DUMMYFUNCTION("GOOGLEFINANCE(""BOM:""&amp;B881,""PRICE"")"),505.3)</f>
        <v>505.3</v>
      </c>
      <c r="F880" s="20">
        <f ca="1">IFERROR(__xludf.DUMMYFUNCTION("GOOGLEFINANCE(""BOM:""&amp;B881,""MARKETCAP"")/10000000"),2320.2848254)</f>
        <v>2320.2848254</v>
      </c>
      <c r="G880" s="95">
        <f t="shared" ca="1" si="1573"/>
        <v>5.7591566734459104E-5</v>
      </c>
      <c r="H880" s="101">
        <v>77</v>
      </c>
      <c r="I880" s="101">
        <v>33</v>
      </c>
      <c r="J880" s="101">
        <v>-44</v>
      </c>
      <c r="K880" s="101">
        <v>-53</v>
      </c>
      <c r="L880" s="101">
        <v>26</v>
      </c>
      <c r="M880" s="101">
        <v>11</v>
      </c>
      <c r="N880" s="101">
        <v>-19</v>
      </c>
      <c r="O880" s="101">
        <v>-16</v>
      </c>
      <c r="P880" s="13">
        <f t="shared" ref="P880:Q880" si="1780">J880/H880</f>
        <v>-0.5714285714285714</v>
      </c>
      <c r="Q880" s="13">
        <f t="shared" si="1780"/>
        <v>-1.606060606060606</v>
      </c>
      <c r="R880" s="13">
        <f t="shared" si="1552"/>
        <v>1.0346320346320346</v>
      </c>
      <c r="S880" s="13">
        <f t="shared" ref="S880:T880" si="1781">N880/L880</f>
        <v>-0.73076923076923073</v>
      </c>
      <c r="T880" s="13">
        <f t="shared" si="1781"/>
        <v>-1.4545454545454546</v>
      </c>
      <c r="U880" s="13">
        <f t="shared" si="1554"/>
        <v>0.72377622377622386</v>
      </c>
      <c r="V880" s="13">
        <f t="shared" si="1555"/>
        <v>1.3333333333333335</v>
      </c>
      <c r="W880" s="13">
        <f t="shared" si="1556"/>
        <v>-0.16981132075471694</v>
      </c>
      <c r="X880" s="13">
        <f t="shared" si="1557"/>
        <v>1.3636363636363638</v>
      </c>
      <c r="Y880" s="13">
        <f t="shared" si="1558"/>
        <v>0.1875</v>
      </c>
    </row>
    <row r="881" spans="1:25" ht="14.4">
      <c r="A881" s="98" t="s">
        <v>1175</v>
      </c>
      <c r="B881" s="99">
        <v>532486</v>
      </c>
      <c r="C881" s="98" t="s">
        <v>187</v>
      </c>
      <c r="D881" s="100" t="s">
        <v>1176</v>
      </c>
      <c r="E881" s="11">
        <f ca="1">IFERROR(__xludf.DUMMYFUNCTION("GOOGLEFINANCE(""BOM:""&amp;B882,""PRICE"")"),897)</f>
        <v>897</v>
      </c>
      <c r="F881" s="20">
        <f ca="1">IFERROR(__xludf.DUMMYFUNCTION("GOOGLEFINANCE(""BOM:""&amp;B882,""MARKETCAP"")/10000000"),2771.9116881)</f>
        <v>2771.9116881</v>
      </c>
      <c r="G881" s="95">
        <f t="shared" ca="1" si="1573"/>
        <v>6.8801353704374553E-5</v>
      </c>
      <c r="H881" s="101">
        <v>424</v>
      </c>
      <c r="I881" s="101">
        <v>667</v>
      </c>
      <c r="J881" s="101">
        <v>54</v>
      </c>
      <c r="K881" s="101">
        <v>128</v>
      </c>
      <c r="L881" s="101">
        <v>134</v>
      </c>
      <c r="M881" s="101">
        <v>223</v>
      </c>
      <c r="N881" s="101">
        <v>20</v>
      </c>
      <c r="O881" s="101">
        <v>50</v>
      </c>
      <c r="P881" s="13">
        <f t="shared" ref="P881:Q881" si="1782">J881/H881</f>
        <v>0.12735849056603774</v>
      </c>
      <c r="Q881" s="13">
        <f t="shared" si="1782"/>
        <v>0.19190404797601199</v>
      </c>
      <c r="R881" s="13">
        <f t="shared" si="1552"/>
        <v>-6.4545557409974252E-2</v>
      </c>
      <c r="S881" s="13">
        <f t="shared" ref="S881:T881" si="1783">N881/L881</f>
        <v>0.14925373134328357</v>
      </c>
      <c r="T881" s="13">
        <f t="shared" si="1783"/>
        <v>0.22421524663677131</v>
      </c>
      <c r="U881" s="13">
        <f t="shared" si="1554"/>
        <v>-7.496151529348774E-2</v>
      </c>
      <c r="V881" s="13">
        <f t="shared" si="1555"/>
        <v>-0.3643178410794603</v>
      </c>
      <c r="W881" s="13">
        <f t="shared" si="1556"/>
        <v>-0.578125</v>
      </c>
      <c r="X881" s="13">
        <f t="shared" si="1557"/>
        <v>-0.39910313901345296</v>
      </c>
      <c r="Y881" s="13">
        <f t="shared" si="1558"/>
        <v>-0.6</v>
      </c>
    </row>
    <row r="882" spans="1:25" ht="14.4">
      <c r="A882" s="104" t="s">
        <v>1177</v>
      </c>
      <c r="B882" s="99">
        <v>523618</v>
      </c>
      <c r="C882" s="98" t="s">
        <v>206</v>
      </c>
      <c r="D882" s="100" t="s">
        <v>1051</v>
      </c>
      <c r="E882" s="11">
        <f ca="1">IFERROR(__xludf.DUMMYFUNCTION("GOOGLEFINANCE(""BOM:""&amp;B883,""PRICE"")"),852.05)</f>
        <v>852.05</v>
      </c>
      <c r="F882" s="20">
        <f ca="1">IFERROR(__xludf.DUMMYFUNCTION("GOOGLEFINANCE(""BOM:""&amp;B883,""MARKETCAP"")/10000000"),2380.1399658)</f>
        <v>2380.1399658</v>
      </c>
      <c r="G882" s="95">
        <f t="shared" ca="1" si="1573"/>
        <v>5.9077225423862787E-5</v>
      </c>
      <c r="H882" s="101">
        <v>730</v>
      </c>
      <c r="I882" s="101">
        <v>679</v>
      </c>
      <c r="J882" s="101">
        <v>-82</v>
      </c>
      <c r="K882" s="101">
        <v>-48</v>
      </c>
      <c r="L882" s="101">
        <v>276</v>
      </c>
      <c r="M882" s="101">
        <v>324</v>
      </c>
      <c r="N882" s="101">
        <v>-24</v>
      </c>
      <c r="O882" s="101">
        <v>16</v>
      </c>
      <c r="P882" s="13">
        <f t="shared" ref="P882:Q882" si="1784">J882/H882</f>
        <v>-0.11232876712328767</v>
      </c>
      <c r="Q882" s="13">
        <f t="shared" si="1784"/>
        <v>-7.0692194403534608E-2</v>
      </c>
      <c r="R882" s="13">
        <f t="shared" si="1552"/>
        <v>-4.1636572719753059E-2</v>
      </c>
      <c r="S882" s="13">
        <f t="shared" ref="S882:T882" si="1785">N882/L882</f>
        <v>-8.6956521739130432E-2</v>
      </c>
      <c r="T882" s="13">
        <f t="shared" si="1785"/>
        <v>4.9382716049382713E-2</v>
      </c>
      <c r="U882" s="13">
        <f t="shared" si="1554"/>
        <v>-0.13633923778851315</v>
      </c>
      <c r="V882" s="13">
        <f t="shared" si="1555"/>
        <v>7.5110456553755478E-2</v>
      </c>
      <c r="W882" s="13">
        <f t="shared" si="1556"/>
        <v>0.70833333333333326</v>
      </c>
      <c r="X882" s="13">
        <f t="shared" si="1557"/>
        <v>-0.14814814814814814</v>
      </c>
      <c r="Y882" s="13">
        <f t="shared" si="1558"/>
        <v>-2.5</v>
      </c>
    </row>
    <row r="883" spans="1:25" ht="14.4">
      <c r="A883" s="98" t="s">
        <v>1178</v>
      </c>
      <c r="B883" s="99">
        <v>540725</v>
      </c>
      <c r="C883" s="98" t="s">
        <v>172</v>
      </c>
      <c r="D883" s="101" t="s">
        <v>436</v>
      </c>
      <c r="E883" s="11">
        <f ca="1">IFERROR(__xludf.DUMMYFUNCTION("GOOGLEFINANCE(""BOM:""&amp;B884,""PRICE"")"),130.5)</f>
        <v>130.5</v>
      </c>
      <c r="F883" s="20">
        <f ca="1">IFERROR(__xludf.DUMMYFUNCTION("GOOGLEFINANCE(""BOM:""&amp;B884,""MARKETCAP"")/10000000"),2860.705668)</f>
        <v>2860.7056680000001</v>
      </c>
      <c r="G883" s="95">
        <f t="shared" ca="1" si="1573"/>
        <v>7.1005300548765727E-5</v>
      </c>
      <c r="H883" s="101">
        <v>1067</v>
      </c>
      <c r="I883" s="101">
        <v>1226</v>
      </c>
      <c r="J883" s="101">
        <v>266</v>
      </c>
      <c r="K883" s="101">
        <v>309</v>
      </c>
      <c r="L883" s="101">
        <v>377</v>
      </c>
      <c r="M883" s="101">
        <v>349</v>
      </c>
      <c r="N883" s="101">
        <v>88</v>
      </c>
      <c r="O883" s="101">
        <v>82</v>
      </c>
      <c r="P883" s="13">
        <f t="shared" ref="P883:Q883" si="1786">J883/H883</f>
        <v>0.24929709465791941</v>
      </c>
      <c r="Q883" s="13">
        <f t="shared" si="1786"/>
        <v>0.25203915171288743</v>
      </c>
      <c r="R883" s="13">
        <f t="shared" si="1552"/>
        <v>-2.7420570549680223E-3</v>
      </c>
      <c r="S883" s="13">
        <f t="shared" ref="S883:T883" si="1787">N883/L883</f>
        <v>0.23342175066312998</v>
      </c>
      <c r="T883" s="13">
        <f t="shared" si="1787"/>
        <v>0.23495702005730659</v>
      </c>
      <c r="U883" s="13">
        <f t="shared" si="1554"/>
        <v>-1.5352693941766138E-3</v>
      </c>
      <c r="V883" s="13">
        <f t="shared" si="1555"/>
        <v>-0.12969004893964109</v>
      </c>
      <c r="W883" s="13">
        <f t="shared" si="1556"/>
        <v>-0.13915857605177995</v>
      </c>
      <c r="X883" s="13">
        <f t="shared" si="1557"/>
        <v>8.022922636103158E-2</v>
      </c>
      <c r="Y883" s="13">
        <f t="shared" si="1558"/>
        <v>7.3170731707317138E-2</v>
      </c>
    </row>
    <row r="884" spans="1:25" ht="14.4">
      <c r="A884" s="98" t="s">
        <v>1179</v>
      </c>
      <c r="B884" s="99">
        <v>543547</v>
      </c>
      <c r="C884" s="98" t="s">
        <v>196</v>
      </c>
      <c r="D884" s="102" t="s">
        <v>251</v>
      </c>
      <c r="E884" s="11">
        <f ca="1">IFERROR(__xludf.DUMMYFUNCTION("GOOGLEFINANCE(""BOM:""&amp;B885,""PRICE"")"),218.5)</f>
        <v>218.5</v>
      </c>
      <c r="F884" s="20">
        <f ca="1">IFERROR(__xludf.DUMMYFUNCTION("GOOGLEFINANCE(""BOM:""&amp;B885,""MARKETCAP"")/10000000"),2254.0307967)</f>
        <v>2254.0307966999999</v>
      </c>
      <c r="G884" s="95">
        <f t="shared" ca="1" si="1573"/>
        <v>5.5947081853321706E-5</v>
      </c>
      <c r="H884" s="101">
        <v>2182</v>
      </c>
      <c r="I884" s="101">
        <v>1866</v>
      </c>
      <c r="J884" s="101">
        <v>147</v>
      </c>
      <c r="K884" s="101">
        <v>133</v>
      </c>
      <c r="L884" s="101">
        <v>732</v>
      </c>
      <c r="M884" s="101">
        <v>660</v>
      </c>
      <c r="N884" s="101">
        <v>48</v>
      </c>
      <c r="O884" s="101">
        <v>46</v>
      </c>
      <c r="P884" s="13">
        <f t="shared" ref="P884:Q884" si="1788">J884/H884</f>
        <v>6.7369385884509622E-2</v>
      </c>
      <c r="Q884" s="13">
        <f t="shared" si="1788"/>
        <v>7.1275455519828515E-2</v>
      </c>
      <c r="R884" s="13">
        <f t="shared" si="1552"/>
        <v>-3.9060696353188928E-3</v>
      </c>
      <c r="S884" s="13">
        <f t="shared" ref="S884:T884" si="1789">N884/L884</f>
        <v>6.5573770491803282E-2</v>
      </c>
      <c r="T884" s="13">
        <f t="shared" si="1789"/>
        <v>6.9696969696969702E-2</v>
      </c>
      <c r="U884" s="13">
        <f t="shared" si="1554"/>
        <v>-4.1231992051664196E-3</v>
      </c>
      <c r="V884" s="13">
        <f t="shared" si="1555"/>
        <v>0.16934619506966775</v>
      </c>
      <c r="W884" s="13">
        <f t="shared" si="1556"/>
        <v>0.10526315789473695</v>
      </c>
      <c r="X884" s="13">
        <f t="shared" si="1557"/>
        <v>0.10909090909090913</v>
      </c>
      <c r="Y884" s="13">
        <f t="shared" si="1558"/>
        <v>4.3478260869565188E-2</v>
      </c>
    </row>
    <row r="885" spans="1:25" ht="14.4">
      <c r="A885" s="98" t="s">
        <v>1180</v>
      </c>
      <c r="B885" s="99">
        <v>543321</v>
      </c>
      <c r="C885" s="98" t="s">
        <v>196</v>
      </c>
      <c r="D885" s="70" t="s">
        <v>251</v>
      </c>
      <c r="E885" s="11">
        <f ca="1">IFERROR(__xludf.DUMMYFUNCTION("GOOGLEFINANCE(""BOM:""&amp;B886,""PRICE"")"),1124.1)</f>
        <v>1124.0999999999999</v>
      </c>
      <c r="F885" s="20">
        <f ca="1">IFERROR(__xludf.DUMMYFUNCTION("GOOGLEFINANCE(""BOM:""&amp;B886,""MARKETCAP"")/10000000"),2626.6933516)</f>
        <v>2626.6933515999999</v>
      </c>
      <c r="G885" s="95">
        <f t="shared" ca="1" si="1573"/>
        <v>6.5196903325673679E-5</v>
      </c>
      <c r="H885" s="101">
        <v>371</v>
      </c>
      <c r="I885" s="101">
        <v>274</v>
      </c>
      <c r="J885" s="101">
        <v>31</v>
      </c>
      <c r="K885" s="101">
        <v>4</v>
      </c>
      <c r="L885" s="101">
        <v>131</v>
      </c>
      <c r="M885" s="101">
        <v>85</v>
      </c>
      <c r="N885" s="101">
        <v>15</v>
      </c>
      <c r="O885" s="101">
        <v>0.38</v>
      </c>
      <c r="P885" s="13">
        <f t="shared" ref="P885:Q885" si="1790">J885/H885</f>
        <v>8.3557951482479784E-2</v>
      </c>
      <c r="Q885" s="13">
        <f t="shared" si="1790"/>
        <v>1.4598540145985401E-2</v>
      </c>
      <c r="R885" s="13">
        <f t="shared" si="1552"/>
        <v>6.8959411336494386E-2</v>
      </c>
      <c r="S885" s="13">
        <f t="shared" ref="S885:T885" si="1791">N885/L885</f>
        <v>0.11450381679389313</v>
      </c>
      <c r="T885" s="13">
        <f t="shared" si="1791"/>
        <v>4.4705882352941177E-3</v>
      </c>
      <c r="U885" s="13">
        <f t="shared" si="1554"/>
        <v>0.11003322855859901</v>
      </c>
      <c r="V885" s="13">
        <f t="shared" si="1555"/>
        <v>0.35401459854014594</v>
      </c>
      <c r="W885" s="13">
        <f t="shared" si="1556"/>
        <v>6.75</v>
      </c>
      <c r="X885" s="13">
        <f t="shared" si="1557"/>
        <v>0.54117647058823537</v>
      </c>
      <c r="Y885" s="13">
        <f t="shared" si="1558"/>
        <v>38.473684210526315</v>
      </c>
    </row>
    <row r="886" spans="1:25" ht="14.4">
      <c r="A886" s="98" t="s">
        <v>1181</v>
      </c>
      <c r="B886" s="99">
        <v>505710</v>
      </c>
      <c r="C886" s="98" t="s">
        <v>196</v>
      </c>
      <c r="D886" s="101" t="s">
        <v>346</v>
      </c>
      <c r="E886" s="11">
        <f ca="1">IFERROR(__xludf.DUMMYFUNCTION("GOOGLEFINANCE(""BOM:""&amp;B887,""PRICE"")"),64.91)</f>
        <v>64.91</v>
      </c>
      <c r="F886" s="20">
        <f ca="1">IFERROR(__xludf.DUMMYFUNCTION("GOOGLEFINANCE(""BOM:""&amp;B887,""MARKETCAP"")/10000000"),2943.0935634)</f>
        <v>2943.0935634000002</v>
      </c>
      <c r="G886" s="95">
        <f t="shared" ca="1" si="1573"/>
        <v>7.3050242585234358E-5</v>
      </c>
      <c r="H886" s="101">
        <v>835</v>
      </c>
      <c r="I886" s="101">
        <v>793</v>
      </c>
      <c r="J886" s="101">
        <v>112</v>
      </c>
      <c r="K886" s="101">
        <v>130</v>
      </c>
      <c r="L886" s="101">
        <v>290</v>
      </c>
      <c r="M886" s="101">
        <v>274</v>
      </c>
      <c r="N886" s="101">
        <v>32</v>
      </c>
      <c r="O886" s="101">
        <v>43</v>
      </c>
      <c r="P886" s="13">
        <f t="shared" ref="P886:Q886" si="1792">J886/H886</f>
        <v>0.1341317365269461</v>
      </c>
      <c r="Q886" s="13">
        <f t="shared" si="1792"/>
        <v>0.16393442622950818</v>
      </c>
      <c r="R886" s="13">
        <f t="shared" si="1552"/>
        <v>-2.9802689702562085E-2</v>
      </c>
      <c r="S886" s="13">
        <f t="shared" ref="S886:T886" si="1793">N886/L886</f>
        <v>0.1103448275862069</v>
      </c>
      <c r="T886" s="13">
        <f t="shared" si="1793"/>
        <v>0.15693430656934307</v>
      </c>
      <c r="U886" s="13">
        <f t="shared" si="1554"/>
        <v>-4.6589478983136173E-2</v>
      </c>
      <c r="V886" s="13">
        <f t="shared" si="1555"/>
        <v>5.296343001261028E-2</v>
      </c>
      <c r="W886" s="13">
        <f t="shared" si="1556"/>
        <v>-0.13846153846153841</v>
      </c>
      <c r="X886" s="13">
        <f t="shared" si="1557"/>
        <v>5.8394160583941535E-2</v>
      </c>
      <c r="Y886" s="13">
        <f t="shared" si="1558"/>
        <v>-0.2558139534883721</v>
      </c>
    </row>
    <row r="887" spans="1:25" ht="14.4">
      <c r="A887" s="104" t="s">
        <v>1182</v>
      </c>
      <c r="B887" s="99">
        <v>532834</v>
      </c>
      <c r="C887" s="98" t="s">
        <v>196</v>
      </c>
      <c r="D887" s="102" t="s">
        <v>251</v>
      </c>
      <c r="E887" s="11">
        <f ca="1">IFERROR(__xludf.DUMMYFUNCTION("GOOGLEFINANCE(""BOM:""&amp;B888,""PRICE"")"),102.01)</f>
        <v>102.01</v>
      </c>
      <c r="F887" s="20">
        <f ca="1">IFERROR(__xludf.DUMMYFUNCTION("GOOGLEFINANCE(""BOM:""&amp;B888,""MARKETCAP"")/10000000"),1962.4068343)</f>
        <v>1962.4068342999999</v>
      </c>
      <c r="G887" s="95">
        <f t="shared" ca="1" si="1573"/>
        <v>4.870871149978908E-5</v>
      </c>
      <c r="H887" s="101">
        <v>1340</v>
      </c>
      <c r="I887" s="101">
        <v>1229</v>
      </c>
      <c r="J887" s="101">
        <v>-62</v>
      </c>
      <c r="K887" s="101">
        <v>-158</v>
      </c>
      <c r="L887" s="101">
        <v>457</v>
      </c>
      <c r="M887" s="101">
        <v>431</v>
      </c>
      <c r="N887" s="101">
        <v>-37</v>
      </c>
      <c r="O887" s="101">
        <v>-7</v>
      </c>
      <c r="P887" s="13">
        <f t="shared" ref="P887:Q887" si="1794">J887/H887</f>
        <v>-4.6268656716417909E-2</v>
      </c>
      <c r="Q887" s="13">
        <f t="shared" si="1794"/>
        <v>-0.12855980471928397</v>
      </c>
      <c r="R887" s="13">
        <f t="shared" si="1552"/>
        <v>8.2291148002866049E-2</v>
      </c>
      <c r="S887" s="13">
        <f t="shared" ref="S887:T887" si="1795">N887/L887</f>
        <v>-8.0962800875273522E-2</v>
      </c>
      <c r="T887" s="13">
        <f t="shared" si="1795"/>
        <v>-1.6241299303944315E-2</v>
      </c>
      <c r="U887" s="13">
        <f t="shared" si="1554"/>
        <v>-6.4721501571329207E-2</v>
      </c>
      <c r="V887" s="13">
        <f t="shared" si="1555"/>
        <v>9.0317331163547676E-2</v>
      </c>
      <c r="W887" s="13">
        <f t="shared" si="1556"/>
        <v>-0.60759493670886078</v>
      </c>
      <c r="X887" s="13">
        <f t="shared" si="1557"/>
        <v>6.0324825986078912E-2</v>
      </c>
      <c r="Y887" s="13">
        <f t="shared" si="1558"/>
        <v>4.2857142857142856</v>
      </c>
    </row>
    <row r="888" spans="1:25" ht="14.4">
      <c r="A888" s="98" t="s">
        <v>1183</v>
      </c>
      <c r="B888" s="99">
        <v>544055</v>
      </c>
      <c r="C888" s="98" t="s">
        <v>172</v>
      </c>
      <c r="D888" s="102" t="s">
        <v>579</v>
      </c>
      <c r="E888" s="11">
        <f ca="1">IFERROR(__xludf.DUMMYFUNCTION("GOOGLEFINANCE(""BOM:""&amp;B889,""PRICE"")"),154.85)</f>
        <v>154.85</v>
      </c>
      <c r="F888" s="20">
        <f ca="1">IFERROR(__xludf.DUMMYFUNCTION("GOOGLEFINANCE(""BOM:""&amp;B889,""MARKETCAP"")/10000000"),2595.7140401)</f>
        <v>2595.7140401000001</v>
      </c>
      <c r="G888" s="95">
        <f t="shared" ca="1" si="1573"/>
        <v>6.4427968811208529E-5</v>
      </c>
      <c r="H888" s="101">
        <v>1737</v>
      </c>
      <c r="I888" s="101">
        <v>2006</v>
      </c>
      <c r="J888" s="101">
        <v>99</v>
      </c>
      <c r="K888" s="101">
        <v>178</v>
      </c>
      <c r="L888" s="101">
        <v>605</v>
      </c>
      <c r="M888" s="101">
        <v>681</v>
      </c>
      <c r="N888" s="101">
        <v>62</v>
      </c>
      <c r="O888" s="101">
        <v>3</v>
      </c>
      <c r="P888" s="13">
        <f t="shared" ref="P888:Q888" si="1796">J888/H888</f>
        <v>5.6994818652849742E-2</v>
      </c>
      <c r="Q888" s="13">
        <f t="shared" si="1796"/>
        <v>8.8733798604187439E-2</v>
      </c>
      <c r="R888" s="13">
        <f t="shared" si="1552"/>
        <v>-3.1738979951337697E-2</v>
      </c>
      <c r="S888" s="13">
        <f t="shared" ref="S888:T888" si="1797">N888/L888</f>
        <v>0.10247933884297521</v>
      </c>
      <c r="T888" s="13">
        <f t="shared" si="1797"/>
        <v>4.4052863436123352E-3</v>
      </c>
      <c r="U888" s="13">
        <f t="shared" si="1554"/>
        <v>9.8074052499362865E-2</v>
      </c>
      <c r="V888" s="13">
        <f t="shared" si="1555"/>
        <v>-0.13409770687936196</v>
      </c>
      <c r="W888" s="13">
        <f t="shared" si="1556"/>
        <v>-0.4438202247191011</v>
      </c>
      <c r="X888" s="13">
        <f t="shared" si="1557"/>
        <v>-0.11160058737151246</v>
      </c>
      <c r="Y888" s="13">
        <f t="shared" si="1558"/>
        <v>19.666666666666668</v>
      </c>
    </row>
    <row r="889" spans="1:25" ht="14.4">
      <c r="A889" s="98" t="s">
        <v>1184</v>
      </c>
      <c r="B889" s="99">
        <v>544355</v>
      </c>
      <c r="C889" s="98" t="s">
        <v>196</v>
      </c>
      <c r="D889" s="102" t="s">
        <v>251</v>
      </c>
      <c r="E889" s="11">
        <f ca="1">IFERROR(__xludf.DUMMYFUNCTION("GOOGLEFINANCE(""BOM:""&amp;B890,""PRICE"")"),1709.9)</f>
        <v>1709.9</v>
      </c>
      <c r="F889" s="20">
        <f ca="1">IFERROR(__xludf.DUMMYFUNCTION("GOOGLEFINANCE(""BOM:""&amp;B890,""MARKETCAP"")/10000000"),2613.4043577)</f>
        <v>2613.4043577000002</v>
      </c>
      <c r="G889" s="95">
        <f t="shared" ca="1" si="1573"/>
        <v>6.4867058484795702E-5</v>
      </c>
      <c r="H889" s="101">
        <v>1405</v>
      </c>
      <c r="I889" s="101">
        <v>1162</v>
      </c>
      <c r="J889" s="101">
        <v>107</v>
      </c>
      <c r="K889" s="101">
        <v>72</v>
      </c>
      <c r="L889" s="101">
        <v>449</v>
      </c>
      <c r="M889" s="101">
        <v>396</v>
      </c>
      <c r="N889" s="101">
        <v>21</v>
      </c>
      <c r="O889" s="101">
        <v>21</v>
      </c>
      <c r="P889" s="13">
        <f t="shared" ref="P889:Q889" si="1798">J889/H889</f>
        <v>7.6156583629893235E-2</v>
      </c>
      <c r="Q889" s="13">
        <f t="shared" si="1798"/>
        <v>6.1962134251290879E-2</v>
      </c>
      <c r="R889" s="13">
        <f t="shared" si="1552"/>
        <v>1.4194449378602356E-2</v>
      </c>
      <c r="S889" s="13">
        <f t="shared" ref="S889:T889" si="1799">N889/L889</f>
        <v>4.6770601336302897E-2</v>
      </c>
      <c r="T889" s="13">
        <f t="shared" si="1799"/>
        <v>5.3030303030303032E-2</v>
      </c>
      <c r="U889" s="13">
        <f t="shared" si="1554"/>
        <v>-6.2597016940001346E-3</v>
      </c>
      <c r="V889" s="13">
        <f t="shared" si="1555"/>
        <v>0.20912220309810681</v>
      </c>
      <c r="W889" s="13">
        <f t="shared" si="1556"/>
        <v>0.48611111111111116</v>
      </c>
      <c r="X889" s="13">
        <f t="shared" si="1557"/>
        <v>0.13383838383838387</v>
      </c>
      <c r="Y889" s="13">
        <f t="shared" si="1558"/>
        <v>0</v>
      </c>
    </row>
    <row r="890" spans="1:25" ht="14.4">
      <c r="A890" s="98" t="s">
        <v>1185</v>
      </c>
      <c r="B890" s="99">
        <v>503960</v>
      </c>
      <c r="C890" s="98" t="s">
        <v>180</v>
      </c>
      <c r="D890" s="70" t="s">
        <v>344</v>
      </c>
      <c r="E890" s="11">
        <f ca="1">IFERROR(__xludf.DUMMYFUNCTION("GOOGLEFINANCE(""BOM:""&amp;B891,""PRICE"")"),2260)</f>
        <v>2260</v>
      </c>
      <c r="F890" s="20">
        <f ca="1">IFERROR(__xludf.DUMMYFUNCTION("GOOGLEFINANCE(""BOM:""&amp;B891,""MARKETCAP"")/10000000"),2555.1834175)</f>
        <v>2555.1834174999999</v>
      </c>
      <c r="G890" s="95">
        <f t="shared" ca="1" si="1573"/>
        <v>6.3421962121553652E-5</v>
      </c>
      <c r="H890" s="101">
        <v>1507</v>
      </c>
      <c r="I890" s="101">
        <v>1283</v>
      </c>
      <c r="J890" s="101">
        <v>81</v>
      </c>
      <c r="K890" s="101">
        <v>83</v>
      </c>
      <c r="L890" s="101">
        <v>568</v>
      </c>
      <c r="M890" s="101">
        <v>514</v>
      </c>
      <c r="N890" s="101">
        <v>25</v>
      </c>
      <c r="O890" s="101">
        <v>41</v>
      </c>
      <c r="P890" s="13">
        <f t="shared" ref="P890:Q890" si="1800">J890/H890</f>
        <v>5.3749170537491703E-2</v>
      </c>
      <c r="Q890" s="13">
        <f t="shared" si="1800"/>
        <v>6.4692127825409201E-2</v>
      </c>
      <c r="R890" s="13">
        <f t="shared" si="1552"/>
        <v>-1.0942957287917499E-2</v>
      </c>
      <c r="S890" s="13">
        <f t="shared" ref="S890:T890" si="1801">N890/L890</f>
        <v>4.401408450704225E-2</v>
      </c>
      <c r="T890" s="13">
        <f t="shared" si="1801"/>
        <v>7.9766536964980539E-2</v>
      </c>
      <c r="U890" s="13">
        <f t="shared" si="1554"/>
        <v>-3.5752452457938289E-2</v>
      </c>
      <c r="V890" s="13">
        <f t="shared" si="1555"/>
        <v>0.17459080280592354</v>
      </c>
      <c r="W890" s="13">
        <f t="shared" si="1556"/>
        <v>-2.4096385542168641E-2</v>
      </c>
      <c r="X890" s="13">
        <f t="shared" si="1557"/>
        <v>0.10505836575875493</v>
      </c>
      <c r="Y890" s="13">
        <f t="shared" si="1558"/>
        <v>-0.3902439024390244</v>
      </c>
    </row>
    <row r="891" spans="1:25" ht="14.4">
      <c r="A891" s="98" t="s">
        <v>1186</v>
      </c>
      <c r="B891" s="99">
        <v>543212</v>
      </c>
      <c r="C891" s="98" t="s">
        <v>187</v>
      </c>
      <c r="D891" s="100" t="s">
        <v>800</v>
      </c>
      <c r="E891" s="11">
        <f ca="1">IFERROR(__xludf.DUMMYFUNCTION("GOOGLEFINANCE(""BOM:""&amp;B892,""PRICE"")"),242.05)</f>
        <v>242.05</v>
      </c>
      <c r="F891" s="20">
        <f ca="1">IFERROR(__xludf.DUMMYFUNCTION("GOOGLEFINANCE(""BOM:""&amp;B892,""MARKETCAP"")/10000000"),2898.7897298)</f>
        <v>2898.7897297999998</v>
      </c>
      <c r="G891" s="95">
        <f t="shared" ca="1" si="1573"/>
        <v>7.1950581387852304E-5</v>
      </c>
      <c r="H891" s="101">
        <v>911</v>
      </c>
      <c r="I891" s="101">
        <v>837</v>
      </c>
      <c r="J891" s="101">
        <v>64</v>
      </c>
      <c r="K891" s="101">
        <v>63</v>
      </c>
      <c r="L891" s="101">
        <v>338</v>
      </c>
      <c r="M891" s="101">
        <v>338</v>
      </c>
      <c r="N891" s="101">
        <v>23</v>
      </c>
      <c r="O891" s="101">
        <v>35</v>
      </c>
      <c r="P891" s="13">
        <f t="shared" ref="P891:Q891" si="1802">J891/H891</f>
        <v>7.025246981339188E-2</v>
      </c>
      <c r="Q891" s="13">
        <f t="shared" si="1802"/>
        <v>7.5268817204301078E-2</v>
      </c>
      <c r="R891" s="13">
        <f t="shared" si="1552"/>
        <v>-5.0163473909091982E-3</v>
      </c>
      <c r="S891" s="13">
        <f t="shared" ref="S891:T891" si="1803">N891/L891</f>
        <v>6.8047337278106509E-2</v>
      </c>
      <c r="T891" s="13">
        <f t="shared" si="1803"/>
        <v>0.10355029585798817</v>
      </c>
      <c r="U891" s="13">
        <f t="shared" si="1554"/>
        <v>-3.5502958579881658E-2</v>
      </c>
      <c r="V891" s="13">
        <f t="shared" si="1555"/>
        <v>8.8410991636798109E-2</v>
      </c>
      <c r="W891" s="13">
        <f t="shared" si="1556"/>
        <v>1.5873015873015817E-2</v>
      </c>
      <c r="X891" s="13">
        <f t="shared" si="1557"/>
        <v>0</v>
      </c>
      <c r="Y891" s="13">
        <f t="shared" si="1558"/>
        <v>-0.34285714285714286</v>
      </c>
    </row>
    <row r="892" spans="1:25" ht="14.4">
      <c r="A892" s="98" t="s">
        <v>1187</v>
      </c>
      <c r="B892" s="99">
        <v>544294</v>
      </c>
      <c r="C892" s="98" t="s">
        <v>180</v>
      </c>
      <c r="D892" s="70" t="s">
        <v>204</v>
      </c>
      <c r="E892" s="11">
        <f ca="1">IFERROR(__xludf.DUMMYFUNCTION("GOOGLEFINANCE(""BOM:""&amp;B893,""PRICE"")"),752.15)</f>
        <v>752.15</v>
      </c>
      <c r="F892" s="20">
        <f ca="1">IFERROR(__xludf.DUMMYFUNCTION("GOOGLEFINANCE(""BOM:""&amp;B893,""MARKETCAP"")/10000000"),2832.7012841)</f>
        <v>2832.7012841000001</v>
      </c>
      <c r="G892" s="95">
        <f t="shared" ca="1" si="1573"/>
        <v>7.031020642644985E-5</v>
      </c>
      <c r="H892" s="101">
        <v>343</v>
      </c>
      <c r="I892" s="101">
        <v>171</v>
      </c>
      <c r="J892" s="101">
        <v>14</v>
      </c>
      <c r="K892" s="101">
        <v>1</v>
      </c>
      <c r="L892" s="101">
        <v>129</v>
      </c>
      <c r="M892" s="101">
        <v>75</v>
      </c>
      <c r="N892" s="101">
        <v>5</v>
      </c>
      <c r="O892" s="101">
        <v>5</v>
      </c>
      <c r="P892" s="13">
        <f t="shared" ref="P892:Q892" si="1804">J892/H892</f>
        <v>4.0816326530612242E-2</v>
      </c>
      <c r="Q892" s="13">
        <f t="shared" si="1804"/>
        <v>5.8479532163742687E-3</v>
      </c>
      <c r="R892" s="13">
        <f t="shared" si="1552"/>
        <v>3.4968373314237973E-2</v>
      </c>
      <c r="S892" s="13">
        <f t="shared" ref="S892:T892" si="1805">N892/L892</f>
        <v>3.875968992248062E-2</v>
      </c>
      <c r="T892" s="13">
        <f t="shared" si="1805"/>
        <v>6.6666666666666666E-2</v>
      </c>
      <c r="U892" s="13">
        <f t="shared" si="1554"/>
        <v>-2.7906976744186046E-2</v>
      </c>
      <c r="V892" s="13">
        <f t="shared" si="1555"/>
        <v>1.0058479532163744</v>
      </c>
      <c r="W892" s="13">
        <f t="shared" si="1556"/>
        <v>13</v>
      </c>
      <c r="X892" s="13">
        <f t="shared" si="1557"/>
        <v>0.72</v>
      </c>
      <c r="Y892" s="13">
        <f t="shared" si="1558"/>
        <v>0</v>
      </c>
    </row>
    <row r="893" spans="1:25" ht="14.4">
      <c r="A893" s="98" t="s">
        <v>1188</v>
      </c>
      <c r="B893" s="99">
        <v>543213</v>
      </c>
      <c r="C893" s="98" t="s">
        <v>196</v>
      </c>
      <c r="D893" s="102" t="s">
        <v>251</v>
      </c>
      <c r="E893" s="11">
        <f ca="1">IFERROR(__xludf.DUMMYFUNCTION("GOOGLEFINANCE(""BOM:""&amp;B894,""PRICE"")"),442.4)</f>
        <v>442.4</v>
      </c>
      <c r="F893" s="20">
        <f ca="1">IFERROR(__xludf.DUMMYFUNCTION("GOOGLEFINANCE(""BOM:""&amp;B894,""MARKETCAP"")/10000000"),2459.021184)</f>
        <v>2459.0211840000002</v>
      </c>
      <c r="G893" s="95">
        <f t="shared" ca="1" si="1573"/>
        <v>6.103512856244733E-5</v>
      </c>
      <c r="H893" s="101">
        <v>1711</v>
      </c>
      <c r="I893" s="101">
        <v>1500</v>
      </c>
      <c r="J893" s="101">
        <v>103</v>
      </c>
      <c r="K893" s="101">
        <v>101</v>
      </c>
      <c r="L893" s="101">
        <v>581</v>
      </c>
      <c r="M893" s="101">
        <v>512</v>
      </c>
      <c r="N893" s="101">
        <v>32</v>
      </c>
      <c r="O893" s="101">
        <v>31</v>
      </c>
      <c r="P893" s="13">
        <f t="shared" ref="P893:Q893" si="1806">J893/H893</f>
        <v>6.0198714202220921E-2</v>
      </c>
      <c r="Q893" s="13">
        <f t="shared" si="1806"/>
        <v>6.7333333333333328E-2</v>
      </c>
      <c r="R893" s="13">
        <f t="shared" si="1552"/>
        <v>-7.1346191311124074E-3</v>
      </c>
      <c r="S893" s="13">
        <f t="shared" ref="S893:T893" si="1807">N893/L893</f>
        <v>5.5077452667814115E-2</v>
      </c>
      <c r="T893" s="13">
        <f t="shared" si="1807"/>
        <v>6.0546875E-2</v>
      </c>
      <c r="U893" s="13">
        <f t="shared" si="1554"/>
        <v>-5.4694223321858845E-3</v>
      </c>
      <c r="V893" s="13">
        <f t="shared" si="1555"/>
        <v>0.14066666666666672</v>
      </c>
      <c r="W893" s="13">
        <f t="shared" si="1556"/>
        <v>1.980198019801982E-2</v>
      </c>
      <c r="X893" s="13">
        <f t="shared" si="1557"/>
        <v>0.134765625</v>
      </c>
      <c r="Y893" s="13">
        <f t="shared" si="1558"/>
        <v>3.2258064516129004E-2</v>
      </c>
    </row>
    <row r="894" spans="1:25" ht="14.4">
      <c r="A894" s="104" t="s">
        <v>1189</v>
      </c>
      <c r="B894" s="99">
        <v>542907</v>
      </c>
      <c r="C894" s="98" t="s">
        <v>180</v>
      </c>
      <c r="D894" s="100" t="s">
        <v>420</v>
      </c>
      <c r="E894" s="11">
        <f ca="1">IFERROR(__xludf.DUMMYFUNCTION("GOOGLEFINANCE(""BOM:""&amp;B895,""PRICE"")"),230.4)</f>
        <v>230.4</v>
      </c>
      <c r="F894" s="20">
        <f ca="1">IFERROR(__xludf.DUMMYFUNCTION("GOOGLEFINANCE(""BOM:""&amp;B895,""MARKETCAP"")/10000000"),2575.0762914)</f>
        <v>2575.0762914000002</v>
      </c>
      <c r="G894" s="95">
        <f t="shared" ca="1" si="1573"/>
        <v>6.3915721233456883E-5</v>
      </c>
      <c r="H894" s="101">
        <v>1748</v>
      </c>
      <c r="I894" s="101">
        <v>1804</v>
      </c>
      <c r="J894" s="101">
        <v>17</v>
      </c>
      <c r="K894" s="101">
        <v>18</v>
      </c>
      <c r="L894" s="101">
        <v>573</v>
      </c>
      <c r="M894" s="101">
        <v>577</v>
      </c>
      <c r="N894" s="101">
        <v>-2</v>
      </c>
      <c r="O894" s="101">
        <v>-20</v>
      </c>
      <c r="P894" s="13">
        <f t="shared" ref="P894:Q894" si="1808">J894/H894</f>
        <v>9.7254004576659038E-3</v>
      </c>
      <c r="Q894" s="13">
        <f t="shared" si="1808"/>
        <v>9.9778270509977823E-3</v>
      </c>
      <c r="R894" s="13">
        <f t="shared" si="1552"/>
        <v>-2.5242659333187846E-4</v>
      </c>
      <c r="S894" s="13">
        <f t="shared" ref="S894:T894" si="1809">N894/L894</f>
        <v>-3.4904013961605585E-3</v>
      </c>
      <c r="T894" s="13">
        <f t="shared" si="1809"/>
        <v>-3.4662045060658578E-2</v>
      </c>
      <c r="U894" s="13">
        <f t="shared" si="1554"/>
        <v>3.1171643664498018E-2</v>
      </c>
      <c r="V894" s="13">
        <f t="shared" si="1555"/>
        <v>-3.104212860310418E-2</v>
      </c>
      <c r="W894" s="13">
        <f t="shared" si="1556"/>
        <v>-5.555555555555558E-2</v>
      </c>
      <c r="X894" s="13">
        <f t="shared" si="1557"/>
        <v>-6.9324090121317683E-3</v>
      </c>
      <c r="Y894" s="13">
        <f t="shared" si="1558"/>
        <v>-0.9</v>
      </c>
    </row>
    <row r="895" spans="1:25" ht="14.4">
      <c r="A895" s="98" t="s">
        <v>1190</v>
      </c>
      <c r="B895" s="99">
        <v>500444</v>
      </c>
      <c r="C895" s="98" t="s">
        <v>196</v>
      </c>
      <c r="D895" s="70" t="s">
        <v>672</v>
      </c>
      <c r="E895" s="11">
        <f ca="1">IFERROR(__xludf.DUMMYFUNCTION("GOOGLEFINANCE(""BOM:""&amp;B896,""PRICE"")"),441.4)</f>
        <v>441.4</v>
      </c>
      <c r="F895" s="20">
        <f ca="1">IFERROR(__xludf.DUMMYFUNCTION("GOOGLEFINANCE(""BOM:""&amp;B896,""MARKETCAP"")/10000000"),2915.7292125)</f>
        <v>2915.7292124999999</v>
      </c>
      <c r="G895" s="95">
        <f t="shared" ca="1" si="1573"/>
        <v>7.2371034660521566E-5</v>
      </c>
      <c r="H895" s="101">
        <v>3047</v>
      </c>
      <c r="I895" s="101">
        <v>3021</v>
      </c>
      <c r="J895" s="101">
        <v>101</v>
      </c>
      <c r="K895" s="101">
        <v>289</v>
      </c>
      <c r="L895" s="101">
        <v>1049</v>
      </c>
      <c r="M895" s="101">
        <v>1015</v>
      </c>
      <c r="N895" s="101">
        <v>29</v>
      </c>
      <c r="O895" s="101">
        <v>67</v>
      </c>
      <c r="P895" s="13">
        <f t="shared" ref="P895:Q895" si="1810">J895/H895</f>
        <v>3.314735805710535E-2</v>
      </c>
      <c r="Q895" s="13">
        <f t="shared" si="1810"/>
        <v>9.5663687520688517E-2</v>
      </c>
      <c r="R895" s="13">
        <f t="shared" si="1552"/>
        <v>-6.2516329463583167E-2</v>
      </c>
      <c r="S895" s="13">
        <f t="shared" ref="S895:T895" si="1811">N895/L895</f>
        <v>2.7645376549094377E-2</v>
      </c>
      <c r="T895" s="13">
        <f t="shared" si="1811"/>
        <v>6.6009852216748766E-2</v>
      </c>
      <c r="U895" s="13">
        <f t="shared" si="1554"/>
        <v>-3.8364475667654385E-2</v>
      </c>
      <c r="V895" s="13">
        <f t="shared" si="1555"/>
        <v>8.6064217146639699E-3</v>
      </c>
      <c r="W895" s="13">
        <f t="shared" si="1556"/>
        <v>-0.65051903114186849</v>
      </c>
      <c r="X895" s="13">
        <f t="shared" si="1557"/>
        <v>3.3497536945812811E-2</v>
      </c>
      <c r="Y895" s="13">
        <f t="shared" si="1558"/>
        <v>-0.56716417910447769</v>
      </c>
    </row>
    <row r="896" spans="1:25" ht="14.4">
      <c r="A896" s="98" t="s">
        <v>1191</v>
      </c>
      <c r="B896" s="99">
        <v>544290</v>
      </c>
      <c r="C896" s="98" t="s">
        <v>198</v>
      </c>
      <c r="D896" s="108" t="s">
        <v>856</v>
      </c>
      <c r="E896" s="11">
        <f ca="1">IFERROR(__xludf.DUMMYFUNCTION("GOOGLEFINANCE(""BOM:""&amp;B897,""PRICE"")"),167.5)</f>
        <v>167.5</v>
      </c>
      <c r="F896" s="20">
        <f ca="1">IFERROR(__xludf.DUMMYFUNCTION("GOOGLEFINANCE(""BOM:""&amp;B897,""MARKETCAP"")/10000000"),2939.60155)</f>
        <v>2939.6015499999999</v>
      </c>
      <c r="G896" s="95">
        <f t="shared" ca="1" si="1573"/>
        <v>7.2963567656121259E-5</v>
      </c>
      <c r="H896" s="101">
        <v>718</v>
      </c>
      <c r="I896" s="101">
        <v>665</v>
      </c>
      <c r="J896" s="101">
        <v>134</v>
      </c>
      <c r="K896" s="101">
        <v>103</v>
      </c>
      <c r="L896" s="101">
        <v>250</v>
      </c>
      <c r="M896" s="101">
        <v>247</v>
      </c>
      <c r="N896" s="101">
        <v>42</v>
      </c>
      <c r="O896" s="101">
        <v>36</v>
      </c>
      <c r="P896" s="13">
        <f t="shared" ref="P896:Q896" si="1812">J896/H896</f>
        <v>0.18662952646239556</v>
      </c>
      <c r="Q896" s="13">
        <f t="shared" si="1812"/>
        <v>0.1548872180451128</v>
      </c>
      <c r="R896" s="13">
        <f t="shared" si="1552"/>
        <v>3.1742308417282761E-2</v>
      </c>
      <c r="S896" s="13">
        <f t="shared" ref="S896:T896" si="1813">N896/L896</f>
        <v>0.16800000000000001</v>
      </c>
      <c r="T896" s="13">
        <f t="shared" si="1813"/>
        <v>0.145748987854251</v>
      </c>
      <c r="U896" s="13">
        <f t="shared" si="1554"/>
        <v>2.2251012145749011E-2</v>
      </c>
      <c r="V896" s="13">
        <f t="shared" si="1555"/>
        <v>7.9699248120300714E-2</v>
      </c>
      <c r="W896" s="13">
        <f t="shared" si="1556"/>
        <v>0.30097087378640786</v>
      </c>
      <c r="X896" s="13">
        <f t="shared" si="1557"/>
        <v>1.2145748987854255E-2</v>
      </c>
      <c r="Y896" s="13">
        <f t="shared" si="1558"/>
        <v>0.16666666666666674</v>
      </c>
    </row>
    <row r="897" spans="1:25" ht="14.4">
      <c r="A897" s="98" t="s">
        <v>1192</v>
      </c>
      <c r="B897" s="99">
        <v>544088</v>
      </c>
      <c r="C897" s="98" t="s">
        <v>172</v>
      </c>
      <c r="D897" s="100" t="s">
        <v>1193</v>
      </c>
      <c r="E897" s="11">
        <f ca="1">IFERROR(__xludf.DUMMYFUNCTION("GOOGLEFINANCE(""BOM:""&amp;B898,""PRICE"")"),328)</f>
        <v>328</v>
      </c>
      <c r="F897" s="20">
        <f ca="1">IFERROR(__xludf.DUMMYFUNCTION("GOOGLEFINANCE(""BOM:""&amp;B898,""MARKETCAP"")/10000000"),2451.6655867)</f>
        <v>2451.6655866999999</v>
      </c>
      <c r="G897" s="95">
        <f t="shared" ca="1" si="1573"/>
        <v>6.0852555988538547E-5</v>
      </c>
      <c r="H897" s="101">
        <v>662</v>
      </c>
      <c r="I897" s="101">
        <v>534</v>
      </c>
      <c r="J897" s="101">
        <v>34</v>
      </c>
      <c r="K897" s="101">
        <v>69</v>
      </c>
      <c r="L897" s="101">
        <v>239</v>
      </c>
      <c r="M897" s="101">
        <v>185</v>
      </c>
      <c r="N897" s="101">
        <v>4</v>
      </c>
      <c r="O897" s="101">
        <v>29</v>
      </c>
      <c r="P897" s="13">
        <f t="shared" ref="P897:Q897" si="1814">J897/H897</f>
        <v>5.1359516616314202E-2</v>
      </c>
      <c r="Q897" s="13">
        <f t="shared" si="1814"/>
        <v>0.12921348314606743</v>
      </c>
      <c r="R897" s="13">
        <f t="shared" si="1552"/>
        <v>-7.7853966529753224E-2</v>
      </c>
      <c r="S897" s="13">
        <f t="shared" ref="S897:T897" si="1815">N897/L897</f>
        <v>1.6736401673640166E-2</v>
      </c>
      <c r="T897" s="13">
        <f t="shared" si="1815"/>
        <v>0.15675675675675677</v>
      </c>
      <c r="U897" s="13">
        <f t="shared" si="1554"/>
        <v>-0.14002035508311661</v>
      </c>
      <c r="V897" s="13">
        <f t="shared" si="1555"/>
        <v>0.23970037453183513</v>
      </c>
      <c r="W897" s="13">
        <f t="shared" si="1556"/>
        <v>-0.50724637681159424</v>
      </c>
      <c r="X897" s="13">
        <f t="shared" si="1557"/>
        <v>0.2918918918918918</v>
      </c>
      <c r="Y897" s="13">
        <f t="shared" si="1558"/>
        <v>-0.86206896551724133</v>
      </c>
    </row>
    <row r="898" spans="1:25" ht="14.4">
      <c r="A898" s="98" t="s">
        <v>1194</v>
      </c>
      <c r="B898" s="99">
        <v>533333</v>
      </c>
      <c r="C898" s="98" t="s">
        <v>196</v>
      </c>
      <c r="D898" s="101" t="s">
        <v>251</v>
      </c>
      <c r="E898" s="11">
        <f ca="1">IFERROR(__xludf.DUMMYFUNCTION("GOOGLEFINANCE(""BOM:""&amp;B899,""PRICE"")"),22.33)</f>
        <v>22.33</v>
      </c>
      <c r="F898" s="20">
        <f ca="1">IFERROR(__xludf.DUMMYFUNCTION("GOOGLEFINANCE(""BOM:""&amp;B899,""MARKETCAP"")/10000000"),2594.5060799)</f>
        <v>2594.5060798999998</v>
      </c>
      <c r="G898" s="95">
        <f t="shared" ca="1" si="1573"/>
        <v>6.4397986147136715E-5</v>
      </c>
      <c r="H898" s="101">
        <v>458</v>
      </c>
      <c r="I898" s="101">
        <v>413</v>
      </c>
      <c r="J898" s="101">
        <v>81</v>
      </c>
      <c r="K898" s="101">
        <v>89</v>
      </c>
      <c r="L898" s="101">
        <v>183</v>
      </c>
      <c r="M898" s="101">
        <v>125</v>
      </c>
      <c r="N898" s="101">
        <v>30</v>
      </c>
      <c r="O898" s="101">
        <v>27</v>
      </c>
      <c r="P898" s="13">
        <f t="shared" ref="P898:Q898" si="1816">J898/H898</f>
        <v>0.17685589519650655</v>
      </c>
      <c r="Q898" s="13">
        <f t="shared" si="1816"/>
        <v>0.21549636803874092</v>
      </c>
      <c r="R898" s="13">
        <f t="shared" si="1552"/>
        <v>-3.8640472842234375E-2</v>
      </c>
      <c r="S898" s="13">
        <f t="shared" ref="S898:T898" si="1817">N898/L898</f>
        <v>0.16393442622950818</v>
      </c>
      <c r="T898" s="13">
        <f t="shared" si="1817"/>
        <v>0.216</v>
      </c>
      <c r="U898" s="13">
        <f t="shared" si="1554"/>
        <v>-5.2065573770491813E-2</v>
      </c>
      <c r="V898" s="13">
        <f t="shared" si="1555"/>
        <v>0.10895883777239712</v>
      </c>
      <c r="W898" s="13">
        <f t="shared" si="1556"/>
        <v>-8.98876404494382E-2</v>
      </c>
      <c r="X898" s="13">
        <f t="shared" si="1557"/>
        <v>0.46399999999999997</v>
      </c>
      <c r="Y898" s="13">
        <f t="shared" si="1558"/>
        <v>0.11111111111111116</v>
      </c>
    </row>
    <row r="899" spans="1:25" ht="14.4">
      <c r="A899" s="104" t="s">
        <v>1195</v>
      </c>
      <c r="B899" s="99">
        <v>540701</v>
      </c>
      <c r="C899" s="98" t="s">
        <v>190</v>
      </c>
      <c r="D899" s="101" t="s">
        <v>100</v>
      </c>
      <c r="E899" s="11">
        <f ca="1">IFERROR(__xludf.DUMMYFUNCTION("GOOGLEFINANCE(""BOM:""&amp;B900,""PRICE"")"),146.85)</f>
        <v>146.85</v>
      </c>
      <c r="F899" s="20">
        <f ca="1">IFERROR(__xludf.DUMMYFUNCTION("GOOGLEFINANCE(""BOM:""&amp;B900,""MARKETCAP"")/10000000"),2302.5166161)</f>
        <v>2302.5166161000002</v>
      </c>
      <c r="G899" s="95">
        <f t="shared" ca="1" si="1573"/>
        <v>5.7150543718469519E-5</v>
      </c>
      <c r="H899" s="101">
        <v>2080</v>
      </c>
      <c r="I899" s="101">
        <v>1995</v>
      </c>
      <c r="J899" s="101">
        <v>76</v>
      </c>
      <c r="K899" s="101">
        <v>-40</v>
      </c>
      <c r="L899" s="101">
        <v>720</v>
      </c>
      <c r="M899" s="101">
        <v>682</v>
      </c>
      <c r="N899" s="101">
        <v>-13</v>
      </c>
      <c r="O899" s="101">
        <v>5</v>
      </c>
      <c r="P899" s="13">
        <f t="shared" ref="P899:Q899" si="1818">J899/H899</f>
        <v>3.653846153846154E-2</v>
      </c>
      <c r="Q899" s="13">
        <f t="shared" si="1818"/>
        <v>-2.0050125313283207E-2</v>
      </c>
      <c r="R899" s="13">
        <f t="shared" si="1552"/>
        <v>5.6588586851744747E-2</v>
      </c>
      <c r="S899" s="13">
        <f t="shared" ref="S899:T899" si="1819">N899/L899</f>
        <v>-1.8055555555555554E-2</v>
      </c>
      <c r="T899" s="13">
        <f t="shared" si="1819"/>
        <v>7.331378299120235E-3</v>
      </c>
      <c r="U899" s="13">
        <f t="shared" si="1554"/>
        <v>-2.5386933854675789E-2</v>
      </c>
      <c r="V899" s="13">
        <f t="shared" si="1555"/>
        <v>4.2606516290726759E-2</v>
      </c>
      <c r="W899" s="13">
        <f t="shared" si="1556"/>
        <v>-2.9</v>
      </c>
      <c r="X899" s="13">
        <f t="shared" si="1557"/>
        <v>5.5718475073313734E-2</v>
      </c>
      <c r="Y899" s="13">
        <f t="shared" si="1558"/>
        <v>-3.6</v>
      </c>
    </row>
    <row r="900" spans="1:25" ht="14.4">
      <c r="A900" s="98" t="s">
        <v>1196</v>
      </c>
      <c r="B900" s="99">
        <v>544161</v>
      </c>
      <c r="C900" s="98" t="s">
        <v>187</v>
      </c>
      <c r="D900" s="101" t="s">
        <v>70</v>
      </c>
      <c r="E900" s="11">
        <f ca="1">IFERROR(__xludf.DUMMYFUNCTION("GOOGLEFINANCE(""BOM:""&amp;B901,""PRICE"")"),1013.5)</f>
        <v>1013.5</v>
      </c>
      <c r="F900" s="20">
        <f ca="1">IFERROR(__xludf.DUMMYFUNCTION("GOOGLEFINANCE(""BOM:""&amp;B901,""MARKETCAP"")/10000000"),2305.8248817)</f>
        <v>2305.8248816999999</v>
      </c>
      <c r="G900" s="95">
        <f t="shared" ca="1" si="1573"/>
        <v>5.7232657861092008E-5</v>
      </c>
      <c r="H900" s="101">
        <v>2731</v>
      </c>
      <c r="I900" s="101">
        <v>2594</v>
      </c>
      <c r="J900" s="101">
        <v>161</v>
      </c>
      <c r="K900" s="101">
        <v>87</v>
      </c>
      <c r="L900" s="101">
        <v>1222</v>
      </c>
      <c r="M900" s="101">
        <v>1085</v>
      </c>
      <c r="N900" s="101">
        <v>73</v>
      </c>
      <c r="O900" s="101">
        <v>37</v>
      </c>
      <c r="P900" s="13">
        <f t="shared" ref="P900:Q900" si="1820">J900/H900</f>
        <v>5.895276455510802E-2</v>
      </c>
      <c r="Q900" s="13">
        <f t="shared" si="1820"/>
        <v>3.3538936006168078E-2</v>
      </c>
      <c r="R900" s="13">
        <f t="shared" si="1552"/>
        <v>2.5413828548939942E-2</v>
      </c>
      <c r="S900" s="13">
        <f t="shared" ref="S900:T900" si="1821">N900/L900</f>
        <v>5.9738134206219311E-2</v>
      </c>
      <c r="T900" s="13">
        <f t="shared" si="1821"/>
        <v>3.4101382488479264E-2</v>
      </c>
      <c r="U900" s="13">
        <f t="shared" si="1554"/>
        <v>2.5636751717740047E-2</v>
      </c>
      <c r="V900" s="13">
        <f t="shared" si="1555"/>
        <v>5.2814186584425604E-2</v>
      </c>
      <c r="W900" s="13">
        <f t="shared" si="1556"/>
        <v>0.85057471264367823</v>
      </c>
      <c r="X900" s="13">
        <f t="shared" si="1557"/>
        <v>0.12626728110599084</v>
      </c>
      <c r="Y900" s="13">
        <f t="shared" si="1558"/>
        <v>0.97297297297297303</v>
      </c>
    </row>
    <row r="901" spans="1:25" ht="14.4">
      <c r="A901" s="98" t="s">
        <v>1197</v>
      </c>
      <c r="B901" s="99">
        <v>526797</v>
      </c>
      <c r="C901" s="98" t="s">
        <v>187</v>
      </c>
      <c r="D901" s="100" t="s">
        <v>624</v>
      </c>
      <c r="E901" s="11">
        <f ca="1">IFERROR(__xludf.DUMMYFUNCTION("GOOGLEFINANCE(""BOM:""&amp;B902,""PRICE"")"),191.4)</f>
        <v>191.4</v>
      </c>
      <c r="F901" s="20">
        <f ca="1">IFERROR(__xludf.DUMMYFUNCTION("GOOGLEFINANCE(""BOM:""&amp;B902,""MARKETCAP"")/10000000"),2392.6226815)</f>
        <v>2392.6226815</v>
      </c>
      <c r="G901" s="95">
        <f t="shared" ca="1" si="1573"/>
        <v>5.9387057711000162E-5</v>
      </c>
      <c r="H901" s="101">
        <v>1962</v>
      </c>
      <c r="I901" s="101">
        <v>1838</v>
      </c>
      <c r="J901" s="101">
        <v>58</v>
      </c>
      <c r="K901" s="101">
        <v>75</v>
      </c>
      <c r="L901" s="101">
        <v>673</v>
      </c>
      <c r="M901" s="101">
        <v>614</v>
      </c>
      <c r="N901" s="101">
        <v>14</v>
      </c>
      <c r="O901" s="101">
        <v>24</v>
      </c>
      <c r="P901" s="13">
        <f t="shared" ref="P901:Q901" si="1822">J901/H901</f>
        <v>2.9561671763506627E-2</v>
      </c>
      <c r="Q901" s="13">
        <f t="shared" si="1822"/>
        <v>4.0805223068552776E-2</v>
      </c>
      <c r="R901" s="13">
        <f t="shared" si="1552"/>
        <v>-1.1243551305046149E-2</v>
      </c>
      <c r="S901" s="13">
        <f t="shared" ref="S901:T901" si="1823">N901/L901</f>
        <v>2.0802377414561663E-2</v>
      </c>
      <c r="T901" s="13">
        <f t="shared" si="1823"/>
        <v>3.9087947882736153E-2</v>
      </c>
      <c r="U901" s="13">
        <f t="shared" si="1554"/>
        <v>-1.828557046817449E-2</v>
      </c>
      <c r="V901" s="13">
        <f t="shared" si="1555"/>
        <v>6.7464635473340584E-2</v>
      </c>
      <c r="W901" s="13">
        <f t="shared" si="1556"/>
        <v>-0.22666666666666668</v>
      </c>
      <c r="X901" s="13">
        <f t="shared" si="1557"/>
        <v>9.6091205211726427E-2</v>
      </c>
      <c r="Y901" s="13">
        <f t="shared" si="1558"/>
        <v>-0.41666666666666663</v>
      </c>
    </row>
    <row r="902" spans="1:25" ht="14.4">
      <c r="A902" s="104" t="s">
        <v>1198</v>
      </c>
      <c r="B902" s="99">
        <v>532967</v>
      </c>
      <c r="C902" s="98" t="s">
        <v>196</v>
      </c>
      <c r="D902" s="100" t="s">
        <v>898</v>
      </c>
      <c r="E902" s="11">
        <f ca="1">IFERROR(__xludf.DUMMYFUNCTION("GOOGLEFINANCE(""BOM:""&amp;B903,""PRICE"")"),381.9)</f>
        <v>381.9</v>
      </c>
      <c r="F902" s="20">
        <f ca="1">IFERROR(__xludf.DUMMYFUNCTION("GOOGLEFINANCE(""BOM:""&amp;B903,""MARKETCAP"")/10000000"),2280.8569)</f>
        <v>2280.8569000000002</v>
      </c>
      <c r="G902" s="95">
        <f t="shared" ca="1" si="1573"/>
        <v>5.6612929986065979E-5</v>
      </c>
      <c r="H902" s="101">
        <v>589</v>
      </c>
      <c r="I902" s="101">
        <v>535</v>
      </c>
      <c r="J902" s="101">
        <v>4880</v>
      </c>
      <c r="K902" s="101">
        <v>-44</v>
      </c>
      <c r="L902" s="101">
        <v>173</v>
      </c>
      <c r="M902" s="101">
        <v>178</v>
      </c>
      <c r="N902" s="101">
        <v>5011</v>
      </c>
      <c r="O902" s="101">
        <v>-13</v>
      </c>
      <c r="P902" s="13">
        <f t="shared" ref="P902:Q902" si="1824">J902/H902</f>
        <v>8.2852292020373515</v>
      </c>
      <c r="Q902" s="13">
        <f t="shared" si="1824"/>
        <v>-8.2242990654205608E-2</v>
      </c>
      <c r="R902" s="13">
        <f t="shared" si="1552"/>
        <v>8.3674721926915563</v>
      </c>
      <c r="S902" s="13">
        <f t="shared" ref="S902:T902" si="1825">N902/L902</f>
        <v>28.965317919075144</v>
      </c>
      <c r="T902" s="13">
        <f t="shared" si="1825"/>
        <v>-7.3033707865168537E-2</v>
      </c>
      <c r="U902" s="13">
        <f t="shared" si="1554"/>
        <v>29.038351626940312</v>
      </c>
      <c r="V902" s="13">
        <f t="shared" si="1555"/>
        <v>0.10093457943925244</v>
      </c>
      <c r="W902" s="13">
        <f t="shared" si="1556"/>
        <v>-111.90909090909091</v>
      </c>
      <c r="X902" s="13">
        <f t="shared" si="1557"/>
        <v>-2.8089887640449396E-2</v>
      </c>
      <c r="Y902" s="13">
        <f t="shared" si="1558"/>
        <v>-386.46153846153845</v>
      </c>
    </row>
    <row r="903" spans="1:25" ht="14.4">
      <c r="A903" s="98" t="s">
        <v>1199</v>
      </c>
      <c r="B903" s="99">
        <v>531719</v>
      </c>
      <c r="C903" s="98" t="s">
        <v>196</v>
      </c>
      <c r="D903" s="100" t="s">
        <v>414</v>
      </c>
      <c r="E903" s="11">
        <f ca="1">IFERROR(__xludf.DUMMYFUNCTION("GOOGLEFINANCE(""BOM:""&amp;B904,""PRICE"")"),210)</f>
        <v>210</v>
      </c>
      <c r="F903" s="20">
        <f ca="1">IFERROR(__xludf.DUMMYFUNCTION("GOOGLEFINANCE(""BOM:""&amp;B904,""MARKETCAP"")/10000000"),2724.9939558)</f>
        <v>2724.9939558000001</v>
      </c>
      <c r="G903" s="95">
        <f t="shared" ca="1" si="1573"/>
        <v>6.7636813178484972E-5</v>
      </c>
      <c r="H903" s="101">
        <v>377</v>
      </c>
      <c r="I903" s="101">
        <v>317</v>
      </c>
      <c r="J903" s="101">
        <v>14</v>
      </c>
      <c r="K903" s="101">
        <v>14</v>
      </c>
      <c r="L903" s="101">
        <v>113</v>
      </c>
      <c r="M903" s="101">
        <v>102</v>
      </c>
      <c r="N903" s="101">
        <v>4</v>
      </c>
      <c r="O903" s="101">
        <v>3</v>
      </c>
      <c r="P903" s="13">
        <f t="shared" ref="P903:Q903" si="1826">J903/H903</f>
        <v>3.7135278514588858E-2</v>
      </c>
      <c r="Q903" s="13">
        <f t="shared" si="1826"/>
        <v>4.4164037854889593E-2</v>
      </c>
      <c r="R903" s="13">
        <f t="shared" si="1552"/>
        <v>-7.0287593403007345E-3</v>
      </c>
      <c r="S903" s="13">
        <f t="shared" ref="S903:T903" si="1827">N903/L903</f>
        <v>3.5398230088495575E-2</v>
      </c>
      <c r="T903" s="13">
        <f t="shared" si="1827"/>
        <v>2.9411764705882353E-2</v>
      </c>
      <c r="U903" s="13">
        <f t="shared" si="1554"/>
        <v>5.9864653826132222E-3</v>
      </c>
      <c r="V903" s="13">
        <f t="shared" si="1555"/>
        <v>0.18927444794952675</v>
      </c>
      <c r="W903" s="13">
        <f t="shared" si="1556"/>
        <v>0</v>
      </c>
      <c r="X903" s="13">
        <f t="shared" si="1557"/>
        <v>0.10784313725490202</v>
      </c>
      <c r="Y903" s="13">
        <f t="shared" si="1558"/>
        <v>0.33333333333333326</v>
      </c>
    </row>
    <row r="904" spans="1:25" ht="14.4">
      <c r="A904" s="98" t="s">
        <v>1200</v>
      </c>
      <c r="B904" s="99">
        <v>524051</v>
      </c>
      <c r="C904" s="98" t="s">
        <v>180</v>
      </c>
      <c r="D904" s="100" t="s">
        <v>895</v>
      </c>
      <c r="E904" s="11">
        <f ca="1">IFERROR(__xludf.DUMMYFUNCTION("GOOGLEFINANCE(""BOM:""&amp;B905,""PRICE"")"),794.9)</f>
        <v>794.9</v>
      </c>
      <c r="F904" s="20">
        <f ca="1">IFERROR(__xludf.DUMMYFUNCTION("GOOGLEFINANCE(""BOM:""&amp;B905,""MARKETCAP"")/10000000"),2499.1528678)</f>
        <v>2499.1528678</v>
      </c>
      <c r="G904" s="95">
        <f t="shared" ca="1" si="1573"/>
        <v>6.203123323047465E-5</v>
      </c>
      <c r="H904" s="101">
        <v>5215</v>
      </c>
      <c r="I904" s="101">
        <v>5145</v>
      </c>
      <c r="J904" s="101">
        <v>3</v>
      </c>
      <c r="K904" s="101">
        <v>366</v>
      </c>
      <c r="L904" s="101">
        <v>1682</v>
      </c>
      <c r="M904" s="101">
        <v>1721</v>
      </c>
      <c r="N904" s="101">
        <v>29</v>
      </c>
      <c r="O904" s="101">
        <v>105</v>
      </c>
      <c r="P904" s="13">
        <f t="shared" ref="P904:Q904" si="1828">J904/H904</f>
        <v>5.7526366251198463E-4</v>
      </c>
      <c r="Q904" s="13">
        <f t="shared" si="1828"/>
        <v>7.113702623906705E-2</v>
      </c>
      <c r="R904" s="13">
        <f t="shared" si="1552"/>
        <v>-7.0561762576555068E-2</v>
      </c>
      <c r="S904" s="13">
        <f t="shared" ref="S904:T904" si="1829">N904/L904</f>
        <v>1.7241379310344827E-2</v>
      </c>
      <c r="T904" s="13">
        <f t="shared" si="1829"/>
        <v>6.1011040092969204E-2</v>
      </c>
      <c r="U904" s="13">
        <f t="shared" si="1554"/>
        <v>-4.3769660782624377E-2</v>
      </c>
      <c r="V904" s="13">
        <f t="shared" si="1555"/>
        <v>1.3605442176870763E-2</v>
      </c>
      <c r="W904" s="13">
        <f t="shared" si="1556"/>
        <v>-0.99180327868852458</v>
      </c>
      <c r="X904" s="13">
        <f t="shared" si="1557"/>
        <v>-2.2661243463102831E-2</v>
      </c>
      <c r="Y904" s="13">
        <f t="shared" si="1558"/>
        <v>-0.72380952380952379</v>
      </c>
    </row>
    <row r="905" spans="1:25" ht="14.4">
      <c r="A905" s="98" t="s">
        <v>1201</v>
      </c>
      <c r="B905" s="99">
        <v>530367</v>
      </c>
      <c r="C905" s="98" t="s">
        <v>187</v>
      </c>
      <c r="D905" s="100" t="s">
        <v>312</v>
      </c>
      <c r="E905" s="11">
        <f ca="1">IFERROR(__xludf.DUMMYFUNCTION("GOOGLEFINANCE(""BOM:""&amp;B906,""PRICE"")"),241.55)</f>
        <v>241.55</v>
      </c>
      <c r="F905" s="20">
        <f ca="1">IFERROR(__xludf.DUMMYFUNCTION("GOOGLEFINANCE(""BOM:""&amp;B906,""MARKETCAP"")/10000000"),2345.236164)</f>
        <v>2345.2361639999999</v>
      </c>
      <c r="G905" s="95">
        <f t="shared" ca="1" si="1573"/>
        <v>5.821088151269899E-5</v>
      </c>
      <c r="H905" s="101">
        <v>963</v>
      </c>
      <c r="I905" s="101">
        <v>869</v>
      </c>
      <c r="J905" s="101">
        <v>103</v>
      </c>
      <c r="K905" s="101">
        <v>83</v>
      </c>
      <c r="L905" s="101">
        <v>327</v>
      </c>
      <c r="M905" s="101">
        <v>276</v>
      </c>
      <c r="N905" s="101">
        <v>29</v>
      </c>
      <c r="O905" s="101">
        <v>22</v>
      </c>
      <c r="P905" s="13">
        <f t="shared" ref="P905:Q905" si="1830">J905/H905</f>
        <v>0.10695742471443406</v>
      </c>
      <c r="Q905" s="13">
        <f t="shared" si="1830"/>
        <v>9.5512082853855013E-2</v>
      </c>
      <c r="R905" s="13">
        <f t="shared" si="1552"/>
        <v>1.144534186057905E-2</v>
      </c>
      <c r="S905" s="13">
        <f t="shared" ref="S905:T905" si="1831">N905/L905</f>
        <v>8.8685015290519878E-2</v>
      </c>
      <c r="T905" s="13">
        <f t="shared" si="1831"/>
        <v>7.9710144927536225E-2</v>
      </c>
      <c r="U905" s="13">
        <f t="shared" si="1554"/>
        <v>8.9748703629836529E-3</v>
      </c>
      <c r="V905" s="13">
        <f t="shared" si="1555"/>
        <v>0.10817031070195626</v>
      </c>
      <c r="W905" s="13">
        <f t="shared" si="1556"/>
        <v>0.24096385542168686</v>
      </c>
      <c r="X905" s="13">
        <f t="shared" si="1557"/>
        <v>0.18478260869565211</v>
      </c>
      <c r="Y905" s="13">
        <f t="shared" si="1558"/>
        <v>0.31818181818181812</v>
      </c>
    </row>
    <row r="906" spans="1:25" ht="14.4">
      <c r="A906" s="104" t="s">
        <v>1202</v>
      </c>
      <c r="B906" s="99">
        <v>500219</v>
      </c>
      <c r="C906" s="98" t="s">
        <v>180</v>
      </c>
      <c r="D906" s="108" t="s">
        <v>420</v>
      </c>
      <c r="E906" s="11">
        <f ca="1">IFERROR(__xludf.DUMMYFUNCTION("GOOGLEFINANCE(""BOM:""&amp;B907,""PRICE"")"),29.69)</f>
        <v>29.69</v>
      </c>
      <c r="F906" s="20">
        <f ca="1">IFERROR(__xludf.DUMMYFUNCTION("GOOGLEFINANCE(""BOM:""&amp;B907,""MARKETCAP"")/10000000"),2158.3095415)</f>
        <v>2158.3095414999998</v>
      </c>
      <c r="G906" s="95">
        <f t="shared" ca="1" si="1573"/>
        <v>5.3571193774233556E-5</v>
      </c>
      <c r="H906" s="101">
        <v>4575</v>
      </c>
      <c r="I906" s="101">
        <v>4030</v>
      </c>
      <c r="J906" s="101">
        <v>-20</v>
      </c>
      <c r="K906" s="101">
        <v>-2</v>
      </c>
      <c r="L906" s="101">
        <v>1597</v>
      </c>
      <c r="M906" s="101">
        <v>1360</v>
      </c>
      <c r="N906" s="101">
        <v>-47</v>
      </c>
      <c r="O906" s="101">
        <v>-1</v>
      </c>
      <c r="P906" s="13">
        <f t="shared" ref="P906:Q906" si="1832">J906/H906</f>
        <v>-4.3715846994535519E-3</v>
      </c>
      <c r="Q906" s="13">
        <f t="shared" si="1832"/>
        <v>-4.9627791563275434E-4</v>
      </c>
      <c r="R906" s="13">
        <f t="shared" si="1552"/>
        <v>-3.8753067838207976E-3</v>
      </c>
      <c r="S906" s="13">
        <f t="shared" ref="S906:T906" si="1833">N906/L906</f>
        <v>-2.9430181590482152E-2</v>
      </c>
      <c r="T906" s="13">
        <f t="shared" si="1833"/>
        <v>-7.3529411764705881E-4</v>
      </c>
      <c r="U906" s="13">
        <f t="shared" si="1554"/>
        <v>-2.8694887472835093E-2</v>
      </c>
      <c r="V906" s="13">
        <f t="shared" si="1555"/>
        <v>0.13523573200992556</v>
      </c>
      <c r="W906" s="13">
        <f t="shared" si="1556"/>
        <v>9</v>
      </c>
      <c r="X906" s="13">
        <f t="shared" si="1557"/>
        <v>0.17426470588235299</v>
      </c>
      <c r="Y906" s="13">
        <f t="shared" si="1558"/>
        <v>46</v>
      </c>
    </row>
    <row r="907" spans="1:25" ht="14.4">
      <c r="A907" s="98" t="s">
        <v>1203</v>
      </c>
      <c r="B907" s="99">
        <v>500330</v>
      </c>
      <c r="C907" s="98" t="s">
        <v>187</v>
      </c>
      <c r="D907" s="70" t="s">
        <v>131</v>
      </c>
      <c r="E907" s="11">
        <f ca="1">IFERROR(__xludf.DUMMYFUNCTION("GOOGLEFINANCE(""BOM:""&amp;B908,""PRICE"")"),349.8)</f>
        <v>349.8</v>
      </c>
      <c r="F907" s="20">
        <f ca="1">IFERROR(__xludf.DUMMYFUNCTION("GOOGLEFINANCE(""BOM:""&amp;B908,""MARKETCAP"")/10000000"),2326.3577614)</f>
        <v>2326.3577614000001</v>
      </c>
      <c r="G907" s="95">
        <f t="shared" ca="1" si="1573"/>
        <v>5.7742302495469744E-5</v>
      </c>
      <c r="H907" s="101">
        <v>1609</v>
      </c>
      <c r="I907" s="101">
        <v>1389</v>
      </c>
      <c r="J907" s="101">
        <v>41</v>
      </c>
      <c r="K907" s="101">
        <v>27</v>
      </c>
      <c r="L907" s="101">
        <v>557</v>
      </c>
      <c r="M907" s="101">
        <v>466</v>
      </c>
      <c r="N907" s="101">
        <v>7</v>
      </c>
      <c r="O907" s="101">
        <v>3</v>
      </c>
      <c r="P907" s="13">
        <f t="shared" ref="P907:Q907" si="1834">J907/H907</f>
        <v>2.54816656308266E-2</v>
      </c>
      <c r="Q907" s="13">
        <f t="shared" si="1834"/>
        <v>1.9438444924406047E-2</v>
      </c>
      <c r="R907" s="13">
        <f t="shared" si="1552"/>
        <v>6.0432207064205525E-3</v>
      </c>
      <c r="S907" s="13">
        <f t="shared" ref="S907:T907" si="1835">N907/L907</f>
        <v>1.2567324955116697E-2</v>
      </c>
      <c r="T907" s="13">
        <f t="shared" si="1835"/>
        <v>6.4377682403433476E-3</v>
      </c>
      <c r="U907" s="13">
        <f t="shared" si="1554"/>
        <v>6.1295567147733494E-3</v>
      </c>
      <c r="V907" s="13">
        <f t="shared" si="1555"/>
        <v>0.1583873290136788</v>
      </c>
      <c r="W907" s="13">
        <f t="shared" si="1556"/>
        <v>0.5185185185185186</v>
      </c>
      <c r="X907" s="13">
        <f t="shared" si="1557"/>
        <v>0.19527896995708161</v>
      </c>
      <c r="Y907" s="13">
        <f t="shared" si="1558"/>
        <v>1.3333333333333335</v>
      </c>
    </row>
    <row r="908" spans="1:25" ht="14.4">
      <c r="A908" s="98" t="s">
        <v>1204</v>
      </c>
      <c r="B908" s="99">
        <v>522101</v>
      </c>
      <c r="C908" s="98" t="s">
        <v>180</v>
      </c>
      <c r="D908" s="100" t="s">
        <v>514</v>
      </c>
      <c r="E908" s="11">
        <f ca="1">IFERROR(__xludf.DUMMYFUNCTION("GOOGLEFINANCE(""BOM:""&amp;B909,""PRICE"")"),479.8)</f>
        <v>479.8</v>
      </c>
      <c r="F908" s="20">
        <f ca="1">IFERROR(__xludf.DUMMYFUNCTION("GOOGLEFINANCE(""BOM:""&amp;B909,""MARKETCAP"")/10000000"),2541.1569985)</f>
        <v>2541.1569985000001</v>
      </c>
      <c r="G908" s="95">
        <f t="shared" ca="1" si="1573"/>
        <v>6.3073813723115227E-5</v>
      </c>
      <c r="H908" s="101">
        <v>439</v>
      </c>
      <c r="I908" s="101">
        <v>297</v>
      </c>
      <c r="J908" s="101">
        <v>71</v>
      </c>
      <c r="K908" s="101">
        <v>41</v>
      </c>
      <c r="L908" s="101">
        <v>156</v>
      </c>
      <c r="M908" s="101">
        <v>108</v>
      </c>
      <c r="N908" s="101">
        <v>23</v>
      </c>
      <c r="O908" s="101">
        <v>15</v>
      </c>
      <c r="P908" s="13">
        <f t="shared" ref="P908:Q908" si="1836">J908/H908</f>
        <v>0.16173120728929385</v>
      </c>
      <c r="Q908" s="13">
        <f t="shared" si="1836"/>
        <v>0.13804713804713806</v>
      </c>
      <c r="R908" s="13">
        <f t="shared" si="1552"/>
        <v>2.3684069242155797E-2</v>
      </c>
      <c r="S908" s="13">
        <f t="shared" ref="S908:T908" si="1837">N908/L908</f>
        <v>0.14743589743589744</v>
      </c>
      <c r="T908" s="13">
        <f t="shared" si="1837"/>
        <v>0.1388888888888889</v>
      </c>
      <c r="U908" s="13">
        <f t="shared" si="1554"/>
        <v>8.5470085470085444E-3</v>
      </c>
      <c r="V908" s="13">
        <f t="shared" si="1555"/>
        <v>0.47811447811447816</v>
      </c>
      <c r="W908" s="13">
        <f t="shared" si="1556"/>
        <v>0.73170731707317072</v>
      </c>
      <c r="X908" s="13">
        <f t="shared" si="1557"/>
        <v>0.44444444444444442</v>
      </c>
      <c r="Y908" s="13">
        <f t="shared" si="1558"/>
        <v>0.53333333333333344</v>
      </c>
    </row>
    <row r="909" spans="1:25" ht="14.4">
      <c r="A909" s="98" t="s">
        <v>1205</v>
      </c>
      <c r="B909" s="99">
        <v>539889</v>
      </c>
      <c r="C909" s="98" t="s">
        <v>183</v>
      </c>
      <c r="D909" s="100" t="s">
        <v>569</v>
      </c>
      <c r="E909" s="11">
        <f ca="1">IFERROR(__xludf.DUMMYFUNCTION("GOOGLEFINANCE(""BOM:""&amp;B910,""PRICE"")"),192.3)</f>
        <v>192.3</v>
      </c>
      <c r="F909" s="20">
        <f ca="1">IFERROR(__xludf.DUMMYFUNCTION("GOOGLEFINANCE(""BOM:""&amp;B910,""MARKETCAP"")/10000000"),2399.9712)</f>
        <v>2399.9712</v>
      </c>
      <c r="G909" s="95">
        <f t="shared" ca="1" si="1573"/>
        <v>5.9569454582694226E-5</v>
      </c>
      <c r="H909" s="101">
        <v>2872</v>
      </c>
      <c r="I909" s="101">
        <v>2514</v>
      </c>
      <c r="J909" s="101">
        <v>103</v>
      </c>
      <c r="K909" s="101">
        <v>93</v>
      </c>
      <c r="L909" s="101">
        <v>1013</v>
      </c>
      <c r="M909" s="101">
        <v>885</v>
      </c>
      <c r="N909" s="101">
        <v>30</v>
      </c>
      <c r="O909" s="101">
        <v>36</v>
      </c>
      <c r="P909" s="13">
        <f t="shared" ref="P909:Q909" si="1838">J909/H909</f>
        <v>3.5863509749303621E-2</v>
      </c>
      <c r="Q909" s="13">
        <f t="shared" si="1838"/>
        <v>3.6992840095465392E-2</v>
      </c>
      <c r="R909" s="13">
        <f t="shared" si="1552"/>
        <v>-1.1293303461617707E-3</v>
      </c>
      <c r="S909" s="13">
        <f t="shared" ref="S909:T909" si="1839">N909/L909</f>
        <v>2.9615004935834157E-2</v>
      </c>
      <c r="T909" s="13">
        <f t="shared" si="1839"/>
        <v>4.0677966101694912E-2</v>
      </c>
      <c r="U909" s="13">
        <f t="shared" si="1554"/>
        <v>-1.1062961165860755E-2</v>
      </c>
      <c r="V909" s="13">
        <f t="shared" si="1555"/>
        <v>0.14240254574383449</v>
      </c>
      <c r="W909" s="13">
        <f t="shared" si="1556"/>
        <v>0.10752688172043001</v>
      </c>
      <c r="X909" s="13">
        <f t="shared" si="1557"/>
        <v>0.14463276836158201</v>
      </c>
      <c r="Y909" s="13">
        <f t="shared" si="1558"/>
        <v>-0.16666666666666663</v>
      </c>
    </row>
    <row r="910" spans="1:25" ht="14.4">
      <c r="A910" s="98" t="s">
        <v>1206</v>
      </c>
      <c r="B910" s="99">
        <v>544111</v>
      </c>
      <c r="C910" s="98" t="s">
        <v>187</v>
      </c>
      <c r="D910" s="100" t="s">
        <v>78</v>
      </c>
      <c r="E910" s="11">
        <f ca="1">IFERROR(__xludf.DUMMYFUNCTION("GOOGLEFINANCE(""BOM:""&amp;B911,""PRICE"")"),109.42)</f>
        <v>109.42</v>
      </c>
      <c r="F910" s="20">
        <f ca="1">IFERROR(__xludf.DUMMYFUNCTION("GOOGLEFINANCE(""BOM:""&amp;B911,""MARKETCAP"")/10000000"),2334.5227115)</f>
        <v>2334.5227114999998</v>
      </c>
      <c r="G910" s="95">
        <f t="shared" ca="1" si="1573"/>
        <v>5.7944963937470337E-5</v>
      </c>
      <c r="H910" s="101">
        <v>524</v>
      </c>
      <c r="I910" s="101">
        <v>454</v>
      </c>
      <c r="J910" s="101">
        <v>54</v>
      </c>
      <c r="K910" s="101">
        <v>57</v>
      </c>
      <c r="L910" s="101">
        <v>201</v>
      </c>
      <c r="M910" s="101">
        <v>179</v>
      </c>
      <c r="N910" s="101">
        <v>24</v>
      </c>
      <c r="O910" s="101">
        <v>32</v>
      </c>
      <c r="P910" s="13">
        <f t="shared" ref="P910:Q910" si="1840">J910/H910</f>
        <v>0.10305343511450382</v>
      </c>
      <c r="Q910" s="13">
        <f t="shared" si="1840"/>
        <v>0.12555066079295155</v>
      </c>
      <c r="R910" s="13">
        <f t="shared" si="1552"/>
        <v>-2.2497225678447724E-2</v>
      </c>
      <c r="S910" s="13">
        <f t="shared" ref="S910:T910" si="1841">N910/L910</f>
        <v>0.11940298507462686</v>
      </c>
      <c r="T910" s="13">
        <f t="shared" si="1841"/>
        <v>0.1787709497206704</v>
      </c>
      <c r="U910" s="13">
        <f t="shared" si="1554"/>
        <v>-5.9367964646043533E-2</v>
      </c>
      <c r="V910" s="13">
        <f t="shared" si="1555"/>
        <v>0.15418502202643181</v>
      </c>
      <c r="W910" s="13">
        <f t="shared" si="1556"/>
        <v>-5.2631578947368474E-2</v>
      </c>
      <c r="X910" s="13">
        <f t="shared" si="1557"/>
        <v>0.12290502793296088</v>
      </c>
      <c r="Y910" s="13">
        <f t="shared" si="1558"/>
        <v>-0.25</v>
      </c>
    </row>
    <row r="911" spans="1:25" ht="14.4">
      <c r="A911" s="98" t="s">
        <v>1207</v>
      </c>
      <c r="B911" s="99">
        <v>543686</v>
      </c>
      <c r="C911" s="98" t="s">
        <v>187</v>
      </c>
      <c r="D911" s="70" t="s">
        <v>102</v>
      </c>
      <c r="E911" s="11">
        <f ca="1">IFERROR(__xludf.DUMMYFUNCTION("GOOGLEFINANCE(""BOM:""&amp;B912,""PRICE"")"),410)</f>
        <v>410</v>
      </c>
      <c r="F911" s="20">
        <f ca="1">IFERROR(__xludf.DUMMYFUNCTION("GOOGLEFINANCE(""BOM:""&amp;B912,""MARKETCAP"")/10000000"),2330.2081043)</f>
        <v>2330.2081042999998</v>
      </c>
      <c r="G911" s="95">
        <f t="shared" ca="1" si="1573"/>
        <v>5.7837871486676527E-5</v>
      </c>
      <c r="H911" s="101">
        <v>358</v>
      </c>
      <c r="I911" s="101">
        <v>272</v>
      </c>
      <c r="J911" s="101">
        <v>47</v>
      </c>
      <c r="K911" s="101">
        <v>34</v>
      </c>
      <c r="L911" s="101">
        <v>112</v>
      </c>
      <c r="M911" s="101">
        <v>88</v>
      </c>
      <c r="N911" s="101">
        <v>15</v>
      </c>
      <c r="O911" s="101">
        <v>11</v>
      </c>
      <c r="P911" s="13">
        <f t="shared" ref="P911:Q911" si="1842">J911/H911</f>
        <v>0.13128491620111732</v>
      </c>
      <c r="Q911" s="13">
        <f t="shared" si="1842"/>
        <v>0.125</v>
      </c>
      <c r="R911" s="13">
        <f t="shared" si="1552"/>
        <v>6.2849162011173187E-3</v>
      </c>
      <c r="S911" s="13">
        <f t="shared" ref="S911:T911" si="1843">N911/L911</f>
        <v>0.13392857142857142</v>
      </c>
      <c r="T911" s="13">
        <f t="shared" si="1843"/>
        <v>0.125</v>
      </c>
      <c r="U911" s="13">
        <f t="shared" si="1554"/>
        <v>8.9285714285714246E-3</v>
      </c>
      <c r="V911" s="13">
        <f t="shared" si="1555"/>
        <v>0.31617647058823528</v>
      </c>
      <c r="W911" s="13">
        <f t="shared" si="1556"/>
        <v>0.38235294117647056</v>
      </c>
      <c r="X911" s="13">
        <f t="shared" si="1557"/>
        <v>0.27272727272727271</v>
      </c>
      <c r="Y911" s="13">
        <f t="shared" si="1558"/>
        <v>0.36363636363636354</v>
      </c>
    </row>
    <row r="912" spans="1:25" ht="14.4">
      <c r="A912" s="98" t="s">
        <v>1208</v>
      </c>
      <c r="B912" s="99">
        <v>513349</v>
      </c>
      <c r="C912" s="98" t="s">
        <v>187</v>
      </c>
      <c r="D912" s="70" t="s">
        <v>131</v>
      </c>
      <c r="E912" s="11">
        <f ca="1">IFERROR(__xludf.DUMMYFUNCTION("GOOGLEFINANCE(""BOM:""&amp;B913,""PRICE"")"),114.81)</f>
        <v>114.81</v>
      </c>
      <c r="F912" s="20">
        <f ca="1">IFERROR(__xludf.DUMMYFUNCTION("GOOGLEFINANCE(""BOM:""&amp;B913,""MARKETCAP"")/10000000"),2260.0005983)</f>
        <v>2260.0005983000001</v>
      </c>
      <c r="G912" s="95">
        <f t="shared" ca="1" si="1573"/>
        <v>5.6095257725298382E-5</v>
      </c>
      <c r="H912" s="101">
        <v>664</v>
      </c>
      <c r="I912" s="101">
        <v>599</v>
      </c>
      <c r="J912" s="101">
        <v>94</v>
      </c>
      <c r="K912" s="101">
        <v>100</v>
      </c>
      <c r="L912" s="101">
        <v>183</v>
      </c>
      <c r="M912" s="101">
        <v>199</v>
      </c>
      <c r="N912" s="101">
        <v>25</v>
      </c>
      <c r="O912" s="101">
        <v>33</v>
      </c>
      <c r="P912" s="13">
        <f t="shared" ref="P912:Q912" si="1844">J912/H912</f>
        <v>0.14156626506024098</v>
      </c>
      <c r="Q912" s="13">
        <f t="shared" si="1844"/>
        <v>0.1669449081803005</v>
      </c>
      <c r="R912" s="13">
        <f t="shared" si="1552"/>
        <v>-2.5378643120059524E-2</v>
      </c>
      <c r="S912" s="13">
        <f t="shared" ref="S912:T912" si="1845">N912/L912</f>
        <v>0.13661202185792351</v>
      </c>
      <c r="T912" s="13">
        <f t="shared" si="1845"/>
        <v>0.16582914572864321</v>
      </c>
      <c r="U912" s="13">
        <f t="shared" si="1554"/>
        <v>-2.9217123870719702E-2</v>
      </c>
      <c r="V912" s="13">
        <f t="shared" si="1555"/>
        <v>0.10851419031719534</v>
      </c>
      <c r="W912" s="13">
        <f t="shared" si="1556"/>
        <v>-6.0000000000000053E-2</v>
      </c>
      <c r="X912" s="13">
        <f t="shared" si="1557"/>
        <v>-8.0402010050251271E-2</v>
      </c>
      <c r="Y912" s="13">
        <f t="shared" si="1558"/>
        <v>-0.24242424242424243</v>
      </c>
    </row>
    <row r="913" spans="1:25" ht="14.4">
      <c r="A913" s="98" t="s">
        <v>1209</v>
      </c>
      <c r="B913" s="99">
        <v>544402</v>
      </c>
      <c r="C913" s="98" t="s">
        <v>180</v>
      </c>
      <c r="D913" s="108" t="s">
        <v>514</v>
      </c>
      <c r="E913" s="11">
        <f ca="1">IFERROR(__xludf.DUMMYFUNCTION("GOOGLEFINANCE(""BOM:""&amp;B915,""PRICE"")"),374.2)</f>
        <v>374.2</v>
      </c>
      <c r="F913" s="20">
        <f ca="1">IFERROR(__xludf.DUMMYFUNCTION("GOOGLEFINANCE(""BOM:""&amp;B915,""MARKETCAP"")/10000000"),2359.3375747)</f>
        <v>2359.3375747</v>
      </c>
      <c r="G913" s="95">
        <f t="shared" ca="1" si="1573"/>
        <v>5.856089127291844E-5</v>
      </c>
      <c r="H913" s="101">
        <v>445</v>
      </c>
      <c r="I913" s="101">
        <v>434</v>
      </c>
      <c r="J913" s="101">
        <v>18</v>
      </c>
      <c r="K913" s="101">
        <v>51</v>
      </c>
      <c r="L913" s="101">
        <v>160</v>
      </c>
      <c r="M913" s="101">
        <v>180</v>
      </c>
      <c r="N913" s="101">
        <v>13</v>
      </c>
      <c r="O913" s="101">
        <v>34</v>
      </c>
      <c r="P913" s="13">
        <f t="shared" ref="P913:Q913" si="1846">J913/H913</f>
        <v>4.0449438202247189E-2</v>
      </c>
      <c r="Q913" s="13">
        <f t="shared" si="1846"/>
        <v>0.11751152073732719</v>
      </c>
      <c r="R913" s="13">
        <f t="shared" si="1552"/>
        <v>-7.7062082535080012E-2</v>
      </c>
      <c r="S913" s="13">
        <f t="shared" ref="S913:T913" si="1847">N913/L913</f>
        <v>8.1250000000000003E-2</v>
      </c>
      <c r="T913" s="13">
        <f t="shared" si="1847"/>
        <v>0.18888888888888888</v>
      </c>
      <c r="U913" s="13">
        <f t="shared" si="1554"/>
        <v>-0.10763888888888888</v>
      </c>
      <c r="V913" s="13">
        <f t="shared" si="1555"/>
        <v>2.5345622119815614E-2</v>
      </c>
      <c r="W913" s="13">
        <f t="shared" si="1556"/>
        <v>-0.64705882352941169</v>
      </c>
      <c r="X913" s="13">
        <f t="shared" si="1557"/>
        <v>-0.11111111111111116</v>
      </c>
      <c r="Y913" s="13">
        <f t="shared" si="1558"/>
        <v>-0.61764705882352944</v>
      </c>
    </row>
    <row r="914" spans="1:25" ht="14.4">
      <c r="A914" s="98" t="s">
        <v>1210</v>
      </c>
      <c r="B914" s="99">
        <v>531120</v>
      </c>
      <c r="C914" s="98" t="s">
        <v>180</v>
      </c>
      <c r="D914" s="100" t="s">
        <v>181</v>
      </c>
      <c r="E914" s="11">
        <f ca="1">IFERROR(__xludf.DUMMYFUNCTION("GOOGLEFINANCE(""BOM:""&amp;B916,""PRICE"")"),24.93)</f>
        <v>24.93</v>
      </c>
      <c r="F914" s="20">
        <f ca="1">IFERROR(__xludf.DUMMYFUNCTION("GOOGLEFINANCE(""BOM:""&amp;B916,""MARKETCAP"")/10000000"),2376.3498486)</f>
        <v>2376.3498485999999</v>
      </c>
      <c r="G914" s="95">
        <f t="shared" ca="1" si="1573"/>
        <v>5.8983151288969627E-5</v>
      </c>
      <c r="H914" s="101">
        <v>3681</v>
      </c>
      <c r="I914" s="101">
        <v>3481</v>
      </c>
      <c r="J914" s="101">
        <v>238</v>
      </c>
      <c r="K914" s="101">
        <v>201</v>
      </c>
      <c r="L914" s="101">
        <v>1239</v>
      </c>
      <c r="M914" s="101">
        <v>1205</v>
      </c>
      <c r="N914" s="101">
        <v>93</v>
      </c>
      <c r="O914" s="101">
        <v>80</v>
      </c>
      <c r="P914" s="13">
        <f t="shared" ref="P914:Q914" si="1848">J914/H914</f>
        <v>6.4656343384949744E-2</v>
      </c>
      <c r="Q914" s="13">
        <f t="shared" si="1848"/>
        <v>5.7742028152829646E-2</v>
      </c>
      <c r="R914" s="13">
        <f t="shared" si="1552"/>
        <v>6.9143152321200982E-3</v>
      </c>
      <c r="S914" s="13">
        <f t="shared" ref="S914:T914" si="1849">N914/L914</f>
        <v>7.5060532687651338E-2</v>
      </c>
      <c r="T914" s="13">
        <f t="shared" si="1849"/>
        <v>6.6390041493775934E-2</v>
      </c>
      <c r="U914" s="13">
        <f t="shared" si="1554"/>
        <v>8.6704911938754042E-3</v>
      </c>
      <c r="V914" s="13">
        <f t="shared" si="1555"/>
        <v>5.7454754380924955E-2</v>
      </c>
      <c r="W914" s="13">
        <f t="shared" si="1556"/>
        <v>0.18407960199004969</v>
      </c>
      <c r="X914" s="13">
        <f t="shared" si="1557"/>
        <v>2.8215767634854672E-2</v>
      </c>
      <c r="Y914" s="13">
        <f t="shared" si="1558"/>
        <v>0.16250000000000009</v>
      </c>
    </row>
    <row r="915" spans="1:25" ht="14.4">
      <c r="A915" s="98" t="s">
        <v>1211</v>
      </c>
      <c r="B915" s="99">
        <v>513097</v>
      </c>
      <c r="C915" s="98" t="s">
        <v>180</v>
      </c>
      <c r="D915" s="100" t="s">
        <v>384</v>
      </c>
      <c r="E915" s="11">
        <f ca="1">IFERROR(__xludf.DUMMYFUNCTION("GOOGLEFINANCE(""BOM:""&amp;B917,""PRICE"")"),418.35)</f>
        <v>418.35</v>
      </c>
      <c r="F915" s="20">
        <f ca="1">IFERROR(__xludf.DUMMYFUNCTION("GOOGLEFINANCE(""BOM:""&amp;B917,""MARKETCAP"")/10000000"),2404.8875201)</f>
        <v>2404.8875201000001</v>
      </c>
      <c r="G915" s="95">
        <f t="shared" ca="1" si="1573"/>
        <v>5.9691482091570557E-5</v>
      </c>
      <c r="H915" s="101">
        <v>408</v>
      </c>
      <c r="I915" s="101">
        <v>375</v>
      </c>
      <c r="J915" s="101">
        <v>69</v>
      </c>
      <c r="K915" s="101">
        <v>56</v>
      </c>
      <c r="L915" s="101">
        <v>134</v>
      </c>
      <c r="M915" s="101">
        <v>123</v>
      </c>
      <c r="N915" s="101">
        <v>22</v>
      </c>
      <c r="O915" s="101">
        <v>18</v>
      </c>
      <c r="P915" s="13">
        <f t="shared" ref="P915:Q915" si="1850">J915/H915</f>
        <v>0.16911764705882354</v>
      </c>
      <c r="Q915" s="13">
        <f t="shared" si="1850"/>
        <v>0.14933333333333335</v>
      </c>
      <c r="R915" s="13">
        <f t="shared" si="1552"/>
        <v>1.9784313725490194E-2</v>
      </c>
      <c r="S915" s="13">
        <f t="shared" ref="S915:T915" si="1851">N915/L915</f>
        <v>0.16417910447761194</v>
      </c>
      <c r="T915" s="13">
        <f t="shared" si="1851"/>
        <v>0.14634146341463414</v>
      </c>
      <c r="U915" s="13">
        <f t="shared" si="1554"/>
        <v>1.7837641062977805E-2</v>
      </c>
      <c r="V915" s="13">
        <f t="shared" si="1555"/>
        <v>8.8000000000000078E-2</v>
      </c>
      <c r="W915" s="13">
        <f t="shared" si="1556"/>
        <v>0.23214285714285721</v>
      </c>
      <c r="X915" s="13">
        <f t="shared" si="1557"/>
        <v>8.9430894308943021E-2</v>
      </c>
      <c r="Y915" s="13">
        <f t="shared" si="1558"/>
        <v>0.22222222222222232</v>
      </c>
    </row>
    <row r="916" spans="1:25" ht="14.4">
      <c r="A916" s="98" t="s">
        <v>1212</v>
      </c>
      <c r="B916" s="99">
        <v>533104</v>
      </c>
      <c r="C916" s="98" t="s">
        <v>183</v>
      </c>
      <c r="D916" s="70" t="s">
        <v>317</v>
      </c>
      <c r="E916" s="11">
        <f ca="1">IFERROR(__xludf.DUMMYFUNCTION("GOOGLEFINANCE(""BOM:""&amp;B918,""PRICE"")"),880)</f>
        <v>880</v>
      </c>
      <c r="F916" s="20">
        <f ca="1">IFERROR(__xludf.DUMMYFUNCTION("GOOGLEFINANCE(""BOM:""&amp;B918,""MARKETCAP"")/10000000"),2566.5564466)</f>
        <v>2566.5564466000001</v>
      </c>
      <c r="G916" s="95">
        <f t="shared" ca="1" si="1573"/>
        <v>6.370425098420339E-5</v>
      </c>
      <c r="H916" s="101">
        <v>2761</v>
      </c>
      <c r="I916" s="101">
        <v>2643</v>
      </c>
      <c r="J916" s="101">
        <v>69</v>
      </c>
      <c r="K916" s="101">
        <v>17</v>
      </c>
      <c r="L916" s="101">
        <v>938</v>
      </c>
      <c r="M916" s="101">
        <v>882</v>
      </c>
      <c r="N916" s="101">
        <v>30</v>
      </c>
      <c r="O916" s="101">
        <v>0.72</v>
      </c>
      <c r="P916" s="13">
        <f t="shared" ref="P916:Q916" si="1852">J916/H916</f>
        <v>2.4990945309670408E-2</v>
      </c>
      <c r="Q916" s="13">
        <f t="shared" si="1852"/>
        <v>6.4320847521755582E-3</v>
      </c>
      <c r="R916" s="13">
        <f t="shared" si="1552"/>
        <v>1.8558860557494849E-2</v>
      </c>
      <c r="S916" s="13">
        <f t="shared" ref="S916:T916" si="1853">N916/L916</f>
        <v>3.1982942430703626E-2</v>
      </c>
      <c r="T916" s="13">
        <f t="shared" si="1853"/>
        <v>8.1632653061224482E-4</v>
      </c>
      <c r="U916" s="13">
        <f t="shared" si="1554"/>
        <v>3.1166615900091382E-2</v>
      </c>
      <c r="V916" s="13">
        <f t="shared" si="1555"/>
        <v>4.4646235338630325E-2</v>
      </c>
      <c r="W916" s="13">
        <f t="shared" si="1556"/>
        <v>3.0588235294117645</v>
      </c>
      <c r="X916" s="13">
        <f t="shared" si="1557"/>
        <v>6.3492063492063489E-2</v>
      </c>
      <c r="Y916" s="13">
        <f t="shared" si="1558"/>
        <v>40.666666666666671</v>
      </c>
    </row>
    <row r="917" spans="1:25" ht="14.4">
      <c r="A917" s="98" t="s">
        <v>1213</v>
      </c>
      <c r="B917" s="99">
        <v>524667</v>
      </c>
      <c r="C917" s="98" t="s">
        <v>91</v>
      </c>
      <c r="D917" s="100" t="s">
        <v>589</v>
      </c>
      <c r="E917" s="11">
        <f ca="1">IFERROR(__xludf.DUMMYFUNCTION("GOOGLEFINANCE(""BOM:""&amp;B919,""PRICE"")"),323)</f>
        <v>323</v>
      </c>
      <c r="F917" s="20">
        <f ca="1">IFERROR(__xludf.DUMMYFUNCTION("GOOGLEFINANCE(""BOM:""&amp;B919,""MARKETCAP"")/10000000"),2203.29605)</f>
        <v>2203.2960499999999</v>
      </c>
      <c r="G917" s="95">
        <f t="shared" ca="1" si="1573"/>
        <v>5.4687799579721864E-5</v>
      </c>
      <c r="H917" s="101">
        <v>3112</v>
      </c>
      <c r="I917" s="101">
        <v>2787</v>
      </c>
      <c r="J917" s="101">
        <v>134</v>
      </c>
      <c r="K917" s="101">
        <v>83</v>
      </c>
      <c r="L917" s="101">
        <v>1063</v>
      </c>
      <c r="M917" s="101">
        <v>939</v>
      </c>
      <c r="N917" s="101">
        <v>37</v>
      </c>
      <c r="O917" s="101">
        <v>12</v>
      </c>
      <c r="P917" s="13">
        <f t="shared" ref="P917:Q917" si="1854">J917/H917</f>
        <v>4.3059125964010285E-2</v>
      </c>
      <c r="Q917" s="13">
        <f t="shared" si="1854"/>
        <v>2.9781126659490492E-2</v>
      </c>
      <c r="R917" s="13">
        <f t="shared" si="1552"/>
        <v>1.3277999304519793E-2</v>
      </c>
      <c r="S917" s="13">
        <f t="shared" ref="S917:T917" si="1855">N917/L917</f>
        <v>3.4807149576669805E-2</v>
      </c>
      <c r="T917" s="13">
        <f t="shared" si="1855"/>
        <v>1.2779552715654952E-2</v>
      </c>
      <c r="U917" s="13">
        <f t="shared" si="1554"/>
        <v>2.2027596861014853E-2</v>
      </c>
      <c r="V917" s="13">
        <f t="shared" si="1555"/>
        <v>0.11661284535342653</v>
      </c>
      <c r="W917" s="13">
        <f t="shared" si="1556"/>
        <v>0.6144578313253013</v>
      </c>
      <c r="X917" s="13">
        <f t="shared" si="1557"/>
        <v>0.13205537806176793</v>
      </c>
      <c r="Y917" s="13">
        <f t="shared" si="1558"/>
        <v>2.0833333333333335</v>
      </c>
    </row>
    <row r="918" spans="1:25" ht="14.4">
      <c r="A918" s="98" t="s">
        <v>1214</v>
      </c>
      <c r="B918" s="99">
        <v>504341</v>
      </c>
      <c r="C918" s="98" t="s">
        <v>180</v>
      </c>
      <c r="D918" s="100" t="s">
        <v>344</v>
      </c>
      <c r="E918" s="11">
        <f ca="1">IFERROR(__xludf.DUMMYFUNCTION("GOOGLEFINANCE(""BOM:""&amp;B920,""PRICE"")"),133.35)</f>
        <v>133.35</v>
      </c>
      <c r="F918" s="20">
        <f ca="1">IFERROR(__xludf.DUMMYFUNCTION("GOOGLEFINANCE(""BOM:""&amp;B920,""MARKETCAP"")/10000000"),2385.4420059)</f>
        <v>2385.4420058999999</v>
      </c>
      <c r="G918" s="95">
        <f t="shared" ca="1" si="1573"/>
        <v>5.920882685180183E-5</v>
      </c>
      <c r="H918" s="101">
        <v>423</v>
      </c>
      <c r="I918" s="101">
        <v>97</v>
      </c>
      <c r="J918" s="101">
        <v>68</v>
      </c>
      <c r="K918" s="101">
        <v>8</v>
      </c>
      <c r="L918" s="101">
        <v>131</v>
      </c>
      <c r="M918" s="101">
        <v>122</v>
      </c>
      <c r="N918" s="101">
        <v>14</v>
      </c>
      <c r="O918" s="101">
        <v>30</v>
      </c>
      <c r="P918" s="13">
        <f t="shared" ref="P918:Q918" si="1856">J918/H918</f>
        <v>0.16075650118203311</v>
      </c>
      <c r="Q918" s="13">
        <f t="shared" si="1856"/>
        <v>8.247422680412371E-2</v>
      </c>
      <c r="R918" s="13">
        <f t="shared" si="1552"/>
        <v>7.8282274377909397E-2</v>
      </c>
      <c r="S918" s="13">
        <f t="shared" ref="S918:T918" si="1857">N918/L918</f>
        <v>0.10687022900763359</v>
      </c>
      <c r="T918" s="13">
        <f t="shared" si="1857"/>
        <v>0.24590163934426229</v>
      </c>
      <c r="U918" s="13">
        <f t="shared" si="1554"/>
        <v>-0.13903141033662869</v>
      </c>
      <c r="V918" s="13">
        <f t="shared" si="1555"/>
        <v>3.3608247422680408</v>
      </c>
      <c r="W918" s="13">
        <f t="shared" si="1556"/>
        <v>7.5</v>
      </c>
      <c r="X918" s="13">
        <f t="shared" si="1557"/>
        <v>7.3770491803278659E-2</v>
      </c>
      <c r="Y918" s="13">
        <f t="shared" si="1558"/>
        <v>-0.53333333333333333</v>
      </c>
    </row>
    <row r="919" spans="1:25" ht="14.4">
      <c r="A919" s="104" t="s">
        <v>1215</v>
      </c>
      <c r="B919" s="99">
        <v>542857</v>
      </c>
      <c r="C919" s="98" t="s">
        <v>187</v>
      </c>
      <c r="D919" s="100" t="s">
        <v>624</v>
      </c>
      <c r="E919" s="11">
        <f ca="1">IFERROR(__xludf.DUMMYFUNCTION("GOOGLEFINANCE(""BOM:""&amp;B921,""PRICE"")"),183.8)</f>
        <v>183.8</v>
      </c>
      <c r="F919" s="20">
        <f ca="1">IFERROR(__xludf.DUMMYFUNCTION("GOOGLEFINANCE(""BOM:""&amp;B921,""MARKETCAP"")/10000000"),2240.4007335)</f>
        <v>2240.4007335000001</v>
      </c>
      <c r="G919" s="95">
        <f t="shared" ca="1" si="1573"/>
        <v>5.5608771364115987E-5</v>
      </c>
      <c r="H919" s="101">
        <v>1140</v>
      </c>
      <c r="I919" s="101">
        <v>1061</v>
      </c>
      <c r="J919" s="101">
        <v>-30</v>
      </c>
      <c r="K919" s="101">
        <v>42</v>
      </c>
      <c r="L919" s="101">
        <v>416</v>
      </c>
      <c r="M919" s="101">
        <v>359</v>
      </c>
      <c r="N919" s="101">
        <v>10</v>
      </c>
      <c r="O919" s="101">
        <v>8</v>
      </c>
      <c r="P919" s="13">
        <f t="shared" ref="P919:Q919" si="1858">J919/H919</f>
        <v>-2.6315789473684209E-2</v>
      </c>
      <c r="Q919" s="13">
        <f t="shared" si="1858"/>
        <v>3.9585296889726673E-2</v>
      </c>
      <c r="R919" s="13">
        <f t="shared" si="1552"/>
        <v>-6.5901086363410882E-2</v>
      </c>
      <c r="S919" s="13">
        <f t="shared" ref="S919:T919" si="1859">N919/L919</f>
        <v>2.403846153846154E-2</v>
      </c>
      <c r="T919" s="13">
        <f t="shared" si="1859"/>
        <v>2.2284122562674095E-2</v>
      </c>
      <c r="U919" s="13">
        <f t="shared" si="1554"/>
        <v>1.754338975787445E-3</v>
      </c>
      <c r="V919" s="13">
        <f t="shared" si="1555"/>
        <v>7.4458058435438179E-2</v>
      </c>
      <c r="W919" s="13">
        <f t="shared" si="1556"/>
        <v>-1.7142857142857144</v>
      </c>
      <c r="X919" s="13">
        <f t="shared" si="1557"/>
        <v>0.15877437325905297</v>
      </c>
      <c r="Y919" s="13">
        <f t="shared" si="1558"/>
        <v>0.25</v>
      </c>
    </row>
    <row r="920" spans="1:25" ht="14.4">
      <c r="A920" s="98" t="s">
        <v>1216</v>
      </c>
      <c r="B920" s="99">
        <v>524091</v>
      </c>
      <c r="C920" s="98" t="s">
        <v>187</v>
      </c>
      <c r="D920" s="70" t="s">
        <v>93</v>
      </c>
      <c r="E920" s="11">
        <f ca="1">IFERROR(__xludf.DUMMYFUNCTION("GOOGLEFINANCE(""BOM:""&amp;B922,""PRICE"")"),811.95)</f>
        <v>811.95</v>
      </c>
      <c r="F920" s="20">
        <f ca="1">IFERROR(__xludf.DUMMYFUNCTION("GOOGLEFINANCE(""BOM:""&amp;B922,""MARKETCAP"")/10000000"),2302.7128265)</f>
        <v>2302.7128265000001</v>
      </c>
      <c r="G920" s="95">
        <f t="shared" ca="1" si="1573"/>
        <v>5.715541383795739E-5</v>
      </c>
      <c r="H920" s="101">
        <v>699</v>
      </c>
      <c r="I920" s="101">
        <v>619</v>
      </c>
      <c r="J920" s="101">
        <v>72</v>
      </c>
      <c r="K920" s="101">
        <v>45</v>
      </c>
      <c r="L920" s="101">
        <v>227</v>
      </c>
      <c r="M920" s="101">
        <v>207</v>
      </c>
      <c r="N920" s="101">
        <v>21</v>
      </c>
      <c r="O920" s="101">
        <v>53</v>
      </c>
      <c r="P920" s="13">
        <f t="shared" ref="P920:Q920" si="1860">J920/H920</f>
        <v>0.10300429184549356</v>
      </c>
      <c r="Q920" s="13">
        <f t="shared" si="1860"/>
        <v>7.2697899838449112E-2</v>
      </c>
      <c r="R920" s="13">
        <f t="shared" si="1552"/>
        <v>3.030639200704445E-2</v>
      </c>
      <c r="S920" s="13">
        <f t="shared" ref="S920:T920" si="1861">N920/L920</f>
        <v>9.2511013215859028E-2</v>
      </c>
      <c r="T920" s="13">
        <f t="shared" si="1861"/>
        <v>0.2560386473429952</v>
      </c>
      <c r="U920" s="13">
        <f t="shared" si="1554"/>
        <v>-0.16352763412713617</v>
      </c>
      <c r="V920" s="13">
        <f t="shared" si="1555"/>
        <v>0.12924071082390953</v>
      </c>
      <c r="W920" s="13">
        <f t="shared" si="1556"/>
        <v>0.60000000000000009</v>
      </c>
      <c r="X920" s="13">
        <f t="shared" si="1557"/>
        <v>9.661835748792269E-2</v>
      </c>
      <c r="Y920" s="13">
        <f t="shared" si="1558"/>
        <v>-0.60377358490566035</v>
      </c>
    </row>
    <row r="921" spans="1:25" ht="14.4">
      <c r="A921" s="98" t="s">
        <v>1217</v>
      </c>
      <c r="B921" s="99">
        <v>532440</v>
      </c>
      <c r="C921" s="98" t="s">
        <v>187</v>
      </c>
      <c r="D921" s="70" t="s">
        <v>1218</v>
      </c>
      <c r="E921" s="11">
        <f ca="1">IFERROR(__xludf.DUMMYFUNCTION("GOOGLEFINANCE(""BOM:""&amp;B923,""PRICE"")"),1657.25)</f>
        <v>1657.25</v>
      </c>
      <c r="F921" s="20">
        <f ca="1">IFERROR(__xludf.DUMMYFUNCTION("GOOGLEFINANCE(""BOM:""&amp;B923,""MARKETCAP"")/10000000"),2809.558008)</f>
        <v>2809.558008</v>
      </c>
      <c r="G921" s="95">
        <f t="shared" ca="1" si="1573"/>
        <v>6.9735769393816421E-5</v>
      </c>
      <c r="H921" s="101">
        <v>563</v>
      </c>
      <c r="I921" s="101">
        <v>544</v>
      </c>
      <c r="J921" s="101">
        <v>126</v>
      </c>
      <c r="K921" s="101">
        <v>101</v>
      </c>
      <c r="L921" s="101">
        <v>182</v>
      </c>
      <c r="M921" s="101">
        <v>186</v>
      </c>
      <c r="N921" s="101">
        <v>35</v>
      </c>
      <c r="O921" s="101">
        <v>40</v>
      </c>
      <c r="P921" s="13">
        <f t="shared" ref="P921:Q921" si="1862">J921/H921</f>
        <v>0.22380106571936056</v>
      </c>
      <c r="Q921" s="13">
        <f t="shared" si="1862"/>
        <v>0.18566176470588236</v>
      </c>
      <c r="R921" s="13">
        <f t="shared" si="1552"/>
        <v>3.8139301013478205E-2</v>
      </c>
      <c r="S921" s="13">
        <f t="shared" ref="S921:T921" si="1863">N921/L921</f>
        <v>0.19230769230769232</v>
      </c>
      <c r="T921" s="13">
        <f t="shared" si="1863"/>
        <v>0.21505376344086022</v>
      </c>
      <c r="U921" s="13">
        <f t="shared" si="1554"/>
        <v>-2.27460711331679E-2</v>
      </c>
      <c r="V921" s="13">
        <f t="shared" si="1555"/>
        <v>3.4926470588235281E-2</v>
      </c>
      <c r="W921" s="13">
        <f t="shared" si="1556"/>
        <v>0.24752475247524752</v>
      </c>
      <c r="X921" s="13">
        <f t="shared" si="1557"/>
        <v>-2.1505376344086002E-2</v>
      </c>
      <c r="Y921" s="13">
        <f t="shared" si="1558"/>
        <v>-0.125</v>
      </c>
    </row>
    <row r="922" spans="1:25" ht="14.4">
      <c r="A922" s="104" t="s">
        <v>1219</v>
      </c>
      <c r="B922" s="99">
        <v>502090</v>
      </c>
      <c r="C922" s="98" t="s">
        <v>196</v>
      </c>
      <c r="D922" s="70" t="s">
        <v>109</v>
      </c>
      <c r="E922" s="11">
        <f ca="1">IFERROR(__xludf.DUMMYFUNCTION("GOOGLEFINANCE(""BOM:""&amp;B924,""PRICE"")"),168.15)</f>
        <v>168.15</v>
      </c>
      <c r="F922" s="20">
        <f ca="1">IFERROR(__xludf.DUMMYFUNCTION("GOOGLEFINANCE(""BOM:""&amp;B924,""MARKETCAP"")/10000000"),2198.5001101)</f>
        <v>2198.5001100999998</v>
      </c>
      <c r="G922" s="95">
        <f t="shared" ca="1" si="1573"/>
        <v>5.4568760016224437E-5</v>
      </c>
      <c r="H922" s="101">
        <v>1863</v>
      </c>
      <c r="I922" s="101">
        <v>1599</v>
      </c>
      <c r="J922" s="101">
        <v>-100</v>
      </c>
      <c r="K922" s="101">
        <v>-143</v>
      </c>
      <c r="L922" s="101">
        <v>590</v>
      </c>
      <c r="M922" s="101">
        <v>563</v>
      </c>
      <c r="N922" s="101">
        <v>-64</v>
      </c>
      <c r="O922" s="101">
        <v>-54</v>
      </c>
      <c r="P922" s="13">
        <f t="shared" ref="P922:Q922" si="1864">J922/H922</f>
        <v>-5.3676865271068172E-2</v>
      </c>
      <c r="Q922" s="13">
        <f t="shared" si="1864"/>
        <v>-8.943089430894309E-2</v>
      </c>
      <c r="R922" s="13">
        <f t="shared" si="1552"/>
        <v>3.5754029037874918E-2</v>
      </c>
      <c r="S922" s="13">
        <f t="shared" ref="S922:T922" si="1865">N922/L922</f>
        <v>-0.10847457627118644</v>
      </c>
      <c r="T922" s="13">
        <f t="shared" si="1865"/>
        <v>-9.5914742451154528E-2</v>
      </c>
      <c r="U922" s="13">
        <f t="shared" si="1554"/>
        <v>-1.255983382003191E-2</v>
      </c>
      <c r="V922" s="13">
        <f t="shared" si="1555"/>
        <v>0.16510318949343339</v>
      </c>
      <c r="W922" s="13">
        <f t="shared" si="1556"/>
        <v>-0.30069930069930073</v>
      </c>
      <c r="X922" s="13">
        <f t="shared" si="1557"/>
        <v>4.7957371225577194E-2</v>
      </c>
      <c r="Y922" s="13">
        <f t="shared" si="1558"/>
        <v>0.18518518518518512</v>
      </c>
    </row>
    <row r="923" spans="1:25" ht="14.4">
      <c r="A923" s="104" t="s">
        <v>1220</v>
      </c>
      <c r="B923" s="99">
        <v>540724</v>
      </c>
      <c r="C923" s="98" t="s">
        <v>183</v>
      </c>
      <c r="D923" s="100" t="s">
        <v>105</v>
      </c>
      <c r="E923" s="11">
        <f ca="1">IFERROR(__xludf.DUMMYFUNCTION("GOOGLEFINANCE(""BOM:""&amp;B925,""PRICE"")"),945)</f>
        <v>945</v>
      </c>
      <c r="F923" s="20">
        <f ca="1">IFERROR(__xludf.DUMMYFUNCTION("GOOGLEFINANCE(""BOM:""&amp;B925,""MARKETCAP"")/10000000"),2267.250769)</f>
        <v>2267.2507690000002</v>
      </c>
      <c r="G923" s="95">
        <f t="shared" ca="1" si="1573"/>
        <v>5.6275213515697214E-5</v>
      </c>
      <c r="H923" s="101">
        <v>1297</v>
      </c>
      <c r="I923" s="101">
        <v>1300</v>
      </c>
      <c r="J923" s="101">
        <v>8</v>
      </c>
      <c r="K923" s="101">
        <v>-22</v>
      </c>
      <c r="L923" s="101">
        <v>459</v>
      </c>
      <c r="M923" s="101">
        <v>442</v>
      </c>
      <c r="N923" s="101">
        <v>3</v>
      </c>
      <c r="O923" s="101">
        <v>-37</v>
      </c>
      <c r="P923" s="13">
        <f t="shared" ref="P923:Q923" si="1866">J923/H923</f>
        <v>6.1680801850424053E-3</v>
      </c>
      <c r="Q923" s="13">
        <f t="shared" si="1866"/>
        <v>-1.6923076923076923E-2</v>
      </c>
      <c r="R923" s="13">
        <f t="shared" si="1552"/>
        <v>2.3091157108119327E-2</v>
      </c>
      <c r="S923" s="13">
        <f t="shared" ref="S923:T923" si="1867">N923/L923</f>
        <v>6.5359477124183009E-3</v>
      </c>
      <c r="T923" s="13">
        <f t="shared" si="1867"/>
        <v>-8.3710407239818999E-2</v>
      </c>
      <c r="U923" s="13">
        <f t="shared" si="1554"/>
        <v>9.0246354952237304E-2</v>
      </c>
      <c r="V923" s="13">
        <f t="shared" si="1555"/>
        <v>-2.3076923076923439E-3</v>
      </c>
      <c r="W923" s="13">
        <f t="shared" si="1556"/>
        <v>-1.3636363636363638</v>
      </c>
      <c r="X923" s="13">
        <f t="shared" si="1557"/>
        <v>3.8461538461538547E-2</v>
      </c>
      <c r="Y923" s="13">
        <f t="shared" si="1558"/>
        <v>-1.0810810810810811</v>
      </c>
    </row>
    <row r="924" spans="1:25" ht="14.4">
      <c r="A924" s="98" t="s">
        <v>1221</v>
      </c>
      <c r="B924" s="99">
        <v>544333</v>
      </c>
      <c r="C924" s="98" t="s">
        <v>180</v>
      </c>
      <c r="D924" s="108" t="s">
        <v>514</v>
      </c>
      <c r="E924" s="11">
        <f ca="1">IFERROR(__xludf.DUMMYFUNCTION("GOOGLEFINANCE(""BOM:""&amp;B926,""PRICE"")"),125.05)</f>
        <v>125.05</v>
      </c>
      <c r="F924" s="20">
        <f ca="1">IFERROR(__xludf.DUMMYFUNCTION("GOOGLEFINANCE(""BOM:""&amp;B926,""MARKETCAP"")/10000000"),2511.5992744)</f>
        <v>2511.5992744</v>
      </c>
      <c r="G924" s="95">
        <f t="shared" ca="1" si="1573"/>
        <v>6.2340164292929253E-5</v>
      </c>
      <c r="H924" s="101">
        <v>547</v>
      </c>
      <c r="I924" s="101">
        <v>447</v>
      </c>
      <c r="J924" s="101">
        <v>61</v>
      </c>
      <c r="K924" s="101">
        <v>52</v>
      </c>
      <c r="L924" s="101">
        <v>191</v>
      </c>
      <c r="M924" s="101">
        <v>140</v>
      </c>
      <c r="N924" s="101">
        <v>20</v>
      </c>
      <c r="O924" s="101">
        <v>15</v>
      </c>
      <c r="P924" s="13">
        <f t="shared" ref="P924:Q924" si="1868">J924/H924</f>
        <v>0.11151736745886655</v>
      </c>
      <c r="Q924" s="13">
        <f t="shared" si="1868"/>
        <v>0.116331096196868</v>
      </c>
      <c r="R924" s="13">
        <f t="shared" si="1552"/>
        <v>-4.8137287380014548E-3</v>
      </c>
      <c r="S924" s="13">
        <f t="shared" ref="S924:T924" si="1869">N924/L924</f>
        <v>0.10471204188481675</v>
      </c>
      <c r="T924" s="13">
        <f t="shared" si="1869"/>
        <v>0.10714285714285714</v>
      </c>
      <c r="U924" s="13">
        <f t="shared" si="1554"/>
        <v>-2.4308152580403836E-3</v>
      </c>
      <c r="V924" s="13">
        <f t="shared" si="1555"/>
        <v>0.22371364653243853</v>
      </c>
      <c r="W924" s="13">
        <f t="shared" si="1556"/>
        <v>0.17307692307692313</v>
      </c>
      <c r="X924" s="13">
        <f t="shared" si="1557"/>
        <v>0.36428571428571432</v>
      </c>
      <c r="Y924" s="13">
        <f t="shared" si="1558"/>
        <v>0.33333333333333326</v>
      </c>
    </row>
    <row r="925" spans="1:25" ht="14.4">
      <c r="A925" s="98" t="s">
        <v>1222</v>
      </c>
      <c r="B925" s="99">
        <v>500365</v>
      </c>
      <c r="C925" s="98" t="s">
        <v>180</v>
      </c>
      <c r="D925" s="70" t="s">
        <v>384</v>
      </c>
      <c r="E925" s="11">
        <f ca="1">IFERROR(__xludf.DUMMYFUNCTION("GOOGLEFINANCE(""BOM:""&amp;B927,""PRICE"")"),34.71)</f>
        <v>34.71</v>
      </c>
      <c r="F925" s="20">
        <f ca="1">IFERROR(__xludf.DUMMYFUNCTION("GOOGLEFINANCE(""BOM:""&amp;B927,""MARKETCAP"")/10000000"),2286.01)</f>
        <v>2286.0100000000002</v>
      </c>
      <c r="G925" s="95">
        <f t="shared" ca="1" si="1573"/>
        <v>5.6740834586092051E-5</v>
      </c>
      <c r="H925" s="101">
        <v>666</v>
      </c>
      <c r="I925" s="101">
        <v>523</v>
      </c>
      <c r="J925" s="101">
        <v>18</v>
      </c>
      <c r="K925" s="101">
        <v>-8</v>
      </c>
      <c r="L925" s="101">
        <v>226</v>
      </c>
      <c r="M925" s="101">
        <v>194</v>
      </c>
      <c r="N925" s="101">
        <v>9</v>
      </c>
      <c r="O925" s="101">
        <v>-3</v>
      </c>
      <c r="P925" s="13">
        <f t="shared" ref="P925:Q925" si="1870">J925/H925</f>
        <v>2.7027027027027029E-2</v>
      </c>
      <c r="Q925" s="13">
        <f t="shared" si="1870"/>
        <v>-1.5296367112810707E-2</v>
      </c>
      <c r="R925" s="13">
        <f t="shared" si="1552"/>
        <v>4.2323394139837739E-2</v>
      </c>
      <c r="S925" s="13">
        <f t="shared" ref="S925:T925" si="1871">N925/L925</f>
        <v>3.9823008849557522E-2</v>
      </c>
      <c r="T925" s="13">
        <f t="shared" si="1871"/>
        <v>-1.5463917525773196E-2</v>
      </c>
      <c r="U925" s="13">
        <f t="shared" si="1554"/>
        <v>5.5286926375330718E-2</v>
      </c>
      <c r="V925" s="13">
        <f t="shared" si="1555"/>
        <v>0.27342256214149141</v>
      </c>
      <c r="W925" s="13">
        <f t="shared" si="1556"/>
        <v>-3.25</v>
      </c>
      <c r="X925" s="13">
        <f t="shared" si="1557"/>
        <v>0.1649484536082475</v>
      </c>
      <c r="Y925" s="13">
        <f t="shared" si="1558"/>
        <v>-4</v>
      </c>
    </row>
    <row r="926" spans="1:25" ht="14.4">
      <c r="A926" s="98" t="s">
        <v>1223</v>
      </c>
      <c r="B926" s="99">
        <v>500215</v>
      </c>
      <c r="C926" s="98" t="s">
        <v>183</v>
      </c>
      <c r="D926" s="100" t="s">
        <v>130</v>
      </c>
      <c r="E926" s="11">
        <f ca="1">IFERROR(__xludf.DUMMYFUNCTION("GOOGLEFINANCE(""BOM:""&amp;B928,""PRICE"")"),599.7)</f>
        <v>599.70000000000005</v>
      </c>
      <c r="F926" s="20">
        <f ca="1">IFERROR(__xludf.DUMMYFUNCTION("GOOGLEFINANCE(""BOM:""&amp;B928,""MARKETCAP"")/10000000"),2205.454)</f>
        <v>2205.4540000000002</v>
      </c>
      <c r="G926" s="95">
        <f t="shared" ca="1" si="1573"/>
        <v>5.4741361849351077E-5</v>
      </c>
      <c r="H926" s="101">
        <v>1163</v>
      </c>
      <c r="I926" s="101">
        <v>595</v>
      </c>
      <c r="J926" s="101">
        <v>10</v>
      </c>
      <c r="K926" s="101">
        <v>4</v>
      </c>
      <c r="L926" s="101">
        <v>407</v>
      </c>
      <c r="M926" s="101">
        <v>208</v>
      </c>
      <c r="N926" s="101">
        <v>8</v>
      </c>
      <c r="O926" s="101">
        <v>4</v>
      </c>
      <c r="P926" s="13">
        <f t="shared" ref="P926:Q926" si="1872">J926/H926</f>
        <v>8.5984522785898538E-3</v>
      </c>
      <c r="Q926" s="13">
        <f t="shared" si="1872"/>
        <v>6.7226890756302525E-3</v>
      </c>
      <c r="R926" s="13">
        <f t="shared" si="1552"/>
        <v>1.8757632029596013E-3</v>
      </c>
      <c r="S926" s="13">
        <f t="shared" ref="S926:T926" si="1873">N926/L926</f>
        <v>1.9656019656019656E-2</v>
      </c>
      <c r="T926" s="13">
        <f t="shared" si="1873"/>
        <v>1.9230769230769232E-2</v>
      </c>
      <c r="U926" s="13">
        <f t="shared" si="1554"/>
        <v>4.252504252504237E-4</v>
      </c>
      <c r="V926" s="13">
        <f t="shared" si="1555"/>
        <v>0.95462184873949574</v>
      </c>
      <c r="W926" s="13">
        <f t="shared" si="1556"/>
        <v>1.5</v>
      </c>
      <c r="X926" s="13">
        <f t="shared" si="1557"/>
        <v>0.95673076923076916</v>
      </c>
      <c r="Y926" s="13">
        <f t="shared" si="1558"/>
        <v>1</v>
      </c>
    </row>
    <row r="927" spans="1:25" ht="14.4">
      <c r="A927" s="98" t="s">
        <v>1224</v>
      </c>
      <c r="B927" s="99">
        <v>539056</v>
      </c>
      <c r="C927" s="98" t="s">
        <v>187</v>
      </c>
      <c r="D927" s="70" t="s">
        <v>104</v>
      </c>
      <c r="E927" s="11">
        <f ca="1">IFERROR(__xludf.DUMMYFUNCTION("GOOGLEFINANCE(""BOM:""&amp;B929,""PRICE"")"),42.35)</f>
        <v>42.35</v>
      </c>
      <c r="F927" s="20">
        <f ca="1">IFERROR(__xludf.DUMMYFUNCTION("GOOGLEFINANCE(""BOM:""&amp;B929,""MARKETCAP"")/10000000"),2357.945)</f>
        <v>2357.9450000000002</v>
      </c>
      <c r="G927" s="95">
        <f t="shared" ca="1" si="1573"/>
        <v>5.8526326310078616E-5</v>
      </c>
      <c r="H927" s="101">
        <v>281</v>
      </c>
      <c r="I927" s="101">
        <v>315</v>
      </c>
      <c r="J927" s="101">
        <v>0.95</v>
      </c>
      <c r="K927" s="101">
        <v>62</v>
      </c>
      <c r="L927" s="101">
        <v>92</v>
      </c>
      <c r="M927" s="101">
        <v>91</v>
      </c>
      <c r="N927" s="101">
        <v>-5</v>
      </c>
      <c r="O927" s="101">
        <v>3</v>
      </c>
      <c r="P927" s="13">
        <f t="shared" ref="P927:Q927" si="1874">J927/H927</f>
        <v>3.3807829181494659E-3</v>
      </c>
      <c r="Q927" s="13">
        <f t="shared" si="1874"/>
        <v>0.19682539682539682</v>
      </c>
      <c r="R927" s="13">
        <f t="shared" si="1552"/>
        <v>-0.19344461390724735</v>
      </c>
      <c r="S927" s="13">
        <f t="shared" ref="S927:T927" si="1875">N927/L927</f>
        <v>-5.434782608695652E-2</v>
      </c>
      <c r="T927" s="13">
        <f t="shared" si="1875"/>
        <v>3.2967032967032968E-2</v>
      </c>
      <c r="U927" s="13">
        <f t="shared" si="1554"/>
        <v>-8.7314859053989488E-2</v>
      </c>
      <c r="V927" s="13">
        <f t="shared" si="1555"/>
        <v>-0.10793650793650789</v>
      </c>
      <c r="W927" s="13">
        <f t="shared" si="1556"/>
        <v>-0.98467741935483866</v>
      </c>
      <c r="X927" s="13">
        <f t="shared" si="1557"/>
        <v>1.098901098901095E-2</v>
      </c>
      <c r="Y927" s="13">
        <f t="shared" si="1558"/>
        <v>-2.666666666666667</v>
      </c>
    </row>
    <row r="928" spans="1:25" ht="14.4">
      <c r="A928" s="98" t="s">
        <v>1225</v>
      </c>
      <c r="B928" s="99">
        <v>532369</v>
      </c>
      <c r="C928" s="98" t="s">
        <v>196</v>
      </c>
      <c r="D928" s="100" t="s">
        <v>1226</v>
      </c>
      <c r="E928" s="11">
        <f ca="1">IFERROR(__xludf.DUMMYFUNCTION("GOOGLEFINANCE(""BOM:""&amp;B930,""PRICE"")"),257.7)</f>
        <v>257.7</v>
      </c>
      <c r="F928" s="20">
        <f ca="1">IFERROR(__xludf.DUMMYFUNCTION("GOOGLEFINANCE(""BOM:""&amp;B930,""MARKETCAP"")/10000000"),2242.683287)</f>
        <v>2242.6832869999998</v>
      </c>
      <c r="G928" s="95">
        <f t="shared" ca="1" si="1573"/>
        <v>5.5665426405247649E-5</v>
      </c>
      <c r="H928" s="101">
        <v>1037</v>
      </c>
      <c r="I928" s="101">
        <v>1046</v>
      </c>
      <c r="J928" s="101">
        <v>85</v>
      </c>
      <c r="K928" s="101">
        <v>75</v>
      </c>
      <c r="L928" s="101">
        <v>305</v>
      </c>
      <c r="M928" s="101">
        <v>273</v>
      </c>
      <c r="N928" s="101">
        <v>17</v>
      </c>
      <c r="O928" s="101">
        <v>13</v>
      </c>
      <c r="P928" s="13">
        <f t="shared" ref="P928:Q928" si="1876">J928/H928</f>
        <v>8.1967213114754092E-2</v>
      </c>
      <c r="Q928" s="13">
        <f t="shared" si="1876"/>
        <v>7.1701720841300193E-2</v>
      </c>
      <c r="R928" s="13">
        <f t="shared" si="1552"/>
        <v>1.0265492273453899E-2</v>
      </c>
      <c r="S928" s="13">
        <f t="shared" ref="S928:T928" si="1877">N928/L928</f>
        <v>5.5737704918032788E-2</v>
      </c>
      <c r="T928" s="13">
        <f t="shared" si="1877"/>
        <v>4.7619047619047616E-2</v>
      </c>
      <c r="U928" s="13">
        <f t="shared" si="1554"/>
        <v>8.1186572989851713E-3</v>
      </c>
      <c r="V928" s="13">
        <f t="shared" si="1555"/>
        <v>-8.6042065009560575E-3</v>
      </c>
      <c r="W928" s="13">
        <f t="shared" si="1556"/>
        <v>0.1333333333333333</v>
      </c>
      <c r="X928" s="13">
        <f t="shared" si="1557"/>
        <v>0.11721611721611724</v>
      </c>
      <c r="Y928" s="13">
        <f t="shared" si="1558"/>
        <v>0.30769230769230771</v>
      </c>
    </row>
    <row r="929" spans="1:25" ht="14.4">
      <c r="A929" s="98" t="s">
        <v>1227</v>
      </c>
      <c r="B929" s="99">
        <v>534392</v>
      </c>
      <c r="C929" s="98" t="s">
        <v>180</v>
      </c>
      <c r="D929" s="100" t="s">
        <v>384</v>
      </c>
      <c r="E929" s="11">
        <f ca="1">IFERROR(__xludf.DUMMYFUNCTION("GOOGLEFINANCE(""BOM:""&amp;B931,""PRICE"")"),229.55)</f>
        <v>229.55</v>
      </c>
      <c r="F929" s="20">
        <f ca="1">IFERROR(__xludf.DUMMYFUNCTION("GOOGLEFINANCE(""BOM:""&amp;B931,""MARKETCAP"")/10000000"),2216.9668425)</f>
        <v>2216.9668425</v>
      </c>
      <c r="G929" s="95">
        <f t="shared" ca="1" si="1573"/>
        <v>5.5027121006969907E-5</v>
      </c>
      <c r="H929" s="101">
        <v>1296</v>
      </c>
      <c r="I929" s="101">
        <v>1336</v>
      </c>
      <c r="J929" s="101">
        <v>88</v>
      </c>
      <c r="K929" s="101">
        <v>73</v>
      </c>
      <c r="L929" s="101">
        <v>430</v>
      </c>
      <c r="M929" s="101">
        <v>426</v>
      </c>
      <c r="N929" s="101">
        <v>33</v>
      </c>
      <c r="O929" s="101">
        <v>21</v>
      </c>
      <c r="P929" s="13">
        <f t="shared" ref="P929:Q929" si="1878">J929/H929</f>
        <v>6.7901234567901231E-2</v>
      </c>
      <c r="Q929" s="13">
        <f t="shared" si="1878"/>
        <v>5.4640718562874252E-2</v>
      </c>
      <c r="R929" s="13">
        <f t="shared" si="1552"/>
        <v>1.3260516005026979E-2</v>
      </c>
      <c r="S929" s="13">
        <f t="shared" ref="S929:T929" si="1879">N929/L929</f>
        <v>7.6744186046511634E-2</v>
      </c>
      <c r="T929" s="13">
        <f t="shared" si="1879"/>
        <v>4.9295774647887321E-2</v>
      </c>
      <c r="U929" s="13">
        <f t="shared" si="1554"/>
        <v>2.7448411398624313E-2</v>
      </c>
      <c r="V929" s="13">
        <f t="shared" si="1555"/>
        <v>-2.9940119760479056E-2</v>
      </c>
      <c r="W929" s="13">
        <f t="shared" si="1556"/>
        <v>0.20547945205479445</v>
      </c>
      <c r="X929" s="13">
        <f t="shared" si="1557"/>
        <v>9.3896713615022609E-3</v>
      </c>
      <c r="Y929" s="13">
        <f t="shared" si="1558"/>
        <v>0.5714285714285714</v>
      </c>
    </row>
    <row r="930" spans="1:25" ht="14.4">
      <c r="A930" s="98" t="s">
        <v>1228</v>
      </c>
      <c r="B930" s="99">
        <v>543933</v>
      </c>
      <c r="C930" s="98" t="s">
        <v>180</v>
      </c>
      <c r="D930" s="116" t="s">
        <v>514</v>
      </c>
      <c r="E930" s="11">
        <f ca="1">IFERROR(__xludf.DUMMYFUNCTION("GOOGLEFINANCE(""BOM:""&amp;B932,""PRICE"")"),288.45)</f>
        <v>288.45</v>
      </c>
      <c r="F930" s="20">
        <f ca="1">IFERROR(__xludf.DUMMYFUNCTION("GOOGLEFINANCE(""BOM:""&amp;B932,""MARKETCAP"")/10000000"),2287.3738649)</f>
        <v>2287.3738649000002</v>
      </c>
      <c r="G930" s="95">
        <f t="shared" ca="1" si="1573"/>
        <v>5.6774686945744316E-5</v>
      </c>
      <c r="H930" s="101">
        <v>892</v>
      </c>
      <c r="I930" s="101">
        <v>1091</v>
      </c>
      <c r="J930" s="101">
        <v>50</v>
      </c>
      <c r="K930" s="101">
        <v>37</v>
      </c>
      <c r="L930" s="101">
        <v>303</v>
      </c>
      <c r="M930" s="101">
        <v>444</v>
      </c>
      <c r="N930" s="101">
        <v>11</v>
      </c>
      <c r="O930" s="101">
        <v>10</v>
      </c>
      <c r="P930" s="13">
        <f t="shared" ref="P930:Q930" si="1880">J930/H930</f>
        <v>5.6053811659192827E-2</v>
      </c>
      <c r="Q930" s="13">
        <f t="shared" si="1880"/>
        <v>3.3913840513290557E-2</v>
      </c>
      <c r="R930" s="13">
        <f t="shared" si="1552"/>
        <v>2.2139971145902271E-2</v>
      </c>
      <c r="S930" s="13">
        <f t="shared" ref="S930:T930" si="1881">N930/L930</f>
        <v>3.6303630363036306E-2</v>
      </c>
      <c r="T930" s="13">
        <f t="shared" si="1881"/>
        <v>2.2522522522522521E-2</v>
      </c>
      <c r="U930" s="13">
        <f t="shared" si="1554"/>
        <v>1.3781107840513784E-2</v>
      </c>
      <c r="V930" s="13">
        <f t="shared" si="1555"/>
        <v>-0.18240146654445466</v>
      </c>
      <c r="W930" s="13">
        <f t="shared" si="1556"/>
        <v>0.35135135135135132</v>
      </c>
      <c r="X930" s="13">
        <f t="shared" si="1557"/>
        <v>-0.31756756756756754</v>
      </c>
      <c r="Y930" s="13">
        <f t="shared" si="1558"/>
        <v>0.10000000000000009</v>
      </c>
    </row>
    <row r="931" spans="1:25" ht="14.4">
      <c r="A931" s="98" t="s">
        <v>1229</v>
      </c>
      <c r="B931" s="99">
        <v>523301</v>
      </c>
      <c r="C931" s="98" t="s">
        <v>180</v>
      </c>
      <c r="D931" s="100" t="s">
        <v>895</v>
      </c>
      <c r="E931" s="11">
        <f ca="1">IFERROR(__xludf.DUMMYFUNCTION("GOOGLEFINANCE(""BOM:""&amp;B933,""PRICE"")"),2390.5)</f>
        <v>2390.5</v>
      </c>
      <c r="F931" s="20">
        <f ca="1">IFERROR(__xludf.DUMMYFUNCTION("GOOGLEFINANCE(""BOM:""&amp;B933,""MARKETCAP"")/10000000"),2162.4323245)</f>
        <v>2162.4323245</v>
      </c>
      <c r="G931" s="95">
        <f t="shared" ca="1" si="1573"/>
        <v>5.3673524974988305E-5</v>
      </c>
      <c r="H931" s="101">
        <v>1335</v>
      </c>
      <c r="I931" s="101">
        <v>1326</v>
      </c>
      <c r="J931" s="101">
        <v>76</v>
      </c>
      <c r="K931" s="101">
        <v>104</v>
      </c>
      <c r="L931" s="101">
        <v>464</v>
      </c>
      <c r="M931" s="101">
        <v>472</v>
      </c>
      <c r="N931" s="101">
        <v>25</v>
      </c>
      <c r="O931" s="101">
        <v>37</v>
      </c>
      <c r="P931" s="13">
        <f t="shared" ref="P931:Q931" si="1882">J931/H931</f>
        <v>5.6928838951310859E-2</v>
      </c>
      <c r="Q931" s="13">
        <f t="shared" si="1882"/>
        <v>7.8431372549019607E-2</v>
      </c>
      <c r="R931" s="13">
        <f t="shared" si="1552"/>
        <v>-2.1502533597708748E-2</v>
      </c>
      <c r="S931" s="13">
        <f t="shared" ref="S931:T931" si="1883">N931/L931</f>
        <v>5.3879310344827583E-2</v>
      </c>
      <c r="T931" s="13">
        <f t="shared" si="1883"/>
        <v>7.8389830508474576E-2</v>
      </c>
      <c r="U931" s="13">
        <f t="shared" si="1554"/>
        <v>-2.4510520163646993E-2</v>
      </c>
      <c r="V931" s="13">
        <f t="shared" si="1555"/>
        <v>6.7873303167420573E-3</v>
      </c>
      <c r="W931" s="13">
        <f t="shared" si="1556"/>
        <v>-0.26923076923076927</v>
      </c>
      <c r="X931" s="13">
        <f t="shared" si="1557"/>
        <v>-1.6949152542372836E-2</v>
      </c>
      <c r="Y931" s="13">
        <f t="shared" si="1558"/>
        <v>-0.32432432432432434</v>
      </c>
    </row>
    <row r="932" spans="1:25" ht="14.4">
      <c r="A932" s="104" t="s">
        <v>1230</v>
      </c>
      <c r="B932" s="99">
        <v>524743</v>
      </c>
      <c r="C932" s="98" t="s">
        <v>190</v>
      </c>
      <c r="D932" s="100" t="s">
        <v>688</v>
      </c>
      <c r="E932" s="11">
        <f ca="1">IFERROR(__xludf.DUMMYFUNCTION("GOOGLEFINANCE(""BOM:""&amp;B934,""PRICE"")"),40.47)</f>
        <v>40.47</v>
      </c>
      <c r="F932" s="20">
        <f ca="1">IFERROR(__xludf.DUMMYFUNCTION("GOOGLEFINANCE(""BOM:""&amp;B934,""MARKETCAP"")/10000000"),2662.804732)</f>
        <v>2662.8047320000001</v>
      </c>
      <c r="G932" s="95">
        <f t="shared" ca="1" si="1573"/>
        <v>6.6093220429252344E-5</v>
      </c>
      <c r="H932" s="101">
        <v>210</v>
      </c>
      <c r="I932" s="101">
        <v>61</v>
      </c>
      <c r="J932" s="101">
        <v>38</v>
      </c>
      <c r="K932" s="101">
        <v>-0.42</v>
      </c>
      <c r="L932" s="101">
        <v>101</v>
      </c>
      <c r="M932" s="101">
        <v>11</v>
      </c>
      <c r="N932" s="101">
        <v>19</v>
      </c>
      <c r="O932" s="101">
        <v>-0.39</v>
      </c>
      <c r="P932" s="13">
        <f t="shared" ref="P932:Q932" si="1884">J932/H932</f>
        <v>0.18095238095238095</v>
      </c>
      <c r="Q932" s="13">
        <f t="shared" si="1884"/>
        <v>-6.8852459016393438E-3</v>
      </c>
      <c r="R932" s="13">
        <f t="shared" si="1552"/>
        <v>0.18783762685402028</v>
      </c>
      <c r="S932" s="13">
        <f t="shared" ref="S932:T932" si="1885">N932/L932</f>
        <v>0.18811881188118812</v>
      </c>
      <c r="T932" s="13">
        <f t="shared" si="1885"/>
        <v>-3.5454545454545454E-2</v>
      </c>
      <c r="U932" s="13">
        <f t="shared" si="1554"/>
        <v>0.22357335733573358</v>
      </c>
      <c r="V932" s="13">
        <f t="shared" si="1555"/>
        <v>2.442622950819672</v>
      </c>
      <c r="W932" s="13">
        <f t="shared" si="1556"/>
        <v>-91.476190476190482</v>
      </c>
      <c r="X932" s="13">
        <f t="shared" si="1557"/>
        <v>8.1818181818181817</v>
      </c>
      <c r="Y932" s="13">
        <f t="shared" si="1558"/>
        <v>-49.717948717948715</v>
      </c>
    </row>
    <row r="933" spans="1:25" ht="14.4">
      <c r="A933" s="98" t="s">
        <v>1231</v>
      </c>
      <c r="B933" s="99">
        <v>531543</v>
      </c>
      <c r="C933" s="98" t="s">
        <v>187</v>
      </c>
      <c r="D933" s="70" t="s">
        <v>492</v>
      </c>
      <c r="E933" s="11">
        <f ca="1">IFERROR(__xludf.DUMMYFUNCTION("GOOGLEFINANCE(""BOM:""&amp;B935,""PRICE"")"),20.82)</f>
        <v>20.82</v>
      </c>
      <c r="F933" s="20">
        <f ca="1">IFERROR(__xludf.DUMMYFUNCTION("GOOGLEFINANCE(""BOM:""&amp;B935,""MARKETCAP"")/10000000"),2091.4257471)</f>
        <v>2091.4257471000001</v>
      </c>
      <c r="G933" s="95">
        <f t="shared" ca="1" si="1573"/>
        <v>5.1911077539159966E-5</v>
      </c>
      <c r="H933" s="101">
        <v>1645</v>
      </c>
      <c r="I933" s="101">
        <v>1682</v>
      </c>
      <c r="J933" s="101">
        <v>43</v>
      </c>
      <c r="K933" s="101">
        <v>53</v>
      </c>
      <c r="L933" s="101">
        <v>532</v>
      </c>
      <c r="M933" s="101">
        <v>624</v>
      </c>
      <c r="N933" s="101">
        <v>14</v>
      </c>
      <c r="O933" s="101">
        <v>18</v>
      </c>
      <c r="P933" s="13">
        <f t="shared" ref="P933:Q933" si="1886">J933/H933</f>
        <v>2.6139817629179333E-2</v>
      </c>
      <c r="Q933" s="13">
        <f t="shared" si="1886"/>
        <v>3.151010701545779E-2</v>
      </c>
      <c r="R933" s="13">
        <f t="shared" si="1552"/>
        <v>-5.3702893862784574E-3</v>
      </c>
      <c r="S933" s="13">
        <f t="shared" ref="S933:T933" si="1887">N933/L933</f>
        <v>2.6315789473684209E-2</v>
      </c>
      <c r="T933" s="13">
        <f t="shared" si="1887"/>
        <v>2.8846153846153848E-2</v>
      </c>
      <c r="U933" s="13">
        <f t="shared" si="1554"/>
        <v>-2.5303643724696387E-3</v>
      </c>
      <c r="V933" s="13">
        <f t="shared" si="1555"/>
        <v>-2.199762187871579E-2</v>
      </c>
      <c r="W933" s="13">
        <f t="shared" si="1556"/>
        <v>-0.18867924528301883</v>
      </c>
      <c r="X933" s="13">
        <f t="shared" si="1557"/>
        <v>-0.14743589743589747</v>
      </c>
      <c r="Y933" s="13">
        <f t="shared" si="1558"/>
        <v>-0.22222222222222221</v>
      </c>
    </row>
    <row r="934" spans="1:25" ht="14.4">
      <c r="A934" s="98" t="s">
        <v>1232</v>
      </c>
      <c r="B934" s="99">
        <v>539301</v>
      </c>
      <c r="C934" s="98" t="s">
        <v>187</v>
      </c>
      <c r="D934" s="100" t="s">
        <v>131</v>
      </c>
      <c r="E934" s="11">
        <f ca="1">IFERROR(__xludf.DUMMYFUNCTION("GOOGLEFINANCE(""BOM:""&amp;B936,""PRICE"")"),530.5)</f>
        <v>530.5</v>
      </c>
      <c r="F934" s="20">
        <f ca="1">IFERROR(__xludf.DUMMYFUNCTION("GOOGLEFINANCE(""BOM:""&amp;B936,""MARKETCAP"")/10000000"),2432.5551723)</f>
        <v>2432.5551722999999</v>
      </c>
      <c r="G934" s="95">
        <f t="shared" ca="1" si="1573"/>
        <v>6.0378218228711561E-5</v>
      </c>
      <c r="H934" s="101">
        <v>408</v>
      </c>
      <c r="I934" s="101">
        <v>550</v>
      </c>
      <c r="J934" s="101">
        <v>59</v>
      </c>
      <c r="K934" s="101">
        <v>97</v>
      </c>
      <c r="L934" s="101">
        <v>166</v>
      </c>
      <c r="M934" s="101">
        <v>210</v>
      </c>
      <c r="N934" s="101">
        <v>29</v>
      </c>
      <c r="O934" s="101">
        <v>50</v>
      </c>
      <c r="P934" s="13">
        <f t="shared" ref="P934:Q934" si="1888">J934/H934</f>
        <v>0.14460784313725492</v>
      </c>
      <c r="Q934" s="13">
        <f t="shared" si="1888"/>
        <v>0.17636363636363636</v>
      </c>
      <c r="R934" s="13">
        <f t="shared" si="1552"/>
        <v>-3.1755793226381446E-2</v>
      </c>
      <c r="S934" s="13">
        <f t="shared" ref="S934:T934" si="1889">N934/L934</f>
        <v>0.1746987951807229</v>
      </c>
      <c r="T934" s="13">
        <f t="shared" si="1889"/>
        <v>0.23809523809523808</v>
      </c>
      <c r="U934" s="13">
        <f t="shared" si="1554"/>
        <v>-6.3396442914515183E-2</v>
      </c>
      <c r="V934" s="13">
        <f t="shared" si="1555"/>
        <v>-0.25818181818181818</v>
      </c>
      <c r="W934" s="13">
        <f t="shared" si="1556"/>
        <v>-0.39175257731958768</v>
      </c>
      <c r="X934" s="13">
        <f t="shared" si="1557"/>
        <v>-0.20952380952380956</v>
      </c>
      <c r="Y934" s="13">
        <f t="shared" si="1558"/>
        <v>-0.42000000000000004</v>
      </c>
    </row>
    <row r="935" spans="1:25" ht="14.4">
      <c r="A935" s="98" t="s">
        <v>1233</v>
      </c>
      <c r="B935" s="99">
        <v>504212</v>
      </c>
      <c r="C935" s="98" t="s">
        <v>180</v>
      </c>
      <c r="D935" s="70" t="s">
        <v>271</v>
      </c>
      <c r="E935" s="11">
        <f ca="1">IFERROR(__xludf.DUMMYFUNCTION("GOOGLEFINANCE(""BOM:""&amp;B937,""PRICE"")"),691)</f>
        <v>691</v>
      </c>
      <c r="F935" s="20">
        <f ca="1">IFERROR(__xludf.DUMMYFUNCTION("GOOGLEFINANCE(""BOM:""&amp;B937,""MARKETCAP"")/10000000"),2397.27248)</f>
        <v>2397.2724800000001</v>
      </c>
      <c r="G935" s="95">
        <f t="shared" ca="1" si="1573"/>
        <v>5.9502469912848434E-5</v>
      </c>
      <c r="H935" s="101">
        <v>2182</v>
      </c>
      <c r="I935" s="101">
        <v>1734</v>
      </c>
      <c r="J935" s="101">
        <v>107</v>
      </c>
      <c r="K935" s="101">
        <v>39</v>
      </c>
      <c r="L935" s="101">
        <v>767</v>
      </c>
      <c r="M935" s="101">
        <v>607</v>
      </c>
      <c r="N935" s="101">
        <v>27</v>
      </c>
      <c r="O935" s="101">
        <v>15</v>
      </c>
      <c r="P935" s="13">
        <f t="shared" ref="P935:Q935" si="1890">J935/H935</f>
        <v>4.9037580201649861E-2</v>
      </c>
      <c r="Q935" s="13">
        <f t="shared" si="1890"/>
        <v>2.2491349480968859E-2</v>
      </c>
      <c r="R935" s="13">
        <f t="shared" si="1552"/>
        <v>2.6546230720681002E-2</v>
      </c>
      <c r="S935" s="13">
        <f t="shared" ref="S935:T935" si="1891">N935/L935</f>
        <v>3.5202086049543675E-2</v>
      </c>
      <c r="T935" s="13">
        <f t="shared" si="1891"/>
        <v>2.4711696869851731E-2</v>
      </c>
      <c r="U935" s="13">
        <f t="shared" si="1554"/>
        <v>1.0490389179691945E-2</v>
      </c>
      <c r="V935" s="13">
        <f t="shared" si="1555"/>
        <v>0.25836216839677051</v>
      </c>
      <c r="W935" s="13">
        <f t="shared" si="1556"/>
        <v>1.7435897435897436</v>
      </c>
      <c r="X935" s="13">
        <f t="shared" si="1557"/>
        <v>0.26359143327841839</v>
      </c>
      <c r="Y935" s="13">
        <f t="shared" si="1558"/>
        <v>0.8</v>
      </c>
    </row>
    <row r="936" spans="1:25" ht="14.4">
      <c r="A936" s="98" t="s">
        <v>1234</v>
      </c>
      <c r="B936" s="99">
        <v>524735</v>
      </c>
      <c r="C936" s="98" t="s">
        <v>190</v>
      </c>
      <c r="D936" s="108" t="s">
        <v>100</v>
      </c>
      <c r="E936" s="11">
        <f ca="1">IFERROR(__xludf.DUMMYFUNCTION("GOOGLEFINANCE(""BOM:""&amp;B938,""PRICE"")"),163.15)</f>
        <v>163.15</v>
      </c>
      <c r="F936" s="20">
        <f ca="1">IFERROR(__xludf.DUMMYFUNCTION("GOOGLEFINANCE(""BOM:""&amp;B938,""MARKETCAP"")/10000000"),2011.7742663)</f>
        <v>2011.7742662999999</v>
      </c>
      <c r="G936" s="95">
        <f t="shared" ca="1" si="1573"/>
        <v>4.993405578658229E-5</v>
      </c>
      <c r="H936" s="101">
        <v>1193</v>
      </c>
      <c r="I936" s="101">
        <v>1307</v>
      </c>
      <c r="J936" s="101">
        <v>-63</v>
      </c>
      <c r="K936" s="101">
        <v>40</v>
      </c>
      <c r="L936" s="101">
        <v>494</v>
      </c>
      <c r="M936" s="101">
        <v>447</v>
      </c>
      <c r="N936" s="101">
        <v>-5</v>
      </c>
      <c r="O936" s="101">
        <v>17</v>
      </c>
      <c r="P936" s="13">
        <f t="shared" ref="P936:Q936" si="1892">J936/H936</f>
        <v>-5.2808046940486172E-2</v>
      </c>
      <c r="Q936" s="13">
        <f t="shared" si="1892"/>
        <v>3.0604437643458302E-2</v>
      </c>
      <c r="R936" s="13">
        <f t="shared" si="1552"/>
        <v>-8.3412484583944471E-2</v>
      </c>
      <c r="S936" s="13">
        <f t="shared" ref="S936:T936" si="1893">N936/L936</f>
        <v>-1.0121457489878543E-2</v>
      </c>
      <c r="T936" s="13">
        <f t="shared" si="1893"/>
        <v>3.803131991051454E-2</v>
      </c>
      <c r="U936" s="13">
        <f t="shared" si="1554"/>
        <v>-4.8152777400393081E-2</v>
      </c>
      <c r="V936" s="13">
        <f t="shared" si="1555"/>
        <v>-8.7222647283856203E-2</v>
      </c>
      <c r="W936" s="13">
        <f t="shared" si="1556"/>
        <v>-2.5750000000000002</v>
      </c>
      <c r="X936" s="13">
        <f t="shared" si="1557"/>
        <v>0.10514541387024612</v>
      </c>
      <c r="Y936" s="13">
        <f t="shared" si="1558"/>
        <v>-1.2941176470588236</v>
      </c>
    </row>
    <row r="937" spans="1:25" ht="14.4">
      <c r="A937" s="98" t="s">
        <v>1235</v>
      </c>
      <c r="B937" s="99">
        <v>531508</v>
      </c>
      <c r="C937" s="98" t="s">
        <v>183</v>
      </c>
      <c r="D937" s="100" t="s">
        <v>804</v>
      </c>
      <c r="E937" s="11">
        <f ca="1">IFERROR(__xludf.DUMMYFUNCTION("GOOGLEFINANCE(""BOM:""&amp;B939,""PRICE"")"),282)</f>
        <v>282</v>
      </c>
      <c r="F937" s="20">
        <f ca="1">IFERROR(__xludf.DUMMYFUNCTION("GOOGLEFINANCE(""BOM:""&amp;B939,""MARKETCAP"")/10000000"),2049.780732)</f>
        <v>2049.7807320000002</v>
      </c>
      <c r="G937" s="95">
        <f t="shared" ca="1" si="1573"/>
        <v>5.0877410620325666E-5</v>
      </c>
      <c r="H937" s="101">
        <v>1128</v>
      </c>
      <c r="I937" s="101">
        <v>1045</v>
      </c>
      <c r="J937" s="101">
        <v>30</v>
      </c>
      <c r="K937" s="101">
        <v>72</v>
      </c>
      <c r="L937" s="101">
        <v>367</v>
      </c>
      <c r="M937" s="101">
        <v>333</v>
      </c>
      <c r="N937" s="101">
        <v>7</v>
      </c>
      <c r="O937" s="101">
        <v>13</v>
      </c>
      <c r="P937" s="13">
        <f t="shared" ref="P937:Q937" si="1894">J937/H937</f>
        <v>2.6595744680851064E-2</v>
      </c>
      <c r="Q937" s="13">
        <f t="shared" si="1894"/>
        <v>6.8899521531100474E-2</v>
      </c>
      <c r="R937" s="13">
        <f t="shared" si="1552"/>
        <v>-4.2303776850249414E-2</v>
      </c>
      <c r="S937" s="13">
        <f t="shared" ref="S937:T937" si="1895">N937/L937</f>
        <v>1.9073569482288829E-2</v>
      </c>
      <c r="T937" s="13">
        <f t="shared" si="1895"/>
        <v>3.903903903903904E-2</v>
      </c>
      <c r="U937" s="13">
        <f t="shared" si="1554"/>
        <v>-1.9965469556750211E-2</v>
      </c>
      <c r="V937" s="13">
        <f t="shared" si="1555"/>
        <v>7.9425837320574066E-2</v>
      </c>
      <c r="W937" s="13">
        <f t="shared" si="1556"/>
        <v>-0.58333333333333326</v>
      </c>
      <c r="X937" s="13">
        <f t="shared" si="1557"/>
        <v>0.10210210210210202</v>
      </c>
      <c r="Y937" s="13">
        <f t="shared" si="1558"/>
        <v>-0.46153846153846156</v>
      </c>
    </row>
    <row r="938" spans="1:25" ht="14.4">
      <c r="A938" s="104" t="s">
        <v>1236</v>
      </c>
      <c r="B938" s="99">
        <v>500020</v>
      </c>
      <c r="C938" s="98" t="s">
        <v>187</v>
      </c>
      <c r="D938" s="100" t="s">
        <v>492</v>
      </c>
      <c r="E938" s="11">
        <f ca="1">IFERROR(__xludf.DUMMYFUNCTION("GOOGLEFINANCE(""BOM:""&amp;B940,""PRICE"")"),102.81)</f>
        <v>102.81</v>
      </c>
      <c r="F938" s="20">
        <f ca="1">IFERROR(__xludf.DUMMYFUNCTION("GOOGLEFINANCE(""BOM:""&amp;B940,""MARKETCAP"")/10000000"),2122.3526765)</f>
        <v>2122.3526765000001</v>
      </c>
      <c r="G938" s="95">
        <f t="shared" ca="1" si="1573"/>
        <v>5.2678711882553543E-5</v>
      </c>
      <c r="H938" s="101">
        <v>1064</v>
      </c>
      <c r="I938" s="101">
        <v>1246</v>
      </c>
      <c r="J938" s="101">
        <v>6</v>
      </c>
      <c r="K938" s="101">
        <v>479</v>
      </c>
      <c r="L938" s="101">
        <v>324</v>
      </c>
      <c r="M938" s="101">
        <v>415</v>
      </c>
      <c r="N938" s="101">
        <v>-10</v>
      </c>
      <c r="O938" s="101">
        <v>70</v>
      </c>
      <c r="P938" s="13">
        <f t="shared" ref="P938:Q938" si="1896">J938/H938</f>
        <v>5.6390977443609019E-3</v>
      </c>
      <c r="Q938" s="13">
        <f t="shared" si="1896"/>
        <v>0.38443017656500805</v>
      </c>
      <c r="R938" s="13">
        <f t="shared" si="1552"/>
        <v>-0.37879107882064716</v>
      </c>
      <c r="S938" s="13">
        <f t="shared" ref="S938:T938" si="1897">N938/L938</f>
        <v>-3.0864197530864196E-2</v>
      </c>
      <c r="T938" s="13">
        <f t="shared" si="1897"/>
        <v>0.16867469879518071</v>
      </c>
      <c r="U938" s="13">
        <f t="shared" si="1554"/>
        <v>-0.19953889632604491</v>
      </c>
      <c r="V938" s="13">
        <f t="shared" si="1555"/>
        <v>-0.1460674157303371</v>
      </c>
      <c r="W938" s="13">
        <f t="shared" si="1556"/>
        <v>-0.98747390396659707</v>
      </c>
      <c r="X938" s="13">
        <f t="shared" si="1557"/>
        <v>-0.21927710843373494</v>
      </c>
      <c r="Y938" s="13">
        <f t="shared" si="1558"/>
        <v>-1.1428571428571428</v>
      </c>
    </row>
    <row r="939" spans="1:25" ht="14.4">
      <c r="A939" s="104" t="s">
        <v>1237</v>
      </c>
      <c r="B939" s="99">
        <v>543942</v>
      </c>
      <c r="C939" s="98" t="s">
        <v>172</v>
      </c>
      <c r="D939" s="70" t="s">
        <v>355</v>
      </c>
      <c r="E939" s="11">
        <f ca="1">IFERROR(__xludf.DUMMYFUNCTION("GOOGLEFINANCE(""BOM:""&amp;B941,""PRICE"")"),11.97)</f>
        <v>11.97</v>
      </c>
      <c r="F939" s="20">
        <f ca="1">IFERROR(__xludf.DUMMYFUNCTION("GOOGLEFINANCE(""BOM:""&amp;B941,""MARKETCAP"")/10000000"),2126.529951)</f>
        <v>2126.529951</v>
      </c>
      <c r="G939" s="95">
        <f t="shared" ca="1" si="1573"/>
        <v>5.2782395611594621E-5</v>
      </c>
      <c r="H939" s="101">
        <v>2857</v>
      </c>
      <c r="I939" s="101">
        <v>3198</v>
      </c>
      <c r="J939" s="101">
        <v>-962</v>
      </c>
      <c r="K939" s="101">
        <v>20</v>
      </c>
      <c r="L939" s="101">
        <v>901</v>
      </c>
      <c r="M939" s="101">
        <v>1037</v>
      </c>
      <c r="N939" s="101">
        <v>-375</v>
      </c>
      <c r="O939" s="101">
        <v>-168</v>
      </c>
      <c r="P939" s="13">
        <f t="shared" ref="P939:Q939" si="1898">J939/H939</f>
        <v>-0.33671683584179207</v>
      </c>
      <c r="Q939" s="13">
        <f t="shared" si="1898"/>
        <v>6.2539086929330832E-3</v>
      </c>
      <c r="R939" s="13">
        <f t="shared" si="1552"/>
        <v>-0.34297074453472515</v>
      </c>
      <c r="S939" s="13">
        <f t="shared" ref="S939:T939" si="1899">N939/L939</f>
        <v>-0.41620421753607101</v>
      </c>
      <c r="T939" s="13">
        <f t="shared" si="1899"/>
        <v>-0.16200578592092574</v>
      </c>
      <c r="U939" s="13">
        <f t="shared" si="1554"/>
        <v>-0.25419843161514527</v>
      </c>
      <c r="V939" s="13">
        <f t="shared" si="1555"/>
        <v>-0.10662914321450911</v>
      </c>
      <c r="W939" s="13">
        <f t="shared" si="1556"/>
        <v>-49.1</v>
      </c>
      <c r="X939" s="13">
        <f t="shared" si="1557"/>
        <v>-0.13114754098360659</v>
      </c>
      <c r="Y939" s="13">
        <f t="shared" si="1558"/>
        <v>1.2321428571428572</v>
      </c>
    </row>
    <row r="940" spans="1:25" ht="14.4">
      <c r="A940" s="98" t="s">
        <v>1238</v>
      </c>
      <c r="B940" s="99">
        <v>543288</v>
      </c>
      <c r="C940" s="98" t="s">
        <v>91</v>
      </c>
      <c r="D940" s="100" t="s">
        <v>1239</v>
      </c>
      <c r="E940" s="11">
        <f ca="1">IFERROR(__xludf.DUMMYFUNCTION("GOOGLEFINANCE(""BOM:""&amp;B942,""PRICE"")"),447)</f>
        <v>447</v>
      </c>
      <c r="F940" s="20">
        <f ca="1">IFERROR(__xludf.DUMMYFUNCTION("GOOGLEFINANCE(""BOM:""&amp;B942,""MARKETCAP"")/10000000"),2860.1422235)</f>
        <v>2860.1422235</v>
      </c>
      <c r="G940" s="95">
        <f t="shared" ca="1" si="1573"/>
        <v>7.0991315346963045E-5</v>
      </c>
      <c r="H940" s="101">
        <v>642</v>
      </c>
      <c r="I940" s="101">
        <v>408</v>
      </c>
      <c r="J940" s="101">
        <v>204</v>
      </c>
      <c r="K940" s="101">
        <v>127</v>
      </c>
      <c r="L940" s="101">
        <v>221</v>
      </c>
      <c r="M940" s="101">
        <v>154</v>
      </c>
      <c r="N940" s="101">
        <v>71</v>
      </c>
      <c r="O940" s="101">
        <v>47</v>
      </c>
      <c r="P940" s="13">
        <f t="shared" ref="P940:Q940" si="1900">J940/H940</f>
        <v>0.31775700934579437</v>
      </c>
      <c r="Q940" s="13">
        <f t="shared" si="1900"/>
        <v>0.31127450980392157</v>
      </c>
      <c r="R940" s="13">
        <f t="shared" si="1552"/>
        <v>6.4824995418727993E-3</v>
      </c>
      <c r="S940" s="13">
        <f t="shared" ref="S940:T940" si="1901">N940/L940</f>
        <v>0.32126696832579188</v>
      </c>
      <c r="T940" s="13">
        <f t="shared" si="1901"/>
        <v>0.30519480519480519</v>
      </c>
      <c r="U940" s="13">
        <f t="shared" si="1554"/>
        <v>1.6072163130986694E-2</v>
      </c>
      <c r="V940" s="13">
        <f t="shared" si="1555"/>
        <v>0.57352941176470584</v>
      </c>
      <c r="W940" s="13">
        <f t="shared" si="1556"/>
        <v>0.60629921259842523</v>
      </c>
      <c r="X940" s="13">
        <f t="shared" si="1557"/>
        <v>0.43506493506493515</v>
      </c>
      <c r="Y940" s="13">
        <f t="shared" si="1558"/>
        <v>0.5106382978723405</v>
      </c>
    </row>
    <row r="941" spans="1:25" ht="14.4">
      <c r="A941" s="98" t="s">
        <v>1240</v>
      </c>
      <c r="B941" s="99">
        <v>503811</v>
      </c>
      <c r="C941" s="98" t="s">
        <v>187</v>
      </c>
      <c r="D941" s="70" t="s">
        <v>492</v>
      </c>
      <c r="E941" s="11">
        <f ca="1">IFERROR(__xludf.DUMMYFUNCTION("GOOGLEFINANCE(""BOM:""&amp;B943,""PRICE"")"),500)</f>
        <v>500</v>
      </c>
      <c r="F941" s="20">
        <f ca="1">IFERROR(__xludf.DUMMYFUNCTION("GOOGLEFINANCE(""BOM:""&amp;B943,""MARKETCAP"")/10000000"),2275.0832184)</f>
        <v>2275.0832184000001</v>
      </c>
      <c r="G941" s="95">
        <f t="shared" ca="1" si="1573"/>
        <v>5.6469621989767462E-5</v>
      </c>
      <c r="H941" s="101">
        <v>1719</v>
      </c>
      <c r="I941" s="101">
        <v>1485</v>
      </c>
      <c r="J941" s="101">
        <v>133</v>
      </c>
      <c r="K941" s="101">
        <v>125</v>
      </c>
      <c r="L941" s="101">
        <v>624</v>
      </c>
      <c r="M941" s="101">
        <v>570</v>
      </c>
      <c r="N941" s="101">
        <v>41</v>
      </c>
      <c r="O941" s="101">
        <v>45</v>
      </c>
      <c r="P941" s="13">
        <f t="shared" ref="P941:Q941" si="1902">J941/H941</f>
        <v>7.7370564281559043E-2</v>
      </c>
      <c r="Q941" s="13">
        <f t="shared" si="1902"/>
        <v>8.4175084175084181E-2</v>
      </c>
      <c r="R941" s="13">
        <f t="shared" si="1552"/>
        <v>-6.8045198935251378E-3</v>
      </c>
      <c r="S941" s="13">
        <f t="shared" ref="S941:T941" si="1903">N941/L941</f>
        <v>6.5705128205128208E-2</v>
      </c>
      <c r="T941" s="13">
        <f t="shared" si="1903"/>
        <v>7.8947368421052627E-2</v>
      </c>
      <c r="U941" s="13">
        <f t="shared" si="1554"/>
        <v>-1.324224021592442E-2</v>
      </c>
      <c r="V941" s="13">
        <f t="shared" si="1555"/>
        <v>0.15757575757575748</v>
      </c>
      <c r="W941" s="13">
        <f t="shared" si="1556"/>
        <v>6.4000000000000057E-2</v>
      </c>
      <c r="X941" s="13">
        <f t="shared" si="1557"/>
        <v>9.473684210526323E-2</v>
      </c>
      <c r="Y941" s="13">
        <f t="shared" si="1558"/>
        <v>-8.8888888888888906E-2</v>
      </c>
    </row>
    <row r="942" spans="1:25" ht="14.4">
      <c r="A942" s="98" t="s">
        <v>1241</v>
      </c>
      <c r="B942" s="99">
        <v>504036</v>
      </c>
      <c r="C942" s="98" t="s">
        <v>180</v>
      </c>
      <c r="D942" s="108" t="s">
        <v>514</v>
      </c>
      <c r="E942" s="11">
        <f ca="1">IFERROR(__xludf.DUMMYFUNCTION("GOOGLEFINANCE(""BOM:""&amp;B944,""PRICE"")"),684.7)</f>
        <v>684.7</v>
      </c>
      <c r="F942" s="20">
        <f ca="1">IFERROR(__xludf.DUMMYFUNCTION("GOOGLEFINANCE(""BOM:""&amp;B944,""MARKETCAP"")/10000000"),2342.2818266)</f>
        <v>2342.2818265999999</v>
      </c>
      <c r="G942" s="95">
        <f t="shared" ca="1" si="1573"/>
        <v>5.8137552187925738E-5</v>
      </c>
      <c r="H942" s="101">
        <v>719</v>
      </c>
      <c r="I942" s="101">
        <v>470</v>
      </c>
      <c r="J942" s="101">
        <v>40</v>
      </c>
      <c r="K942" s="101">
        <v>27</v>
      </c>
      <c r="L942" s="101">
        <v>277</v>
      </c>
      <c r="M942" s="101">
        <v>168</v>
      </c>
      <c r="N942" s="101">
        <v>12</v>
      </c>
      <c r="O942" s="101">
        <v>10</v>
      </c>
      <c r="P942" s="13">
        <f t="shared" ref="P942:Q942" si="1904">J942/H942</f>
        <v>5.5632823365785816E-2</v>
      </c>
      <c r="Q942" s="13">
        <f t="shared" si="1904"/>
        <v>5.7446808510638298E-2</v>
      </c>
      <c r="R942" s="13">
        <f t="shared" si="1552"/>
        <v>-1.8139851448524813E-3</v>
      </c>
      <c r="S942" s="13">
        <f t="shared" ref="S942:T942" si="1905">N942/L942</f>
        <v>4.3321299638989168E-2</v>
      </c>
      <c r="T942" s="13">
        <f t="shared" si="1905"/>
        <v>5.9523809523809521E-2</v>
      </c>
      <c r="U942" s="13">
        <f t="shared" si="1554"/>
        <v>-1.6202509884820353E-2</v>
      </c>
      <c r="V942" s="13">
        <f t="shared" si="1555"/>
        <v>0.52978723404255312</v>
      </c>
      <c r="W942" s="13">
        <f t="shared" si="1556"/>
        <v>0.4814814814814814</v>
      </c>
      <c r="X942" s="13">
        <f t="shared" si="1557"/>
        <v>0.64880952380952372</v>
      </c>
      <c r="Y942" s="13">
        <f t="shared" si="1558"/>
        <v>0.19999999999999996</v>
      </c>
    </row>
    <row r="943" spans="1:25" ht="14.4">
      <c r="A943" s="98" t="s">
        <v>1242</v>
      </c>
      <c r="B943" s="99">
        <v>544119</v>
      </c>
      <c r="C943" s="98" t="s">
        <v>174</v>
      </c>
      <c r="D943" s="70" t="s">
        <v>1089</v>
      </c>
      <c r="E943" s="11">
        <f ca="1">IFERROR(__xludf.DUMMYFUNCTION("GOOGLEFINANCE(""BOM:""&amp;B945,""PRICE"")"),365.05)</f>
        <v>365.05</v>
      </c>
      <c r="F943" s="20">
        <f ca="1">IFERROR(__xludf.DUMMYFUNCTION("GOOGLEFINANCE(""BOM:""&amp;B945,""MARKETCAP"")/10000000"),2419.5063438)</f>
        <v>2419.5063438000002</v>
      </c>
      <c r="G943" s="95">
        <f t="shared" ca="1" si="1573"/>
        <v>6.005433451015357E-5</v>
      </c>
      <c r="H943" s="101">
        <v>11337</v>
      </c>
      <c r="I943" s="101">
        <v>10799</v>
      </c>
      <c r="J943" s="101">
        <v>195</v>
      </c>
      <c r="K943" s="101">
        <v>156</v>
      </c>
      <c r="L943" s="101">
        <v>4030</v>
      </c>
      <c r="M943" s="101">
        <v>2826</v>
      </c>
      <c r="N943" s="101">
        <v>74</v>
      </c>
      <c r="O943" s="101">
        <v>32</v>
      </c>
      <c r="P943" s="13">
        <f t="shared" ref="P943:Q943" si="1906">J943/H943</f>
        <v>1.7200317544323895E-2</v>
      </c>
      <c r="Q943" s="13">
        <f t="shared" si="1906"/>
        <v>1.4445782016853412E-2</v>
      </c>
      <c r="R943" s="13">
        <f t="shared" si="1552"/>
        <v>2.7545355274704829E-3</v>
      </c>
      <c r="S943" s="13">
        <f t="shared" ref="S943:T943" si="1907">N943/L943</f>
        <v>1.836228287841191E-2</v>
      </c>
      <c r="T943" s="13">
        <f t="shared" si="1907"/>
        <v>1.132342533616419E-2</v>
      </c>
      <c r="U943" s="13">
        <f t="shared" si="1554"/>
        <v>7.0388575422477197E-3</v>
      </c>
      <c r="V943" s="13">
        <f t="shared" si="1555"/>
        <v>4.9819427724789422E-2</v>
      </c>
      <c r="W943" s="13">
        <f t="shared" si="1556"/>
        <v>0.25</v>
      </c>
      <c r="X943" s="13">
        <f t="shared" si="1557"/>
        <v>0.42604387827317769</v>
      </c>
      <c r="Y943" s="13">
        <f t="shared" si="1558"/>
        <v>1.3125</v>
      </c>
    </row>
    <row r="944" spans="1:25" ht="14.4">
      <c r="A944" s="98" t="s">
        <v>1243</v>
      </c>
      <c r="B944" s="99">
        <v>506690</v>
      </c>
      <c r="C944" s="98" t="s">
        <v>190</v>
      </c>
      <c r="D944" s="100" t="s">
        <v>100</v>
      </c>
      <c r="E944" s="11">
        <f ca="1">IFERROR(__xludf.DUMMYFUNCTION("GOOGLEFINANCE(""BOM:""&amp;B946,""PRICE"")"),299)</f>
        <v>299</v>
      </c>
      <c r="F944" s="20">
        <f ca="1">IFERROR(__xludf.DUMMYFUNCTION("GOOGLEFINANCE(""BOM:""&amp;B946,""MARKETCAP"")/10000000"),2105.132224)</f>
        <v>2105.132224</v>
      </c>
      <c r="G944" s="95">
        <f t="shared" ca="1" si="1573"/>
        <v>5.2251284685472094E-5</v>
      </c>
      <c r="H944" s="101">
        <v>1627</v>
      </c>
      <c r="I944" s="101">
        <v>1524</v>
      </c>
      <c r="J944" s="101">
        <v>242</v>
      </c>
      <c r="K944" s="101">
        <v>84</v>
      </c>
      <c r="L944" s="101">
        <v>521</v>
      </c>
      <c r="M944" s="101">
        <v>533</v>
      </c>
      <c r="N944" s="101">
        <v>264</v>
      </c>
      <c r="O944" s="101">
        <v>58</v>
      </c>
      <c r="P944" s="13">
        <f t="shared" ref="P944:Q944" si="1908">J944/H944</f>
        <v>0.14874001229256301</v>
      </c>
      <c r="Q944" s="13">
        <f t="shared" si="1908"/>
        <v>5.5118110236220472E-2</v>
      </c>
      <c r="R944" s="13">
        <f t="shared" si="1552"/>
        <v>9.3621902056342535E-2</v>
      </c>
      <c r="S944" s="13">
        <f t="shared" ref="S944:T944" si="1909">N944/L944</f>
        <v>0.50671785028790783</v>
      </c>
      <c r="T944" s="13">
        <f t="shared" si="1909"/>
        <v>0.10881801125703565</v>
      </c>
      <c r="U944" s="13">
        <f t="shared" si="1554"/>
        <v>0.39789983903087217</v>
      </c>
      <c r="V944" s="13">
        <f t="shared" si="1555"/>
        <v>6.7585301837270295E-2</v>
      </c>
      <c r="W944" s="13">
        <f t="shared" si="1556"/>
        <v>1.8809523809523809</v>
      </c>
      <c r="X944" s="13">
        <f t="shared" si="1557"/>
        <v>-2.2514071294559068E-2</v>
      </c>
      <c r="Y944" s="13">
        <f t="shared" si="1558"/>
        <v>3.5517241379310347</v>
      </c>
    </row>
    <row r="945" spans="1:25" ht="14.4">
      <c r="A945" s="98" t="s">
        <v>1244</v>
      </c>
      <c r="B945" s="99">
        <v>506022</v>
      </c>
      <c r="C945" s="98" t="s">
        <v>196</v>
      </c>
      <c r="D945" s="108" t="s">
        <v>211</v>
      </c>
      <c r="E945" s="11">
        <f ca="1">IFERROR(__xludf.DUMMYFUNCTION("GOOGLEFINANCE(""BOM:""&amp;B947,""PRICE"")"),126.05)</f>
        <v>126.05</v>
      </c>
      <c r="F945" s="20">
        <f ca="1">IFERROR(__xludf.DUMMYFUNCTION("GOOGLEFINANCE(""BOM:""&amp;B947,""MARKETCAP"")/10000000"),2252.6699785)</f>
        <v>2252.6699785000001</v>
      </c>
      <c r="G945" s="95">
        <f t="shared" ca="1" si="1573"/>
        <v>5.5913305115517438E-5</v>
      </c>
      <c r="H945" s="101">
        <v>2558</v>
      </c>
      <c r="I945" s="101">
        <v>3169</v>
      </c>
      <c r="J945" s="101">
        <v>239</v>
      </c>
      <c r="K945" s="101">
        <v>264</v>
      </c>
      <c r="L945" s="101">
        <v>798</v>
      </c>
      <c r="M945" s="101">
        <v>925</v>
      </c>
      <c r="N945" s="101">
        <v>86</v>
      </c>
      <c r="O945" s="101">
        <v>83</v>
      </c>
      <c r="P945" s="13">
        <f t="shared" ref="P945:Q945" si="1910">J945/H945</f>
        <v>9.3432369038311175E-2</v>
      </c>
      <c r="Q945" s="13">
        <f t="shared" si="1910"/>
        <v>8.3307036920164085E-2</v>
      </c>
      <c r="R945" s="13">
        <f t="shared" si="1552"/>
        <v>1.012533211814709E-2</v>
      </c>
      <c r="S945" s="13">
        <f t="shared" ref="S945:T945" si="1911">N945/L945</f>
        <v>0.10776942355889724</v>
      </c>
      <c r="T945" s="13">
        <f t="shared" si="1911"/>
        <v>8.9729729729729729E-2</v>
      </c>
      <c r="U945" s="13">
        <f t="shared" si="1554"/>
        <v>1.8039693829167508E-2</v>
      </c>
      <c r="V945" s="13">
        <f t="shared" si="1555"/>
        <v>-0.19280530135689489</v>
      </c>
      <c r="W945" s="13">
        <f t="shared" si="1556"/>
        <v>-9.4696969696969724E-2</v>
      </c>
      <c r="X945" s="13">
        <f t="shared" si="1557"/>
        <v>-0.13729729729729734</v>
      </c>
      <c r="Y945" s="13">
        <f t="shared" si="1558"/>
        <v>3.6144578313253017E-2</v>
      </c>
    </row>
    <row r="946" spans="1:25" ht="14.4">
      <c r="A946" s="98" t="s">
        <v>1245</v>
      </c>
      <c r="B946" s="99">
        <v>535322</v>
      </c>
      <c r="C946" s="98" t="s">
        <v>172</v>
      </c>
      <c r="D946" s="100" t="s">
        <v>80</v>
      </c>
      <c r="E946" s="11">
        <f ca="1">IFERROR(__xludf.DUMMYFUNCTION("GOOGLEFINANCE(""BOM:""&amp;B948,""PRICE"")"),364.55)</f>
        <v>364.55</v>
      </c>
      <c r="F946" s="20">
        <f ca="1">IFERROR(__xludf.DUMMYFUNCTION("GOOGLEFINANCE(""BOM:""&amp;B948,""MARKETCAP"")/10000000"),2291.9354617)</f>
        <v>2291.9354616999999</v>
      </c>
      <c r="G946" s="95">
        <f t="shared" ca="1" si="1573"/>
        <v>5.6887909901670678E-5</v>
      </c>
      <c r="H946" s="101">
        <v>1340</v>
      </c>
      <c r="I946" s="101">
        <v>1286</v>
      </c>
      <c r="J946" s="101">
        <v>320</v>
      </c>
      <c r="K946" s="101">
        <v>321</v>
      </c>
      <c r="L946" s="101">
        <v>457</v>
      </c>
      <c r="M946" s="101">
        <v>445</v>
      </c>
      <c r="N946" s="101">
        <v>109</v>
      </c>
      <c r="O946" s="101">
        <v>107</v>
      </c>
      <c r="P946" s="13">
        <f t="shared" ref="P946:Q946" si="1912">J946/H946</f>
        <v>0.23880597014925373</v>
      </c>
      <c r="Q946" s="13">
        <f t="shared" si="1912"/>
        <v>0.24961119751166408</v>
      </c>
      <c r="R946" s="13">
        <f t="shared" si="1552"/>
        <v>-1.0805227362410352E-2</v>
      </c>
      <c r="S946" s="13">
        <f t="shared" ref="S946:T946" si="1913">N946/L946</f>
        <v>0.23851203501094093</v>
      </c>
      <c r="T946" s="13">
        <f t="shared" si="1913"/>
        <v>0.24044943820224718</v>
      </c>
      <c r="U946" s="13">
        <f t="shared" si="1554"/>
        <v>-1.9374031913062528E-3</v>
      </c>
      <c r="V946" s="13">
        <f t="shared" si="1555"/>
        <v>4.1990668740280013E-2</v>
      </c>
      <c r="W946" s="13">
        <f t="shared" si="1556"/>
        <v>-3.1152647975077885E-3</v>
      </c>
      <c r="X946" s="13">
        <f t="shared" si="1557"/>
        <v>2.6966292134831482E-2</v>
      </c>
      <c r="Y946" s="13">
        <f t="shared" si="1558"/>
        <v>1.8691588785046731E-2</v>
      </c>
    </row>
    <row r="947" spans="1:25" ht="14.4">
      <c r="A947" s="104" t="s">
        <v>1246</v>
      </c>
      <c r="B947" s="99">
        <v>544379</v>
      </c>
      <c r="C947" s="98" t="s">
        <v>91</v>
      </c>
      <c r="D947" s="100" t="s">
        <v>202</v>
      </c>
      <c r="E947" s="11">
        <f ca="1">IFERROR(__xludf.DUMMYFUNCTION("GOOGLEFINANCE(""BOM:""&amp;B949,""PRICE"")"),158.05)</f>
        <v>158.05000000000001</v>
      </c>
      <c r="F947" s="20">
        <f ca="1">IFERROR(__xludf.DUMMYFUNCTION("GOOGLEFINANCE(""BOM:""&amp;B949,""MARKETCAP"")/10000000"),2316.8763569)</f>
        <v>2316.8763568999998</v>
      </c>
      <c r="G947" s="95">
        <f t="shared" ca="1" si="1573"/>
        <v>5.7506965465282497E-5</v>
      </c>
      <c r="H947" s="101">
        <v>4</v>
      </c>
      <c r="I947" s="101">
        <v>2</v>
      </c>
      <c r="J947" s="101">
        <v>0.49</v>
      </c>
      <c r="K947" s="101">
        <v>-0.93</v>
      </c>
      <c r="L947" s="101">
        <v>1</v>
      </c>
      <c r="M947" s="101">
        <v>1</v>
      </c>
      <c r="N947" s="101">
        <v>0.22</v>
      </c>
      <c r="O947" s="101">
        <v>-0.09</v>
      </c>
      <c r="P947" s="13">
        <f t="shared" ref="P947:Q947" si="1914">J947/H947</f>
        <v>0.1225</v>
      </c>
      <c r="Q947" s="13">
        <f t="shared" si="1914"/>
        <v>-0.46500000000000002</v>
      </c>
      <c r="R947" s="13">
        <f t="shared" si="1552"/>
        <v>0.58750000000000002</v>
      </c>
      <c r="S947" s="13">
        <f t="shared" ref="S947:T947" si="1915">N947/L947</f>
        <v>0.22</v>
      </c>
      <c r="T947" s="13">
        <f t="shared" si="1915"/>
        <v>-0.09</v>
      </c>
      <c r="U947" s="13">
        <f t="shared" si="1554"/>
        <v>0.31</v>
      </c>
      <c r="V947" s="13">
        <f t="shared" si="1555"/>
        <v>1</v>
      </c>
      <c r="W947" s="13">
        <f t="shared" si="1556"/>
        <v>-1.5268817204301075</v>
      </c>
      <c r="X947" s="13">
        <f t="shared" si="1557"/>
        <v>0</v>
      </c>
      <c r="Y947" s="13">
        <f t="shared" si="1558"/>
        <v>-3.4444444444444446</v>
      </c>
    </row>
    <row r="948" spans="1:25" ht="14.4">
      <c r="A948" s="98" t="s">
        <v>1247</v>
      </c>
      <c r="B948" s="99">
        <v>544095</v>
      </c>
      <c r="C948" s="98" t="s">
        <v>187</v>
      </c>
      <c r="D948" s="100" t="s">
        <v>93</v>
      </c>
      <c r="E948" s="11">
        <f ca="1">IFERROR(__xludf.DUMMYFUNCTION("GOOGLEFINANCE(""BOM:""&amp;B950,""PRICE"")"),217.8)</f>
        <v>217.8</v>
      </c>
      <c r="F948" s="20">
        <f ca="1">IFERROR(__xludf.DUMMYFUNCTION("GOOGLEFINANCE(""BOM:""&amp;B950,""MARKETCAP"")/10000000"),2096.2413909)</f>
        <v>2096.2413909000002</v>
      </c>
      <c r="G948" s="95">
        <f t="shared" ca="1" si="1573"/>
        <v>5.2030606171266273E-5</v>
      </c>
      <c r="H948" s="101">
        <v>1303</v>
      </c>
      <c r="I948" s="101">
        <v>1527</v>
      </c>
      <c r="J948" s="101">
        <v>3</v>
      </c>
      <c r="K948" s="101">
        <v>17</v>
      </c>
      <c r="L948" s="101">
        <v>427</v>
      </c>
      <c r="M948" s="101">
        <v>376</v>
      </c>
      <c r="N948" s="101">
        <v>25</v>
      </c>
      <c r="O948" s="101">
        <v>25</v>
      </c>
      <c r="P948" s="13">
        <f t="shared" ref="P948:Q948" si="1916">J948/H948</f>
        <v>2.3023791250959325E-3</v>
      </c>
      <c r="Q948" s="13">
        <f t="shared" si="1916"/>
        <v>1.1132940406024885E-2</v>
      </c>
      <c r="R948" s="13">
        <f t="shared" si="1552"/>
        <v>-8.8305612809289526E-3</v>
      </c>
      <c r="S948" s="13">
        <f t="shared" ref="S948:T948" si="1917">N948/L948</f>
        <v>5.8548009367681501E-2</v>
      </c>
      <c r="T948" s="13">
        <f t="shared" si="1917"/>
        <v>6.6489361702127658E-2</v>
      </c>
      <c r="U948" s="13">
        <f t="shared" si="1554"/>
        <v>-7.941352334446157E-3</v>
      </c>
      <c r="V948" s="13">
        <f t="shared" si="1555"/>
        <v>-0.14669286182056318</v>
      </c>
      <c r="W948" s="13">
        <f t="shared" si="1556"/>
        <v>-0.82352941176470584</v>
      </c>
      <c r="X948" s="13">
        <f t="shared" si="1557"/>
        <v>0.1356382978723405</v>
      </c>
      <c r="Y948" s="13">
        <f t="shared" si="1558"/>
        <v>0</v>
      </c>
    </row>
    <row r="949" spans="1:25" ht="14.4">
      <c r="A949" s="98" t="s">
        <v>1248</v>
      </c>
      <c r="B949" s="99">
        <v>500730</v>
      </c>
      <c r="C949" s="98" t="s">
        <v>196</v>
      </c>
      <c r="D949" s="100" t="s">
        <v>251</v>
      </c>
      <c r="E949" s="11">
        <f ca="1">IFERROR(__xludf.DUMMYFUNCTION("GOOGLEFINANCE(""BOM:""&amp;B951,""PRICE"")"),161.6)</f>
        <v>161.6</v>
      </c>
      <c r="F949" s="20">
        <f ca="1">IFERROR(__xludf.DUMMYFUNCTION("GOOGLEFINANCE(""BOM:""&amp;B951,""MARKETCAP"")/10000000"),2696.7841475)</f>
        <v>2696.7841475</v>
      </c>
      <c r="G949" s="95">
        <f t="shared" ca="1" si="1573"/>
        <v>6.6936620236872425E-5</v>
      </c>
      <c r="H949" s="101">
        <v>973</v>
      </c>
      <c r="I949" s="101">
        <v>1053</v>
      </c>
      <c r="J949" s="101">
        <v>39</v>
      </c>
      <c r="K949" s="101">
        <v>82</v>
      </c>
      <c r="L949" s="101">
        <v>316</v>
      </c>
      <c r="M949" s="101">
        <v>318</v>
      </c>
      <c r="N949" s="101">
        <v>9</v>
      </c>
      <c r="O949" s="101">
        <v>13</v>
      </c>
      <c r="P949" s="13">
        <f t="shared" ref="P949:Q949" si="1918">J949/H949</f>
        <v>4.0082219938335044E-2</v>
      </c>
      <c r="Q949" s="13">
        <f t="shared" si="1918"/>
        <v>7.7872744539411204E-2</v>
      </c>
      <c r="R949" s="13">
        <f t="shared" si="1552"/>
        <v>-3.779052460107616E-2</v>
      </c>
      <c r="S949" s="13">
        <f t="shared" ref="S949:T949" si="1919">N949/L949</f>
        <v>2.8481012658227847E-2</v>
      </c>
      <c r="T949" s="13">
        <f t="shared" si="1919"/>
        <v>4.0880503144654086E-2</v>
      </c>
      <c r="U949" s="13">
        <f t="shared" si="1554"/>
        <v>-1.2399490486426239E-2</v>
      </c>
      <c r="V949" s="13">
        <f t="shared" si="1555"/>
        <v>-7.5973409306742679E-2</v>
      </c>
      <c r="W949" s="13">
        <f t="shared" si="1556"/>
        <v>-0.52439024390243905</v>
      </c>
      <c r="X949" s="13">
        <f t="shared" si="1557"/>
        <v>-6.2893081761006275E-3</v>
      </c>
      <c r="Y949" s="13">
        <f t="shared" si="1558"/>
        <v>-0.30769230769230771</v>
      </c>
    </row>
    <row r="950" spans="1:25" ht="14.4">
      <c r="A950" s="98" t="s">
        <v>1249</v>
      </c>
      <c r="B950" s="99">
        <v>544021</v>
      </c>
      <c r="C950" s="98" t="s">
        <v>174</v>
      </c>
      <c r="D950" s="70" t="s">
        <v>455</v>
      </c>
      <c r="E950" s="11">
        <f ca="1">IFERROR(__xludf.DUMMYFUNCTION("GOOGLEFINANCE(""BOM:""&amp;B952,""PRICE"")"),498)</f>
        <v>498</v>
      </c>
      <c r="F950" s="20">
        <f ca="1">IFERROR(__xludf.DUMMYFUNCTION("GOOGLEFINANCE(""BOM:""&amp;B952,""MARKETCAP"")/10000000"),2024.5404579)</f>
        <v>2024.5404579000001</v>
      </c>
      <c r="G950" s="95">
        <f t="shared" ca="1" si="1573"/>
        <v>5.0250924201799178E-5</v>
      </c>
      <c r="H950" s="101">
        <v>690</v>
      </c>
      <c r="I950" s="101">
        <v>618</v>
      </c>
      <c r="J950" s="101">
        <v>70</v>
      </c>
      <c r="K950" s="101">
        <v>72</v>
      </c>
      <c r="L950" s="101">
        <v>229</v>
      </c>
      <c r="M950" s="101">
        <v>228</v>
      </c>
      <c r="N950" s="101">
        <v>22</v>
      </c>
      <c r="O950" s="101">
        <v>23</v>
      </c>
      <c r="P950" s="13">
        <f t="shared" ref="P950:Q950" si="1920">J950/H950</f>
        <v>0.10144927536231885</v>
      </c>
      <c r="Q950" s="13">
        <f t="shared" si="1920"/>
        <v>0.11650485436893204</v>
      </c>
      <c r="R950" s="13">
        <f t="shared" si="1552"/>
        <v>-1.5055579006613196E-2</v>
      </c>
      <c r="S950" s="13">
        <f t="shared" ref="S950:T950" si="1921">N950/L950</f>
        <v>9.606986899563319E-2</v>
      </c>
      <c r="T950" s="13">
        <f t="shared" si="1921"/>
        <v>0.10087719298245613</v>
      </c>
      <c r="U950" s="13">
        <f t="shared" si="1554"/>
        <v>-4.807323986822945E-3</v>
      </c>
      <c r="V950" s="13">
        <f t="shared" si="1555"/>
        <v>0.11650485436893199</v>
      </c>
      <c r="W950" s="13">
        <f t="shared" si="1556"/>
        <v>-2.777777777777779E-2</v>
      </c>
      <c r="X950" s="13">
        <f t="shared" si="1557"/>
        <v>4.3859649122806044E-3</v>
      </c>
      <c r="Y950" s="13">
        <f t="shared" si="1558"/>
        <v>-4.3478260869565188E-2</v>
      </c>
    </row>
    <row r="951" spans="1:25" ht="14.4">
      <c r="A951" s="104" t="s">
        <v>1250</v>
      </c>
      <c r="B951" s="99">
        <v>500285</v>
      </c>
      <c r="C951" s="98" t="s">
        <v>206</v>
      </c>
      <c r="D951" s="100" t="s">
        <v>135</v>
      </c>
      <c r="E951" s="11">
        <f ca="1">IFERROR(__xludf.DUMMYFUNCTION("GOOGLEFINANCE(""BOM:""&amp;B953,""PRICE"")"),10.59)</f>
        <v>10.59</v>
      </c>
      <c r="F951" s="20">
        <f ca="1">IFERROR(__xludf.DUMMYFUNCTION("GOOGLEFINANCE(""BOM:""&amp;B953,""MARKETCAP"")/10000000"),1614.6127303)</f>
        <v>1614.6127303000001</v>
      </c>
      <c r="G951" s="95">
        <f t="shared" ca="1" si="1573"/>
        <v>4.0076147458038571E-5</v>
      </c>
      <c r="H951" s="101">
        <v>3320</v>
      </c>
      <c r="I951" s="101">
        <v>3860</v>
      </c>
      <c r="J951" s="101">
        <v>-111</v>
      </c>
      <c r="K951" s="101">
        <v>-27</v>
      </c>
      <c r="L951" s="101">
        <v>1345</v>
      </c>
      <c r="M951" s="101">
        <v>1178</v>
      </c>
      <c r="N951" s="101">
        <v>-261</v>
      </c>
      <c r="O951" s="101">
        <v>20</v>
      </c>
      <c r="P951" s="13">
        <f t="shared" ref="P951:Q951" si="1922">J951/H951</f>
        <v>-3.3433734939759034E-2</v>
      </c>
      <c r="Q951" s="13">
        <f t="shared" si="1922"/>
        <v>-6.9948186528497412E-3</v>
      </c>
      <c r="R951" s="13">
        <f t="shared" si="1552"/>
        <v>-2.6438916286909295E-2</v>
      </c>
      <c r="S951" s="13">
        <f t="shared" ref="S951:T951" si="1923">N951/L951</f>
        <v>-0.19405204460966544</v>
      </c>
      <c r="T951" s="13">
        <f t="shared" si="1923"/>
        <v>1.6977928692699491E-2</v>
      </c>
      <c r="U951" s="13">
        <f t="shared" si="1554"/>
        <v>-0.21102997330236492</v>
      </c>
      <c r="V951" s="13">
        <f t="shared" si="1555"/>
        <v>-0.13989637305699487</v>
      </c>
      <c r="W951" s="13">
        <f t="shared" si="1556"/>
        <v>3.1111111111111107</v>
      </c>
      <c r="X951" s="13">
        <f t="shared" si="1557"/>
        <v>0.14176570458404081</v>
      </c>
      <c r="Y951" s="13">
        <f t="shared" si="1558"/>
        <v>-14.05</v>
      </c>
    </row>
    <row r="952" spans="1:25" ht="14.4">
      <c r="A952" s="98" t="s">
        <v>1251</v>
      </c>
      <c r="B952" s="99">
        <v>517498</v>
      </c>
      <c r="C952" s="98" t="s">
        <v>180</v>
      </c>
      <c r="D952" s="70" t="s">
        <v>344</v>
      </c>
      <c r="E952" s="11">
        <f ca="1">IFERROR(__xludf.DUMMYFUNCTION("GOOGLEFINANCE(""BOM:""&amp;B954,""PRICE"")"),76.08)</f>
        <v>76.08</v>
      </c>
      <c r="F952" s="20">
        <f ca="1">IFERROR(__xludf.DUMMYFUNCTION("GOOGLEFINANCE(""BOM:""&amp;B954,""MARKETCAP"")/10000000"),3304.4176638)</f>
        <v>3304.4176637999999</v>
      </c>
      <c r="G952" s="95">
        <f t="shared" ca="1" si="1573"/>
        <v>8.2018633367761517E-5</v>
      </c>
      <c r="H952" s="101">
        <v>648</v>
      </c>
      <c r="I952" s="101">
        <v>402</v>
      </c>
      <c r="J952" s="101">
        <v>178</v>
      </c>
      <c r="K952" s="101">
        <v>106</v>
      </c>
      <c r="L952" s="101">
        <v>261</v>
      </c>
      <c r="M952" s="101">
        <v>147</v>
      </c>
      <c r="N952" s="101">
        <v>65</v>
      </c>
      <c r="O952" s="101">
        <v>42</v>
      </c>
      <c r="P952" s="13">
        <f t="shared" ref="P952:Q952" si="1924">J952/H952</f>
        <v>0.27469135802469136</v>
      </c>
      <c r="Q952" s="13">
        <f t="shared" si="1924"/>
        <v>0.26368159203980102</v>
      </c>
      <c r="R952" s="13">
        <f t="shared" si="1552"/>
        <v>1.1009765984890341E-2</v>
      </c>
      <c r="S952" s="13">
        <f t="shared" ref="S952:T952" si="1925">N952/L952</f>
        <v>0.24904214559386972</v>
      </c>
      <c r="T952" s="13">
        <f t="shared" si="1925"/>
        <v>0.2857142857142857</v>
      </c>
      <c r="U952" s="13">
        <f t="shared" si="1554"/>
        <v>-3.6672140120415975E-2</v>
      </c>
      <c r="V952" s="13">
        <f t="shared" si="1555"/>
        <v>0.61194029850746268</v>
      </c>
      <c r="W952" s="13">
        <f t="shared" si="1556"/>
        <v>0.679245283018868</v>
      </c>
      <c r="X952" s="13">
        <f t="shared" si="1557"/>
        <v>0.77551020408163263</v>
      </c>
      <c r="Y952" s="13">
        <f t="shared" si="1558"/>
        <v>0.54761904761904767</v>
      </c>
    </row>
    <row r="953" spans="1:25" ht="14.4">
      <c r="A953" s="98" t="s">
        <v>1252</v>
      </c>
      <c r="B953" s="99">
        <v>500288</v>
      </c>
      <c r="C953" s="98" t="s">
        <v>190</v>
      </c>
      <c r="D953" s="100" t="s">
        <v>100</v>
      </c>
      <c r="E953" s="11">
        <f ca="1">IFERROR(__xludf.DUMMYFUNCTION("GOOGLEFINANCE(""BOM:""&amp;B955,""PRICE"")"),38.09)</f>
        <v>38.090000000000003</v>
      </c>
      <c r="F953" s="20">
        <f ca="1">IFERROR(__xludf.DUMMYFUNCTION("GOOGLEFINANCE(""BOM:""&amp;B955,""MARKETCAP"")/10000000"),2087.7035133)</f>
        <v>2087.7035132999999</v>
      </c>
      <c r="G953" s="95">
        <f t="shared" ca="1" si="1573"/>
        <v>5.1818688331616441E-5</v>
      </c>
      <c r="H953" s="101">
        <v>1320</v>
      </c>
      <c r="I953" s="101">
        <v>1345</v>
      </c>
      <c r="J953" s="101">
        <v>79</v>
      </c>
      <c r="K953" s="101">
        <v>97</v>
      </c>
      <c r="L953" s="101">
        <v>484</v>
      </c>
      <c r="M953" s="101">
        <v>452</v>
      </c>
      <c r="N953" s="101">
        <v>27</v>
      </c>
      <c r="O953" s="101">
        <v>26</v>
      </c>
      <c r="P953" s="13">
        <f t="shared" ref="P953:Q953" si="1926">J953/H953</f>
        <v>5.9848484848484845E-2</v>
      </c>
      <c r="Q953" s="13">
        <f t="shared" si="1926"/>
        <v>7.2118959107806691E-2</v>
      </c>
      <c r="R953" s="13">
        <f t="shared" si="1552"/>
        <v>-1.2270474259321845E-2</v>
      </c>
      <c r="S953" s="13">
        <f t="shared" ref="S953:T953" si="1927">N953/L953</f>
        <v>5.578512396694215E-2</v>
      </c>
      <c r="T953" s="13">
        <f t="shared" si="1927"/>
        <v>5.7522123893805309E-2</v>
      </c>
      <c r="U953" s="13">
        <f t="shared" si="1554"/>
        <v>-1.7369999268631586E-3</v>
      </c>
      <c r="V953" s="13">
        <f t="shared" si="1555"/>
        <v>-1.8587360594795488E-2</v>
      </c>
      <c r="W953" s="13">
        <f t="shared" si="1556"/>
        <v>-0.18556701030927836</v>
      </c>
      <c r="X953" s="13">
        <f t="shared" si="1557"/>
        <v>7.079646017699126E-2</v>
      </c>
      <c r="Y953" s="13">
        <f t="shared" si="1558"/>
        <v>3.8461538461538547E-2</v>
      </c>
    </row>
    <row r="954" spans="1:25" ht="14.4">
      <c r="A954" s="98" t="s">
        <v>1253</v>
      </c>
      <c r="B954" s="99">
        <v>506235</v>
      </c>
      <c r="C954" s="98" t="s">
        <v>187</v>
      </c>
      <c r="D954" s="108" t="s">
        <v>131</v>
      </c>
      <c r="E954" s="11">
        <f ca="1">IFERROR(__xludf.DUMMYFUNCTION("GOOGLEFINANCE(""BOM:""&amp;B956,""PRICE"")"),79.53)</f>
        <v>79.53</v>
      </c>
      <c r="F954" s="20">
        <f ca="1">IFERROR(__xludf.DUMMYFUNCTION("GOOGLEFINANCE(""BOM:""&amp;B956,""MARKETCAP"")/10000000"),2043.9830888)</f>
        <v>2043.9830887999999</v>
      </c>
      <c r="G954" s="95">
        <f t="shared" ca="1" si="1573"/>
        <v>5.0733507875455609E-5</v>
      </c>
      <c r="H954" s="101">
        <v>179</v>
      </c>
      <c r="I954" s="101">
        <v>161</v>
      </c>
      <c r="J954" s="101">
        <v>116</v>
      </c>
      <c r="K954" s="101">
        <v>120</v>
      </c>
      <c r="L954" s="101">
        <v>74</v>
      </c>
      <c r="M954" s="101">
        <v>57</v>
      </c>
      <c r="N954" s="101">
        <v>22</v>
      </c>
      <c r="O954" s="101">
        <v>26</v>
      </c>
      <c r="P954" s="13">
        <f t="shared" ref="P954:Q954" si="1928">J954/H954</f>
        <v>0.64804469273743015</v>
      </c>
      <c r="Q954" s="13">
        <f t="shared" si="1928"/>
        <v>0.74534161490683226</v>
      </c>
      <c r="R954" s="13">
        <f t="shared" si="1552"/>
        <v>-9.7296922169402111E-2</v>
      </c>
      <c r="S954" s="13">
        <f t="shared" ref="S954:T954" si="1929">N954/L954</f>
        <v>0.29729729729729731</v>
      </c>
      <c r="T954" s="13">
        <f t="shared" si="1929"/>
        <v>0.45614035087719296</v>
      </c>
      <c r="U954" s="13">
        <f t="shared" si="1554"/>
        <v>-0.15884305357989564</v>
      </c>
      <c r="V954" s="13">
        <f t="shared" si="1555"/>
        <v>0.11180124223602483</v>
      </c>
      <c r="W954" s="13">
        <f t="shared" si="1556"/>
        <v>-3.3333333333333326E-2</v>
      </c>
      <c r="X954" s="13">
        <f t="shared" si="1557"/>
        <v>0.29824561403508776</v>
      </c>
      <c r="Y954" s="13">
        <f t="shared" si="1558"/>
        <v>-0.15384615384615385</v>
      </c>
    </row>
    <row r="955" spans="1:25" ht="14.4">
      <c r="A955" s="98" t="s">
        <v>1254</v>
      </c>
      <c r="B955" s="99">
        <v>517467</v>
      </c>
      <c r="C955" s="98" t="s">
        <v>180</v>
      </c>
      <c r="D955" s="100" t="s">
        <v>344</v>
      </c>
      <c r="E955" s="11">
        <f ca="1">IFERROR(__xludf.DUMMYFUNCTION("GOOGLEFINANCE(""BOM:""&amp;B957,""PRICE"")"),140.45)</f>
        <v>140.44999999999999</v>
      </c>
      <c r="F955" s="20"/>
      <c r="G955" s="95">
        <f t="shared" ca="1" si="1573"/>
        <v>0</v>
      </c>
      <c r="H955" s="101">
        <v>155</v>
      </c>
      <c r="I955" s="101">
        <v>117</v>
      </c>
      <c r="J955" s="101">
        <v>23</v>
      </c>
      <c r="K955" s="101">
        <v>19</v>
      </c>
      <c r="L955" s="101">
        <v>45</v>
      </c>
      <c r="M955" s="101">
        <v>44</v>
      </c>
      <c r="N955" s="101">
        <v>6</v>
      </c>
      <c r="O955" s="101">
        <v>6</v>
      </c>
      <c r="P955" s="13">
        <f t="shared" ref="P955:Q955" si="1930">J955/H955</f>
        <v>0.14838709677419354</v>
      </c>
      <c r="Q955" s="13">
        <f t="shared" si="1930"/>
        <v>0.1623931623931624</v>
      </c>
      <c r="R955" s="13">
        <f t="shared" si="1552"/>
        <v>-1.400606561896886E-2</v>
      </c>
      <c r="S955" s="13">
        <f t="shared" ref="S955:T955" si="1931">N955/L955</f>
        <v>0.13333333333333333</v>
      </c>
      <c r="T955" s="13">
        <f t="shared" si="1931"/>
        <v>0.13636363636363635</v>
      </c>
      <c r="U955" s="13">
        <f t="shared" si="1554"/>
        <v>-3.0303030303030221E-3</v>
      </c>
      <c r="V955" s="13">
        <f t="shared" si="1555"/>
        <v>0.32478632478632474</v>
      </c>
      <c r="W955" s="13">
        <f t="shared" si="1556"/>
        <v>0.21052631578947367</v>
      </c>
      <c r="X955" s="13">
        <f t="shared" si="1557"/>
        <v>2.2727272727272707E-2</v>
      </c>
      <c r="Y955" s="13">
        <f t="shared" si="1558"/>
        <v>0</v>
      </c>
    </row>
    <row r="956" spans="1:25" ht="14.4">
      <c r="A956" s="98" t="s">
        <v>1255</v>
      </c>
      <c r="B956" s="99">
        <v>532661</v>
      </c>
      <c r="C956" s="98" t="s">
        <v>187</v>
      </c>
      <c r="D956" s="100" t="s">
        <v>312</v>
      </c>
      <c r="E956" s="11">
        <f ca="1">IFERROR(__xludf.DUMMYFUNCTION("GOOGLEFINANCE(""BOM:""&amp;B958,""PRICE"")"),679.8)</f>
        <v>679.8</v>
      </c>
      <c r="F956" s="20">
        <f ca="1">IFERROR(__xludf.DUMMYFUNCTION("GOOGLEFINANCE(""BOM:""&amp;B958,""MARKETCAP"")/10000000"),1877.528359)</f>
        <v>1877.5283589999999</v>
      </c>
      <c r="G956" s="95">
        <f t="shared" ca="1" si="1573"/>
        <v>4.6601951018900108E-5</v>
      </c>
      <c r="H956" s="101">
        <v>2815</v>
      </c>
      <c r="I956" s="101">
        <v>2504</v>
      </c>
      <c r="J956" s="101">
        <v>71</v>
      </c>
      <c r="K956" s="101">
        <v>31</v>
      </c>
      <c r="L956" s="101">
        <v>1015</v>
      </c>
      <c r="M956" s="101">
        <v>837</v>
      </c>
      <c r="N956" s="101">
        <v>31</v>
      </c>
      <c r="O956" s="101">
        <v>0.39</v>
      </c>
      <c r="P956" s="13">
        <f t="shared" ref="P956:Q956" si="1932">J956/H956</f>
        <v>2.522202486678508E-2</v>
      </c>
      <c r="Q956" s="13">
        <f t="shared" si="1932"/>
        <v>1.2380191693290734E-2</v>
      </c>
      <c r="R956" s="13">
        <f t="shared" si="1552"/>
        <v>1.2841833173494346E-2</v>
      </c>
      <c r="S956" s="13">
        <f t="shared" ref="S956:T956" si="1933">N956/L956</f>
        <v>3.0541871921182268E-2</v>
      </c>
      <c r="T956" s="13">
        <f t="shared" si="1933"/>
        <v>4.6594982078853047E-4</v>
      </c>
      <c r="U956" s="13">
        <f t="shared" si="1554"/>
        <v>3.0075922100393736E-2</v>
      </c>
      <c r="V956" s="13">
        <f t="shared" si="1555"/>
        <v>0.12420127795527147</v>
      </c>
      <c r="W956" s="13">
        <f t="shared" si="1556"/>
        <v>1.2903225806451615</v>
      </c>
      <c r="X956" s="13">
        <f t="shared" si="1557"/>
        <v>0.21266427718040615</v>
      </c>
      <c r="Y956" s="13">
        <f t="shared" si="1558"/>
        <v>78.487179487179489</v>
      </c>
    </row>
    <row r="957" spans="1:25" ht="14.4">
      <c r="A957" s="98" t="s">
        <v>1256</v>
      </c>
      <c r="B957" s="99">
        <v>507488</v>
      </c>
      <c r="C957" s="98" t="s">
        <v>183</v>
      </c>
      <c r="D957" s="108" t="s">
        <v>317</v>
      </c>
      <c r="E957" s="11">
        <f ca="1">IFERROR(__xludf.DUMMYFUNCTION("GOOGLEFINANCE(""BOM:""&amp;B959,""PRICE"")"),1055)</f>
        <v>1055</v>
      </c>
      <c r="F957" s="20">
        <f ca="1">IFERROR(__xludf.DUMMYFUNCTION("GOOGLEFINANCE(""BOM:""&amp;B959,""MARKETCAP"")/10000000"),2407.2657815)</f>
        <v>2407.2657814999998</v>
      </c>
      <c r="G957" s="95">
        <f t="shared" ca="1" si="1573"/>
        <v>5.9750512689293169E-5</v>
      </c>
      <c r="H957" s="101">
        <v>2164</v>
      </c>
      <c r="I957" s="101">
        <v>1840</v>
      </c>
      <c r="J957" s="101">
        <v>102</v>
      </c>
      <c r="K957" s="101">
        <v>68</v>
      </c>
      <c r="L957" s="101">
        <v>808</v>
      </c>
      <c r="M957" s="101">
        <v>644</v>
      </c>
      <c r="N957" s="101">
        <v>42</v>
      </c>
      <c r="O957" s="101">
        <v>21</v>
      </c>
      <c r="P957" s="13">
        <f t="shared" ref="P957:Q957" si="1934">J957/H957</f>
        <v>4.7134935304990758E-2</v>
      </c>
      <c r="Q957" s="13">
        <f t="shared" si="1934"/>
        <v>3.6956521739130437E-2</v>
      </c>
      <c r="R957" s="13">
        <f t="shared" si="1552"/>
        <v>1.0178413565860321E-2</v>
      </c>
      <c r="S957" s="13">
        <f t="shared" ref="S957:T957" si="1935">N957/L957</f>
        <v>5.1980198019801978E-2</v>
      </c>
      <c r="T957" s="13">
        <f t="shared" si="1935"/>
        <v>3.2608695652173912E-2</v>
      </c>
      <c r="U957" s="13">
        <f t="shared" si="1554"/>
        <v>1.9371502367628066E-2</v>
      </c>
      <c r="V957" s="13">
        <f t="shared" si="1555"/>
        <v>0.17608695652173911</v>
      </c>
      <c r="W957" s="13">
        <f t="shared" si="1556"/>
        <v>0.5</v>
      </c>
      <c r="X957" s="13">
        <f t="shared" si="1557"/>
        <v>0.25465838509316763</v>
      </c>
      <c r="Y957" s="13">
        <f t="shared" si="1558"/>
        <v>1</v>
      </c>
    </row>
    <row r="958" spans="1:25" ht="14.4">
      <c r="A958" s="98" t="s">
        <v>1257</v>
      </c>
      <c r="B958" s="99">
        <v>544396</v>
      </c>
      <c r="C958" s="98" t="s">
        <v>174</v>
      </c>
      <c r="D958" s="70" t="s">
        <v>455</v>
      </c>
      <c r="E958" s="11">
        <f ca="1">IFERROR(__xludf.DUMMYFUNCTION("GOOGLEFINANCE(""BOM:""&amp;B960,""PRICE"")"),1125)</f>
        <v>1125</v>
      </c>
      <c r="F958" s="20">
        <f ca="1">IFERROR(__xludf.DUMMYFUNCTION("GOOGLEFINANCE(""BOM:""&amp;B960,""MARKETCAP"")/10000000"),2343.1961488)</f>
        <v>2343.1961488000002</v>
      </c>
      <c r="G958" s="95">
        <f t="shared" ca="1" si="1573"/>
        <v>5.8160246491410242E-5</v>
      </c>
      <c r="H958" s="101">
        <v>132</v>
      </c>
      <c r="I958" s="101">
        <v>146</v>
      </c>
      <c r="J958" s="101">
        <v>28</v>
      </c>
      <c r="K958" s="101">
        <v>39</v>
      </c>
      <c r="L958" s="101">
        <v>52</v>
      </c>
      <c r="M958" s="101">
        <v>21</v>
      </c>
      <c r="N958" s="101">
        <v>11</v>
      </c>
      <c r="O958" s="101">
        <v>5</v>
      </c>
      <c r="P958" s="13">
        <f t="shared" ref="P958:Q958" si="1936">J958/H958</f>
        <v>0.21212121212121213</v>
      </c>
      <c r="Q958" s="13">
        <f t="shared" si="1936"/>
        <v>0.26712328767123289</v>
      </c>
      <c r="R958" s="13">
        <f t="shared" si="1552"/>
        <v>-5.5002075550020763E-2</v>
      </c>
      <c r="S958" s="13">
        <f t="shared" ref="S958:T958" si="1937">N958/L958</f>
        <v>0.21153846153846154</v>
      </c>
      <c r="T958" s="13">
        <f t="shared" si="1937"/>
        <v>0.23809523809523808</v>
      </c>
      <c r="U958" s="13">
        <f t="shared" si="1554"/>
        <v>-2.6556776556776546E-2</v>
      </c>
      <c r="V958" s="13">
        <f t="shared" si="1555"/>
        <v>-9.589041095890416E-2</v>
      </c>
      <c r="W958" s="13">
        <f t="shared" si="1556"/>
        <v>-0.28205128205128205</v>
      </c>
      <c r="X958" s="13">
        <f t="shared" si="1557"/>
        <v>1.4761904761904763</v>
      </c>
      <c r="Y958" s="13">
        <f t="shared" si="1558"/>
        <v>1.2000000000000002</v>
      </c>
    </row>
    <row r="959" spans="1:25" ht="14.4">
      <c r="A959" s="104" t="s">
        <v>1258</v>
      </c>
      <c r="B959" s="99">
        <v>500412</v>
      </c>
      <c r="C959" s="98" t="s">
        <v>196</v>
      </c>
      <c r="D959" s="100" t="s">
        <v>346</v>
      </c>
      <c r="E959" s="11">
        <f ca="1">IFERROR(__xludf.DUMMYFUNCTION("GOOGLEFINANCE(""BOM:""&amp;B961,""PRICE"")"),173.4)</f>
        <v>173.4</v>
      </c>
      <c r="F959" s="20">
        <f ca="1">IFERROR(__xludf.DUMMYFUNCTION("GOOGLEFINANCE(""BOM:""&amp;B961,""MARKETCAP"")/10000000"),2092.0714748)</f>
        <v>2092.0714748</v>
      </c>
      <c r="G959" s="95">
        <f t="shared" ca="1" si="1573"/>
        <v>5.1927105084364651E-5</v>
      </c>
      <c r="H959" s="101">
        <v>1311</v>
      </c>
      <c r="I959" s="101">
        <v>1526</v>
      </c>
      <c r="J959" s="101">
        <v>-139</v>
      </c>
      <c r="K959" s="101">
        <v>-32</v>
      </c>
      <c r="L959" s="101">
        <v>415</v>
      </c>
      <c r="M959" s="101">
        <v>446</v>
      </c>
      <c r="N959" s="101">
        <v>-46</v>
      </c>
      <c r="O959" s="101">
        <v>-42</v>
      </c>
      <c r="P959" s="13">
        <f t="shared" ref="P959:Q959" si="1938">J959/H959</f>
        <v>-0.10602593440122045</v>
      </c>
      <c r="Q959" s="13">
        <f t="shared" si="1938"/>
        <v>-2.0969855832241154E-2</v>
      </c>
      <c r="R959" s="13">
        <f t="shared" si="1552"/>
        <v>-8.5056078568979288E-2</v>
      </c>
      <c r="S959" s="13">
        <f t="shared" ref="S959:T959" si="1939">N959/L959</f>
        <v>-0.1108433734939759</v>
      </c>
      <c r="T959" s="13">
        <f t="shared" si="1939"/>
        <v>-9.417040358744394E-2</v>
      </c>
      <c r="U959" s="13">
        <f t="shared" si="1554"/>
        <v>-1.6672969906531956E-2</v>
      </c>
      <c r="V959" s="13">
        <f t="shared" si="1555"/>
        <v>-0.14089121887287026</v>
      </c>
      <c r="W959" s="13">
        <f t="shared" si="1556"/>
        <v>3.34375</v>
      </c>
      <c r="X959" s="13">
        <f t="shared" si="1557"/>
        <v>-6.9506726457399082E-2</v>
      </c>
      <c r="Y959" s="13">
        <f t="shared" si="1558"/>
        <v>9.5238095238095344E-2</v>
      </c>
    </row>
    <row r="960" spans="1:25" ht="14.4">
      <c r="A960" s="98" t="s">
        <v>1259</v>
      </c>
      <c r="B960" s="99">
        <v>522215</v>
      </c>
      <c r="C960" s="98" t="s">
        <v>180</v>
      </c>
      <c r="D960" s="100" t="s">
        <v>514</v>
      </c>
      <c r="E960" s="11">
        <f ca="1">IFERROR(__xludf.DUMMYFUNCTION("GOOGLEFINANCE(""BOM:""&amp;B962,""PRICE"")"),270.55)</f>
        <v>270.55</v>
      </c>
      <c r="F960" s="20">
        <f ca="1">IFERROR(__xludf.DUMMYFUNCTION("GOOGLEFINANCE(""BOM:""&amp;B962,""MARKETCAP"")/10000000"),1879.0981764)</f>
        <v>1879.0981764000001</v>
      </c>
      <c r="G960" s="95">
        <f t="shared" ca="1" si="1573"/>
        <v>4.6640915305768394E-5</v>
      </c>
      <c r="H960" s="101">
        <v>961</v>
      </c>
      <c r="I960" s="101">
        <v>693</v>
      </c>
      <c r="J960" s="101">
        <v>36</v>
      </c>
      <c r="K960" s="101">
        <v>30</v>
      </c>
      <c r="L960" s="101">
        <v>326</v>
      </c>
      <c r="M960" s="101">
        <v>231</v>
      </c>
      <c r="N960" s="101">
        <v>4</v>
      </c>
      <c r="O960" s="101">
        <v>10</v>
      </c>
      <c r="P960" s="13">
        <f t="shared" ref="P960:Q960" si="1940">J960/H960</f>
        <v>3.7460978147762745E-2</v>
      </c>
      <c r="Q960" s="13">
        <f t="shared" si="1940"/>
        <v>4.3290043290043288E-2</v>
      </c>
      <c r="R960" s="13">
        <f t="shared" si="1552"/>
        <v>-5.8290651422805428E-3</v>
      </c>
      <c r="S960" s="13">
        <f t="shared" ref="S960:T960" si="1941">N960/L960</f>
        <v>1.2269938650306749E-2</v>
      </c>
      <c r="T960" s="13">
        <f t="shared" si="1941"/>
        <v>4.3290043290043288E-2</v>
      </c>
      <c r="U960" s="13">
        <f t="shared" si="1554"/>
        <v>-3.1020104639736541E-2</v>
      </c>
      <c r="V960" s="13">
        <f t="shared" si="1555"/>
        <v>0.3867243867243868</v>
      </c>
      <c r="W960" s="13">
        <f t="shared" si="1556"/>
        <v>0.19999999999999996</v>
      </c>
      <c r="X960" s="13">
        <f t="shared" si="1557"/>
        <v>0.41125541125541121</v>
      </c>
      <c r="Y960" s="13">
        <f t="shared" si="1558"/>
        <v>-0.6</v>
      </c>
    </row>
    <row r="961" spans="1:25" ht="14.4">
      <c r="A961" s="98" t="s">
        <v>1260</v>
      </c>
      <c r="B961" s="99">
        <v>526947</v>
      </c>
      <c r="C961" s="98" t="s">
        <v>187</v>
      </c>
      <c r="D961" s="100" t="s">
        <v>1261</v>
      </c>
      <c r="E961" s="11">
        <f ca="1">IFERROR(__xludf.DUMMYFUNCTION("GOOGLEFINANCE(""BOM:""&amp;B963,""PRICE"")"),180.7)</f>
        <v>180.7</v>
      </c>
      <c r="F961" s="20">
        <f ca="1">IFERROR(__xludf.DUMMYFUNCTION("GOOGLEFINANCE(""BOM:""&amp;B963,""MARKETCAP"")/10000000"),1994.3369796)</f>
        <v>1994.3369795999999</v>
      </c>
      <c r="G961" s="95">
        <f t="shared" ca="1" si="1573"/>
        <v>4.9501246568654565E-5</v>
      </c>
      <c r="H961" s="101">
        <v>240</v>
      </c>
      <c r="I961" s="101">
        <v>254</v>
      </c>
      <c r="J961" s="101">
        <v>76</v>
      </c>
      <c r="K961" s="101">
        <v>70</v>
      </c>
      <c r="L961" s="101">
        <v>84</v>
      </c>
      <c r="M961" s="101">
        <v>91</v>
      </c>
      <c r="N961" s="101">
        <v>24</v>
      </c>
      <c r="O961" s="101">
        <v>23</v>
      </c>
      <c r="P961" s="13">
        <f t="shared" ref="P961:Q961" si="1942">J961/H961</f>
        <v>0.31666666666666665</v>
      </c>
      <c r="Q961" s="13">
        <f t="shared" si="1942"/>
        <v>0.27559055118110237</v>
      </c>
      <c r="R961" s="13">
        <f t="shared" si="1552"/>
        <v>4.107611548556428E-2</v>
      </c>
      <c r="S961" s="13">
        <f t="shared" ref="S961:T961" si="1943">N961/L961</f>
        <v>0.2857142857142857</v>
      </c>
      <c r="T961" s="13">
        <f t="shared" si="1943"/>
        <v>0.25274725274725274</v>
      </c>
      <c r="U961" s="13">
        <f t="shared" si="1554"/>
        <v>3.2967032967032961E-2</v>
      </c>
      <c r="V961" s="13">
        <f t="shared" si="1555"/>
        <v>-5.5118110236220486E-2</v>
      </c>
      <c r="W961" s="13">
        <f t="shared" si="1556"/>
        <v>8.5714285714285632E-2</v>
      </c>
      <c r="X961" s="13">
        <f t="shared" si="1557"/>
        <v>-7.6923076923076872E-2</v>
      </c>
      <c r="Y961" s="13">
        <f t="shared" si="1558"/>
        <v>4.3478260869565188E-2</v>
      </c>
    </row>
    <row r="962" spans="1:25" ht="14.4">
      <c r="A962" s="98" t="s">
        <v>1262</v>
      </c>
      <c r="B962" s="99">
        <v>505744</v>
      </c>
      <c r="C962" s="98" t="s">
        <v>187</v>
      </c>
      <c r="D962" s="100" t="s">
        <v>312</v>
      </c>
      <c r="E962" s="11">
        <f ca="1">IFERROR(__xludf.DUMMYFUNCTION("GOOGLEFINANCE(""BOM:""&amp;B964,""PRICE"")"),421.35)</f>
        <v>421.35</v>
      </c>
      <c r="F962" s="20">
        <f ca="1">IFERROR(__xludf.DUMMYFUNCTION("GOOGLEFINANCE(""BOM:""&amp;B964,""MARKETCAP"")/10000000"),2346.5627536)</f>
        <v>2346.5627536000002</v>
      </c>
      <c r="G962" s="95">
        <f t="shared" ca="1" si="1573"/>
        <v>5.824380866571112E-5</v>
      </c>
      <c r="H962" s="101">
        <v>1469</v>
      </c>
      <c r="I962" s="101">
        <v>1341</v>
      </c>
      <c r="J962" s="101">
        <v>127</v>
      </c>
      <c r="K962" s="101">
        <v>108</v>
      </c>
      <c r="L962" s="101">
        <v>495</v>
      </c>
      <c r="M962" s="101">
        <v>433</v>
      </c>
      <c r="N962" s="101">
        <v>30</v>
      </c>
      <c r="O962" s="101">
        <v>30</v>
      </c>
      <c r="P962" s="13">
        <f t="shared" ref="P962:Q962" si="1944">J962/H962</f>
        <v>8.6453369639210353E-2</v>
      </c>
      <c r="Q962" s="13">
        <f t="shared" si="1944"/>
        <v>8.0536912751677847E-2</v>
      </c>
      <c r="R962" s="13">
        <f t="shared" si="1552"/>
        <v>5.9164568875325063E-3</v>
      </c>
      <c r="S962" s="13">
        <f t="shared" ref="S962:T962" si="1945">N962/L962</f>
        <v>6.0606060606060608E-2</v>
      </c>
      <c r="T962" s="13">
        <f t="shared" si="1945"/>
        <v>6.9284064665127015E-2</v>
      </c>
      <c r="U962" s="13">
        <f t="shared" si="1554"/>
        <v>-8.6780040590664076E-3</v>
      </c>
      <c r="V962" s="13">
        <f t="shared" si="1555"/>
        <v>9.5451155853840453E-2</v>
      </c>
      <c r="W962" s="13">
        <f t="shared" si="1556"/>
        <v>0.17592592592592582</v>
      </c>
      <c r="X962" s="13">
        <f t="shared" si="1557"/>
        <v>0.14318706697459582</v>
      </c>
      <c r="Y962" s="13">
        <f t="shared" si="1558"/>
        <v>0</v>
      </c>
    </row>
    <row r="963" spans="1:25" ht="14.4">
      <c r="A963" s="98" t="s">
        <v>1263</v>
      </c>
      <c r="B963" s="99">
        <v>530073</v>
      </c>
      <c r="C963" s="98" t="s">
        <v>206</v>
      </c>
      <c r="D963" s="100" t="s">
        <v>657</v>
      </c>
      <c r="E963" s="11">
        <f ca="1">IFERROR(__xludf.DUMMYFUNCTION("GOOGLEFINANCE(""BOM:""&amp;B965,""PRICE"")"),279.8)</f>
        <v>279.8</v>
      </c>
      <c r="F963" s="20">
        <f ca="1">IFERROR(__xludf.DUMMYFUNCTION("GOOGLEFINANCE(""BOM:""&amp;B965,""MARKETCAP"")/10000000"),2411.9204737)</f>
        <v>2411.9204737</v>
      </c>
      <c r="G963" s="95">
        <f t="shared" ca="1" si="1573"/>
        <v>5.9866046357198989E-5</v>
      </c>
      <c r="H963" s="101">
        <v>739</v>
      </c>
      <c r="I963" s="101">
        <v>548</v>
      </c>
      <c r="J963" s="101">
        <v>115</v>
      </c>
      <c r="K963" s="101">
        <v>102</v>
      </c>
      <c r="L963" s="101">
        <v>235</v>
      </c>
      <c r="M963" s="101">
        <v>207</v>
      </c>
      <c r="N963" s="101">
        <v>28</v>
      </c>
      <c r="O963" s="101">
        <v>33</v>
      </c>
      <c r="P963" s="13">
        <f t="shared" ref="P963:Q963" si="1946">J963/H963</f>
        <v>0.15561569688768606</v>
      </c>
      <c r="Q963" s="13">
        <f t="shared" si="1946"/>
        <v>0.18613138686131386</v>
      </c>
      <c r="R963" s="13">
        <f t="shared" si="1552"/>
        <v>-3.0515689973627802E-2</v>
      </c>
      <c r="S963" s="13">
        <f t="shared" ref="S963:T963" si="1947">N963/L963</f>
        <v>0.11914893617021277</v>
      </c>
      <c r="T963" s="13">
        <f t="shared" si="1947"/>
        <v>0.15942028985507245</v>
      </c>
      <c r="U963" s="13">
        <f t="shared" si="1554"/>
        <v>-4.0271353684859679E-2</v>
      </c>
      <c r="V963" s="13">
        <f t="shared" si="1555"/>
        <v>0.3485401459854014</v>
      </c>
      <c r="W963" s="13">
        <f t="shared" si="1556"/>
        <v>0.12745098039215685</v>
      </c>
      <c r="X963" s="13">
        <f t="shared" si="1557"/>
        <v>0.13526570048309172</v>
      </c>
      <c r="Y963" s="13">
        <f t="shared" si="1558"/>
        <v>-0.15151515151515149</v>
      </c>
    </row>
    <row r="964" spans="1:25" ht="14.4">
      <c r="A964" s="98" t="s">
        <v>1264</v>
      </c>
      <c r="B964" s="99">
        <v>514234</v>
      </c>
      <c r="C964" s="98" t="s">
        <v>187</v>
      </c>
      <c r="D964" s="70" t="s">
        <v>492</v>
      </c>
      <c r="E964" s="11">
        <f ca="1">IFERROR(__xludf.DUMMYFUNCTION("GOOGLEFINANCE(""BOM:""&amp;B966,""PRICE"")"),440.75)</f>
        <v>440.75</v>
      </c>
      <c r="F964" s="20">
        <f ca="1">IFERROR(__xludf.DUMMYFUNCTION("GOOGLEFINANCE(""BOM:""&amp;B966,""MARKETCAP"")/10000000"),2173.1264589)</f>
        <v>2173.1264589000002</v>
      </c>
      <c r="G964" s="95">
        <f t="shared" ca="1" si="1573"/>
        <v>5.3938963057512811E-5</v>
      </c>
      <c r="H964" s="101">
        <v>2350</v>
      </c>
      <c r="I964" s="101">
        <v>2122</v>
      </c>
      <c r="J964" s="101">
        <v>49</v>
      </c>
      <c r="K964" s="101">
        <v>22</v>
      </c>
      <c r="L964" s="101">
        <v>774</v>
      </c>
      <c r="M964" s="101">
        <v>753</v>
      </c>
      <c r="N964" s="101">
        <v>24</v>
      </c>
      <c r="O964" s="101">
        <v>2</v>
      </c>
      <c r="P964" s="13">
        <f t="shared" ref="P964:Q964" si="1948">J964/H964</f>
        <v>2.0851063829787235E-2</v>
      </c>
      <c r="Q964" s="13">
        <f t="shared" si="1948"/>
        <v>1.0367577756833177E-2</v>
      </c>
      <c r="R964" s="13">
        <f t="shared" si="1552"/>
        <v>1.0483486072954058E-2</v>
      </c>
      <c r="S964" s="13">
        <f t="shared" ref="S964:T964" si="1949">N964/L964</f>
        <v>3.1007751937984496E-2</v>
      </c>
      <c r="T964" s="13">
        <f t="shared" si="1949"/>
        <v>2.6560424966799467E-3</v>
      </c>
      <c r="U964" s="13">
        <f t="shared" si="1554"/>
        <v>2.8351709441304548E-2</v>
      </c>
      <c r="V964" s="13">
        <f t="shared" si="1555"/>
        <v>0.10744580584354391</v>
      </c>
      <c r="W964" s="13">
        <f t="shared" si="1556"/>
        <v>1.2272727272727271</v>
      </c>
      <c r="X964" s="13">
        <f t="shared" si="1557"/>
        <v>2.7888446215139417E-2</v>
      </c>
      <c r="Y964" s="13">
        <f t="shared" si="1558"/>
        <v>11</v>
      </c>
    </row>
    <row r="965" spans="1:25" ht="14.4">
      <c r="A965" s="98" t="s">
        <v>1265</v>
      </c>
      <c r="B965" s="99">
        <v>526783</v>
      </c>
      <c r="C965" s="98" t="s">
        <v>190</v>
      </c>
      <c r="D965" s="100" t="s">
        <v>113</v>
      </c>
      <c r="E965" s="11">
        <f ca="1">IFERROR(__xludf.DUMMYFUNCTION("GOOGLEFINANCE(""BOM:""&amp;B967,""PRICE"")"),4787.5)</f>
        <v>4787.5</v>
      </c>
      <c r="F965" s="20">
        <f ca="1">IFERROR(__xludf.DUMMYFUNCTION("GOOGLEFINANCE(""BOM:""&amp;B967,""MARKETCAP"")/10000000"),2313.7159262)</f>
        <v>2313.7159262</v>
      </c>
      <c r="G965" s="95">
        <f t="shared" ca="1" si="1573"/>
        <v>5.7428520718509957E-5</v>
      </c>
      <c r="H965" s="101">
        <v>351</v>
      </c>
      <c r="I965" s="101">
        <v>297</v>
      </c>
      <c r="J965" s="101">
        <v>54</v>
      </c>
      <c r="K965" s="101">
        <v>39</v>
      </c>
      <c r="L965" s="101">
        <v>116</v>
      </c>
      <c r="M965" s="101">
        <v>95</v>
      </c>
      <c r="N965" s="101">
        <v>17</v>
      </c>
      <c r="O965" s="101">
        <v>10</v>
      </c>
      <c r="P965" s="13">
        <f t="shared" ref="P965:Q965" si="1950">J965/H965</f>
        <v>0.15384615384615385</v>
      </c>
      <c r="Q965" s="13">
        <f t="shared" si="1950"/>
        <v>0.13131313131313133</v>
      </c>
      <c r="R965" s="13">
        <f t="shared" si="1552"/>
        <v>2.2533022533022529E-2</v>
      </c>
      <c r="S965" s="13">
        <f t="shared" ref="S965:T965" si="1951">N965/L965</f>
        <v>0.14655172413793102</v>
      </c>
      <c r="T965" s="13">
        <f t="shared" si="1951"/>
        <v>0.10526315789473684</v>
      </c>
      <c r="U965" s="13">
        <f t="shared" si="1554"/>
        <v>4.1288566243194186E-2</v>
      </c>
      <c r="V965" s="13">
        <f t="shared" si="1555"/>
        <v>0.18181818181818188</v>
      </c>
      <c r="W965" s="13">
        <f t="shared" si="1556"/>
        <v>0.38461538461538458</v>
      </c>
      <c r="X965" s="13">
        <f t="shared" si="1557"/>
        <v>0.22105263157894739</v>
      </c>
      <c r="Y965" s="13">
        <f t="shared" si="1558"/>
        <v>0.7</v>
      </c>
    </row>
    <row r="966" spans="1:25" ht="14.4">
      <c r="A966" s="98" t="s">
        <v>1266</v>
      </c>
      <c r="B966" s="99">
        <v>511551</v>
      </c>
      <c r="C966" s="98" t="s">
        <v>172</v>
      </c>
      <c r="D966" s="70" t="s">
        <v>436</v>
      </c>
      <c r="E966" s="11">
        <f ca="1">IFERROR(__xludf.DUMMYFUNCTION("GOOGLEFINANCE(""BOM:""&amp;B968,""PRICE"")"),277.3)</f>
        <v>277.3</v>
      </c>
      <c r="F966" s="20">
        <f ca="1">IFERROR(__xludf.DUMMYFUNCTION("GOOGLEFINANCE(""BOM:""&amp;B968,""MARKETCAP"")/10000000"),2195.732187)</f>
        <v>2195.7321870000001</v>
      </c>
      <c r="G966" s="95">
        <f t="shared" ca="1" si="1573"/>
        <v>5.4500057662882109E-5</v>
      </c>
      <c r="H966" s="101">
        <v>273</v>
      </c>
      <c r="I966" s="101">
        <v>266</v>
      </c>
      <c r="J966" s="101">
        <v>135</v>
      </c>
      <c r="K966" s="101">
        <v>124</v>
      </c>
      <c r="L966" s="101">
        <v>91</v>
      </c>
      <c r="M966" s="101">
        <v>76</v>
      </c>
      <c r="N966" s="101">
        <v>45</v>
      </c>
      <c r="O966" s="101">
        <v>40</v>
      </c>
      <c r="P966" s="13">
        <f t="shared" ref="P966:Q966" si="1952">J966/H966</f>
        <v>0.49450549450549453</v>
      </c>
      <c r="Q966" s="13">
        <f t="shared" si="1952"/>
        <v>0.46616541353383456</v>
      </c>
      <c r="R966" s="13">
        <f t="shared" si="1552"/>
        <v>2.8340080971659964E-2</v>
      </c>
      <c r="S966" s="13">
        <f t="shared" ref="S966:T966" si="1953">N966/L966</f>
        <v>0.49450549450549453</v>
      </c>
      <c r="T966" s="13">
        <f t="shared" si="1953"/>
        <v>0.52631578947368418</v>
      </c>
      <c r="U966" s="13">
        <f t="shared" si="1554"/>
        <v>-3.1810294968189656E-2</v>
      </c>
      <c r="V966" s="13">
        <f t="shared" si="1555"/>
        <v>2.6315789473684292E-2</v>
      </c>
      <c r="W966" s="13">
        <f t="shared" si="1556"/>
        <v>8.870967741935476E-2</v>
      </c>
      <c r="X966" s="13">
        <f t="shared" si="1557"/>
        <v>0.19736842105263164</v>
      </c>
      <c r="Y966" s="13">
        <f t="shared" si="1558"/>
        <v>0.125</v>
      </c>
    </row>
    <row r="967" spans="1:25" ht="14.4">
      <c r="A967" s="98" t="s">
        <v>1267</v>
      </c>
      <c r="B967" s="99">
        <v>534600</v>
      </c>
      <c r="C967" s="98" t="s">
        <v>180</v>
      </c>
      <c r="D967" s="70" t="s">
        <v>384</v>
      </c>
      <c r="E967" s="11">
        <f ca="1">IFERROR(__xludf.DUMMYFUNCTION("GOOGLEFINANCE(""BOM:""&amp;B969,""PRICE"")"),49.58)</f>
        <v>49.58</v>
      </c>
      <c r="F967" s="20">
        <f ca="1">IFERROR(__xludf.DUMMYFUNCTION("GOOGLEFINANCE(""BOM:""&amp;B969,""MARKETCAP"")/10000000"),1948.1119679)</f>
        <v>1948.1119679000001</v>
      </c>
      <c r="G967" s="95">
        <f t="shared" ca="1" si="1573"/>
        <v>4.8353899994225815E-5</v>
      </c>
      <c r="H967" s="101">
        <v>1443</v>
      </c>
      <c r="I967" s="101">
        <v>1446</v>
      </c>
      <c r="J967" s="101">
        <v>65</v>
      </c>
      <c r="K967" s="101">
        <v>81</v>
      </c>
      <c r="L967" s="101">
        <v>470</v>
      </c>
      <c r="M967" s="101">
        <v>451</v>
      </c>
      <c r="N967" s="101">
        <v>26</v>
      </c>
      <c r="O967" s="101">
        <v>24</v>
      </c>
      <c r="P967" s="13">
        <f t="shared" ref="P967:Q967" si="1954">J967/H967</f>
        <v>4.5045045045045043E-2</v>
      </c>
      <c r="Q967" s="13">
        <f t="shared" si="1954"/>
        <v>5.6016597510373446E-2</v>
      </c>
      <c r="R967" s="13">
        <f t="shared" si="1552"/>
        <v>-1.0971552465328403E-2</v>
      </c>
      <c r="S967" s="13">
        <f t="shared" ref="S967:T967" si="1955">N967/L967</f>
        <v>5.5319148936170209E-2</v>
      </c>
      <c r="T967" s="13">
        <f t="shared" si="1955"/>
        <v>5.3215077605321508E-2</v>
      </c>
      <c r="U967" s="13">
        <f t="shared" si="1554"/>
        <v>2.1040713308487016E-3</v>
      </c>
      <c r="V967" s="13">
        <f t="shared" si="1555"/>
        <v>-2.0746887966804906E-3</v>
      </c>
      <c r="W967" s="13">
        <f t="shared" si="1556"/>
        <v>-0.19753086419753085</v>
      </c>
      <c r="X967" s="13">
        <f t="shared" si="1557"/>
        <v>4.2128603104212958E-2</v>
      </c>
      <c r="Y967" s="13">
        <f t="shared" si="1558"/>
        <v>8.3333333333333259E-2</v>
      </c>
    </row>
    <row r="968" spans="1:25" ht="14.4">
      <c r="A968" s="104" t="s">
        <v>1268</v>
      </c>
      <c r="B968" s="99">
        <v>542333</v>
      </c>
      <c r="C968" s="98" t="s">
        <v>206</v>
      </c>
      <c r="D968" s="100" t="s">
        <v>649</v>
      </c>
      <c r="E968" s="11">
        <f ca="1">IFERROR(__xludf.DUMMYFUNCTION("GOOGLEFINANCE(""BOM:""&amp;B970,""PRICE"")"),1113)</f>
        <v>1113</v>
      </c>
      <c r="F968" s="20">
        <f ca="1">IFERROR(__xludf.DUMMYFUNCTION("GOOGLEFINANCE(""BOM:""&amp;B970,""MARKETCAP"")/10000000"),3679.5384632)</f>
        <v>3679.5384632</v>
      </c>
      <c r="G968" s="95">
        <f t="shared" ca="1" si="1573"/>
        <v>9.1329470690676992E-5</v>
      </c>
      <c r="H968" s="101">
        <v>8396</v>
      </c>
      <c r="I968" s="101">
        <v>7067</v>
      </c>
      <c r="J968" s="101">
        <v>74</v>
      </c>
      <c r="K968" s="101">
        <v>152</v>
      </c>
      <c r="L968" s="101">
        <v>2756</v>
      </c>
      <c r="M968" s="101">
        <v>2385</v>
      </c>
      <c r="N968" s="101">
        <v>-136</v>
      </c>
      <c r="O968" s="101">
        <v>-46</v>
      </c>
      <c r="P968" s="13">
        <f t="shared" ref="P968:Q968" si="1956">J968/H968</f>
        <v>8.8137208194378272E-3</v>
      </c>
      <c r="Q968" s="13">
        <f t="shared" si="1956"/>
        <v>2.1508419414178578E-2</v>
      </c>
      <c r="R968" s="13">
        <f t="shared" si="1552"/>
        <v>-1.269469859474075E-2</v>
      </c>
      <c r="S968" s="13">
        <f t="shared" ref="S968:T968" si="1957">N968/L968</f>
        <v>-4.9346879535558781E-2</v>
      </c>
      <c r="T968" s="13">
        <f t="shared" si="1957"/>
        <v>-1.9287211740041929E-2</v>
      </c>
      <c r="U968" s="13">
        <f t="shared" si="1554"/>
        <v>-3.0059667795516852E-2</v>
      </c>
      <c r="V968" s="13">
        <f t="shared" si="1555"/>
        <v>0.18805716711475884</v>
      </c>
      <c r="W968" s="13">
        <f t="shared" si="1556"/>
        <v>-0.51315789473684204</v>
      </c>
      <c r="X968" s="13">
        <f t="shared" si="1557"/>
        <v>0.15555555555555545</v>
      </c>
      <c r="Y968" s="13">
        <f t="shared" si="1558"/>
        <v>1.9565217391304346</v>
      </c>
    </row>
    <row r="969" spans="1:25" ht="14.4">
      <c r="A969" s="98" t="s">
        <v>1269</v>
      </c>
      <c r="B969" s="99">
        <v>539199</v>
      </c>
      <c r="C969" s="98" t="s">
        <v>172</v>
      </c>
      <c r="D969" s="70" t="s">
        <v>178</v>
      </c>
      <c r="E969" s="11">
        <f ca="1">IFERROR(__xludf.DUMMYFUNCTION("GOOGLEFINANCE(""BOM:""&amp;B971,""PRICE"")"),450)</f>
        <v>450</v>
      </c>
      <c r="F969" s="20">
        <f ca="1">IFERROR(__xludf.DUMMYFUNCTION("GOOGLEFINANCE(""BOM:""&amp;B971,""MARKETCAP"")/10000000"),2937.02445)</f>
        <v>2937.0244499999999</v>
      </c>
      <c r="G969" s="95">
        <f t="shared" ca="1" si="1573"/>
        <v>7.2899601704611071E-5</v>
      </c>
      <c r="H969" s="101">
        <v>228</v>
      </c>
      <c r="I969" s="101">
        <v>116</v>
      </c>
      <c r="J969" s="101">
        <v>85</v>
      </c>
      <c r="K969" s="101">
        <v>57</v>
      </c>
      <c r="L969" s="101">
        <v>86</v>
      </c>
      <c r="M969" s="101">
        <v>42</v>
      </c>
      <c r="N969" s="101">
        <v>32</v>
      </c>
      <c r="O969" s="101">
        <v>23</v>
      </c>
      <c r="P969" s="13">
        <f t="shared" ref="P969:Q969" si="1958">J969/H969</f>
        <v>0.37280701754385964</v>
      </c>
      <c r="Q969" s="13">
        <f t="shared" si="1958"/>
        <v>0.49137931034482757</v>
      </c>
      <c r="R969" s="13">
        <f t="shared" si="1552"/>
        <v>-0.11857229280096793</v>
      </c>
      <c r="S969" s="13">
        <f t="shared" ref="S969:T969" si="1959">N969/L969</f>
        <v>0.37209302325581395</v>
      </c>
      <c r="T969" s="13">
        <f t="shared" si="1959"/>
        <v>0.54761904761904767</v>
      </c>
      <c r="U969" s="13">
        <f t="shared" si="1554"/>
        <v>-0.17552602436323372</v>
      </c>
      <c r="V969" s="13">
        <f t="shared" si="1555"/>
        <v>0.96551724137931028</v>
      </c>
      <c r="W969" s="13">
        <f t="shared" si="1556"/>
        <v>0.49122807017543857</v>
      </c>
      <c r="X969" s="13">
        <f t="shared" si="1557"/>
        <v>1.0476190476190474</v>
      </c>
      <c r="Y969" s="13">
        <f t="shared" si="1558"/>
        <v>0.39130434782608692</v>
      </c>
    </row>
    <row r="970" spans="1:25" ht="14.4">
      <c r="A970" s="98" t="s">
        <v>1270</v>
      </c>
      <c r="B970" s="99">
        <v>543528</v>
      </c>
      <c r="C970" s="98" t="s">
        <v>180</v>
      </c>
      <c r="D970" s="100" t="s">
        <v>384</v>
      </c>
      <c r="E970" s="11">
        <f ca="1">IFERROR(__xludf.DUMMYFUNCTION("GOOGLEFINANCE(""BOM:""&amp;B972,""PRICE"")"),1010.15)</f>
        <v>1010.15</v>
      </c>
      <c r="F970" s="20">
        <f ca="1">IFERROR(__xludf.DUMMYFUNCTION("GOOGLEFINANCE(""BOM:""&amp;B972,""MARKETCAP"")/10000000"),2050.8661663)</f>
        <v>2050.8661662999998</v>
      </c>
      <c r="G970" s="95">
        <f t="shared" ca="1" si="1573"/>
        <v>5.0904352080804994E-5</v>
      </c>
      <c r="H970" s="101">
        <v>864</v>
      </c>
      <c r="I970" s="101">
        <v>700</v>
      </c>
      <c r="J970" s="101">
        <v>76</v>
      </c>
      <c r="K970" s="101">
        <v>69</v>
      </c>
      <c r="L970" s="101">
        <v>296</v>
      </c>
      <c r="M970" s="101">
        <v>231</v>
      </c>
      <c r="N970" s="101">
        <v>25</v>
      </c>
      <c r="O970" s="101">
        <v>17</v>
      </c>
      <c r="P970" s="13">
        <f t="shared" ref="P970:Q970" si="1960">J970/H970</f>
        <v>8.7962962962962965E-2</v>
      </c>
      <c r="Q970" s="13">
        <f t="shared" si="1960"/>
        <v>9.8571428571428574E-2</v>
      </c>
      <c r="R970" s="13">
        <f t="shared" si="1552"/>
        <v>-1.0608465608465609E-2</v>
      </c>
      <c r="S970" s="13">
        <f t="shared" ref="S970:T970" si="1961">N970/L970</f>
        <v>8.4459459459459457E-2</v>
      </c>
      <c r="T970" s="13">
        <f t="shared" si="1961"/>
        <v>7.3593073593073599E-2</v>
      </c>
      <c r="U970" s="13">
        <f t="shared" si="1554"/>
        <v>1.0866385866385858E-2</v>
      </c>
      <c r="V970" s="13">
        <f t="shared" si="1555"/>
        <v>0.23428571428571421</v>
      </c>
      <c r="W970" s="13">
        <f t="shared" si="1556"/>
        <v>0.10144927536231885</v>
      </c>
      <c r="X970" s="13">
        <f t="shared" si="1557"/>
        <v>0.28138528138528129</v>
      </c>
      <c r="Y970" s="13">
        <f t="shared" si="1558"/>
        <v>0.47058823529411775</v>
      </c>
    </row>
    <row r="971" spans="1:25" ht="14.4">
      <c r="A971" s="98" t="s">
        <v>1271</v>
      </c>
      <c r="B971" s="99">
        <v>533267</v>
      </c>
      <c r="C971" s="98" t="s">
        <v>187</v>
      </c>
      <c r="D971" s="100" t="s">
        <v>96</v>
      </c>
      <c r="E971" s="11">
        <f ca="1">IFERROR(__xludf.DUMMYFUNCTION("GOOGLEFINANCE(""BOM:""&amp;B973,""PRICE"")"),230.6)</f>
        <v>230.6</v>
      </c>
      <c r="F971" s="20">
        <f ca="1">IFERROR(__xludf.DUMMYFUNCTION("GOOGLEFINANCE(""BOM:""&amp;B973,""MARKETCAP"")/10000000"),1927.939953)</f>
        <v>1927.9399530000001</v>
      </c>
      <c r="G971" s="95">
        <f t="shared" ca="1" si="1573"/>
        <v>4.7853212350379513E-5</v>
      </c>
      <c r="H971" s="101">
        <v>599</v>
      </c>
      <c r="I971" s="101">
        <v>501</v>
      </c>
      <c r="J971" s="101">
        <v>66</v>
      </c>
      <c r="K971" s="101">
        <v>52</v>
      </c>
      <c r="L971" s="101">
        <v>264</v>
      </c>
      <c r="M971" s="101">
        <v>222</v>
      </c>
      <c r="N971" s="101">
        <v>45</v>
      </c>
      <c r="O971" s="101">
        <v>34</v>
      </c>
      <c r="P971" s="13">
        <f t="shared" ref="P971:Q971" si="1962">J971/H971</f>
        <v>0.11018363939899833</v>
      </c>
      <c r="Q971" s="13">
        <f t="shared" si="1962"/>
        <v>0.10379241516966067</v>
      </c>
      <c r="R971" s="13">
        <f t="shared" si="1552"/>
        <v>6.3912242293376609E-3</v>
      </c>
      <c r="S971" s="13">
        <f t="shared" ref="S971:T971" si="1963">N971/L971</f>
        <v>0.17045454545454544</v>
      </c>
      <c r="T971" s="13">
        <f t="shared" si="1963"/>
        <v>0.15315315315315314</v>
      </c>
      <c r="U971" s="13">
        <f t="shared" si="1554"/>
        <v>1.7301392301392299E-2</v>
      </c>
      <c r="V971" s="13">
        <f t="shared" si="1555"/>
        <v>0.1956087824351298</v>
      </c>
      <c r="W971" s="13">
        <f t="shared" si="1556"/>
        <v>0.26923076923076916</v>
      </c>
      <c r="X971" s="13">
        <f t="shared" si="1557"/>
        <v>0.18918918918918926</v>
      </c>
      <c r="Y971" s="13">
        <f t="shared" si="1558"/>
        <v>0.32352941176470584</v>
      </c>
    </row>
    <row r="972" spans="1:25" ht="14.4">
      <c r="A972" s="98" t="s">
        <v>1272</v>
      </c>
      <c r="B972" s="99">
        <v>532390</v>
      </c>
      <c r="C972" s="98" t="s">
        <v>187</v>
      </c>
      <c r="D972" s="100" t="s">
        <v>78</v>
      </c>
      <c r="E972" s="11">
        <f ca="1">IFERROR(__xludf.DUMMYFUNCTION("GOOGLEFINANCE(""BOM:""&amp;B974,""PRICE"")"),323.35)</f>
        <v>323.35000000000002</v>
      </c>
      <c r="F972" s="20">
        <f ca="1">IFERROR(__xludf.DUMMYFUNCTION("GOOGLEFINANCE(""BOM:""&amp;B974,""MARKETCAP"")/10000000"),2027.452394)</f>
        <v>2027.4523939999999</v>
      </c>
      <c r="G972" s="95">
        <f t="shared" ca="1" si="1573"/>
        <v>5.0323201087978753E-5</v>
      </c>
      <c r="H972" s="101">
        <v>349</v>
      </c>
      <c r="I972" s="101">
        <v>324</v>
      </c>
      <c r="J972" s="101">
        <v>73</v>
      </c>
      <c r="K972" s="101">
        <v>66</v>
      </c>
      <c r="L972" s="101">
        <v>136</v>
      </c>
      <c r="M972" s="101">
        <v>126</v>
      </c>
      <c r="N972" s="101">
        <v>29</v>
      </c>
      <c r="O972" s="101">
        <v>33</v>
      </c>
      <c r="P972" s="13">
        <f t="shared" ref="P972:Q972" si="1964">J972/H972</f>
        <v>0.20916905444126074</v>
      </c>
      <c r="Q972" s="13">
        <f t="shared" si="1964"/>
        <v>0.20370370370370369</v>
      </c>
      <c r="R972" s="13">
        <f t="shared" si="1552"/>
        <v>5.4653507375570509E-3</v>
      </c>
      <c r="S972" s="13">
        <f t="shared" ref="S972:T972" si="1965">N972/L972</f>
        <v>0.21323529411764705</v>
      </c>
      <c r="T972" s="13">
        <f t="shared" si="1965"/>
        <v>0.26190476190476192</v>
      </c>
      <c r="U972" s="13">
        <f t="shared" si="1554"/>
        <v>-4.8669467787114867E-2</v>
      </c>
      <c r="V972" s="13">
        <f t="shared" si="1555"/>
        <v>7.7160493827160392E-2</v>
      </c>
      <c r="W972" s="13">
        <f t="shared" si="1556"/>
        <v>0.10606060606060597</v>
      </c>
      <c r="X972" s="13">
        <f t="shared" si="1557"/>
        <v>7.9365079365079305E-2</v>
      </c>
      <c r="Y972" s="13">
        <f t="shared" si="1558"/>
        <v>-0.12121212121212122</v>
      </c>
    </row>
    <row r="973" spans="1:25" ht="14.4">
      <c r="A973" s="98" t="s">
        <v>1273</v>
      </c>
      <c r="B973" s="99">
        <v>519183</v>
      </c>
      <c r="C973" s="98" t="s">
        <v>183</v>
      </c>
      <c r="D973" s="70" t="s">
        <v>105</v>
      </c>
      <c r="E973" s="11">
        <f ca="1">IFERROR(__xludf.DUMMYFUNCTION("GOOGLEFINANCE(""BOM:""&amp;B975,""PRICE"")"),178)</f>
        <v>178</v>
      </c>
      <c r="F973" s="20">
        <f ca="1">IFERROR(__xludf.DUMMYFUNCTION("GOOGLEFINANCE(""BOM:""&amp;B975,""MARKETCAP"")/10000000"),1953.4846447)</f>
        <v>1953.4846447</v>
      </c>
      <c r="G973" s="95">
        <f t="shared" ca="1" si="1573"/>
        <v>4.848725468890927E-5</v>
      </c>
      <c r="H973" s="101">
        <v>486</v>
      </c>
      <c r="I973" s="101">
        <v>430</v>
      </c>
      <c r="J973" s="101">
        <v>64</v>
      </c>
      <c r="K973" s="101">
        <v>52</v>
      </c>
      <c r="L973" s="101">
        <v>191</v>
      </c>
      <c r="M973" s="101">
        <v>147</v>
      </c>
      <c r="N973" s="101">
        <v>22</v>
      </c>
      <c r="O973" s="101">
        <v>18</v>
      </c>
      <c r="P973" s="13">
        <f t="shared" ref="P973:Q973" si="1966">J973/H973</f>
        <v>0.13168724279835392</v>
      </c>
      <c r="Q973" s="13">
        <f t="shared" si="1966"/>
        <v>0.12093023255813953</v>
      </c>
      <c r="R973" s="13">
        <f t="shared" si="1552"/>
        <v>1.0757010240214387E-2</v>
      </c>
      <c r="S973" s="13">
        <f t="shared" ref="S973:T973" si="1967">N973/L973</f>
        <v>0.11518324607329843</v>
      </c>
      <c r="T973" s="13">
        <f t="shared" si="1967"/>
        <v>0.12244897959183673</v>
      </c>
      <c r="U973" s="13">
        <f t="shared" si="1554"/>
        <v>-7.265733518538306E-3</v>
      </c>
      <c r="V973" s="13">
        <f t="shared" si="1555"/>
        <v>0.13023255813953494</v>
      </c>
      <c r="W973" s="13">
        <f t="shared" si="1556"/>
        <v>0.23076923076923084</v>
      </c>
      <c r="X973" s="13">
        <f t="shared" si="1557"/>
        <v>0.29931972789115657</v>
      </c>
      <c r="Y973" s="13">
        <f t="shared" si="1558"/>
        <v>0.22222222222222232</v>
      </c>
    </row>
    <row r="974" spans="1:25" ht="14.4">
      <c r="A974" s="98" t="s">
        <v>1274</v>
      </c>
      <c r="B974" s="99">
        <v>517300</v>
      </c>
      <c r="C974" s="98" t="s">
        <v>198</v>
      </c>
      <c r="D974" s="100" t="s">
        <v>199</v>
      </c>
      <c r="E974" s="11">
        <f ca="1">IFERROR(__xludf.DUMMYFUNCTION("GOOGLEFINANCE(""BOM:""&amp;B976,""PRICE"")"),131.65)</f>
        <v>131.65</v>
      </c>
      <c r="F974" s="20">
        <f ca="1">IFERROR(__xludf.DUMMYFUNCTION("GOOGLEFINANCE(""BOM:""&amp;B976,""MARKETCAP"")/10000000"),2044.8143518)</f>
        <v>2044.8143517999999</v>
      </c>
      <c r="G974" s="95">
        <f t="shared" ca="1" si="1573"/>
        <v>5.0754140574516656E-5</v>
      </c>
      <c r="H974" s="101">
        <v>1062</v>
      </c>
      <c r="I974" s="101">
        <v>918</v>
      </c>
      <c r="J974" s="101">
        <v>75</v>
      </c>
      <c r="K974" s="101">
        <v>141</v>
      </c>
      <c r="L974" s="101">
        <v>369</v>
      </c>
      <c r="M974" s="101">
        <v>321</v>
      </c>
      <c r="N974" s="101">
        <v>-3</v>
      </c>
      <c r="O974" s="101">
        <v>39</v>
      </c>
      <c r="P974" s="13">
        <f t="shared" ref="P974:Q974" si="1968">J974/H974</f>
        <v>7.0621468926553674E-2</v>
      </c>
      <c r="Q974" s="13">
        <f t="shared" si="1968"/>
        <v>0.15359477124183007</v>
      </c>
      <c r="R974" s="13">
        <f t="shared" si="1552"/>
        <v>-8.2973302315276401E-2</v>
      </c>
      <c r="S974" s="13">
        <f t="shared" ref="S974:T974" si="1969">N974/L974</f>
        <v>-8.130081300813009E-3</v>
      </c>
      <c r="T974" s="13">
        <f t="shared" si="1969"/>
        <v>0.12149532710280374</v>
      </c>
      <c r="U974" s="13">
        <f t="shared" si="1554"/>
        <v>-0.12962540840361675</v>
      </c>
      <c r="V974" s="13">
        <f t="shared" si="1555"/>
        <v>0.15686274509803932</v>
      </c>
      <c r="W974" s="13">
        <f t="shared" si="1556"/>
        <v>-0.46808510638297873</v>
      </c>
      <c r="X974" s="13">
        <f t="shared" si="1557"/>
        <v>0.14953271028037385</v>
      </c>
      <c r="Y974" s="13">
        <f t="shared" si="1558"/>
        <v>-1.0769230769230769</v>
      </c>
    </row>
    <row r="975" spans="1:25" ht="14.4">
      <c r="A975" s="98" t="s">
        <v>1275</v>
      </c>
      <c r="B975" s="99">
        <v>517522</v>
      </c>
      <c r="C975" s="98" t="s">
        <v>187</v>
      </c>
      <c r="D975" s="108" t="s">
        <v>312</v>
      </c>
      <c r="E975" s="11">
        <f ca="1">IFERROR(__xludf.DUMMYFUNCTION("GOOGLEFINANCE(""BOM:""&amp;B977,""PRICE"")"),368.45)</f>
        <v>368.45</v>
      </c>
      <c r="F975" s="20">
        <f ca="1">IFERROR(__xludf.DUMMYFUNCTION("GOOGLEFINANCE(""BOM:""&amp;B977,""MARKETCAP"")/10000000"),1877.0035622)</f>
        <v>1877.0035622</v>
      </c>
      <c r="G975" s="95">
        <f t="shared" ca="1" si="1573"/>
        <v>4.6588925087946129E-5</v>
      </c>
      <c r="H975" s="101">
        <v>845</v>
      </c>
      <c r="I975" s="101">
        <v>684</v>
      </c>
      <c r="J975" s="101">
        <v>54</v>
      </c>
      <c r="K975" s="101">
        <v>43</v>
      </c>
      <c r="L975" s="101">
        <v>302</v>
      </c>
      <c r="M975" s="101">
        <v>218</v>
      </c>
      <c r="N975" s="101">
        <v>20</v>
      </c>
      <c r="O975" s="101">
        <v>9</v>
      </c>
      <c r="P975" s="13">
        <f t="shared" ref="P975:Q975" si="1970">J975/H975</f>
        <v>6.3905325443786978E-2</v>
      </c>
      <c r="Q975" s="13">
        <f t="shared" si="1970"/>
        <v>6.2865497076023388E-2</v>
      </c>
      <c r="R975" s="13">
        <f t="shared" si="1552"/>
        <v>1.03982836776359E-3</v>
      </c>
      <c r="S975" s="13">
        <f t="shared" ref="S975:T975" si="1971">N975/L975</f>
        <v>6.6225165562913912E-2</v>
      </c>
      <c r="T975" s="13">
        <f t="shared" si="1971"/>
        <v>4.1284403669724773E-2</v>
      </c>
      <c r="U975" s="13">
        <f t="shared" si="1554"/>
        <v>2.4940761893189139E-2</v>
      </c>
      <c r="V975" s="13">
        <f t="shared" si="1555"/>
        <v>0.23538011695906436</v>
      </c>
      <c r="W975" s="13">
        <f t="shared" si="1556"/>
        <v>0.2558139534883721</v>
      </c>
      <c r="X975" s="13">
        <f t="shared" si="1557"/>
        <v>0.3853211009174311</v>
      </c>
      <c r="Y975" s="13">
        <f t="shared" si="1558"/>
        <v>1.2222222222222223</v>
      </c>
    </row>
    <row r="976" spans="1:25" ht="14.4">
      <c r="A976" s="98" t="s">
        <v>1276</v>
      </c>
      <c r="B976" s="99">
        <v>522064</v>
      </c>
      <c r="C976" s="98" t="s">
        <v>180</v>
      </c>
      <c r="D976" s="108" t="s">
        <v>514</v>
      </c>
      <c r="E976" s="11">
        <f ca="1">IFERROR(__xludf.DUMMYFUNCTION("GOOGLEFINANCE(""BOM:""&amp;B978,""PRICE"")"),2012.3)</f>
        <v>2012.3</v>
      </c>
      <c r="F976" s="20">
        <f ca="1">IFERROR(__xludf.DUMMYFUNCTION("GOOGLEFINANCE(""BOM:""&amp;B978,""MARKETCAP"")/10000000"),2054.7811443)</f>
        <v>2054.7811443000001</v>
      </c>
      <c r="G976" s="95">
        <f t="shared" ca="1" si="1573"/>
        <v>5.1001525373619197E-5</v>
      </c>
      <c r="H976" s="101">
        <v>600</v>
      </c>
      <c r="I976" s="101">
        <v>525</v>
      </c>
      <c r="J976" s="101">
        <v>37</v>
      </c>
      <c r="K976" s="101">
        <v>43</v>
      </c>
      <c r="L976" s="101">
        <v>270</v>
      </c>
      <c r="M976" s="101">
        <v>204</v>
      </c>
      <c r="N976" s="101">
        <v>16</v>
      </c>
      <c r="O976" s="101">
        <v>19</v>
      </c>
      <c r="P976" s="13">
        <f t="shared" ref="P976:Q976" si="1972">J976/H976</f>
        <v>6.1666666666666668E-2</v>
      </c>
      <c r="Q976" s="13">
        <f t="shared" si="1972"/>
        <v>8.1904761904761911E-2</v>
      </c>
      <c r="R976" s="13">
        <f t="shared" si="1552"/>
        <v>-2.0238095238095243E-2</v>
      </c>
      <c r="S976" s="13">
        <f t="shared" ref="S976:T976" si="1973">N976/L976</f>
        <v>5.9259259259259262E-2</v>
      </c>
      <c r="T976" s="13">
        <f t="shared" si="1973"/>
        <v>9.3137254901960786E-2</v>
      </c>
      <c r="U976" s="13">
        <f t="shared" si="1554"/>
        <v>-3.3877995642701525E-2</v>
      </c>
      <c r="V976" s="13">
        <f t="shared" si="1555"/>
        <v>0.14285714285714279</v>
      </c>
      <c r="W976" s="13">
        <f t="shared" si="1556"/>
        <v>-0.13953488372093026</v>
      </c>
      <c r="X976" s="13">
        <f t="shared" si="1557"/>
        <v>0.32352941176470584</v>
      </c>
      <c r="Y976" s="13">
        <f t="shared" si="1558"/>
        <v>-0.15789473684210531</v>
      </c>
    </row>
    <row r="977" spans="1:25" ht="14.4">
      <c r="A977" s="104" t="s">
        <v>1277</v>
      </c>
      <c r="B977" s="99">
        <v>522029</v>
      </c>
      <c r="C977" s="98" t="s">
        <v>180</v>
      </c>
      <c r="D977" s="100" t="s">
        <v>514</v>
      </c>
      <c r="E977" s="11">
        <f ca="1">IFERROR(__xludf.DUMMYFUNCTION("GOOGLEFINANCE(""BOM:""&amp;B979,""PRICE"")"),232.6)</f>
        <v>232.6</v>
      </c>
      <c r="F977" s="20">
        <f ca="1">IFERROR(__xludf.DUMMYFUNCTION("GOOGLEFINANCE(""BOM:""&amp;B979,""MARKETCAP"")/10000000"),2062.4790194)</f>
        <v>2062.4790194000002</v>
      </c>
      <c r="G977" s="95">
        <f t="shared" ca="1" si="1573"/>
        <v>5.1192593591918119E-5</v>
      </c>
      <c r="H977" s="101">
        <v>385</v>
      </c>
      <c r="I977" s="101">
        <v>247</v>
      </c>
      <c r="J977" s="101">
        <v>-10</v>
      </c>
      <c r="K977" s="101">
        <v>0.79</v>
      </c>
      <c r="L977" s="101">
        <v>135</v>
      </c>
      <c r="M977" s="101">
        <v>107</v>
      </c>
      <c r="N977" s="101">
        <v>-3</v>
      </c>
      <c r="O977" s="101">
        <v>41</v>
      </c>
      <c r="P977" s="13">
        <f t="shared" ref="P977:Q977" si="1974">J977/H977</f>
        <v>-2.5974025974025976E-2</v>
      </c>
      <c r="Q977" s="13">
        <f t="shared" si="1974"/>
        <v>3.1983805668016198E-3</v>
      </c>
      <c r="R977" s="13">
        <f t="shared" si="1552"/>
        <v>-2.9172406540827596E-2</v>
      </c>
      <c r="S977" s="13">
        <f t="shared" ref="S977:T977" si="1975">N977/L977</f>
        <v>-2.2222222222222223E-2</v>
      </c>
      <c r="T977" s="13">
        <f t="shared" si="1975"/>
        <v>0.38317757009345793</v>
      </c>
      <c r="U977" s="13">
        <f t="shared" si="1554"/>
        <v>-0.40539979231568013</v>
      </c>
      <c r="V977" s="13">
        <f t="shared" si="1555"/>
        <v>0.55870445344129549</v>
      </c>
      <c r="W977" s="13">
        <f t="shared" si="1556"/>
        <v>-13.658227848101266</v>
      </c>
      <c r="X977" s="13">
        <f t="shared" si="1557"/>
        <v>0.26168224299065423</v>
      </c>
      <c r="Y977" s="13">
        <f t="shared" si="1558"/>
        <v>-1.0731707317073171</v>
      </c>
    </row>
    <row r="978" spans="1:25" ht="14.4">
      <c r="A978" s="98" t="s">
        <v>1278</v>
      </c>
      <c r="B978" s="99">
        <v>524164</v>
      </c>
      <c r="C978" s="98" t="s">
        <v>190</v>
      </c>
      <c r="D978" s="70" t="s">
        <v>100</v>
      </c>
      <c r="E978" s="11">
        <f ca="1">IFERROR(__xludf.DUMMYFUNCTION("GOOGLEFINANCE(""BOM:""&amp;B980,""PRICE"")"),78.42)</f>
        <v>78.42</v>
      </c>
      <c r="F978" s="20">
        <f ca="1">IFERROR(__xludf.DUMMYFUNCTION("GOOGLEFINANCE(""BOM:""&amp;B980,""MARKETCAP"")/10000000"),2300.9612706)</f>
        <v>2300.9612705999998</v>
      </c>
      <c r="G978" s="95">
        <f t="shared" ca="1" si="1573"/>
        <v>5.7111938637240764E-5</v>
      </c>
      <c r="H978" s="101">
        <v>1700</v>
      </c>
      <c r="I978" s="101">
        <v>1551</v>
      </c>
      <c r="J978" s="101">
        <v>84</v>
      </c>
      <c r="K978" s="101">
        <v>70</v>
      </c>
      <c r="L978" s="101">
        <v>580</v>
      </c>
      <c r="M978" s="101">
        <v>523</v>
      </c>
      <c r="N978" s="101">
        <v>21</v>
      </c>
      <c r="O978" s="101">
        <v>20</v>
      </c>
      <c r="P978" s="13">
        <f t="shared" ref="P978:Q978" si="1976">J978/H978</f>
        <v>4.9411764705882349E-2</v>
      </c>
      <c r="Q978" s="13">
        <f t="shared" si="1976"/>
        <v>4.5132172791747263E-2</v>
      </c>
      <c r="R978" s="13">
        <f t="shared" si="1552"/>
        <v>4.2795919141350863E-3</v>
      </c>
      <c r="S978" s="13">
        <f t="shared" ref="S978:T978" si="1977">N978/L978</f>
        <v>3.6206896551724141E-2</v>
      </c>
      <c r="T978" s="13">
        <f t="shared" si="1977"/>
        <v>3.8240917782026769E-2</v>
      </c>
      <c r="U978" s="13">
        <f t="shared" si="1554"/>
        <v>-2.0340212303026281E-3</v>
      </c>
      <c r="V978" s="13">
        <f t="shared" si="1555"/>
        <v>9.6067053513862133E-2</v>
      </c>
      <c r="W978" s="13">
        <f t="shared" si="1556"/>
        <v>0.19999999999999996</v>
      </c>
      <c r="X978" s="13">
        <f t="shared" si="1557"/>
        <v>0.10898661567877621</v>
      </c>
      <c r="Y978" s="13">
        <f t="shared" si="1558"/>
        <v>5.0000000000000044E-2</v>
      </c>
    </row>
    <row r="979" spans="1:25" ht="14.4">
      <c r="A979" s="98" t="s">
        <v>1279</v>
      </c>
      <c r="B979" s="99">
        <v>540136</v>
      </c>
      <c r="C979" s="98" t="s">
        <v>180</v>
      </c>
      <c r="D979" s="100" t="s">
        <v>514</v>
      </c>
      <c r="E979" s="11">
        <f ca="1">IFERROR(__xludf.DUMMYFUNCTION("GOOGLEFINANCE(""BOM:""&amp;B981,""PRICE"")"),297)</f>
        <v>297</v>
      </c>
      <c r="F979" s="20">
        <f ca="1">IFERROR(__xludf.DUMMYFUNCTION("GOOGLEFINANCE(""BOM:""&amp;B981,""MARKETCAP"")/10000000"),1911.0100468)</f>
        <v>1911.0100468000001</v>
      </c>
      <c r="G979" s="95">
        <f t="shared" ca="1" si="1573"/>
        <v>4.7432996775096703E-5</v>
      </c>
      <c r="H979" s="101">
        <v>1291</v>
      </c>
      <c r="I979" s="101">
        <v>1207</v>
      </c>
      <c r="J979" s="101">
        <v>60</v>
      </c>
      <c r="K979" s="101">
        <v>56</v>
      </c>
      <c r="L979" s="101">
        <v>473</v>
      </c>
      <c r="M979" s="101">
        <v>392</v>
      </c>
      <c r="N979" s="101">
        <v>19</v>
      </c>
      <c r="O979" s="101">
        <v>18</v>
      </c>
      <c r="P979" s="13">
        <f t="shared" ref="P979:Q979" si="1978">J979/H979</f>
        <v>4.6475600309837335E-2</v>
      </c>
      <c r="Q979" s="13">
        <f t="shared" si="1978"/>
        <v>4.6396023198011602E-2</v>
      </c>
      <c r="R979" s="13">
        <f t="shared" si="1552"/>
        <v>7.9577111825733515E-5</v>
      </c>
      <c r="S979" s="13">
        <f t="shared" ref="S979:T979" si="1979">N979/L979</f>
        <v>4.0169133192389003E-2</v>
      </c>
      <c r="T979" s="13">
        <f t="shared" si="1979"/>
        <v>4.5918367346938778E-2</v>
      </c>
      <c r="U979" s="13">
        <f t="shared" si="1554"/>
        <v>-5.7492341545497747E-3</v>
      </c>
      <c r="V979" s="13">
        <f t="shared" si="1555"/>
        <v>6.9594034797017423E-2</v>
      </c>
      <c r="W979" s="13">
        <f t="shared" si="1556"/>
        <v>7.1428571428571397E-2</v>
      </c>
      <c r="X979" s="13">
        <f t="shared" si="1557"/>
        <v>0.20663265306122458</v>
      </c>
      <c r="Y979" s="13">
        <f t="shared" si="1558"/>
        <v>5.555555555555558E-2</v>
      </c>
    </row>
    <row r="980" spans="1:25" ht="14.4">
      <c r="A980" s="98" t="s">
        <v>1280</v>
      </c>
      <c r="B980" s="99">
        <v>544261</v>
      </c>
      <c r="C980" s="98" t="s">
        <v>187</v>
      </c>
      <c r="D980" s="70" t="s">
        <v>131</v>
      </c>
      <c r="E980" s="11">
        <f ca="1">IFERROR(__xludf.DUMMYFUNCTION("GOOGLEFINANCE(""BOM:""&amp;B982,""PRICE"")"),104.11)</f>
        <v>104.11</v>
      </c>
      <c r="F980" s="20">
        <f ca="1">IFERROR(__xludf.DUMMYFUNCTION("GOOGLEFINANCE(""BOM:""&amp;B982,""MARKETCAP"")/10000000"),1939.0696393)</f>
        <v>1939.0696393000001</v>
      </c>
      <c r="G980" s="95">
        <f t="shared" ca="1" si="1573"/>
        <v>4.8129461224769124E-5</v>
      </c>
      <c r="H980" s="101">
        <v>629</v>
      </c>
      <c r="I980" s="101">
        <v>560</v>
      </c>
      <c r="J980" s="101">
        <v>114</v>
      </c>
      <c r="K980" s="101">
        <v>123</v>
      </c>
      <c r="L980" s="101">
        <v>199</v>
      </c>
      <c r="M980" s="101">
        <v>264</v>
      </c>
      <c r="N980" s="101">
        <v>40</v>
      </c>
      <c r="O980" s="101">
        <v>45</v>
      </c>
      <c r="P980" s="13">
        <f t="shared" ref="P980:Q980" si="1980">J980/H980</f>
        <v>0.18124006359300476</v>
      </c>
      <c r="Q980" s="13">
        <f t="shared" si="1980"/>
        <v>0.21964285714285714</v>
      </c>
      <c r="R980" s="13">
        <f t="shared" si="1552"/>
        <v>-3.8402793549852376E-2</v>
      </c>
      <c r="S980" s="13">
        <f t="shared" ref="S980:T980" si="1981">N980/L980</f>
        <v>0.20100502512562815</v>
      </c>
      <c r="T980" s="13">
        <f t="shared" si="1981"/>
        <v>0.17045454545454544</v>
      </c>
      <c r="U980" s="13">
        <f t="shared" si="1554"/>
        <v>3.0550479671082709E-2</v>
      </c>
      <c r="V980" s="13">
        <f t="shared" si="1555"/>
        <v>0.12321428571428572</v>
      </c>
      <c r="W980" s="13">
        <f t="shared" si="1556"/>
        <v>-7.3170731707317027E-2</v>
      </c>
      <c r="X980" s="13">
        <f t="shared" si="1557"/>
        <v>-0.24621212121212122</v>
      </c>
      <c r="Y980" s="13">
        <f t="shared" si="1558"/>
        <v>-0.11111111111111116</v>
      </c>
    </row>
    <row r="981" spans="1:25" ht="14.4">
      <c r="A981" s="98" t="s">
        <v>1281</v>
      </c>
      <c r="B981" s="99">
        <v>538920</v>
      </c>
      <c r="C981" s="98" t="s">
        <v>206</v>
      </c>
      <c r="D981" s="70" t="s">
        <v>563</v>
      </c>
      <c r="E981" s="11">
        <f ca="1">IFERROR(__xludf.DUMMYFUNCTION("GOOGLEFINANCE(""BOM:""&amp;B983,""PRICE"")"),133.3)</f>
        <v>133.30000000000001</v>
      </c>
      <c r="F981" s="20">
        <f ca="1">IFERROR(__xludf.DUMMYFUNCTION("GOOGLEFINANCE(""BOM:""&amp;B983,""MARKETCAP"")/10000000"),1941.589369)</f>
        <v>1941.589369</v>
      </c>
      <c r="G981" s="95">
        <f t="shared" ca="1" si="1573"/>
        <v>4.8192003193574754E-5</v>
      </c>
      <c r="H981" s="101">
        <v>387</v>
      </c>
      <c r="I981" s="101">
        <v>203</v>
      </c>
      <c r="J981" s="101">
        <v>51</v>
      </c>
      <c r="K981" s="101">
        <v>24</v>
      </c>
      <c r="L981" s="101">
        <v>150</v>
      </c>
      <c r="M981" s="101">
        <v>88</v>
      </c>
      <c r="N981" s="101">
        <v>19</v>
      </c>
      <c r="O981" s="101">
        <v>12</v>
      </c>
      <c r="P981" s="13">
        <f t="shared" ref="P981:Q981" si="1982">J981/H981</f>
        <v>0.13178294573643412</v>
      </c>
      <c r="Q981" s="13">
        <f t="shared" si="1982"/>
        <v>0.11822660098522167</v>
      </c>
      <c r="R981" s="13">
        <f t="shared" si="1552"/>
        <v>1.3556344751212451E-2</v>
      </c>
      <c r="S981" s="13">
        <f t="shared" ref="S981:T981" si="1983">N981/L981</f>
        <v>0.12666666666666668</v>
      </c>
      <c r="T981" s="13">
        <f t="shared" si="1983"/>
        <v>0.13636363636363635</v>
      </c>
      <c r="U981" s="13">
        <f t="shared" si="1554"/>
        <v>-9.6969696969696761E-3</v>
      </c>
      <c r="V981" s="13">
        <f t="shared" si="1555"/>
        <v>0.90640394088669951</v>
      </c>
      <c r="W981" s="13">
        <f t="shared" si="1556"/>
        <v>1.125</v>
      </c>
      <c r="X981" s="13">
        <f t="shared" si="1557"/>
        <v>0.70454545454545459</v>
      </c>
      <c r="Y981" s="13">
        <f t="shared" si="1558"/>
        <v>0.58333333333333326</v>
      </c>
    </row>
    <row r="982" spans="1:25" ht="14.4">
      <c r="A982" s="98" t="s">
        <v>1282</v>
      </c>
      <c r="B982" s="99">
        <v>543328</v>
      </c>
      <c r="C982" s="98" t="s">
        <v>190</v>
      </c>
      <c r="D982" s="100" t="s">
        <v>98</v>
      </c>
      <c r="E982" s="11">
        <f ca="1">IFERROR(__xludf.DUMMYFUNCTION("GOOGLEFINANCE(""BOM:""&amp;B984,""PRICE"")"),563.45)</f>
        <v>563.45000000000005</v>
      </c>
      <c r="F982" s="20">
        <f ca="1">IFERROR(__xludf.DUMMYFUNCTION("GOOGLEFINANCE(""BOM:""&amp;B984,""MARKETCAP"")/10000000"),1835.7612716)</f>
        <v>1835.7612716000001</v>
      </c>
      <c r="G982" s="95">
        <f t="shared" ca="1" si="1573"/>
        <v>4.5565254155235365E-5</v>
      </c>
      <c r="H982" s="101">
        <v>580</v>
      </c>
      <c r="I982" s="101">
        <v>531</v>
      </c>
      <c r="J982" s="101">
        <v>59</v>
      </c>
      <c r="K982" s="101">
        <v>56</v>
      </c>
      <c r="L982" s="101">
        <v>181</v>
      </c>
      <c r="M982" s="101">
        <v>174</v>
      </c>
      <c r="N982" s="101">
        <v>15</v>
      </c>
      <c r="O982" s="101">
        <v>19</v>
      </c>
      <c r="P982" s="13">
        <f t="shared" ref="P982:Q982" si="1984">J982/H982</f>
        <v>0.10172413793103448</v>
      </c>
      <c r="Q982" s="13">
        <f t="shared" si="1984"/>
        <v>0.10546139359698682</v>
      </c>
      <c r="R982" s="13">
        <f t="shared" si="1552"/>
        <v>-3.7372556659523437E-3</v>
      </c>
      <c r="S982" s="13">
        <f t="shared" ref="S982:T982" si="1985">N982/L982</f>
        <v>8.2872928176795577E-2</v>
      </c>
      <c r="T982" s="13">
        <f t="shared" si="1985"/>
        <v>0.10919540229885058</v>
      </c>
      <c r="U982" s="13">
        <f t="shared" si="1554"/>
        <v>-2.6322474122055003E-2</v>
      </c>
      <c r="V982" s="13">
        <f t="shared" si="1555"/>
        <v>9.227871939736354E-2</v>
      </c>
      <c r="W982" s="13">
        <f t="shared" si="1556"/>
        <v>5.3571428571428603E-2</v>
      </c>
      <c r="X982" s="13">
        <f t="shared" si="1557"/>
        <v>4.022988505747116E-2</v>
      </c>
      <c r="Y982" s="13">
        <f t="shared" si="1558"/>
        <v>-0.21052631578947367</v>
      </c>
    </row>
    <row r="983" spans="1:25" ht="14.4">
      <c r="A983" s="104" t="s">
        <v>1283</v>
      </c>
      <c r="B983" s="99">
        <v>541540</v>
      </c>
      <c r="C983" s="98" t="s">
        <v>190</v>
      </c>
      <c r="D983" s="70" t="s">
        <v>100</v>
      </c>
      <c r="E983" s="11">
        <f ca="1">IFERROR(__xludf.DUMMYFUNCTION("GOOGLEFINANCE(""BOM:""&amp;B985,""PRICE"")"),471.35)</f>
        <v>471.35</v>
      </c>
      <c r="F983" s="20">
        <f ca="1">IFERROR(__xludf.DUMMYFUNCTION("GOOGLEFINANCE(""BOM:""&amp;B985,""MARKETCAP"")/10000000"),2063.7522678)</f>
        <v>2063.7522678</v>
      </c>
      <c r="G983" s="95">
        <f t="shared" ca="1" si="1573"/>
        <v>5.1224196768129679E-5</v>
      </c>
      <c r="H983" s="101">
        <v>982</v>
      </c>
      <c r="I983" s="101">
        <v>1011</v>
      </c>
      <c r="J983" s="101">
        <v>-17</v>
      </c>
      <c r="K983" s="101">
        <v>3</v>
      </c>
      <c r="L983" s="101">
        <v>349</v>
      </c>
      <c r="M983" s="101">
        <v>300</v>
      </c>
      <c r="N983" s="101">
        <v>-17</v>
      </c>
      <c r="O983" s="101">
        <v>8</v>
      </c>
      <c r="P983" s="13">
        <f t="shared" ref="P983:Q983" si="1986">J983/H983</f>
        <v>-1.7311608961303463E-2</v>
      </c>
      <c r="Q983" s="13">
        <f t="shared" si="1986"/>
        <v>2.967359050445104E-3</v>
      </c>
      <c r="R983" s="13">
        <f t="shared" si="1552"/>
        <v>-2.0278968011748569E-2</v>
      </c>
      <c r="S983" s="13">
        <f t="shared" ref="S983:T983" si="1987">N983/L983</f>
        <v>-4.8710601719197708E-2</v>
      </c>
      <c r="T983" s="13">
        <f t="shared" si="1987"/>
        <v>2.6666666666666668E-2</v>
      </c>
      <c r="U983" s="13">
        <f t="shared" si="1554"/>
        <v>-7.5377268385864379E-2</v>
      </c>
      <c r="V983" s="13">
        <f t="shared" si="1555"/>
        <v>-2.8684470820969366E-2</v>
      </c>
      <c r="W983" s="13">
        <f t="shared" si="1556"/>
        <v>-6.666666666666667</v>
      </c>
      <c r="X983" s="13">
        <f t="shared" si="1557"/>
        <v>0.16333333333333333</v>
      </c>
      <c r="Y983" s="13">
        <f t="shared" si="1558"/>
        <v>-3.125</v>
      </c>
    </row>
    <row r="984" spans="1:25" ht="14.4">
      <c r="A984" s="98" t="s">
        <v>1284</v>
      </c>
      <c r="B984" s="99">
        <v>531209</v>
      </c>
      <c r="C984" s="98" t="s">
        <v>174</v>
      </c>
      <c r="D984" s="100" t="s">
        <v>389</v>
      </c>
      <c r="E984" s="11">
        <f ca="1">IFERROR(__xludf.DUMMYFUNCTION("GOOGLEFINANCE(""BOM:""&amp;B986,""PRICE"")"),829)</f>
        <v>829</v>
      </c>
      <c r="F984" s="20">
        <f ca="1">IFERROR(__xludf.DUMMYFUNCTION("GOOGLEFINANCE(""BOM:""&amp;B986,""MARKETCAP"")/10000000"),2184.846909)</f>
        <v>2184.8469089999999</v>
      </c>
      <c r="G984" s="95">
        <f t="shared" ca="1" si="1573"/>
        <v>5.4229875223425742E-5</v>
      </c>
      <c r="H984" s="101">
        <v>651</v>
      </c>
      <c r="I984" s="101">
        <v>603</v>
      </c>
      <c r="J984" s="101">
        <v>82</v>
      </c>
      <c r="K984" s="101">
        <v>98</v>
      </c>
      <c r="L984" s="101">
        <v>220</v>
      </c>
      <c r="M984" s="101">
        <v>205</v>
      </c>
      <c r="N984" s="101">
        <v>20</v>
      </c>
      <c r="O984" s="101">
        <v>34</v>
      </c>
      <c r="P984" s="13">
        <f t="shared" ref="P984:Q984" si="1988">J984/H984</f>
        <v>0.1259600614439324</v>
      </c>
      <c r="Q984" s="13">
        <f t="shared" si="1988"/>
        <v>0.1625207296849088</v>
      </c>
      <c r="R984" s="13">
        <f t="shared" si="1552"/>
        <v>-3.6560668240976396E-2</v>
      </c>
      <c r="S984" s="13">
        <f t="shared" ref="S984:T984" si="1989">N984/L984</f>
        <v>9.0909090909090912E-2</v>
      </c>
      <c r="T984" s="13">
        <f t="shared" si="1989"/>
        <v>0.16585365853658537</v>
      </c>
      <c r="U984" s="13">
        <f t="shared" si="1554"/>
        <v>-7.4944567627494463E-2</v>
      </c>
      <c r="V984" s="13">
        <f t="shared" si="1555"/>
        <v>7.9601990049751326E-2</v>
      </c>
      <c r="W984" s="13">
        <f t="shared" si="1556"/>
        <v>-0.16326530612244894</v>
      </c>
      <c r="X984" s="13">
        <f t="shared" si="1557"/>
        <v>7.3170731707317138E-2</v>
      </c>
      <c r="Y984" s="13">
        <f t="shared" si="1558"/>
        <v>-0.41176470588235292</v>
      </c>
    </row>
    <row r="985" spans="1:25" ht="14.4">
      <c r="A985" s="98" t="s">
        <v>1285</v>
      </c>
      <c r="B985" s="99">
        <v>543689</v>
      </c>
      <c r="C985" s="98" t="s">
        <v>187</v>
      </c>
      <c r="D985" s="100" t="s">
        <v>312</v>
      </c>
      <c r="E985" s="11">
        <f ca="1">IFERROR(__xludf.DUMMYFUNCTION("GOOGLEFINANCE(""BOM:""&amp;B987,""PRICE"")"),469.35)</f>
        <v>469.35</v>
      </c>
      <c r="F985" s="20">
        <f ca="1">IFERROR(__xludf.DUMMYFUNCTION("GOOGLEFINANCE(""BOM:""&amp;B987,""MARKETCAP"")/10000000"),2118.677574)</f>
        <v>2118.6775739999998</v>
      </c>
      <c r="G985" s="95">
        <f t="shared" ca="1" si="1573"/>
        <v>5.258749251647927E-5</v>
      </c>
      <c r="H985" s="101">
        <v>831</v>
      </c>
      <c r="I985" s="101">
        <v>710</v>
      </c>
      <c r="J985" s="101">
        <v>107</v>
      </c>
      <c r="K985" s="101">
        <v>65</v>
      </c>
      <c r="L985" s="101">
        <v>281</v>
      </c>
      <c r="M985" s="101">
        <v>208</v>
      </c>
      <c r="N985" s="101">
        <v>33</v>
      </c>
      <c r="O985" s="101">
        <v>19</v>
      </c>
      <c r="P985" s="13">
        <f t="shared" ref="P985:Q985" si="1990">J985/H985</f>
        <v>0.12876052948255115</v>
      </c>
      <c r="Q985" s="13">
        <f t="shared" si="1990"/>
        <v>9.154929577464789E-2</v>
      </c>
      <c r="R985" s="13">
        <f t="shared" si="1552"/>
        <v>3.721123370790326E-2</v>
      </c>
      <c r="S985" s="13">
        <f t="shared" ref="S985:T985" si="1991">N985/L985</f>
        <v>0.11743772241992882</v>
      </c>
      <c r="T985" s="13">
        <f t="shared" si="1991"/>
        <v>9.1346153846153841E-2</v>
      </c>
      <c r="U985" s="13">
        <f t="shared" si="1554"/>
        <v>2.6091568573774981E-2</v>
      </c>
      <c r="V985" s="13">
        <f t="shared" si="1555"/>
        <v>0.1704225352112676</v>
      </c>
      <c r="W985" s="13">
        <f t="shared" si="1556"/>
        <v>0.64615384615384608</v>
      </c>
      <c r="X985" s="13">
        <f t="shared" si="1557"/>
        <v>0.35096153846153855</v>
      </c>
      <c r="Y985" s="13">
        <f t="shared" si="1558"/>
        <v>0.73684210526315796</v>
      </c>
    </row>
    <row r="986" spans="1:25" ht="14.4">
      <c r="A986" s="98" t="s">
        <v>1286</v>
      </c>
      <c r="B986" s="99">
        <v>540212</v>
      </c>
      <c r="C986" s="98" t="s">
        <v>206</v>
      </c>
      <c r="D986" s="70" t="s">
        <v>476</v>
      </c>
      <c r="E986" s="11">
        <f ca="1">IFERROR(__xludf.DUMMYFUNCTION("GOOGLEFINANCE(""BOM:""&amp;B988,""PRICE"")"),495)</f>
        <v>495</v>
      </c>
      <c r="F986" s="20">
        <f ca="1">IFERROR(__xludf.DUMMYFUNCTION("GOOGLEFINANCE(""BOM:""&amp;B988,""MARKETCAP"")/10000000"),1900.9715783)</f>
        <v>1900.9715782999999</v>
      </c>
      <c r="G986" s="95">
        <f t="shared" ca="1" si="1573"/>
        <v>4.7183832912884292E-5</v>
      </c>
      <c r="H986" s="101">
        <v>909</v>
      </c>
      <c r="I986" s="101">
        <v>900</v>
      </c>
      <c r="J986" s="101">
        <v>65</v>
      </c>
      <c r="K986" s="101">
        <v>66</v>
      </c>
      <c r="L986" s="101">
        <v>314</v>
      </c>
      <c r="M986" s="101">
        <v>296</v>
      </c>
      <c r="N986" s="101">
        <v>91</v>
      </c>
      <c r="O986" s="101">
        <v>24</v>
      </c>
      <c r="P986" s="13">
        <f t="shared" ref="P986:Q986" si="1992">J986/H986</f>
        <v>7.1507150715071507E-2</v>
      </c>
      <c r="Q986" s="13">
        <f t="shared" si="1992"/>
        <v>7.3333333333333334E-2</v>
      </c>
      <c r="R986" s="13">
        <f t="shared" si="1552"/>
        <v>-1.8261826182618263E-3</v>
      </c>
      <c r="S986" s="13">
        <f t="shared" ref="S986:T986" si="1993">N986/L986</f>
        <v>0.28980891719745222</v>
      </c>
      <c r="T986" s="13">
        <f t="shared" si="1993"/>
        <v>8.1081081081081086E-2</v>
      </c>
      <c r="U986" s="13">
        <f t="shared" si="1554"/>
        <v>0.20872783611637113</v>
      </c>
      <c r="V986" s="13">
        <f t="shared" si="1555"/>
        <v>1.0000000000000009E-2</v>
      </c>
      <c r="W986" s="13">
        <f t="shared" si="1556"/>
        <v>-1.5151515151515138E-2</v>
      </c>
      <c r="X986" s="13">
        <f t="shared" si="1557"/>
        <v>6.0810810810810745E-2</v>
      </c>
      <c r="Y986" s="13">
        <f t="shared" si="1558"/>
        <v>2.7916666666666665</v>
      </c>
    </row>
    <row r="987" spans="1:25" ht="14.4">
      <c r="A987" s="98" t="s">
        <v>1287</v>
      </c>
      <c r="B987" s="99">
        <v>514167</v>
      </c>
      <c r="C987" s="98" t="s">
        <v>187</v>
      </c>
      <c r="D987" s="100" t="s">
        <v>492</v>
      </c>
      <c r="E987" s="11">
        <f ca="1">IFERROR(__xludf.DUMMYFUNCTION("GOOGLEFINANCE(""BOM:""&amp;B989,""PRICE"")"),1082.75)</f>
        <v>1082.75</v>
      </c>
      <c r="F987" s="20">
        <f ca="1">IFERROR(__xludf.DUMMYFUNCTION("GOOGLEFINANCE(""BOM:""&amp;B989,""MARKETCAP"")/10000000"),2893.055437)</f>
        <v>2893.055437</v>
      </c>
      <c r="G987" s="95">
        <f t="shared" ca="1" si="1573"/>
        <v>7.1808251057174386E-5</v>
      </c>
      <c r="H987" s="101">
        <v>1057</v>
      </c>
      <c r="I987" s="101">
        <v>1121</v>
      </c>
      <c r="J987" s="101">
        <v>15</v>
      </c>
      <c r="K987" s="101">
        <v>79</v>
      </c>
      <c r="L987" s="101">
        <v>357</v>
      </c>
      <c r="M987" s="101">
        <v>397</v>
      </c>
      <c r="N987" s="101">
        <v>4</v>
      </c>
      <c r="O987" s="101">
        <v>29</v>
      </c>
      <c r="P987" s="13">
        <f t="shared" ref="P987:Q987" si="1994">J987/H987</f>
        <v>1.4191106906338695E-2</v>
      </c>
      <c r="Q987" s="13">
        <f t="shared" si="1994"/>
        <v>7.0472792149866195E-2</v>
      </c>
      <c r="R987" s="13">
        <f t="shared" si="1552"/>
        <v>-5.6281685243527502E-2</v>
      </c>
      <c r="S987" s="13">
        <f t="shared" ref="S987:T987" si="1995">N987/L987</f>
        <v>1.1204481792717087E-2</v>
      </c>
      <c r="T987" s="13">
        <f t="shared" si="1995"/>
        <v>7.3047858942065488E-2</v>
      </c>
      <c r="U987" s="13">
        <f t="shared" si="1554"/>
        <v>-6.18433771493484E-2</v>
      </c>
      <c r="V987" s="13">
        <f t="shared" si="1555"/>
        <v>-5.7091882247992887E-2</v>
      </c>
      <c r="W987" s="13">
        <f t="shared" si="1556"/>
        <v>-0.810126582278481</v>
      </c>
      <c r="X987" s="13">
        <f t="shared" si="1557"/>
        <v>-0.10075566750629728</v>
      </c>
      <c r="Y987" s="13">
        <f t="shared" si="1558"/>
        <v>-0.86206896551724133</v>
      </c>
    </row>
    <row r="988" spans="1:25" ht="14.4">
      <c r="A988" s="98" t="s">
        <v>1288</v>
      </c>
      <c r="B988" s="99">
        <v>544181</v>
      </c>
      <c r="C988" s="98" t="s">
        <v>206</v>
      </c>
      <c r="D988" s="70" t="s">
        <v>657</v>
      </c>
      <c r="E988" s="11">
        <f ca="1">IFERROR(__xludf.DUMMYFUNCTION("GOOGLEFINANCE(""BOM:""&amp;B990,""PRICE"")"),268.35)</f>
        <v>268.35000000000002</v>
      </c>
      <c r="F988" s="20">
        <f ca="1">IFERROR(__xludf.DUMMYFUNCTION("GOOGLEFINANCE(""BOM:""&amp;B990,""MARKETCAP"")/10000000"),1913.843574)</f>
        <v>1913.843574</v>
      </c>
      <c r="G988" s="95">
        <f t="shared" ca="1" si="1573"/>
        <v>4.7503327481502361E-5</v>
      </c>
      <c r="H988" s="101">
        <v>1083</v>
      </c>
      <c r="I988" s="101">
        <v>867</v>
      </c>
      <c r="J988" s="101">
        <v>47</v>
      </c>
      <c r="K988" s="101">
        <v>56</v>
      </c>
      <c r="L988" s="101">
        <v>381</v>
      </c>
      <c r="M988" s="101">
        <v>317</v>
      </c>
      <c r="N988" s="101">
        <v>21</v>
      </c>
      <c r="O988" s="101">
        <v>15</v>
      </c>
      <c r="P988" s="13">
        <f t="shared" ref="P988:Q988" si="1996">J988/H988</f>
        <v>4.339796860572484E-2</v>
      </c>
      <c r="Q988" s="13">
        <f t="shared" si="1996"/>
        <v>6.4590542099192613E-2</v>
      </c>
      <c r="R988" s="13">
        <f t="shared" si="1552"/>
        <v>-2.1192573493467773E-2</v>
      </c>
      <c r="S988" s="13">
        <f t="shared" ref="S988:T988" si="1997">N988/L988</f>
        <v>5.5118110236220472E-2</v>
      </c>
      <c r="T988" s="13">
        <f t="shared" si="1997"/>
        <v>4.7318611987381701E-2</v>
      </c>
      <c r="U988" s="13">
        <f t="shared" si="1554"/>
        <v>7.799498248838771E-3</v>
      </c>
      <c r="V988" s="13">
        <f t="shared" si="1555"/>
        <v>0.24913494809688586</v>
      </c>
      <c r="W988" s="13">
        <f t="shared" si="1556"/>
        <v>-0.1607142857142857</v>
      </c>
      <c r="X988" s="13">
        <f t="shared" si="1557"/>
        <v>0.20189274447949535</v>
      </c>
      <c r="Y988" s="13">
        <f t="shared" si="1558"/>
        <v>0.39999999999999991</v>
      </c>
    </row>
    <row r="989" spans="1:25" ht="14.4">
      <c r="A989" s="98" t="s">
        <v>1289</v>
      </c>
      <c r="B989" s="99">
        <v>539658</v>
      </c>
      <c r="C989" s="98" t="s">
        <v>206</v>
      </c>
      <c r="D989" s="100" t="s">
        <v>657</v>
      </c>
      <c r="E989" s="11">
        <f ca="1">IFERROR(__xludf.DUMMYFUNCTION("GOOGLEFINANCE(""BOM:""&amp;B991,""PRICE"")"),1178.9)</f>
        <v>1178.9000000000001</v>
      </c>
      <c r="F989" s="20">
        <f ca="1">IFERROR(__xludf.DUMMYFUNCTION("GOOGLEFINANCE(""BOM:""&amp;B991,""MARKETCAP"")/10000000"),1975.1414673)</f>
        <v>1975.1414672999999</v>
      </c>
      <c r="G989" s="95">
        <f t="shared" ca="1" si="1573"/>
        <v>4.9024796602027299E-5</v>
      </c>
      <c r="H989" s="101">
        <v>8936</v>
      </c>
      <c r="I989" s="101">
        <v>8298</v>
      </c>
      <c r="J989" s="101">
        <v>95</v>
      </c>
      <c r="K989" s="101">
        <v>76</v>
      </c>
      <c r="L989" s="101">
        <v>3013</v>
      </c>
      <c r="M989" s="101">
        <v>2921</v>
      </c>
      <c r="N989" s="101">
        <v>42</v>
      </c>
      <c r="O989" s="101">
        <v>28</v>
      </c>
      <c r="P989" s="13">
        <f t="shared" ref="P989:Q989" si="1998">J989/H989</f>
        <v>1.0631154879140556E-2</v>
      </c>
      <c r="Q989" s="13">
        <f t="shared" si="1998"/>
        <v>9.1588334538443006E-3</v>
      </c>
      <c r="R989" s="13">
        <f t="shared" si="1552"/>
        <v>1.4723214252962552E-3</v>
      </c>
      <c r="S989" s="13">
        <f t="shared" ref="S989:T989" si="1999">N989/L989</f>
        <v>1.3939595087952207E-2</v>
      </c>
      <c r="T989" s="13">
        <f t="shared" si="1999"/>
        <v>9.5857583019513873E-3</v>
      </c>
      <c r="U989" s="13">
        <f t="shared" si="1554"/>
        <v>4.3538367860008198E-3</v>
      </c>
      <c r="V989" s="13">
        <f t="shared" si="1555"/>
        <v>7.6885996625692954E-2</v>
      </c>
      <c r="W989" s="13">
        <f t="shared" si="1556"/>
        <v>0.25</v>
      </c>
      <c r="X989" s="13">
        <f t="shared" si="1557"/>
        <v>3.1496062992125928E-2</v>
      </c>
      <c r="Y989" s="13">
        <f t="shared" si="1558"/>
        <v>0.5</v>
      </c>
    </row>
    <row r="990" spans="1:25" ht="14.4">
      <c r="A990" s="104" t="s">
        <v>1290</v>
      </c>
      <c r="B990" s="120">
        <v>500032</v>
      </c>
      <c r="C990" s="98" t="s">
        <v>183</v>
      </c>
      <c r="D990" s="100" t="s">
        <v>797</v>
      </c>
      <c r="E990" s="11">
        <f ca="1">IFERROR(__xludf.DUMMYFUNCTION("GOOGLEFINANCE(""BOM:""&amp;B992,""PRICE"")"),17.28)</f>
        <v>17.28</v>
      </c>
      <c r="F990" s="20">
        <f ca="1">IFERROR(__xludf.DUMMYFUNCTION("GOOGLEFINANCE(""BOM:""&amp;B992,""MARKETCAP"")/10000000"),4130.3823837)</f>
        <v>4130.3823837</v>
      </c>
      <c r="G990" s="95">
        <f t="shared" ca="1" si="1573"/>
        <v>1.0251982432746586E-4</v>
      </c>
      <c r="H990" s="101">
        <v>3786</v>
      </c>
      <c r="I990" s="101">
        <v>4021</v>
      </c>
      <c r="J990" s="101">
        <v>-264</v>
      </c>
      <c r="K990" s="101">
        <v>-233</v>
      </c>
      <c r="L990" s="101">
        <v>1380</v>
      </c>
      <c r="M990" s="101">
        <v>1476</v>
      </c>
      <c r="N990" s="101">
        <v>15</v>
      </c>
      <c r="O990" s="101">
        <v>-101</v>
      </c>
      <c r="P990" s="13">
        <f t="shared" ref="P990:Q990" si="2000">J990/H990</f>
        <v>-6.9730586370839939E-2</v>
      </c>
      <c r="Q990" s="13">
        <f t="shared" si="2000"/>
        <v>-5.7945784630688883E-2</v>
      </c>
      <c r="R990" s="13">
        <f t="shared" si="1552"/>
        <v>-1.1784801740151056E-2</v>
      </c>
      <c r="S990" s="13">
        <f t="shared" ref="S990:T990" si="2001">N990/L990</f>
        <v>1.0869565217391304E-2</v>
      </c>
      <c r="T990" s="13">
        <f t="shared" si="2001"/>
        <v>-6.8428184281842816E-2</v>
      </c>
      <c r="U990" s="13">
        <f t="shared" si="1554"/>
        <v>7.9297749499234127E-2</v>
      </c>
      <c r="V990" s="13">
        <f t="shared" si="1555"/>
        <v>-5.8443173339965182E-2</v>
      </c>
      <c r="W990" s="13">
        <f t="shared" si="1556"/>
        <v>0.13304721030042921</v>
      </c>
      <c r="X990" s="13">
        <f t="shared" si="1557"/>
        <v>-6.5040650406504086E-2</v>
      </c>
      <c r="Y990" s="13">
        <f t="shared" si="1558"/>
        <v>-1.1485148514851484</v>
      </c>
    </row>
    <row r="991" spans="1:25" ht="14.4">
      <c r="A991" s="98" t="s">
        <v>1291</v>
      </c>
      <c r="B991" s="99">
        <v>500052</v>
      </c>
      <c r="C991" s="98" t="s">
        <v>196</v>
      </c>
      <c r="D991" s="108" t="s">
        <v>251</v>
      </c>
      <c r="E991" s="11">
        <f ca="1">IFERROR(__xludf.DUMMYFUNCTION("GOOGLEFINANCE(""BOM:""&amp;B993,""PRICE"")"),88.28)</f>
        <v>88.28</v>
      </c>
      <c r="F991" s="20">
        <f ca="1">IFERROR(__xludf.DUMMYFUNCTION("GOOGLEFINANCE(""BOM:""&amp;B993,""MARKETCAP"")/10000000"),2196.4242915)</f>
        <v>2196.4242915</v>
      </c>
      <c r="G991" s="95">
        <f t="shared" ca="1" si="1573"/>
        <v>5.451723632218403E-5</v>
      </c>
      <c r="H991" s="101">
        <v>934</v>
      </c>
      <c r="I991" s="101">
        <v>1052</v>
      </c>
      <c r="J991" s="101">
        <v>128</v>
      </c>
      <c r="K991" s="101">
        <v>140</v>
      </c>
      <c r="L991" s="101">
        <v>301</v>
      </c>
      <c r="M991" s="101">
        <v>345</v>
      </c>
      <c r="N991" s="101">
        <v>42</v>
      </c>
      <c r="O991" s="101">
        <v>40</v>
      </c>
      <c r="P991" s="13">
        <f t="shared" ref="P991:Q991" si="2002">J991/H991</f>
        <v>0.13704496788008566</v>
      </c>
      <c r="Q991" s="13">
        <f t="shared" si="2002"/>
        <v>0.13307984790874525</v>
      </c>
      <c r="R991" s="13">
        <f t="shared" si="1552"/>
        <v>3.9651199713404139E-3</v>
      </c>
      <c r="S991" s="13">
        <f t="shared" ref="S991:T991" si="2003">N991/L991</f>
        <v>0.13953488372093023</v>
      </c>
      <c r="T991" s="13">
        <f t="shared" si="2003"/>
        <v>0.11594202898550725</v>
      </c>
      <c r="U991" s="13">
        <f t="shared" si="1554"/>
        <v>2.3592854735422983E-2</v>
      </c>
      <c r="V991" s="13">
        <f t="shared" si="1555"/>
        <v>-0.11216730038022815</v>
      </c>
      <c r="W991" s="13">
        <f t="shared" si="1556"/>
        <v>-8.5714285714285743E-2</v>
      </c>
      <c r="X991" s="13">
        <f t="shared" si="1557"/>
        <v>-0.12753623188405794</v>
      </c>
      <c r="Y991" s="13">
        <f t="shared" si="1558"/>
        <v>5.0000000000000044E-2</v>
      </c>
    </row>
    <row r="992" spans="1:25" ht="14.4">
      <c r="A992" s="98" t="s">
        <v>1292</v>
      </c>
      <c r="B992" s="99">
        <v>539450</v>
      </c>
      <c r="C992" s="98" t="s">
        <v>196</v>
      </c>
      <c r="D992" s="100" t="s">
        <v>251</v>
      </c>
      <c r="E992" s="11">
        <f ca="1">IFERROR(__xludf.DUMMYFUNCTION("GOOGLEFINANCE(""BOM:""&amp;B994,""PRICE"")"),120.65)</f>
        <v>120.65</v>
      </c>
      <c r="F992" s="20">
        <f ca="1">IFERROR(__xludf.DUMMYFUNCTION("GOOGLEFINANCE(""BOM:""&amp;B994,""MARKETCAP"")/10000000"),1667.0004943)</f>
        <v>1667.0004942999999</v>
      </c>
      <c r="G992" s="95">
        <f t="shared" ca="1" si="1573"/>
        <v>4.1376459115231325E-5</v>
      </c>
      <c r="H992" s="101">
        <v>1718</v>
      </c>
      <c r="I992" s="101">
        <v>1556</v>
      </c>
      <c r="J992" s="101">
        <v>67</v>
      </c>
      <c r="K992" s="101">
        <v>-29</v>
      </c>
      <c r="L992" s="101">
        <v>584</v>
      </c>
      <c r="M992" s="101">
        <v>544</v>
      </c>
      <c r="N992" s="101">
        <v>33</v>
      </c>
      <c r="O992" s="101">
        <v>17</v>
      </c>
      <c r="P992" s="13">
        <f t="shared" ref="P992:Q992" si="2004">J992/H992</f>
        <v>3.8998835855646098E-2</v>
      </c>
      <c r="Q992" s="13">
        <f t="shared" si="2004"/>
        <v>-1.8637532133676093E-2</v>
      </c>
      <c r="R992" s="13">
        <f t="shared" si="1552"/>
        <v>5.7636367989322188E-2</v>
      </c>
      <c r="S992" s="13">
        <f t="shared" ref="S992:T992" si="2005">N992/L992</f>
        <v>5.650684931506849E-2</v>
      </c>
      <c r="T992" s="13">
        <f t="shared" si="2005"/>
        <v>3.125E-2</v>
      </c>
      <c r="U992" s="13">
        <f t="shared" si="1554"/>
        <v>2.525684931506849E-2</v>
      </c>
      <c r="V992" s="13">
        <f t="shared" si="1555"/>
        <v>0.10411311053984584</v>
      </c>
      <c r="W992" s="13">
        <f t="shared" si="1556"/>
        <v>-3.3103448275862069</v>
      </c>
      <c r="X992" s="13">
        <f t="shared" si="1557"/>
        <v>7.3529411764705843E-2</v>
      </c>
      <c r="Y992" s="13">
        <f t="shared" si="1558"/>
        <v>0.94117647058823528</v>
      </c>
    </row>
    <row r="993" spans="1:25" ht="14.4">
      <c r="A993" s="98" t="s">
        <v>1293</v>
      </c>
      <c r="B993" s="99">
        <v>513228</v>
      </c>
      <c r="C993" s="98" t="s">
        <v>180</v>
      </c>
      <c r="D993" s="70" t="s">
        <v>514</v>
      </c>
      <c r="E993" s="11">
        <f ca="1">IFERROR(__xludf.DUMMYFUNCTION("GOOGLEFINANCE(""BOM:""&amp;B995,""PRICE"")"),147.1)</f>
        <v>147.1</v>
      </c>
      <c r="F993" s="20">
        <f ca="1">IFERROR(__xludf.DUMMYFUNCTION("GOOGLEFINANCE(""BOM:""&amp;B995,""MARKETCAP"")/10000000"),1983.0343678)</f>
        <v>1983.0343677999999</v>
      </c>
      <c r="G993" s="95">
        <f t="shared" ca="1" si="1573"/>
        <v>4.9220705527042929E-5</v>
      </c>
      <c r="H993" s="101">
        <v>2733</v>
      </c>
      <c r="I993" s="101">
        <v>2341</v>
      </c>
      <c r="J993" s="101">
        <v>98</v>
      </c>
      <c r="K993" s="101">
        <v>84</v>
      </c>
      <c r="L993" s="101">
        <v>943</v>
      </c>
      <c r="M993" s="101">
        <v>840</v>
      </c>
      <c r="N993" s="101">
        <v>33</v>
      </c>
      <c r="O993" s="101">
        <v>30</v>
      </c>
      <c r="P993" s="13">
        <f t="shared" ref="P993:Q993" si="2006">J993/H993</f>
        <v>3.5858031467252104E-2</v>
      </c>
      <c r="Q993" s="13">
        <f t="shared" si="2006"/>
        <v>3.5882101665954722E-2</v>
      </c>
      <c r="R993" s="13">
        <f t="shared" si="1552"/>
        <v>-2.4070198702617895E-5</v>
      </c>
      <c r="S993" s="13">
        <f t="shared" ref="S993:T993" si="2007">N993/L993</f>
        <v>3.4994697773064687E-2</v>
      </c>
      <c r="T993" s="13">
        <f t="shared" si="2007"/>
        <v>3.5714285714285712E-2</v>
      </c>
      <c r="U993" s="13">
        <f t="shared" si="1554"/>
        <v>-7.1958794122102543E-4</v>
      </c>
      <c r="V993" s="13">
        <f t="shared" si="1555"/>
        <v>0.16744980777445528</v>
      </c>
      <c r="W993" s="13">
        <f t="shared" si="1556"/>
        <v>0.16666666666666674</v>
      </c>
      <c r="X993" s="13">
        <f t="shared" si="1557"/>
        <v>0.12261904761904763</v>
      </c>
      <c r="Y993" s="13">
        <f t="shared" si="1558"/>
        <v>0.10000000000000009</v>
      </c>
    </row>
    <row r="994" spans="1:25" ht="14.4">
      <c r="A994" s="98" t="s">
        <v>1294</v>
      </c>
      <c r="B994" s="99">
        <v>531349</v>
      </c>
      <c r="C994" s="98" t="s">
        <v>190</v>
      </c>
      <c r="D994" s="108" t="s">
        <v>100</v>
      </c>
      <c r="E994" s="11">
        <f ca="1">IFERROR(__xludf.DUMMYFUNCTION("GOOGLEFINANCE(""BOM:""&amp;B996,""PRICE"")"),324.8)</f>
        <v>324.8</v>
      </c>
      <c r="F994" s="20">
        <f ca="1">IFERROR(__xludf.DUMMYFUNCTION("GOOGLEFINANCE(""BOM:""&amp;B996,""MARKETCAP"")/10000000"),1978.398902)</f>
        <v>1978.3989019999999</v>
      </c>
      <c r="G994" s="95">
        <f t="shared" ca="1" si="1573"/>
        <v>4.9105649075764373E-5</v>
      </c>
      <c r="H994" s="101">
        <v>473</v>
      </c>
      <c r="I994" s="101">
        <v>426</v>
      </c>
      <c r="J994" s="101">
        <v>-6</v>
      </c>
      <c r="K994" s="101">
        <v>-6</v>
      </c>
      <c r="L994" s="101">
        <v>165</v>
      </c>
      <c r="M994" s="101">
        <v>163</v>
      </c>
      <c r="N994" s="101">
        <v>3</v>
      </c>
      <c r="O994" s="101">
        <v>4</v>
      </c>
      <c r="P994" s="13">
        <f t="shared" ref="P994:Q994" si="2008">J994/H994</f>
        <v>-1.2684989429175475E-2</v>
      </c>
      <c r="Q994" s="13">
        <f t="shared" si="2008"/>
        <v>-1.4084507042253521E-2</v>
      </c>
      <c r="R994" s="13">
        <f t="shared" si="1552"/>
        <v>1.3995176130780461E-3</v>
      </c>
      <c r="S994" s="13">
        <f t="shared" ref="S994:T994" si="2009">N994/L994</f>
        <v>1.8181818181818181E-2</v>
      </c>
      <c r="T994" s="13">
        <f t="shared" si="2009"/>
        <v>2.4539877300613498E-2</v>
      </c>
      <c r="U994" s="13">
        <f t="shared" si="1554"/>
        <v>-6.3580591187953166E-3</v>
      </c>
      <c r="V994" s="13">
        <f t="shared" si="1555"/>
        <v>0.11032863849765251</v>
      </c>
      <c r="W994" s="13">
        <f t="shared" si="1556"/>
        <v>0</v>
      </c>
      <c r="X994" s="13">
        <f t="shared" si="1557"/>
        <v>1.2269938650306678E-2</v>
      </c>
      <c r="Y994" s="13">
        <f t="shared" si="1558"/>
        <v>-0.25</v>
      </c>
    </row>
    <row r="995" spans="1:25" ht="14.4">
      <c r="A995" s="98" t="s">
        <v>1295</v>
      </c>
      <c r="B995" s="99">
        <v>524394</v>
      </c>
      <c r="C995" s="98" t="s">
        <v>190</v>
      </c>
      <c r="D995" s="70" t="s">
        <v>618</v>
      </c>
      <c r="E995" s="11">
        <f ca="1">IFERROR(__xludf.DUMMYFUNCTION("GOOGLEFINANCE(""BOM:""&amp;B997,""PRICE"")"),412.5)</f>
        <v>412.5</v>
      </c>
      <c r="F995" s="20">
        <f ca="1">IFERROR(__xludf.DUMMYFUNCTION("GOOGLEFINANCE(""BOM:""&amp;B997,""MARKETCAP"")/10000000"),1846.4071961)</f>
        <v>1846.4071961</v>
      </c>
      <c r="G995" s="95">
        <f t="shared" ca="1" si="1573"/>
        <v>4.5829495624463634E-5</v>
      </c>
      <c r="H995" s="101">
        <v>298</v>
      </c>
      <c r="I995" s="101">
        <v>249</v>
      </c>
      <c r="J995" s="101">
        <v>56</v>
      </c>
      <c r="K995" s="101">
        <v>48</v>
      </c>
      <c r="L995" s="101">
        <v>98</v>
      </c>
      <c r="M995" s="101">
        <v>89</v>
      </c>
      <c r="N995" s="101">
        <v>17</v>
      </c>
      <c r="O995" s="101">
        <v>17</v>
      </c>
      <c r="P995" s="13">
        <f t="shared" ref="P995:Q995" si="2010">J995/H995</f>
        <v>0.18791946308724833</v>
      </c>
      <c r="Q995" s="13">
        <f t="shared" si="2010"/>
        <v>0.19277108433734941</v>
      </c>
      <c r="R995" s="13">
        <f t="shared" si="1552"/>
        <v>-4.8516212501010791E-3</v>
      </c>
      <c r="S995" s="13">
        <f t="shared" ref="S995:T995" si="2011">N995/L995</f>
        <v>0.17346938775510204</v>
      </c>
      <c r="T995" s="13">
        <f t="shared" si="2011"/>
        <v>0.19101123595505617</v>
      </c>
      <c r="U995" s="13">
        <f t="shared" si="1554"/>
        <v>-1.7541848199954135E-2</v>
      </c>
      <c r="V995" s="13">
        <f t="shared" si="1555"/>
        <v>0.19678714859437751</v>
      </c>
      <c r="W995" s="13">
        <f t="shared" si="1556"/>
        <v>0.16666666666666674</v>
      </c>
      <c r="X995" s="13">
        <f t="shared" si="1557"/>
        <v>0.101123595505618</v>
      </c>
      <c r="Y995" s="13">
        <f t="shared" si="1558"/>
        <v>0</v>
      </c>
    </row>
    <row r="996" spans="1:25" ht="14.4">
      <c r="A996" s="98" t="s">
        <v>1296</v>
      </c>
      <c r="B996" s="99">
        <v>500306</v>
      </c>
      <c r="C996" s="98" t="s">
        <v>180</v>
      </c>
      <c r="D996" s="100" t="s">
        <v>204</v>
      </c>
      <c r="E996" s="11">
        <f ca="1">IFERROR(__xludf.DUMMYFUNCTION("GOOGLEFINANCE(""BOM:""&amp;B998,""PRICE"")"),142.5)</f>
        <v>142.5</v>
      </c>
      <c r="F996" s="20">
        <f ca="1">IFERROR(__xludf.DUMMYFUNCTION("GOOGLEFINANCE(""BOM:""&amp;B998,""MARKETCAP"")/10000000"),1858.41376)</f>
        <v>1858.4137599999999</v>
      </c>
      <c r="G996" s="95">
        <f t="shared" ca="1" si="1573"/>
        <v>4.6127509393518558E-5</v>
      </c>
      <c r="H996" s="101">
        <v>178</v>
      </c>
      <c r="I996" s="101">
        <v>69</v>
      </c>
      <c r="J996" s="101">
        <v>35</v>
      </c>
      <c r="K996" s="101">
        <v>11</v>
      </c>
      <c r="L996" s="101">
        <v>59</v>
      </c>
      <c r="M996" s="101">
        <v>21</v>
      </c>
      <c r="N996" s="101">
        <v>6</v>
      </c>
      <c r="O996" s="101">
        <v>5</v>
      </c>
      <c r="P996" s="13">
        <f t="shared" ref="P996:Q996" si="2012">J996/H996</f>
        <v>0.19662921348314608</v>
      </c>
      <c r="Q996" s="13">
        <f t="shared" si="2012"/>
        <v>0.15942028985507245</v>
      </c>
      <c r="R996" s="13">
        <f t="shared" si="1552"/>
        <v>3.7208923628073626E-2</v>
      </c>
      <c r="S996" s="13">
        <f t="shared" ref="S996:T996" si="2013">N996/L996</f>
        <v>0.10169491525423729</v>
      </c>
      <c r="T996" s="13">
        <f t="shared" si="2013"/>
        <v>0.23809523809523808</v>
      </c>
      <c r="U996" s="13">
        <f t="shared" si="1554"/>
        <v>-0.13640032284100079</v>
      </c>
      <c r="V996" s="13">
        <f t="shared" si="1555"/>
        <v>1.5797101449275361</v>
      </c>
      <c r="W996" s="13">
        <f t="shared" si="1556"/>
        <v>2.1818181818181817</v>
      </c>
      <c r="X996" s="13">
        <f t="shared" si="1557"/>
        <v>1.8095238095238093</v>
      </c>
      <c r="Y996" s="13">
        <f t="shared" si="1558"/>
        <v>0.19999999999999996</v>
      </c>
    </row>
    <row r="997" spans="1:25" ht="14.4">
      <c r="A997" s="104" t="s">
        <v>1297</v>
      </c>
      <c r="B997" s="99">
        <v>532430</v>
      </c>
      <c r="C997" s="98" t="s">
        <v>206</v>
      </c>
      <c r="D997" s="100" t="s">
        <v>1298</v>
      </c>
      <c r="E997" s="11">
        <f ca="1">IFERROR(__xludf.DUMMYFUNCTION("GOOGLEFINANCE(""BOM:""&amp;B999,""PRICE"")"),411.5)</f>
        <v>411.5</v>
      </c>
      <c r="F997" s="20">
        <f ca="1">IFERROR(__xludf.DUMMYFUNCTION("GOOGLEFINANCE(""BOM:""&amp;B999,""MARKETCAP"")/10000000"),1543.6194314)</f>
        <v>1543.6194313999999</v>
      </c>
      <c r="G997" s="95">
        <f t="shared" ca="1" si="1573"/>
        <v>3.831402960658302E-5</v>
      </c>
      <c r="H997" s="101">
        <v>17</v>
      </c>
      <c r="I997" s="101">
        <v>16</v>
      </c>
      <c r="J997" s="101">
        <v>5</v>
      </c>
      <c r="K997" s="101">
        <v>15</v>
      </c>
      <c r="L997" s="101">
        <v>3</v>
      </c>
      <c r="M997" s="101">
        <v>1</v>
      </c>
      <c r="N997" s="101">
        <v>-2</v>
      </c>
      <c r="O997" s="101">
        <v>-0.83</v>
      </c>
      <c r="P997" s="13">
        <f t="shared" ref="P997:Q997" si="2014">J997/H997</f>
        <v>0.29411764705882354</v>
      </c>
      <c r="Q997" s="13">
        <f t="shared" si="2014"/>
        <v>0.9375</v>
      </c>
      <c r="R997" s="13">
        <f t="shared" si="1552"/>
        <v>-0.64338235294117641</v>
      </c>
      <c r="S997" s="13">
        <f t="shared" ref="S997:T997" si="2015">N997/L997</f>
        <v>-0.66666666666666663</v>
      </c>
      <c r="T997" s="13">
        <f t="shared" si="2015"/>
        <v>-0.83</v>
      </c>
      <c r="U997" s="13">
        <f t="shared" si="1554"/>
        <v>0.16333333333333333</v>
      </c>
      <c r="V997" s="13">
        <f t="shared" si="1555"/>
        <v>6.25E-2</v>
      </c>
      <c r="W997" s="13">
        <f t="shared" si="1556"/>
        <v>-0.66666666666666674</v>
      </c>
      <c r="X997" s="13">
        <f t="shared" si="1557"/>
        <v>2</v>
      </c>
      <c r="Y997" s="13">
        <f t="shared" si="1558"/>
        <v>1.4096385542168677</v>
      </c>
    </row>
    <row r="998" spans="1:25" ht="14.4">
      <c r="A998" s="98" t="s">
        <v>1299</v>
      </c>
      <c r="B998" s="99">
        <v>512237</v>
      </c>
      <c r="C998" s="98" t="s">
        <v>180</v>
      </c>
      <c r="D998" s="100" t="s">
        <v>420</v>
      </c>
      <c r="E998" s="11">
        <f ca="1">IFERROR(__xludf.DUMMYFUNCTION("GOOGLEFINANCE(""BOM:""&amp;B1000,""PRICE"")"),97.32)</f>
        <v>97.32</v>
      </c>
      <c r="F998" s="20">
        <f ca="1">IFERROR(__xludf.DUMMYFUNCTION("GOOGLEFINANCE(""BOM:""&amp;B1000,""MARKETCAP"")/10000000"),1711.172775)</f>
        <v>1711.172775</v>
      </c>
      <c r="G998" s="95">
        <f t="shared" ca="1" si="1573"/>
        <v>4.2472855050721168E-5</v>
      </c>
      <c r="H998" s="101">
        <v>393</v>
      </c>
      <c r="I998" s="101">
        <v>382</v>
      </c>
      <c r="J998" s="101">
        <v>148</v>
      </c>
      <c r="K998" s="101">
        <v>43</v>
      </c>
      <c r="L998" s="101">
        <v>116</v>
      </c>
      <c r="M998" s="101">
        <v>126</v>
      </c>
      <c r="N998" s="101">
        <v>17</v>
      </c>
      <c r="O998" s="101">
        <v>12</v>
      </c>
      <c r="P998" s="13">
        <f t="shared" ref="P998:Q998" si="2016">J998/H998</f>
        <v>0.37659033078880405</v>
      </c>
      <c r="Q998" s="13">
        <f t="shared" si="2016"/>
        <v>0.112565445026178</v>
      </c>
      <c r="R998" s="13">
        <f t="shared" si="1552"/>
        <v>0.26402488576262606</v>
      </c>
      <c r="S998" s="13">
        <f t="shared" ref="S998:T998" si="2017">N998/L998</f>
        <v>0.14655172413793102</v>
      </c>
      <c r="T998" s="13">
        <f t="shared" si="2017"/>
        <v>9.5238095238095233E-2</v>
      </c>
      <c r="U998" s="13">
        <f t="shared" si="1554"/>
        <v>5.1313628899835789E-2</v>
      </c>
      <c r="V998" s="13">
        <f t="shared" si="1555"/>
        <v>2.8795811518324665E-2</v>
      </c>
      <c r="W998" s="13">
        <f t="shared" si="1556"/>
        <v>2.441860465116279</v>
      </c>
      <c r="X998" s="13">
        <f t="shared" si="1557"/>
        <v>-7.9365079365079416E-2</v>
      </c>
      <c r="Y998" s="13">
        <f t="shared" si="1558"/>
        <v>0.41666666666666674</v>
      </c>
    </row>
    <row r="999" spans="1:25" ht="14.4">
      <c r="A999" s="104" t="s">
        <v>1300</v>
      </c>
      <c r="B999" s="99">
        <v>542905</v>
      </c>
      <c r="C999" s="98" t="s">
        <v>187</v>
      </c>
      <c r="D999" s="100" t="s">
        <v>926</v>
      </c>
      <c r="E999" s="11">
        <f ca="1">IFERROR(__xludf.DUMMYFUNCTION("GOOGLEFINANCE(""BOM:""&amp;B1001,""PRICE"")"),199.5)</f>
        <v>199.5</v>
      </c>
      <c r="F999" s="20">
        <f ca="1">IFERROR(__xludf.DUMMYFUNCTION("GOOGLEFINANCE(""BOM:""&amp;B1001,""MARKETCAP"")/10000000"),1669.4138686)</f>
        <v>1669.4138685999999</v>
      </c>
      <c r="G999" s="95">
        <f t="shared" ca="1" si="1573"/>
        <v>4.1436361246871447E-5</v>
      </c>
      <c r="H999" s="101">
        <v>1849</v>
      </c>
      <c r="I999" s="101">
        <v>1824</v>
      </c>
      <c r="J999" s="101">
        <v>-12</v>
      </c>
      <c r="K999" s="101">
        <v>-22</v>
      </c>
      <c r="L999" s="101">
        <v>640</v>
      </c>
      <c r="M999" s="101">
        <v>594</v>
      </c>
      <c r="N999" s="101">
        <v>5</v>
      </c>
      <c r="O999" s="101">
        <v>-12</v>
      </c>
      <c r="P999" s="13">
        <f t="shared" ref="P999:Q999" si="2018">J999/H999</f>
        <v>-6.4899945916711737E-3</v>
      </c>
      <c r="Q999" s="13">
        <f t="shared" si="2018"/>
        <v>-1.2061403508771929E-2</v>
      </c>
      <c r="R999" s="13">
        <f t="shared" si="1552"/>
        <v>5.5714089171007555E-3</v>
      </c>
      <c r="S999" s="13">
        <f t="shared" ref="S999:T999" si="2019">N999/L999</f>
        <v>7.8125E-3</v>
      </c>
      <c r="T999" s="13">
        <f t="shared" si="2019"/>
        <v>-2.0202020202020204E-2</v>
      </c>
      <c r="U999" s="13">
        <f t="shared" si="1554"/>
        <v>2.8014520202020204E-2</v>
      </c>
      <c r="V999" s="13">
        <f t="shared" si="1555"/>
        <v>1.3706140350877138E-2</v>
      </c>
      <c r="W999" s="13">
        <f t="shared" si="1556"/>
        <v>-0.45454545454545459</v>
      </c>
      <c r="X999" s="13">
        <f t="shared" si="1557"/>
        <v>7.7441077441077422E-2</v>
      </c>
      <c r="Y999" s="13">
        <f t="shared" si="1558"/>
        <v>-1.4166666666666667</v>
      </c>
    </row>
    <row r="1000" spans="1:25" ht="14.4">
      <c r="A1000" s="98" t="s">
        <v>1301</v>
      </c>
      <c r="B1000" s="99">
        <v>523261</v>
      </c>
      <c r="C1000" s="98" t="s">
        <v>183</v>
      </c>
      <c r="D1000" s="100" t="s">
        <v>1302</v>
      </c>
      <c r="E1000" s="11">
        <f ca="1">IFERROR(__xludf.DUMMYFUNCTION("GOOGLEFINANCE(""BOM:""&amp;B1002,""PRICE"")"),1325.15)</f>
        <v>1325.15</v>
      </c>
      <c r="F1000" s="20">
        <f ca="1">IFERROR(__xludf.DUMMYFUNCTION("GOOGLEFINANCE(""BOM:""&amp;B1002,""MARKETCAP"")/10000000"),1866.020608)</f>
        <v>1866.020608</v>
      </c>
      <c r="G1000" s="95">
        <f t="shared" ca="1" si="1573"/>
        <v>4.6316318236913623E-5</v>
      </c>
      <c r="H1000" s="101">
        <v>2626</v>
      </c>
      <c r="I1000" s="101">
        <v>2463</v>
      </c>
      <c r="J1000" s="101">
        <v>37</v>
      </c>
      <c r="K1000" s="101">
        <v>103</v>
      </c>
      <c r="L1000" s="101">
        <v>960</v>
      </c>
      <c r="M1000" s="101">
        <v>881</v>
      </c>
      <c r="N1000" s="101">
        <v>48</v>
      </c>
      <c r="O1000" s="101">
        <v>20</v>
      </c>
      <c r="P1000" s="13">
        <f t="shared" ref="P1000:Q1000" si="2020">J1000/H1000</f>
        <v>1.408987052551409E-2</v>
      </c>
      <c r="Q1000" s="13">
        <f t="shared" si="2020"/>
        <v>4.1818920016240359E-2</v>
      </c>
      <c r="R1000" s="13">
        <f t="shared" si="1552"/>
        <v>-2.7729049490726271E-2</v>
      </c>
      <c r="S1000" s="13">
        <f t="shared" ref="S1000:T1000" si="2021">N1000/L1000</f>
        <v>0.05</v>
      </c>
      <c r="T1000" s="13">
        <f t="shared" si="2021"/>
        <v>2.2701475595913734E-2</v>
      </c>
      <c r="U1000" s="13">
        <f t="shared" si="1554"/>
        <v>2.7298524404086269E-2</v>
      </c>
      <c r="V1000" s="13">
        <f t="shared" si="1555"/>
        <v>6.6179455948030874E-2</v>
      </c>
      <c r="W1000" s="13">
        <f t="shared" si="1556"/>
        <v>-0.64077669902912615</v>
      </c>
      <c r="X1000" s="13">
        <f t="shared" si="1557"/>
        <v>8.9670828603859221E-2</v>
      </c>
      <c r="Y1000" s="13">
        <f t="shared" si="1558"/>
        <v>1.4</v>
      </c>
    </row>
    <row r="1001" spans="1:25" ht="14.4">
      <c r="A1001" s="98" t="s">
        <v>1303</v>
      </c>
      <c r="B1001" s="99">
        <v>539686</v>
      </c>
      <c r="C1001" s="98" t="s">
        <v>198</v>
      </c>
      <c r="D1001" s="100" t="s">
        <v>199</v>
      </c>
      <c r="E1001" s="11">
        <f ca="1">IFERROR(__xludf.DUMMYFUNCTION("GOOGLEFINANCE(""BOM:""&amp;B1003,""PRICE"")"),287.5)</f>
        <v>287.5</v>
      </c>
      <c r="F1001" s="20">
        <f ca="1">IFERROR(__xludf.DUMMYFUNCTION("GOOGLEFINANCE(""BOM:""&amp;B1003,""MARKETCAP"")/10000000"),1937.9493258)</f>
        <v>1937.9493258</v>
      </c>
      <c r="G1001" s="95">
        <f t="shared" ca="1" si="1573"/>
        <v>4.8101654031017535E-5</v>
      </c>
      <c r="H1001" s="101">
        <v>865</v>
      </c>
      <c r="I1001" s="101">
        <v>537</v>
      </c>
      <c r="J1001" s="101">
        <v>102</v>
      </c>
      <c r="K1001" s="101">
        <v>69</v>
      </c>
      <c r="L1001" s="101">
        <v>344</v>
      </c>
      <c r="M1001" s="101">
        <v>211</v>
      </c>
      <c r="N1001" s="101">
        <v>41</v>
      </c>
      <c r="O1001" s="101">
        <v>26</v>
      </c>
      <c r="P1001" s="13">
        <f t="shared" ref="P1001:Q1001" si="2022">J1001/H1001</f>
        <v>0.11791907514450867</v>
      </c>
      <c r="Q1001" s="13">
        <f t="shared" si="2022"/>
        <v>0.12849162011173185</v>
      </c>
      <c r="R1001" s="13">
        <f t="shared" si="1552"/>
        <v>-1.057254496722318E-2</v>
      </c>
      <c r="S1001" s="13">
        <f t="shared" ref="S1001:T1001" si="2023">N1001/L1001</f>
        <v>0.11918604651162791</v>
      </c>
      <c r="T1001" s="13">
        <f t="shared" si="2023"/>
        <v>0.12322274881516587</v>
      </c>
      <c r="U1001" s="13">
        <f t="shared" si="1554"/>
        <v>-4.0367023035379618E-3</v>
      </c>
      <c r="V1001" s="13">
        <f t="shared" si="1555"/>
        <v>0.61080074487895719</v>
      </c>
      <c r="W1001" s="13">
        <f t="shared" si="1556"/>
        <v>0.47826086956521729</v>
      </c>
      <c r="X1001" s="13">
        <f t="shared" si="1557"/>
        <v>0.63033175355450233</v>
      </c>
      <c r="Y1001" s="13">
        <f t="shared" si="1558"/>
        <v>0.57692307692307687</v>
      </c>
    </row>
    <row r="1002" spans="1:25" ht="14.4">
      <c r="A1002" s="104" t="s">
        <v>1304</v>
      </c>
      <c r="B1002" s="99">
        <v>500108</v>
      </c>
      <c r="C1002" s="98" t="s">
        <v>170</v>
      </c>
      <c r="D1002" s="100" t="s">
        <v>128</v>
      </c>
      <c r="E1002" s="11">
        <f ca="1">IFERROR(__xludf.DUMMYFUNCTION("GOOGLEFINANCE(""BOM:""&amp;B1004,""PRICE"")"),25.5)</f>
        <v>25.5</v>
      </c>
      <c r="F1002" s="20">
        <f ca="1">IFERROR(__xludf.DUMMYFUNCTION("GOOGLEFINANCE(""BOM:""&amp;B1004,""MARKETCAP"")/10000000"),1609.0200576)</f>
        <v>1609.0200576</v>
      </c>
      <c r="G1002" s="95">
        <f t="shared" ca="1" si="1573"/>
        <v>3.9937332266256881E-5</v>
      </c>
      <c r="H1002" s="101">
        <v>660</v>
      </c>
      <c r="I1002" s="101">
        <v>817</v>
      </c>
      <c r="J1002" s="101">
        <v>-2800</v>
      </c>
      <c r="K1002" s="101">
        <v>-2500</v>
      </c>
      <c r="L1002" s="101">
        <v>197</v>
      </c>
      <c r="M1002" s="101">
        <v>261</v>
      </c>
      <c r="N1002" s="101">
        <v>-897</v>
      </c>
      <c r="O1002" s="101">
        <v>-836</v>
      </c>
      <c r="P1002" s="13">
        <f t="shared" ref="P1002:Q1002" si="2024">J1002/H1002</f>
        <v>-4.2424242424242422</v>
      </c>
      <c r="Q1002" s="13">
        <f t="shared" si="2024"/>
        <v>-3.0599755201958385</v>
      </c>
      <c r="R1002" s="13">
        <f t="shared" si="1552"/>
        <v>-1.1824487222284037</v>
      </c>
      <c r="S1002" s="13">
        <f t="shared" ref="S1002:T1002" si="2025">N1002/L1002</f>
        <v>-4.5532994923857872</v>
      </c>
      <c r="T1002" s="13">
        <f t="shared" si="2025"/>
        <v>-3.2030651340996168</v>
      </c>
      <c r="U1002" s="13">
        <f t="shared" si="1554"/>
        <v>-1.3502343582861704</v>
      </c>
      <c r="V1002" s="13">
        <f t="shared" si="1555"/>
        <v>-0.19216646266829862</v>
      </c>
      <c r="W1002" s="13">
        <f t="shared" si="1556"/>
        <v>0.12000000000000011</v>
      </c>
      <c r="X1002" s="13">
        <f t="shared" si="1557"/>
        <v>-0.24521072796934862</v>
      </c>
      <c r="Y1002" s="13">
        <f t="shared" si="1558"/>
        <v>7.2966507177033568E-2</v>
      </c>
    </row>
    <row r="1003" spans="1:25" ht="14.4">
      <c r="A1003" s="98" t="s">
        <v>1305</v>
      </c>
      <c r="B1003" s="99">
        <v>543992</v>
      </c>
      <c r="C1003" s="98" t="s">
        <v>187</v>
      </c>
      <c r="D1003" s="100" t="s">
        <v>88</v>
      </c>
      <c r="E1003" s="11">
        <f ca="1">IFERROR(__xludf.DUMMYFUNCTION("GOOGLEFINANCE(""BOM:""&amp;B1005,""PRICE"")"),97.2)</f>
        <v>97.2</v>
      </c>
      <c r="F1003" s="20">
        <f ca="1">IFERROR(__xludf.DUMMYFUNCTION("GOOGLEFINANCE(""BOM:""&amp;B1005,""MARKETCAP"")/10000000"),1534.5070438)</f>
        <v>1534.5070438</v>
      </c>
      <c r="G1003" s="95">
        <f t="shared" ca="1" si="1573"/>
        <v>3.8087851909418114E-5</v>
      </c>
      <c r="H1003" s="101">
        <v>817</v>
      </c>
      <c r="I1003" s="101">
        <v>572</v>
      </c>
      <c r="J1003" s="101">
        <v>38</v>
      </c>
      <c r="K1003" s="101">
        <v>21</v>
      </c>
      <c r="L1003" s="101">
        <v>256</v>
      </c>
      <c r="M1003" s="101">
        <v>235</v>
      </c>
      <c r="N1003" s="101">
        <v>8</v>
      </c>
      <c r="O1003" s="101">
        <v>10</v>
      </c>
      <c r="P1003" s="13">
        <f t="shared" ref="P1003:Q1003" si="2026">J1003/H1003</f>
        <v>4.6511627906976744E-2</v>
      </c>
      <c r="Q1003" s="13">
        <f t="shared" si="2026"/>
        <v>3.6713286713286712E-2</v>
      </c>
      <c r="R1003" s="13">
        <f t="shared" si="1552"/>
        <v>9.7983411936900314E-3</v>
      </c>
      <c r="S1003" s="13">
        <f t="shared" ref="S1003:T1003" si="2027">N1003/L1003</f>
        <v>3.125E-2</v>
      </c>
      <c r="T1003" s="13">
        <f t="shared" si="2027"/>
        <v>4.2553191489361701E-2</v>
      </c>
      <c r="U1003" s="13">
        <f t="shared" si="1554"/>
        <v>-1.1303191489361701E-2</v>
      </c>
      <c r="V1003" s="13">
        <f t="shared" si="1555"/>
        <v>0.42832167832167833</v>
      </c>
      <c r="W1003" s="13">
        <f t="shared" si="1556"/>
        <v>0.80952380952380953</v>
      </c>
      <c r="X1003" s="13">
        <f t="shared" si="1557"/>
        <v>8.9361702127659592E-2</v>
      </c>
      <c r="Y1003" s="13">
        <f t="shared" si="1558"/>
        <v>-0.19999999999999996</v>
      </c>
    </row>
    <row r="1004" spans="1:25" ht="14.4">
      <c r="A1004" s="98" t="s">
        <v>1306</v>
      </c>
      <c r="B1004" s="99">
        <v>532663</v>
      </c>
      <c r="C1004" s="98" t="s">
        <v>174</v>
      </c>
      <c r="D1004" s="100" t="s">
        <v>455</v>
      </c>
      <c r="E1004" s="11">
        <f ca="1">IFERROR(__xludf.DUMMYFUNCTION("GOOGLEFINANCE(""BOM:""&amp;B1006,""PRICE"")"),1197)</f>
        <v>1197</v>
      </c>
      <c r="F1004" s="20">
        <f ca="1">IFERROR(__xludf.DUMMYFUNCTION("GOOGLEFINANCE(""BOM:""&amp;B1006,""MARKETCAP"")/10000000"),1816.300616)</f>
        <v>1816.300616</v>
      </c>
      <c r="G1004" s="95">
        <f t="shared" ca="1" si="1573"/>
        <v>4.5082223092231916E-5</v>
      </c>
      <c r="H1004" s="101">
        <v>779</v>
      </c>
      <c r="I1004" s="101">
        <v>402</v>
      </c>
      <c r="J1004" s="101">
        <v>29</v>
      </c>
      <c r="K1004" s="101">
        <v>39</v>
      </c>
      <c r="L1004" s="101">
        <v>250</v>
      </c>
      <c r="M1004" s="101">
        <v>144</v>
      </c>
      <c r="N1004" s="101">
        <v>9</v>
      </c>
      <c r="O1004" s="101">
        <v>9</v>
      </c>
      <c r="P1004" s="13">
        <f t="shared" ref="P1004:Q1004" si="2028">J1004/H1004</f>
        <v>3.7227214377406934E-2</v>
      </c>
      <c r="Q1004" s="13">
        <f t="shared" si="2028"/>
        <v>9.7014925373134331E-2</v>
      </c>
      <c r="R1004" s="13">
        <f t="shared" si="1552"/>
        <v>-5.9787710995727397E-2</v>
      </c>
      <c r="S1004" s="13">
        <f t="shared" ref="S1004:T1004" si="2029">N1004/L1004</f>
        <v>3.5999999999999997E-2</v>
      </c>
      <c r="T1004" s="13">
        <f t="shared" si="2029"/>
        <v>6.25E-2</v>
      </c>
      <c r="U1004" s="13">
        <f t="shared" si="1554"/>
        <v>-2.6500000000000003E-2</v>
      </c>
      <c r="V1004" s="13">
        <f t="shared" si="1555"/>
        <v>0.93781094527363185</v>
      </c>
      <c r="W1004" s="13">
        <f t="shared" si="1556"/>
        <v>-0.25641025641025639</v>
      </c>
      <c r="X1004" s="13">
        <f t="shared" si="1557"/>
        <v>0.73611111111111116</v>
      </c>
      <c r="Y1004" s="13">
        <f t="shared" si="1558"/>
        <v>0</v>
      </c>
    </row>
    <row r="1005" spans="1:25" ht="14.4">
      <c r="A1005" s="98" t="s">
        <v>1307</v>
      </c>
      <c r="B1005" s="99">
        <v>504741</v>
      </c>
      <c r="C1005" s="98" t="s">
        <v>180</v>
      </c>
      <c r="D1005" s="102" t="s">
        <v>514</v>
      </c>
      <c r="E1005" s="11">
        <f ca="1">IFERROR(__xludf.DUMMYFUNCTION("GOOGLEFINANCE(""BOM:""&amp;B1007,""PRICE"")"),320.05)</f>
        <v>320.05</v>
      </c>
      <c r="F1005" s="20">
        <f ca="1">IFERROR(__xludf.DUMMYFUNCTION("GOOGLEFINANCE(""BOM:""&amp;B1007,""MARKETCAP"")/10000000"),1688.315089)</f>
        <v>1688.3150889999999</v>
      </c>
      <c r="G1005" s="95">
        <f t="shared" ca="1" si="1573"/>
        <v>4.1905506622522328E-5</v>
      </c>
      <c r="H1005" s="101">
        <v>954</v>
      </c>
      <c r="I1005" s="101">
        <v>1099</v>
      </c>
      <c r="J1005" s="101">
        <v>118</v>
      </c>
      <c r="K1005" s="101">
        <v>58</v>
      </c>
      <c r="L1005" s="101">
        <v>282</v>
      </c>
      <c r="M1005" s="101">
        <v>380</v>
      </c>
      <c r="N1005" s="101">
        <v>61</v>
      </c>
      <c r="O1005" s="101">
        <v>14</v>
      </c>
      <c r="P1005" s="13">
        <f t="shared" ref="P1005:Q1005" si="2030">J1005/H1005</f>
        <v>0.12368972746331237</v>
      </c>
      <c r="Q1005" s="13">
        <f t="shared" si="2030"/>
        <v>5.2775250227479524E-2</v>
      </c>
      <c r="R1005" s="13">
        <f t="shared" si="1552"/>
        <v>7.0914477235832857E-2</v>
      </c>
      <c r="S1005" s="13">
        <f t="shared" ref="S1005:T1005" si="2031">N1005/L1005</f>
        <v>0.21631205673758866</v>
      </c>
      <c r="T1005" s="13">
        <f t="shared" si="2031"/>
        <v>3.6842105263157891E-2</v>
      </c>
      <c r="U1005" s="13">
        <f t="shared" si="1554"/>
        <v>0.17946995147443076</v>
      </c>
      <c r="V1005" s="13">
        <f t="shared" si="1555"/>
        <v>-0.13193812556869877</v>
      </c>
      <c r="W1005" s="13">
        <f t="shared" si="1556"/>
        <v>1.0344827586206895</v>
      </c>
      <c r="X1005" s="13">
        <f t="shared" si="1557"/>
        <v>-0.25789473684210529</v>
      </c>
      <c r="Y1005" s="13">
        <f t="shared" si="1558"/>
        <v>3.3571428571428568</v>
      </c>
    </row>
    <row r="1006" spans="1:25" ht="14.4">
      <c r="A1006" s="104" t="s">
        <v>1308</v>
      </c>
      <c r="B1006" s="99">
        <v>532722</v>
      </c>
      <c r="C1006" s="98" t="s">
        <v>187</v>
      </c>
      <c r="D1006" s="102" t="s">
        <v>115</v>
      </c>
      <c r="E1006" s="11">
        <f ca="1">IFERROR(__xludf.DUMMYFUNCTION("GOOGLEFINANCE(""BOM:""&amp;B1008,""PRICE"")"),87.76)</f>
        <v>87.76</v>
      </c>
      <c r="F1006" s="20">
        <f ca="1">IFERROR(__xludf.DUMMYFUNCTION("GOOGLEFINANCE(""BOM:""&amp;B1008,""MARKETCAP"")/10000000"),2006.5988457)</f>
        <v>2006.5988457000001</v>
      </c>
      <c r="G1006" s="95">
        <f t="shared" ca="1" si="1573"/>
        <v>4.9805597169088032E-5</v>
      </c>
      <c r="H1006" s="101">
        <v>389</v>
      </c>
      <c r="I1006" s="101">
        <v>220</v>
      </c>
      <c r="J1006" s="101">
        <v>36</v>
      </c>
      <c r="K1006" s="101">
        <v>-738</v>
      </c>
      <c r="L1006" s="101">
        <v>130</v>
      </c>
      <c r="M1006" s="101">
        <v>84</v>
      </c>
      <c r="N1006" s="101">
        <v>-11</v>
      </c>
      <c r="O1006" s="101">
        <v>-660</v>
      </c>
      <c r="P1006" s="13">
        <f t="shared" ref="P1006:Q1006" si="2032">J1006/H1006</f>
        <v>9.2544987146529561E-2</v>
      </c>
      <c r="Q1006" s="13">
        <f t="shared" si="2032"/>
        <v>-3.3545454545454545</v>
      </c>
      <c r="R1006" s="13">
        <f t="shared" si="1552"/>
        <v>3.4470904416919841</v>
      </c>
      <c r="S1006" s="13">
        <f t="shared" ref="S1006:T1006" si="2033">N1006/L1006</f>
        <v>-8.461538461538462E-2</v>
      </c>
      <c r="T1006" s="13">
        <f t="shared" si="2033"/>
        <v>-7.8571428571428568</v>
      </c>
      <c r="U1006" s="13">
        <f t="shared" si="1554"/>
        <v>7.7725274725274724</v>
      </c>
      <c r="V1006" s="13">
        <f t="shared" si="1555"/>
        <v>0.76818181818181808</v>
      </c>
      <c r="W1006" s="13">
        <f t="shared" si="1556"/>
        <v>-1.0487804878048781</v>
      </c>
      <c r="X1006" s="13">
        <f t="shared" si="1557"/>
        <v>0.54761904761904767</v>
      </c>
      <c r="Y1006" s="13">
        <f t="shared" si="1558"/>
        <v>-0.98333333333333328</v>
      </c>
    </row>
    <row r="1007" spans="1:25" ht="14.4">
      <c r="A1007" s="98" t="s">
        <v>1309</v>
      </c>
      <c r="B1007" s="99">
        <v>511742</v>
      </c>
      <c r="C1007" s="98" t="s">
        <v>172</v>
      </c>
      <c r="D1007" s="102" t="s">
        <v>178</v>
      </c>
      <c r="E1007" s="11">
        <f ca="1">IFERROR(__xludf.DUMMYFUNCTION("GOOGLEFINANCE(""BOM:""&amp;B1009,""PRICE"")"),88.7)</f>
        <v>88.7</v>
      </c>
      <c r="F1007" s="20">
        <f ca="1">IFERROR(__xludf.DUMMYFUNCTION("GOOGLEFINANCE(""BOM:""&amp;B1009,""MARKETCAP"")/10000000"),1358.224122)</f>
        <v>1358.2241220000001</v>
      </c>
      <c r="G1007" s="95">
        <f t="shared" ca="1" si="1573"/>
        <v>3.3712350443454798E-5</v>
      </c>
      <c r="H1007" s="101">
        <v>1278</v>
      </c>
      <c r="I1007" s="101">
        <v>992</v>
      </c>
      <c r="J1007" s="101">
        <v>83</v>
      </c>
      <c r="K1007" s="101">
        <v>103</v>
      </c>
      <c r="L1007" s="101">
        <v>408</v>
      </c>
      <c r="M1007" s="101">
        <v>371</v>
      </c>
      <c r="N1007" s="101">
        <v>6</v>
      </c>
      <c r="O1007" s="101">
        <v>37</v>
      </c>
      <c r="P1007" s="13">
        <f t="shared" ref="P1007:Q1007" si="2034">J1007/H1007</f>
        <v>6.4945226917057897E-2</v>
      </c>
      <c r="Q1007" s="13">
        <f t="shared" si="2034"/>
        <v>0.10383064516129033</v>
      </c>
      <c r="R1007" s="13">
        <f t="shared" si="1552"/>
        <v>-3.8885418244232431E-2</v>
      </c>
      <c r="S1007" s="13">
        <f t="shared" ref="S1007:T1007" si="2035">N1007/L1007</f>
        <v>1.4705882352941176E-2</v>
      </c>
      <c r="T1007" s="13">
        <f t="shared" si="2035"/>
        <v>9.9730458221024262E-2</v>
      </c>
      <c r="U1007" s="13">
        <f t="shared" si="1554"/>
        <v>-8.5024575868083083E-2</v>
      </c>
      <c r="V1007" s="13">
        <f t="shared" si="1555"/>
        <v>0.28830645161290325</v>
      </c>
      <c r="W1007" s="13">
        <f t="shared" si="1556"/>
        <v>-0.19417475728155342</v>
      </c>
      <c r="X1007" s="13">
        <f t="shared" si="1557"/>
        <v>9.9730458221024332E-2</v>
      </c>
      <c r="Y1007" s="13">
        <f t="shared" si="1558"/>
        <v>-0.83783783783783783</v>
      </c>
    </row>
    <row r="1008" spans="1:25" ht="14.4">
      <c r="A1008" s="98" t="s">
        <v>1310</v>
      </c>
      <c r="B1008" s="99">
        <v>543401</v>
      </c>
      <c r="C1008" s="98" t="s">
        <v>187</v>
      </c>
      <c r="D1008" s="101" t="s">
        <v>90</v>
      </c>
      <c r="E1008" s="11">
        <f ca="1">IFERROR(__xludf.DUMMYFUNCTION("GOOGLEFINANCE(""BOM:""&amp;B1010,""PRICE"")"),272.6)</f>
        <v>272.60000000000002</v>
      </c>
      <c r="F1008" s="20">
        <f ca="1">IFERROR(__xludf.DUMMYFUNCTION("GOOGLEFINANCE(""BOM:""&amp;B1010,""MARKETCAP"")/10000000"),1435.870254)</f>
        <v>1435.8702539999999</v>
      </c>
      <c r="G1008" s="95">
        <f t="shared" ca="1" si="1573"/>
        <v>3.5639597626127604E-5</v>
      </c>
      <c r="H1008" s="101">
        <v>641</v>
      </c>
      <c r="I1008" s="101">
        <v>643</v>
      </c>
      <c r="J1008" s="101">
        <v>51</v>
      </c>
      <c r="K1008" s="101">
        <v>73</v>
      </c>
      <c r="L1008" s="101">
        <v>194</v>
      </c>
      <c r="M1008" s="101">
        <v>214</v>
      </c>
      <c r="N1008" s="101">
        <v>7</v>
      </c>
      <c r="O1008" s="101">
        <v>24</v>
      </c>
      <c r="P1008" s="13">
        <f t="shared" ref="P1008:Q1008" si="2036">J1008/H1008</f>
        <v>7.9563182527301088E-2</v>
      </c>
      <c r="Q1008" s="13">
        <f t="shared" si="2036"/>
        <v>0.11353032659409021</v>
      </c>
      <c r="R1008" s="13">
        <f t="shared" si="1552"/>
        <v>-3.3967144066789121E-2</v>
      </c>
      <c r="S1008" s="13">
        <f t="shared" ref="S1008:T1008" si="2037">N1008/L1008</f>
        <v>3.608247422680412E-2</v>
      </c>
      <c r="T1008" s="13">
        <f t="shared" si="2037"/>
        <v>0.11214953271028037</v>
      </c>
      <c r="U1008" s="13">
        <f t="shared" si="1554"/>
        <v>-7.6067058483476252E-2</v>
      </c>
      <c r="V1008" s="13">
        <f t="shared" si="1555"/>
        <v>-3.1104199066873672E-3</v>
      </c>
      <c r="W1008" s="13">
        <f t="shared" si="1556"/>
        <v>-0.30136986301369861</v>
      </c>
      <c r="X1008" s="13">
        <f t="shared" si="1557"/>
        <v>-9.3457943925233655E-2</v>
      </c>
      <c r="Y1008" s="13">
        <f t="shared" si="1558"/>
        <v>-0.70833333333333326</v>
      </c>
    </row>
    <row r="1009" spans="1:25" ht="14.4">
      <c r="A1009" s="98" t="s">
        <v>1311</v>
      </c>
      <c r="B1009" s="99">
        <v>543983</v>
      </c>
      <c r="C1009" s="98" t="s">
        <v>198</v>
      </c>
      <c r="D1009" s="102" t="s">
        <v>1312</v>
      </c>
      <c r="E1009" s="11">
        <f ca="1">IFERROR(__xludf.DUMMYFUNCTION("GOOGLEFINANCE(""BOM:""&amp;B1011,""PRICE"")"),290.25)</f>
        <v>290.25</v>
      </c>
      <c r="F1009" s="20">
        <f ca="1">IFERROR(__xludf.DUMMYFUNCTION("GOOGLEFINANCE(""BOM:""&amp;B1011,""MARKETCAP"")/10000000"),1610.1156137)</f>
        <v>1610.1156137</v>
      </c>
      <c r="G1009" s="95">
        <f t="shared" ca="1" si="1573"/>
        <v>3.9964524958961587E-5</v>
      </c>
      <c r="H1009" s="101">
        <v>612</v>
      </c>
      <c r="I1009" s="101">
        <v>685</v>
      </c>
      <c r="J1009" s="101">
        <v>85</v>
      </c>
      <c r="K1009" s="101">
        <v>137</v>
      </c>
      <c r="L1009" s="101">
        <v>200</v>
      </c>
      <c r="M1009" s="101">
        <v>245</v>
      </c>
      <c r="N1009" s="101">
        <v>19</v>
      </c>
      <c r="O1009" s="101">
        <v>50</v>
      </c>
      <c r="P1009" s="13">
        <f t="shared" ref="P1009:Q1009" si="2038">J1009/H1009</f>
        <v>0.1388888888888889</v>
      </c>
      <c r="Q1009" s="13">
        <f t="shared" si="2038"/>
        <v>0.2</v>
      </c>
      <c r="R1009" s="13">
        <f t="shared" si="1552"/>
        <v>-6.1111111111111116E-2</v>
      </c>
      <c r="S1009" s="13">
        <f t="shared" ref="S1009:T1009" si="2039">N1009/L1009</f>
        <v>9.5000000000000001E-2</v>
      </c>
      <c r="T1009" s="13">
        <f t="shared" si="2039"/>
        <v>0.20408163265306123</v>
      </c>
      <c r="U1009" s="13">
        <f t="shared" si="1554"/>
        <v>-0.10908163265306123</v>
      </c>
      <c r="V1009" s="13">
        <f t="shared" si="1555"/>
        <v>-0.10656934306569343</v>
      </c>
      <c r="W1009" s="13">
        <f t="shared" si="1556"/>
        <v>-0.37956204379562042</v>
      </c>
      <c r="X1009" s="13">
        <f t="shared" si="1557"/>
        <v>-0.18367346938775508</v>
      </c>
      <c r="Y1009" s="13">
        <f t="shared" si="1558"/>
        <v>-0.62</v>
      </c>
    </row>
    <row r="1010" spans="1:25" ht="14.4">
      <c r="A1010" s="98" t="s">
        <v>1313</v>
      </c>
      <c r="B1010" s="99">
        <v>543235</v>
      </c>
      <c r="C1010" s="98" t="s">
        <v>172</v>
      </c>
      <c r="D1010" s="102" t="s">
        <v>436</v>
      </c>
      <c r="E1010" s="11"/>
      <c r="F1010" s="20">
        <f ca="1">IFERROR(__xludf.DUMMYFUNCTION("GOOGLEFINANCE(""BOM:""&amp;B1012,""MARKETCAP"")/10000000"),22398.9438389)</f>
        <v>22398.943838899999</v>
      </c>
      <c r="G1010" s="95">
        <f t="shared" ca="1" si="1573"/>
        <v>5.5596203309092715E-4</v>
      </c>
      <c r="H1010" s="101">
        <v>3684</v>
      </c>
      <c r="I1010" s="101">
        <v>4189</v>
      </c>
      <c r="J1010" s="101">
        <v>594</v>
      </c>
      <c r="K1010" s="101">
        <v>997</v>
      </c>
      <c r="L1010" s="101">
        <v>1337</v>
      </c>
      <c r="M1010" s="101">
        <v>1263</v>
      </c>
      <c r="N1010" s="101">
        <v>268</v>
      </c>
      <c r="O1010" s="101">
        <v>261</v>
      </c>
      <c r="P1010" s="13">
        <f t="shared" ref="P1010:Q1010" si="2040">J1010/H1010</f>
        <v>0.16123778501628663</v>
      </c>
      <c r="Q1010" s="13">
        <f t="shared" si="2040"/>
        <v>0.23800429696825018</v>
      </c>
      <c r="R1010" s="13">
        <f t="shared" si="1552"/>
        <v>-7.6766511951963545E-2</v>
      </c>
      <c r="S1010" s="13">
        <f t="shared" ref="S1010:T1010" si="2041">N1010/L1010</f>
        <v>0.20044876589379207</v>
      </c>
      <c r="T1010" s="13">
        <f t="shared" si="2041"/>
        <v>0.20665083135391923</v>
      </c>
      <c r="U1010" s="13">
        <f t="shared" si="1554"/>
        <v>-6.2020654601271652E-3</v>
      </c>
      <c r="V1010" s="13">
        <f t="shared" si="1555"/>
        <v>-0.12055383146335641</v>
      </c>
      <c r="W1010" s="13">
        <f t="shared" si="1556"/>
        <v>-0.40421263791374118</v>
      </c>
      <c r="X1010" s="13">
        <f t="shared" si="1557"/>
        <v>5.8590657165479065E-2</v>
      </c>
      <c r="Y1010" s="13">
        <f t="shared" si="1558"/>
        <v>2.6819923371647514E-2</v>
      </c>
    </row>
    <row r="1011" spans="1:25" ht="14.4">
      <c r="A1011" s="98" t="s">
        <v>1314</v>
      </c>
      <c r="B1011" s="99">
        <v>500252</v>
      </c>
      <c r="C1011" s="98" t="s">
        <v>180</v>
      </c>
      <c r="D1011" s="101" t="s">
        <v>514</v>
      </c>
      <c r="E1011" s="11">
        <f ca="1">IFERROR(__xludf.DUMMYFUNCTION("GOOGLEFINANCE(""BOM:""&amp;B1013,""PRICE"")"),13215)</f>
        <v>13215</v>
      </c>
      <c r="F1011" s="20">
        <f ca="1">IFERROR(__xludf.DUMMYFUNCTION("GOOGLEFINANCE(""BOM:""&amp;B1013,""MARKETCAP"")/10000000"),13151.84)</f>
        <v>13151.84</v>
      </c>
      <c r="G1011" s="95">
        <f t="shared" ca="1" si="1573"/>
        <v>3.2644055710287739E-4</v>
      </c>
      <c r="H1011" s="101">
        <v>2381</v>
      </c>
      <c r="I1011" s="101">
        <v>2300</v>
      </c>
      <c r="J1011" s="101">
        <v>67</v>
      </c>
      <c r="K1011" s="101">
        <v>55</v>
      </c>
      <c r="L1011" s="101">
        <v>788</v>
      </c>
      <c r="M1011" s="101">
        <v>799</v>
      </c>
      <c r="N1011" s="101">
        <v>15</v>
      </c>
      <c r="O1011" s="101">
        <v>19</v>
      </c>
      <c r="P1011" s="13">
        <f t="shared" ref="P1011:Q1011" si="2042">J1011/H1011</f>
        <v>2.8139437211255777E-2</v>
      </c>
      <c r="Q1011" s="13">
        <f t="shared" si="2042"/>
        <v>2.391304347826087E-2</v>
      </c>
      <c r="R1011" s="13">
        <f t="shared" si="1552"/>
        <v>4.2263937329949063E-3</v>
      </c>
      <c r="S1011" s="13">
        <f t="shared" ref="S1011:T1011" si="2043">N1011/L1011</f>
        <v>1.9035532994923859E-2</v>
      </c>
      <c r="T1011" s="13">
        <f t="shared" si="2043"/>
        <v>2.3779724655819776E-2</v>
      </c>
      <c r="U1011" s="13">
        <f t="shared" si="1554"/>
        <v>-4.7441916608959162E-3</v>
      </c>
      <c r="V1011" s="13">
        <f t="shared" si="1555"/>
        <v>3.5217391304347867E-2</v>
      </c>
      <c r="W1011" s="13">
        <f t="shared" si="1556"/>
        <v>0.21818181818181825</v>
      </c>
      <c r="X1011" s="13">
        <f t="shared" si="1557"/>
        <v>-1.3767209011264048E-2</v>
      </c>
      <c r="Y1011" s="13">
        <f t="shared" si="1558"/>
        <v>-0.21052631578947367</v>
      </c>
    </row>
    <row r="1012" spans="1:25" ht="14.4">
      <c r="A1012" s="98" t="s">
        <v>1315</v>
      </c>
      <c r="B1012" s="99">
        <v>512038</v>
      </c>
      <c r="C1012" s="98" t="s">
        <v>206</v>
      </c>
      <c r="D1012" s="102" t="s">
        <v>563</v>
      </c>
      <c r="E1012" s="11"/>
      <c r="F1012" s="20">
        <f ca="1">IFERROR(__xludf.DUMMYFUNCTION("GOOGLEFINANCE(""BOM:""&amp;B1014,""MARKETCAP"")/10000000"),1692.949199)</f>
        <v>1692.9491989999999</v>
      </c>
      <c r="G1012" s="95">
        <f t="shared" ca="1" si="1573"/>
        <v>4.2020529421619338E-5</v>
      </c>
      <c r="H1012" s="101">
        <v>95</v>
      </c>
      <c r="I1012" s="101">
        <v>51</v>
      </c>
      <c r="J1012" s="101">
        <v>33</v>
      </c>
      <c r="K1012" s="101">
        <v>25</v>
      </c>
      <c r="L1012" s="101">
        <v>46</v>
      </c>
      <c r="M1012" s="101">
        <v>22</v>
      </c>
      <c r="N1012" s="101">
        <v>14</v>
      </c>
      <c r="O1012" s="101">
        <v>10</v>
      </c>
      <c r="P1012" s="13">
        <f t="shared" ref="P1012:Q1012" si="2044">J1012/H1012</f>
        <v>0.3473684210526316</v>
      </c>
      <c r="Q1012" s="13">
        <f t="shared" si="2044"/>
        <v>0.49019607843137253</v>
      </c>
      <c r="R1012" s="13">
        <f t="shared" si="1552"/>
        <v>-0.14282765737874092</v>
      </c>
      <c r="S1012" s="13">
        <f t="shared" ref="S1012:T1012" si="2045">N1012/L1012</f>
        <v>0.30434782608695654</v>
      </c>
      <c r="T1012" s="13">
        <f t="shared" si="2045"/>
        <v>0.45454545454545453</v>
      </c>
      <c r="U1012" s="13">
        <f t="shared" si="1554"/>
        <v>-0.15019762845849799</v>
      </c>
      <c r="V1012" s="13">
        <f t="shared" si="1555"/>
        <v>0.86274509803921573</v>
      </c>
      <c r="W1012" s="13">
        <f t="shared" si="1556"/>
        <v>0.32000000000000006</v>
      </c>
      <c r="X1012" s="13">
        <f t="shared" si="1557"/>
        <v>1.0909090909090908</v>
      </c>
      <c r="Y1012" s="13">
        <f t="shared" si="1558"/>
        <v>0.39999999999999991</v>
      </c>
    </row>
    <row r="1013" spans="1:25" ht="14.4">
      <c r="A1013" s="113" t="s">
        <v>1316</v>
      </c>
      <c r="B1013" s="121">
        <v>544600</v>
      </c>
      <c r="C1013" s="102" t="s">
        <v>187</v>
      </c>
      <c r="D1013" s="102" t="s">
        <v>90</v>
      </c>
      <c r="E1013" s="11">
        <f ca="1">IFERROR(__xludf.DUMMYFUNCTION("GOOGLEFINANCE(""BOM:""&amp;B1015,""PRICE"")"),502.5)</f>
        <v>502.5</v>
      </c>
      <c r="F1013" s="20">
        <f ca="1">IFERROR(__xludf.DUMMYFUNCTION("GOOGLEFINANCE(""BOM:""&amp;B1015,""MARKETCAP"")/10000000"),87036.0112803)</f>
        <v>87036.011280299994</v>
      </c>
      <c r="G1013" s="13">
        <f t="shared" ca="1" si="1573"/>
        <v>2.1603124741749785E-3</v>
      </c>
      <c r="H1013" s="101">
        <v>6298</v>
      </c>
      <c r="I1013" s="101">
        <v>4924</v>
      </c>
      <c r="J1013" s="101">
        <v>297</v>
      </c>
      <c r="K1013" s="101">
        <v>77</v>
      </c>
      <c r="L1013" s="101">
        <v>2308</v>
      </c>
      <c r="M1013" s="101">
        <v>1669</v>
      </c>
      <c r="N1013" s="101">
        <v>133</v>
      </c>
      <c r="O1013" s="101">
        <v>2</v>
      </c>
      <c r="P1013" s="13">
        <f t="shared" ref="P1013:Q1013" si="2046">J1013/H1013</f>
        <v>4.7157827881867259E-2</v>
      </c>
      <c r="Q1013" s="13">
        <f t="shared" si="2046"/>
        <v>1.5637692932575144E-2</v>
      </c>
      <c r="R1013" s="13">
        <f t="shared" si="1552"/>
        <v>3.1520134949292115E-2</v>
      </c>
      <c r="S1013" s="13">
        <f t="shared" ref="S1013:T1013" si="2047">N1013/L1013</f>
        <v>5.7625649913344887E-2</v>
      </c>
      <c r="T1013" s="13">
        <f t="shared" si="2047"/>
        <v>1.1983223487118035E-3</v>
      </c>
      <c r="U1013" s="13">
        <f t="shared" si="1554"/>
        <v>5.6427327564633083E-2</v>
      </c>
      <c r="V1013" s="13">
        <f t="shared" si="1555"/>
        <v>0.27904142973192525</v>
      </c>
      <c r="W1013" s="13">
        <f t="shared" si="1556"/>
        <v>2.8571428571428572</v>
      </c>
      <c r="X1013" s="13">
        <f t="shared" si="1557"/>
        <v>0.38286399041342123</v>
      </c>
      <c r="Y1013" s="13">
        <f t="shared" si="1558"/>
        <v>65.5</v>
      </c>
    </row>
    <row r="1014" spans="1:25" ht="15.6">
      <c r="A1014" s="118" t="s">
        <v>1317</v>
      </c>
      <c r="B1014" s="99">
        <v>542727</v>
      </c>
      <c r="C1014" s="102" t="s">
        <v>187</v>
      </c>
      <c r="D1014" s="102" t="s">
        <v>90</v>
      </c>
      <c r="E1014" s="11">
        <f ca="1">IFERROR(__xludf.DUMMYFUNCTION("GOOGLEFINANCE(""BOM:""&amp;B1016,""PRICE"")"),2265)</f>
        <v>2265</v>
      </c>
      <c r="F1014" s="20">
        <f ca="1">IFERROR(__xludf.DUMMYFUNCTION("GOOGLEFINANCE(""BOM:""&amp;B1016,""MARKETCAP"")/10000000"),2415.402795)</f>
        <v>2415.402795</v>
      </c>
      <c r="G1014" s="13">
        <f t="shared" ca="1" si="1573"/>
        <v>5.9952480719629127E-5</v>
      </c>
      <c r="H1014" s="101">
        <v>4</v>
      </c>
      <c r="I1014" s="101">
        <v>2</v>
      </c>
      <c r="J1014" s="101">
        <v>2</v>
      </c>
      <c r="K1014" s="101">
        <v>1</v>
      </c>
      <c r="L1014" s="101">
        <v>1</v>
      </c>
      <c r="M1014" s="101">
        <v>2</v>
      </c>
      <c r="N1014" s="101">
        <v>0.67</v>
      </c>
      <c r="O1014" s="101">
        <v>0.88</v>
      </c>
      <c r="P1014" s="13">
        <f t="shared" ref="P1014:Q1014" si="2048">J1014/H1014</f>
        <v>0.5</v>
      </c>
      <c r="Q1014" s="13">
        <f t="shared" si="2048"/>
        <v>0.5</v>
      </c>
      <c r="R1014" s="13">
        <f t="shared" si="1552"/>
        <v>0</v>
      </c>
      <c r="S1014" s="13">
        <f t="shared" ref="S1014:T1014" si="2049">N1014/L1014</f>
        <v>0.67</v>
      </c>
      <c r="T1014" s="13">
        <f t="shared" si="2049"/>
        <v>0.44</v>
      </c>
      <c r="U1014" s="13">
        <f t="shared" si="1554"/>
        <v>0.23000000000000004</v>
      </c>
      <c r="V1014" s="13">
        <f t="shared" si="1555"/>
        <v>1</v>
      </c>
      <c r="W1014" s="13">
        <f t="shared" si="1556"/>
        <v>1</v>
      </c>
      <c r="X1014" s="13">
        <f t="shared" si="1557"/>
        <v>-0.5</v>
      </c>
      <c r="Y1014" s="13">
        <f t="shared" si="1558"/>
        <v>-0.23863636363636365</v>
      </c>
    </row>
    <row r="1015" spans="1:25" ht="15.6">
      <c r="A1015" s="118" t="s">
        <v>1318</v>
      </c>
      <c r="B1015" s="99">
        <v>544243</v>
      </c>
      <c r="C1015" s="102" t="s">
        <v>187</v>
      </c>
      <c r="D1015" s="102" t="s">
        <v>90</v>
      </c>
      <c r="E1015" s="11">
        <f ca="1">IFERROR(__xludf.DUMMYFUNCTION("GOOGLEFINANCE(""BOM:""&amp;B1017,""PRICE"")"),296)</f>
        <v>296</v>
      </c>
      <c r="F1015" s="20">
        <f ca="1">IFERROR(__xludf.DUMMYFUNCTION("GOOGLEFINANCE(""BOM:""&amp;B1017,""MARKETCAP"")/10000000"),2210.8603016)</f>
        <v>2210.8603016000002</v>
      </c>
      <c r="G1015" s="13">
        <f t="shared" ca="1" si="1573"/>
        <v>5.4875551141964897E-5</v>
      </c>
      <c r="H1015" s="101">
        <v>1376</v>
      </c>
      <c r="I1015" s="101">
        <v>998</v>
      </c>
      <c r="J1015" s="101">
        <v>72</v>
      </c>
      <c r="K1015" s="101">
        <v>22</v>
      </c>
      <c r="L1015" s="101">
        <v>466</v>
      </c>
      <c r="M1015" s="101">
        <v>411</v>
      </c>
      <c r="N1015" s="101">
        <v>19</v>
      </c>
      <c r="O1015" s="101">
        <v>30</v>
      </c>
      <c r="P1015" s="13">
        <f t="shared" ref="P1015:Q1015" si="2050">J1015/H1015</f>
        <v>5.232558139534884E-2</v>
      </c>
      <c r="Q1015" s="13">
        <f t="shared" si="2050"/>
        <v>2.2044088176352707E-2</v>
      </c>
      <c r="R1015" s="13">
        <f t="shared" si="1552"/>
        <v>3.0281493218996133E-2</v>
      </c>
      <c r="S1015" s="13">
        <f t="shared" ref="S1015:T1015" si="2051">N1015/L1015</f>
        <v>4.07725321888412E-2</v>
      </c>
      <c r="T1015" s="13">
        <f t="shared" si="2051"/>
        <v>7.2992700729927001E-2</v>
      </c>
      <c r="U1015" s="13">
        <f t="shared" si="1554"/>
        <v>-3.2220168541085802E-2</v>
      </c>
      <c r="V1015" s="13">
        <f t="shared" si="1555"/>
        <v>0.37875751503006017</v>
      </c>
      <c r="W1015" s="13">
        <f t="shared" si="1556"/>
        <v>2.2727272727272729</v>
      </c>
      <c r="X1015" s="13">
        <f t="shared" si="1557"/>
        <v>0.13381995133819946</v>
      </c>
      <c r="Y1015" s="13">
        <f t="shared" si="1558"/>
        <v>-0.3666666666666667</v>
      </c>
    </row>
    <row r="1016" spans="1:25" ht="15.6">
      <c r="A1016" s="118" t="s">
        <v>1319</v>
      </c>
      <c r="B1016" s="99">
        <v>543989</v>
      </c>
      <c r="C1016" s="102" t="s">
        <v>187</v>
      </c>
      <c r="D1016" s="102" t="s">
        <v>90</v>
      </c>
      <c r="E1016" s="11">
        <f ca="1">IFERROR(__xludf.DUMMYFUNCTION("GOOGLEFINANCE(""BOM:""&amp;B1018,""PRICE"")"),93.86)</f>
        <v>93.86</v>
      </c>
      <c r="F1016" s="20">
        <f ca="1">IFERROR(__xludf.DUMMYFUNCTION("GOOGLEFINANCE(""BOM:""&amp;B1018,""MARKETCAP"")/10000000"),1386.2688269)</f>
        <v>1386.2688269</v>
      </c>
      <c r="G1016" s="13">
        <f t="shared" ca="1" si="1573"/>
        <v>3.4408445369437917E-5</v>
      </c>
      <c r="H1016" s="101">
        <v>1235</v>
      </c>
      <c r="I1016" s="101">
        <v>1063</v>
      </c>
      <c r="J1016" s="101">
        <v>108</v>
      </c>
      <c r="K1016" s="101">
        <v>72</v>
      </c>
      <c r="L1016" s="101">
        <v>411</v>
      </c>
      <c r="M1016" s="101">
        <v>449</v>
      </c>
      <c r="N1016" s="101">
        <v>38</v>
      </c>
      <c r="O1016" s="101">
        <v>46</v>
      </c>
      <c r="P1016" s="13">
        <f t="shared" ref="P1016:Q1016" si="2052">J1016/H1016</f>
        <v>8.7449392712550603E-2</v>
      </c>
      <c r="Q1016" s="13">
        <f t="shared" si="2052"/>
        <v>6.7732831608654745E-2</v>
      </c>
      <c r="R1016" s="13">
        <f t="shared" si="1552"/>
        <v>1.9716561103895858E-2</v>
      </c>
      <c r="S1016" s="13">
        <f t="shared" ref="S1016:T1016" si="2053">N1016/L1016</f>
        <v>9.2457420924574207E-2</v>
      </c>
      <c r="T1016" s="13">
        <f t="shared" si="2053"/>
        <v>0.10244988864142539</v>
      </c>
      <c r="U1016" s="13">
        <f t="shared" si="1554"/>
        <v>-9.9924677168511805E-3</v>
      </c>
      <c r="V1016" s="13">
        <f t="shared" si="1555"/>
        <v>0.16180620884289754</v>
      </c>
      <c r="W1016" s="13">
        <f t="shared" si="1556"/>
        <v>0.5</v>
      </c>
      <c r="X1016" s="13">
        <f t="shared" si="1557"/>
        <v>-8.4632516703786242E-2</v>
      </c>
      <c r="Y1016" s="13">
        <f t="shared" si="1558"/>
        <v>-0.17391304347826086</v>
      </c>
    </row>
    <row r="1017" spans="1:25" ht="15.6">
      <c r="A1017" s="118" t="s">
        <v>1320</v>
      </c>
      <c r="B1017" s="122">
        <v>541167</v>
      </c>
      <c r="C1017" s="102" t="s">
        <v>196</v>
      </c>
      <c r="D1017" s="102" t="s">
        <v>251</v>
      </c>
      <c r="E1017" s="11">
        <f ca="1">IFERROR(__xludf.DUMMYFUNCTION("GOOGLEFINANCE(""BOM:""&amp;B1019,""PRICE"")"),1420.15)</f>
        <v>1420.15</v>
      </c>
      <c r="F1017" s="20">
        <f ca="1">IFERROR(__xludf.DUMMYFUNCTION("GOOGLEFINANCE(""BOM:""&amp;B1019,""MARKETCAP"")/10000000"),1706.3193179)</f>
        <v>1706.3193179</v>
      </c>
      <c r="G1017" s="13">
        <f t="shared" ca="1" si="1573"/>
        <v>4.2352387858328398E-5</v>
      </c>
      <c r="H1017" s="101">
        <v>584</v>
      </c>
      <c r="I1017" s="101">
        <v>491</v>
      </c>
      <c r="J1017" s="101">
        <v>13</v>
      </c>
      <c r="K1017" s="101">
        <v>11</v>
      </c>
      <c r="L1017" s="101">
        <v>202</v>
      </c>
      <c r="M1017" s="101">
        <v>150</v>
      </c>
      <c r="N1017" s="101">
        <v>4</v>
      </c>
      <c r="O1017" s="101">
        <v>-0.22</v>
      </c>
      <c r="P1017" s="13">
        <f t="shared" ref="P1017:Q1017" si="2054">J1017/H1017</f>
        <v>2.2260273972602738E-2</v>
      </c>
      <c r="Q1017" s="13">
        <f t="shared" si="2054"/>
        <v>2.2403258655804479E-2</v>
      </c>
      <c r="R1017" s="13">
        <f t="shared" si="1552"/>
        <v>-1.4298468320174049E-4</v>
      </c>
      <c r="S1017" s="13">
        <f t="shared" ref="S1017:T1017" si="2055">N1017/L1017</f>
        <v>1.9801980198019802E-2</v>
      </c>
      <c r="T1017" s="13">
        <f t="shared" si="2055"/>
        <v>-1.4666666666666667E-3</v>
      </c>
      <c r="U1017" s="13">
        <f t="shared" si="1554"/>
        <v>2.126864686468647E-2</v>
      </c>
      <c r="V1017" s="13">
        <f t="shared" si="1555"/>
        <v>0.18940936863543789</v>
      </c>
      <c r="W1017" s="13">
        <f t="shared" si="1556"/>
        <v>0.18181818181818188</v>
      </c>
      <c r="X1017" s="13">
        <f t="shared" si="1557"/>
        <v>0.34666666666666668</v>
      </c>
      <c r="Y1017" s="13">
        <f t="shared" si="1558"/>
        <v>-19.181818181818183</v>
      </c>
    </row>
    <row r="1018" spans="1:25" ht="15.6">
      <c r="A1018" s="118" t="s">
        <v>1321</v>
      </c>
      <c r="B1018" s="121">
        <v>543275</v>
      </c>
      <c r="C1018" s="102" t="s">
        <v>196</v>
      </c>
      <c r="D1018" s="102" t="s">
        <v>251</v>
      </c>
      <c r="E1018" s="11">
        <f ca="1">IFERROR(__xludf.DUMMYFUNCTION("GOOGLEFINANCE(""BOM:""&amp;B1020,""PRICE"")"),1248.15)</f>
        <v>1248.1500000000001</v>
      </c>
      <c r="F1018" s="20">
        <f ca="1">IFERROR(__xludf.DUMMYFUNCTION("GOOGLEFINANCE(""BOM:""&amp;B1020,""MARKETCAP"")/10000000"),14211.6838448)</f>
        <v>14211.6838448</v>
      </c>
      <c r="G1018" s="13">
        <f t="shared" ca="1" si="1573"/>
        <v>3.5274683935224838E-4</v>
      </c>
      <c r="H1018" s="101">
        <v>1730</v>
      </c>
      <c r="I1018" s="101">
        <v>938</v>
      </c>
      <c r="J1018" s="101">
        <v>166</v>
      </c>
      <c r="K1018" s="101">
        <v>97</v>
      </c>
      <c r="L1018" s="101">
        <v>512</v>
      </c>
      <c r="M1018" s="101">
        <v>390</v>
      </c>
      <c r="N1018" s="101">
        <v>61</v>
      </c>
      <c r="O1018" s="101">
        <v>54</v>
      </c>
      <c r="P1018" s="13">
        <f t="shared" ref="P1018:Q1018" si="2056">J1018/H1018</f>
        <v>9.595375722543352E-2</v>
      </c>
      <c r="Q1018" s="13">
        <f t="shared" si="2056"/>
        <v>0.10341151385927505</v>
      </c>
      <c r="R1018" s="13">
        <f t="shared" si="1552"/>
        <v>-7.4577566338415308E-3</v>
      </c>
      <c r="S1018" s="13">
        <f t="shared" ref="S1018:T1018" si="2057">N1018/L1018</f>
        <v>0.119140625</v>
      </c>
      <c r="T1018" s="13">
        <f t="shared" si="2057"/>
        <v>0.13846153846153847</v>
      </c>
      <c r="U1018" s="13">
        <f t="shared" si="1554"/>
        <v>-1.9320913461538469E-2</v>
      </c>
      <c r="V1018" s="13">
        <f t="shared" si="1555"/>
        <v>0.84434968017057566</v>
      </c>
      <c r="W1018" s="13">
        <f t="shared" si="1556"/>
        <v>0.71134020618556693</v>
      </c>
      <c r="X1018" s="13">
        <f t="shared" si="1557"/>
        <v>0.31282051282051282</v>
      </c>
      <c r="Y1018" s="13">
        <f t="shared" si="1558"/>
        <v>0.12962962962962954</v>
      </c>
    </row>
    <row r="1019" spans="1:25" ht="15.6">
      <c r="A1019" s="118" t="s">
        <v>1322</v>
      </c>
      <c r="B1019" s="123">
        <v>544619</v>
      </c>
      <c r="C1019" s="102" t="s">
        <v>196</v>
      </c>
      <c r="D1019" s="102" t="s">
        <v>251</v>
      </c>
      <c r="E1019" s="11">
        <f ca="1">IFERROR(__xludf.DUMMYFUNCTION("GOOGLEFINANCE(""BOM:""&amp;B1021,""PRICE"")"),606.35)</f>
        <v>606.35</v>
      </c>
      <c r="F1019" s="20">
        <f ca="1">IFERROR(__xludf.DUMMYFUNCTION("GOOGLEFINANCE(""BOM:""&amp;B1021,""MARKETCAP"")/10000000"),6845.8143702)</f>
        <v>6845.8143701999998</v>
      </c>
      <c r="G1019" s="13">
        <f t="shared" ca="1" si="1573"/>
        <v>1.6991930078460288E-4</v>
      </c>
      <c r="H1019" s="101">
        <v>460</v>
      </c>
      <c r="I1019" s="101">
        <v>344</v>
      </c>
      <c r="J1019" s="101">
        <v>126</v>
      </c>
      <c r="K1019" s="101">
        <v>94</v>
      </c>
      <c r="L1019" s="101">
        <v>172</v>
      </c>
      <c r="M1019" s="101">
        <v>115</v>
      </c>
      <c r="N1019" s="101">
        <v>48</v>
      </c>
      <c r="O1019" s="101">
        <v>29</v>
      </c>
      <c r="P1019" s="13">
        <f t="shared" ref="P1019:Q1019" si="2058">J1019/H1019</f>
        <v>0.27391304347826084</v>
      </c>
      <c r="Q1019" s="13">
        <f t="shared" si="2058"/>
        <v>0.27325581395348836</v>
      </c>
      <c r="R1019" s="13">
        <f t="shared" si="1552"/>
        <v>6.5722952477248464E-4</v>
      </c>
      <c r="S1019" s="13">
        <f t="shared" ref="S1019:T1019" si="2059">N1019/L1019</f>
        <v>0.27906976744186046</v>
      </c>
      <c r="T1019" s="13">
        <f t="shared" si="2059"/>
        <v>0.25217391304347825</v>
      </c>
      <c r="U1019" s="13">
        <f t="shared" si="1554"/>
        <v>2.6895854398382213E-2</v>
      </c>
      <c r="V1019" s="13">
        <f t="shared" si="1555"/>
        <v>0.33720930232558133</v>
      </c>
      <c r="W1019" s="13">
        <f t="shared" si="1556"/>
        <v>0.34042553191489366</v>
      </c>
      <c r="X1019" s="13">
        <f t="shared" si="1557"/>
        <v>0.4956521739130435</v>
      </c>
      <c r="Y1019" s="13">
        <f t="shared" si="1558"/>
        <v>0.65517241379310343</v>
      </c>
    </row>
    <row r="1020" spans="1:25" ht="15.6">
      <c r="A1020" s="118" t="s">
        <v>1323</v>
      </c>
      <c r="B1020" s="99">
        <v>513307</v>
      </c>
      <c r="C1020" s="102" t="s">
        <v>180</v>
      </c>
      <c r="D1020" s="102" t="s">
        <v>944</v>
      </c>
      <c r="E1020" s="11">
        <f ca="1">IFERROR(__xludf.DUMMYFUNCTION("GOOGLEFINANCE(""BOM:""&amp;B1022,""PRICE"")"),1560)</f>
        <v>1560</v>
      </c>
      <c r="F1020" s="20">
        <f ca="1">IFERROR(__xludf.DUMMYFUNCTION("GOOGLEFINANCE(""BOM:""&amp;B1022,""MARKETCAP"")/10000000"),2258.69904)</f>
        <v>2258.69904</v>
      </c>
      <c r="G1020" s="13">
        <f t="shared" ca="1" si="1573"/>
        <v>5.6062951871778731E-5</v>
      </c>
      <c r="H1020" s="101">
        <v>5</v>
      </c>
      <c r="I1020" s="101">
        <v>17</v>
      </c>
      <c r="J1020" s="101">
        <v>1</v>
      </c>
      <c r="K1020" s="101">
        <v>0.36</v>
      </c>
      <c r="L1020" s="101">
        <v>0</v>
      </c>
      <c r="M1020" s="101">
        <v>5</v>
      </c>
      <c r="N1020" s="101">
        <v>1</v>
      </c>
      <c r="O1020" s="101">
        <v>0.3</v>
      </c>
      <c r="P1020" s="13">
        <f t="shared" ref="P1020:Q1020" si="2060">J1020/H1020</f>
        <v>0.2</v>
      </c>
      <c r="Q1020" s="13">
        <f t="shared" si="2060"/>
        <v>2.1176470588235293E-2</v>
      </c>
      <c r="R1020" s="13">
        <f t="shared" si="1552"/>
        <v>0.17882352941176471</v>
      </c>
      <c r="S1020" s="13" t="e">
        <f t="shared" ref="S1020:T1020" si="2061">N1020/L1020</f>
        <v>#DIV/0!</v>
      </c>
      <c r="T1020" s="13">
        <f t="shared" si="2061"/>
        <v>0.06</v>
      </c>
      <c r="U1020" s="13" t="e">
        <f t="shared" si="1554"/>
        <v>#DIV/0!</v>
      </c>
      <c r="V1020" s="13">
        <f t="shared" si="1555"/>
        <v>-0.70588235294117641</v>
      </c>
      <c r="W1020" s="13">
        <f t="shared" si="1556"/>
        <v>1.7777777777777777</v>
      </c>
      <c r="X1020" s="13">
        <f t="shared" si="1557"/>
        <v>-1</v>
      </c>
      <c r="Y1020" s="13">
        <f t="shared" si="1558"/>
        <v>2.3333333333333335</v>
      </c>
    </row>
    <row r="1021" spans="1:25" ht="15.6">
      <c r="A1021" s="118" t="s">
        <v>1324</v>
      </c>
      <c r="B1021" s="99">
        <v>544664</v>
      </c>
      <c r="C1021" s="102" t="s">
        <v>180</v>
      </c>
      <c r="D1021" s="102" t="s">
        <v>944</v>
      </c>
      <c r="E1021" s="11">
        <f ca="1">IFERROR(__xludf.DUMMYFUNCTION("GOOGLEFINANCE(""BOM:""&amp;B1023,""PRICE"")"),484.1)</f>
        <v>484.1</v>
      </c>
      <c r="F1021" s="20">
        <f ca="1">IFERROR(__xludf.DUMMYFUNCTION("GOOGLEFINANCE(""BOM:""&amp;B1023,""MARKETCAP"")/10000000"),3288.5229408)</f>
        <v>3288.5229408</v>
      </c>
      <c r="G1021" s="13">
        <f t="shared" ca="1" si="1573"/>
        <v>8.1624111975232719E-5</v>
      </c>
      <c r="H1021" s="101">
        <v>2089</v>
      </c>
      <c r="I1021" s="101">
        <v>1420</v>
      </c>
      <c r="J1021" s="101">
        <v>76</v>
      </c>
      <c r="K1021" s="101">
        <v>50</v>
      </c>
      <c r="L1021" s="101">
        <v>818</v>
      </c>
      <c r="M1021" s="101">
        <v>516</v>
      </c>
      <c r="N1021" s="101">
        <v>23</v>
      </c>
      <c r="O1021" s="101">
        <v>26</v>
      </c>
      <c r="P1021" s="13">
        <f t="shared" ref="P1021:Q1021" si="2062">J1021/H1021</f>
        <v>3.6381043561512685E-2</v>
      </c>
      <c r="Q1021" s="13">
        <f t="shared" si="2062"/>
        <v>3.5211267605633804E-2</v>
      </c>
      <c r="R1021" s="13">
        <f t="shared" si="1552"/>
        <v>1.1697759558788809E-3</v>
      </c>
      <c r="S1021" s="13">
        <f t="shared" ref="S1021:T1021" si="2063">N1021/L1021</f>
        <v>2.8117359413202935E-2</v>
      </c>
      <c r="T1021" s="13">
        <f t="shared" si="2063"/>
        <v>5.0387596899224806E-2</v>
      </c>
      <c r="U1021" s="13">
        <f t="shared" si="1554"/>
        <v>-2.227023748602187E-2</v>
      </c>
      <c r="V1021" s="13">
        <f t="shared" si="1555"/>
        <v>0.47112676056338021</v>
      </c>
      <c r="W1021" s="13">
        <f t="shared" si="1556"/>
        <v>0.52</v>
      </c>
      <c r="X1021" s="13">
        <f t="shared" si="1557"/>
        <v>0.58527131782945729</v>
      </c>
      <c r="Y1021" s="13">
        <f t="shared" si="1558"/>
        <v>-0.11538461538461542</v>
      </c>
    </row>
    <row r="1022" spans="1:25" ht="15.6">
      <c r="A1022" s="118" t="s">
        <v>1325</v>
      </c>
      <c r="B1022" s="99">
        <v>544633</v>
      </c>
      <c r="C1022" s="102" t="s">
        <v>180</v>
      </c>
      <c r="D1022" s="102" t="s">
        <v>944</v>
      </c>
      <c r="E1022" s="11">
        <f ca="1">IFERROR(__xludf.DUMMYFUNCTION("GOOGLEFINANCE(""BOM:""&amp;B1024,""PRICE"")"),52.3)</f>
        <v>52.3</v>
      </c>
      <c r="F1022" s="20">
        <f ca="1">IFERROR(__xludf.DUMMYFUNCTION("GOOGLEFINANCE(""BOM:""&amp;B1024,""MARKETCAP"")/10000000"),1112.1680561)</f>
        <v>1112.1680561000001</v>
      </c>
      <c r="G1022" s="13">
        <f t="shared" ca="1" si="1573"/>
        <v>2.7605016471102769E-5</v>
      </c>
      <c r="H1022" s="101">
        <v>1241</v>
      </c>
      <c r="I1022" s="101">
        <v>1101</v>
      </c>
      <c r="J1022" s="101">
        <v>38</v>
      </c>
      <c r="K1022" s="101">
        <v>28</v>
      </c>
      <c r="L1022" s="101">
        <v>448</v>
      </c>
      <c r="M1022" s="101">
        <v>347</v>
      </c>
      <c r="N1022" s="101">
        <v>15</v>
      </c>
      <c r="O1022" s="101">
        <v>11</v>
      </c>
      <c r="P1022" s="13">
        <f t="shared" ref="P1022:Q1022" si="2064">J1022/H1022</f>
        <v>3.0620467365028204E-2</v>
      </c>
      <c r="Q1022" s="13">
        <f t="shared" si="2064"/>
        <v>2.5431425976385105E-2</v>
      </c>
      <c r="R1022" s="13">
        <f t="shared" si="1552"/>
        <v>5.1890413886430987E-3</v>
      </c>
      <c r="S1022" s="13">
        <f t="shared" ref="S1022:T1022" si="2065">N1022/L1022</f>
        <v>3.3482142857142856E-2</v>
      </c>
      <c r="T1022" s="13">
        <f t="shared" si="2065"/>
        <v>3.1700288184438041E-2</v>
      </c>
      <c r="U1022" s="13">
        <f t="shared" si="1554"/>
        <v>1.7818546727048148E-3</v>
      </c>
      <c r="V1022" s="13">
        <f t="shared" si="1555"/>
        <v>0.12715712988192562</v>
      </c>
      <c r="W1022" s="13">
        <f t="shared" si="1556"/>
        <v>0.35714285714285721</v>
      </c>
      <c r="X1022" s="13">
        <f t="shared" si="1557"/>
        <v>0.29106628242074928</v>
      </c>
      <c r="Y1022" s="13">
        <f t="shared" si="1558"/>
        <v>0.36363636363636354</v>
      </c>
    </row>
    <row r="1023" spans="1:25" ht="15.6">
      <c r="A1023" s="118" t="s">
        <v>1326</v>
      </c>
      <c r="B1023" s="99">
        <v>539533</v>
      </c>
      <c r="C1023" s="102" t="s">
        <v>183</v>
      </c>
      <c r="D1023" s="102" t="s">
        <v>480</v>
      </c>
      <c r="E1023" s="11">
        <f ca="1">IFERROR(__xludf.DUMMYFUNCTION("GOOGLEFINANCE(""BOM:""&amp;B1025,""PRICE"")"),41.5)</f>
        <v>41.5</v>
      </c>
      <c r="F1023" s="20">
        <f ca="1">IFERROR(__xludf.DUMMYFUNCTION("GOOGLEFINANCE(""BOM:""&amp;B1025,""MARKETCAP"")/10000000"),6633.775)</f>
        <v>6633.7749999999996</v>
      </c>
      <c r="G1023" s="13">
        <f t="shared" ca="1" si="1573"/>
        <v>1.6465629194813353E-4</v>
      </c>
      <c r="H1023" s="101">
        <v>5477</v>
      </c>
      <c r="I1023" s="101">
        <v>236</v>
      </c>
      <c r="J1023" s="101">
        <v>311</v>
      </c>
      <c r="K1023" s="101">
        <v>27</v>
      </c>
      <c r="L1023" s="101">
        <v>1741</v>
      </c>
      <c r="M1023" s="101">
        <v>94</v>
      </c>
      <c r="N1023" s="101">
        <v>104</v>
      </c>
      <c r="O1023" s="101">
        <v>13</v>
      </c>
      <c r="P1023" s="13">
        <f t="shared" ref="P1023:Q1023" si="2066">J1023/H1023</f>
        <v>5.6782910352382691E-2</v>
      </c>
      <c r="Q1023" s="13">
        <f t="shared" si="2066"/>
        <v>0.11440677966101695</v>
      </c>
      <c r="R1023" s="13">
        <f t="shared" ref="R1023:R1034" si="2067">P1023-Q1023</f>
        <v>-5.7623869308634258E-2</v>
      </c>
      <c r="S1023" s="13">
        <f t="shared" ref="S1023:T1023" si="2068">N1023/L1023</f>
        <v>5.9735784032165423E-2</v>
      </c>
      <c r="T1023" s="13">
        <f t="shared" si="2068"/>
        <v>0.13829787234042554</v>
      </c>
      <c r="U1023" s="13">
        <f t="shared" ref="U1023:U1034" si="2069">S1023-T1023</f>
        <v>-7.8562088308260114E-2</v>
      </c>
      <c r="V1023" s="13">
        <f t="shared" ref="V1023:V1034" si="2070">(H1023/I1023)-1</f>
        <v>22.207627118644069</v>
      </c>
      <c r="W1023" s="13">
        <f t="shared" ref="W1023:W1034" si="2071">(J1023/K1023)-1</f>
        <v>10.518518518518519</v>
      </c>
      <c r="X1023" s="13">
        <f t="shared" ref="X1023:X1034" si="2072">(L1023/M1023)-1</f>
        <v>17.521276595744681</v>
      </c>
      <c r="Y1023" s="13">
        <f t="shared" ref="Y1023:Y1034" si="2073">(N1023/O1023)-1</f>
        <v>7</v>
      </c>
    </row>
    <row r="1024" spans="1:25" ht="15.6">
      <c r="A1024" s="118" t="s">
        <v>1327</v>
      </c>
      <c r="B1024" s="11">
        <v>544678</v>
      </c>
      <c r="C1024" s="102" t="s">
        <v>91</v>
      </c>
      <c r="D1024" s="102" t="s">
        <v>222</v>
      </c>
      <c r="E1024" s="11">
        <f ca="1">IFERROR(__xludf.DUMMYFUNCTION("GOOGLEFINANCE(""BOM:""&amp;B1026,""PRICE"")"),32.55)</f>
        <v>32.549999999999997</v>
      </c>
      <c r="F1024" s="20">
        <f ca="1">IFERROR(__xludf.DUMMYFUNCTION("GOOGLEFINANCE(""BOM:""&amp;B1026,""MARKETCAP"")/10000000"),15181.8127693)</f>
        <v>15181.812769300001</v>
      </c>
      <c r="G1024" s="13">
        <f t="shared" ca="1" si="1573"/>
        <v>3.7682631618403737E-4</v>
      </c>
      <c r="H1024" s="101">
        <v>8442</v>
      </c>
      <c r="I1024" s="101">
        <v>10534</v>
      </c>
      <c r="J1024" s="101">
        <v>101</v>
      </c>
      <c r="K1024" s="101">
        <v>1174</v>
      </c>
      <c r="L1024" s="101">
        <v>2783</v>
      </c>
      <c r="M1024" s="101">
        <v>3688</v>
      </c>
      <c r="N1024" s="101">
        <v>-23</v>
      </c>
      <c r="O1024" s="101">
        <v>425</v>
      </c>
      <c r="P1024" s="13">
        <f t="shared" ref="P1024:Q1024" si="2074">J1024/H1024</f>
        <v>1.1963989575929874E-2</v>
      </c>
      <c r="Q1024" s="13">
        <f t="shared" si="2074"/>
        <v>0.11144864249098159</v>
      </c>
      <c r="R1024" s="13">
        <f t="shared" si="2067"/>
        <v>-9.9484652915051708E-2</v>
      </c>
      <c r="S1024" s="13">
        <f t="shared" ref="S1024:T1024" si="2075">N1024/L1024</f>
        <v>-8.2644628099173556E-3</v>
      </c>
      <c r="T1024" s="13">
        <f t="shared" si="2075"/>
        <v>0.11523861171366595</v>
      </c>
      <c r="U1024" s="13">
        <f t="shared" si="2069"/>
        <v>-0.12350307452358331</v>
      </c>
      <c r="V1024" s="13">
        <f t="shared" si="2070"/>
        <v>-0.19859502563128917</v>
      </c>
      <c r="W1024" s="13">
        <f t="shared" si="2071"/>
        <v>-0.91396933560477001</v>
      </c>
      <c r="X1024" s="13">
        <f t="shared" si="2072"/>
        <v>-0.24539045553145333</v>
      </c>
      <c r="Y1024" s="13">
        <f t="shared" si="2073"/>
        <v>-1.0541176470588236</v>
      </c>
    </row>
    <row r="1025" spans="1:25" ht="15.6">
      <c r="A1025" s="118" t="s">
        <v>1328</v>
      </c>
      <c r="B1025" s="99">
        <v>544569</v>
      </c>
      <c r="C1025" s="109" t="s">
        <v>180</v>
      </c>
      <c r="D1025" s="102" t="s">
        <v>279</v>
      </c>
      <c r="E1025" s="11">
        <f ca="1">IFERROR(__xludf.DUMMYFUNCTION("GOOGLEFINANCE(""BOM:""&amp;B1027,""PRICE"")"),393.45)</f>
        <v>393.45</v>
      </c>
      <c r="F1025" s="20">
        <f ca="1">IFERROR(__xludf.DUMMYFUNCTION("GOOGLEFINANCE(""BOM:""&amp;B1027,""MARKETCAP"")/10000000"),144844.4921325)</f>
        <v>144844.49213249999</v>
      </c>
      <c r="G1025" s="13">
        <f t="shared" ca="1" si="1573"/>
        <v>3.5951712235715032E-3</v>
      </c>
      <c r="H1025" s="101">
        <v>57757</v>
      </c>
      <c r="I1025" s="101">
        <v>36354</v>
      </c>
      <c r="J1025" s="101">
        <v>1236</v>
      </c>
      <c r="K1025" s="101">
        <v>1855</v>
      </c>
      <c r="L1025" s="101">
        <v>21847</v>
      </c>
      <c r="M1025" s="101">
        <v>18819</v>
      </c>
      <c r="N1025" s="101">
        <v>705</v>
      </c>
      <c r="O1025" s="101">
        <v>1355</v>
      </c>
      <c r="P1025" s="13">
        <f t="shared" ref="P1025:Q1025" si="2076">J1025/H1025</f>
        <v>2.1400003462783732E-2</v>
      </c>
      <c r="Q1025" s="13">
        <f t="shared" si="2076"/>
        <v>5.1026021895802388E-2</v>
      </c>
      <c r="R1025" s="13">
        <f t="shared" si="2067"/>
        <v>-2.9626018433018656E-2</v>
      </c>
      <c r="S1025" s="13">
        <f t="shared" ref="S1025:T1025" si="2077">N1025/L1025</f>
        <v>3.2269876870966267E-2</v>
      </c>
      <c r="T1025" s="13">
        <f t="shared" si="2077"/>
        <v>7.2001700409160957E-2</v>
      </c>
      <c r="U1025" s="13">
        <f t="shared" si="2069"/>
        <v>-3.973182353819469E-2</v>
      </c>
      <c r="V1025" s="13">
        <f t="shared" si="2070"/>
        <v>0.58873851570666225</v>
      </c>
      <c r="W1025" s="13">
        <f t="shared" si="2071"/>
        <v>-0.33369272237196768</v>
      </c>
      <c r="X1025" s="13">
        <f t="shared" si="2072"/>
        <v>0.1609012168553059</v>
      </c>
      <c r="Y1025" s="13">
        <f t="shared" si="2073"/>
        <v>-0.47970479704797053</v>
      </c>
    </row>
    <row r="1026" spans="1:25" ht="15.6">
      <c r="A1026" s="118" t="s">
        <v>1329</v>
      </c>
      <c r="B1026" s="121">
        <v>544467</v>
      </c>
      <c r="C1026" s="102" t="s">
        <v>172</v>
      </c>
      <c r="D1026" s="102" t="s">
        <v>626</v>
      </c>
      <c r="E1026" s="11">
        <f ca="1">IFERROR(__xludf.DUMMYFUNCTION("GOOGLEFINANCE(""BOM:""&amp;B1028,""PRICE"")"),877.5)</f>
        <v>877.5</v>
      </c>
      <c r="F1026" s="20">
        <f ca="1">IFERROR(__xludf.DUMMYFUNCTION("GOOGLEFINANCE(""BOM:""&amp;B1028,""MARKETCAP"")/10000000"),17551.9907357)</f>
        <v>17551.990735700001</v>
      </c>
      <c r="G1026" s="13">
        <f t="shared" ca="1" si="1573"/>
        <v>4.3565627577787225E-4</v>
      </c>
      <c r="H1026" s="101">
        <v>1072</v>
      </c>
      <c r="I1026" s="101">
        <v>1057</v>
      </c>
      <c r="J1026" s="101">
        <v>290</v>
      </c>
      <c r="K1026" s="101">
        <v>260</v>
      </c>
      <c r="L1026" s="101">
        <v>360</v>
      </c>
      <c r="M1026" s="101">
        <v>363</v>
      </c>
      <c r="N1026" s="101">
        <v>90</v>
      </c>
      <c r="O1026" s="101">
        <v>86</v>
      </c>
      <c r="P1026" s="13">
        <f t="shared" ref="P1026:Q1026" si="2078">J1026/H1026</f>
        <v>0.27052238805970147</v>
      </c>
      <c r="Q1026" s="13">
        <f t="shared" si="2078"/>
        <v>0.24597918637653737</v>
      </c>
      <c r="R1026" s="13">
        <f t="shared" si="2067"/>
        <v>2.4543201683164095E-2</v>
      </c>
      <c r="S1026" s="13">
        <f t="shared" ref="S1026:T1026" si="2079">N1026/L1026</f>
        <v>0.25</v>
      </c>
      <c r="T1026" s="13">
        <f t="shared" si="2079"/>
        <v>0.23691460055096419</v>
      </c>
      <c r="U1026" s="13">
        <f t="shared" si="2069"/>
        <v>1.3085399449035806E-2</v>
      </c>
      <c r="V1026" s="13">
        <f t="shared" si="2070"/>
        <v>1.4191106906338735E-2</v>
      </c>
      <c r="W1026" s="13">
        <f t="shared" si="2071"/>
        <v>0.11538461538461542</v>
      </c>
      <c r="X1026" s="13">
        <f t="shared" si="2072"/>
        <v>-8.2644628099173278E-3</v>
      </c>
      <c r="Y1026" s="13">
        <f t="shared" si="2073"/>
        <v>4.6511627906976827E-2</v>
      </c>
    </row>
    <row r="1027" spans="1:25" ht="15.6">
      <c r="A1027" s="118" t="s">
        <v>1330</v>
      </c>
      <c r="B1027" s="99">
        <v>544609</v>
      </c>
      <c r="C1027" s="102" t="s">
        <v>187</v>
      </c>
      <c r="D1027" s="102" t="s">
        <v>1218</v>
      </c>
      <c r="E1027" s="11">
        <f ca="1">IFERROR(__xludf.DUMMYFUNCTION("GOOGLEFINANCE(""BOM:""&amp;B1029,""PRICE"")"),93.06)</f>
        <v>93.06</v>
      </c>
      <c r="F1027" s="20">
        <f ca="1">IFERROR(__xludf.DUMMYFUNCTION("GOOGLEFINANCE(""BOM:""&amp;B1029,""MARKETCAP"")/10000000"),26609.4349327)</f>
        <v>26609.434932700002</v>
      </c>
      <c r="G1027" s="13">
        <f t="shared" ca="1" si="1573"/>
        <v>6.6047022801549865E-4</v>
      </c>
      <c r="H1027" s="101">
        <v>2981</v>
      </c>
      <c r="I1027" s="101">
        <v>2277</v>
      </c>
      <c r="J1027" s="101">
        <v>45</v>
      </c>
      <c r="K1027" s="101">
        <v>46</v>
      </c>
      <c r="L1027" s="101">
        <v>1082</v>
      </c>
      <c r="M1027" s="101">
        <v>810</v>
      </c>
      <c r="N1027" s="101">
        <v>102</v>
      </c>
      <c r="O1027" s="101">
        <v>77</v>
      </c>
      <c r="P1027" s="13">
        <f t="shared" ref="P1027:Q1027" si="2080">J1027/H1027</f>
        <v>1.5095605501509561E-2</v>
      </c>
      <c r="Q1027" s="13">
        <f t="shared" si="2080"/>
        <v>2.0202020202020204E-2</v>
      </c>
      <c r="R1027" s="13">
        <f t="shared" si="2067"/>
        <v>-5.1064147005106426E-3</v>
      </c>
      <c r="S1027" s="13">
        <f t="shared" ref="S1027:T1027" si="2081">N1027/L1027</f>
        <v>9.4269870609981515E-2</v>
      </c>
      <c r="T1027" s="13">
        <f t="shared" si="2081"/>
        <v>9.5061728395061731E-2</v>
      </c>
      <c r="U1027" s="13">
        <f t="shared" si="2069"/>
        <v>-7.9185778508021609E-4</v>
      </c>
      <c r="V1027" s="13">
        <f t="shared" si="2070"/>
        <v>0.3091787439613527</v>
      </c>
      <c r="W1027" s="13">
        <f t="shared" si="2071"/>
        <v>-2.1739130434782594E-2</v>
      </c>
      <c r="X1027" s="13">
        <f t="shared" si="2072"/>
        <v>0.33580246913580236</v>
      </c>
      <c r="Y1027" s="13">
        <f t="shared" si="2073"/>
        <v>0.32467532467532467</v>
      </c>
    </row>
    <row r="1028" spans="1:25" ht="15.6">
      <c r="A1028" s="124" t="s">
        <v>1331</v>
      </c>
      <c r="B1028" s="99">
        <v>539469</v>
      </c>
      <c r="C1028" s="102" t="s">
        <v>187</v>
      </c>
      <c r="D1028" s="102" t="s">
        <v>772</v>
      </c>
      <c r="E1028" s="11">
        <f ca="1">IFERROR(__xludf.DUMMYFUNCTION("GOOGLEFINANCE(""BOM:""&amp;B1030,""PRICE"")"),36.99)</f>
        <v>36.99</v>
      </c>
      <c r="F1028" s="20">
        <f ca="1">IFERROR(__xludf.DUMMYFUNCTION("GOOGLEFINANCE(""BOM:""&amp;B1030,""MARKETCAP"")/10000000"),949.1313)</f>
        <v>949.13130000000001</v>
      </c>
      <c r="G1028" s="13">
        <f t="shared" ca="1" si="1573"/>
        <v>2.3558296811379874E-5</v>
      </c>
      <c r="H1028" s="101">
        <v>244</v>
      </c>
      <c r="I1028" s="101">
        <v>152</v>
      </c>
      <c r="J1028" s="101">
        <v>3</v>
      </c>
      <c r="K1028" s="101">
        <v>9</v>
      </c>
      <c r="L1028" s="101">
        <v>29</v>
      </c>
      <c r="M1028" s="101">
        <v>34</v>
      </c>
      <c r="N1028" s="101">
        <v>-2</v>
      </c>
      <c r="O1028" s="101">
        <v>1</v>
      </c>
      <c r="P1028" s="13">
        <f t="shared" ref="P1028:Q1028" si="2082">J1028/H1028</f>
        <v>1.2295081967213115E-2</v>
      </c>
      <c r="Q1028" s="13">
        <f t="shared" si="2082"/>
        <v>5.921052631578947E-2</v>
      </c>
      <c r="R1028" s="13">
        <f t="shared" si="2067"/>
        <v>-4.6915444348576356E-2</v>
      </c>
      <c r="S1028" s="13">
        <f t="shared" ref="S1028:T1028" si="2083">N1028/L1028</f>
        <v>-6.8965517241379309E-2</v>
      </c>
      <c r="T1028" s="13">
        <f t="shared" si="2083"/>
        <v>2.9411764705882353E-2</v>
      </c>
      <c r="U1028" s="13">
        <f t="shared" si="2069"/>
        <v>-9.8377281947261669E-2</v>
      </c>
      <c r="V1028" s="13">
        <f t="shared" si="2070"/>
        <v>0.60526315789473695</v>
      </c>
      <c r="W1028" s="13">
        <f t="shared" si="2071"/>
        <v>-0.66666666666666674</v>
      </c>
      <c r="X1028" s="13">
        <f t="shared" si="2072"/>
        <v>-0.1470588235294118</v>
      </c>
      <c r="Y1028" s="13">
        <f t="shared" si="2073"/>
        <v>-3</v>
      </c>
    </row>
    <row r="1029" spans="1:25" ht="15.6">
      <c r="A1029" s="124" t="s">
        <v>1332</v>
      </c>
      <c r="B1029" s="99">
        <v>512267</v>
      </c>
      <c r="C1029" s="102" t="s">
        <v>187</v>
      </c>
      <c r="D1029" s="102" t="s">
        <v>772</v>
      </c>
      <c r="E1029" s="11">
        <f ca="1">IFERROR(__xludf.DUMMYFUNCTION("GOOGLEFINANCE(""BOM:""&amp;B1031,""PRICE"")"),9.46)</f>
        <v>9.4600000000000009</v>
      </c>
      <c r="F1029" s="20">
        <f ca="1">IFERROR(__xludf.DUMMYFUNCTION("GOOGLEFINANCE(""BOM:""&amp;B1031,""MARKETCAP"")/10000000"),1071.5739363)</f>
        <v>1071.5739363</v>
      </c>
      <c r="G1029" s="13">
        <f t="shared" ca="1" si="1573"/>
        <v>2.6597433723547067E-5</v>
      </c>
      <c r="H1029" s="101">
        <v>956</v>
      </c>
      <c r="I1029" s="101">
        <v>1615</v>
      </c>
      <c r="J1029" s="101">
        <v>6</v>
      </c>
      <c r="K1029" s="101">
        <v>5</v>
      </c>
      <c r="L1029" s="101">
        <v>336</v>
      </c>
      <c r="M1029" s="101">
        <v>258</v>
      </c>
      <c r="N1029" s="101">
        <v>2</v>
      </c>
      <c r="O1029" s="101">
        <v>1</v>
      </c>
      <c r="P1029" s="13">
        <f t="shared" ref="P1029:Q1029" si="2084">J1029/H1029</f>
        <v>6.2761506276150627E-3</v>
      </c>
      <c r="Q1029" s="13">
        <f t="shared" si="2084"/>
        <v>3.0959752321981426E-3</v>
      </c>
      <c r="R1029" s="13">
        <f t="shared" si="2067"/>
        <v>3.1801753954169201E-3</v>
      </c>
      <c r="S1029" s="13">
        <f t="shared" ref="S1029:T1029" si="2085">N1029/L1029</f>
        <v>5.9523809523809521E-3</v>
      </c>
      <c r="T1029" s="13">
        <f t="shared" si="2085"/>
        <v>3.875968992248062E-3</v>
      </c>
      <c r="U1029" s="13">
        <f t="shared" si="2069"/>
        <v>2.0764119601328901E-3</v>
      </c>
      <c r="V1029" s="13">
        <f t="shared" si="2070"/>
        <v>-0.40804953560371515</v>
      </c>
      <c r="W1029" s="13">
        <f t="shared" si="2071"/>
        <v>0.19999999999999996</v>
      </c>
      <c r="X1029" s="13">
        <f t="shared" si="2072"/>
        <v>0.30232558139534893</v>
      </c>
      <c r="Y1029" s="13">
        <f t="shared" si="2073"/>
        <v>1</v>
      </c>
    </row>
    <row r="1030" spans="1:25" ht="15.6">
      <c r="A1030" s="124" t="s">
        <v>1333</v>
      </c>
      <c r="B1030" s="99">
        <v>544587</v>
      </c>
      <c r="C1030" s="100" t="s">
        <v>187</v>
      </c>
      <c r="D1030" s="108" t="s">
        <v>1176</v>
      </c>
      <c r="E1030" s="11">
        <f ca="1">IFERROR(__xludf.DUMMYFUNCTION("GOOGLEFINANCE(""BOM:""&amp;B1032,""PRICE"")"),1295.15)</f>
        <v>1295.1500000000001</v>
      </c>
      <c r="F1030" s="20">
        <f ca="1">IFERROR(__xludf.DUMMYFUNCTION("GOOGLEFINANCE(""BOM:""&amp;B1032,""MARKETCAP"")/10000000"),4650.6416858)</f>
        <v>4650.6416858000002</v>
      </c>
      <c r="G1030" s="13">
        <f t="shared" ca="1" si="1573"/>
        <v>1.154331304820023E-4</v>
      </c>
      <c r="H1030" s="101">
        <v>430</v>
      </c>
      <c r="I1030" s="101">
        <v>396</v>
      </c>
      <c r="J1030" s="101">
        <v>69</v>
      </c>
      <c r="K1030" s="101">
        <v>85</v>
      </c>
      <c r="L1030" s="101">
        <v>129</v>
      </c>
      <c r="M1030" s="101">
        <v>117</v>
      </c>
      <c r="N1030" s="101">
        <v>17</v>
      </c>
      <c r="O1030" s="101">
        <v>14</v>
      </c>
      <c r="P1030" s="13">
        <f t="shared" ref="P1030:Q1030" si="2086">J1030/H1030</f>
        <v>0.16046511627906976</v>
      </c>
      <c r="Q1030" s="13">
        <f t="shared" si="2086"/>
        <v>0.21464646464646464</v>
      </c>
      <c r="R1030" s="13">
        <f t="shared" si="2067"/>
        <v>-5.4181348367394883E-2</v>
      </c>
      <c r="S1030" s="13">
        <f t="shared" ref="S1030:T1030" si="2087">N1030/L1030</f>
        <v>0.13178294573643412</v>
      </c>
      <c r="T1030" s="13">
        <f t="shared" si="2087"/>
        <v>0.11965811965811966</v>
      </c>
      <c r="U1030" s="13">
        <f t="shared" si="2069"/>
        <v>1.2124826078314457E-2</v>
      </c>
      <c r="V1030" s="13">
        <f t="shared" si="2070"/>
        <v>8.5858585858585856E-2</v>
      </c>
      <c r="W1030" s="13">
        <f t="shared" si="2071"/>
        <v>-0.18823529411764706</v>
      </c>
      <c r="X1030" s="13">
        <f t="shared" si="2072"/>
        <v>0.10256410256410264</v>
      </c>
      <c r="Y1030" s="13">
        <f t="shared" si="2073"/>
        <v>0.21428571428571419</v>
      </c>
    </row>
    <row r="1031" spans="1:25" ht="14.4">
      <c r="A1031" s="125" t="s">
        <v>1334</v>
      </c>
      <c r="B1031" s="99">
        <v>543929</v>
      </c>
      <c r="C1031" s="100" t="s">
        <v>183</v>
      </c>
      <c r="D1031" s="100" t="s">
        <v>1302</v>
      </c>
      <c r="E1031" s="11">
        <f ca="1">IFERROR(__xludf.DUMMYFUNCTION("GOOGLEFINANCE(""BOM:""&amp;B1033,""PRICE"")"),24.72)</f>
        <v>24.72</v>
      </c>
      <c r="F1031" s="20">
        <f ca="1">IFERROR(__xludf.DUMMYFUNCTION("GOOGLEFINANCE(""BOM:""&amp;B1033,""MARKETCAP"")/10000000"),1227.8878177)</f>
        <v>1227.8878176999999</v>
      </c>
      <c r="G1031" s="13">
        <f t="shared" ref="G1031:G1034" ca="1" si="2088">F1031/$F$2</f>
        <v>3.0477285556228203E-5</v>
      </c>
      <c r="H1031" s="101">
        <v>5337</v>
      </c>
      <c r="I1031" s="101">
        <v>3633</v>
      </c>
      <c r="J1031" s="101">
        <v>157</v>
      </c>
      <c r="K1031" s="101">
        <v>75</v>
      </c>
      <c r="L1031" s="101">
        <v>2059</v>
      </c>
      <c r="M1031" s="101">
        <v>1455</v>
      </c>
      <c r="N1031" s="101">
        <v>67</v>
      </c>
      <c r="O1031" s="101">
        <v>21</v>
      </c>
      <c r="P1031" s="13">
        <f t="shared" ref="P1031:Q1031" si="2089">J1031/H1031</f>
        <v>2.9417275623009182E-2</v>
      </c>
      <c r="Q1031" s="13">
        <f t="shared" si="2089"/>
        <v>2.0644095788604461E-2</v>
      </c>
      <c r="R1031" s="13">
        <f t="shared" si="2067"/>
        <v>8.7731798344047214E-3</v>
      </c>
      <c r="S1031" s="13">
        <f t="shared" ref="S1031:T1031" si="2090">N1031/L1031</f>
        <v>3.2540067994171931E-2</v>
      </c>
      <c r="T1031" s="13">
        <f t="shared" si="2090"/>
        <v>1.443298969072165E-2</v>
      </c>
      <c r="U1031" s="13">
        <f t="shared" si="2069"/>
        <v>1.8107078303450281E-2</v>
      </c>
      <c r="V1031" s="13">
        <f t="shared" si="2070"/>
        <v>0.46903385631709327</v>
      </c>
      <c r="W1031" s="13">
        <f t="shared" si="2071"/>
        <v>1.0933333333333333</v>
      </c>
      <c r="X1031" s="13">
        <f t="shared" si="2072"/>
        <v>0.41512027491408943</v>
      </c>
      <c r="Y1031" s="13">
        <f t="shared" si="2073"/>
        <v>2.1904761904761907</v>
      </c>
    </row>
    <row r="1032" spans="1:25" ht="14.4">
      <c r="A1032" s="125" t="s">
        <v>1335</v>
      </c>
      <c r="B1032" s="99">
        <v>532143</v>
      </c>
      <c r="C1032" s="100" t="s">
        <v>183</v>
      </c>
      <c r="D1032" s="100" t="s">
        <v>1302</v>
      </c>
      <c r="E1032" s="11">
        <f ca="1">IFERROR(__xludf.DUMMYFUNCTION("GOOGLEFINANCE(""BOM:""&amp;B1034,""PRICE"")"),163.55)</f>
        <v>163.55000000000001</v>
      </c>
      <c r="F1032" s="20">
        <f ca="1">IFERROR(__xludf.DUMMYFUNCTION("GOOGLEFINANCE(""BOM:""&amp;B1034,""MARKETCAP"")/10000000"),859.0952367)</f>
        <v>859.09523669999999</v>
      </c>
      <c r="G1032" s="13">
        <f t="shared" ca="1" si="2088"/>
        <v>2.1323520334248008E-5</v>
      </c>
      <c r="H1032" s="101">
        <v>581</v>
      </c>
      <c r="I1032" s="101">
        <v>380</v>
      </c>
      <c r="J1032" s="101">
        <v>71</v>
      </c>
      <c r="K1032" s="101">
        <v>28</v>
      </c>
      <c r="L1032" s="101">
        <v>204</v>
      </c>
      <c r="M1032" s="101">
        <v>135</v>
      </c>
      <c r="N1032" s="101">
        <v>30</v>
      </c>
      <c r="O1032" s="101">
        <v>8</v>
      </c>
      <c r="P1032" s="13">
        <f t="shared" ref="P1032:Q1032" si="2091">J1032/H1032</f>
        <v>0.12220309810671257</v>
      </c>
      <c r="Q1032" s="13">
        <f t="shared" si="2091"/>
        <v>7.3684210526315783E-2</v>
      </c>
      <c r="R1032" s="13">
        <f t="shared" si="2067"/>
        <v>4.8518887580396783E-2</v>
      </c>
      <c r="S1032" s="13">
        <f t="shared" ref="S1032:T1032" si="2092">N1032/L1032</f>
        <v>0.14705882352941177</v>
      </c>
      <c r="T1032" s="13">
        <f t="shared" si="2092"/>
        <v>5.9259259259259262E-2</v>
      </c>
      <c r="U1032" s="13">
        <f t="shared" si="2069"/>
        <v>8.7799564270152508E-2</v>
      </c>
      <c r="V1032" s="13">
        <f t="shared" si="2070"/>
        <v>0.52894736842105261</v>
      </c>
      <c r="W1032" s="13">
        <f t="shared" si="2071"/>
        <v>1.5357142857142856</v>
      </c>
      <c r="X1032" s="13">
        <f t="shared" si="2072"/>
        <v>0.51111111111111107</v>
      </c>
      <c r="Y1032" s="13">
        <f t="shared" si="2073"/>
        <v>2.75</v>
      </c>
    </row>
    <row r="1033" spans="1:25" ht="14.4">
      <c r="A1033" s="126" t="s">
        <v>1336</v>
      </c>
      <c r="B1033" s="99">
        <v>544603</v>
      </c>
      <c r="C1033" s="100" t="s">
        <v>172</v>
      </c>
      <c r="D1033" s="100" t="s">
        <v>436</v>
      </c>
      <c r="E1033" s="11">
        <f ca="1">IFERROR(__xludf.DUMMYFUNCTION("GOOGLEFINANCE(""BOM:""&amp;B1035,""PRICE"")"),169.2)</f>
        <v>169.2</v>
      </c>
      <c r="F1033" s="20">
        <f ca="1">IFERROR(__xludf.DUMMYFUNCTION("GOOGLEFINANCE(""BOM:""&amp;B1035,""MARKETCAP"")/10000000"),106162.1016052)</f>
        <v>106162.1016052</v>
      </c>
      <c r="G1033" s="13">
        <f t="shared" ca="1" si="2088"/>
        <v>2.6350393246278667E-3</v>
      </c>
      <c r="H1033" s="101">
        <v>3280</v>
      </c>
      <c r="I1033" s="101">
        <v>3212</v>
      </c>
      <c r="J1033" s="101">
        <v>1397</v>
      </c>
      <c r="K1033" s="101">
        <v>1515</v>
      </c>
      <c r="L1033" s="101">
        <v>1261</v>
      </c>
      <c r="M1033" s="101">
        <v>1004</v>
      </c>
      <c r="N1033" s="101">
        <v>547</v>
      </c>
      <c r="O1033" s="101">
        <v>757</v>
      </c>
      <c r="P1033" s="13">
        <f t="shared" ref="P1033:Q1033" si="2093">J1033/H1033</f>
        <v>0.42591463414634145</v>
      </c>
      <c r="Q1033" s="13">
        <f t="shared" si="2093"/>
        <v>0.47166874221668742</v>
      </c>
      <c r="R1033" s="13">
        <f t="shared" si="2067"/>
        <v>-4.5754108070345967E-2</v>
      </c>
      <c r="S1033" s="13">
        <f t="shared" ref="S1033:T1033" si="2094">N1033/L1033</f>
        <v>0.43378271213322761</v>
      </c>
      <c r="T1033" s="13">
        <f t="shared" si="2094"/>
        <v>0.75398406374501992</v>
      </c>
      <c r="U1033" s="13">
        <f t="shared" si="2069"/>
        <v>-0.32020135161179231</v>
      </c>
      <c r="V1033" s="13">
        <f t="shared" si="2070"/>
        <v>2.1170610211706187E-2</v>
      </c>
      <c r="W1033" s="13">
        <f t="shared" si="2071"/>
        <v>-7.788778877887792E-2</v>
      </c>
      <c r="X1033" s="13">
        <f t="shared" si="2072"/>
        <v>0.25597609561752988</v>
      </c>
      <c r="Y1033" s="13">
        <f t="shared" si="2073"/>
        <v>-0.27741083223249674</v>
      </c>
    </row>
    <row r="1034" spans="1:25" ht="14.4">
      <c r="A1034" s="127" t="s">
        <v>1337</v>
      </c>
      <c r="B1034" s="99">
        <v>544455</v>
      </c>
      <c r="C1034" s="100" t="s">
        <v>174</v>
      </c>
      <c r="D1034" s="100" t="s">
        <v>1089</v>
      </c>
      <c r="E1034" s="11">
        <f ca="1">IFERROR(__xludf.DUMMYFUNCTION("GOOGLEFINANCE(""BOM:""&amp;B1036,""PRICE"")"),367)</f>
        <v>367</v>
      </c>
      <c r="F1034" s="20">
        <f ca="1">IFERROR(__xludf.DUMMYFUNCTION("GOOGLEFINANCE(""BOM:""&amp;B1036,""MARKETCAP"")/10000000"),4175.1012691)</f>
        <v>4175.1012690999996</v>
      </c>
      <c r="G1034" s="13">
        <f t="shared" ca="1" si="2088"/>
        <v>1.0362978748570043E-4</v>
      </c>
      <c r="H1034" s="101">
        <v>1239</v>
      </c>
      <c r="I1034" s="101">
        <v>955</v>
      </c>
      <c r="J1034" s="101">
        <v>90</v>
      </c>
      <c r="K1034" s="101">
        <v>54</v>
      </c>
      <c r="L1034" s="101">
        <v>487</v>
      </c>
      <c r="M1034" s="101">
        <v>347</v>
      </c>
      <c r="N1034" s="101">
        <v>39</v>
      </c>
      <c r="O1034" s="101">
        <v>19</v>
      </c>
      <c r="P1034" s="13">
        <f t="shared" ref="P1034:Q1034" si="2095">J1034/H1034</f>
        <v>7.2639225181598058E-2</v>
      </c>
      <c r="Q1034" s="13">
        <f t="shared" si="2095"/>
        <v>5.654450261780105E-2</v>
      </c>
      <c r="R1034" s="13">
        <f t="shared" si="2067"/>
        <v>1.6094722563797008E-2</v>
      </c>
      <c r="S1034" s="13">
        <f t="shared" ref="S1034:T1034" si="2096">N1034/L1034</f>
        <v>8.0082135523613956E-2</v>
      </c>
      <c r="T1034" s="13">
        <f t="shared" si="2096"/>
        <v>5.4755043227665709E-2</v>
      </c>
      <c r="U1034" s="13">
        <f t="shared" si="2069"/>
        <v>2.5327092295948248E-2</v>
      </c>
      <c r="V1034" s="13">
        <f t="shared" si="2070"/>
        <v>0.29738219895287954</v>
      </c>
      <c r="W1034" s="13">
        <f t="shared" si="2071"/>
        <v>0.66666666666666674</v>
      </c>
      <c r="X1034" s="13">
        <f t="shared" si="2072"/>
        <v>0.40345821325648412</v>
      </c>
      <c r="Y1034" s="13">
        <f t="shared" si="2073"/>
        <v>1.0526315789473686</v>
      </c>
    </row>
    <row r="1035" spans="1:25" ht="14.4">
      <c r="A1035" s="98"/>
      <c r="B1035" s="99"/>
      <c r="C1035" s="98"/>
      <c r="D1035" s="101"/>
      <c r="E1035" s="11"/>
      <c r="F1035" s="20"/>
      <c r="G1035" s="101"/>
      <c r="H1035" s="101"/>
      <c r="I1035" s="101"/>
      <c r="J1035" s="101"/>
      <c r="K1035" s="101"/>
      <c r="L1035" s="101"/>
      <c r="M1035" s="101"/>
      <c r="N1035" s="101"/>
      <c r="O1035" s="101"/>
      <c r="P1035" s="101"/>
      <c r="Q1035" s="101"/>
      <c r="R1035" s="101"/>
      <c r="S1035" s="101"/>
      <c r="T1035" s="101"/>
      <c r="U1035" s="101"/>
      <c r="V1035" s="101"/>
      <c r="W1035" s="101"/>
      <c r="X1035" s="101"/>
      <c r="Y1035" s="101"/>
    </row>
    <row r="1036" spans="1:25" ht="14.4">
      <c r="A1036" s="98"/>
      <c r="B1036" s="99"/>
      <c r="C1036" s="98"/>
      <c r="D1036" s="101"/>
      <c r="E1036" s="11"/>
      <c r="F1036" s="20"/>
      <c r="G1036" s="101"/>
      <c r="H1036" s="101"/>
      <c r="I1036" s="101"/>
      <c r="J1036" s="101"/>
      <c r="K1036" s="101"/>
      <c r="L1036" s="101"/>
      <c r="M1036" s="101"/>
      <c r="N1036" s="101"/>
      <c r="O1036" s="101"/>
      <c r="P1036" s="101"/>
      <c r="Q1036" s="101"/>
      <c r="R1036" s="101"/>
      <c r="S1036" s="101"/>
      <c r="T1036" s="101"/>
      <c r="U1036" s="101"/>
      <c r="V1036" s="101"/>
      <c r="W1036" s="101"/>
      <c r="X1036" s="101"/>
      <c r="Y1036" s="101"/>
    </row>
    <row r="1037" spans="1:25" ht="14.4">
      <c r="A1037" s="98"/>
      <c r="B1037" s="99"/>
      <c r="C1037" s="98"/>
      <c r="D1037" s="101"/>
      <c r="E1037" s="11"/>
      <c r="F1037" s="20"/>
      <c r="G1037" s="101"/>
      <c r="H1037" s="101"/>
      <c r="I1037" s="101"/>
      <c r="J1037" s="101"/>
      <c r="K1037" s="101"/>
      <c r="L1037" s="101"/>
      <c r="M1037" s="101"/>
      <c r="N1037" s="101"/>
      <c r="O1037" s="101"/>
      <c r="P1037" s="101"/>
      <c r="Q1037" s="101"/>
      <c r="R1037" s="101"/>
      <c r="S1037" s="101"/>
      <c r="T1037" s="101"/>
      <c r="U1037" s="101"/>
      <c r="V1037" s="101"/>
      <c r="W1037" s="101"/>
      <c r="X1037" s="101"/>
      <c r="Y1037" s="101"/>
    </row>
    <row r="1038" spans="1:25" ht="14.4">
      <c r="A1038" s="98"/>
      <c r="B1038" s="99"/>
      <c r="C1038" s="98"/>
      <c r="D1038" s="101"/>
      <c r="E1038" s="11"/>
      <c r="F1038" s="20"/>
      <c r="G1038" s="101"/>
      <c r="H1038" s="101"/>
      <c r="I1038" s="101"/>
      <c r="J1038" s="101"/>
      <c r="K1038" s="101"/>
      <c r="L1038" s="101"/>
      <c r="M1038" s="101"/>
      <c r="N1038" s="101"/>
      <c r="O1038" s="101"/>
      <c r="P1038" s="101"/>
      <c r="Q1038" s="101"/>
      <c r="R1038" s="101"/>
      <c r="S1038" s="101"/>
      <c r="T1038" s="101"/>
      <c r="U1038" s="101"/>
      <c r="V1038" s="101"/>
      <c r="W1038" s="101"/>
      <c r="X1038" s="101"/>
      <c r="Y1038" s="101"/>
    </row>
    <row r="1039" spans="1:25" ht="14.4">
      <c r="A1039" s="90"/>
      <c r="B1039" s="93"/>
      <c r="C1039" s="90"/>
      <c r="E1039" s="21"/>
      <c r="F1039" s="103"/>
    </row>
    <row r="1040" spans="1:25" ht="14.4">
      <c r="A1040" s="90"/>
      <c r="B1040" s="93"/>
      <c r="C1040" s="90"/>
      <c r="E1040" s="21"/>
      <c r="F1040" s="103"/>
    </row>
    <row r="1041" spans="1:25" ht="14.4">
      <c r="A1041" s="128" t="s">
        <v>62</v>
      </c>
      <c r="B1041" s="99"/>
      <c r="C1041" s="98"/>
      <c r="D1041" s="101"/>
      <c r="E1041" s="11"/>
      <c r="F1041" s="20">
        <f ca="1">SUM(F5:F53)</f>
        <v>18632342.443226997</v>
      </c>
      <c r="G1041" s="101"/>
      <c r="H1041" s="20">
        <f>SUM(H5:H53)</f>
        <v>7193244</v>
      </c>
      <c r="I1041" s="20">
        <f>SUM(I5:I53)</f>
        <v>6632402</v>
      </c>
      <c r="J1041" s="20">
        <f>SUM(J5:J53)</f>
        <v>747009</v>
      </c>
      <c r="K1041" s="20">
        <f>SUM(K5:K53)</f>
        <v>656496</v>
      </c>
      <c r="L1041" s="20">
        <f>SUM(L5:L53)</f>
        <v>2515173</v>
      </c>
      <c r="M1041" s="20">
        <f>SUM(M5:M53)</f>
        <v>2233438</v>
      </c>
      <c r="N1041" s="20">
        <f>SUM(N5:N53)</f>
        <v>264704</v>
      </c>
      <c r="O1041" s="20">
        <f>SUM(O5:O53)</f>
        <v>232678</v>
      </c>
      <c r="P1041" s="13">
        <f t="shared" ref="P1041:Q1041" si="2097">J1041/H1041</f>
        <v>0.10384869469185252</v>
      </c>
      <c r="Q1041" s="13">
        <f t="shared" si="2097"/>
        <v>9.8983143663487219E-2</v>
      </c>
      <c r="R1041" s="13">
        <f t="shared" ref="R1041:R1048" si="2098">P1041-Q1041</f>
        <v>4.8655510283653058E-3</v>
      </c>
      <c r="S1041" s="13">
        <f t="shared" ref="S1041:T1041" si="2099">N1041/L1041</f>
        <v>0.10524286003388236</v>
      </c>
      <c r="T1041" s="13">
        <f t="shared" si="2099"/>
        <v>0.10417929667176792</v>
      </c>
      <c r="U1041" s="13">
        <f t="shared" ref="U1041:U1048" si="2100">S1041-T1041</f>
        <v>1.0635633621144391E-3</v>
      </c>
      <c r="V1041" s="13">
        <f t="shared" ref="V1041:V1048" si="2101">(H1041/I1041)-1</f>
        <v>8.4560917748954356E-2</v>
      </c>
      <c r="W1041" s="13">
        <f t="shared" ref="W1041:W1048" si="2102">(J1041/K1041)-1</f>
        <v>0.13787288879140158</v>
      </c>
      <c r="X1041" s="13">
        <f t="shared" ref="X1041:X1048" si="2103">(L1041/M1041)-1</f>
        <v>0.12614408817258416</v>
      </c>
      <c r="Y1041" s="13">
        <f t="shared" ref="Y1041:Y1048" si="2104">(N1041/O1041)-1</f>
        <v>0.13764085990080721</v>
      </c>
    </row>
    <row r="1042" spans="1:25" ht="14.4">
      <c r="A1042" s="128" t="s">
        <v>63</v>
      </c>
      <c r="B1042" s="99"/>
      <c r="C1042" s="98"/>
      <c r="D1042" s="101"/>
      <c r="E1042" s="11"/>
      <c r="F1042" s="20">
        <f ca="1">SUM(F5:F103)</f>
        <v>24416054.195030689</v>
      </c>
      <c r="G1042" s="101"/>
      <c r="H1042" s="20">
        <f>SUM(H5:H103)</f>
        <v>8849648</v>
      </c>
      <c r="I1042" s="20">
        <f>SUM(I5:I103)</f>
        <v>8212265</v>
      </c>
      <c r="J1042" s="20">
        <f>SUM(J5:J103)</f>
        <v>916588</v>
      </c>
      <c r="K1042" s="20">
        <f>SUM(K5:K103)</f>
        <v>814979</v>
      </c>
      <c r="L1042" s="20">
        <f>SUM(L5:L103)</f>
        <v>3056122</v>
      </c>
      <c r="M1042" s="20">
        <f>SUM(M5:M103)</f>
        <v>2758507</v>
      </c>
      <c r="N1042" s="20">
        <f>SUM(N5:N103)</f>
        <v>316957</v>
      </c>
      <c r="O1042" s="20">
        <f>SUM(O5:O103)</f>
        <v>295663</v>
      </c>
      <c r="P1042" s="13">
        <f t="shared" ref="P1042:Q1042" si="2105">J1042/H1042</f>
        <v>0.10357338506571109</v>
      </c>
      <c r="Q1042" s="13">
        <f t="shared" si="2105"/>
        <v>9.9239247637527533E-2</v>
      </c>
      <c r="R1042" s="13">
        <f t="shared" si="2098"/>
        <v>4.3341374281835598E-3</v>
      </c>
      <c r="S1042" s="13">
        <f t="shared" ref="S1042:T1042" si="2106">N1042/L1042</f>
        <v>0.10371215547023319</v>
      </c>
      <c r="T1042" s="13">
        <f t="shared" si="2106"/>
        <v>0.10718225474867384</v>
      </c>
      <c r="U1042" s="13">
        <f t="shared" si="2100"/>
        <v>-3.4700992784406498E-3</v>
      </c>
      <c r="V1042" s="13">
        <f t="shared" si="2101"/>
        <v>7.7613545106009152E-2</v>
      </c>
      <c r="W1042" s="13">
        <f t="shared" si="2102"/>
        <v>0.12467683216377345</v>
      </c>
      <c r="X1042" s="13">
        <f t="shared" si="2103"/>
        <v>0.10788988391184073</v>
      </c>
      <c r="Y1042" s="13">
        <f t="shared" si="2104"/>
        <v>7.2021186283031779E-2</v>
      </c>
    </row>
    <row r="1043" spans="1:25" ht="14.4">
      <c r="A1043" s="128" t="s">
        <v>64</v>
      </c>
      <c r="B1043" s="99"/>
      <c r="C1043" s="98"/>
      <c r="D1043" s="101"/>
      <c r="E1043" s="11"/>
      <c r="F1043" s="20">
        <f ca="1">SUM(F104:F254)</f>
        <v>8979711.550301699</v>
      </c>
      <c r="G1043" s="101"/>
      <c r="H1043" s="20">
        <f>SUM(H104:H254)</f>
        <v>2952576</v>
      </c>
      <c r="I1043" s="20">
        <f>SUM(I104:I254)</f>
        <v>2718012</v>
      </c>
      <c r="J1043" s="20">
        <f>SUM(J104:J254)</f>
        <v>264810</v>
      </c>
      <c r="K1043" s="20">
        <f>SUM(K104:K254)</f>
        <v>218280</v>
      </c>
      <c r="L1043" s="20">
        <f>SUM(L104:L254)</f>
        <v>1026318</v>
      </c>
      <c r="M1043" s="20">
        <f>SUM(M104:M254)</f>
        <v>906113</v>
      </c>
      <c r="N1043" s="20">
        <f>SUM(N104:N254)</f>
        <v>90955</v>
      </c>
      <c r="O1043" s="20">
        <f>SUM(O104:O254)</f>
        <v>75641</v>
      </c>
      <c r="P1043" s="13">
        <f t="shared" ref="P1043:Q1043" si="2107">J1043/H1043</f>
        <v>8.9687784497333847E-2</v>
      </c>
      <c r="Q1043" s="13">
        <f t="shared" si="2107"/>
        <v>8.0308696208846758E-2</v>
      </c>
      <c r="R1043" s="13">
        <f t="shared" si="2098"/>
        <v>9.3790882884870891E-3</v>
      </c>
      <c r="S1043" s="13">
        <f t="shared" ref="S1043:T1043" si="2108">N1043/L1043</f>
        <v>8.8622629633310537E-2</v>
      </c>
      <c r="T1043" s="13">
        <f t="shared" si="2108"/>
        <v>8.3478550688490291E-2</v>
      </c>
      <c r="U1043" s="13">
        <f t="shared" si="2100"/>
        <v>5.1440789448202462E-3</v>
      </c>
      <c r="V1043" s="13">
        <f t="shared" si="2101"/>
        <v>8.6299839735807016E-2</v>
      </c>
      <c r="W1043" s="13">
        <f t="shared" si="2102"/>
        <v>0.21316657504123149</v>
      </c>
      <c r="X1043" s="13">
        <f t="shared" si="2103"/>
        <v>0.13266005454065888</v>
      </c>
      <c r="Y1043" s="13">
        <f t="shared" si="2104"/>
        <v>0.20245633981570843</v>
      </c>
    </row>
    <row r="1044" spans="1:25" ht="14.4">
      <c r="A1044" s="128" t="s">
        <v>65</v>
      </c>
      <c r="B1044" s="99"/>
      <c r="C1044" s="98"/>
      <c r="D1044" s="101"/>
      <c r="E1044" s="11"/>
      <c r="F1044" s="20">
        <f ca="1">SUM(F255:F504)</f>
        <v>4065384.2166160974</v>
      </c>
      <c r="G1044" s="101"/>
      <c r="H1044" s="20">
        <f>SUM(H255:H504)</f>
        <v>1496448</v>
      </c>
      <c r="I1044" s="20">
        <f>SUM(I255:I504)</f>
        <v>1314051</v>
      </c>
      <c r="J1044" s="20">
        <f>SUM(J255:J504)</f>
        <v>120033</v>
      </c>
      <c r="K1044" s="20">
        <f>SUM(K255:K504)</f>
        <v>107896</v>
      </c>
      <c r="L1044" s="20">
        <f>SUM(L255:L504)</f>
        <v>507273</v>
      </c>
      <c r="M1044" s="20">
        <f>SUM(M255:M504)</f>
        <v>449320</v>
      </c>
      <c r="N1044" s="20">
        <f>SUM(N255:N504)</f>
        <v>38917.5</v>
      </c>
      <c r="O1044" s="20">
        <f>SUM(O255:O504)</f>
        <v>40393</v>
      </c>
      <c r="P1044" s="13">
        <f t="shared" ref="P1044:Q1044" si="2109">J1044/H1044</f>
        <v>8.0211941878367971E-2</v>
      </c>
      <c r="Q1044" s="13">
        <f t="shared" si="2109"/>
        <v>8.2109446284809345E-2</v>
      </c>
      <c r="R1044" s="13">
        <f t="shared" si="2098"/>
        <v>-1.8975044064413749E-3</v>
      </c>
      <c r="S1044" s="13">
        <f t="shared" ref="S1044:T1044" si="2110">N1044/L1044</f>
        <v>7.6719044774707104E-2</v>
      </c>
      <c r="T1044" s="13">
        <f t="shared" si="2110"/>
        <v>8.989806819193448E-2</v>
      </c>
      <c r="U1044" s="13">
        <f t="shared" si="2100"/>
        <v>-1.3179023417227376E-2</v>
      </c>
      <c r="V1044" s="13">
        <f t="shared" si="2101"/>
        <v>0.13880511486997071</v>
      </c>
      <c r="W1044" s="13">
        <f t="shared" si="2102"/>
        <v>0.11248795136056944</v>
      </c>
      <c r="X1044" s="13">
        <f t="shared" si="2103"/>
        <v>0.12897934656814747</v>
      </c>
      <c r="Y1044" s="13">
        <f t="shared" si="2104"/>
        <v>-3.6528606441710187E-2</v>
      </c>
    </row>
    <row r="1045" spans="1:25" ht="14.4">
      <c r="A1045" s="128" t="s">
        <v>66</v>
      </c>
      <c r="B1045" s="99"/>
      <c r="C1045" s="98"/>
      <c r="D1045" s="101"/>
      <c r="E1045" s="11"/>
      <c r="F1045" s="20">
        <f ca="1">SUM(F5:F502)</f>
        <v>37442837.521283463</v>
      </c>
      <c r="G1045" s="101"/>
      <c r="H1045" s="20">
        <f>SUM(H5:H502)</f>
        <v>13293524</v>
      </c>
      <c r="I1045" s="20">
        <f>SUM(I5:I502)</f>
        <v>12240985</v>
      </c>
      <c r="J1045" s="20">
        <f>SUM(J5:J502)</f>
        <v>1300865</v>
      </c>
      <c r="K1045" s="20">
        <f>SUM(K5:K502)</f>
        <v>1140977</v>
      </c>
      <c r="L1045" s="20">
        <f>SUM(L5:L502)</f>
        <v>4586625</v>
      </c>
      <c r="M1045" s="20">
        <f>SUM(M5:M502)</f>
        <v>4111272</v>
      </c>
      <c r="N1045" s="20">
        <f>SUM(N5:N502)</f>
        <v>446621.5</v>
      </c>
      <c r="O1045" s="20">
        <f>SUM(O5:O502)</f>
        <v>411525</v>
      </c>
      <c r="P1045" s="13">
        <f t="shared" ref="P1045:Q1045" si="2111">J1045/H1045</f>
        <v>9.7857046784584734E-2</v>
      </c>
      <c r="Q1045" s="13">
        <f t="shared" si="2111"/>
        <v>9.3209574229524833E-2</v>
      </c>
      <c r="R1045" s="13">
        <f t="shared" si="2098"/>
        <v>4.6474725550599005E-3</v>
      </c>
      <c r="S1045" s="13">
        <f t="shared" ref="S1045:T1045" si="2112">N1045/L1045</f>
        <v>9.7374758128253344E-2</v>
      </c>
      <c r="T1045" s="13">
        <f t="shared" si="2112"/>
        <v>0.10009675837551006</v>
      </c>
      <c r="U1045" s="13">
        <f t="shared" si="2100"/>
        <v>-2.7220002472567173E-3</v>
      </c>
      <c r="V1045" s="13">
        <f t="shared" si="2101"/>
        <v>8.5984828835261151E-2</v>
      </c>
      <c r="W1045" s="13">
        <f t="shared" si="2102"/>
        <v>0.14013253553752625</v>
      </c>
      <c r="X1045" s="13">
        <f t="shared" si="2103"/>
        <v>0.11562188052748645</v>
      </c>
      <c r="Y1045" s="13">
        <f t="shared" si="2104"/>
        <v>8.5284004616973386E-2</v>
      </c>
    </row>
    <row r="1046" spans="1:25" ht="14.4">
      <c r="A1046" s="128" t="s">
        <v>67</v>
      </c>
      <c r="B1046" s="99"/>
      <c r="C1046" s="98"/>
      <c r="D1046" s="101"/>
      <c r="E1046" s="11"/>
      <c r="F1046" s="20">
        <f ca="1">SUM(F503:F752)</f>
        <v>1626652.9661852994</v>
      </c>
      <c r="G1046" s="101"/>
      <c r="H1046" s="20">
        <f>SUM(H503:H752)</f>
        <v>1248081</v>
      </c>
      <c r="I1046" s="20">
        <f>SUM(I503:I752)</f>
        <v>882687</v>
      </c>
      <c r="J1046" s="20">
        <f>SUM(J503:J752)</f>
        <v>43814</v>
      </c>
      <c r="K1046" s="20">
        <f>SUM(K503:K752)</f>
        <v>47445</v>
      </c>
      <c r="L1046" s="20">
        <f>SUM(L503:L752)</f>
        <v>484533.33999999997</v>
      </c>
      <c r="M1046" s="20">
        <f>SUM(M503:M752)</f>
        <v>326255.25</v>
      </c>
      <c r="N1046" s="20">
        <f>SUM(N503:N752)</f>
        <v>13787.41</v>
      </c>
      <c r="O1046" s="20">
        <f>SUM(O503:O752)</f>
        <v>12266.029999999999</v>
      </c>
      <c r="P1046" s="13">
        <f t="shared" ref="P1046:Q1046" si="2113">J1046/H1046</f>
        <v>3.5105093339294485E-2</v>
      </c>
      <c r="Q1046" s="13">
        <f t="shared" si="2113"/>
        <v>5.3750650003908523E-2</v>
      </c>
      <c r="R1046" s="13">
        <f t="shared" si="2098"/>
        <v>-1.8645556664614038E-2</v>
      </c>
      <c r="S1046" s="13">
        <f t="shared" ref="S1046:T1046" si="2114">N1046/L1046</f>
        <v>2.8455028502269834E-2</v>
      </c>
      <c r="T1046" s="13">
        <f t="shared" si="2114"/>
        <v>3.7596421820032012E-2</v>
      </c>
      <c r="U1046" s="13">
        <f t="shared" si="2100"/>
        <v>-9.1413933177621788E-3</v>
      </c>
      <c r="V1046" s="13">
        <f t="shared" si="2101"/>
        <v>0.41395647607815689</v>
      </c>
      <c r="W1046" s="13">
        <f t="shared" si="2102"/>
        <v>-7.6530719780798839E-2</v>
      </c>
      <c r="X1046" s="13">
        <f t="shared" si="2103"/>
        <v>0.4851357640988152</v>
      </c>
      <c r="Y1046" s="13">
        <f t="shared" si="2104"/>
        <v>0.12403198100770996</v>
      </c>
    </row>
    <row r="1047" spans="1:25" ht="14.4">
      <c r="A1047" s="128" t="s">
        <v>68</v>
      </c>
      <c r="B1047" s="99"/>
      <c r="C1047" s="98"/>
      <c r="D1047" s="101"/>
      <c r="E1047" s="11"/>
      <c r="F1047" s="20">
        <f ca="1">SUM(F5:F1038)</f>
        <v>40288621.354898654</v>
      </c>
      <c r="G1047" s="101"/>
      <c r="H1047" s="20">
        <f>SUM(H5:H1038)</f>
        <v>15144086</v>
      </c>
      <c r="I1047" s="20">
        <f>SUM(I5:I1038)</f>
        <v>13664483</v>
      </c>
      <c r="J1047" s="20">
        <f>SUM(J5:J1038)</f>
        <v>1377917.44</v>
      </c>
      <c r="K1047" s="20">
        <f>SUM(K5:K1038)</f>
        <v>1217958.8000000003</v>
      </c>
      <c r="L1047" s="20">
        <f>SUM(L5:L1038)</f>
        <v>5276843.34</v>
      </c>
      <c r="M1047" s="20">
        <f>SUM(M5:M1038)</f>
        <v>4623422.25</v>
      </c>
      <c r="N1047" s="20">
        <f>SUM(N5:N1038)</f>
        <v>474968.64999999991</v>
      </c>
      <c r="O1047" s="20">
        <f>SUM(O5:O1038)</f>
        <v>429705.72</v>
      </c>
      <c r="P1047" s="13">
        <f t="shared" ref="P1047:Q1047" si="2115">J1047/H1047</f>
        <v>9.0987164230314055E-2</v>
      </c>
      <c r="Q1047" s="13">
        <f t="shared" si="2115"/>
        <v>8.9133178328078738E-2</v>
      </c>
      <c r="R1047" s="13">
        <f t="shared" si="2098"/>
        <v>1.8539859022353167E-3</v>
      </c>
      <c r="S1047" s="13">
        <f t="shared" ref="S1047:T1047" si="2116">N1047/L1047</f>
        <v>9.0009996393032948E-2</v>
      </c>
      <c r="T1047" s="13">
        <f t="shared" si="2116"/>
        <v>9.294105032262627E-2</v>
      </c>
      <c r="U1047" s="13">
        <f t="shared" si="2100"/>
        <v>-2.9310539295933219E-3</v>
      </c>
      <c r="V1047" s="13">
        <f t="shared" si="2101"/>
        <v>0.108280935327008</v>
      </c>
      <c r="W1047" s="13">
        <f t="shared" si="2102"/>
        <v>0.13133337515193433</v>
      </c>
      <c r="X1047" s="13">
        <f t="shared" si="2103"/>
        <v>0.1413284477748058</v>
      </c>
      <c r="Y1047" s="13">
        <f t="shared" si="2104"/>
        <v>0.10533471604706568</v>
      </c>
    </row>
    <row r="1048" spans="1:25" ht="14.4">
      <c r="A1048" s="128" t="s">
        <v>69</v>
      </c>
      <c r="B1048" s="99"/>
      <c r="C1048" s="98"/>
      <c r="D1048" s="101"/>
      <c r="E1048" s="11"/>
      <c r="F1048" s="20"/>
      <c r="G1048" s="101"/>
      <c r="H1048" s="20">
        <f>SUM(H11:H60)</f>
        <v>5621698</v>
      </c>
      <c r="I1048" s="20">
        <f>SUM(I11:I60)</f>
        <v>5194972</v>
      </c>
      <c r="J1048" s="20">
        <f>SUM(J11:J60)</f>
        <v>529588</v>
      </c>
      <c r="K1048" s="20">
        <f>SUM(K11:K60)</f>
        <v>461354</v>
      </c>
      <c r="L1048" s="20">
        <f>SUM(L11:L60)</f>
        <v>1974606</v>
      </c>
      <c r="M1048" s="20">
        <f>SUM(M11:M60)</f>
        <v>1735577</v>
      </c>
      <c r="N1048" s="20">
        <f>SUM(N11:N60)</f>
        <v>195497</v>
      </c>
      <c r="O1048" s="20">
        <f>SUM(O11:O60)</f>
        <v>156441</v>
      </c>
      <c r="P1048" s="13">
        <f t="shared" ref="P1048:Q1048" si="2117">J1048/H1048</f>
        <v>9.4204277782264367E-2</v>
      </c>
      <c r="Q1048" s="13">
        <f t="shared" si="2117"/>
        <v>8.8807793381754513E-2</v>
      </c>
      <c r="R1048" s="13">
        <f t="shared" si="2098"/>
        <v>5.3964844005098545E-3</v>
      </c>
      <c r="S1048" s="13">
        <f t="shared" ref="S1048:T1048" si="2118">N1048/L1048</f>
        <v>9.9005573770159713E-2</v>
      </c>
      <c r="T1048" s="13">
        <f t="shared" si="2118"/>
        <v>9.0137746697495996E-2</v>
      </c>
      <c r="U1048" s="13">
        <f t="shared" si="2100"/>
        <v>8.8678270726637171E-3</v>
      </c>
      <c r="V1048" s="13">
        <f t="shared" si="2101"/>
        <v>8.2142117416609706E-2</v>
      </c>
      <c r="W1048" s="13">
        <f t="shared" si="2102"/>
        <v>0.14789944381104325</v>
      </c>
      <c r="X1048" s="13">
        <f t="shared" si="2103"/>
        <v>0.13772307422834018</v>
      </c>
      <c r="Y1048" s="13">
        <f t="shared" si="2104"/>
        <v>0.24965322389910583</v>
      </c>
    </row>
    <row r="1049" spans="1:25" ht="14.4">
      <c r="A1049" s="90"/>
      <c r="B1049" s="93"/>
      <c r="C1049" s="90"/>
      <c r="E1049" s="21"/>
      <c r="F1049" s="103"/>
    </row>
    <row r="1050" spans="1:25" ht="14.4">
      <c r="A1050" s="90"/>
      <c r="B1050" s="93"/>
      <c r="C1050" s="90"/>
      <c r="E1050" s="21"/>
      <c r="F1050" s="103"/>
    </row>
    <row r="1051" spans="1:25" ht="14.4">
      <c r="A1051" s="90"/>
      <c r="B1051" s="93"/>
      <c r="C1051" s="90"/>
      <c r="E1051" s="21"/>
      <c r="F1051" s="103"/>
    </row>
    <row r="1052" spans="1:25" ht="14.4">
      <c r="A1052" s="90"/>
      <c r="B1052" s="93"/>
      <c r="C1052" s="90"/>
      <c r="E1052" s="21"/>
      <c r="F1052" s="103"/>
    </row>
    <row r="1053" spans="1:25" ht="14.4">
      <c r="A1053" s="90"/>
      <c r="B1053" s="93"/>
      <c r="C1053" s="90"/>
      <c r="E1053" s="21"/>
      <c r="F1053" s="103"/>
    </row>
    <row r="1054" spans="1:25" ht="14.4">
      <c r="A1054" s="90"/>
      <c r="B1054" s="93"/>
      <c r="C1054" s="90"/>
      <c r="E1054" s="21"/>
      <c r="F1054" s="103"/>
    </row>
    <row r="1055" spans="1:25" ht="14.4">
      <c r="A1055" s="90"/>
      <c r="B1055" s="93"/>
      <c r="C1055" s="90"/>
      <c r="E1055" s="21"/>
      <c r="F1055" s="103"/>
    </row>
    <row r="1056" spans="1:25" ht="14.4">
      <c r="A1056" s="90"/>
      <c r="B1056" s="93"/>
      <c r="C1056" s="90"/>
      <c r="E1056" s="21"/>
      <c r="F1056" s="103"/>
    </row>
    <row r="1057" spans="1:6" ht="14.4">
      <c r="A1057" s="90"/>
      <c r="B1057" s="93"/>
      <c r="C1057" s="90"/>
      <c r="E1057" s="21"/>
      <c r="F1057" s="103"/>
    </row>
    <row r="1058" spans="1:6" ht="14.4">
      <c r="A1058" s="90"/>
      <c r="B1058" s="93"/>
      <c r="C1058" s="90"/>
      <c r="E1058" s="21"/>
      <c r="F1058" s="103"/>
    </row>
    <row r="1059" spans="1:6" ht="14.4">
      <c r="A1059" s="90"/>
      <c r="B1059" s="93"/>
      <c r="C1059" s="90"/>
      <c r="E1059" s="21"/>
      <c r="F1059" s="103"/>
    </row>
    <row r="1060" spans="1:6" ht="14.4">
      <c r="A1060" s="90"/>
      <c r="B1060" s="93"/>
      <c r="C1060" s="90"/>
      <c r="E1060" s="21"/>
      <c r="F1060" s="103"/>
    </row>
    <row r="1061" spans="1:6" ht="14.4">
      <c r="A1061" s="90"/>
      <c r="B1061" s="93"/>
      <c r="C1061" s="90"/>
      <c r="E1061" s="21"/>
      <c r="F1061" s="103"/>
    </row>
    <row r="1062" spans="1:6" ht="14.4">
      <c r="A1062" s="90"/>
      <c r="B1062" s="93"/>
      <c r="C1062" s="90"/>
      <c r="E1062" s="21"/>
      <c r="F1062" s="103"/>
    </row>
    <row r="1063" spans="1:6" ht="14.4">
      <c r="A1063" s="90"/>
      <c r="B1063" s="93"/>
      <c r="C1063" s="90"/>
      <c r="E1063" s="21"/>
      <c r="F1063" s="103"/>
    </row>
    <row r="1064" spans="1:6" ht="14.4">
      <c r="A1064" s="90"/>
      <c r="B1064" s="93"/>
      <c r="C1064" s="90"/>
      <c r="E1064" s="21"/>
      <c r="F1064" s="103"/>
    </row>
    <row r="1065" spans="1:6" ht="14.4">
      <c r="A1065" s="90"/>
      <c r="B1065" s="93"/>
      <c r="C1065" s="90"/>
      <c r="E1065" s="21"/>
      <c r="F1065" s="103"/>
    </row>
    <row r="1066" spans="1:6" ht="14.4">
      <c r="A1066" s="90"/>
      <c r="B1066" s="93"/>
      <c r="C1066" s="90"/>
      <c r="E1066" s="21"/>
      <c r="F1066" s="103"/>
    </row>
    <row r="1067" spans="1:6" ht="14.4">
      <c r="A1067" s="90"/>
      <c r="B1067" s="93"/>
      <c r="C1067" s="90"/>
      <c r="E1067" s="21"/>
      <c r="F1067" s="103"/>
    </row>
    <row r="1068" spans="1:6" ht="14.4">
      <c r="A1068" s="90"/>
      <c r="B1068" s="93"/>
      <c r="C1068" s="90"/>
      <c r="E1068" s="21"/>
      <c r="F1068" s="103"/>
    </row>
    <row r="1069" spans="1:6" ht="14.4">
      <c r="A1069" s="90"/>
      <c r="B1069" s="93"/>
      <c r="C1069" s="90"/>
      <c r="E1069" s="21"/>
      <c r="F1069" s="103"/>
    </row>
    <row r="1070" spans="1:6" ht="14.4">
      <c r="A1070" s="90"/>
      <c r="B1070" s="93"/>
      <c r="C1070" s="90"/>
      <c r="E1070" s="21"/>
      <c r="F1070" s="103"/>
    </row>
    <row r="1071" spans="1:6" ht="14.4">
      <c r="A1071" s="90"/>
      <c r="B1071" s="93"/>
      <c r="C1071" s="90"/>
      <c r="E1071" s="21"/>
      <c r="F1071" s="103"/>
    </row>
    <row r="1072" spans="1:6" ht="14.4">
      <c r="A1072" s="90"/>
      <c r="B1072" s="93"/>
      <c r="C1072" s="90"/>
      <c r="E1072" s="21"/>
      <c r="F1072" s="103"/>
    </row>
    <row r="1073" spans="1:6" ht="14.4">
      <c r="A1073" s="90"/>
      <c r="B1073" s="93"/>
      <c r="C1073" s="90"/>
      <c r="E1073" s="21"/>
      <c r="F1073" s="103"/>
    </row>
    <row r="1074" spans="1:6" ht="14.4">
      <c r="A1074" s="90"/>
      <c r="B1074" s="93"/>
      <c r="C1074" s="90"/>
      <c r="E1074" s="21"/>
      <c r="F1074" s="103"/>
    </row>
    <row r="1075" spans="1:6" ht="14.4">
      <c r="A1075" s="90"/>
      <c r="B1075" s="93"/>
      <c r="C1075" s="90"/>
      <c r="E1075" s="21"/>
      <c r="F1075" s="103"/>
    </row>
    <row r="1076" spans="1:6" ht="14.4">
      <c r="A1076" s="90"/>
      <c r="B1076" s="93"/>
      <c r="C1076" s="90"/>
      <c r="E1076" s="21"/>
      <c r="F1076" s="103"/>
    </row>
    <row r="1077" spans="1:6" ht="14.4">
      <c r="A1077" s="90"/>
      <c r="B1077" s="93"/>
      <c r="C1077" s="90"/>
      <c r="E1077" s="21"/>
      <c r="F1077" s="103"/>
    </row>
    <row r="1078" spans="1:6" ht="14.4">
      <c r="A1078" s="90"/>
      <c r="B1078" s="93"/>
      <c r="C1078" s="90"/>
      <c r="E1078" s="21"/>
      <c r="F1078" s="103"/>
    </row>
    <row r="1079" spans="1:6" ht="14.4">
      <c r="A1079" s="90"/>
      <c r="B1079" s="93"/>
      <c r="C1079" s="90"/>
      <c r="E1079" s="21"/>
      <c r="F1079" s="103"/>
    </row>
    <row r="1080" spans="1:6" ht="14.4">
      <c r="A1080" s="90"/>
      <c r="B1080" s="93"/>
      <c r="C1080" s="90"/>
      <c r="E1080" s="21"/>
      <c r="F1080" s="103"/>
    </row>
    <row r="1081" spans="1:6" ht="14.4">
      <c r="A1081" s="90"/>
      <c r="B1081" s="93"/>
      <c r="C1081" s="90"/>
      <c r="E1081" s="21"/>
      <c r="F1081" s="103"/>
    </row>
    <row r="1082" spans="1:6" ht="14.4">
      <c r="A1082" s="90"/>
      <c r="B1082" s="93"/>
      <c r="C1082" s="90"/>
      <c r="E1082" s="21"/>
      <c r="F1082" s="103"/>
    </row>
    <row r="1083" spans="1:6" ht="14.4">
      <c r="A1083" s="90"/>
      <c r="B1083" s="93"/>
      <c r="C1083" s="90"/>
      <c r="E1083" s="21"/>
      <c r="F1083" s="103"/>
    </row>
    <row r="1084" spans="1:6" ht="14.4">
      <c r="A1084" s="90"/>
      <c r="B1084" s="93"/>
      <c r="C1084" s="90"/>
      <c r="E1084" s="21"/>
      <c r="F1084" s="103"/>
    </row>
    <row r="1085" spans="1:6" ht="14.4">
      <c r="A1085" s="90"/>
      <c r="B1085" s="93"/>
      <c r="C1085" s="90"/>
      <c r="E1085" s="21"/>
      <c r="F1085" s="103"/>
    </row>
    <row r="1086" spans="1:6" ht="14.4">
      <c r="A1086" s="90"/>
      <c r="B1086" s="93"/>
      <c r="C1086" s="90"/>
      <c r="E1086" s="21"/>
      <c r="F1086" s="103"/>
    </row>
    <row r="1087" spans="1:6" ht="14.4">
      <c r="A1087" s="90"/>
      <c r="B1087" s="93"/>
      <c r="C1087" s="90"/>
      <c r="E1087" s="21"/>
      <c r="F1087" s="103"/>
    </row>
    <row r="1088" spans="1:6" ht="14.4">
      <c r="A1088" s="90"/>
      <c r="B1088" s="93"/>
      <c r="C1088" s="90"/>
      <c r="E1088" s="21"/>
      <c r="F1088" s="103"/>
    </row>
    <row r="1089" spans="1:6" ht="14.4">
      <c r="A1089" s="90"/>
      <c r="B1089" s="93"/>
      <c r="C1089" s="90"/>
      <c r="E1089" s="21"/>
      <c r="F1089" s="103"/>
    </row>
    <row r="1090" spans="1:6" ht="14.4">
      <c r="A1090" s="90"/>
      <c r="B1090" s="93"/>
      <c r="C1090" s="90"/>
      <c r="E1090" s="21"/>
      <c r="F1090" s="103"/>
    </row>
    <row r="1091" spans="1:6" ht="14.4">
      <c r="A1091" s="90"/>
      <c r="B1091" s="93"/>
      <c r="C1091" s="90"/>
      <c r="E1091" s="21"/>
      <c r="F1091" s="103"/>
    </row>
    <row r="1092" spans="1:6" ht="14.4">
      <c r="A1092" s="90"/>
      <c r="B1092" s="93"/>
      <c r="C1092" s="90"/>
      <c r="E1092" s="21"/>
      <c r="F1092" s="103"/>
    </row>
    <row r="1093" spans="1:6" ht="14.4">
      <c r="A1093" s="90"/>
      <c r="B1093" s="93"/>
      <c r="C1093" s="90"/>
      <c r="E1093" s="21"/>
      <c r="F1093" s="103"/>
    </row>
    <row r="1094" spans="1:6" ht="14.4">
      <c r="A1094" s="90"/>
      <c r="B1094" s="93"/>
      <c r="C1094" s="90"/>
      <c r="E1094" s="21"/>
      <c r="F1094" s="103"/>
    </row>
    <row r="1095" spans="1:6" ht="14.4">
      <c r="A1095" s="90"/>
      <c r="B1095" s="93"/>
      <c r="C1095" s="90"/>
      <c r="E1095" s="21"/>
      <c r="F1095" s="103"/>
    </row>
    <row r="1096" spans="1:6" ht="14.4">
      <c r="A1096" s="90"/>
      <c r="B1096" s="93"/>
      <c r="C1096" s="90"/>
      <c r="E1096" s="21"/>
      <c r="F1096" s="103"/>
    </row>
    <row r="1097" spans="1:6" ht="14.4">
      <c r="A1097" s="90"/>
      <c r="B1097" s="93"/>
      <c r="C1097" s="90"/>
      <c r="E1097" s="21"/>
      <c r="F1097" s="103"/>
    </row>
    <row r="1098" spans="1:6" ht="14.4">
      <c r="A1098" s="90"/>
      <c r="B1098" s="93"/>
      <c r="C1098" s="90"/>
      <c r="E1098" s="21"/>
      <c r="F1098" s="103"/>
    </row>
    <row r="1099" spans="1:6" ht="14.4">
      <c r="A1099" s="90"/>
      <c r="B1099" s="93"/>
      <c r="C1099" s="90"/>
      <c r="E1099" s="21"/>
      <c r="F1099" s="103"/>
    </row>
    <row r="1100" spans="1:6" ht="14.4">
      <c r="A1100" s="90"/>
      <c r="B1100" s="93"/>
      <c r="C1100" s="90"/>
      <c r="E1100" s="21"/>
      <c r="F1100" s="103"/>
    </row>
    <row r="1101" spans="1:6" ht="14.4">
      <c r="A1101" s="90"/>
      <c r="B1101" s="93"/>
      <c r="C1101" s="90"/>
      <c r="E1101" s="21"/>
      <c r="F1101" s="103"/>
    </row>
    <row r="1102" spans="1:6" ht="14.4">
      <c r="A1102" s="90"/>
      <c r="B1102" s="93"/>
      <c r="C1102" s="90"/>
      <c r="E1102" s="21"/>
      <c r="F1102" s="103"/>
    </row>
    <row r="1103" spans="1:6" ht="14.4">
      <c r="A1103" s="90"/>
      <c r="B1103" s="93"/>
      <c r="C1103" s="90"/>
      <c r="E1103" s="21"/>
      <c r="F1103" s="103"/>
    </row>
    <row r="1104" spans="1:6" ht="14.4">
      <c r="A1104" s="90"/>
      <c r="B1104" s="93"/>
      <c r="C1104" s="90"/>
      <c r="E1104" s="21"/>
      <c r="F1104" s="103"/>
    </row>
    <row r="1105" spans="1:6" ht="14.4">
      <c r="A1105" s="90"/>
      <c r="B1105" s="93"/>
      <c r="C1105" s="90"/>
      <c r="E1105" s="21"/>
      <c r="F1105" s="103"/>
    </row>
    <row r="1106" spans="1:6" ht="14.4">
      <c r="A1106" s="90"/>
      <c r="B1106" s="93"/>
      <c r="C1106" s="90"/>
      <c r="E1106" s="21"/>
      <c r="F1106" s="103"/>
    </row>
    <row r="1107" spans="1:6" ht="14.4">
      <c r="A1107" s="90"/>
      <c r="B1107" s="93"/>
      <c r="C1107" s="90"/>
      <c r="E1107" s="21"/>
      <c r="F1107" s="103"/>
    </row>
    <row r="1108" spans="1:6" ht="14.4">
      <c r="A1108" s="90"/>
      <c r="B1108" s="93"/>
      <c r="C1108" s="90"/>
      <c r="E1108" s="21"/>
      <c r="F1108" s="103"/>
    </row>
    <row r="1109" spans="1:6" ht="14.4">
      <c r="A1109" s="90"/>
      <c r="B1109" s="93"/>
      <c r="C1109" s="90"/>
      <c r="E1109" s="21"/>
      <c r="F1109" s="103"/>
    </row>
    <row r="1110" spans="1:6" ht="14.4">
      <c r="A1110" s="90"/>
      <c r="B1110" s="93"/>
      <c r="C1110" s="90"/>
      <c r="E1110" s="21"/>
      <c r="F1110" s="103"/>
    </row>
    <row r="1111" spans="1:6" ht="14.4">
      <c r="A1111" s="90"/>
      <c r="B1111" s="93"/>
      <c r="C1111" s="90"/>
      <c r="E1111" s="21"/>
      <c r="F1111" s="103"/>
    </row>
    <row r="1112" spans="1:6" ht="14.4">
      <c r="A1112" s="90"/>
      <c r="B1112" s="93"/>
      <c r="C1112" s="90"/>
      <c r="E1112" s="21"/>
      <c r="F1112" s="103"/>
    </row>
    <row r="1113" spans="1:6" ht="14.4">
      <c r="A1113" s="90"/>
      <c r="B1113" s="93"/>
      <c r="C1113" s="90"/>
      <c r="E1113" s="21"/>
      <c r="F1113" s="103"/>
    </row>
    <row r="1114" spans="1:6" ht="14.4">
      <c r="A1114" s="90"/>
      <c r="B1114" s="93"/>
      <c r="C1114" s="90"/>
      <c r="E1114" s="21"/>
      <c r="F1114" s="103"/>
    </row>
    <row r="1115" spans="1:6" ht="14.4">
      <c r="A1115" s="90"/>
      <c r="B1115" s="93"/>
      <c r="C1115" s="90"/>
      <c r="E1115" s="21"/>
      <c r="F1115" s="103"/>
    </row>
    <row r="1116" spans="1:6" ht="14.4">
      <c r="A1116" s="90"/>
      <c r="B1116" s="93"/>
      <c r="C1116" s="90"/>
      <c r="E1116" s="21"/>
      <c r="F1116" s="103"/>
    </row>
    <row r="1117" spans="1:6" ht="14.4">
      <c r="A1117" s="90"/>
      <c r="B1117" s="93"/>
      <c r="C1117" s="90"/>
      <c r="E1117" s="21"/>
      <c r="F1117" s="103"/>
    </row>
    <row r="1118" spans="1:6" ht="14.4">
      <c r="A1118" s="90"/>
      <c r="B1118" s="93"/>
      <c r="C1118" s="90"/>
      <c r="E1118" s="21"/>
      <c r="F1118" s="103"/>
    </row>
    <row r="1119" spans="1:6" ht="14.4">
      <c r="A1119" s="90"/>
      <c r="B1119" s="93"/>
      <c r="C1119" s="90"/>
      <c r="E1119" s="21"/>
      <c r="F1119" s="103"/>
    </row>
    <row r="1120" spans="1:6" ht="14.4">
      <c r="A1120" s="90"/>
      <c r="B1120" s="93"/>
      <c r="C1120" s="90"/>
      <c r="E1120" s="21"/>
      <c r="F1120" s="103"/>
    </row>
    <row r="1121" spans="1:6" ht="14.4">
      <c r="A1121" s="90"/>
      <c r="B1121" s="93"/>
      <c r="C1121" s="90"/>
      <c r="E1121" s="21"/>
      <c r="F1121" s="103"/>
    </row>
    <row r="1122" spans="1:6" ht="14.4">
      <c r="A1122" s="90"/>
      <c r="B1122" s="93"/>
      <c r="C1122" s="90"/>
      <c r="E1122" s="21"/>
      <c r="F1122" s="103"/>
    </row>
    <row r="1123" spans="1:6" ht="14.4">
      <c r="A1123" s="90"/>
      <c r="B1123" s="93"/>
      <c r="C1123" s="90"/>
      <c r="E1123" s="21"/>
      <c r="F1123" s="103"/>
    </row>
    <row r="1124" spans="1:6" ht="14.4">
      <c r="A1124" s="90"/>
      <c r="B1124" s="93"/>
      <c r="C1124" s="90"/>
      <c r="E1124" s="21"/>
      <c r="F1124" s="103"/>
    </row>
    <row r="1125" spans="1:6" ht="14.4">
      <c r="A1125" s="90"/>
      <c r="B1125" s="93"/>
      <c r="C1125" s="90"/>
      <c r="E1125" s="21"/>
      <c r="F1125" s="103"/>
    </row>
    <row r="1126" spans="1:6" ht="14.4">
      <c r="A1126" s="90"/>
      <c r="B1126" s="93"/>
      <c r="C1126" s="90"/>
      <c r="E1126" s="21"/>
      <c r="F1126" s="103"/>
    </row>
    <row r="1127" spans="1:6" ht="14.4">
      <c r="A1127" s="90"/>
      <c r="B1127" s="93"/>
      <c r="C1127" s="90"/>
      <c r="E1127" s="21"/>
      <c r="F1127" s="103"/>
    </row>
    <row r="1128" spans="1:6" ht="14.4">
      <c r="A1128" s="90"/>
      <c r="B1128" s="93"/>
      <c r="C1128" s="90"/>
      <c r="E1128" s="21"/>
      <c r="F1128" s="103"/>
    </row>
    <row r="1129" spans="1:6" ht="14.4">
      <c r="A1129" s="90"/>
      <c r="B1129" s="93"/>
      <c r="C1129" s="90"/>
      <c r="E1129" s="21"/>
      <c r="F1129" s="103"/>
    </row>
    <row r="1130" spans="1:6" ht="14.4">
      <c r="A1130" s="90"/>
      <c r="B1130" s="93"/>
      <c r="C1130" s="90"/>
      <c r="E1130" s="21"/>
      <c r="F1130" s="103"/>
    </row>
    <row r="1131" spans="1:6" ht="14.4">
      <c r="A1131" s="90"/>
      <c r="B1131" s="93"/>
      <c r="C1131" s="90"/>
      <c r="E1131" s="21"/>
      <c r="F1131" s="103"/>
    </row>
    <row r="1132" spans="1:6" ht="14.4">
      <c r="A1132" s="90"/>
      <c r="B1132" s="93"/>
      <c r="C1132" s="90"/>
      <c r="E1132" s="21"/>
      <c r="F1132" s="103"/>
    </row>
    <row r="1133" spans="1:6" ht="14.4">
      <c r="A1133" s="90"/>
      <c r="B1133" s="93"/>
      <c r="C1133" s="90"/>
      <c r="E1133" s="21"/>
      <c r="F1133" s="103"/>
    </row>
    <row r="1134" spans="1:6" ht="14.4">
      <c r="A1134" s="90"/>
      <c r="B1134" s="93"/>
      <c r="C1134" s="90"/>
      <c r="E1134" s="21"/>
      <c r="F1134" s="103"/>
    </row>
    <row r="1135" spans="1:6" ht="14.4">
      <c r="A1135" s="90"/>
      <c r="B1135" s="93"/>
      <c r="C1135" s="90"/>
      <c r="E1135" s="21"/>
      <c r="F1135" s="103"/>
    </row>
    <row r="1136" spans="1:6" ht="14.4">
      <c r="A1136" s="90"/>
      <c r="B1136" s="93"/>
      <c r="C1136" s="90"/>
      <c r="E1136" s="21"/>
      <c r="F1136" s="103"/>
    </row>
    <row r="1137" spans="1:6" ht="14.4">
      <c r="A1137" s="90"/>
      <c r="B1137" s="93"/>
      <c r="C1137" s="90"/>
      <c r="E1137" s="21"/>
      <c r="F1137" s="103"/>
    </row>
    <row r="1138" spans="1:6" ht="14.4">
      <c r="A1138" s="90"/>
      <c r="B1138" s="93"/>
      <c r="C1138" s="90"/>
      <c r="E1138" s="21"/>
      <c r="F1138" s="103"/>
    </row>
    <row r="1139" spans="1:6" ht="14.4">
      <c r="A1139" s="90"/>
      <c r="B1139" s="93"/>
      <c r="C1139" s="90"/>
      <c r="E1139" s="21"/>
      <c r="F1139" s="103"/>
    </row>
    <row r="1140" spans="1:6" ht="14.4">
      <c r="A1140" s="90"/>
      <c r="B1140" s="93"/>
      <c r="C1140" s="90"/>
      <c r="E1140" s="21"/>
      <c r="F1140" s="103"/>
    </row>
    <row r="1141" spans="1:6" ht="14.4">
      <c r="A1141" s="90"/>
      <c r="B1141" s="93"/>
      <c r="C1141" s="90"/>
      <c r="E1141" s="21"/>
      <c r="F1141" s="103"/>
    </row>
    <row r="1142" spans="1:6" ht="14.4">
      <c r="A1142" s="90"/>
      <c r="B1142" s="93"/>
      <c r="C1142" s="90"/>
      <c r="E1142" s="21"/>
      <c r="F1142" s="103"/>
    </row>
    <row r="1143" spans="1:6" ht="14.4">
      <c r="A1143" s="90"/>
      <c r="B1143" s="93"/>
      <c r="C1143" s="90"/>
      <c r="E1143" s="21"/>
      <c r="F1143" s="103"/>
    </row>
    <row r="1144" spans="1:6" ht="14.4">
      <c r="A1144" s="90"/>
      <c r="B1144" s="93"/>
      <c r="C1144" s="90"/>
      <c r="E1144" s="21"/>
      <c r="F1144" s="103"/>
    </row>
    <row r="1145" spans="1:6" ht="14.4">
      <c r="A1145" s="90"/>
      <c r="B1145" s="93"/>
      <c r="C1145" s="90"/>
      <c r="E1145" s="21"/>
      <c r="F1145" s="103"/>
    </row>
    <row r="1146" spans="1:6" ht="14.4">
      <c r="A1146" s="90"/>
      <c r="B1146" s="93"/>
      <c r="C1146" s="90"/>
      <c r="E1146" s="21"/>
      <c r="F1146" s="103"/>
    </row>
    <row r="1147" spans="1:6" ht="14.4">
      <c r="A1147" s="90"/>
      <c r="B1147" s="93"/>
      <c r="C1147" s="90"/>
      <c r="E1147" s="21"/>
      <c r="F1147" s="103"/>
    </row>
    <row r="1148" spans="1:6" ht="14.4">
      <c r="A1148" s="90"/>
      <c r="B1148" s="93"/>
      <c r="C1148" s="90"/>
      <c r="E1148" s="21"/>
      <c r="F1148" s="103"/>
    </row>
    <row r="1149" spans="1:6" ht="14.4">
      <c r="A1149" s="90"/>
      <c r="B1149" s="93"/>
      <c r="C1149" s="90"/>
      <c r="E1149" s="21"/>
      <c r="F1149" s="103"/>
    </row>
    <row r="1150" spans="1:6" ht="14.4">
      <c r="A1150" s="90"/>
      <c r="B1150" s="93"/>
      <c r="C1150" s="90"/>
      <c r="E1150" s="21"/>
      <c r="F1150" s="103"/>
    </row>
    <row r="1151" spans="1:6" ht="14.4">
      <c r="A1151" s="90"/>
      <c r="B1151" s="93"/>
      <c r="C1151" s="90"/>
      <c r="E1151" s="21"/>
      <c r="F1151" s="103"/>
    </row>
    <row r="1152" spans="1:6" ht="14.4">
      <c r="A1152" s="90"/>
      <c r="B1152" s="93"/>
      <c r="C1152" s="90"/>
      <c r="E1152" s="21"/>
      <c r="F1152" s="103"/>
    </row>
    <row r="1153" spans="1:6" ht="14.4">
      <c r="A1153" s="90"/>
      <c r="B1153" s="93"/>
      <c r="C1153" s="90"/>
      <c r="E1153" s="21"/>
      <c r="F1153" s="103"/>
    </row>
    <row r="1154" spans="1:6" ht="14.4">
      <c r="A1154" s="90"/>
      <c r="B1154" s="93"/>
      <c r="C1154" s="90"/>
      <c r="E1154" s="21"/>
      <c r="F1154" s="103"/>
    </row>
    <row r="1155" spans="1:6" ht="14.4">
      <c r="A1155" s="90"/>
      <c r="B1155" s="93"/>
      <c r="C1155" s="90"/>
      <c r="E1155" s="21"/>
      <c r="F1155" s="103"/>
    </row>
    <row r="1156" spans="1:6" ht="14.4">
      <c r="A1156" s="90"/>
      <c r="B1156" s="93"/>
      <c r="C1156" s="90"/>
      <c r="E1156" s="21"/>
      <c r="F1156" s="103"/>
    </row>
    <row r="1157" spans="1:6" ht="14.4">
      <c r="A1157" s="90"/>
      <c r="B1157" s="93"/>
      <c r="C1157" s="90"/>
      <c r="E1157" s="21"/>
      <c r="F1157" s="103"/>
    </row>
    <row r="1158" spans="1:6" ht="14.4">
      <c r="A1158" s="90"/>
      <c r="B1158" s="93"/>
      <c r="C1158" s="90"/>
      <c r="E1158" s="21"/>
      <c r="F1158" s="103"/>
    </row>
    <row r="1159" spans="1:6" ht="14.4">
      <c r="A1159" s="90"/>
      <c r="B1159" s="93"/>
      <c r="C1159" s="90"/>
      <c r="E1159" s="21"/>
      <c r="F1159" s="103"/>
    </row>
    <row r="1160" spans="1:6" ht="14.4">
      <c r="A1160" s="90"/>
      <c r="B1160" s="93"/>
      <c r="C1160" s="90"/>
      <c r="E1160" s="21"/>
      <c r="F1160" s="103"/>
    </row>
    <row r="1161" spans="1:6" ht="14.4">
      <c r="A1161" s="90"/>
      <c r="B1161" s="93"/>
      <c r="C1161" s="90"/>
      <c r="E1161" s="21"/>
      <c r="F1161" s="103"/>
    </row>
    <row r="1162" spans="1:6" ht="14.4">
      <c r="A1162" s="90"/>
      <c r="B1162" s="93"/>
      <c r="C1162" s="90"/>
      <c r="E1162" s="21"/>
      <c r="F1162" s="103"/>
    </row>
    <row r="1163" spans="1:6" ht="14.4">
      <c r="A1163" s="90"/>
      <c r="B1163" s="93"/>
      <c r="C1163" s="90"/>
      <c r="E1163" s="21"/>
      <c r="F1163" s="103"/>
    </row>
    <row r="1164" spans="1:6" ht="14.4">
      <c r="A1164" s="90"/>
      <c r="B1164" s="93"/>
      <c r="C1164" s="90"/>
      <c r="E1164" s="21"/>
      <c r="F1164" s="103"/>
    </row>
    <row r="1165" spans="1:6" ht="14.4">
      <c r="A1165" s="90"/>
      <c r="B1165" s="93"/>
      <c r="C1165" s="90"/>
      <c r="E1165" s="21"/>
      <c r="F1165" s="103"/>
    </row>
    <row r="1166" spans="1:6" ht="14.4">
      <c r="A1166" s="90"/>
      <c r="B1166" s="93"/>
      <c r="C1166" s="90"/>
      <c r="E1166" s="21"/>
      <c r="F1166" s="103"/>
    </row>
    <row r="1167" spans="1:6" ht="14.4">
      <c r="A1167" s="90"/>
      <c r="B1167" s="93"/>
      <c r="C1167" s="90"/>
      <c r="E1167" s="21"/>
      <c r="F1167" s="103"/>
    </row>
    <row r="1168" spans="1:6" ht="14.4">
      <c r="A1168" s="90"/>
      <c r="B1168" s="93"/>
      <c r="C1168" s="90"/>
      <c r="E1168" s="21"/>
      <c r="F1168" s="103"/>
    </row>
    <row r="1169" spans="1:6" ht="14.4">
      <c r="A1169" s="90"/>
      <c r="B1169" s="93"/>
      <c r="C1169" s="90"/>
      <c r="E1169" s="21"/>
      <c r="F1169" s="103"/>
    </row>
    <row r="1170" spans="1:6" ht="14.4">
      <c r="A1170" s="90"/>
      <c r="B1170" s="93"/>
      <c r="C1170" s="90"/>
      <c r="E1170" s="21"/>
      <c r="F1170" s="103"/>
    </row>
    <row r="1171" spans="1:6" ht="14.4">
      <c r="A1171" s="90"/>
      <c r="B1171" s="93"/>
      <c r="C1171" s="90"/>
      <c r="E1171" s="21"/>
      <c r="F1171" s="103"/>
    </row>
    <row r="1172" spans="1:6" ht="14.4">
      <c r="A1172" s="90"/>
      <c r="B1172" s="93"/>
      <c r="C1172" s="90"/>
      <c r="E1172" s="21"/>
      <c r="F1172" s="103"/>
    </row>
    <row r="1173" spans="1:6" ht="14.4">
      <c r="A1173" s="90"/>
      <c r="B1173" s="93"/>
      <c r="C1173" s="90"/>
      <c r="E1173" s="21"/>
      <c r="F1173" s="103"/>
    </row>
    <row r="1174" spans="1:6" ht="14.4">
      <c r="A1174" s="90"/>
      <c r="B1174" s="93"/>
      <c r="C1174" s="90"/>
      <c r="E1174" s="21"/>
      <c r="F1174" s="103"/>
    </row>
    <row r="1175" spans="1:6" ht="14.4">
      <c r="A1175" s="90"/>
      <c r="B1175" s="93"/>
      <c r="C1175" s="90"/>
      <c r="E1175" s="21"/>
      <c r="F1175" s="103"/>
    </row>
    <row r="1176" spans="1:6" ht="14.4">
      <c r="A1176" s="90"/>
      <c r="B1176" s="93"/>
      <c r="C1176" s="90"/>
      <c r="E1176" s="21"/>
      <c r="F1176" s="103"/>
    </row>
    <row r="1177" spans="1:6" ht="14.4">
      <c r="A1177" s="90"/>
      <c r="B1177" s="93"/>
      <c r="C1177" s="90"/>
      <c r="E1177" s="21"/>
      <c r="F1177" s="103"/>
    </row>
    <row r="1178" spans="1:6" ht="14.4">
      <c r="A1178" s="90"/>
      <c r="B1178" s="93"/>
      <c r="C1178" s="90"/>
      <c r="E1178" s="21"/>
      <c r="F1178" s="103"/>
    </row>
    <row r="1179" spans="1:6" ht="14.4">
      <c r="A1179" s="90"/>
      <c r="B1179" s="93"/>
      <c r="C1179" s="90"/>
      <c r="E1179" s="21"/>
      <c r="F1179" s="103"/>
    </row>
    <row r="1180" spans="1:6" ht="14.4">
      <c r="A1180" s="90"/>
      <c r="B1180" s="93"/>
      <c r="C1180" s="90"/>
      <c r="E1180" s="21"/>
      <c r="F1180" s="103"/>
    </row>
    <row r="1181" spans="1:6" ht="14.4">
      <c r="A1181" s="90"/>
      <c r="B1181" s="93"/>
      <c r="C1181" s="90"/>
      <c r="E1181" s="21"/>
      <c r="F1181" s="103"/>
    </row>
    <row r="1182" spans="1:6" ht="14.4">
      <c r="A1182" s="90"/>
      <c r="B1182" s="93"/>
      <c r="C1182" s="90"/>
      <c r="E1182" s="21"/>
      <c r="F1182" s="103"/>
    </row>
    <row r="1183" spans="1:6" ht="14.4">
      <c r="A1183" s="90"/>
      <c r="B1183" s="93"/>
      <c r="C1183" s="90"/>
      <c r="E1183" s="21"/>
      <c r="F1183" s="103"/>
    </row>
    <row r="1184" spans="1:6" ht="14.4">
      <c r="A1184" s="90"/>
      <c r="B1184" s="93"/>
      <c r="C1184" s="90"/>
      <c r="E1184" s="21"/>
      <c r="F1184" s="103"/>
    </row>
    <row r="1185" spans="1:6" ht="14.4">
      <c r="A1185" s="90"/>
      <c r="B1185" s="93"/>
      <c r="C1185" s="90"/>
      <c r="E1185" s="21"/>
      <c r="F1185" s="103"/>
    </row>
    <row r="1186" spans="1:6" ht="14.4">
      <c r="A1186" s="90"/>
      <c r="B1186" s="93"/>
      <c r="C1186" s="90"/>
      <c r="E1186" s="21"/>
      <c r="F1186" s="103"/>
    </row>
    <row r="1187" spans="1:6" ht="14.4">
      <c r="A1187" s="90"/>
      <c r="B1187" s="93"/>
      <c r="C1187" s="90"/>
      <c r="E1187" s="21"/>
      <c r="F1187" s="103"/>
    </row>
    <row r="1188" spans="1:6" ht="14.4">
      <c r="A1188" s="90"/>
      <c r="B1188" s="93"/>
      <c r="C1188" s="90"/>
      <c r="E1188" s="21"/>
      <c r="F1188" s="103"/>
    </row>
    <row r="1189" spans="1:6" ht="14.4">
      <c r="A1189" s="90"/>
      <c r="B1189" s="93"/>
      <c r="C1189" s="90"/>
      <c r="E1189" s="21"/>
      <c r="F1189" s="103"/>
    </row>
    <row r="1190" spans="1:6" ht="14.4">
      <c r="A1190" s="90"/>
      <c r="B1190" s="93"/>
      <c r="C1190" s="90"/>
      <c r="E1190" s="21"/>
      <c r="F1190" s="103"/>
    </row>
    <row r="1191" spans="1:6" ht="14.4">
      <c r="A1191" s="90"/>
      <c r="B1191" s="93"/>
      <c r="C1191" s="90"/>
      <c r="E1191" s="21"/>
      <c r="F1191" s="103"/>
    </row>
    <row r="1192" spans="1:6" ht="14.4">
      <c r="A1192" s="90"/>
      <c r="B1192" s="93"/>
      <c r="C1192" s="90"/>
      <c r="E1192" s="21"/>
      <c r="F1192" s="103"/>
    </row>
    <row r="1193" spans="1:6" ht="14.4">
      <c r="A1193" s="90"/>
      <c r="B1193" s="93"/>
      <c r="C1193" s="90"/>
      <c r="E1193" s="21"/>
      <c r="F1193" s="103"/>
    </row>
    <row r="1194" spans="1:6" ht="14.4">
      <c r="A1194" s="90"/>
      <c r="B1194" s="93"/>
      <c r="C1194" s="90"/>
      <c r="E1194" s="21"/>
      <c r="F1194" s="103"/>
    </row>
    <row r="1195" spans="1:6" ht="14.4">
      <c r="A1195" s="90"/>
      <c r="B1195" s="93"/>
      <c r="C1195" s="90"/>
      <c r="E1195" s="21"/>
      <c r="F1195" s="103"/>
    </row>
    <row r="1196" spans="1:6" ht="14.4">
      <c r="A1196" s="90"/>
      <c r="B1196" s="93"/>
      <c r="C1196" s="90"/>
      <c r="E1196" s="21"/>
      <c r="F1196" s="103"/>
    </row>
    <row r="1197" spans="1:6" ht="14.4">
      <c r="A1197" s="90"/>
      <c r="B1197" s="93"/>
      <c r="C1197" s="90"/>
      <c r="E1197" s="21"/>
      <c r="F1197" s="103"/>
    </row>
    <row r="1198" spans="1:6" ht="14.4">
      <c r="A1198" s="90"/>
      <c r="B1198" s="93"/>
      <c r="C1198" s="90"/>
      <c r="E1198" s="21"/>
      <c r="F1198" s="103"/>
    </row>
    <row r="1199" spans="1:6" ht="14.4">
      <c r="A1199" s="90"/>
      <c r="B1199" s="93"/>
      <c r="C1199" s="90"/>
      <c r="E1199" s="21"/>
      <c r="F1199" s="103"/>
    </row>
    <row r="1200" spans="1:6" ht="14.4">
      <c r="A1200" s="90"/>
      <c r="B1200" s="93"/>
      <c r="C1200" s="90"/>
      <c r="E1200" s="21"/>
      <c r="F1200" s="103"/>
    </row>
    <row r="1201" spans="1:6" ht="14.4">
      <c r="A1201" s="90"/>
      <c r="B1201" s="93"/>
      <c r="C1201" s="90"/>
      <c r="E1201" s="21"/>
      <c r="F1201" s="103"/>
    </row>
    <row r="1202" spans="1:6" ht="14.4">
      <c r="A1202" s="90"/>
      <c r="B1202" s="93"/>
      <c r="C1202" s="90"/>
      <c r="E1202" s="21"/>
      <c r="F1202" s="103"/>
    </row>
    <row r="1203" spans="1:6" ht="14.4">
      <c r="A1203" s="90"/>
      <c r="B1203" s="93"/>
      <c r="C1203" s="90"/>
      <c r="E1203" s="21"/>
      <c r="F1203" s="103"/>
    </row>
    <row r="1204" spans="1:6" ht="14.4">
      <c r="A1204" s="90"/>
      <c r="B1204" s="93"/>
      <c r="C1204" s="90"/>
      <c r="E1204" s="21"/>
      <c r="F1204" s="103"/>
    </row>
    <row r="1205" spans="1:6" ht="14.4">
      <c r="A1205" s="90"/>
      <c r="B1205" s="93"/>
      <c r="C1205" s="90"/>
      <c r="E1205" s="21"/>
      <c r="F1205" s="103"/>
    </row>
    <row r="1206" spans="1:6" ht="14.4">
      <c r="A1206" s="90"/>
      <c r="B1206" s="93"/>
      <c r="C1206" s="90"/>
      <c r="E1206" s="21"/>
      <c r="F1206" s="103"/>
    </row>
    <row r="1207" spans="1:6" ht="14.4">
      <c r="A1207" s="90"/>
      <c r="B1207" s="93"/>
      <c r="C1207" s="90"/>
      <c r="E1207" s="21"/>
      <c r="F1207" s="103"/>
    </row>
    <row r="1208" spans="1:6" ht="14.4">
      <c r="A1208" s="90"/>
      <c r="B1208" s="93"/>
      <c r="C1208" s="90"/>
      <c r="E1208" s="21"/>
      <c r="F1208" s="103"/>
    </row>
    <row r="1209" spans="1:6" ht="14.4">
      <c r="A1209" s="90"/>
      <c r="B1209" s="93"/>
      <c r="C1209" s="90"/>
      <c r="E1209" s="21"/>
      <c r="F1209" s="103"/>
    </row>
    <row r="1210" spans="1:6" ht="14.4">
      <c r="A1210" s="90"/>
      <c r="B1210" s="93"/>
      <c r="C1210" s="90"/>
      <c r="E1210" s="21"/>
      <c r="F1210" s="103"/>
    </row>
    <row r="1211" spans="1:6" ht="14.4">
      <c r="A1211" s="90"/>
      <c r="B1211" s="93"/>
      <c r="C1211" s="90"/>
      <c r="E1211" s="21"/>
      <c r="F1211" s="103"/>
    </row>
    <row r="1212" spans="1:6" ht="14.4">
      <c r="A1212" s="90"/>
      <c r="B1212" s="93"/>
      <c r="C1212" s="90"/>
      <c r="E1212" s="21"/>
      <c r="F1212" s="103"/>
    </row>
    <row r="1213" spans="1:6" ht="14.4">
      <c r="A1213" s="90"/>
      <c r="B1213" s="93"/>
      <c r="C1213" s="90"/>
      <c r="E1213" s="21"/>
      <c r="F1213" s="103"/>
    </row>
    <row r="1214" spans="1:6" ht="14.4">
      <c r="A1214" s="90"/>
      <c r="B1214" s="93"/>
      <c r="C1214" s="90"/>
      <c r="E1214" s="21"/>
      <c r="F1214" s="103"/>
    </row>
    <row r="1215" spans="1:6" ht="14.4">
      <c r="A1215" s="90"/>
      <c r="B1215" s="93"/>
      <c r="C1215" s="90"/>
      <c r="E1215" s="21"/>
      <c r="F1215" s="103"/>
    </row>
    <row r="1216" spans="1:6" ht="14.4">
      <c r="A1216" s="90"/>
      <c r="B1216" s="93"/>
      <c r="C1216" s="90"/>
      <c r="E1216" s="21"/>
      <c r="F1216" s="103"/>
    </row>
    <row r="1217" spans="1:6" ht="14.4">
      <c r="A1217" s="90"/>
      <c r="B1217" s="93"/>
      <c r="C1217" s="90"/>
      <c r="E1217" s="21"/>
      <c r="F1217" s="103"/>
    </row>
    <row r="1218" spans="1:6" ht="14.4">
      <c r="A1218" s="90"/>
      <c r="B1218" s="93"/>
      <c r="C1218" s="90"/>
      <c r="E1218" s="21"/>
      <c r="F1218" s="103"/>
    </row>
    <row r="1219" spans="1:6" ht="14.4">
      <c r="A1219" s="90"/>
      <c r="B1219" s="93"/>
      <c r="C1219" s="90"/>
      <c r="E1219" s="21"/>
      <c r="F1219" s="103"/>
    </row>
    <row r="1220" spans="1:6" ht="14.4">
      <c r="A1220" s="90"/>
      <c r="B1220" s="93"/>
      <c r="C1220" s="90"/>
      <c r="E1220" s="21"/>
      <c r="F1220" s="103"/>
    </row>
    <row r="1221" spans="1:6" ht="14.4">
      <c r="A1221" s="90"/>
      <c r="B1221" s="93"/>
      <c r="C1221" s="90"/>
      <c r="E1221" s="21"/>
      <c r="F1221" s="103"/>
    </row>
    <row r="1222" spans="1:6" ht="14.4">
      <c r="A1222" s="90"/>
      <c r="B1222" s="93"/>
      <c r="C1222" s="90"/>
      <c r="E1222" s="21"/>
      <c r="F1222" s="103"/>
    </row>
    <row r="1223" spans="1:6" ht="14.4">
      <c r="A1223" s="90"/>
      <c r="B1223" s="93"/>
      <c r="C1223" s="90"/>
      <c r="E1223" s="21"/>
      <c r="F1223" s="103"/>
    </row>
    <row r="1224" spans="1:6" ht="14.4">
      <c r="A1224" s="90"/>
      <c r="B1224" s="93"/>
      <c r="C1224" s="90"/>
      <c r="E1224" s="21"/>
      <c r="F1224" s="103"/>
    </row>
    <row r="1225" spans="1:6" ht="14.4">
      <c r="A1225" s="90"/>
      <c r="B1225" s="93"/>
      <c r="C1225" s="90"/>
      <c r="E1225" s="21"/>
      <c r="F1225" s="103"/>
    </row>
    <row r="1226" spans="1:6" ht="14.4">
      <c r="A1226" s="90"/>
      <c r="B1226" s="93"/>
      <c r="C1226" s="90"/>
      <c r="E1226" s="21"/>
      <c r="F1226" s="103"/>
    </row>
    <row r="1227" spans="1:6" ht="14.4">
      <c r="A1227" s="90"/>
      <c r="B1227" s="93"/>
      <c r="C1227" s="90"/>
      <c r="E1227" s="21"/>
      <c r="F1227" s="103"/>
    </row>
    <row r="1228" spans="1:6" ht="14.4">
      <c r="A1228" s="90"/>
      <c r="B1228" s="93"/>
      <c r="C1228" s="90"/>
      <c r="E1228" s="21"/>
      <c r="F1228" s="103"/>
    </row>
    <row r="1229" spans="1:6" ht="14.4">
      <c r="A1229" s="90"/>
      <c r="B1229" s="93"/>
      <c r="C1229" s="90"/>
      <c r="E1229" s="21"/>
      <c r="F1229" s="103"/>
    </row>
    <row r="1230" spans="1:6" ht="14.4">
      <c r="A1230" s="90"/>
      <c r="B1230" s="93"/>
      <c r="C1230" s="90"/>
      <c r="E1230" s="21"/>
      <c r="F1230" s="103"/>
    </row>
    <row r="1231" spans="1:6" ht="14.4">
      <c r="A1231" s="90"/>
      <c r="B1231" s="93"/>
      <c r="C1231" s="90"/>
      <c r="E1231" s="21"/>
      <c r="F1231" s="103"/>
    </row>
    <row r="1232" spans="1:6" ht="14.4">
      <c r="A1232" s="90"/>
      <c r="B1232" s="93"/>
      <c r="C1232" s="90"/>
      <c r="E1232" s="21"/>
      <c r="F1232" s="103"/>
    </row>
    <row r="1233" spans="1:6" ht="14.4">
      <c r="A1233" s="90"/>
      <c r="B1233" s="93"/>
      <c r="C1233" s="90"/>
      <c r="E1233" s="21"/>
      <c r="F1233" s="103"/>
    </row>
    <row r="1234" spans="1:6" ht="14.4">
      <c r="A1234" s="90"/>
      <c r="B1234" s="93"/>
      <c r="C1234" s="90"/>
      <c r="E1234" s="21"/>
      <c r="F1234" s="103"/>
    </row>
    <row r="1235" spans="1:6" ht="14.4">
      <c r="A1235" s="90"/>
      <c r="B1235" s="93"/>
      <c r="C1235" s="90"/>
      <c r="E1235" s="21"/>
      <c r="F1235" s="103"/>
    </row>
    <row r="1236" spans="1:6" ht="14.4">
      <c r="A1236" s="90"/>
      <c r="B1236" s="93"/>
      <c r="C1236" s="90"/>
      <c r="E1236" s="21"/>
      <c r="F1236" s="103"/>
    </row>
    <row r="1237" spans="1:6" ht="14.4">
      <c r="A1237" s="90"/>
      <c r="B1237" s="93"/>
      <c r="C1237" s="90"/>
      <c r="E1237" s="21"/>
      <c r="F1237" s="103"/>
    </row>
    <row r="1238" spans="1:6" ht="14.4">
      <c r="A1238" s="90"/>
      <c r="B1238" s="93"/>
      <c r="C1238" s="90"/>
      <c r="E1238" s="21"/>
      <c r="F1238" s="103"/>
    </row>
    <row r="1239" spans="1:6" ht="14.4">
      <c r="A1239" s="90"/>
      <c r="B1239" s="93"/>
      <c r="C1239" s="90"/>
      <c r="E1239" s="21"/>
      <c r="F1239" s="103"/>
    </row>
    <row r="1240" spans="1:6" ht="14.4">
      <c r="A1240" s="90"/>
      <c r="B1240" s="93"/>
      <c r="C1240" s="90"/>
      <c r="E1240" s="21"/>
      <c r="F1240" s="103"/>
    </row>
    <row r="1241" spans="1:6" ht="14.4">
      <c r="A1241" s="90"/>
      <c r="B1241" s="93"/>
      <c r="C1241" s="90"/>
      <c r="E1241" s="21"/>
      <c r="F1241" s="103"/>
    </row>
    <row r="1242" spans="1:6" ht="14.4">
      <c r="A1242" s="90"/>
      <c r="B1242" s="93"/>
      <c r="C1242" s="90"/>
      <c r="E1242" s="21"/>
      <c r="F1242" s="103"/>
    </row>
    <row r="1243" spans="1:6" ht="14.4">
      <c r="A1243" s="90"/>
      <c r="B1243" s="93"/>
      <c r="C1243" s="90"/>
      <c r="E1243" s="21"/>
      <c r="F1243" s="103"/>
    </row>
    <row r="1244" spans="1:6" ht="14.4">
      <c r="A1244" s="90"/>
      <c r="B1244" s="93"/>
      <c r="C1244" s="90"/>
      <c r="E1244" s="21"/>
      <c r="F1244" s="103"/>
    </row>
    <row r="1245" spans="1:6" ht="14.4">
      <c r="A1245" s="90"/>
      <c r="B1245" s="93"/>
      <c r="C1245" s="90"/>
      <c r="E1245" s="21"/>
      <c r="F1245" s="103"/>
    </row>
    <row r="1246" spans="1:6" ht="14.4">
      <c r="A1246" s="90"/>
      <c r="B1246" s="93"/>
      <c r="C1246" s="90"/>
      <c r="E1246" s="21"/>
      <c r="F1246" s="103"/>
    </row>
    <row r="1247" spans="1:6" ht="14.4">
      <c r="A1247" s="90"/>
      <c r="B1247" s="93"/>
      <c r="C1247" s="90"/>
      <c r="E1247" s="21"/>
      <c r="F1247" s="103"/>
    </row>
    <row r="1248" spans="1:6" ht="14.4">
      <c r="A1248" s="90"/>
      <c r="B1248" s="93"/>
      <c r="C1248" s="90"/>
      <c r="E1248" s="21"/>
      <c r="F1248" s="103"/>
    </row>
    <row r="1249" spans="1:6" ht="14.4">
      <c r="A1249" s="90"/>
      <c r="B1249" s="93"/>
      <c r="C1249" s="90"/>
      <c r="E1249" s="21"/>
      <c r="F1249" s="103"/>
    </row>
    <row r="1250" spans="1:6" ht="14.4">
      <c r="A1250" s="90"/>
      <c r="B1250" s="93"/>
      <c r="C1250" s="90"/>
      <c r="E1250" s="21"/>
      <c r="F1250" s="103"/>
    </row>
    <row r="1251" spans="1:6" ht="14.4">
      <c r="A1251" s="90"/>
      <c r="B1251" s="93"/>
      <c r="C1251" s="90"/>
      <c r="E1251" s="21"/>
      <c r="F1251" s="103"/>
    </row>
    <row r="1252" spans="1:6" ht="14.4">
      <c r="A1252" s="90"/>
      <c r="B1252" s="93"/>
      <c r="C1252" s="90"/>
      <c r="E1252" s="21"/>
      <c r="F1252" s="103"/>
    </row>
    <row r="1253" spans="1:6" ht="14.4">
      <c r="A1253" s="90"/>
      <c r="B1253" s="93"/>
      <c r="C1253" s="90"/>
      <c r="E1253" s="21"/>
      <c r="F1253" s="103"/>
    </row>
    <row r="1254" spans="1:6" ht="14.4">
      <c r="A1254" s="90"/>
      <c r="B1254" s="93"/>
      <c r="C1254" s="90"/>
      <c r="E1254" s="21"/>
      <c r="F1254" s="103"/>
    </row>
    <row r="1255" spans="1:6" ht="14.4">
      <c r="A1255" s="90"/>
      <c r="B1255" s="93"/>
      <c r="C1255" s="90"/>
      <c r="E1255" s="21"/>
      <c r="F1255" s="103"/>
    </row>
    <row r="1256" spans="1:6" ht="14.4">
      <c r="A1256" s="90"/>
      <c r="B1256" s="93"/>
      <c r="C1256" s="90"/>
      <c r="E1256" s="21"/>
      <c r="F1256" s="103"/>
    </row>
    <row r="1257" spans="1:6" ht="14.4">
      <c r="A1257" s="90"/>
      <c r="B1257" s="93"/>
      <c r="C1257" s="90"/>
      <c r="E1257" s="21"/>
      <c r="F1257" s="103"/>
    </row>
    <row r="1258" spans="1:6" ht="14.4">
      <c r="A1258" s="90"/>
      <c r="B1258" s="93"/>
      <c r="C1258" s="90"/>
      <c r="E1258" s="21"/>
      <c r="F1258" s="103"/>
    </row>
    <row r="1259" spans="1:6" ht="14.4">
      <c r="A1259" s="90"/>
      <c r="B1259" s="93"/>
      <c r="C1259" s="90"/>
      <c r="E1259" s="21"/>
      <c r="F1259" s="103"/>
    </row>
    <row r="1260" spans="1:6" ht="14.4">
      <c r="A1260" s="90"/>
      <c r="B1260" s="93"/>
      <c r="C1260" s="90"/>
      <c r="E1260" s="21"/>
      <c r="F1260" s="103"/>
    </row>
    <row r="1261" spans="1:6" ht="14.4">
      <c r="A1261" s="90"/>
      <c r="B1261" s="93"/>
      <c r="C1261" s="90"/>
      <c r="E1261" s="21"/>
      <c r="F1261" s="103"/>
    </row>
    <row r="1262" spans="1:6" ht="14.4">
      <c r="A1262" s="90"/>
      <c r="B1262" s="93"/>
      <c r="C1262" s="90"/>
      <c r="E1262" s="21"/>
      <c r="F1262" s="103"/>
    </row>
    <row r="1263" spans="1:6" ht="14.4">
      <c r="A1263" s="90"/>
      <c r="B1263" s="93"/>
      <c r="C1263" s="90"/>
      <c r="E1263" s="21"/>
      <c r="F1263" s="103"/>
    </row>
    <row r="1264" spans="1:6" ht="14.4">
      <c r="A1264" s="90"/>
      <c r="B1264" s="93"/>
      <c r="C1264" s="90"/>
      <c r="E1264" s="21"/>
      <c r="F1264" s="103"/>
    </row>
    <row r="1265" spans="1:6" ht="14.4">
      <c r="A1265" s="90"/>
      <c r="B1265" s="93"/>
      <c r="C1265" s="90"/>
      <c r="E1265" s="21"/>
      <c r="F1265" s="103"/>
    </row>
    <row r="1266" spans="1:6" ht="14.4">
      <c r="A1266" s="90"/>
      <c r="B1266" s="93"/>
      <c r="C1266" s="90"/>
      <c r="E1266" s="21"/>
      <c r="F1266" s="103"/>
    </row>
    <row r="1267" spans="1:6" ht="14.4">
      <c r="A1267" s="90"/>
      <c r="B1267" s="93"/>
      <c r="C1267" s="90"/>
      <c r="E1267" s="21"/>
      <c r="F1267" s="103"/>
    </row>
    <row r="1268" spans="1:6" ht="14.4">
      <c r="A1268" s="90"/>
      <c r="B1268" s="93"/>
      <c r="C1268" s="90"/>
      <c r="E1268" s="21"/>
      <c r="F1268" s="103"/>
    </row>
    <row r="1269" spans="1:6" ht="14.4">
      <c r="A1269" s="90"/>
      <c r="B1269" s="93"/>
      <c r="C1269" s="90"/>
      <c r="E1269" s="21"/>
      <c r="F1269" s="103"/>
    </row>
    <row r="1270" spans="1:6" ht="14.4">
      <c r="A1270" s="90"/>
      <c r="B1270" s="93"/>
      <c r="C1270" s="90"/>
      <c r="E1270" s="21"/>
      <c r="F1270" s="103"/>
    </row>
    <row r="1271" spans="1:6" ht="14.4">
      <c r="A1271" s="90"/>
      <c r="B1271" s="93"/>
      <c r="C1271" s="90"/>
      <c r="E1271" s="21"/>
      <c r="F1271" s="103"/>
    </row>
    <row r="1272" spans="1:6" ht="14.4">
      <c r="A1272" s="90"/>
      <c r="B1272" s="93"/>
      <c r="C1272" s="90"/>
      <c r="E1272" s="21"/>
      <c r="F1272" s="103"/>
    </row>
    <row r="1273" spans="1:6" ht="14.4">
      <c r="A1273" s="90"/>
      <c r="B1273" s="93"/>
      <c r="C1273" s="90"/>
      <c r="E1273" s="21"/>
      <c r="F1273" s="103"/>
    </row>
    <row r="1274" spans="1:6" ht="14.4">
      <c r="A1274" s="90"/>
      <c r="B1274" s="93"/>
      <c r="C1274" s="90"/>
      <c r="E1274" s="21"/>
      <c r="F1274" s="103"/>
    </row>
    <row r="1275" spans="1:6" ht="14.4">
      <c r="A1275" s="90"/>
      <c r="B1275" s="93"/>
      <c r="C1275" s="90"/>
      <c r="E1275" s="21"/>
      <c r="F1275" s="103"/>
    </row>
    <row r="1276" spans="1:6" ht="14.4">
      <c r="A1276" s="90"/>
      <c r="B1276" s="93"/>
      <c r="C1276" s="90"/>
      <c r="E1276" s="21"/>
      <c r="F1276" s="103"/>
    </row>
    <row r="1277" spans="1:6" ht="14.4">
      <c r="A1277" s="90"/>
      <c r="B1277" s="93"/>
      <c r="C1277" s="90"/>
      <c r="E1277" s="21"/>
      <c r="F1277" s="103"/>
    </row>
    <row r="1278" spans="1:6" ht="14.4">
      <c r="A1278" s="90"/>
      <c r="B1278" s="93"/>
      <c r="C1278" s="90"/>
      <c r="E1278" s="21"/>
      <c r="F1278" s="103"/>
    </row>
    <row r="1279" spans="1:6" ht="14.4">
      <c r="A1279" s="90"/>
      <c r="B1279" s="93"/>
      <c r="C1279" s="90"/>
      <c r="E1279" s="21"/>
      <c r="F1279" s="103"/>
    </row>
    <row r="1280" spans="1:6" ht="14.4">
      <c r="A1280" s="90"/>
      <c r="B1280" s="93"/>
      <c r="C1280" s="90"/>
      <c r="E1280" s="21"/>
      <c r="F1280" s="103"/>
    </row>
    <row r="1281" spans="1:6" ht="14.4">
      <c r="A1281" s="90"/>
      <c r="B1281" s="93"/>
      <c r="C1281" s="90"/>
      <c r="E1281" s="21"/>
      <c r="F1281" s="103"/>
    </row>
    <row r="1282" spans="1:6" ht="14.4">
      <c r="A1282" s="90"/>
      <c r="B1282" s="93"/>
      <c r="C1282" s="90"/>
      <c r="E1282" s="21"/>
      <c r="F1282" s="103"/>
    </row>
    <row r="1283" spans="1:6" ht="14.4">
      <c r="A1283" s="90"/>
      <c r="B1283" s="93"/>
      <c r="C1283" s="90"/>
      <c r="E1283" s="21"/>
      <c r="F1283" s="103"/>
    </row>
    <row r="1284" spans="1:6" ht="14.4">
      <c r="A1284" s="90"/>
      <c r="B1284" s="93"/>
      <c r="C1284" s="90"/>
      <c r="E1284" s="21"/>
      <c r="F1284" s="103"/>
    </row>
    <row r="1285" spans="1:6" ht="14.4">
      <c r="A1285" s="90"/>
      <c r="B1285" s="93"/>
      <c r="C1285" s="90"/>
      <c r="E1285" s="21"/>
      <c r="F1285" s="103"/>
    </row>
    <row r="1286" spans="1:6" ht="14.4">
      <c r="A1286" s="90"/>
      <c r="B1286" s="93"/>
      <c r="C1286" s="90"/>
      <c r="E1286" s="21"/>
      <c r="F1286" s="103"/>
    </row>
    <row r="1287" spans="1:6" ht="14.4">
      <c r="A1287" s="90"/>
      <c r="B1287" s="93"/>
      <c r="C1287" s="90"/>
      <c r="E1287" s="21"/>
      <c r="F1287" s="103"/>
    </row>
    <row r="1288" spans="1:6" ht="14.4">
      <c r="A1288" s="90"/>
      <c r="B1288" s="93"/>
      <c r="C1288" s="90"/>
      <c r="E1288" s="21"/>
      <c r="F1288" s="103"/>
    </row>
    <row r="1289" spans="1:6" ht="14.4">
      <c r="A1289" s="90"/>
      <c r="B1289" s="93"/>
      <c r="C1289" s="90"/>
      <c r="E1289" s="21"/>
      <c r="F1289" s="103"/>
    </row>
    <row r="1290" spans="1:6" ht="14.4">
      <c r="A1290" s="90"/>
      <c r="B1290" s="93"/>
      <c r="C1290" s="90"/>
      <c r="E1290" s="21"/>
      <c r="F1290" s="103"/>
    </row>
    <row r="1291" spans="1:6" ht="14.4">
      <c r="A1291" s="90"/>
      <c r="B1291" s="93"/>
      <c r="C1291" s="90"/>
      <c r="E1291" s="21"/>
      <c r="F1291" s="103"/>
    </row>
    <row r="1292" spans="1:6" ht="14.4">
      <c r="A1292" s="90"/>
      <c r="B1292" s="93"/>
      <c r="C1292" s="90"/>
      <c r="E1292" s="21"/>
      <c r="F1292" s="103"/>
    </row>
    <row r="1293" spans="1:6" ht="14.4">
      <c r="A1293" s="90"/>
      <c r="B1293" s="93"/>
      <c r="C1293" s="90"/>
      <c r="E1293" s="21"/>
      <c r="F1293" s="103"/>
    </row>
    <row r="1294" spans="1:6" ht="14.4">
      <c r="A1294" s="90"/>
      <c r="B1294" s="93"/>
      <c r="C1294" s="90"/>
      <c r="E1294" s="21"/>
      <c r="F1294" s="103"/>
    </row>
    <row r="1295" spans="1:6" ht="14.4">
      <c r="A1295" s="90"/>
      <c r="B1295" s="93"/>
      <c r="C1295" s="90"/>
      <c r="E1295" s="21"/>
      <c r="F1295" s="103"/>
    </row>
    <row r="1296" spans="1:6" ht="14.4">
      <c r="A1296" s="90"/>
      <c r="B1296" s="93"/>
      <c r="C1296" s="90"/>
      <c r="E1296" s="21"/>
      <c r="F1296" s="103"/>
    </row>
    <row r="1297" spans="1:6" ht="14.4">
      <c r="A1297" s="90"/>
      <c r="B1297" s="93"/>
      <c r="C1297" s="90"/>
      <c r="E1297" s="21"/>
      <c r="F1297" s="103"/>
    </row>
    <row r="1298" spans="1:6" ht="14.4">
      <c r="A1298" s="90"/>
      <c r="B1298" s="93"/>
      <c r="C1298" s="90"/>
      <c r="E1298" s="21"/>
      <c r="F1298" s="103"/>
    </row>
    <row r="1299" spans="1:6" ht="14.4">
      <c r="A1299" s="90"/>
      <c r="B1299" s="93"/>
      <c r="C1299" s="90"/>
      <c r="E1299" s="21"/>
      <c r="F1299" s="103"/>
    </row>
    <row r="1300" spans="1:6" ht="14.4">
      <c r="A1300" s="90"/>
      <c r="B1300" s="93"/>
      <c r="C1300" s="90"/>
      <c r="E1300" s="21"/>
      <c r="F1300" s="103"/>
    </row>
    <row r="1301" spans="1:6" ht="14.4">
      <c r="A1301" s="90"/>
      <c r="B1301" s="93"/>
      <c r="C1301" s="90"/>
      <c r="E1301" s="21"/>
      <c r="F1301" s="103"/>
    </row>
    <row r="1302" spans="1:6" ht="14.4">
      <c r="A1302" s="90"/>
      <c r="B1302" s="93"/>
      <c r="C1302" s="90"/>
      <c r="E1302" s="21"/>
      <c r="F1302" s="103"/>
    </row>
    <row r="1303" spans="1:6" ht="14.4">
      <c r="A1303" s="90"/>
      <c r="B1303" s="93"/>
      <c r="C1303" s="90"/>
      <c r="E1303" s="21"/>
      <c r="F1303" s="103"/>
    </row>
    <row r="1304" spans="1:6" ht="14.4">
      <c r="A1304" s="90"/>
      <c r="B1304" s="93"/>
      <c r="C1304" s="90"/>
      <c r="E1304" s="21"/>
      <c r="F1304" s="103"/>
    </row>
    <row r="1305" spans="1:6" ht="14.4">
      <c r="A1305" s="90"/>
      <c r="B1305" s="93"/>
      <c r="C1305" s="90"/>
      <c r="E1305" s="21"/>
      <c r="F1305" s="103"/>
    </row>
    <row r="1306" spans="1:6" ht="14.4">
      <c r="A1306" s="90"/>
      <c r="B1306" s="93"/>
      <c r="C1306" s="90"/>
      <c r="E1306" s="21"/>
      <c r="F1306" s="103"/>
    </row>
    <row r="1307" spans="1:6" ht="14.4">
      <c r="A1307" s="90"/>
      <c r="B1307" s="93"/>
      <c r="C1307" s="90"/>
      <c r="E1307" s="21"/>
      <c r="F1307" s="103"/>
    </row>
    <row r="1308" spans="1:6" ht="14.4">
      <c r="A1308" s="90"/>
      <c r="B1308" s="93"/>
      <c r="C1308" s="90"/>
      <c r="E1308" s="21"/>
      <c r="F1308" s="103"/>
    </row>
    <row r="1309" spans="1:6" ht="14.4">
      <c r="A1309" s="90"/>
      <c r="B1309" s="93"/>
      <c r="C1309" s="90"/>
      <c r="E1309" s="21"/>
      <c r="F1309" s="103"/>
    </row>
    <row r="1310" spans="1:6" ht="14.4">
      <c r="A1310" s="90"/>
      <c r="B1310" s="93"/>
      <c r="C1310" s="90"/>
      <c r="E1310" s="21"/>
      <c r="F1310" s="103"/>
    </row>
    <row r="1311" spans="1:6" ht="14.4">
      <c r="A1311" s="90"/>
      <c r="B1311" s="93"/>
      <c r="C1311" s="90"/>
      <c r="E1311" s="21"/>
      <c r="F1311" s="103"/>
    </row>
    <row r="1312" spans="1:6" ht="14.4">
      <c r="A1312" s="90"/>
      <c r="B1312" s="93"/>
      <c r="C1312" s="90"/>
      <c r="E1312" s="21"/>
      <c r="F1312" s="103"/>
    </row>
    <row r="1313" spans="1:6" ht="14.4">
      <c r="A1313" s="90"/>
      <c r="B1313" s="93"/>
      <c r="C1313" s="90"/>
      <c r="E1313" s="21"/>
      <c r="F1313" s="103"/>
    </row>
    <row r="1314" spans="1:6" ht="14.4">
      <c r="A1314" s="90"/>
      <c r="B1314" s="93"/>
      <c r="C1314" s="90"/>
      <c r="E1314" s="21"/>
      <c r="F1314" s="103"/>
    </row>
    <row r="1315" spans="1:6" ht="14.4">
      <c r="A1315" s="90"/>
      <c r="B1315" s="93"/>
      <c r="C1315" s="90"/>
      <c r="E1315" s="21"/>
      <c r="F1315" s="103"/>
    </row>
    <row r="1316" spans="1:6" ht="14.4">
      <c r="A1316" s="90"/>
      <c r="B1316" s="93"/>
      <c r="C1316" s="90"/>
      <c r="E1316" s="21"/>
      <c r="F1316" s="103"/>
    </row>
    <row r="1317" spans="1:6" ht="14.4">
      <c r="A1317" s="90"/>
      <c r="B1317" s="93"/>
      <c r="C1317" s="90"/>
      <c r="E1317" s="21"/>
      <c r="F1317" s="103"/>
    </row>
    <row r="1318" spans="1:6" ht="14.4">
      <c r="A1318" s="90"/>
      <c r="B1318" s="93"/>
      <c r="C1318" s="90"/>
      <c r="E1318" s="21"/>
      <c r="F1318" s="103"/>
    </row>
    <row r="1319" spans="1:6" ht="14.4">
      <c r="A1319" s="90"/>
      <c r="B1319" s="93"/>
      <c r="C1319" s="90"/>
      <c r="E1319" s="21"/>
      <c r="F1319" s="103"/>
    </row>
    <row r="1320" spans="1:6" ht="14.4">
      <c r="A1320" s="90"/>
      <c r="B1320" s="93"/>
      <c r="C1320" s="90"/>
      <c r="E1320" s="21"/>
      <c r="F1320" s="103"/>
    </row>
    <row r="1321" spans="1:6" ht="14.4">
      <c r="A1321" s="90"/>
      <c r="B1321" s="93"/>
      <c r="C1321" s="90"/>
      <c r="E1321" s="21"/>
      <c r="F1321" s="103"/>
    </row>
    <row r="1322" spans="1:6" ht="14.4">
      <c r="A1322" s="90"/>
      <c r="B1322" s="93"/>
      <c r="C1322" s="90"/>
      <c r="E1322" s="21"/>
      <c r="F1322" s="103"/>
    </row>
    <row r="1323" spans="1:6" ht="14.4">
      <c r="A1323" s="90"/>
      <c r="B1323" s="93"/>
      <c r="C1323" s="90"/>
      <c r="E1323" s="21"/>
      <c r="F1323" s="103"/>
    </row>
    <row r="1324" spans="1:6" ht="14.4">
      <c r="A1324" s="90"/>
      <c r="B1324" s="93"/>
      <c r="C1324" s="90"/>
      <c r="E1324" s="21"/>
      <c r="F1324" s="103"/>
    </row>
    <row r="1325" spans="1:6" ht="14.4">
      <c r="A1325" s="90"/>
      <c r="B1325" s="93"/>
      <c r="C1325" s="90"/>
      <c r="E1325" s="21"/>
      <c r="F1325" s="103"/>
    </row>
    <row r="1326" spans="1:6" ht="14.4">
      <c r="A1326" s="90"/>
      <c r="B1326" s="93"/>
      <c r="C1326" s="90"/>
      <c r="E1326" s="21"/>
      <c r="F1326" s="103"/>
    </row>
    <row r="1327" spans="1:6" ht="14.4">
      <c r="A1327" s="90"/>
      <c r="B1327" s="93"/>
      <c r="C1327" s="90"/>
      <c r="E1327" s="21"/>
      <c r="F1327" s="103"/>
    </row>
    <row r="1328" spans="1:6" ht="14.4">
      <c r="A1328" s="90"/>
      <c r="B1328" s="93"/>
      <c r="C1328" s="90"/>
      <c r="E1328" s="21"/>
      <c r="F1328" s="103"/>
    </row>
    <row r="1329" spans="1:6" ht="14.4">
      <c r="A1329" s="90"/>
      <c r="B1329" s="93"/>
      <c r="C1329" s="90"/>
      <c r="E1329" s="21"/>
      <c r="F1329" s="103"/>
    </row>
    <row r="1330" spans="1:6" ht="14.4">
      <c r="A1330" s="90"/>
      <c r="B1330" s="93"/>
      <c r="C1330" s="90"/>
      <c r="E1330" s="21"/>
      <c r="F1330" s="103"/>
    </row>
    <row r="1331" spans="1:6" ht="14.4">
      <c r="A1331" s="90"/>
      <c r="B1331" s="93"/>
      <c r="C1331" s="90"/>
      <c r="E1331" s="21"/>
      <c r="F1331" s="103"/>
    </row>
    <row r="1332" spans="1:6" ht="14.4">
      <c r="A1332" s="90"/>
      <c r="B1332" s="93"/>
      <c r="C1332" s="90"/>
      <c r="E1332" s="21"/>
      <c r="F1332" s="103"/>
    </row>
    <row r="1333" spans="1:6" ht="14.4">
      <c r="A1333" s="90"/>
      <c r="B1333" s="93"/>
      <c r="C1333" s="90"/>
      <c r="E1333" s="21"/>
      <c r="F1333" s="103"/>
    </row>
    <row r="1334" spans="1:6" ht="14.4">
      <c r="A1334" s="90"/>
      <c r="B1334" s="93"/>
      <c r="C1334" s="90"/>
      <c r="E1334" s="21"/>
      <c r="F1334" s="103"/>
    </row>
    <row r="1335" spans="1:6" ht="14.4">
      <c r="A1335" s="90"/>
      <c r="B1335" s="93"/>
      <c r="C1335" s="90"/>
      <c r="E1335" s="21"/>
      <c r="F1335" s="103"/>
    </row>
    <row r="1336" spans="1:6" ht="14.4">
      <c r="A1336" s="90"/>
      <c r="B1336" s="93"/>
      <c r="C1336" s="90"/>
      <c r="E1336" s="21"/>
      <c r="F1336" s="103"/>
    </row>
    <row r="1337" spans="1:6" ht="14.4">
      <c r="A1337" s="90"/>
      <c r="B1337" s="93"/>
      <c r="C1337" s="90"/>
      <c r="E1337" s="21"/>
      <c r="F1337" s="103"/>
    </row>
    <row r="1338" spans="1:6" ht="14.4">
      <c r="A1338" s="90"/>
      <c r="B1338" s="93"/>
      <c r="C1338" s="90"/>
      <c r="E1338" s="21"/>
      <c r="F1338" s="103"/>
    </row>
    <row r="1339" spans="1:6" ht="14.4">
      <c r="A1339" s="90"/>
      <c r="B1339" s="93"/>
      <c r="C1339" s="90"/>
      <c r="E1339" s="21"/>
      <c r="F1339" s="103"/>
    </row>
    <row r="1340" spans="1:6" ht="14.4">
      <c r="A1340" s="90"/>
      <c r="B1340" s="93"/>
      <c r="C1340" s="90"/>
      <c r="E1340" s="21"/>
      <c r="F1340" s="103"/>
    </row>
    <row r="1341" spans="1:6" ht="14.4">
      <c r="A1341" s="90"/>
      <c r="B1341" s="93"/>
      <c r="C1341" s="90"/>
      <c r="E1341" s="21"/>
      <c r="F1341" s="103"/>
    </row>
    <row r="1342" spans="1:6" ht="14.4">
      <c r="A1342" s="90"/>
      <c r="B1342" s="93"/>
      <c r="C1342" s="90"/>
      <c r="E1342" s="21"/>
      <c r="F1342" s="103"/>
    </row>
    <row r="1343" spans="1:6" ht="14.4">
      <c r="A1343" s="90"/>
      <c r="B1343" s="93"/>
      <c r="C1343" s="90"/>
      <c r="E1343" s="21"/>
      <c r="F1343" s="103"/>
    </row>
    <row r="1344" spans="1:6" ht="14.4">
      <c r="A1344" s="90"/>
      <c r="B1344" s="93"/>
      <c r="C1344" s="90"/>
      <c r="E1344" s="21"/>
      <c r="F1344" s="103"/>
    </row>
    <row r="1345" spans="1:6" ht="14.4">
      <c r="A1345" s="90"/>
      <c r="B1345" s="93"/>
      <c r="C1345" s="90"/>
      <c r="E1345" s="21"/>
      <c r="F1345" s="103"/>
    </row>
    <row r="1346" spans="1:6" ht="14.4">
      <c r="A1346" s="90"/>
      <c r="B1346" s="93"/>
      <c r="C1346" s="90"/>
      <c r="E1346" s="21"/>
      <c r="F1346" s="103"/>
    </row>
    <row r="1347" spans="1:6" ht="14.4">
      <c r="A1347" s="90"/>
      <c r="B1347" s="93"/>
      <c r="C1347" s="90"/>
      <c r="E1347" s="21"/>
      <c r="F1347" s="103"/>
    </row>
    <row r="1348" spans="1:6" ht="14.4">
      <c r="A1348" s="90"/>
      <c r="B1348" s="93"/>
      <c r="C1348" s="90"/>
      <c r="E1348" s="21"/>
      <c r="F1348" s="103"/>
    </row>
    <row r="1349" spans="1:6" ht="14.4">
      <c r="A1349" s="90"/>
      <c r="B1349" s="93"/>
      <c r="C1349" s="90"/>
      <c r="E1349" s="21"/>
      <c r="F1349" s="103"/>
    </row>
    <row r="1350" spans="1:6" ht="14.4">
      <c r="A1350" s="90"/>
      <c r="B1350" s="93"/>
      <c r="C1350" s="90"/>
      <c r="E1350" s="21"/>
      <c r="F1350" s="103"/>
    </row>
    <row r="1351" spans="1:6" ht="14.4">
      <c r="A1351" s="90"/>
      <c r="B1351" s="93"/>
      <c r="C1351" s="90"/>
      <c r="E1351" s="21"/>
      <c r="F1351" s="103"/>
    </row>
    <row r="1352" spans="1:6" ht="14.4">
      <c r="A1352" s="90"/>
      <c r="B1352" s="93"/>
      <c r="C1352" s="90"/>
      <c r="E1352" s="21"/>
      <c r="F1352" s="103"/>
    </row>
    <row r="1353" spans="1:6" ht="14.4">
      <c r="A1353" s="90"/>
      <c r="B1353" s="93"/>
      <c r="C1353" s="90"/>
      <c r="E1353" s="21"/>
      <c r="F1353" s="103"/>
    </row>
    <row r="1354" spans="1:6" ht="14.4">
      <c r="A1354" s="90"/>
      <c r="B1354" s="93"/>
      <c r="C1354" s="90"/>
      <c r="E1354" s="21"/>
      <c r="F1354" s="103"/>
    </row>
    <row r="1355" spans="1:6" ht="14.4">
      <c r="A1355" s="90"/>
      <c r="B1355" s="93"/>
      <c r="C1355" s="90"/>
      <c r="E1355" s="21"/>
      <c r="F1355" s="103"/>
    </row>
    <row r="1356" spans="1:6" ht="14.4">
      <c r="A1356" s="90"/>
      <c r="B1356" s="93"/>
      <c r="C1356" s="90"/>
      <c r="E1356" s="21"/>
      <c r="F1356" s="103"/>
    </row>
    <row r="1357" spans="1:6" ht="14.4">
      <c r="A1357" s="90"/>
      <c r="B1357" s="93"/>
      <c r="C1357" s="90"/>
      <c r="E1357" s="21"/>
      <c r="F1357" s="103"/>
    </row>
    <row r="1358" spans="1:6" ht="14.4">
      <c r="A1358" s="90"/>
      <c r="B1358" s="93"/>
      <c r="C1358" s="90"/>
      <c r="E1358" s="21"/>
      <c r="F1358" s="103"/>
    </row>
    <row r="1359" spans="1:6" ht="14.4">
      <c r="A1359" s="90"/>
      <c r="B1359" s="93"/>
      <c r="C1359" s="90"/>
      <c r="E1359" s="21"/>
      <c r="F1359" s="103"/>
    </row>
    <row r="1360" spans="1:6" ht="14.4">
      <c r="A1360" s="90"/>
      <c r="B1360" s="93"/>
      <c r="C1360" s="90"/>
      <c r="E1360" s="21"/>
      <c r="F1360" s="103"/>
    </row>
    <row r="1361" spans="1:6" ht="14.4">
      <c r="A1361" s="90"/>
      <c r="B1361" s="93"/>
      <c r="C1361" s="90"/>
      <c r="E1361" s="21"/>
      <c r="F1361" s="103"/>
    </row>
    <row r="1362" spans="1:6" ht="14.4">
      <c r="A1362" s="90"/>
      <c r="B1362" s="93"/>
      <c r="C1362" s="90"/>
      <c r="E1362" s="21"/>
      <c r="F1362" s="103"/>
    </row>
    <row r="1363" spans="1:6" ht="14.4">
      <c r="A1363" s="90"/>
      <c r="B1363" s="93"/>
      <c r="C1363" s="90"/>
      <c r="E1363" s="21"/>
      <c r="F1363" s="103"/>
    </row>
    <row r="1364" spans="1:6" ht="14.4">
      <c r="A1364" s="90"/>
      <c r="B1364" s="93"/>
      <c r="C1364" s="90"/>
      <c r="E1364" s="21"/>
      <c r="F1364" s="103"/>
    </row>
    <row r="1365" spans="1:6" ht="14.4">
      <c r="A1365" s="90"/>
      <c r="B1365" s="93"/>
      <c r="C1365" s="90"/>
      <c r="E1365" s="21"/>
      <c r="F1365" s="103"/>
    </row>
    <row r="1366" spans="1:6" ht="14.4">
      <c r="A1366" s="90"/>
      <c r="B1366" s="93"/>
      <c r="C1366" s="90"/>
      <c r="E1366" s="21"/>
      <c r="F1366" s="103"/>
    </row>
    <row r="1367" spans="1:6" ht="14.4">
      <c r="A1367" s="90"/>
      <c r="B1367" s="93"/>
      <c r="C1367" s="90"/>
      <c r="E1367" s="21"/>
      <c r="F1367" s="103"/>
    </row>
    <row r="1368" spans="1:6" ht="14.4">
      <c r="A1368" s="90"/>
      <c r="B1368" s="93"/>
      <c r="C1368" s="90"/>
      <c r="E1368" s="21"/>
      <c r="F1368" s="103"/>
    </row>
    <row r="1369" spans="1:6" ht="14.4">
      <c r="A1369" s="90"/>
      <c r="B1369" s="93"/>
      <c r="C1369" s="90"/>
      <c r="F1369" s="94"/>
    </row>
    <row r="1370" spans="1:6" ht="14.4">
      <c r="A1370" s="90"/>
      <c r="B1370" s="93"/>
      <c r="C1370" s="90"/>
      <c r="E1370" s="21"/>
      <c r="F1370" s="103"/>
    </row>
    <row r="1371" spans="1:6" ht="14.4">
      <c r="A1371" s="90"/>
      <c r="B1371" s="93"/>
      <c r="C1371" s="90"/>
      <c r="E1371" s="21"/>
      <c r="F1371" s="103"/>
    </row>
    <row r="1372" spans="1:6" ht="14.4">
      <c r="A1372" s="90"/>
      <c r="B1372" s="93"/>
      <c r="C1372" s="90"/>
      <c r="E1372" s="21"/>
      <c r="F1372" s="103"/>
    </row>
    <row r="1373" spans="1:6" ht="14.4">
      <c r="A1373" s="90"/>
      <c r="B1373" s="93"/>
      <c r="C1373" s="90"/>
      <c r="E1373" s="21"/>
      <c r="F1373" s="103"/>
    </row>
    <row r="1374" spans="1:6" ht="14.4">
      <c r="A1374" s="90"/>
      <c r="B1374" s="93"/>
      <c r="C1374" s="90"/>
      <c r="E1374" s="21"/>
      <c r="F1374" s="103"/>
    </row>
    <row r="1375" spans="1:6" ht="14.4">
      <c r="A1375" s="90"/>
      <c r="B1375" s="93"/>
      <c r="C1375" s="90"/>
      <c r="E1375" s="21"/>
      <c r="F1375" s="103"/>
    </row>
    <row r="1376" spans="1:6" ht="14.4">
      <c r="A1376" s="90"/>
      <c r="B1376" s="93"/>
      <c r="C1376" s="90"/>
      <c r="E1376" s="21"/>
      <c r="F1376" s="103"/>
    </row>
    <row r="1377" spans="1:6" ht="14.4">
      <c r="A1377" s="90"/>
      <c r="B1377" s="93"/>
      <c r="C1377" s="90"/>
      <c r="E1377" s="21"/>
      <c r="F1377" s="103"/>
    </row>
    <row r="1378" spans="1:6" ht="14.4">
      <c r="A1378" s="90"/>
      <c r="B1378" s="93"/>
      <c r="C1378" s="90"/>
      <c r="E1378" s="21"/>
      <c r="F1378" s="103"/>
    </row>
    <row r="1379" spans="1:6" ht="14.4">
      <c r="A1379" s="90"/>
      <c r="B1379" s="93"/>
      <c r="C1379" s="90"/>
      <c r="E1379" s="21"/>
      <c r="F1379" s="103"/>
    </row>
    <row r="1380" spans="1:6" ht="14.4">
      <c r="A1380" s="90"/>
      <c r="B1380" s="93"/>
      <c r="C1380" s="90"/>
      <c r="E1380" s="21"/>
      <c r="F1380" s="103"/>
    </row>
    <row r="1381" spans="1:6" ht="14.4">
      <c r="A1381" s="90"/>
      <c r="B1381" s="93"/>
      <c r="C1381" s="90"/>
      <c r="E1381" s="21"/>
      <c r="F1381" s="103"/>
    </row>
    <row r="1382" spans="1:6" ht="14.4">
      <c r="A1382" s="90"/>
      <c r="B1382" s="93"/>
      <c r="C1382" s="90"/>
      <c r="E1382" s="21"/>
      <c r="F1382" s="103"/>
    </row>
    <row r="1383" spans="1:6" ht="14.4">
      <c r="A1383" s="90"/>
      <c r="B1383" s="93"/>
      <c r="C1383" s="90"/>
      <c r="E1383" s="21"/>
      <c r="F1383" s="103"/>
    </row>
    <row r="1384" spans="1:6" ht="14.4">
      <c r="A1384" s="90"/>
      <c r="B1384" s="93"/>
      <c r="C1384" s="90"/>
      <c r="E1384" s="21"/>
      <c r="F1384" s="103"/>
    </row>
    <row r="1385" spans="1:6" ht="14.4">
      <c r="A1385" s="90"/>
      <c r="B1385" s="93"/>
      <c r="C1385" s="90"/>
      <c r="E1385" s="21"/>
      <c r="F1385" s="103"/>
    </row>
    <row r="1386" spans="1:6" ht="14.4">
      <c r="A1386" s="90"/>
      <c r="B1386" s="93"/>
      <c r="C1386" s="90"/>
      <c r="E1386" s="21"/>
      <c r="F1386" s="103"/>
    </row>
    <row r="1387" spans="1:6" ht="14.4">
      <c r="A1387" s="90"/>
      <c r="B1387" s="93"/>
      <c r="C1387" s="90"/>
      <c r="E1387" s="21"/>
      <c r="F1387" s="103"/>
    </row>
    <row r="1388" spans="1:6" ht="14.4">
      <c r="A1388" s="90"/>
      <c r="B1388" s="93"/>
      <c r="C1388" s="90"/>
      <c r="E1388" s="21"/>
      <c r="F1388" s="103"/>
    </row>
    <row r="1389" spans="1:6" ht="14.4">
      <c r="A1389" s="90"/>
      <c r="B1389" s="93"/>
      <c r="C1389" s="90"/>
      <c r="E1389" s="21"/>
      <c r="F1389" s="103"/>
    </row>
    <row r="1390" spans="1:6" ht="14.4">
      <c r="A1390" s="90"/>
      <c r="B1390" s="93"/>
      <c r="C1390" s="90"/>
      <c r="E1390" s="21"/>
      <c r="F1390" s="103"/>
    </row>
    <row r="1391" spans="1:6" ht="14.4">
      <c r="A1391" s="90"/>
      <c r="B1391" s="93"/>
      <c r="C1391" s="90"/>
      <c r="E1391" s="21"/>
      <c r="F1391" s="103"/>
    </row>
    <row r="1392" spans="1:6" ht="14.4">
      <c r="A1392" s="90"/>
      <c r="B1392" s="93"/>
      <c r="C1392" s="90"/>
      <c r="E1392" s="21"/>
      <c r="F1392" s="103"/>
    </row>
    <row r="1393" spans="1:6" ht="14.4">
      <c r="A1393" s="90"/>
      <c r="B1393" s="93"/>
      <c r="C1393" s="90"/>
      <c r="E1393" s="21"/>
      <c r="F1393" s="103"/>
    </row>
    <row r="1394" spans="1:6" ht="14.4">
      <c r="A1394" s="90"/>
      <c r="B1394" s="93"/>
      <c r="C1394" s="90"/>
      <c r="E1394" s="21"/>
      <c r="F1394" s="103"/>
    </row>
    <row r="1395" spans="1:6" ht="14.4">
      <c r="A1395" s="90"/>
      <c r="B1395" s="93"/>
      <c r="C1395" s="90"/>
      <c r="E1395" s="21"/>
      <c r="F1395" s="103"/>
    </row>
    <row r="1396" spans="1:6" ht="14.4">
      <c r="A1396" s="90"/>
      <c r="B1396" s="93"/>
      <c r="C1396" s="90"/>
      <c r="E1396" s="21"/>
      <c r="F1396" s="103"/>
    </row>
    <row r="1397" spans="1:6" ht="14.4">
      <c r="A1397" s="90"/>
      <c r="B1397" s="93"/>
      <c r="C1397" s="90"/>
      <c r="E1397" s="21"/>
      <c r="F1397" s="103"/>
    </row>
    <row r="1398" spans="1:6" ht="14.4">
      <c r="A1398" s="90"/>
      <c r="B1398" s="93"/>
      <c r="C1398" s="90"/>
      <c r="E1398" s="21"/>
      <c r="F1398" s="103"/>
    </row>
    <row r="1399" spans="1:6" ht="14.4">
      <c r="A1399" s="90"/>
      <c r="B1399" s="93"/>
      <c r="C1399" s="90"/>
      <c r="E1399" s="21"/>
      <c r="F1399" s="103"/>
    </row>
    <row r="1400" spans="1:6" ht="14.4">
      <c r="A1400" s="90"/>
      <c r="B1400" s="93"/>
      <c r="C1400" s="90"/>
      <c r="E1400" s="21"/>
      <c r="F1400" s="103"/>
    </row>
    <row r="1401" spans="1:6" ht="14.4">
      <c r="A1401" s="90"/>
      <c r="B1401" s="93"/>
      <c r="C1401" s="90"/>
      <c r="E1401" s="21"/>
      <c r="F1401" s="103"/>
    </row>
    <row r="1402" spans="1:6" ht="14.4">
      <c r="A1402" s="90"/>
      <c r="B1402" s="93"/>
      <c r="C1402" s="90"/>
      <c r="E1402" s="21"/>
      <c r="F1402" s="103"/>
    </row>
    <row r="1403" spans="1:6" ht="14.4">
      <c r="A1403" s="90"/>
      <c r="B1403" s="93"/>
      <c r="C1403" s="90"/>
      <c r="E1403" s="21"/>
      <c r="F1403" s="103"/>
    </row>
    <row r="1404" spans="1:6" ht="14.4">
      <c r="A1404" s="90"/>
      <c r="B1404" s="93"/>
      <c r="C1404" s="90"/>
      <c r="E1404" s="21"/>
      <c r="F1404" s="103"/>
    </row>
    <row r="1405" spans="1:6" ht="14.4">
      <c r="A1405" s="90"/>
      <c r="B1405" s="93"/>
      <c r="C1405" s="90"/>
      <c r="E1405" s="21"/>
      <c r="F1405" s="103"/>
    </row>
    <row r="1406" spans="1:6" ht="14.4">
      <c r="A1406" s="90"/>
      <c r="B1406" s="93"/>
      <c r="C1406" s="90"/>
      <c r="E1406" s="21"/>
      <c r="F1406" s="103"/>
    </row>
    <row r="1407" spans="1:6" ht="14.4">
      <c r="A1407" s="90"/>
      <c r="B1407" s="93"/>
      <c r="C1407" s="90"/>
      <c r="E1407" s="21"/>
      <c r="F1407" s="103"/>
    </row>
    <row r="1408" spans="1:6" ht="14.4">
      <c r="A1408" s="90"/>
      <c r="B1408" s="93"/>
      <c r="C1408" s="90"/>
      <c r="E1408" s="21"/>
      <c r="F1408" s="103"/>
    </row>
    <row r="1409" spans="1:6" ht="14.4">
      <c r="A1409" s="90"/>
      <c r="B1409" s="93"/>
      <c r="C1409" s="90"/>
      <c r="E1409" s="21"/>
      <c r="F1409" s="103"/>
    </row>
    <row r="1410" spans="1:6" ht="14.4">
      <c r="A1410" s="90"/>
      <c r="B1410" s="93"/>
      <c r="C1410" s="90"/>
      <c r="E1410" s="21"/>
      <c r="F1410" s="103"/>
    </row>
    <row r="1411" spans="1:6" ht="14.4">
      <c r="A1411" s="90"/>
      <c r="B1411" s="93"/>
      <c r="C1411" s="90"/>
      <c r="E1411" s="21"/>
      <c r="F1411" s="103"/>
    </row>
    <row r="1412" spans="1:6" ht="14.4">
      <c r="A1412" s="90"/>
      <c r="B1412" s="93"/>
      <c r="C1412" s="90"/>
      <c r="E1412" s="21"/>
      <c r="F1412" s="103"/>
    </row>
    <row r="1413" spans="1:6" ht="14.4">
      <c r="A1413" s="90"/>
      <c r="B1413" s="93"/>
      <c r="C1413" s="90"/>
      <c r="E1413" s="21"/>
      <c r="F1413" s="103"/>
    </row>
    <row r="1414" spans="1:6" ht="14.4">
      <c r="A1414" s="90"/>
      <c r="B1414" s="93"/>
      <c r="C1414" s="90"/>
      <c r="E1414" s="21"/>
      <c r="F1414" s="103"/>
    </row>
    <row r="1415" spans="1:6" ht="14.4">
      <c r="A1415" s="90"/>
      <c r="B1415" s="93"/>
      <c r="C1415" s="90"/>
      <c r="E1415" s="21"/>
      <c r="F1415" s="103"/>
    </row>
    <row r="1416" spans="1:6" ht="14.4">
      <c r="A1416" s="90"/>
      <c r="B1416" s="93"/>
      <c r="C1416" s="90"/>
      <c r="E1416" s="21"/>
      <c r="F1416" s="103"/>
    </row>
    <row r="1417" spans="1:6" ht="14.4">
      <c r="A1417" s="90"/>
      <c r="B1417" s="93"/>
      <c r="C1417" s="90"/>
      <c r="E1417" s="21"/>
      <c r="F1417" s="103"/>
    </row>
    <row r="1418" spans="1:6" ht="14.4">
      <c r="A1418" s="90"/>
      <c r="B1418" s="93"/>
      <c r="C1418" s="90"/>
      <c r="E1418" s="21"/>
      <c r="F1418" s="103"/>
    </row>
    <row r="1419" spans="1:6" ht="14.4">
      <c r="A1419" s="90"/>
      <c r="B1419" s="93"/>
      <c r="C1419" s="90"/>
      <c r="E1419" s="21"/>
      <c r="F1419" s="103"/>
    </row>
    <row r="1420" spans="1:6" ht="14.4">
      <c r="A1420" s="90"/>
      <c r="B1420" s="93"/>
      <c r="C1420" s="90"/>
      <c r="E1420" s="21"/>
      <c r="F1420" s="103"/>
    </row>
    <row r="1421" spans="1:6" ht="14.4">
      <c r="A1421" s="90"/>
      <c r="B1421" s="93"/>
      <c r="C1421" s="90"/>
      <c r="E1421" s="21"/>
      <c r="F1421" s="103"/>
    </row>
    <row r="1422" spans="1:6" ht="14.4">
      <c r="A1422" s="90"/>
      <c r="B1422" s="93"/>
      <c r="C1422" s="90"/>
      <c r="E1422" s="21"/>
      <c r="F1422" s="103"/>
    </row>
    <row r="1423" spans="1:6" ht="14.4">
      <c r="A1423" s="90"/>
      <c r="B1423" s="93"/>
      <c r="C1423" s="90"/>
      <c r="E1423" s="21"/>
      <c r="F1423" s="103"/>
    </row>
    <row r="1424" spans="1:6" ht="14.4">
      <c r="A1424" s="90"/>
      <c r="B1424" s="93"/>
      <c r="C1424" s="90"/>
      <c r="E1424" s="21"/>
      <c r="F1424" s="103"/>
    </row>
    <row r="1425" spans="1:6" ht="14.4">
      <c r="A1425" s="90"/>
      <c r="B1425" s="93"/>
      <c r="C1425" s="90"/>
      <c r="E1425" s="21"/>
      <c r="F1425" s="103"/>
    </row>
    <row r="1426" spans="1:6" ht="14.4">
      <c r="A1426" s="90"/>
      <c r="B1426" s="93"/>
      <c r="C1426" s="90"/>
      <c r="E1426" s="21"/>
      <c r="F1426" s="103"/>
    </row>
    <row r="1427" spans="1:6" ht="14.4">
      <c r="A1427" s="90"/>
      <c r="B1427" s="93"/>
      <c r="C1427" s="90"/>
      <c r="E1427" s="21"/>
      <c r="F1427" s="103"/>
    </row>
    <row r="1428" spans="1:6" ht="14.4">
      <c r="A1428" s="90"/>
      <c r="B1428" s="93"/>
      <c r="C1428" s="90"/>
      <c r="E1428" s="21"/>
      <c r="F1428" s="103"/>
    </row>
    <row r="1429" spans="1:6" ht="14.4">
      <c r="A1429" s="90"/>
      <c r="B1429" s="93"/>
      <c r="C1429" s="90"/>
      <c r="E1429" s="21"/>
      <c r="F1429" s="103"/>
    </row>
    <row r="1430" spans="1:6" ht="14.4">
      <c r="A1430" s="90"/>
      <c r="B1430" s="93"/>
      <c r="C1430" s="90"/>
      <c r="E1430" s="21"/>
      <c r="F1430" s="103"/>
    </row>
    <row r="1431" spans="1:6" ht="14.4">
      <c r="A1431" s="90"/>
      <c r="B1431" s="93"/>
      <c r="C1431" s="90"/>
      <c r="E1431" s="21"/>
      <c r="F1431" s="103"/>
    </row>
    <row r="1432" spans="1:6" ht="14.4">
      <c r="A1432" s="90"/>
      <c r="B1432" s="93"/>
      <c r="C1432" s="90"/>
      <c r="E1432" s="21"/>
      <c r="F1432" s="103"/>
    </row>
    <row r="1433" spans="1:6" ht="14.4">
      <c r="A1433" s="90"/>
      <c r="B1433" s="93"/>
      <c r="C1433" s="90"/>
      <c r="E1433" s="21"/>
      <c r="F1433" s="103"/>
    </row>
    <row r="1434" spans="1:6" ht="14.4">
      <c r="A1434" s="90"/>
      <c r="B1434" s="93"/>
      <c r="C1434" s="90"/>
      <c r="E1434" s="21"/>
      <c r="F1434" s="103"/>
    </row>
    <row r="1435" spans="1:6" ht="14.4">
      <c r="A1435" s="90"/>
      <c r="B1435" s="93"/>
      <c r="C1435" s="90"/>
      <c r="E1435" s="21"/>
      <c r="F1435" s="103"/>
    </row>
    <row r="1436" spans="1:6" ht="14.4">
      <c r="A1436" s="90"/>
      <c r="B1436" s="93"/>
      <c r="C1436" s="90"/>
      <c r="E1436" s="21"/>
      <c r="F1436" s="103"/>
    </row>
    <row r="1437" spans="1:6" ht="14.4">
      <c r="A1437" s="90"/>
      <c r="B1437" s="93"/>
      <c r="C1437" s="90"/>
      <c r="E1437" s="21"/>
      <c r="F1437" s="103"/>
    </row>
    <row r="1438" spans="1:6" ht="14.4">
      <c r="A1438" s="90"/>
      <c r="B1438" s="93"/>
      <c r="C1438" s="90"/>
      <c r="E1438" s="21"/>
      <c r="F1438" s="103"/>
    </row>
    <row r="1439" spans="1:6" ht="14.4">
      <c r="A1439" s="90"/>
      <c r="B1439" s="93"/>
      <c r="C1439" s="90"/>
      <c r="E1439" s="21"/>
      <c r="F1439" s="103"/>
    </row>
    <row r="1440" spans="1:6" ht="14.4">
      <c r="A1440" s="90"/>
      <c r="B1440" s="93"/>
      <c r="C1440" s="90"/>
      <c r="E1440" s="21"/>
      <c r="F1440" s="103"/>
    </row>
    <row r="1441" spans="1:6" ht="14.4">
      <c r="A1441" s="90"/>
      <c r="B1441" s="93"/>
      <c r="C1441" s="90"/>
      <c r="E1441" s="21"/>
      <c r="F1441" s="103"/>
    </row>
    <row r="1442" spans="1:6" ht="14.4">
      <c r="A1442" s="90"/>
      <c r="B1442" s="93"/>
      <c r="C1442" s="90"/>
      <c r="E1442" s="21"/>
      <c r="F1442" s="103"/>
    </row>
    <row r="1443" spans="1:6" ht="14.4">
      <c r="A1443" s="90"/>
      <c r="B1443" s="93"/>
      <c r="C1443" s="90"/>
      <c r="E1443" s="21"/>
      <c r="F1443" s="103"/>
    </row>
    <row r="1444" spans="1:6" ht="14.4">
      <c r="A1444" s="90"/>
      <c r="B1444" s="93"/>
      <c r="C1444" s="90"/>
      <c r="E1444" s="21"/>
      <c r="F1444" s="103"/>
    </row>
    <row r="1445" spans="1:6" ht="14.4">
      <c r="A1445" s="90"/>
      <c r="B1445" s="93"/>
      <c r="C1445" s="90"/>
      <c r="E1445" s="21"/>
      <c r="F1445" s="103"/>
    </row>
    <row r="1446" spans="1:6" ht="14.4">
      <c r="A1446" s="90"/>
      <c r="B1446" s="93"/>
      <c r="C1446" s="90"/>
      <c r="E1446" s="21"/>
      <c r="F1446" s="103"/>
    </row>
    <row r="1447" spans="1:6" ht="14.4">
      <c r="A1447" s="90"/>
      <c r="B1447" s="93"/>
      <c r="C1447" s="90"/>
      <c r="E1447" s="21"/>
      <c r="F1447" s="103"/>
    </row>
    <row r="1448" spans="1:6" ht="14.4">
      <c r="A1448" s="90"/>
      <c r="B1448" s="93"/>
      <c r="C1448" s="90"/>
      <c r="E1448" s="21"/>
      <c r="F1448" s="103"/>
    </row>
    <row r="1449" spans="1:6" ht="14.4">
      <c r="A1449" s="90"/>
      <c r="B1449" s="93"/>
      <c r="C1449" s="90"/>
      <c r="E1449" s="21"/>
      <c r="F1449" s="103"/>
    </row>
    <row r="1450" spans="1:6" ht="14.4">
      <c r="A1450" s="90"/>
      <c r="B1450" s="93"/>
      <c r="C1450" s="90"/>
      <c r="E1450" s="21"/>
      <c r="F1450" s="103"/>
    </row>
    <row r="1451" spans="1:6" ht="14.4">
      <c r="A1451" s="90"/>
      <c r="B1451" s="93"/>
      <c r="C1451" s="90"/>
      <c r="E1451" s="21"/>
      <c r="F1451" s="103"/>
    </row>
    <row r="1452" spans="1:6" ht="14.4">
      <c r="A1452" s="90"/>
      <c r="B1452" s="93"/>
      <c r="C1452" s="90"/>
      <c r="E1452" s="21"/>
      <c r="F1452" s="103"/>
    </row>
    <row r="1453" spans="1:6" ht="14.4">
      <c r="A1453" s="90"/>
      <c r="B1453" s="93"/>
      <c r="C1453" s="90"/>
      <c r="E1453" s="21"/>
      <c r="F1453" s="103"/>
    </row>
    <row r="1454" spans="1:6" ht="14.4">
      <c r="A1454" s="90"/>
      <c r="B1454" s="93"/>
      <c r="C1454" s="90"/>
      <c r="E1454" s="21"/>
      <c r="F1454" s="103"/>
    </row>
    <row r="1455" spans="1:6" ht="14.4">
      <c r="A1455" s="90"/>
      <c r="B1455" s="93"/>
      <c r="C1455" s="90"/>
      <c r="E1455" s="21"/>
      <c r="F1455" s="103"/>
    </row>
    <row r="1456" spans="1:6" ht="14.4">
      <c r="A1456" s="90"/>
      <c r="B1456" s="93"/>
      <c r="C1456" s="90"/>
      <c r="E1456" s="21"/>
      <c r="F1456" s="103"/>
    </row>
    <row r="1457" spans="1:6" ht="14.4">
      <c r="A1457" s="90"/>
      <c r="B1457" s="93"/>
      <c r="C1457" s="90"/>
      <c r="E1457" s="21"/>
      <c r="F1457" s="103"/>
    </row>
    <row r="1458" spans="1:6" ht="14.4">
      <c r="A1458" s="90"/>
      <c r="B1458" s="93"/>
      <c r="C1458" s="90"/>
      <c r="E1458" s="21"/>
      <c r="F1458" s="103"/>
    </row>
    <row r="1459" spans="1:6" ht="14.4">
      <c r="A1459" s="90"/>
      <c r="B1459" s="93"/>
      <c r="C1459" s="90"/>
      <c r="E1459" s="21"/>
      <c r="F1459" s="103"/>
    </row>
    <row r="1460" spans="1:6" ht="14.4">
      <c r="A1460" s="90"/>
      <c r="B1460" s="93"/>
      <c r="C1460" s="90"/>
      <c r="E1460" s="21"/>
      <c r="F1460" s="103"/>
    </row>
    <row r="1461" spans="1:6" ht="14.4">
      <c r="A1461" s="90"/>
      <c r="B1461" s="93"/>
      <c r="C1461" s="90"/>
      <c r="E1461" s="21"/>
      <c r="F1461" s="103"/>
    </row>
    <row r="1462" spans="1:6" ht="14.4">
      <c r="A1462" s="90"/>
      <c r="B1462" s="93"/>
      <c r="C1462" s="90"/>
      <c r="E1462" s="21"/>
      <c r="F1462" s="103"/>
    </row>
    <row r="1463" spans="1:6" ht="14.4">
      <c r="A1463" s="90"/>
      <c r="B1463" s="93"/>
      <c r="C1463" s="90"/>
      <c r="E1463" s="21"/>
      <c r="F1463" s="103"/>
    </row>
    <row r="1464" spans="1:6" ht="14.4">
      <c r="A1464" s="90"/>
      <c r="B1464" s="93"/>
      <c r="C1464" s="90"/>
      <c r="E1464" s="21"/>
      <c r="F1464" s="103"/>
    </row>
    <row r="1465" spans="1:6" ht="14.4">
      <c r="A1465" s="90"/>
      <c r="B1465" s="93"/>
      <c r="C1465" s="90"/>
      <c r="E1465" s="21"/>
      <c r="F1465" s="103"/>
    </row>
    <row r="1466" spans="1:6" ht="14.4">
      <c r="A1466" s="90"/>
      <c r="B1466" s="93"/>
      <c r="C1466" s="90"/>
      <c r="E1466" s="21"/>
      <c r="F1466" s="103"/>
    </row>
    <row r="1467" spans="1:6" ht="14.4">
      <c r="A1467" s="90"/>
      <c r="B1467" s="93"/>
      <c r="C1467" s="90"/>
      <c r="E1467" s="21"/>
      <c r="F1467" s="103"/>
    </row>
    <row r="1468" spans="1:6" ht="14.4">
      <c r="A1468" s="90"/>
      <c r="B1468" s="93"/>
      <c r="C1468" s="90"/>
      <c r="E1468" s="21"/>
      <c r="F1468" s="103"/>
    </row>
    <row r="1469" spans="1:6" ht="14.4">
      <c r="A1469" s="90"/>
      <c r="B1469" s="93"/>
      <c r="C1469" s="90"/>
      <c r="E1469" s="21"/>
      <c r="F1469" s="103"/>
    </row>
    <row r="1470" spans="1:6" ht="14.4">
      <c r="A1470" s="90"/>
      <c r="B1470" s="93"/>
      <c r="C1470" s="90"/>
      <c r="E1470" s="21"/>
      <c r="F1470" s="103"/>
    </row>
    <row r="1471" spans="1:6" ht="14.4">
      <c r="A1471" s="90"/>
      <c r="B1471" s="93"/>
      <c r="C1471" s="90"/>
      <c r="E1471" s="21"/>
      <c r="F1471" s="103"/>
    </row>
    <row r="1472" spans="1:6" ht="14.4">
      <c r="A1472" s="90"/>
      <c r="B1472" s="93"/>
      <c r="C1472" s="90"/>
      <c r="E1472" s="21"/>
      <c r="F1472" s="103"/>
    </row>
    <row r="1473" spans="1:6" ht="14.4">
      <c r="A1473" s="90"/>
      <c r="B1473" s="93"/>
      <c r="C1473" s="90"/>
      <c r="E1473" s="21"/>
      <c r="F1473" s="103"/>
    </row>
    <row r="1474" spans="1:6" ht="14.4">
      <c r="A1474" s="90"/>
      <c r="B1474" s="93"/>
      <c r="C1474" s="90"/>
      <c r="E1474" s="21"/>
      <c r="F1474" s="103"/>
    </row>
    <row r="1475" spans="1:6" ht="14.4">
      <c r="A1475" s="90"/>
      <c r="B1475" s="93"/>
      <c r="C1475" s="90"/>
      <c r="E1475" s="21"/>
      <c r="F1475" s="103"/>
    </row>
    <row r="1476" spans="1:6" ht="14.4">
      <c r="A1476" s="90"/>
      <c r="B1476" s="93"/>
      <c r="C1476" s="90"/>
      <c r="E1476" s="21"/>
      <c r="F1476" s="103"/>
    </row>
    <row r="1477" spans="1:6" ht="14.4">
      <c r="A1477" s="90"/>
      <c r="B1477" s="93"/>
      <c r="C1477" s="90"/>
      <c r="E1477" s="21"/>
      <c r="F1477" s="103"/>
    </row>
    <row r="1478" spans="1:6" ht="14.4">
      <c r="A1478" s="90"/>
      <c r="B1478" s="93"/>
      <c r="C1478" s="90"/>
      <c r="E1478" s="21"/>
      <c r="F1478" s="103"/>
    </row>
    <row r="1479" spans="1:6" ht="14.4">
      <c r="A1479" s="90"/>
      <c r="B1479" s="93"/>
      <c r="C1479" s="90"/>
      <c r="E1479" s="21"/>
      <c r="F1479" s="103"/>
    </row>
    <row r="1480" spans="1:6" ht="14.4">
      <c r="A1480" s="90"/>
      <c r="B1480" s="93"/>
      <c r="C1480" s="90"/>
      <c r="E1480" s="21"/>
      <c r="F1480" s="103"/>
    </row>
    <row r="1481" spans="1:6" ht="14.4">
      <c r="A1481" s="90"/>
      <c r="B1481" s="93"/>
      <c r="C1481" s="90"/>
      <c r="E1481" s="21"/>
      <c r="F1481" s="103"/>
    </row>
    <row r="1482" spans="1:6" ht="14.4">
      <c r="A1482" s="90"/>
      <c r="B1482" s="93"/>
      <c r="C1482" s="90"/>
      <c r="E1482" s="21"/>
      <c r="F1482" s="103"/>
    </row>
    <row r="1483" spans="1:6" ht="14.4">
      <c r="A1483" s="90"/>
      <c r="B1483" s="93"/>
      <c r="C1483" s="90"/>
      <c r="E1483" s="21"/>
      <c r="F1483" s="103"/>
    </row>
    <row r="1484" spans="1:6" ht="14.4">
      <c r="A1484" s="90"/>
      <c r="B1484" s="93"/>
      <c r="C1484" s="90"/>
      <c r="E1484" s="21"/>
      <c r="F1484" s="103"/>
    </row>
    <row r="1485" spans="1:6" ht="14.4">
      <c r="A1485" s="90"/>
      <c r="B1485" s="93"/>
      <c r="C1485" s="90"/>
      <c r="E1485" s="21"/>
      <c r="F1485" s="103"/>
    </row>
    <row r="1486" spans="1:6" ht="14.4">
      <c r="A1486" s="90"/>
      <c r="B1486" s="93"/>
      <c r="C1486" s="90"/>
      <c r="E1486" s="21"/>
      <c r="F1486" s="103"/>
    </row>
    <row r="1487" spans="1:6" ht="14.4">
      <c r="A1487" s="90"/>
      <c r="B1487" s="93"/>
      <c r="C1487" s="90"/>
      <c r="E1487" s="21"/>
      <c r="F1487" s="103"/>
    </row>
    <row r="1488" spans="1:6" ht="14.4">
      <c r="A1488" s="90"/>
      <c r="B1488" s="93"/>
      <c r="C1488" s="90"/>
      <c r="E1488" s="21"/>
      <c r="F1488" s="103"/>
    </row>
    <row r="1489" spans="1:6" ht="14.4">
      <c r="A1489" s="90"/>
      <c r="B1489" s="93"/>
      <c r="C1489" s="90"/>
      <c r="E1489" s="21"/>
      <c r="F1489" s="103"/>
    </row>
    <row r="1490" spans="1:6" ht="14.4">
      <c r="A1490" s="90"/>
      <c r="B1490" s="93"/>
      <c r="C1490" s="90"/>
      <c r="E1490" s="21"/>
      <c r="F1490" s="103"/>
    </row>
    <row r="1491" spans="1:6" ht="13.2">
      <c r="F1491" s="94"/>
    </row>
    <row r="1492" spans="1:6" ht="13.2">
      <c r="F1492" s="94"/>
    </row>
    <row r="1493" spans="1:6" ht="13.2">
      <c r="F1493" s="94"/>
    </row>
    <row r="1494" spans="1:6" ht="13.2">
      <c r="F1494" s="94"/>
    </row>
    <row r="1495" spans="1:6" ht="13.2">
      <c r="F1495" s="94"/>
    </row>
    <row r="1496" spans="1:6" ht="13.2">
      <c r="F1496" s="94"/>
    </row>
    <row r="1497" spans="1:6" ht="13.2">
      <c r="F1497" s="94"/>
    </row>
    <row r="1498" spans="1:6" ht="13.2">
      <c r="F1498" s="94"/>
    </row>
    <row r="1499" spans="1:6" ht="13.2">
      <c r="F1499" s="94"/>
    </row>
    <row r="1500" spans="1:6" ht="13.2">
      <c r="F1500" s="94"/>
    </row>
    <row r="1501" spans="1:6" ht="13.2">
      <c r="F1501" s="94"/>
    </row>
    <row r="1502" spans="1:6" ht="13.2">
      <c r="F1502" s="94"/>
    </row>
    <row r="1503" spans="1:6" ht="13.2">
      <c r="F1503" s="94"/>
    </row>
    <row r="1504" spans="1:6" ht="13.2">
      <c r="F1504" s="94"/>
    </row>
    <row r="1505" spans="6:6" ht="13.2">
      <c r="F1505" s="94"/>
    </row>
    <row r="1506" spans="6:6" ht="13.2">
      <c r="F1506" s="94"/>
    </row>
    <row r="1507" spans="6:6" ht="13.2">
      <c r="F1507" s="94"/>
    </row>
    <row r="1508" spans="6:6" ht="13.2">
      <c r="F1508" s="94"/>
    </row>
    <row r="1509" spans="6:6" ht="13.2">
      <c r="F1509" s="94"/>
    </row>
    <row r="1510" spans="6:6" ht="13.2">
      <c r="F1510" s="94"/>
    </row>
    <row r="1511" spans="6:6" ht="13.2">
      <c r="F1511" s="94"/>
    </row>
    <row r="1512" spans="6:6" ht="13.2">
      <c r="F1512" s="94"/>
    </row>
    <row r="1513" spans="6:6" ht="13.2">
      <c r="F1513" s="94"/>
    </row>
    <row r="1514" spans="6:6" ht="13.2">
      <c r="F1514" s="94"/>
    </row>
    <row r="1515" spans="6:6" ht="13.2">
      <c r="F1515" s="94"/>
    </row>
    <row r="1516" spans="6:6" ht="13.2">
      <c r="F1516" s="94"/>
    </row>
    <row r="1517" spans="6:6" ht="13.2">
      <c r="F1517" s="94"/>
    </row>
    <row r="1518" spans="6:6" ht="13.2">
      <c r="F1518" s="94"/>
    </row>
    <row r="1519" spans="6:6" ht="13.2">
      <c r="F1519" s="94"/>
    </row>
    <row r="1520" spans="6:6" ht="13.2">
      <c r="F1520" s="94"/>
    </row>
    <row r="1521" spans="6:6" ht="13.2">
      <c r="F1521" s="94"/>
    </row>
    <row r="1522" spans="6:6" ht="13.2">
      <c r="F1522" s="94"/>
    </row>
    <row r="1523" spans="6:6" ht="13.2">
      <c r="F1523" s="94"/>
    </row>
    <row r="1524" spans="6:6" ht="13.2">
      <c r="F1524" s="94"/>
    </row>
    <row r="1525" spans="6:6" ht="13.2">
      <c r="F1525" s="94"/>
    </row>
    <row r="1526" spans="6:6" ht="13.2">
      <c r="F1526" s="94"/>
    </row>
    <row r="1527" spans="6:6" ht="13.2">
      <c r="F1527" s="94"/>
    </row>
    <row r="1528" spans="6:6" ht="13.2">
      <c r="F1528" s="94"/>
    </row>
    <row r="1529" spans="6:6" ht="13.2">
      <c r="F1529" s="94"/>
    </row>
    <row r="1530" spans="6:6" ht="13.2">
      <c r="F1530" s="94"/>
    </row>
    <row r="1531" spans="6:6" ht="13.2">
      <c r="F1531" s="94"/>
    </row>
    <row r="1532" spans="6:6" ht="13.2">
      <c r="F1532" s="94"/>
    </row>
    <row r="1533" spans="6:6" ht="13.2">
      <c r="F1533" s="94"/>
    </row>
    <row r="1534" spans="6:6" ht="13.2">
      <c r="F1534" s="94"/>
    </row>
    <row r="1535" spans="6:6" ht="13.2">
      <c r="F1535" s="94"/>
    </row>
    <row r="1536" spans="6:6" ht="13.2">
      <c r="F1536" s="94"/>
    </row>
    <row r="1537" spans="6:6" ht="13.2">
      <c r="F1537" s="94"/>
    </row>
    <row r="1538" spans="6:6" ht="13.2">
      <c r="F1538" s="94"/>
    </row>
    <row r="1539" spans="6:6" ht="13.2">
      <c r="F1539" s="94"/>
    </row>
    <row r="1540" spans="6:6" ht="13.2">
      <c r="F1540" s="94"/>
    </row>
    <row r="1541" spans="6:6" ht="13.2">
      <c r="F1541" s="94"/>
    </row>
    <row r="1542" spans="6:6" ht="13.2">
      <c r="F1542" s="94"/>
    </row>
    <row r="1543" spans="6:6" ht="13.2">
      <c r="F1543" s="94"/>
    </row>
    <row r="1544" spans="6:6" ht="13.2">
      <c r="F1544" s="94"/>
    </row>
    <row r="1545" spans="6:6" ht="13.2">
      <c r="F1545" s="94"/>
    </row>
    <row r="1546" spans="6:6" ht="13.2">
      <c r="F1546" s="94"/>
    </row>
    <row r="1547" spans="6:6" ht="13.2">
      <c r="F1547" s="94"/>
    </row>
    <row r="1548" spans="6:6" ht="13.2">
      <c r="F1548" s="94"/>
    </row>
    <row r="1549" spans="6:6" ht="13.2">
      <c r="F1549" s="94"/>
    </row>
    <row r="1550" spans="6:6" ht="13.2">
      <c r="F1550" s="94"/>
    </row>
    <row r="1551" spans="6:6" ht="13.2">
      <c r="F1551" s="94"/>
    </row>
    <row r="1552" spans="6:6" ht="13.2">
      <c r="F1552" s="94"/>
    </row>
    <row r="1553" spans="6:6" ht="13.2">
      <c r="F1553" s="94"/>
    </row>
    <row r="1554" spans="6:6" ht="13.2">
      <c r="F1554" s="94"/>
    </row>
    <row r="1555" spans="6:6" ht="13.2">
      <c r="F1555" s="94"/>
    </row>
    <row r="1556" spans="6:6" ht="13.2">
      <c r="F1556" s="94"/>
    </row>
    <row r="1557" spans="6:6" ht="13.2">
      <c r="F1557" s="94"/>
    </row>
    <row r="1558" spans="6:6" ht="13.2">
      <c r="F1558" s="94"/>
    </row>
    <row r="1559" spans="6:6" ht="13.2">
      <c r="F1559" s="94"/>
    </row>
    <row r="1560" spans="6:6" ht="13.2">
      <c r="F1560" s="94"/>
    </row>
    <row r="1561" spans="6:6" ht="13.2">
      <c r="F1561" s="94"/>
    </row>
    <row r="1562" spans="6:6" ht="13.2">
      <c r="F1562" s="94"/>
    </row>
    <row r="1563" spans="6:6" ht="13.2">
      <c r="F1563" s="94"/>
    </row>
    <row r="1564" spans="6:6" ht="13.2">
      <c r="F1564" s="94"/>
    </row>
    <row r="1565" spans="6:6" ht="13.2">
      <c r="F1565" s="94"/>
    </row>
    <row r="1566" spans="6:6" ht="13.2">
      <c r="F1566" s="94"/>
    </row>
    <row r="1567" spans="6:6" ht="13.2">
      <c r="F1567" s="94"/>
    </row>
    <row r="1568" spans="6:6" ht="13.2">
      <c r="F1568" s="94"/>
    </row>
    <row r="1569" spans="6:6" ht="13.2">
      <c r="F1569" s="94"/>
    </row>
    <row r="1570" spans="6:6" ht="13.2">
      <c r="F1570" s="94"/>
    </row>
    <row r="1571" spans="6:6" ht="13.2">
      <c r="F1571" s="94"/>
    </row>
    <row r="1572" spans="6:6" ht="13.2">
      <c r="F1572" s="94"/>
    </row>
    <row r="1573" spans="6:6" ht="13.2">
      <c r="F1573" s="94"/>
    </row>
    <row r="1574" spans="6:6" ht="13.2">
      <c r="F1574" s="94"/>
    </row>
    <row r="1575" spans="6:6" ht="13.2">
      <c r="F1575" s="94"/>
    </row>
    <row r="1576" spans="6:6" ht="13.2">
      <c r="F1576" s="94"/>
    </row>
    <row r="1577" spans="6:6" ht="13.2">
      <c r="F1577" s="94"/>
    </row>
    <row r="1578" spans="6:6" ht="13.2">
      <c r="F1578" s="94"/>
    </row>
    <row r="1579" spans="6:6" ht="13.2">
      <c r="F1579" s="94"/>
    </row>
    <row r="1580" spans="6:6" ht="13.2">
      <c r="F1580" s="94"/>
    </row>
    <row r="1581" spans="6:6" ht="13.2">
      <c r="F1581" s="94"/>
    </row>
    <row r="1582" spans="6:6" ht="13.2">
      <c r="F1582" s="94"/>
    </row>
    <row r="1583" spans="6:6" ht="13.2">
      <c r="F1583" s="94"/>
    </row>
    <row r="1584" spans="6:6" ht="13.2">
      <c r="F1584" s="94"/>
    </row>
    <row r="1585" spans="6:6" ht="13.2">
      <c r="F1585" s="94"/>
    </row>
    <row r="1586" spans="6:6" ht="13.2">
      <c r="F1586" s="94"/>
    </row>
    <row r="1587" spans="6:6" ht="13.2">
      <c r="F1587" s="94"/>
    </row>
    <row r="1588" spans="6:6" ht="13.2">
      <c r="F1588" s="94"/>
    </row>
    <row r="1589" spans="6:6" ht="13.2">
      <c r="F1589" s="94"/>
    </row>
    <row r="1590" spans="6:6" ht="13.2">
      <c r="F1590" s="94"/>
    </row>
    <row r="1591" spans="6:6" ht="13.2">
      <c r="F1591" s="94"/>
    </row>
    <row r="1592" spans="6:6" ht="13.2">
      <c r="F1592" s="94"/>
    </row>
    <row r="1593" spans="6:6" ht="13.2">
      <c r="F1593" s="94"/>
    </row>
    <row r="1594" spans="6:6" ht="13.2">
      <c r="F1594" s="94"/>
    </row>
    <row r="1595" spans="6:6" ht="13.2">
      <c r="F1595" s="94"/>
    </row>
    <row r="1596" spans="6:6" ht="13.2">
      <c r="F1596" s="94"/>
    </row>
    <row r="1597" spans="6:6" ht="13.2">
      <c r="F1597" s="94"/>
    </row>
    <row r="1598" spans="6:6" ht="13.2">
      <c r="F1598" s="94"/>
    </row>
    <row r="1599" spans="6:6" ht="13.2">
      <c r="F1599" s="94"/>
    </row>
    <row r="1600" spans="6:6" ht="13.2">
      <c r="F1600" s="94"/>
    </row>
    <row r="1601" spans="6:6" ht="13.2">
      <c r="F1601" s="94"/>
    </row>
    <row r="1602" spans="6:6" ht="13.2">
      <c r="F1602" s="94"/>
    </row>
    <row r="1603" spans="6:6" ht="13.2">
      <c r="F1603" s="94"/>
    </row>
    <row r="1604" spans="6:6" ht="13.2">
      <c r="F1604" s="94"/>
    </row>
    <row r="1605" spans="6:6" ht="13.2">
      <c r="F1605" s="94"/>
    </row>
    <row r="1606" spans="6:6" ht="13.2">
      <c r="F1606" s="94"/>
    </row>
    <row r="1607" spans="6:6" ht="13.2">
      <c r="F1607" s="94"/>
    </row>
    <row r="1608" spans="6:6" ht="13.2">
      <c r="F1608" s="94"/>
    </row>
    <row r="1609" spans="6:6" ht="13.2">
      <c r="F1609" s="94"/>
    </row>
    <row r="1610" spans="6:6" ht="13.2">
      <c r="F1610" s="94"/>
    </row>
    <row r="1611" spans="6:6" ht="13.2">
      <c r="F1611" s="94"/>
    </row>
    <row r="1612" spans="6:6" ht="13.2">
      <c r="F1612" s="94"/>
    </row>
    <row r="1613" spans="6:6" ht="13.2">
      <c r="F1613" s="94"/>
    </row>
    <row r="1614" spans="6:6" ht="13.2">
      <c r="F1614" s="94"/>
    </row>
    <row r="1615" spans="6:6" ht="13.2">
      <c r="F1615" s="94"/>
    </row>
    <row r="1616" spans="6:6" ht="13.2">
      <c r="F1616" s="94"/>
    </row>
    <row r="1617" spans="6:6" ht="13.2">
      <c r="F1617" s="94"/>
    </row>
    <row r="1618" spans="6:6" ht="13.2">
      <c r="F1618" s="94"/>
    </row>
    <row r="1619" spans="6:6" ht="13.2">
      <c r="F1619" s="94"/>
    </row>
    <row r="1620" spans="6:6" ht="13.2">
      <c r="F1620" s="94"/>
    </row>
    <row r="1621" spans="6:6" ht="13.2">
      <c r="F1621" s="94"/>
    </row>
    <row r="1622" spans="6:6" ht="13.2">
      <c r="F1622" s="94"/>
    </row>
    <row r="1623" spans="6:6" ht="13.2">
      <c r="F1623" s="94"/>
    </row>
    <row r="1624" spans="6:6" ht="13.2">
      <c r="F1624" s="94"/>
    </row>
    <row r="1625" spans="6:6" ht="13.2">
      <c r="F1625" s="94"/>
    </row>
    <row r="1626" spans="6:6" ht="13.2">
      <c r="F1626" s="94"/>
    </row>
    <row r="1627" spans="6:6" ht="13.2">
      <c r="F1627" s="94"/>
    </row>
    <row r="1628" spans="6:6" ht="13.2">
      <c r="F1628" s="94"/>
    </row>
    <row r="1629" spans="6:6" ht="13.2">
      <c r="F1629" s="94"/>
    </row>
    <row r="1630" spans="6:6" ht="13.2">
      <c r="F1630" s="94"/>
    </row>
    <row r="1631" spans="6:6" ht="13.2">
      <c r="F1631" s="94"/>
    </row>
    <row r="1632" spans="6:6" ht="13.2">
      <c r="F1632" s="94"/>
    </row>
    <row r="1633" spans="6:6" ht="13.2">
      <c r="F1633" s="94"/>
    </row>
    <row r="1634" spans="6:6" ht="13.2">
      <c r="F1634" s="94"/>
    </row>
    <row r="1635" spans="6:6" ht="13.2">
      <c r="F1635" s="94"/>
    </row>
    <row r="1636" spans="6:6" ht="13.2">
      <c r="F1636" s="94"/>
    </row>
    <row r="1637" spans="6:6" ht="13.2">
      <c r="F1637" s="94"/>
    </row>
    <row r="1638" spans="6:6" ht="13.2">
      <c r="F1638" s="94"/>
    </row>
    <row r="1639" spans="6:6" ht="13.2">
      <c r="F1639" s="94"/>
    </row>
    <row r="1640" spans="6:6" ht="13.2">
      <c r="F1640" s="94"/>
    </row>
    <row r="1641" spans="6:6" ht="13.2">
      <c r="F1641" s="94"/>
    </row>
    <row r="1642" spans="6:6" ht="13.2">
      <c r="F1642" s="94"/>
    </row>
    <row r="1643" spans="6:6" ht="13.2">
      <c r="F1643" s="94"/>
    </row>
    <row r="1644" spans="6:6" ht="13.2">
      <c r="F1644" s="94"/>
    </row>
    <row r="1645" spans="6:6" ht="13.2">
      <c r="F1645" s="94"/>
    </row>
    <row r="1646" spans="6:6" ht="13.2">
      <c r="F1646" s="94"/>
    </row>
    <row r="1647" spans="6:6" ht="13.2">
      <c r="F1647" s="94"/>
    </row>
    <row r="1648" spans="6:6" ht="13.2">
      <c r="F1648" s="94"/>
    </row>
    <row r="1649" spans="6:6" ht="13.2">
      <c r="F1649" s="94"/>
    </row>
    <row r="1650" spans="6:6" ht="13.2">
      <c r="F1650" s="94"/>
    </row>
    <row r="1651" spans="6:6" ht="13.2">
      <c r="F1651" s="94"/>
    </row>
    <row r="1652" spans="6:6" ht="13.2">
      <c r="F1652" s="94"/>
    </row>
    <row r="1653" spans="6:6" ht="13.2">
      <c r="F1653" s="94"/>
    </row>
    <row r="1654" spans="6:6" ht="13.2">
      <c r="F1654" s="94"/>
    </row>
    <row r="1655" spans="6:6" ht="13.2">
      <c r="F1655" s="94"/>
    </row>
    <row r="1656" spans="6:6" ht="13.2">
      <c r="F1656" s="94"/>
    </row>
    <row r="1657" spans="6:6" ht="13.2">
      <c r="F1657" s="94"/>
    </row>
    <row r="1658" spans="6:6" ht="13.2">
      <c r="F1658" s="94"/>
    </row>
    <row r="1659" spans="6:6" ht="13.2">
      <c r="F1659" s="94"/>
    </row>
    <row r="1660" spans="6:6" ht="13.2">
      <c r="F1660" s="94"/>
    </row>
    <row r="1661" spans="6:6" ht="13.2">
      <c r="F1661" s="94"/>
    </row>
    <row r="1662" spans="6:6" ht="13.2">
      <c r="F1662" s="94"/>
    </row>
    <row r="1663" spans="6:6" ht="13.2">
      <c r="F1663" s="94"/>
    </row>
    <row r="1664" spans="6:6" ht="13.2">
      <c r="F1664" s="94"/>
    </row>
    <row r="1665" spans="6:6" ht="13.2">
      <c r="F1665" s="94"/>
    </row>
    <row r="1666" spans="6:6" ht="13.2">
      <c r="F1666" s="94"/>
    </row>
    <row r="1667" spans="6:6" ht="13.2">
      <c r="F1667" s="94"/>
    </row>
    <row r="1668" spans="6:6" ht="13.2">
      <c r="F1668" s="94"/>
    </row>
    <row r="1669" spans="6:6" ht="13.2">
      <c r="F1669" s="94"/>
    </row>
    <row r="1670" spans="6:6" ht="13.2">
      <c r="F1670" s="94"/>
    </row>
    <row r="1671" spans="6:6" ht="13.2">
      <c r="F1671" s="94"/>
    </row>
    <row r="1672" spans="6:6" ht="13.2">
      <c r="F1672" s="94"/>
    </row>
    <row r="1673" spans="6:6" ht="13.2">
      <c r="F1673" s="94"/>
    </row>
    <row r="1674" spans="6:6" ht="13.2">
      <c r="F1674" s="94"/>
    </row>
    <row r="1675" spans="6:6" ht="13.2">
      <c r="F1675" s="94"/>
    </row>
    <row r="1676" spans="6:6" ht="13.2">
      <c r="F1676" s="94"/>
    </row>
    <row r="1677" spans="6:6" ht="13.2">
      <c r="F1677" s="94"/>
    </row>
    <row r="1678" spans="6:6" ht="13.2">
      <c r="F1678" s="94"/>
    </row>
    <row r="1679" spans="6:6" ht="13.2">
      <c r="F1679" s="94"/>
    </row>
    <row r="1680" spans="6:6" ht="13.2">
      <c r="F1680" s="94"/>
    </row>
    <row r="1681" spans="6:6" ht="13.2">
      <c r="F1681" s="94"/>
    </row>
    <row r="1682" spans="6:6" ht="13.2">
      <c r="F1682" s="94"/>
    </row>
    <row r="1683" spans="6:6" ht="13.2">
      <c r="F1683" s="94"/>
    </row>
    <row r="1684" spans="6:6" ht="13.2">
      <c r="F1684" s="94"/>
    </row>
    <row r="1685" spans="6:6" ht="13.2">
      <c r="F1685" s="94"/>
    </row>
    <row r="1686" spans="6:6" ht="13.2">
      <c r="F1686" s="94"/>
    </row>
    <row r="1687" spans="6:6" ht="13.2">
      <c r="F1687" s="94"/>
    </row>
    <row r="1688" spans="6:6" ht="13.2">
      <c r="F1688" s="94"/>
    </row>
    <row r="1689" spans="6:6" ht="13.2">
      <c r="F1689" s="94"/>
    </row>
    <row r="1690" spans="6:6" ht="13.2">
      <c r="F1690" s="94"/>
    </row>
    <row r="1691" spans="6:6" ht="13.2">
      <c r="F1691" s="94"/>
    </row>
    <row r="1692" spans="6:6" ht="13.2">
      <c r="F1692" s="94"/>
    </row>
    <row r="1693" spans="6:6" ht="13.2">
      <c r="F1693" s="94"/>
    </row>
    <row r="1694" spans="6:6" ht="13.2">
      <c r="F1694" s="94"/>
    </row>
    <row r="1695" spans="6:6" ht="13.2">
      <c r="F1695" s="94"/>
    </row>
    <row r="1696" spans="6:6" ht="13.2">
      <c r="F1696" s="94"/>
    </row>
    <row r="1697" spans="6:6" ht="13.2">
      <c r="F1697" s="94"/>
    </row>
    <row r="1698" spans="6:6" ht="13.2">
      <c r="F1698" s="94"/>
    </row>
    <row r="1699" spans="6:6" ht="13.2">
      <c r="F1699" s="94"/>
    </row>
    <row r="1700" spans="6:6" ht="13.2">
      <c r="F1700" s="94"/>
    </row>
    <row r="1701" spans="6:6" ht="13.2">
      <c r="F1701" s="94"/>
    </row>
    <row r="1702" spans="6:6" ht="13.2">
      <c r="F1702" s="94"/>
    </row>
    <row r="1703" spans="6:6" ht="13.2">
      <c r="F1703" s="94"/>
    </row>
    <row r="1704" spans="6:6" ht="13.2">
      <c r="F1704" s="94"/>
    </row>
    <row r="1705" spans="6:6" ht="13.2">
      <c r="F1705" s="94"/>
    </row>
    <row r="1706" spans="6:6" ht="13.2">
      <c r="F1706" s="94"/>
    </row>
    <row r="1707" spans="6:6" ht="13.2">
      <c r="F1707" s="94"/>
    </row>
    <row r="1708" spans="6:6" ht="13.2">
      <c r="F1708" s="94"/>
    </row>
    <row r="1709" spans="6:6" ht="13.2">
      <c r="F1709" s="94"/>
    </row>
    <row r="1710" spans="6:6" ht="13.2">
      <c r="F1710" s="94"/>
    </row>
    <row r="1711" spans="6:6" ht="13.2">
      <c r="F1711" s="94"/>
    </row>
    <row r="1712" spans="6:6" ht="13.2">
      <c r="F1712" s="94"/>
    </row>
    <row r="1713" spans="6:6" ht="13.2">
      <c r="F1713" s="94"/>
    </row>
    <row r="1714" spans="6:6" ht="13.2">
      <c r="F1714" s="94"/>
    </row>
    <row r="1715" spans="6:6" ht="13.2">
      <c r="F1715" s="94"/>
    </row>
    <row r="1716" spans="6:6" ht="13.2">
      <c r="F1716" s="94"/>
    </row>
    <row r="1717" spans="6:6" ht="13.2">
      <c r="F1717" s="94"/>
    </row>
    <row r="1718" spans="6:6" ht="13.2">
      <c r="F1718" s="94"/>
    </row>
    <row r="1719" spans="6:6" ht="13.2">
      <c r="F1719" s="94"/>
    </row>
    <row r="1720" spans="6:6" ht="13.2">
      <c r="F1720" s="94"/>
    </row>
    <row r="1721" spans="6:6" ht="13.2">
      <c r="F1721" s="94"/>
    </row>
    <row r="1722" spans="6:6" ht="13.2">
      <c r="F1722" s="94"/>
    </row>
    <row r="1723" spans="6:6" ht="13.2">
      <c r="F1723" s="94"/>
    </row>
    <row r="1724" spans="6:6" ht="13.2">
      <c r="F1724" s="94"/>
    </row>
    <row r="1725" spans="6:6" ht="13.2">
      <c r="F1725" s="94"/>
    </row>
    <row r="1726" spans="6:6" ht="13.2">
      <c r="F1726" s="94"/>
    </row>
    <row r="1727" spans="6:6" ht="13.2">
      <c r="F1727" s="94"/>
    </row>
    <row r="1728" spans="6:6" ht="13.2">
      <c r="F1728" s="94"/>
    </row>
    <row r="1729" spans="6:6" ht="13.2">
      <c r="F1729" s="94"/>
    </row>
    <row r="1730" spans="6:6" ht="13.2">
      <c r="F1730" s="94"/>
    </row>
    <row r="1731" spans="6:6" ht="13.2">
      <c r="F1731" s="94"/>
    </row>
    <row r="1732" spans="6:6" ht="13.2">
      <c r="F1732" s="94"/>
    </row>
    <row r="1733" spans="6:6" ht="13.2">
      <c r="F1733" s="94"/>
    </row>
    <row r="1734" spans="6:6" ht="13.2">
      <c r="F1734" s="94"/>
    </row>
    <row r="1735" spans="6:6" ht="13.2">
      <c r="F1735" s="94"/>
    </row>
    <row r="1736" spans="6:6" ht="13.2">
      <c r="F1736" s="94"/>
    </row>
    <row r="1737" spans="6:6" ht="13.2">
      <c r="F1737" s="94"/>
    </row>
    <row r="1738" spans="6:6" ht="13.2">
      <c r="F1738" s="94"/>
    </row>
    <row r="1739" spans="6:6" ht="13.2">
      <c r="F1739" s="94"/>
    </row>
    <row r="1740" spans="6:6" ht="13.2">
      <c r="F1740" s="94"/>
    </row>
    <row r="1741" spans="6:6" ht="13.2">
      <c r="F1741" s="94"/>
    </row>
    <row r="1742" spans="6:6" ht="13.2">
      <c r="F1742" s="94"/>
    </row>
    <row r="1743" spans="6:6" ht="13.2">
      <c r="F1743" s="94"/>
    </row>
    <row r="1744" spans="6:6" ht="13.2">
      <c r="F1744" s="94"/>
    </row>
    <row r="1745" spans="6:6" ht="13.2">
      <c r="F1745" s="94"/>
    </row>
    <row r="1746" spans="6:6" ht="13.2">
      <c r="F1746" s="94"/>
    </row>
    <row r="1747" spans="6:6" ht="13.2">
      <c r="F1747" s="94"/>
    </row>
    <row r="1748" spans="6:6" ht="13.2">
      <c r="F1748" s="94"/>
    </row>
    <row r="1749" spans="6:6" ht="13.2">
      <c r="F1749" s="94"/>
    </row>
    <row r="1750" spans="6:6" ht="13.2">
      <c r="F1750" s="94"/>
    </row>
    <row r="1751" spans="6:6" ht="13.2">
      <c r="F1751" s="94"/>
    </row>
    <row r="1752" spans="6:6" ht="13.2">
      <c r="F1752" s="94"/>
    </row>
    <row r="1753" spans="6:6" ht="13.2">
      <c r="F1753" s="94"/>
    </row>
    <row r="1754" spans="6:6" ht="13.2">
      <c r="F1754" s="94"/>
    </row>
    <row r="1755" spans="6:6" ht="13.2">
      <c r="F1755" s="94"/>
    </row>
    <row r="1756" spans="6:6" ht="13.2">
      <c r="F1756" s="94"/>
    </row>
    <row r="1757" spans="6:6" ht="13.2">
      <c r="F1757" s="94"/>
    </row>
    <row r="1758" spans="6:6" ht="13.2">
      <c r="F1758" s="94"/>
    </row>
    <row r="1759" spans="6:6" ht="13.2">
      <c r="F1759" s="94"/>
    </row>
    <row r="1760" spans="6:6" ht="13.2">
      <c r="F1760" s="94"/>
    </row>
    <row r="1761" spans="6:6" ht="13.2">
      <c r="F1761" s="94"/>
    </row>
    <row r="1762" spans="6:6" ht="13.2">
      <c r="F1762" s="94"/>
    </row>
    <row r="1763" spans="6:6" ht="13.2">
      <c r="F1763" s="94"/>
    </row>
    <row r="1764" spans="6:6" ht="13.2">
      <c r="F1764" s="94"/>
    </row>
    <row r="1765" spans="6:6" ht="13.2">
      <c r="F1765" s="94"/>
    </row>
    <row r="1766" spans="6:6" ht="13.2">
      <c r="F1766" s="94"/>
    </row>
    <row r="1767" spans="6:6" ht="13.2">
      <c r="F1767" s="94"/>
    </row>
    <row r="1768" spans="6:6" ht="13.2">
      <c r="F1768" s="94"/>
    </row>
    <row r="1769" spans="6:6" ht="13.2">
      <c r="F1769" s="94"/>
    </row>
    <row r="1770" spans="6:6" ht="13.2">
      <c r="F1770" s="94"/>
    </row>
    <row r="1771" spans="6:6" ht="13.2">
      <c r="F1771" s="94"/>
    </row>
    <row r="1772" spans="6:6" ht="13.2">
      <c r="F1772" s="94"/>
    </row>
    <row r="1773" spans="6:6" ht="13.2">
      <c r="F1773" s="94"/>
    </row>
    <row r="1774" spans="6:6" ht="13.2">
      <c r="F1774" s="94"/>
    </row>
    <row r="1775" spans="6:6" ht="13.2">
      <c r="F1775" s="94"/>
    </row>
    <row r="1776" spans="6:6" ht="13.2">
      <c r="F1776" s="94"/>
    </row>
    <row r="1777" spans="6:6" ht="13.2">
      <c r="F1777" s="94"/>
    </row>
    <row r="1778" spans="6:6" ht="13.2">
      <c r="F1778" s="94"/>
    </row>
    <row r="1779" spans="6:6" ht="13.2">
      <c r="F1779" s="94"/>
    </row>
    <row r="1780" spans="6:6" ht="13.2">
      <c r="F1780" s="94"/>
    </row>
    <row r="1781" spans="6:6" ht="13.2">
      <c r="F1781" s="94"/>
    </row>
    <row r="1782" spans="6:6" ht="13.2">
      <c r="F1782" s="94"/>
    </row>
    <row r="1783" spans="6:6" ht="13.2">
      <c r="F1783" s="94"/>
    </row>
    <row r="1784" spans="6:6" ht="13.2">
      <c r="F1784" s="94"/>
    </row>
    <row r="1785" spans="6:6" ht="13.2">
      <c r="F1785" s="94"/>
    </row>
    <row r="1786" spans="6:6" ht="13.2">
      <c r="F1786" s="94"/>
    </row>
    <row r="1787" spans="6:6" ht="13.2">
      <c r="F1787" s="94"/>
    </row>
    <row r="1788" spans="6:6" ht="13.2">
      <c r="F1788" s="94"/>
    </row>
    <row r="1789" spans="6:6" ht="13.2">
      <c r="F1789" s="94"/>
    </row>
    <row r="1790" spans="6:6" ht="13.2">
      <c r="F1790" s="94"/>
    </row>
    <row r="1791" spans="6:6" ht="13.2">
      <c r="F1791" s="94"/>
    </row>
    <row r="1792" spans="6:6" ht="13.2">
      <c r="F1792" s="94"/>
    </row>
    <row r="1793" spans="6:6" ht="13.2">
      <c r="F1793" s="94"/>
    </row>
    <row r="1794" spans="6:6" ht="13.2">
      <c r="F1794" s="94"/>
    </row>
    <row r="1795" spans="6:6" ht="13.2">
      <c r="F1795" s="94"/>
    </row>
    <row r="1796" spans="6:6" ht="13.2">
      <c r="F1796" s="94"/>
    </row>
    <row r="1797" spans="6:6" ht="13.2">
      <c r="F1797" s="94"/>
    </row>
    <row r="1798" spans="6:6" ht="13.2">
      <c r="F1798" s="94"/>
    </row>
    <row r="1799" spans="6:6" ht="13.2">
      <c r="F1799" s="94"/>
    </row>
    <row r="1800" spans="6:6" ht="13.2">
      <c r="F1800" s="94"/>
    </row>
    <row r="1801" spans="6:6" ht="13.2">
      <c r="F1801" s="94"/>
    </row>
    <row r="1802" spans="6:6" ht="13.2">
      <c r="F1802" s="94"/>
    </row>
    <row r="1803" spans="6:6" ht="13.2">
      <c r="F1803" s="94"/>
    </row>
    <row r="1804" spans="6:6" ht="13.2">
      <c r="F1804" s="94"/>
    </row>
    <row r="1805" spans="6:6" ht="13.2">
      <c r="F1805" s="94"/>
    </row>
    <row r="1806" spans="6:6" ht="13.2">
      <c r="F1806" s="94"/>
    </row>
    <row r="1807" spans="6:6" ht="13.2">
      <c r="F1807" s="94"/>
    </row>
    <row r="1808" spans="6:6" ht="13.2">
      <c r="F1808" s="94"/>
    </row>
    <row r="1809" spans="6:6" ht="13.2">
      <c r="F1809" s="94"/>
    </row>
    <row r="1810" spans="6:6" ht="13.2">
      <c r="F1810" s="94"/>
    </row>
    <row r="1811" spans="6:6" ht="13.2">
      <c r="F1811" s="94"/>
    </row>
    <row r="1812" spans="6:6" ht="13.2">
      <c r="F1812" s="94"/>
    </row>
    <row r="1813" spans="6:6" ht="13.2">
      <c r="F1813" s="94"/>
    </row>
    <row r="1814" spans="6:6" ht="13.2">
      <c r="F1814" s="94"/>
    </row>
    <row r="1815" spans="6:6" ht="13.2">
      <c r="F1815" s="94"/>
    </row>
    <row r="1816" spans="6:6" ht="13.2">
      <c r="F1816" s="94"/>
    </row>
    <row r="1817" spans="6:6" ht="13.2">
      <c r="F1817" s="94"/>
    </row>
    <row r="1818" spans="6:6" ht="13.2">
      <c r="F1818" s="94"/>
    </row>
    <row r="1819" spans="6:6" ht="13.2">
      <c r="F1819" s="94"/>
    </row>
    <row r="1820" spans="6:6" ht="13.2">
      <c r="F1820" s="94"/>
    </row>
    <row r="1821" spans="6:6" ht="13.2">
      <c r="F1821" s="94"/>
    </row>
    <row r="1822" spans="6:6" ht="13.2">
      <c r="F1822" s="94"/>
    </row>
    <row r="1823" spans="6:6" ht="13.2">
      <c r="F1823" s="94"/>
    </row>
    <row r="1824" spans="6:6" ht="13.2">
      <c r="F1824" s="94"/>
    </row>
    <row r="1825" spans="6:6" ht="13.2">
      <c r="F1825" s="94"/>
    </row>
    <row r="1826" spans="6:6" ht="13.2">
      <c r="F1826" s="94"/>
    </row>
    <row r="1827" spans="6:6" ht="13.2">
      <c r="F1827" s="94"/>
    </row>
    <row r="1828" spans="6:6" ht="13.2">
      <c r="F1828" s="94"/>
    </row>
    <row r="1829" spans="6:6" ht="13.2">
      <c r="F1829" s="94"/>
    </row>
    <row r="1830" spans="6:6" ht="13.2">
      <c r="F1830" s="94"/>
    </row>
    <row r="1831" spans="6:6" ht="13.2">
      <c r="F1831" s="94"/>
    </row>
    <row r="1832" spans="6:6" ht="13.2">
      <c r="F1832" s="94"/>
    </row>
    <row r="1833" spans="6:6" ht="13.2">
      <c r="F1833" s="94"/>
    </row>
    <row r="1834" spans="6:6" ht="13.2">
      <c r="F1834" s="94"/>
    </row>
    <row r="1835" spans="6:6" ht="13.2">
      <c r="F1835" s="94"/>
    </row>
    <row r="1836" spans="6:6" ht="13.2">
      <c r="F1836" s="94"/>
    </row>
    <row r="1837" spans="6:6" ht="13.2">
      <c r="F1837" s="94"/>
    </row>
    <row r="1838" spans="6:6" ht="13.2">
      <c r="F1838" s="94"/>
    </row>
    <row r="1839" spans="6:6" ht="13.2">
      <c r="F1839" s="94"/>
    </row>
    <row r="1840" spans="6:6" ht="13.2">
      <c r="F1840" s="94"/>
    </row>
    <row r="1841" spans="6:6" ht="13.2">
      <c r="F1841" s="94"/>
    </row>
    <row r="1842" spans="6:6" ht="13.2">
      <c r="F1842" s="94"/>
    </row>
    <row r="1843" spans="6:6" ht="13.2">
      <c r="F1843" s="94"/>
    </row>
    <row r="1844" spans="6:6" ht="13.2">
      <c r="F1844" s="94"/>
    </row>
    <row r="1845" spans="6:6" ht="13.2">
      <c r="F1845" s="94"/>
    </row>
    <row r="1846" spans="6:6" ht="13.2">
      <c r="F1846" s="94"/>
    </row>
    <row r="1847" spans="6:6" ht="13.2">
      <c r="F1847" s="94"/>
    </row>
    <row r="1848" spans="6:6" ht="13.2">
      <c r="F1848" s="94"/>
    </row>
    <row r="1849" spans="6:6" ht="13.2">
      <c r="F1849" s="94"/>
    </row>
    <row r="1850" spans="6:6" ht="13.2">
      <c r="F1850" s="94"/>
    </row>
    <row r="1851" spans="6:6" ht="13.2">
      <c r="F1851" s="94"/>
    </row>
    <row r="1852" spans="6:6" ht="13.2">
      <c r="F1852" s="94"/>
    </row>
    <row r="1853" spans="6:6" ht="13.2">
      <c r="F1853" s="94"/>
    </row>
    <row r="1854" spans="6:6" ht="13.2">
      <c r="F1854" s="94"/>
    </row>
    <row r="1855" spans="6:6" ht="13.2">
      <c r="F1855" s="94"/>
    </row>
    <row r="1856" spans="6:6" ht="13.2">
      <c r="F1856" s="94"/>
    </row>
    <row r="1857" spans="6:6" ht="13.2">
      <c r="F1857" s="94"/>
    </row>
    <row r="1858" spans="6:6" ht="13.2">
      <c r="F1858" s="94"/>
    </row>
    <row r="1859" spans="6:6" ht="13.2">
      <c r="F1859" s="94"/>
    </row>
    <row r="1860" spans="6:6" ht="13.2">
      <c r="F1860" s="94"/>
    </row>
    <row r="1861" spans="6:6" ht="13.2">
      <c r="F1861" s="94"/>
    </row>
    <row r="1862" spans="6:6" ht="13.2">
      <c r="F1862" s="94"/>
    </row>
    <row r="1863" spans="6:6" ht="13.2">
      <c r="F1863" s="94"/>
    </row>
    <row r="1864" spans="6:6" ht="13.2">
      <c r="F1864" s="94"/>
    </row>
    <row r="1865" spans="6:6" ht="13.2">
      <c r="F1865" s="94"/>
    </row>
    <row r="1866" spans="6:6" ht="13.2">
      <c r="F1866" s="94"/>
    </row>
    <row r="1867" spans="6:6" ht="13.2">
      <c r="F1867" s="94"/>
    </row>
    <row r="1868" spans="6:6" ht="13.2">
      <c r="F1868" s="94"/>
    </row>
    <row r="1869" spans="6:6" ht="13.2">
      <c r="F1869" s="94"/>
    </row>
    <row r="1870" spans="6:6" ht="13.2">
      <c r="F1870" s="94"/>
    </row>
    <row r="1871" spans="6:6" ht="13.2">
      <c r="F1871" s="94"/>
    </row>
    <row r="1872" spans="6:6" ht="13.2">
      <c r="F1872" s="94"/>
    </row>
    <row r="1873" spans="6:6" ht="13.2">
      <c r="F1873" s="94"/>
    </row>
    <row r="1874" spans="6:6" ht="13.2">
      <c r="F1874" s="94"/>
    </row>
    <row r="1875" spans="6:6" ht="13.2">
      <c r="F1875" s="94"/>
    </row>
    <row r="1876" spans="6:6" ht="13.2">
      <c r="F1876" s="94"/>
    </row>
    <row r="1877" spans="6:6" ht="13.2">
      <c r="F1877" s="94"/>
    </row>
    <row r="1878" spans="6:6" ht="13.2">
      <c r="F1878" s="94"/>
    </row>
    <row r="1879" spans="6:6" ht="13.2">
      <c r="F1879" s="94"/>
    </row>
    <row r="1880" spans="6:6" ht="13.2">
      <c r="F1880" s="94"/>
    </row>
    <row r="1881" spans="6:6" ht="13.2">
      <c r="F1881" s="94"/>
    </row>
    <row r="1882" spans="6:6" ht="13.2">
      <c r="F1882" s="94"/>
    </row>
    <row r="1883" spans="6:6" ht="13.2">
      <c r="F1883" s="94"/>
    </row>
    <row r="1884" spans="6:6" ht="13.2">
      <c r="F1884" s="94"/>
    </row>
    <row r="1885" spans="6:6" ht="13.2">
      <c r="F1885" s="94"/>
    </row>
    <row r="1886" spans="6:6" ht="13.2">
      <c r="F1886" s="94"/>
    </row>
    <row r="1887" spans="6:6" ht="13.2">
      <c r="F1887" s="94"/>
    </row>
    <row r="1888" spans="6:6" ht="13.2">
      <c r="F1888" s="94"/>
    </row>
    <row r="1889" spans="6:6" ht="13.2">
      <c r="F1889" s="94"/>
    </row>
    <row r="1890" spans="6:6" ht="13.2">
      <c r="F1890" s="94"/>
    </row>
    <row r="1891" spans="6:6" ht="13.2">
      <c r="F1891" s="94"/>
    </row>
    <row r="1892" spans="6:6" ht="13.2">
      <c r="F1892" s="94"/>
    </row>
    <row r="1893" spans="6:6" ht="13.2">
      <c r="F1893" s="94"/>
    </row>
    <row r="1894" spans="6:6" ht="13.2">
      <c r="F1894" s="94"/>
    </row>
    <row r="1895" spans="6:6" ht="13.2">
      <c r="F1895" s="94"/>
    </row>
    <row r="1896" spans="6:6" ht="13.2">
      <c r="F1896" s="94"/>
    </row>
    <row r="1897" spans="6:6" ht="13.2">
      <c r="F1897" s="94"/>
    </row>
    <row r="1898" spans="6:6" ht="13.2">
      <c r="F1898" s="94"/>
    </row>
    <row r="1899" spans="6:6" ht="13.2">
      <c r="F1899" s="94"/>
    </row>
    <row r="1900" spans="6:6" ht="13.2">
      <c r="F1900" s="94"/>
    </row>
    <row r="1901" spans="6:6" ht="13.2">
      <c r="F1901" s="94"/>
    </row>
    <row r="1902" spans="6:6" ht="13.2">
      <c r="F1902" s="94"/>
    </row>
    <row r="1903" spans="6:6" ht="13.2">
      <c r="F1903" s="94"/>
    </row>
    <row r="1904" spans="6:6" ht="13.2">
      <c r="F1904" s="94"/>
    </row>
    <row r="1905" spans="6:6" ht="13.2">
      <c r="F1905" s="94"/>
    </row>
    <row r="1906" spans="6:6" ht="13.2">
      <c r="F1906" s="94"/>
    </row>
    <row r="1907" spans="6:6" ht="13.2">
      <c r="F1907" s="94"/>
    </row>
    <row r="1908" spans="6:6" ht="13.2">
      <c r="F1908" s="94"/>
    </row>
    <row r="1909" spans="6:6" ht="13.2">
      <c r="F1909" s="94"/>
    </row>
    <row r="1910" spans="6:6" ht="13.2">
      <c r="F1910" s="94"/>
    </row>
    <row r="1911" spans="6:6" ht="13.2">
      <c r="F1911" s="94"/>
    </row>
    <row r="1912" spans="6:6" ht="13.2">
      <c r="F1912" s="94"/>
    </row>
    <row r="1913" spans="6:6" ht="13.2">
      <c r="F1913" s="94"/>
    </row>
    <row r="1914" spans="6:6" ht="13.2">
      <c r="F1914" s="94"/>
    </row>
    <row r="1915" spans="6:6" ht="13.2">
      <c r="F1915" s="94"/>
    </row>
    <row r="1916" spans="6:6" ht="13.2">
      <c r="F1916" s="94"/>
    </row>
    <row r="1917" spans="6:6" ht="13.2">
      <c r="F1917" s="94"/>
    </row>
    <row r="1918" spans="6:6" ht="13.2">
      <c r="F1918" s="94"/>
    </row>
    <row r="1919" spans="6:6" ht="13.2">
      <c r="F1919" s="94"/>
    </row>
    <row r="1920" spans="6:6" ht="13.2">
      <c r="F1920" s="94"/>
    </row>
    <row r="1921" spans="6:6" ht="13.2">
      <c r="F1921" s="94"/>
    </row>
    <row r="1922" spans="6:6" ht="13.2">
      <c r="F1922" s="94"/>
    </row>
    <row r="1923" spans="6:6" ht="13.2">
      <c r="F1923" s="94"/>
    </row>
    <row r="1924" spans="6:6" ht="13.2">
      <c r="F1924" s="94"/>
    </row>
    <row r="1925" spans="6:6" ht="13.2">
      <c r="F1925" s="94"/>
    </row>
    <row r="1926" spans="6:6" ht="13.2">
      <c r="F1926" s="94"/>
    </row>
    <row r="1927" spans="6:6" ht="13.2">
      <c r="F1927" s="94"/>
    </row>
    <row r="1928" spans="6:6" ht="13.2">
      <c r="F1928" s="94"/>
    </row>
    <row r="1929" spans="6:6" ht="13.2">
      <c r="F1929" s="94"/>
    </row>
    <row r="1930" spans="6:6" ht="13.2">
      <c r="F1930" s="94"/>
    </row>
    <row r="1931" spans="6:6" ht="13.2">
      <c r="F1931" s="94"/>
    </row>
    <row r="1932" spans="6:6" ht="13.2">
      <c r="F1932" s="94"/>
    </row>
    <row r="1933" spans="6:6" ht="13.2">
      <c r="F1933" s="94"/>
    </row>
    <row r="1934" spans="6:6" ht="13.2">
      <c r="F1934" s="94"/>
    </row>
    <row r="1935" spans="6:6" ht="13.2">
      <c r="F1935" s="94"/>
    </row>
    <row r="1936" spans="6:6" ht="13.2">
      <c r="F1936" s="94"/>
    </row>
    <row r="1937" spans="6:6" ht="13.2">
      <c r="F1937" s="94"/>
    </row>
    <row r="1938" spans="6:6" ht="13.2">
      <c r="F1938" s="94"/>
    </row>
    <row r="1939" spans="6:6" ht="13.2">
      <c r="F1939" s="94"/>
    </row>
    <row r="1940" spans="6:6" ht="13.2">
      <c r="F1940" s="94"/>
    </row>
    <row r="1941" spans="6:6" ht="13.2">
      <c r="F1941" s="94"/>
    </row>
    <row r="1942" spans="6:6" ht="13.2">
      <c r="F1942" s="94"/>
    </row>
    <row r="1943" spans="6:6" ht="13.2">
      <c r="F1943" s="94"/>
    </row>
    <row r="1944" spans="6:6" ht="13.2">
      <c r="F1944" s="94"/>
    </row>
    <row r="1945" spans="6:6" ht="13.2">
      <c r="F1945" s="94"/>
    </row>
    <row r="1946" spans="6:6" ht="13.2">
      <c r="F1946" s="94"/>
    </row>
    <row r="1947" spans="6:6" ht="13.2">
      <c r="F1947" s="94"/>
    </row>
    <row r="1948" spans="6:6" ht="13.2">
      <c r="F1948" s="94"/>
    </row>
    <row r="1949" spans="6:6" ht="13.2">
      <c r="F1949" s="94"/>
    </row>
    <row r="1950" spans="6:6" ht="13.2">
      <c r="F1950" s="94"/>
    </row>
    <row r="1951" spans="6:6" ht="13.2">
      <c r="F1951" s="94"/>
    </row>
    <row r="1952" spans="6:6" ht="13.2">
      <c r="F1952" s="94"/>
    </row>
    <row r="1953" spans="6:6" ht="13.2">
      <c r="F1953" s="94"/>
    </row>
    <row r="1954" spans="6:6" ht="13.2">
      <c r="F1954" s="94"/>
    </row>
    <row r="1955" spans="6:6" ht="13.2">
      <c r="F1955" s="94"/>
    </row>
    <row r="1956" spans="6:6" ht="13.2">
      <c r="F1956" s="94"/>
    </row>
    <row r="1957" spans="6:6" ht="13.2">
      <c r="F1957" s="94"/>
    </row>
    <row r="1958" spans="6:6" ht="13.2">
      <c r="F1958" s="94"/>
    </row>
    <row r="1959" spans="6:6" ht="13.2">
      <c r="F1959" s="94"/>
    </row>
    <row r="1960" spans="6:6" ht="13.2">
      <c r="F1960" s="94"/>
    </row>
    <row r="1961" spans="6:6" ht="13.2">
      <c r="F1961" s="94"/>
    </row>
    <row r="1962" spans="6:6" ht="13.2">
      <c r="F1962" s="94"/>
    </row>
    <row r="1963" spans="6:6" ht="13.2">
      <c r="F1963" s="94"/>
    </row>
    <row r="1964" spans="6:6" ht="13.2">
      <c r="F1964" s="94"/>
    </row>
    <row r="1965" spans="6:6" ht="13.2">
      <c r="F1965" s="94"/>
    </row>
    <row r="1966" spans="6:6" ht="13.2">
      <c r="F1966" s="94"/>
    </row>
    <row r="1967" spans="6:6" ht="13.2">
      <c r="F1967" s="94"/>
    </row>
    <row r="1968" spans="6:6" ht="13.2">
      <c r="F1968" s="94"/>
    </row>
    <row r="1969" spans="6:6" ht="13.2">
      <c r="F1969" s="94"/>
    </row>
    <row r="1970" spans="6:6" ht="13.2">
      <c r="F1970" s="94"/>
    </row>
    <row r="1971" spans="6:6" ht="13.2">
      <c r="F1971" s="94"/>
    </row>
    <row r="1972" spans="6:6" ht="13.2">
      <c r="F1972" s="94"/>
    </row>
    <row r="1973" spans="6:6" ht="13.2">
      <c r="F1973" s="94"/>
    </row>
    <row r="1974" spans="6:6" ht="13.2">
      <c r="F1974" s="94"/>
    </row>
    <row r="1975" spans="6:6" ht="13.2">
      <c r="F1975" s="94"/>
    </row>
    <row r="1976" spans="6:6" ht="13.2">
      <c r="F1976" s="94"/>
    </row>
    <row r="1977" spans="6:6" ht="13.2">
      <c r="F1977" s="94"/>
    </row>
    <row r="1978" spans="6:6" ht="13.2">
      <c r="F1978" s="94"/>
    </row>
    <row r="1979" spans="6:6" ht="13.2">
      <c r="F1979" s="94"/>
    </row>
    <row r="1980" spans="6:6" ht="13.2">
      <c r="F1980" s="94"/>
    </row>
    <row r="1981" spans="6:6" ht="13.2">
      <c r="F1981" s="94"/>
    </row>
    <row r="1982" spans="6:6" ht="13.2">
      <c r="F1982" s="94"/>
    </row>
    <row r="1983" spans="6:6" ht="13.2">
      <c r="F1983" s="94"/>
    </row>
    <row r="1984" spans="6:6" ht="13.2">
      <c r="F1984" s="94"/>
    </row>
    <row r="1985" spans="6:6" ht="13.2">
      <c r="F1985" s="94"/>
    </row>
    <row r="1986" spans="6:6" ht="13.2">
      <c r="F1986" s="94"/>
    </row>
    <row r="1987" spans="6:6" ht="13.2">
      <c r="F1987" s="94"/>
    </row>
    <row r="1988" spans="6:6" ht="13.2">
      <c r="F1988" s="94"/>
    </row>
    <row r="1989" spans="6:6" ht="13.2">
      <c r="F1989" s="94"/>
    </row>
    <row r="1990" spans="6:6" ht="13.2">
      <c r="F1990" s="94"/>
    </row>
    <row r="1991" spans="6:6" ht="13.2">
      <c r="F1991" s="94"/>
    </row>
    <row r="1992" spans="6:6" ht="13.2">
      <c r="F1992" s="94"/>
    </row>
    <row r="1993" spans="6:6" ht="13.2">
      <c r="F1993" s="94"/>
    </row>
    <row r="1994" spans="6:6" ht="13.2">
      <c r="F1994" s="94"/>
    </row>
    <row r="1995" spans="6:6" ht="13.2">
      <c r="F1995" s="94"/>
    </row>
    <row r="1996" spans="6:6" ht="13.2">
      <c r="F1996" s="94"/>
    </row>
    <row r="1997" spans="6:6" ht="13.2">
      <c r="F1997" s="94"/>
    </row>
    <row r="1998" spans="6:6" ht="13.2">
      <c r="F1998" s="94"/>
    </row>
    <row r="1999" spans="6:6" ht="13.2">
      <c r="F1999" s="94"/>
    </row>
    <row r="2000" spans="6:6" ht="13.2">
      <c r="F2000" s="94"/>
    </row>
    <row r="2001" spans="6:6" ht="13.2">
      <c r="F2001" s="94"/>
    </row>
    <row r="2002" spans="6:6" ht="13.2">
      <c r="F2002" s="94"/>
    </row>
    <row r="2003" spans="6:6" ht="13.2">
      <c r="F2003" s="94"/>
    </row>
    <row r="2004" spans="6:6" ht="13.2">
      <c r="F2004" s="94"/>
    </row>
    <row r="2005" spans="6:6" ht="13.2">
      <c r="F2005" s="94"/>
    </row>
    <row r="2006" spans="6:6" ht="13.2">
      <c r="F2006" s="94"/>
    </row>
    <row r="2007" spans="6:6" ht="13.2">
      <c r="F2007" s="94"/>
    </row>
    <row r="2008" spans="6:6" ht="13.2">
      <c r="F2008" s="94"/>
    </row>
    <row r="2009" spans="6:6" ht="13.2">
      <c r="F2009" s="94"/>
    </row>
    <row r="2010" spans="6:6" ht="13.2">
      <c r="F2010" s="94"/>
    </row>
    <row r="2011" spans="6:6" ht="13.2">
      <c r="F2011" s="94"/>
    </row>
    <row r="2012" spans="6:6" ht="13.2">
      <c r="F2012" s="94"/>
    </row>
    <row r="2013" spans="6:6" ht="13.2">
      <c r="F2013" s="94"/>
    </row>
    <row r="2014" spans="6:6" ht="13.2">
      <c r="F2014" s="94"/>
    </row>
    <row r="2015" spans="6:6" ht="13.2">
      <c r="F2015" s="94"/>
    </row>
    <row r="2016" spans="6:6" ht="13.2">
      <c r="F2016" s="94"/>
    </row>
    <row r="2017" spans="6:6" ht="13.2">
      <c r="F2017" s="94"/>
    </row>
    <row r="2018" spans="6:6" ht="13.2">
      <c r="F2018" s="94"/>
    </row>
    <row r="2019" spans="6:6" ht="13.2">
      <c r="F2019" s="94"/>
    </row>
    <row r="2020" spans="6:6" ht="13.2">
      <c r="F2020" s="94"/>
    </row>
    <row r="2021" spans="6:6" ht="13.2">
      <c r="F2021" s="94"/>
    </row>
    <row r="2022" spans="6:6" ht="13.2">
      <c r="F2022" s="94"/>
    </row>
    <row r="2023" spans="6:6" ht="13.2">
      <c r="F2023" s="94"/>
    </row>
    <row r="2024" spans="6:6" ht="13.2">
      <c r="F2024" s="94"/>
    </row>
    <row r="2025" spans="6:6" ht="13.2">
      <c r="F2025" s="94"/>
    </row>
    <row r="2026" spans="6:6" ht="13.2">
      <c r="F2026" s="94"/>
    </row>
    <row r="2027" spans="6:6" ht="13.2">
      <c r="F2027" s="94"/>
    </row>
    <row r="2028" spans="6:6" ht="13.2">
      <c r="F2028" s="94"/>
    </row>
    <row r="2029" spans="6:6" ht="13.2">
      <c r="F2029" s="94"/>
    </row>
    <row r="2030" spans="6:6" ht="13.2">
      <c r="F2030" s="94"/>
    </row>
    <row r="2031" spans="6:6" ht="13.2">
      <c r="F2031" s="94"/>
    </row>
    <row r="2032" spans="6:6" ht="13.2">
      <c r="F2032" s="94"/>
    </row>
    <row r="2033" spans="6:6" ht="13.2">
      <c r="F2033" s="94"/>
    </row>
    <row r="2034" spans="6:6" ht="13.2">
      <c r="F2034" s="94"/>
    </row>
    <row r="2035" spans="6:6" ht="13.2">
      <c r="F2035" s="94"/>
    </row>
    <row r="2036" spans="6:6" ht="13.2">
      <c r="F2036" s="94"/>
    </row>
    <row r="2037" spans="6:6" ht="13.2">
      <c r="F2037" s="94"/>
    </row>
    <row r="2038" spans="6:6" ht="13.2">
      <c r="F2038" s="94"/>
    </row>
    <row r="2039" spans="6:6" ht="13.2">
      <c r="F2039" s="94"/>
    </row>
    <row r="2040" spans="6:6" ht="13.2">
      <c r="F2040" s="94"/>
    </row>
    <row r="2041" spans="6:6" ht="13.2">
      <c r="F2041" s="94"/>
    </row>
    <row r="2042" spans="6:6" ht="13.2">
      <c r="F2042" s="94"/>
    </row>
    <row r="2043" spans="6:6" ht="13.2">
      <c r="F2043" s="94"/>
    </row>
    <row r="2044" spans="6:6" ht="13.2">
      <c r="F2044" s="94"/>
    </row>
    <row r="2045" spans="6:6" ht="13.2">
      <c r="F2045" s="94"/>
    </row>
    <row r="2046" spans="6:6" ht="13.2">
      <c r="F2046" s="94"/>
    </row>
    <row r="2047" spans="6:6" ht="13.2">
      <c r="F2047" s="94"/>
    </row>
    <row r="2048" spans="6:6" ht="13.2">
      <c r="F2048" s="94"/>
    </row>
    <row r="2049" spans="6:6" ht="13.2">
      <c r="F2049" s="94"/>
    </row>
    <row r="2050" spans="6:6" ht="13.2">
      <c r="F2050" s="94"/>
    </row>
    <row r="2051" spans="6:6" ht="13.2">
      <c r="F2051" s="94"/>
    </row>
    <row r="2052" spans="6:6" ht="13.2">
      <c r="F2052" s="94"/>
    </row>
    <row r="2053" spans="6:6" ht="13.2">
      <c r="F2053" s="94"/>
    </row>
    <row r="2054" spans="6:6" ht="13.2">
      <c r="F2054" s="94"/>
    </row>
    <row r="2055" spans="6:6" ht="13.2">
      <c r="F2055" s="94"/>
    </row>
    <row r="2056" spans="6:6" ht="13.2">
      <c r="F2056" s="94"/>
    </row>
    <row r="2057" spans="6:6" ht="13.2">
      <c r="F2057" s="94"/>
    </row>
    <row r="2058" spans="6:6" ht="13.2">
      <c r="F2058" s="94"/>
    </row>
    <row r="2059" spans="6:6" ht="13.2">
      <c r="F2059" s="94"/>
    </row>
    <row r="2060" spans="6:6" ht="13.2">
      <c r="F2060" s="94"/>
    </row>
    <row r="2061" spans="6:6" ht="13.2">
      <c r="F2061" s="94"/>
    </row>
    <row r="2062" spans="6:6" ht="13.2">
      <c r="F2062" s="94"/>
    </row>
    <row r="2063" spans="6:6" ht="13.2">
      <c r="F2063" s="94"/>
    </row>
    <row r="2064" spans="6:6" ht="13.2">
      <c r="F2064" s="94"/>
    </row>
    <row r="2065" spans="6:6" ht="13.2">
      <c r="F2065" s="94"/>
    </row>
    <row r="2066" spans="6:6" ht="13.2">
      <c r="F2066" s="94"/>
    </row>
    <row r="2067" spans="6:6" ht="13.2">
      <c r="F2067" s="94"/>
    </row>
    <row r="2068" spans="6:6" ht="13.2">
      <c r="F2068" s="94"/>
    </row>
    <row r="2069" spans="6:6" ht="13.2">
      <c r="F2069" s="94"/>
    </row>
    <row r="2070" spans="6:6" ht="13.2">
      <c r="F2070" s="94"/>
    </row>
    <row r="2071" spans="6:6" ht="13.2">
      <c r="F2071" s="94"/>
    </row>
    <row r="2072" spans="6:6" ht="13.2">
      <c r="F2072" s="94"/>
    </row>
    <row r="2073" spans="6:6" ht="13.2">
      <c r="F2073" s="94"/>
    </row>
    <row r="2074" spans="6:6" ht="13.2">
      <c r="F2074" s="94"/>
    </row>
    <row r="2075" spans="6:6" ht="13.2">
      <c r="F2075" s="94"/>
    </row>
    <row r="2076" spans="6:6" ht="13.2">
      <c r="F2076" s="94"/>
    </row>
    <row r="2077" spans="6:6" ht="13.2">
      <c r="F2077" s="94"/>
    </row>
    <row r="2078" spans="6:6" ht="13.2">
      <c r="F2078" s="94"/>
    </row>
    <row r="2079" spans="6:6" ht="13.2">
      <c r="F2079" s="94"/>
    </row>
    <row r="2080" spans="6:6" ht="13.2">
      <c r="F2080" s="94"/>
    </row>
    <row r="2081" spans="6:6" ht="13.2">
      <c r="F2081" s="94"/>
    </row>
    <row r="2082" spans="6:6" ht="13.2">
      <c r="F2082" s="94"/>
    </row>
    <row r="2083" spans="6:6" ht="13.2">
      <c r="F2083" s="94"/>
    </row>
    <row r="2084" spans="6:6" ht="13.2">
      <c r="F2084" s="94"/>
    </row>
    <row r="2085" spans="6:6" ht="13.2">
      <c r="F2085" s="94"/>
    </row>
    <row r="2086" spans="6:6" ht="13.2">
      <c r="F2086" s="94"/>
    </row>
    <row r="2087" spans="6:6" ht="13.2">
      <c r="F2087" s="94"/>
    </row>
    <row r="2088" spans="6:6" ht="13.2">
      <c r="F2088" s="94"/>
    </row>
    <row r="2089" spans="6:6" ht="13.2">
      <c r="F2089" s="94"/>
    </row>
    <row r="2090" spans="6:6" ht="13.2">
      <c r="F2090" s="94"/>
    </row>
    <row r="2091" spans="6:6" ht="13.2">
      <c r="F2091" s="94"/>
    </row>
    <row r="2092" spans="6:6" ht="13.2">
      <c r="F2092" s="94"/>
    </row>
    <row r="2093" spans="6:6" ht="13.2">
      <c r="F2093" s="94"/>
    </row>
    <row r="2094" spans="6:6" ht="13.2">
      <c r="F2094" s="94"/>
    </row>
    <row r="2095" spans="6:6" ht="13.2">
      <c r="F2095" s="94"/>
    </row>
    <row r="2096" spans="6:6" ht="13.2">
      <c r="F2096" s="94"/>
    </row>
    <row r="2097" spans="6:6" ht="13.2">
      <c r="F2097" s="94"/>
    </row>
    <row r="2098" spans="6:6" ht="13.2">
      <c r="F2098" s="94"/>
    </row>
    <row r="2099" spans="6:6" ht="13.2">
      <c r="F2099" s="94"/>
    </row>
    <row r="2100" spans="6:6" ht="13.2">
      <c r="F2100" s="94"/>
    </row>
    <row r="2101" spans="6:6" ht="13.2">
      <c r="F2101" s="94"/>
    </row>
    <row r="2102" spans="6:6" ht="13.2">
      <c r="F2102" s="94"/>
    </row>
    <row r="2103" spans="6:6" ht="13.2">
      <c r="F2103" s="94"/>
    </row>
    <row r="2104" spans="6:6" ht="13.2">
      <c r="F2104" s="94"/>
    </row>
    <row r="2105" spans="6:6" ht="13.2">
      <c r="F2105" s="94"/>
    </row>
    <row r="2106" spans="6:6" ht="13.2">
      <c r="F2106" s="94"/>
    </row>
    <row r="2107" spans="6:6" ht="13.2">
      <c r="F2107" s="94"/>
    </row>
    <row r="2108" spans="6:6" ht="13.2">
      <c r="F2108" s="94"/>
    </row>
    <row r="2109" spans="6:6" ht="13.2">
      <c r="F2109" s="94"/>
    </row>
    <row r="2110" spans="6:6" ht="13.2">
      <c r="F2110" s="94"/>
    </row>
    <row r="2111" spans="6:6" ht="13.2">
      <c r="F2111" s="94"/>
    </row>
    <row r="2112" spans="6:6" ht="13.2">
      <c r="F2112" s="94"/>
    </row>
    <row r="2113" spans="6:6" ht="13.2">
      <c r="F2113" s="94"/>
    </row>
    <row r="2114" spans="6:6" ht="13.2">
      <c r="F2114" s="94"/>
    </row>
    <row r="2115" spans="6:6" ht="13.2">
      <c r="F2115" s="94"/>
    </row>
    <row r="2116" spans="6:6" ht="13.2">
      <c r="F2116" s="94"/>
    </row>
    <row r="2117" spans="6:6" ht="13.2">
      <c r="F2117" s="94"/>
    </row>
    <row r="2118" spans="6:6" ht="13.2">
      <c r="F2118" s="94"/>
    </row>
    <row r="2119" spans="6:6" ht="13.2">
      <c r="F2119" s="94"/>
    </row>
    <row r="2120" spans="6:6" ht="13.2">
      <c r="F2120" s="94"/>
    </row>
    <row r="2121" spans="6:6" ht="13.2">
      <c r="F2121" s="94"/>
    </row>
    <row r="2122" spans="6:6" ht="13.2">
      <c r="F2122" s="94"/>
    </row>
    <row r="2123" spans="6:6" ht="13.2">
      <c r="F2123" s="94"/>
    </row>
    <row r="2124" spans="6:6" ht="13.2">
      <c r="F2124" s="94"/>
    </row>
    <row r="2125" spans="6:6" ht="13.2">
      <c r="F2125" s="94"/>
    </row>
    <row r="2126" spans="6:6" ht="13.2">
      <c r="F2126" s="94"/>
    </row>
    <row r="2127" spans="6:6" ht="13.2">
      <c r="F2127" s="94"/>
    </row>
    <row r="2128" spans="6:6" ht="13.2">
      <c r="F2128" s="94"/>
    </row>
    <row r="2129" spans="6:6" ht="13.2">
      <c r="F2129" s="94"/>
    </row>
    <row r="2130" spans="6:6" ht="13.2">
      <c r="F2130" s="94"/>
    </row>
    <row r="2131" spans="6:6" ht="13.2">
      <c r="F2131" s="94"/>
    </row>
    <row r="2132" spans="6:6" ht="13.2">
      <c r="F2132" s="94"/>
    </row>
    <row r="2133" spans="6:6" ht="13.2">
      <c r="F2133" s="94"/>
    </row>
    <row r="2134" spans="6:6" ht="13.2">
      <c r="F2134" s="94"/>
    </row>
    <row r="2135" spans="6:6" ht="13.2">
      <c r="F2135" s="94"/>
    </row>
    <row r="2136" spans="6:6" ht="13.2">
      <c r="F2136" s="94"/>
    </row>
    <row r="2137" spans="6:6" ht="13.2">
      <c r="F2137" s="94"/>
    </row>
    <row r="2138" spans="6:6" ht="13.2">
      <c r="F2138" s="94"/>
    </row>
    <row r="2139" spans="6:6" ht="13.2">
      <c r="F2139" s="94"/>
    </row>
    <row r="2140" spans="6:6" ht="13.2">
      <c r="F2140" s="94"/>
    </row>
    <row r="2141" spans="6:6" ht="13.2">
      <c r="F2141" s="94"/>
    </row>
    <row r="2142" spans="6:6" ht="13.2">
      <c r="F2142" s="94"/>
    </row>
    <row r="2143" spans="6:6" ht="13.2">
      <c r="F2143" s="94"/>
    </row>
    <row r="2144" spans="6:6" ht="13.2">
      <c r="F2144" s="94"/>
    </row>
    <row r="2145" spans="6:6" ht="13.2">
      <c r="F2145" s="94"/>
    </row>
    <row r="2146" spans="6:6" ht="13.2">
      <c r="F2146" s="94"/>
    </row>
    <row r="2147" spans="6:6" ht="13.2">
      <c r="F2147" s="94"/>
    </row>
    <row r="2148" spans="6:6" ht="13.2">
      <c r="F2148" s="94"/>
    </row>
    <row r="2149" spans="6:6" ht="13.2">
      <c r="F2149" s="94"/>
    </row>
    <row r="2150" spans="6:6" ht="13.2">
      <c r="F2150" s="94"/>
    </row>
    <row r="2151" spans="6:6" ht="13.2">
      <c r="F2151" s="94"/>
    </row>
    <row r="2152" spans="6:6" ht="13.2">
      <c r="F2152" s="94"/>
    </row>
    <row r="2153" spans="6:6" ht="13.2">
      <c r="F2153" s="94"/>
    </row>
    <row r="2154" spans="6:6" ht="13.2">
      <c r="F2154" s="94"/>
    </row>
    <row r="2155" spans="6:6" ht="13.2">
      <c r="F2155" s="94"/>
    </row>
    <row r="2156" spans="6:6" ht="13.2">
      <c r="F2156" s="94"/>
    </row>
    <row r="2157" spans="6:6" ht="13.2">
      <c r="F2157" s="94"/>
    </row>
    <row r="2158" spans="6:6" ht="13.2">
      <c r="F2158" s="94"/>
    </row>
    <row r="2159" spans="6:6" ht="13.2">
      <c r="F2159" s="94"/>
    </row>
    <row r="2160" spans="6:6" ht="13.2">
      <c r="F2160" s="94"/>
    </row>
    <row r="2161" spans="6:6" ht="13.2">
      <c r="F2161" s="94"/>
    </row>
    <row r="2162" spans="6:6" ht="13.2">
      <c r="F2162" s="94"/>
    </row>
    <row r="2163" spans="6:6" ht="13.2">
      <c r="F2163" s="94"/>
    </row>
    <row r="2164" spans="6:6" ht="13.2">
      <c r="F2164" s="94"/>
    </row>
    <row r="2165" spans="6:6" ht="13.2">
      <c r="F2165" s="94"/>
    </row>
    <row r="2166" spans="6:6" ht="13.2">
      <c r="F2166" s="94"/>
    </row>
    <row r="2167" spans="6:6" ht="13.2">
      <c r="F2167" s="94"/>
    </row>
    <row r="2168" spans="6:6" ht="13.2">
      <c r="F2168" s="94"/>
    </row>
    <row r="2169" spans="6:6" ht="13.2">
      <c r="F2169" s="94"/>
    </row>
    <row r="2170" spans="6:6" ht="13.2">
      <c r="F2170" s="94"/>
    </row>
    <row r="2171" spans="6:6" ht="13.2">
      <c r="F2171" s="94"/>
    </row>
    <row r="2172" spans="6:6" ht="13.2">
      <c r="F2172" s="94"/>
    </row>
    <row r="2173" spans="6:6" ht="13.2">
      <c r="F2173" s="94"/>
    </row>
    <row r="2174" spans="6:6" ht="13.2">
      <c r="F2174" s="94"/>
    </row>
    <row r="2175" spans="6:6" ht="13.2">
      <c r="F2175" s="94"/>
    </row>
    <row r="2176" spans="6:6" ht="13.2">
      <c r="F2176" s="94"/>
    </row>
    <row r="2177" spans="6:6" ht="13.2">
      <c r="F2177" s="94"/>
    </row>
    <row r="2178" spans="6:6" ht="13.2">
      <c r="F2178" s="94"/>
    </row>
    <row r="2179" spans="6:6" ht="13.2">
      <c r="F2179" s="94"/>
    </row>
    <row r="2180" spans="6:6" ht="13.2">
      <c r="F2180" s="94"/>
    </row>
    <row r="2181" spans="6:6" ht="13.2">
      <c r="F2181" s="94"/>
    </row>
    <row r="2182" spans="6:6" ht="13.2">
      <c r="F2182" s="94"/>
    </row>
    <row r="2183" spans="6:6" ht="13.2">
      <c r="F2183" s="94"/>
    </row>
    <row r="2184" spans="6:6" ht="13.2">
      <c r="F2184" s="94"/>
    </row>
    <row r="2185" spans="6:6" ht="13.2">
      <c r="F2185" s="94"/>
    </row>
    <row r="2186" spans="6:6" ht="13.2">
      <c r="F2186" s="94"/>
    </row>
    <row r="2187" spans="6:6" ht="13.2">
      <c r="F2187" s="94"/>
    </row>
    <row r="2188" spans="6:6" ht="13.2">
      <c r="F2188" s="94"/>
    </row>
    <row r="2189" spans="6:6" ht="13.2">
      <c r="F2189" s="94"/>
    </row>
    <row r="2190" spans="6:6" ht="13.2">
      <c r="F2190" s="94"/>
    </row>
    <row r="2191" spans="6:6" ht="13.2">
      <c r="F2191" s="94"/>
    </row>
    <row r="2192" spans="6:6" ht="13.2">
      <c r="F2192" s="94"/>
    </row>
    <row r="2193" spans="6:6" ht="13.2">
      <c r="F2193" s="94"/>
    </row>
    <row r="2194" spans="6:6" ht="13.2">
      <c r="F2194" s="94"/>
    </row>
    <row r="2195" spans="6:6" ht="13.2">
      <c r="F2195" s="94"/>
    </row>
    <row r="2196" spans="6:6" ht="13.2">
      <c r="F2196" s="94"/>
    </row>
    <row r="2197" spans="6:6" ht="13.2">
      <c r="F2197" s="94"/>
    </row>
    <row r="2198" spans="6:6" ht="13.2">
      <c r="F2198" s="94"/>
    </row>
    <row r="2199" spans="6:6" ht="13.2">
      <c r="F2199" s="94"/>
    </row>
    <row r="2200" spans="6:6" ht="13.2">
      <c r="F2200" s="94"/>
    </row>
    <row r="2201" spans="6:6" ht="13.2">
      <c r="F2201" s="94"/>
    </row>
    <row r="2202" spans="6:6" ht="13.2">
      <c r="F2202" s="94"/>
    </row>
    <row r="2203" spans="6:6" ht="13.2">
      <c r="F2203" s="94"/>
    </row>
    <row r="2204" spans="6:6" ht="13.2">
      <c r="F2204" s="94"/>
    </row>
    <row r="2205" spans="6:6" ht="13.2">
      <c r="F2205" s="94"/>
    </row>
    <row r="2206" spans="6:6" ht="13.2">
      <c r="F2206" s="94"/>
    </row>
    <row r="2207" spans="6:6" ht="13.2">
      <c r="F2207" s="94"/>
    </row>
    <row r="2208" spans="6:6" ht="13.2">
      <c r="F2208" s="94"/>
    </row>
    <row r="2209" spans="6:6" ht="13.2">
      <c r="F2209" s="94"/>
    </row>
    <row r="2210" spans="6:6" ht="13.2">
      <c r="F2210" s="94"/>
    </row>
    <row r="2211" spans="6:6" ht="13.2">
      <c r="F2211" s="94"/>
    </row>
    <row r="2212" spans="6:6" ht="13.2">
      <c r="F2212" s="94"/>
    </row>
    <row r="2213" spans="6:6" ht="13.2">
      <c r="F2213" s="94"/>
    </row>
    <row r="2214" spans="6:6" ht="13.2">
      <c r="F2214" s="94"/>
    </row>
    <row r="2215" spans="6:6" ht="13.2">
      <c r="F2215" s="94"/>
    </row>
    <row r="2216" spans="6:6" ht="13.2">
      <c r="F2216" s="94"/>
    </row>
    <row r="2217" spans="6:6" ht="13.2">
      <c r="F2217" s="94"/>
    </row>
    <row r="2218" spans="6:6" ht="13.2">
      <c r="F2218" s="94"/>
    </row>
    <row r="2219" spans="6:6" ht="13.2">
      <c r="F2219" s="94"/>
    </row>
    <row r="2220" spans="6:6" ht="13.2">
      <c r="F2220" s="94"/>
    </row>
    <row r="2221" spans="6:6" ht="13.2">
      <c r="F2221" s="94"/>
    </row>
    <row r="2222" spans="6:6" ht="13.2">
      <c r="F2222" s="94"/>
    </row>
    <row r="2223" spans="6:6" ht="13.2">
      <c r="F2223" s="94"/>
    </row>
    <row r="2224" spans="6:6" ht="13.2">
      <c r="F2224" s="94"/>
    </row>
    <row r="2225" spans="6:6" ht="13.2">
      <c r="F2225" s="94"/>
    </row>
    <row r="2226" spans="6:6" ht="13.2">
      <c r="F2226" s="94"/>
    </row>
    <row r="2227" spans="6:6" ht="13.2">
      <c r="F2227" s="94"/>
    </row>
    <row r="2228" spans="6:6" ht="13.2">
      <c r="F2228" s="94"/>
    </row>
    <row r="2229" spans="6:6" ht="13.2">
      <c r="F2229" s="94"/>
    </row>
    <row r="2230" spans="6:6" ht="13.2">
      <c r="F2230" s="94"/>
    </row>
    <row r="2231" spans="6:6" ht="13.2">
      <c r="F2231" s="94"/>
    </row>
    <row r="2232" spans="6:6" ht="13.2">
      <c r="F2232" s="94"/>
    </row>
    <row r="2233" spans="6:6" ht="13.2">
      <c r="F2233" s="94"/>
    </row>
    <row r="2234" spans="6:6" ht="13.2">
      <c r="F2234" s="94"/>
    </row>
    <row r="2235" spans="6:6" ht="13.2">
      <c r="F2235" s="94"/>
    </row>
    <row r="2236" spans="6:6" ht="13.2">
      <c r="F2236" s="94"/>
    </row>
    <row r="2237" spans="6:6" ht="13.2">
      <c r="F2237" s="94"/>
    </row>
    <row r="2238" spans="6:6" ht="13.2">
      <c r="F2238" s="94"/>
    </row>
    <row r="2239" spans="6:6" ht="13.2">
      <c r="F2239" s="94"/>
    </row>
    <row r="2240" spans="6:6" ht="13.2">
      <c r="F2240" s="94"/>
    </row>
    <row r="2241" spans="6:6" ht="13.2">
      <c r="F2241" s="94"/>
    </row>
    <row r="2242" spans="6:6" ht="13.2">
      <c r="F2242" s="94"/>
    </row>
    <row r="2243" spans="6:6" ht="13.2">
      <c r="F2243" s="94"/>
    </row>
    <row r="2244" spans="6:6" ht="13.2">
      <c r="F2244" s="94"/>
    </row>
    <row r="2245" spans="6:6" ht="13.2">
      <c r="F2245" s="94"/>
    </row>
    <row r="2246" spans="6:6" ht="13.2">
      <c r="F2246" s="94"/>
    </row>
    <row r="2247" spans="6:6" ht="13.2">
      <c r="F2247" s="94"/>
    </row>
    <row r="2248" spans="6:6" ht="13.2">
      <c r="F2248" s="94"/>
    </row>
    <row r="2249" spans="6:6" ht="13.2">
      <c r="F2249" s="94"/>
    </row>
    <row r="2250" spans="6:6" ht="13.2">
      <c r="F2250" s="94"/>
    </row>
    <row r="2251" spans="6:6" ht="13.2">
      <c r="F2251" s="94"/>
    </row>
    <row r="2252" spans="6:6" ht="13.2">
      <c r="F2252" s="94"/>
    </row>
    <row r="2253" spans="6:6" ht="13.2">
      <c r="F2253" s="94"/>
    </row>
    <row r="2254" spans="6:6" ht="13.2">
      <c r="F2254" s="94"/>
    </row>
    <row r="2255" spans="6:6" ht="13.2">
      <c r="F2255" s="94"/>
    </row>
    <row r="2256" spans="6:6" ht="13.2">
      <c r="F2256" s="94"/>
    </row>
    <row r="2257" spans="6:6" ht="13.2">
      <c r="F2257" s="94"/>
    </row>
    <row r="2258" spans="6:6" ht="13.2">
      <c r="F2258" s="94"/>
    </row>
    <row r="2259" spans="6:6" ht="13.2">
      <c r="F2259" s="94"/>
    </row>
    <row r="2260" spans="6:6" ht="13.2">
      <c r="F2260" s="94"/>
    </row>
    <row r="2261" spans="6:6" ht="13.2">
      <c r="F2261" s="94"/>
    </row>
    <row r="2262" spans="6:6" ht="13.2">
      <c r="F2262" s="94"/>
    </row>
    <row r="2263" spans="6:6" ht="13.2">
      <c r="F2263" s="94"/>
    </row>
    <row r="2264" spans="6:6" ht="13.2">
      <c r="F2264" s="94"/>
    </row>
    <row r="2265" spans="6:6" ht="13.2">
      <c r="F2265" s="94"/>
    </row>
    <row r="2266" spans="6:6" ht="13.2">
      <c r="F2266" s="94"/>
    </row>
    <row r="2267" spans="6:6" ht="13.2">
      <c r="F2267" s="94"/>
    </row>
    <row r="2268" spans="6:6" ht="13.2">
      <c r="F2268" s="94"/>
    </row>
    <row r="2269" spans="6:6" ht="13.2">
      <c r="F2269" s="94"/>
    </row>
    <row r="2270" spans="6:6" ht="13.2">
      <c r="F2270" s="94"/>
    </row>
    <row r="2271" spans="6:6" ht="13.2">
      <c r="F2271" s="94"/>
    </row>
    <row r="2272" spans="6:6" ht="13.2">
      <c r="F2272" s="94"/>
    </row>
    <row r="2273" spans="6:6" ht="13.2">
      <c r="F2273" s="94"/>
    </row>
    <row r="2274" spans="6:6" ht="13.2">
      <c r="F2274" s="94"/>
    </row>
    <row r="2275" spans="6:6" ht="13.2">
      <c r="F2275" s="94"/>
    </row>
    <row r="2276" spans="6:6" ht="13.2">
      <c r="F2276" s="94"/>
    </row>
    <row r="2277" spans="6:6" ht="13.2">
      <c r="F2277" s="94"/>
    </row>
    <row r="2278" spans="6:6" ht="13.2">
      <c r="F2278" s="94"/>
    </row>
    <row r="2279" spans="6:6" ht="13.2">
      <c r="F2279" s="94"/>
    </row>
    <row r="2280" spans="6:6" ht="13.2">
      <c r="F2280" s="94"/>
    </row>
    <row r="2281" spans="6:6" ht="13.2">
      <c r="F2281" s="94"/>
    </row>
    <row r="2282" spans="6:6" ht="13.2">
      <c r="F2282" s="94"/>
    </row>
    <row r="2283" spans="6:6" ht="13.2">
      <c r="F2283" s="94"/>
    </row>
    <row r="2284" spans="6:6" ht="13.2">
      <c r="F2284" s="94"/>
    </row>
    <row r="2285" spans="6:6" ht="13.2">
      <c r="F2285" s="94"/>
    </row>
    <row r="2286" spans="6:6" ht="13.2">
      <c r="F2286" s="94"/>
    </row>
    <row r="2287" spans="6:6" ht="13.2">
      <c r="F2287" s="94"/>
    </row>
    <row r="2288" spans="6:6" ht="13.2">
      <c r="F2288" s="94"/>
    </row>
    <row r="2289" spans="6:6" ht="13.2">
      <c r="F2289" s="94"/>
    </row>
    <row r="2290" spans="6:6" ht="13.2">
      <c r="F2290" s="94"/>
    </row>
    <row r="2291" spans="6:6" ht="13.2">
      <c r="F2291" s="94"/>
    </row>
    <row r="2292" spans="6:6" ht="13.2">
      <c r="F2292" s="94"/>
    </row>
    <row r="2293" spans="6:6" ht="13.2">
      <c r="F2293" s="94"/>
    </row>
    <row r="2294" spans="6:6" ht="13.2">
      <c r="F2294" s="94"/>
    </row>
    <row r="2295" spans="6:6" ht="13.2">
      <c r="F2295" s="94"/>
    </row>
    <row r="2296" spans="6:6" ht="13.2">
      <c r="F2296" s="94"/>
    </row>
    <row r="2297" spans="6:6" ht="13.2">
      <c r="F2297" s="94"/>
    </row>
    <row r="2298" spans="6:6" ht="13.2">
      <c r="F2298" s="94"/>
    </row>
    <row r="2299" spans="6:6" ht="13.2">
      <c r="F2299" s="94"/>
    </row>
    <row r="2300" spans="6:6" ht="13.2">
      <c r="F2300" s="94"/>
    </row>
    <row r="2301" spans="6:6" ht="13.2">
      <c r="F2301" s="94"/>
    </row>
    <row r="2302" spans="6:6" ht="13.2">
      <c r="F2302" s="94"/>
    </row>
    <row r="2303" spans="6:6" ht="13.2">
      <c r="F2303" s="94"/>
    </row>
    <row r="2304" spans="6:6" ht="13.2">
      <c r="F2304" s="94"/>
    </row>
    <row r="2305" spans="6:6" ht="13.2">
      <c r="F2305" s="94"/>
    </row>
    <row r="2306" spans="6:6" ht="13.2">
      <c r="F2306" s="94"/>
    </row>
    <row r="2307" spans="6:6" ht="13.2">
      <c r="F2307" s="94"/>
    </row>
    <row r="2308" spans="6:6" ht="13.2">
      <c r="F2308" s="94"/>
    </row>
    <row r="2309" spans="6:6" ht="13.2">
      <c r="F2309" s="94"/>
    </row>
    <row r="2310" spans="6:6" ht="13.2">
      <c r="F2310" s="94"/>
    </row>
    <row r="2311" spans="6:6" ht="13.2">
      <c r="F2311" s="94"/>
    </row>
    <row r="2312" spans="6:6" ht="13.2">
      <c r="F2312" s="94"/>
    </row>
    <row r="2313" spans="6:6" ht="13.2">
      <c r="F2313" s="94"/>
    </row>
    <row r="2314" spans="6:6" ht="13.2">
      <c r="F2314" s="94"/>
    </row>
    <row r="2315" spans="6:6" ht="13.2">
      <c r="F2315" s="94"/>
    </row>
    <row r="2316" spans="6:6" ht="13.2">
      <c r="F2316" s="94"/>
    </row>
    <row r="2317" spans="6:6" ht="13.2">
      <c r="F2317" s="94"/>
    </row>
    <row r="2318" spans="6:6" ht="13.2">
      <c r="F2318" s="94"/>
    </row>
    <row r="2319" spans="6:6" ht="13.2">
      <c r="F2319" s="94"/>
    </row>
    <row r="2320" spans="6:6" ht="13.2">
      <c r="F2320" s="94"/>
    </row>
    <row r="2321" spans="6:6" ht="13.2">
      <c r="F2321" s="94"/>
    </row>
    <row r="2322" spans="6:6" ht="13.2">
      <c r="F2322" s="94"/>
    </row>
    <row r="2323" spans="6:6" ht="13.2">
      <c r="F2323" s="94"/>
    </row>
    <row r="2324" spans="6:6" ht="13.2">
      <c r="F2324" s="94"/>
    </row>
    <row r="2325" spans="6:6" ht="13.2">
      <c r="F2325" s="94"/>
    </row>
    <row r="2326" spans="6:6" ht="13.2">
      <c r="F2326" s="94"/>
    </row>
    <row r="2327" spans="6:6" ht="13.2">
      <c r="F2327" s="94"/>
    </row>
    <row r="2328" spans="6:6" ht="13.2">
      <c r="F2328" s="94"/>
    </row>
    <row r="2329" spans="6:6" ht="13.2">
      <c r="F2329" s="94"/>
    </row>
    <row r="2330" spans="6:6" ht="13.2">
      <c r="F2330" s="94"/>
    </row>
    <row r="2331" spans="6:6" ht="13.2">
      <c r="F2331" s="94"/>
    </row>
    <row r="2332" spans="6:6" ht="13.2">
      <c r="F2332" s="94"/>
    </row>
    <row r="2333" spans="6:6" ht="13.2">
      <c r="F2333" s="94"/>
    </row>
    <row r="2334" spans="6:6" ht="13.2">
      <c r="F2334" s="94"/>
    </row>
    <row r="2335" spans="6:6" ht="13.2">
      <c r="F2335" s="94"/>
    </row>
    <row r="2336" spans="6:6" ht="13.2">
      <c r="F2336" s="94"/>
    </row>
    <row r="2337" spans="6:6" ht="13.2">
      <c r="F2337" s="94"/>
    </row>
    <row r="2338" spans="6:6" ht="13.2">
      <c r="F2338" s="94"/>
    </row>
    <row r="2339" spans="6:6" ht="13.2">
      <c r="F2339" s="94"/>
    </row>
    <row r="2340" spans="6:6" ht="13.2">
      <c r="F2340" s="94"/>
    </row>
    <row r="2341" spans="6:6" ht="13.2">
      <c r="F2341" s="94"/>
    </row>
    <row r="2342" spans="6:6" ht="13.2">
      <c r="F2342" s="94"/>
    </row>
    <row r="2343" spans="6:6" ht="13.2">
      <c r="F2343" s="94"/>
    </row>
    <row r="2344" spans="6:6" ht="13.2">
      <c r="F2344" s="94"/>
    </row>
    <row r="2345" spans="6:6" ht="13.2">
      <c r="F2345" s="94"/>
    </row>
    <row r="2346" spans="6:6" ht="13.2">
      <c r="F2346" s="94"/>
    </row>
    <row r="2347" spans="6:6" ht="13.2">
      <c r="F2347" s="94"/>
    </row>
    <row r="2348" spans="6:6" ht="13.2">
      <c r="F2348" s="94"/>
    </row>
    <row r="2349" spans="6:6" ht="13.2">
      <c r="F2349" s="94"/>
    </row>
    <row r="2350" spans="6:6" ht="13.2">
      <c r="F2350" s="94"/>
    </row>
    <row r="2351" spans="6:6" ht="13.2">
      <c r="F2351" s="94"/>
    </row>
    <row r="2352" spans="6:6" ht="13.2">
      <c r="F2352" s="94"/>
    </row>
    <row r="2353" spans="6:6" ht="13.2">
      <c r="F2353" s="94"/>
    </row>
    <row r="2354" spans="6:6" ht="13.2">
      <c r="F2354" s="94"/>
    </row>
    <row r="2355" spans="6:6" ht="13.2">
      <c r="F2355" s="94"/>
    </row>
    <row r="2356" spans="6:6" ht="13.2">
      <c r="F2356" s="94"/>
    </row>
    <row r="2357" spans="6:6" ht="13.2">
      <c r="F2357" s="94"/>
    </row>
    <row r="2358" spans="6:6" ht="13.2">
      <c r="F2358" s="94"/>
    </row>
    <row r="2359" spans="6:6" ht="13.2">
      <c r="F2359" s="94"/>
    </row>
    <row r="2360" spans="6:6" ht="13.2">
      <c r="F2360" s="94"/>
    </row>
    <row r="2361" spans="6:6" ht="13.2">
      <c r="F2361" s="94"/>
    </row>
    <row r="2362" spans="6:6" ht="13.2">
      <c r="F2362" s="94"/>
    </row>
    <row r="2363" spans="6:6" ht="13.2">
      <c r="F2363" s="94"/>
    </row>
    <row r="2364" spans="6:6" ht="13.2">
      <c r="F2364" s="94"/>
    </row>
    <row r="2365" spans="6:6" ht="13.2">
      <c r="F2365" s="94"/>
    </row>
    <row r="2366" spans="6:6" ht="13.2">
      <c r="F2366" s="94"/>
    </row>
    <row r="2367" spans="6:6" ht="13.2">
      <c r="F2367" s="94"/>
    </row>
    <row r="2368" spans="6:6" ht="13.2">
      <c r="F2368" s="94"/>
    </row>
    <row r="2369" spans="6:6" ht="13.2">
      <c r="F2369" s="94"/>
    </row>
    <row r="2370" spans="6:6" ht="13.2">
      <c r="F2370" s="94"/>
    </row>
    <row r="2371" spans="6:6" ht="13.2">
      <c r="F2371" s="94"/>
    </row>
    <row r="2372" spans="6:6" ht="13.2">
      <c r="F2372" s="94"/>
    </row>
    <row r="2373" spans="6:6" ht="13.2">
      <c r="F2373" s="94"/>
    </row>
    <row r="2374" spans="6:6" ht="13.2">
      <c r="F2374" s="94"/>
    </row>
    <row r="2375" spans="6:6" ht="13.2">
      <c r="F2375" s="94"/>
    </row>
    <row r="2376" spans="6:6" ht="13.2">
      <c r="F2376" s="94"/>
    </row>
    <row r="2377" spans="6:6" ht="13.2">
      <c r="F2377" s="94"/>
    </row>
    <row r="2378" spans="6:6" ht="13.2">
      <c r="F2378" s="94"/>
    </row>
    <row r="2379" spans="6:6" ht="13.2">
      <c r="F2379" s="94"/>
    </row>
    <row r="2380" spans="6:6" ht="13.2">
      <c r="F2380" s="94"/>
    </row>
    <row r="2381" spans="6:6" ht="13.2">
      <c r="F2381" s="94"/>
    </row>
    <row r="2382" spans="6:6" ht="13.2">
      <c r="F2382" s="94"/>
    </row>
    <row r="2383" spans="6:6" ht="13.2">
      <c r="F2383" s="94"/>
    </row>
    <row r="2384" spans="6:6" ht="13.2">
      <c r="F2384" s="94"/>
    </row>
    <row r="2385" spans="6:6" ht="13.2">
      <c r="F2385" s="94"/>
    </row>
    <row r="2386" spans="6:6" ht="13.2">
      <c r="F2386" s="94"/>
    </row>
    <row r="2387" spans="6:6" ht="13.2">
      <c r="F2387" s="94"/>
    </row>
    <row r="2388" spans="6:6" ht="13.2">
      <c r="F2388" s="94"/>
    </row>
    <row r="2389" spans="6:6" ht="13.2">
      <c r="F2389" s="94"/>
    </row>
    <row r="2390" spans="6:6" ht="13.2">
      <c r="F2390" s="94"/>
    </row>
    <row r="2391" spans="6:6" ht="13.2">
      <c r="F2391" s="94"/>
    </row>
    <row r="2392" spans="6:6" ht="13.2">
      <c r="F2392" s="94"/>
    </row>
    <row r="2393" spans="6:6" ht="13.2">
      <c r="F2393" s="94"/>
    </row>
    <row r="2394" spans="6:6" ht="13.2">
      <c r="F2394" s="94"/>
    </row>
    <row r="2395" spans="6:6" ht="13.2">
      <c r="F2395" s="94"/>
    </row>
    <row r="2396" spans="6:6" ht="13.2">
      <c r="F2396" s="94"/>
    </row>
    <row r="2397" spans="6:6" ht="13.2">
      <c r="F2397" s="94"/>
    </row>
    <row r="2398" spans="6:6" ht="13.2">
      <c r="F2398" s="94"/>
    </row>
    <row r="2399" spans="6:6" ht="13.2">
      <c r="F2399" s="94"/>
    </row>
    <row r="2400" spans="6:6" ht="13.2">
      <c r="F2400" s="94"/>
    </row>
    <row r="2401" spans="6:6" ht="13.2">
      <c r="F2401" s="94"/>
    </row>
    <row r="2402" spans="6:6" ht="13.2">
      <c r="F2402" s="94"/>
    </row>
    <row r="2403" spans="6:6" ht="13.2">
      <c r="F2403" s="94"/>
    </row>
    <row r="2404" spans="6:6" ht="13.2">
      <c r="F2404" s="94"/>
    </row>
    <row r="2405" spans="6:6" ht="13.2">
      <c r="F2405" s="94"/>
    </row>
    <row r="2406" spans="6:6" ht="13.2">
      <c r="F2406" s="94"/>
    </row>
    <row r="2407" spans="6:6" ht="13.2">
      <c r="F2407" s="94"/>
    </row>
    <row r="2408" spans="6:6" ht="13.2">
      <c r="F2408" s="94"/>
    </row>
    <row r="2409" spans="6:6" ht="13.2">
      <c r="F2409" s="94"/>
    </row>
    <row r="2410" spans="6:6" ht="13.2">
      <c r="F2410" s="94"/>
    </row>
    <row r="2411" spans="6:6" ht="13.2">
      <c r="F2411" s="94"/>
    </row>
    <row r="2412" spans="6:6" ht="13.2">
      <c r="F2412" s="94"/>
    </row>
    <row r="2413" spans="6:6" ht="13.2">
      <c r="F2413" s="94"/>
    </row>
    <row r="2414" spans="6:6" ht="13.2">
      <c r="F2414" s="94"/>
    </row>
    <row r="2415" spans="6:6" ht="13.2">
      <c r="F2415" s="94"/>
    </row>
    <row r="2416" spans="6:6" ht="13.2">
      <c r="F2416" s="94"/>
    </row>
    <row r="2417" spans="6:6" ht="13.2">
      <c r="F2417" s="94"/>
    </row>
    <row r="2418" spans="6:6" ht="13.2">
      <c r="F2418" s="94"/>
    </row>
    <row r="2419" spans="6:6" ht="13.2">
      <c r="F2419" s="94"/>
    </row>
    <row r="2420" spans="6:6" ht="13.2">
      <c r="F2420" s="94"/>
    </row>
    <row r="2421" spans="6:6" ht="13.2">
      <c r="F2421" s="94"/>
    </row>
    <row r="2422" spans="6:6" ht="13.2">
      <c r="F2422" s="94"/>
    </row>
    <row r="2423" spans="6:6" ht="13.2">
      <c r="F2423" s="94"/>
    </row>
    <row r="2424" spans="6:6" ht="13.2">
      <c r="F2424" s="94"/>
    </row>
    <row r="2425" spans="6:6" ht="13.2">
      <c r="F2425" s="94"/>
    </row>
    <row r="2426" spans="6:6" ht="13.2">
      <c r="F2426" s="94"/>
    </row>
    <row r="2427" spans="6:6" ht="13.2">
      <c r="F2427" s="94"/>
    </row>
    <row r="2428" spans="6:6" ht="13.2">
      <c r="F2428" s="94"/>
    </row>
    <row r="2429" spans="6:6" ht="13.2">
      <c r="F2429" s="94"/>
    </row>
    <row r="2430" spans="6:6" ht="13.2">
      <c r="F2430" s="94"/>
    </row>
    <row r="2431" spans="6:6" ht="13.2">
      <c r="F2431" s="94"/>
    </row>
    <row r="2432" spans="6:6" ht="13.2">
      <c r="F2432" s="94"/>
    </row>
    <row r="2433" spans="6:6" ht="13.2">
      <c r="F2433" s="94"/>
    </row>
    <row r="2434" spans="6:6" ht="13.2">
      <c r="F2434" s="94"/>
    </row>
    <row r="2435" spans="6:6" ht="13.2">
      <c r="F2435" s="94"/>
    </row>
    <row r="2436" spans="6:6" ht="13.2">
      <c r="F2436" s="94"/>
    </row>
    <row r="2437" spans="6:6" ht="13.2">
      <c r="F2437" s="94"/>
    </row>
    <row r="2438" spans="6:6" ht="13.2">
      <c r="F2438" s="94"/>
    </row>
    <row r="2439" spans="6:6" ht="13.2">
      <c r="F2439" s="94"/>
    </row>
    <row r="2440" spans="6:6" ht="13.2">
      <c r="F2440" s="94"/>
    </row>
    <row r="2441" spans="6:6" ht="13.2">
      <c r="F2441" s="94"/>
    </row>
    <row r="2442" spans="6:6" ht="13.2">
      <c r="F2442" s="94"/>
    </row>
    <row r="2443" spans="6:6" ht="13.2">
      <c r="F2443" s="94"/>
    </row>
    <row r="2444" spans="6:6" ht="13.2">
      <c r="F2444" s="94"/>
    </row>
    <row r="2445" spans="6:6" ht="13.2">
      <c r="F2445" s="94"/>
    </row>
    <row r="2446" spans="6:6" ht="13.2">
      <c r="F2446" s="94"/>
    </row>
    <row r="2447" spans="6:6" ht="13.2">
      <c r="F2447" s="94"/>
    </row>
    <row r="2448" spans="6:6" ht="13.2">
      <c r="F2448" s="94"/>
    </row>
    <row r="2449" spans="6:6" ht="13.2">
      <c r="F2449" s="94"/>
    </row>
    <row r="2450" spans="6:6" ht="13.2">
      <c r="F2450" s="94"/>
    </row>
    <row r="2451" spans="6:6" ht="13.2">
      <c r="F2451" s="94"/>
    </row>
    <row r="2452" spans="6:6" ht="13.2">
      <c r="F2452" s="94"/>
    </row>
    <row r="2453" spans="6:6" ht="13.2">
      <c r="F2453" s="94"/>
    </row>
    <row r="2454" spans="6:6" ht="13.2">
      <c r="F2454" s="94"/>
    </row>
    <row r="2455" spans="6:6" ht="13.2">
      <c r="F2455" s="94"/>
    </row>
    <row r="2456" spans="6:6" ht="13.2">
      <c r="F2456" s="94"/>
    </row>
    <row r="2457" spans="6:6" ht="13.2">
      <c r="F2457" s="94"/>
    </row>
    <row r="2458" spans="6:6" ht="13.2">
      <c r="F2458" s="94"/>
    </row>
    <row r="2459" spans="6:6" ht="13.2">
      <c r="F2459" s="94"/>
    </row>
    <row r="2460" spans="6:6" ht="13.2">
      <c r="F2460" s="94"/>
    </row>
    <row r="2461" spans="6:6" ht="13.2">
      <c r="F2461" s="94"/>
    </row>
    <row r="2462" spans="6:6" ht="13.2">
      <c r="F2462" s="94"/>
    </row>
    <row r="2463" spans="6:6" ht="13.2">
      <c r="F2463" s="94"/>
    </row>
    <row r="2464" spans="6:6" ht="13.2">
      <c r="F2464" s="94"/>
    </row>
    <row r="2465" spans="6:6" ht="13.2">
      <c r="F2465" s="94"/>
    </row>
    <row r="2466" spans="6:6" ht="13.2">
      <c r="F2466" s="94"/>
    </row>
    <row r="2467" spans="6:6" ht="13.2">
      <c r="F2467" s="94"/>
    </row>
    <row r="2468" spans="6:6" ht="13.2">
      <c r="F2468" s="94"/>
    </row>
    <row r="2469" spans="6:6" ht="13.2">
      <c r="F2469" s="94"/>
    </row>
    <row r="2470" spans="6:6" ht="13.2">
      <c r="F2470" s="94"/>
    </row>
    <row r="2471" spans="6:6" ht="13.2">
      <c r="F2471" s="94"/>
    </row>
    <row r="2472" spans="6:6" ht="13.2">
      <c r="F2472" s="94"/>
    </row>
    <row r="2473" spans="6:6" ht="13.2">
      <c r="F2473" s="94"/>
    </row>
    <row r="2474" spans="6:6" ht="13.2">
      <c r="F2474" s="94"/>
    </row>
    <row r="2475" spans="6:6" ht="13.2">
      <c r="F2475" s="94"/>
    </row>
    <row r="2476" spans="6:6" ht="13.2">
      <c r="F2476" s="94"/>
    </row>
    <row r="2477" spans="6:6" ht="13.2">
      <c r="F2477" s="94"/>
    </row>
    <row r="2478" spans="6:6" ht="13.2">
      <c r="F2478" s="94"/>
    </row>
    <row r="2479" spans="6:6" ht="13.2">
      <c r="F2479" s="94"/>
    </row>
    <row r="2480" spans="6:6" ht="13.2">
      <c r="F2480" s="94"/>
    </row>
    <row r="2481" spans="6:6" ht="13.2">
      <c r="F2481" s="94"/>
    </row>
    <row r="2482" spans="6:6" ht="13.2">
      <c r="F2482" s="94"/>
    </row>
    <row r="2483" spans="6:6" ht="13.2">
      <c r="F2483" s="94"/>
    </row>
    <row r="2484" spans="6:6" ht="13.2">
      <c r="F2484" s="94"/>
    </row>
    <row r="2485" spans="6:6" ht="13.2">
      <c r="F2485" s="94"/>
    </row>
    <row r="2486" spans="6:6" ht="13.2">
      <c r="F2486" s="94"/>
    </row>
    <row r="2487" spans="6:6" ht="13.2">
      <c r="F2487" s="94"/>
    </row>
    <row r="2488" spans="6:6" ht="13.2">
      <c r="F2488" s="94"/>
    </row>
    <row r="2489" spans="6:6" ht="13.2">
      <c r="F2489" s="94"/>
    </row>
    <row r="2490" spans="6:6" ht="13.2">
      <c r="F2490" s="94"/>
    </row>
    <row r="2491" spans="6:6" ht="13.2">
      <c r="F2491" s="94"/>
    </row>
    <row r="2492" spans="6:6" ht="13.2">
      <c r="F2492" s="94"/>
    </row>
    <row r="2493" spans="6:6" ht="13.2">
      <c r="F2493" s="94"/>
    </row>
    <row r="2494" spans="6:6" ht="13.2">
      <c r="F2494" s="94"/>
    </row>
    <row r="2495" spans="6:6" ht="13.2">
      <c r="F2495" s="94"/>
    </row>
    <row r="2496" spans="6:6" ht="13.2">
      <c r="F2496" s="94"/>
    </row>
    <row r="2497" spans="6:6" ht="13.2">
      <c r="F2497" s="94"/>
    </row>
    <row r="2498" spans="6:6" ht="13.2">
      <c r="F2498" s="94"/>
    </row>
    <row r="2499" spans="6:6" ht="13.2">
      <c r="F2499" s="94"/>
    </row>
    <row r="2500" spans="6:6" ht="13.2">
      <c r="F2500" s="94"/>
    </row>
    <row r="2501" spans="6:6" ht="13.2">
      <c r="F2501" s="94"/>
    </row>
    <row r="2502" spans="6:6" ht="13.2">
      <c r="F2502" s="94"/>
    </row>
    <row r="2503" spans="6:6" ht="13.2">
      <c r="F2503" s="94"/>
    </row>
    <row r="2504" spans="6:6" ht="13.2">
      <c r="F2504" s="94"/>
    </row>
    <row r="2505" spans="6:6" ht="13.2">
      <c r="F2505" s="94"/>
    </row>
    <row r="2506" spans="6:6" ht="13.2">
      <c r="F2506" s="94"/>
    </row>
    <row r="2507" spans="6:6" ht="13.2">
      <c r="F2507" s="94"/>
    </row>
    <row r="2508" spans="6:6" ht="13.2">
      <c r="F2508" s="94"/>
    </row>
    <row r="2509" spans="6:6" ht="13.2">
      <c r="F2509" s="94"/>
    </row>
    <row r="2510" spans="6:6" ht="13.2">
      <c r="F2510" s="94"/>
    </row>
    <row r="2511" spans="6:6" ht="13.2">
      <c r="F2511" s="94"/>
    </row>
    <row r="2512" spans="6:6" ht="13.2">
      <c r="F2512" s="94"/>
    </row>
    <row r="2513" spans="6:6" ht="13.2">
      <c r="F2513" s="94"/>
    </row>
    <row r="2514" spans="6:6" ht="13.2">
      <c r="F2514" s="94"/>
    </row>
    <row r="2515" spans="6:6" ht="13.2">
      <c r="F2515" s="94"/>
    </row>
    <row r="2516" spans="6:6" ht="13.2">
      <c r="F2516" s="94"/>
    </row>
    <row r="2517" spans="6:6" ht="13.2">
      <c r="F2517" s="94"/>
    </row>
    <row r="2518" spans="6:6" ht="13.2">
      <c r="F2518" s="94"/>
    </row>
    <row r="2519" spans="6:6" ht="13.2">
      <c r="F2519" s="94"/>
    </row>
    <row r="2520" spans="6:6" ht="13.2">
      <c r="F2520" s="94"/>
    </row>
    <row r="2521" spans="6:6" ht="13.2">
      <c r="F2521" s="94"/>
    </row>
    <row r="2522" spans="6:6" ht="13.2">
      <c r="F2522" s="94"/>
    </row>
    <row r="2523" spans="6:6" ht="13.2">
      <c r="F2523" s="94"/>
    </row>
    <row r="2524" spans="6:6" ht="13.2">
      <c r="F2524" s="94"/>
    </row>
    <row r="2525" spans="6:6" ht="13.2">
      <c r="F2525" s="94"/>
    </row>
    <row r="2526" spans="6:6" ht="13.2">
      <c r="F2526" s="94"/>
    </row>
    <row r="2527" spans="6:6" ht="13.2">
      <c r="F2527" s="94"/>
    </row>
    <row r="2528" spans="6:6" ht="13.2">
      <c r="F2528" s="94"/>
    </row>
    <row r="2529" spans="6:6" ht="13.2">
      <c r="F2529" s="94"/>
    </row>
    <row r="2530" spans="6:6" ht="13.2">
      <c r="F2530" s="94"/>
    </row>
    <row r="2531" spans="6:6" ht="13.2">
      <c r="F2531" s="94"/>
    </row>
    <row r="2532" spans="6:6" ht="13.2">
      <c r="F2532" s="94"/>
    </row>
    <row r="2533" spans="6:6" ht="13.2">
      <c r="F2533" s="94"/>
    </row>
    <row r="2534" spans="6:6" ht="13.2">
      <c r="F2534" s="94"/>
    </row>
    <row r="2535" spans="6:6" ht="13.2">
      <c r="F2535" s="94"/>
    </row>
    <row r="2536" spans="6:6" ht="13.2">
      <c r="F2536" s="94"/>
    </row>
    <row r="2537" spans="6:6" ht="13.2">
      <c r="F2537" s="94"/>
    </row>
    <row r="2538" spans="6:6" ht="13.2">
      <c r="F2538" s="94"/>
    </row>
    <row r="2539" spans="6:6" ht="13.2">
      <c r="F2539" s="94"/>
    </row>
    <row r="2540" spans="6:6" ht="13.2">
      <c r="F2540" s="94"/>
    </row>
    <row r="2541" spans="6:6" ht="13.2">
      <c r="F2541" s="94"/>
    </row>
    <row r="2542" spans="6:6" ht="13.2">
      <c r="F2542" s="94"/>
    </row>
    <row r="2543" spans="6:6" ht="13.2">
      <c r="F2543" s="94"/>
    </row>
    <row r="2544" spans="6:6" ht="13.2">
      <c r="F2544" s="94"/>
    </row>
    <row r="2545" spans="6:6" ht="13.2">
      <c r="F2545" s="94"/>
    </row>
    <row r="2546" spans="6:6" ht="13.2">
      <c r="F2546" s="94"/>
    </row>
    <row r="2547" spans="6:6" ht="13.2">
      <c r="F2547" s="94"/>
    </row>
    <row r="2548" spans="6:6" ht="13.2">
      <c r="F2548" s="94"/>
    </row>
    <row r="2549" spans="6:6" ht="13.2">
      <c r="F2549" s="94"/>
    </row>
    <row r="2550" spans="6:6" ht="13.2">
      <c r="F2550" s="94"/>
    </row>
    <row r="2551" spans="6:6" ht="13.2">
      <c r="F2551" s="94"/>
    </row>
    <row r="2552" spans="6:6" ht="13.2">
      <c r="F2552" s="94"/>
    </row>
    <row r="2553" spans="6:6" ht="13.2">
      <c r="F2553" s="94"/>
    </row>
    <row r="2554" spans="6:6" ht="13.2">
      <c r="F2554" s="94"/>
    </row>
    <row r="2555" spans="6:6" ht="13.2">
      <c r="F2555" s="94"/>
    </row>
    <row r="2556" spans="6:6" ht="13.2">
      <c r="F2556" s="94"/>
    </row>
    <row r="2557" spans="6:6" ht="13.2">
      <c r="F2557" s="94"/>
    </row>
    <row r="2558" spans="6:6" ht="13.2">
      <c r="F2558" s="94"/>
    </row>
    <row r="2559" spans="6:6" ht="13.2">
      <c r="F2559" s="94"/>
    </row>
    <row r="2560" spans="6:6" ht="13.2">
      <c r="F2560" s="94"/>
    </row>
    <row r="2561" spans="6:6" ht="13.2">
      <c r="F2561" s="94"/>
    </row>
    <row r="2562" spans="6:6" ht="13.2">
      <c r="F2562" s="94"/>
    </row>
    <row r="2563" spans="6:6" ht="13.2">
      <c r="F2563" s="94"/>
    </row>
    <row r="2564" spans="6:6" ht="13.2">
      <c r="F2564" s="94"/>
    </row>
    <row r="2565" spans="6:6" ht="13.2">
      <c r="F2565" s="94"/>
    </row>
    <row r="2566" spans="6:6" ht="13.2">
      <c r="F2566" s="94"/>
    </row>
    <row r="2567" spans="6:6" ht="13.2">
      <c r="F2567" s="94"/>
    </row>
    <row r="2568" spans="6:6" ht="13.2">
      <c r="F2568" s="94"/>
    </row>
    <row r="2569" spans="6:6" ht="13.2">
      <c r="F2569" s="94"/>
    </row>
    <row r="2570" spans="6:6" ht="13.2">
      <c r="F2570" s="94"/>
    </row>
    <row r="2571" spans="6:6" ht="13.2">
      <c r="F2571" s="94"/>
    </row>
    <row r="2572" spans="6:6" ht="13.2">
      <c r="F2572" s="94"/>
    </row>
    <row r="2573" spans="6:6" ht="13.2">
      <c r="F2573" s="94"/>
    </row>
    <row r="2574" spans="6:6" ht="13.2">
      <c r="F2574" s="94"/>
    </row>
    <row r="2575" spans="6:6" ht="13.2">
      <c r="F2575" s="94"/>
    </row>
    <row r="2576" spans="6:6" ht="13.2">
      <c r="F2576" s="94"/>
    </row>
    <row r="2577" spans="6:6" ht="13.2">
      <c r="F2577" s="94"/>
    </row>
    <row r="2578" spans="6:6" ht="13.2">
      <c r="F2578" s="94"/>
    </row>
    <row r="2579" spans="6:6" ht="13.2">
      <c r="F2579" s="94"/>
    </row>
    <row r="2580" spans="6:6" ht="13.2">
      <c r="F2580" s="94"/>
    </row>
    <row r="2581" spans="6:6" ht="13.2">
      <c r="F2581" s="94"/>
    </row>
    <row r="2582" spans="6:6" ht="13.2">
      <c r="F2582" s="94"/>
    </row>
    <row r="2583" spans="6:6" ht="13.2">
      <c r="F2583" s="94"/>
    </row>
    <row r="2584" spans="6:6" ht="13.2">
      <c r="F2584" s="94"/>
    </row>
    <row r="2585" spans="6:6" ht="13.2">
      <c r="F2585" s="94"/>
    </row>
    <row r="2586" spans="6:6" ht="13.2">
      <c r="F2586" s="94"/>
    </row>
    <row r="2587" spans="6:6" ht="13.2">
      <c r="F2587" s="94"/>
    </row>
    <row r="2588" spans="6:6" ht="13.2">
      <c r="F2588" s="94"/>
    </row>
    <row r="2589" spans="6:6" ht="13.2">
      <c r="F2589" s="94"/>
    </row>
    <row r="2590" spans="6:6" ht="13.2">
      <c r="F2590" s="94"/>
    </row>
    <row r="2591" spans="6:6" ht="13.2">
      <c r="F2591" s="94"/>
    </row>
    <row r="2592" spans="6:6" ht="13.2">
      <c r="F2592" s="94"/>
    </row>
    <row r="2593" spans="6:6" ht="13.2">
      <c r="F2593" s="94"/>
    </row>
    <row r="2594" spans="6:6" ht="13.2">
      <c r="F2594" s="94"/>
    </row>
    <row r="2595" spans="6:6" ht="13.2">
      <c r="F2595" s="94"/>
    </row>
    <row r="2596" spans="6:6" ht="13.2">
      <c r="F2596" s="94"/>
    </row>
    <row r="2597" spans="6:6" ht="13.2">
      <c r="F2597" s="94"/>
    </row>
    <row r="2598" spans="6:6" ht="13.2">
      <c r="F2598" s="94"/>
    </row>
    <row r="2599" spans="6:6" ht="13.2">
      <c r="F2599" s="94"/>
    </row>
    <row r="2600" spans="6:6" ht="13.2">
      <c r="F2600" s="94"/>
    </row>
    <row r="2601" spans="6:6" ht="13.2">
      <c r="F2601" s="94"/>
    </row>
    <row r="2602" spans="6:6" ht="13.2">
      <c r="F2602" s="94"/>
    </row>
    <row r="2603" spans="6:6" ht="13.2">
      <c r="F2603" s="94"/>
    </row>
    <row r="2604" spans="6:6" ht="13.2">
      <c r="F2604" s="94"/>
    </row>
    <row r="2605" spans="6:6" ht="13.2">
      <c r="F2605" s="94"/>
    </row>
    <row r="2606" spans="6:6" ht="13.2">
      <c r="F2606" s="94"/>
    </row>
    <row r="2607" spans="6:6" ht="13.2">
      <c r="F2607" s="94"/>
    </row>
    <row r="2608" spans="6:6" ht="13.2">
      <c r="F2608" s="94"/>
    </row>
    <row r="2609" spans="6:6" ht="13.2">
      <c r="F2609" s="94"/>
    </row>
    <row r="2610" spans="6:6" ht="13.2">
      <c r="F2610" s="94"/>
    </row>
    <row r="2611" spans="6:6" ht="13.2">
      <c r="F2611" s="94"/>
    </row>
    <row r="2612" spans="6:6" ht="13.2">
      <c r="F2612" s="94"/>
    </row>
    <row r="2613" spans="6:6" ht="13.2">
      <c r="F2613" s="94"/>
    </row>
    <row r="2614" spans="6:6" ht="13.2">
      <c r="F2614" s="94"/>
    </row>
    <row r="2615" spans="6:6" ht="13.2">
      <c r="F2615" s="94"/>
    </row>
    <row r="2616" spans="6:6" ht="13.2">
      <c r="F2616" s="94"/>
    </row>
    <row r="2617" spans="6:6" ht="13.2">
      <c r="F2617" s="94"/>
    </row>
    <row r="2618" spans="6:6" ht="13.2">
      <c r="F2618" s="94"/>
    </row>
    <row r="2619" spans="6:6" ht="13.2">
      <c r="F2619" s="94"/>
    </row>
    <row r="2620" spans="6:6" ht="13.2">
      <c r="F2620" s="94"/>
    </row>
    <row r="2621" spans="6:6" ht="13.2">
      <c r="F2621" s="94"/>
    </row>
    <row r="2622" spans="6:6" ht="13.2">
      <c r="F2622" s="94"/>
    </row>
    <row r="2623" spans="6:6" ht="13.2">
      <c r="F2623" s="94"/>
    </row>
    <row r="2624" spans="6:6" ht="13.2">
      <c r="F2624" s="94"/>
    </row>
    <row r="2625" spans="6:6" ht="13.2">
      <c r="F2625" s="94"/>
    </row>
    <row r="2626" spans="6:6" ht="13.2">
      <c r="F2626" s="94"/>
    </row>
    <row r="2627" spans="6:6" ht="13.2">
      <c r="F2627" s="94"/>
    </row>
    <row r="2628" spans="6:6" ht="13.2">
      <c r="F2628" s="94"/>
    </row>
    <row r="2629" spans="6:6" ht="13.2">
      <c r="F2629" s="94"/>
    </row>
    <row r="2630" spans="6:6" ht="13.2">
      <c r="F2630" s="94"/>
    </row>
    <row r="2631" spans="6:6" ht="13.2">
      <c r="F2631" s="94"/>
    </row>
    <row r="2632" spans="6:6" ht="13.2">
      <c r="F2632" s="94"/>
    </row>
    <row r="2633" spans="6:6" ht="13.2">
      <c r="F2633" s="94"/>
    </row>
    <row r="2634" spans="6:6" ht="13.2">
      <c r="F2634" s="94"/>
    </row>
    <row r="2635" spans="6:6" ht="13.2">
      <c r="F2635" s="94"/>
    </row>
    <row r="2636" spans="6:6" ht="13.2">
      <c r="F2636" s="94"/>
    </row>
    <row r="2637" spans="6:6" ht="13.2">
      <c r="F2637" s="94"/>
    </row>
    <row r="2638" spans="6:6" ht="13.2">
      <c r="F2638" s="94"/>
    </row>
    <row r="2639" spans="6:6" ht="13.2">
      <c r="F2639" s="94"/>
    </row>
    <row r="2640" spans="6:6" ht="13.2">
      <c r="F2640" s="94"/>
    </row>
    <row r="2641" spans="6:6" ht="13.2">
      <c r="F2641" s="94"/>
    </row>
    <row r="2642" spans="6:6" ht="13.2">
      <c r="F2642" s="94"/>
    </row>
    <row r="2643" spans="6:6" ht="13.2">
      <c r="F2643" s="94"/>
    </row>
    <row r="2644" spans="6:6" ht="13.2">
      <c r="F2644" s="94"/>
    </row>
    <row r="2645" spans="6:6" ht="13.2">
      <c r="F2645" s="94"/>
    </row>
    <row r="2646" spans="6:6" ht="13.2">
      <c r="F2646" s="94"/>
    </row>
    <row r="2647" spans="6:6" ht="13.2">
      <c r="F2647" s="94"/>
    </row>
    <row r="2648" spans="6:6" ht="13.2">
      <c r="F2648" s="94"/>
    </row>
    <row r="2649" spans="6:6" ht="13.2">
      <c r="F2649" s="94"/>
    </row>
    <row r="2650" spans="6:6" ht="13.2">
      <c r="F2650" s="94"/>
    </row>
    <row r="2651" spans="6:6" ht="13.2">
      <c r="F2651" s="94"/>
    </row>
    <row r="2652" spans="6:6" ht="13.2">
      <c r="F2652" s="94"/>
    </row>
    <row r="2653" spans="6:6" ht="13.2">
      <c r="F2653" s="94"/>
    </row>
    <row r="2654" spans="6:6" ht="13.2">
      <c r="F2654" s="94"/>
    </row>
    <row r="2655" spans="6:6" ht="13.2">
      <c r="F2655" s="94"/>
    </row>
    <row r="2656" spans="6:6" ht="13.2">
      <c r="F2656" s="94"/>
    </row>
    <row r="2657" spans="6:6" ht="13.2">
      <c r="F2657" s="94"/>
    </row>
    <row r="2658" spans="6:6" ht="13.2">
      <c r="F2658" s="94"/>
    </row>
    <row r="2659" spans="6:6" ht="13.2">
      <c r="F2659" s="94"/>
    </row>
    <row r="2660" spans="6:6" ht="13.2">
      <c r="F2660" s="94"/>
    </row>
    <row r="2661" spans="6:6" ht="13.2">
      <c r="F2661" s="94"/>
    </row>
    <row r="2662" spans="6:6" ht="13.2">
      <c r="F2662" s="94"/>
    </row>
    <row r="2663" spans="6:6" ht="13.2">
      <c r="F2663" s="94"/>
    </row>
    <row r="2664" spans="6:6" ht="13.2">
      <c r="F2664" s="94"/>
    </row>
    <row r="2665" spans="6:6" ht="13.2">
      <c r="F2665" s="94"/>
    </row>
    <row r="2666" spans="6:6" ht="13.2">
      <c r="F2666" s="94"/>
    </row>
    <row r="2667" spans="6:6" ht="13.2">
      <c r="F2667" s="94"/>
    </row>
    <row r="2668" spans="6:6" ht="13.2">
      <c r="F2668" s="94"/>
    </row>
    <row r="2669" spans="6:6" ht="13.2">
      <c r="F2669" s="94"/>
    </row>
    <row r="2670" spans="6:6" ht="13.2">
      <c r="F2670" s="94"/>
    </row>
    <row r="2671" spans="6:6" ht="13.2">
      <c r="F2671" s="94"/>
    </row>
    <row r="2672" spans="6:6" ht="13.2">
      <c r="F2672" s="94"/>
    </row>
    <row r="2673" spans="6:6" ht="13.2">
      <c r="F2673" s="94"/>
    </row>
    <row r="2674" spans="6:6" ht="13.2">
      <c r="F2674" s="94"/>
    </row>
    <row r="2675" spans="6:6" ht="13.2">
      <c r="F2675" s="94"/>
    </row>
    <row r="2676" spans="6:6" ht="13.2">
      <c r="F2676" s="94"/>
    </row>
    <row r="2677" spans="6:6" ht="13.2">
      <c r="F2677" s="94"/>
    </row>
    <row r="2678" spans="6:6" ht="13.2">
      <c r="F2678" s="94"/>
    </row>
    <row r="2679" spans="6:6" ht="13.2">
      <c r="F2679" s="94"/>
    </row>
    <row r="2680" spans="6:6" ht="13.2">
      <c r="F2680" s="94"/>
    </row>
    <row r="2681" spans="6:6" ht="13.2">
      <c r="F2681" s="94"/>
    </row>
    <row r="2682" spans="6:6" ht="13.2">
      <c r="F2682" s="94"/>
    </row>
    <row r="2683" spans="6:6" ht="13.2">
      <c r="F2683" s="94"/>
    </row>
    <row r="2684" spans="6:6" ht="13.2">
      <c r="F2684" s="94"/>
    </row>
    <row r="2685" spans="6:6" ht="13.2">
      <c r="F2685" s="94"/>
    </row>
    <row r="2686" spans="6:6" ht="13.2">
      <c r="F2686" s="94"/>
    </row>
    <row r="2687" spans="6:6" ht="13.2">
      <c r="F2687" s="94"/>
    </row>
    <row r="2688" spans="6:6" ht="13.2">
      <c r="F2688" s="94"/>
    </row>
    <row r="2689" spans="6:6" ht="13.2">
      <c r="F2689" s="94"/>
    </row>
    <row r="2690" spans="6:6" ht="13.2">
      <c r="F2690" s="94"/>
    </row>
    <row r="2691" spans="6:6" ht="13.2">
      <c r="F2691" s="94"/>
    </row>
    <row r="2692" spans="6:6" ht="13.2">
      <c r="F2692" s="94"/>
    </row>
    <row r="2693" spans="6:6" ht="13.2">
      <c r="F2693" s="94"/>
    </row>
    <row r="2694" spans="6:6" ht="13.2">
      <c r="F2694" s="94"/>
    </row>
    <row r="2695" spans="6:6" ht="13.2">
      <c r="F2695" s="94"/>
    </row>
    <row r="2696" spans="6:6" ht="13.2">
      <c r="F2696" s="94"/>
    </row>
    <row r="2697" spans="6:6" ht="13.2">
      <c r="F2697" s="94"/>
    </row>
    <row r="2698" spans="6:6" ht="13.2">
      <c r="F2698" s="94"/>
    </row>
    <row r="2699" spans="6:6" ht="13.2">
      <c r="F2699" s="94"/>
    </row>
    <row r="2700" spans="6:6" ht="13.2">
      <c r="F2700" s="94"/>
    </row>
    <row r="2701" spans="6:6" ht="13.2">
      <c r="F2701" s="94"/>
    </row>
    <row r="2702" spans="6:6" ht="13.2">
      <c r="F2702" s="94"/>
    </row>
    <row r="2703" spans="6:6" ht="13.2">
      <c r="F2703" s="94"/>
    </row>
    <row r="2704" spans="6:6" ht="13.2">
      <c r="F2704" s="94"/>
    </row>
    <row r="2705" spans="6:6" ht="13.2">
      <c r="F2705" s="94"/>
    </row>
    <row r="2706" spans="6:6" ht="13.2">
      <c r="F2706" s="94"/>
    </row>
    <row r="2707" spans="6:6" ht="13.2">
      <c r="F2707" s="94"/>
    </row>
    <row r="2708" spans="6:6" ht="13.2">
      <c r="F2708" s="94"/>
    </row>
    <row r="2709" spans="6:6" ht="13.2">
      <c r="F2709" s="94"/>
    </row>
    <row r="2710" spans="6:6" ht="13.2">
      <c r="F2710" s="94"/>
    </row>
    <row r="2711" spans="6:6" ht="13.2">
      <c r="F2711" s="94"/>
    </row>
    <row r="2712" spans="6:6" ht="13.2">
      <c r="F2712" s="94"/>
    </row>
    <row r="2713" spans="6:6" ht="13.2">
      <c r="F2713" s="94"/>
    </row>
    <row r="2714" spans="6:6" ht="13.2">
      <c r="F2714" s="94"/>
    </row>
    <row r="2715" spans="6:6" ht="13.2">
      <c r="F2715" s="94"/>
    </row>
    <row r="2716" spans="6:6" ht="13.2">
      <c r="F2716" s="94"/>
    </row>
    <row r="2717" spans="6:6" ht="13.2">
      <c r="F2717" s="94"/>
    </row>
    <row r="2718" spans="6:6" ht="13.2">
      <c r="F2718" s="94"/>
    </row>
    <row r="2719" spans="6:6" ht="13.2">
      <c r="F2719" s="94"/>
    </row>
    <row r="2720" spans="6:6" ht="13.2">
      <c r="F2720" s="94"/>
    </row>
    <row r="2721" spans="6:6" ht="13.2">
      <c r="F2721" s="94"/>
    </row>
    <row r="2722" spans="6:6" ht="13.2">
      <c r="F2722" s="94"/>
    </row>
    <row r="2723" spans="6:6" ht="13.2">
      <c r="F2723" s="94"/>
    </row>
    <row r="2724" spans="6:6" ht="13.2">
      <c r="F2724" s="94"/>
    </row>
    <row r="2725" spans="6:6" ht="13.2">
      <c r="F2725" s="94"/>
    </row>
    <row r="2726" spans="6:6" ht="13.2">
      <c r="F2726" s="94"/>
    </row>
    <row r="2727" spans="6:6" ht="13.2">
      <c r="F2727" s="94"/>
    </row>
    <row r="2728" spans="6:6" ht="13.2">
      <c r="F2728" s="94"/>
    </row>
    <row r="2729" spans="6:6" ht="13.2">
      <c r="F2729" s="94"/>
    </row>
    <row r="2730" spans="6:6" ht="13.2">
      <c r="F2730" s="94"/>
    </row>
    <row r="2731" spans="6:6" ht="13.2">
      <c r="F2731" s="94"/>
    </row>
    <row r="2732" spans="6:6" ht="13.2">
      <c r="F2732" s="94"/>
    </row>
    <row r="2733" spans="6:6" ht="13.2">
      <c r="F2733" s="94"/>
    </row>
    <row r="2734" spans="6:6" ht="13.2">
      <c r="F2734" s="94"/>
    </row>
    <row r="2735" spans="6:6" ht="13.2">
      <c r="F2735" s="94"/>
    </row>
    <row r="2736" spans="6:6" ht="13.2">
      <c r="F2736" s="94"/>
    </row>
    <row r="2737" spans="6:6" ht="13.2">
      <c r="F2737" s="94"/>
    </row>
    <row r="2738" spans="6:6" ht="13.2">
      <c r="F2738" s="94"/>
    </row>
    <row r="2739" spans="6:6" ht="13.2">
      <c r="F2739" s="94"/>
    </row>
    <row r="2740" spans="6:6" ht="13.2">
      <c r="F2740" s="94"/>
    </row>
    <row r="2741" spans="6:6" ht="13.2">
      <c r="F2741" s="94"/>
    </row>
    <row r="2742" spans="6:6" ht="13.2">
      <c r="F2742" s="94"/>
    </row>
    <row r="2743" spans="6:6" ht="13.2">
      <c r="F2743" s="94"/>
    </row>
    <row r="2744" spans="6:6" ht="13.2">
      <c r="F2744" s="94"/>
    </row>
    <row r="2745" spans="6:6" ht="13.2">
      <c r="F2745" s="94"/>
    </row>
    <row r="2746" spans="6:6" ht="13.2">
      <c r="F2746" s="94"/>
    </row>
    <row r="2747" spans="6:6" ht="13.2">
      <c r="F2747" s="94"/>
    </row>
    <row r="2748" spans="6:6" ht="13.2">
      <c r="F2748" s="94"/>
    </row>
    <row r="2749" spans="6:6" ht="13.2">
      <c r="F2749" s="94"/>
    </row>
    <row r="2750" spans="6:6" ht="13.2">
      <c r="F2750" s="94"/>
    </row>
    <row r="2751" spans="6:6" ht="13.2">
      <c r="F2751" s="94"/>
    </row>
    <row r="2752" spans="6:6" ht="13.2">
      <c r="F2752" s="94"/>
    </row>
    <row r="2753" spans="6:6" ht="13.2">
      <c r="F2753" s="94"/>
    </row>
    <row r="2754" spans="6:6" ht="13.2">
      <c r="F2754" s="94"/>
    </row>
    <row r="2755" spans="6:6" ht="13.2">
      <c r="F2755" s="94"/>
    </row>
    <row r="2756" spans="6:6" ht="13.2">
      <c r="F2756" s="94"/>
    </row>
    <row r="2757" spans="6:6" ht="13.2">
      <c r="F2757" s="94"/>
    </row>
    <row r="2758" spans="6:6" ht="13.2">
      <c r="F2758" s="94"/>
    </row>
    <row r="2759" spans="6:6" ht="13.2">
      <c r="F2759" s="94"/>
    </row>
    <row r="2760" spans="6:6" ht="13.2">
      <c r="F2760" s="94"/>
    </row>
    <row r="2761" spans="6:6" ht="13.2">
      <c r="F2761" s="94"/>
    </row>
    <row r="2762" spans="6:6" ht="13.2">
      <c r="F2762" s="94"/>
    </row>
    <row r="2763" spans="6:6" ht="13.2">
      <c r="F2763" s="94"/>
    </row>
    <row r="2764" spans="6:6" ht="13.2">
      <c r="F2764" s="94"/>
    </row>
    <row r="2765" spans="6:6" ht="13.2">
      <c r="F2765" s="94"/>
    </row>
    <row r="2766" spans="6:6" ht="13.2">
      <c r="F2766" s="94"/>
    </row>
    <row r="2767" spans="6:6" ht="13.2">
      <c r="F2767" s="94"/>
    </row>
    <row r="2768" spans="6:6" ht="13.2">
      <c r="F2768" s="94"/>
    </row>
    <row r="2769" spans="6:6" ht="13.2">
      <c r="F2769" s="94"/>
    </row>
    <row r="2770" spans="6:6" ht="13.2">
      <c r="F2770" s="94"/>
    </row>
    <row r="2771" spans="6:6" ht="13.2">
      <c r="F2771" s="94"/>
    </row>
    <row r="2772" spans="6:6" ht="13.2">
      <c r="F2772" s="94"/>
    </row>
    <row r="2773" spans="6:6" ht="13.2">
      <c r="F2773" s="94"/>
    </row>
    <row r="2774" spans="6:6" ht="13.2">
      <c r="F2774" s="94"/>
    </row>
    <row r="2775" spans="6:6" ht="13.2">
      <c r="F2775" s="94"/>
    </row>
    <row r="2776" spans="6:6" ht="13.2">
      <c r="F2776" s="94"/>
    </row>
    <row r="2777" spans="6:6" ht="13.2">
      <c r="F2777" s="94"/>
    </row>
    <row r="2778" spans="6:6" ht="13.2">
      <c r="F2778" s="94"/>
    </row>
    <row r="2779" spans="6:6" ht="13.2">
      <c r="F2779" s="94"/>
    </row>
    <row r="2780" spans="6:6" ht="13.2">
      <c r="F2780" s="94"/>
    </row>
    <row r="2781" spans="6:6" ht="13.2">
      <c r="F2781" s="94"/>
    </row>
    <row r="2782" spans="6:6" ht="13.2">
      <c r="F2782" s="94"/>
    </row>
    <row r="2783" spans="6:6" ht="13.2">
      <c r="F2783" s="94"/>
    </row>
    <row r="2784" spans="6:6" ht="13.2">
      <c r="F2784" s="94"/>
    </row>
    <row r="2785" spans="6:6" ht="13.2">
      <c r="F2785" s="94"/>
    </row>
    <row r="2786" spans="6:6" ht="13.2">
      <c r="F2786" s="94"/>
    </row>
    <row r="2787" spans="6:6" ht="13.2">
      <c r="F2787" s="94"/>
    </row>
    <row r="2788" spans="6:6" ht="13.2">
      <c r="F2788" s="94"/>
    </row>
    <row r="2789" spans="6:6" ht="13.2">
      <c r="F2789" s="94"/>
    </row>
    <row r="2790" spans="6:6" ht="13.2">
      <c r="F2790" s="94"/>
    </row>
    <row r="2791" spans="6:6" ht="13.2">
      <c r="F2791" s="94"/>
    </row>
    <row r="2792" spans="6:6" ht="13.2">
      <c r="F2792" s="94"/>
    </row>
    <row r="2793" spans="6:6" ht="13.2">
      <c r="F2793" s="94"/>
    </row>
    <row r="2794" spans="6:6" ht="13.2">
      <c r="F2794" s="94"/>
    </row>
    <row r="2795" spans="6:6" ht="13.2">
      <c r="F2795" s="94"/>
    </row>
    <row r="2796" spans="6:6" ht="13.2">
      <c r="F2796" s="94"/>
    </row>
    <row r="2797" spans="6:6" ht="13.2">
      <c r="F2797" s="94"/>
    </row>
    <row r="2798" spans="6:6" ht="13.2">
      <c r="F2798" s="94"/>
    </row>
    <row r="2799" spans="6:6" ht="13.2">
      <c r="F2799" s="94"/>
    </row>
    <row r="2800" spans="6:6" ht="13.2">
      <c r="F2800" s="94"/>
    </row>
    <row r="2801" spans="6:6" ht="13.2">
      <c r="F2801" s="94"/>
    </row>
    <row r="2802" spans="6:6" ht="13.2">
      <c r="F2802" s="94"/>
    </row>
    <row r="2803" spans="6:6" ht="13.2">
      <c r="F2803" s="94"/>
    </row>
    <row r="2804" spans="6:6" ht="13.2">
      <c r="F2804" s="94"/>
    </row>
    <row r="2805" spans="6:6" ht="13.2">
      <c r="F2805" s="94"/>
    </row>
    <row r="2806" spans="6:6" ht="13.2">
      <c r="F2806" s="94"/>
    </row>
    <row r="2807" spans="6:6" ht="13.2">
      <c r="F2807" s="94"/>
    </row>
    <row r="2808" spans="6:6" ht="13.2">
      <c r="F2808" s="94"/>
    </row>
    <row r="2809" spans="6:6" ht="13.2">
      <c r="F2809" s="94"/>
    </row>
    <row r="2810" spans="6:6" ht="13.2">
      <c r="F2810" s="94"/>
    </row>
    <row r="2811" spans="6:6" ht="13.2">
      <c r="F2811" s="94"/>
    </row>
    <row r="2812" spans="6:6" ht="13.2">
      <c r="F2812" s="94"/>
    </row>
    <row r="2813" spans="6:6" ht="13.2">
      <c r="F2813" s="94"/>
    </row>
    <row r="2814" spans="6:6" ht="13.2">
      <c r="F2814" s="94"/>
    </row>
    <row r="2815" spans="6:6" ht="13.2">
      <c r="F2815" s="94"/>
    </row>
    <row r="2816" spans="6:6" ht="13.2">
      <c r="F2816" s="94"/>
    </row>
    <row r="2817" spans="6:6" ht="13.2">
      <c r="F2817" s="94"/>
    </row>
    <row r="2818" spans="6:6" ht="13.2">
      <c r="F2818" s="94"/>
    </row>
    <row r="2819" spans="6:6" ht="13.2">
      <c r="F2819" s="94"/>
    </row>
    <row r="2820" spans="6:6" ht="13.2">
      <c r="F2820" s="94"/>
    </row>
    <row r="2821" spans="6:6" ht="13.2">
      <c r="F2821" s="94"/>
    </row>
    <row r="2822" spans="6:6" ht="13.2">
      <c r="F2822" s="94"/>
    </row>
    <row r="2823" spans="6:6" ht="13.2">
      <c r="F2823" s="94"/>
    </row>
    <row r="2824" spans="6:6" ht="13.2">
      <c r="F2824" s="94"/>
    </row>
    <row r="2825" spans="6:6" ht="13.2">
      <c r="F2825" s="94"/>
    </row>
    <row r="2826" spans="6:6" ht="13.2">
      <c r="F2826" s="94"/>
    </row>
    <row r="2827" spans="6:6" ht="13.2">
      <c r="F2827" s="94"/>
    </row>
    <row r="2828" spans="6:6" ht="13.2">
      <c r="F2828" s="94"/>
    </row>
    <row r="2829" spans="6:6" ht="13.2">
      <c r="F2829" s="94"/>
    </row>
    <row r="2830" spans="6:6" ht="13.2">
      <c r="F2830" s="94"/>
    </row>
    <row r="2831" spans="6:6" ht="13.2">
      <c r="F2831" s="94"/>
    </row>
    <row r="2832" spans="6:6" ht="13.2">
      <c r="F2832" s="94"/>
    </row>
    <row r="2833" spans="6:6" ht="13.2">
      <c r="F2833" s="94"/>
    </row>
    <row r="2834" spans="6:6" ht="13.2">
      <c r="F2834" s="94"/>
    </row>
    <row r="2835" spans="6:6" ht="13.2">
      <c r="F2835" s="94"/>
    </row>
    <row r="2836" spans="6:6" ht="13.2">
      <c r="F2836" s="94"/>
    </row>
    <row r="2837" spans="6:6" ht="13.2">
      <c r="F2837" s="94"/>
    </row>
    <row r="2838" spans="6:6" ht="13.2">
      <c r="F2838" s="94"/>
    </row>
    <row r="2839" spans="6:6" ht="13.2">
      <c r="F2839" s="94"/>
    </row>
    <row r="2840" spans="6:6" ht="13.2">
      <c r="F2840" s="94"/>
    </row>
    <row r="2841" spans="6:6" ht="13.2">
      <c r="F2841" s="94"/>
    </row>
    <row r="2842" spans="6:6" ht="13.2">
      <c r="F2842" s="94"/>
    </row>
    <row r="2843" spans="6:6" ht="13.2">
      <c r="F2843" s="94"/>
    </row>
    <row r="2844" spans="6:6" ht="13.2">
      <c r="F2844" s="94"/>
    </row>
    <row r="2845" spans="6:6" ht="13.2">
      <c r="F2845" s="94"/>
    </row>
    <row r="2846" spans="6:6" ht="13.2">
      <c r="F2846" s="94"/>
    </row>
    <row r="2847" spans="6:6" ht="13.2">
      <c r="F2847" s="94"/>
    </row>
    <row r="2848" spans="6:6" ht="13.2">
      <c r="F2848" s="94"/>
    </row>
    <row r="2849" spans="6:6" ht="13.2">
      <c r="F2849" s="94"/>
    </row>
    <row r="2850" spans="6:6" ht="13.2">
      <c r="F2850" s="94"/>
    </row>
    <row r="2851" spans="6:6" ht="13.2">
      <c r="F2851" s="94"/>
    </row>
    <row r="2852" spans="6:6" ht="13.2">
      <c r="F2852" s="94"/>
    </row>
    <row r="2853" spans="6:6" ht="13.2">
      <c r="F2853" s="94"/>
    </row>
    <row r="2854" spans="6:6" ht="13.2">
      <c r="F2854" s="94"/>
    </row>
    <row r="2855" spans="6:6" ht="13.2">
      <c r="F2855" s="94"/>
    </row>
    <row r="2856" spans="6:6" ht="13.2">
      <c r="F2856" s="94"/>
    </row>
    <row r="2857" spans="6:6" ht="13.2">
      <c r="F2857" s="94"/>
    </row>
    <row r="2858" spans="6:6" ht="13.2">
      <c r="F2858" s="94"/>
    </row>
    <row r="2859" spans="6:6" ht="13.2">
      <c r="F2859" s="94"/>
    </row>
    <row r="2860" spans="6:6" ht="13.2">
      <c r="F2860" s="94"/>
    </row>
    <row r="2861" spans="6:6" ht="13.2">
      <c r="F2861" s="94"/>
    </row>
    <row r="2862" spans="6:6" ht="13.2">
      <c r="F2862" s="94"/>
    </row>
    <row r="2863" spans="6:6" ht="13.2">
      <c r="F2863" s="94"/>
    </row>
    <row r="2864" spans="6:6" ht="13.2">
      <c r="F2864" s="94"/>
    </row>
    <row r="2865" spans="6:6" ht="13.2">
      <c r="F2865" s="94"/>
    </row>
    <row r="2866" spans="6:6" ht="13.2">
      <c r="F2866" s="94"/>
    </row>
    <row r="2867" spans="6:6" ht="13.2">
      <c r="F2867" s="94"/>
    </row>
    <row r="2868" spans="6:6" ht="13.2">
      <c r="F2868" s="94"/>
    </row>
    <row r="2869" spans="6:6" ht="13.2">
      <c r="F2869" s="94"/>
    </row>
    <row r="2870" spans="6:6" ht="13.2">
      <c r="F2870" s="94"/>
    </row>
    <row r="2871" spans="6:6" ht="13.2">
      <c r="F2871" s="94"/>
    </row>
    <row r="2872" spans="6:6" ht="13.2">
      <c r="F2872" s="94"/>
    </row>
    <row r="2873" spans="6:6" ht="13.2">
      <c r="F2873" s="94"/>
    </row>
    <row r="2874" spans="6:6" ht="13.2">
      <c r="F2874" s="94"/>
    </row>
    <row r="2875" spans="6:6" ht="13.2">
      <c r="F2875" s="94"/>
    </row>
    <row r="2876" spans="6:6" ht="13.2">
      <c r="F2876" s="94"/>
    </row>
    <row r="2877" spans="6:6" ht="13.2">
      <c r="F2877" s="94"/>
    </row>
    <row r="2878" spans="6:6" ht="13.2">
      <c r="F2878" s="94"/>
    </row>
    <row r="2879" spans="6:6" ht="13.2">
      <c r="F2879" s="94"/>
    </row>
    <row r="2880" spans="6:6" ht="13.2">
      <c r="F2880" s="94"/>
    </row>
    <row r="2881" spans="6:6" ht="13.2">
      <c r="F2881" s="94"/>
    </row>
    <row r="2882" spans="6:6" ht="13.2">
      <c r="F2882" s="94"/>
    </row>
    <row r="2883" spans="6:6" ht="13.2">
      <c r="F2883" s="94"/>
    </row>
    <row r="2884" spans="6:6" ht="13.2">
      <c r="F2884" s="94"/>
    </row>
    <row r="2885" spans="6:6" ht="13.2">
      <c r="F2885" s="94"/>
    </row>
    <row r="2886" spans="6:6" ht="13.2">
      <c r="F2886" s="94"/>
    </row>
    <row r="2887" spans="6:6" ht="13.2">
      <c r="F2887" s="94"/>
    </row>
    <row r="2888" spans="6:6" ht="13.2">
      <c r="F2888" s="94"/>
    </row>
    <row r="2889" spans="6:6" ht="13.2">
      <c r="F2889" s="94"/>
    </row>
    <row r="2890" spans="6:6" ht="13.2">
      <c r="F2890" s="94"/>
    </row>
    <row r="2891" spans="6:6" ht="13.2">
      <c r="F2891" s="94"/>
    </row>
    <row r="2892" spans="6:6" ht="13.2">
      <c r="F2892" s="94"/>
    </row>
    <row r="2893" spans="6:6" ht="13.2">
      <c r="F2893" s="94"/>
    </row>
    <row r="2894" spans="6:6" ht="13.2">
      <c r="F2894" s="94"/>
    </row>
    <row r="2895" spans="6:6" ht="13.2">
      <c r="F2895" s="94"/>
    </row>
    <row r="2896" spans="6:6" ht="13.2">
      <c r="F2896" s="94"/>
    </row>
    <row r="2897" spans="6:6" ht="13.2">
      <c r="F2897" s="94"/>
    </row>
    <row r="2898" spans="6:6" ht="13.2">
      <c r="F2898" s="94"/>
    </row>
    <row r="2899" spans="6:6" ht="13.2">
      <c r="F2899" s="94"/>
    </row>
    <row r="2900" spans="6:6" ht="13.2">
      <c r="F2900" s="94"/>
    </row>
    <row r="2901" spans="6:6" ht="13.2">
      <c r="F2901" s="94"/>
    </row>
    <row r="2902" spans="6:6" ht="13.2">
      <c r="F2902" s="94"/>
    </row>
    <row r="2903" spans="6:6" ht="13.2">
      <c r="F2903" s="94"/>
    </row>
    <row r="2904" spans="6:6" ht="13.2">
      <c r="F2904" s="94"/>
    </row>
    <row r="2905" spans="6:6" ht="13.2">
      <c r="F2905" s="94"/>
    </row>
    <row r="2906" spans="6:6" ht="13.2">
      <c r="F2906" s="94"/>
    </row>
    <row r="2907" spans="6:6" ht="13.2">
      <c r="F2907" s="94"/>
    </row>
    <row r="2908" spans="6:6" ht="13.2">
      <c r="F2908" s="94"/>
    </row>
    <row r="2909" spans="6:6" ht="13.2">
      <c r="F2909" s="94"/>
    </row>
    <row r="2910" spans="6:6" ht="13.2">
      <c r="F2910" s="94"/>
    </row>
    <row r="2911" spans="6:6" ht="13.2">
      <c r="F2911" s="94"/>
    </row>
    <row r="2912" spans="6:6" ht="13.2">
      <c r="F2912" s="94"/>
    </row>
    <row r="2913" spans="6:6" ht="13.2">
      <c r="F2913" s="94"/>
    </row>
    <row r="2914" spans="6:6" ht="13.2">
      <c r="F2914" s="94"/>
    </row>
    <row r="2915" spans="6:6" ht="13.2">
      <c r="F2915" s="94"/>
    </row>
    <row r="2916" spans="6:6" ht="13.2">
      <c r="F2916" s="94"/>
    </row>
    <row r="2917" spans="6:6" ht="13.2">
      <c r="F2917" s="94"/>
    </row>
    <row r="2918" spans="6:6" ht="13.2">
      <c r="F2918" s="94"/>
    </row>
    <row r="2919" spans="6:6" ht="13.2">
      <c r="F2919" s="94"/>
    </row>
    <row r="2920" spans="6:6" ht="13.2">
      <c r="F2920" s="94"/>
    </row>
    <row r="2921" spans="6:6" ht="13.2">
      <c r="F2921" s="94"/>
    </row>
    <row r="2922" spans="6:6" ht="13.2">
      <c r="F2922" s="94"/>
    </row>
    <row r="2923" spans="6:6" ht="13.2">
      <c r="F2923" s="94"/>
    </row>
    <row r="2924" spans="6:6" ht="13.2">
      <c r="F2924" s="94"/>
    </row>
    <row r="2925" spans="6:6" ht="13.2">
      <c r="F2925" s="94"/>
    </row>
    <row r="2926" spans="6:6" ht="13.2">
      <c r="F2926" s="94"/>
    </row>
    <row r="2927" spans="6:6" ht="13.2">
      <c r="F2927" s="94"/>
    </row>
    <row r="2928" spans="6:6" ht="13.2">
      <c r="F2928" s="94"/>
    </row>
    <row r="2929" spans="6:6" ht="13.2">
      <c r="F2929" s="94"/>
    </row>
    <row r="2930" spans="6:6" ht="13.2">
      <c r="F2930" s="94"/>
    </row>
    <row r="2931" spans="6:6" ht="13.2">
      <c r="F2931" s="94"/>
    </row>
    <row r="2932" spans="6:6" ht="13.2">
      <c r="F2932" s="94"/>
    </row>
    <row r="2933" spans="6:6" ht="13.2">
      <c r="F2933" s="94"/>
    </row>
    <row r="2934" spans="6:6" ht="13.2">
      <c r="F2934" s="94"/>
    </row>
    <row r="2935" spans="6:6" ht="13.2">
      <c r="F2935" s="94"/>
    </row>
    <row r="2936" spans="6:6" ht="13.2">
      <c r="F2936" s="94"/>
    </row>
    <row r="2937" spans="6:6" ht="13.2">
      <c r="F2937" s="94"/>
    </row>
    <row r="2938" spans="6:6" ht="13.2">
      <c r="F2938" s="94"/>
    </row>
    <row r="2939" spans="6:6" ht="13.2">
      <c r="F2939" s="94"/>
    </row>
    <row r="2940" spans="6:6" ht="13.2">
      <c r="F2940" s="94"/>
    </row>
    <row r="2941" spans="6:6" ht="13.2">
      <c r="F2941" s="94"/>
    </row>
    <row r="2942" spans="6:6" ht="13.2">
      <c r="F2942" s="94"/>
    </row>
    <row r="2943" spans="6:6" ht="13.2">
      <c r="F2943" s="94"/>
    </row>
    <row r="2944" spans="6:6" ht="13.2">
      <c r="F2944" s="94"/>
    </row>
    <row r="2945" spans="6:6" ht="13.2">
      <c r="F2945" s="94"/>
    </row>
    <row r="2946" spans="6:6" ht="13.2">
      <c r="F2946" s="94"/>
    </row>
    <row r="2947" spans="6:6" ht="13.2">
      <c r="F2947" s="94"/>
    </row>
    <row r="2948" spans="6:6" ht="13.2">
      <c r="F2948" s="94"/>
    </row>
    <row r="2949" spans="6:6" ht="13.2">
      <c r="F2949" s="94"/>
    </row>
    <row r="2950" spans="6:6" ht="13.2">
      <c r="F2950" s="94"/>
    </row>
    <row r="2951" spans="6:6" ht="13.2">
      <c r="F2951" s="94"/>
    </row>
    <row r="2952" spans="6:6" ht="13.2">
      <c r="F2952" s="94"/>
    </row>
    <row r="2953" spans="6:6" ht="13.2">
      <c r="F2953" s="94"/>
    </row>
    <row r="2954" spans="6:6" ht="13.2">
      <c r="F2954" s="94"/>
    </row>
    <row r="2955" spans="6:6" ht="13.2">
      <c r="F2955" s="94"/>
    </row>
    <row r="2956" spans="6:6" ht="13.2">
      <c r="F2956" s="94"/>
    </row>
    <row r="2957" spans="6:6" ht="13.2">
      <c r="F2957" s="94"/>
    </row>
    <row r="2958" spans="6:6" ht="13.2">
      <c r="F2958" s="94"/>
    </row>
    <row r="2959" spans="6:6" ht="13.2">
      <c r="F2959" s="94"/>
    </row>
    <row r="2960" spans="6:6" ht="13.2">
      <c r="F2960" s="94"/>
    </row>
    <row r="2961" spans="6:6" ht="13.2">
      <c r="F2961" s="94"/>
    </row>
    <row r="2962" spans="6:6" ht="13.2">
      <c r="F2962" s="94"/>
    </row>
    <row r="2963" spans="6:6" ht="13.2">
      <c r="F2963" s="94"/>
    </row>
    <row r="2964" spans="6:6" ht="13.2">
      <c r="F2964" s="94"/>
    </row>
    <row r="2965" spans="6:6" ht="13.2">
      <c r="F2965" s="94"/>
    </row>
    <row r="2966" spans="6:6" ht="13.2">
      <c r="F2966" s="94"/>
    </row>
    <row r="2967" spans="6:6" ht="13.2">
      <c r="F2967" s="94"/>
    </row>
    <row r="2968" spans="6:6" ht="13.2">
      <c r="F2968" s="94"/>
    </row>
    <row r="2969" spans="6:6" ht="13.2">
      <c r="F2969" s="94"/>
    </row>
    <row r="2970" spans="6:6" ht="13.2">
      <c r="F2970" s="94"/>
    </row>
    <row r="2971" spans="6:6" ht="13.2">
      <c r="F2971" s="94"/>
    </row>
    <row r="2972" spans="6:6" ht="13.2">
      <c r="F2972" s="94"/>
    </row>
    <row r="2973" spans="6:6" ht="13.2">
      <c r="F2973" s="94"/>
    </row>
    <row r="2974" spans="6:6" ht="13.2">
      <c r="F2974" s="94"/>
    </row>
    <row r="2975" spans="6:6" ht="13.2">
      <c r="F2975" s="94"/>
    </row>
    <row r="2976" spans="6:6" ht="13.2">
      <c r="F2976" s="94"/>
    </row>
    <row r="2977" spans="6:6" ht="13.2">
      <c r="F2977" s="94"/>
    </row>
    <row r="2978" spans="6:6" ht="13.2">
      <c r="F2978" s="94"/>
    </row>
    <row r="2979" spans="6:6" ht="13.2">
      <c r="F2979" s="94"/>
    </row>
    <row r="2980" spans="6:6" ht="13.2">
      <c r="F2980" s="94"/>
    </row>
    <row r="2981" spans="6:6" ht="13.2">
      <c r="F2981" s="94"/>
    </row>
    <row r="2982" spans="6:6" ht="13.2">
      <c r="F2982" s="94"/>
    </row>
    <row r="2983" spans="6:6" ht="13.2">
      <c r="F2983" s="94"/>
    </row>
    <row r="2984" spans="6:6" ht="13.2">
      <c r="F2984" s="94"/>
    </row>
    <row r="2985" spans="6:6" ht="13.2">
      <c r="F2985" s="94"/>
    </row>
    <row r="2986" spans="6:6" ht="13.2">
      <c r="F2986" s="94"/>
    </row>
    <row r="2987" spans="6:6" ht="13.2">
      <c r="F2987" s="94"/>
    </row>
    <row r="2988" spans="6:6" ht="13.2">
      <c r="F2988" s="94"/>
    </row>
  </sheetData>
  <autoFilter ref="A4:Y1038" xr:uid="{00000000-0009-0000-0000-000002000000}">
    <sortState xmlns:xlrd2="http://schemas.microsoft.com/office/spreadsheetml/2017/richdata2" ref="A4:Y1038">
      <sortCondition descending="1" ref="F4:F1038"/>
      <sortCondition descending="1" ref="H4:H1038"/>
      <sortCondition descending="1" ref="I4:I1038"/>
    </sortState>
  </autoFilter>
  <conditionalFormatting sqref="J5:K1007">
    <cfRule type="colorScale" priority="10">
      <colorScale>
        <cfvo type="min"/>
        <cfvo type="max"/>
        <color rgb="FFFFFFFF"/>
        <color rgb="FF57BB8A"/>
      </colorScale>
    </cfRule>
  </conditionalFormatting>
  <conditionalFormatting sqref="R5:R1002">
    <cfRule type="colorScale" priority="12">
      <colorScale>
        <cfvo type="min"/>
        <cfvo type="percentile" val="50"/>
        <cfvo type="max"/>
        <color rgb="FFE67C73"/>
        <color rgb="FFFFFFFF"/>
        <color rgb="FF57BB8A"/>
      </colorScale>
    </cfRule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500251</v>
      </c>
      <c r="B2" s="98" t="s">
        <v>1515</v>
      </c>
      <c r="C2" s="6" t="str">
        <f>VLOOKUP(A2,'BSE ALL CAP'!$B$4:$Y$1038,2,)</f>
        <v>Consumer Discretionary</v>
      </c>
      <c r="D2" s="6" t="str">
        <f>VLOOKUP(A2,'BSE ALL CAP'!$B$4:$Y$1038,3,)</f>
        <v>Speciality Retail</v>
      </c>
      <c r="E2" s="11">
        <f ca="1">IFERROR(__xludf.DUMMYFUNCTION("GOOGLEFINANCE(""BOM:""&amp;A2,""PRICE"")"),3827.8)</f>
        <v>3827.8</v>
      </c>
      <c r="F2" s="20">
        <f ca="1">IFERROR(__xludf.DUMMYFUNCTION("GOOGLEFINANCE(""BOM:""&amp;A2,""MARKETCAP"")/10000000"),135970.9216161)</f>
        <v>135970.92161610001</v>
      </c>
      <c r="G2" s="95">
        <f t="shared" ref="G2:G24" ca="1" si="0">F2/$F$26</f>
        <v>0.48246335443561811</v>
      </c>
      <c r="H2" s="101">
        <f>VLOOKUP(A2,'BSE ALL CAP'!$B$4:$Y$1038,7,)</f>
        <v>15046</v>
      </c>
      <c r="I2" s="101">
        <f>VLOOKUP(A2,'BSE ALL CAP'!$B$4:$Y$1038,8,)</f>
        <v>12918</v>
      </c>
      <c r="J2" s="101">
        <f>VLOOKUP(A2,'BSE ALL CAP'!$B$4:$Y$1038,9,)</f>
        <v>1308</v>
      </c>
      <c r="K2" s="101">
        <f>VLOOKUP(A2,'BSE ALL CAP'!$B$4:$Y$1038,10,)</f>
        <v>1223</v>
      </c>
      <c r="L2" s="101">
        <f>VLOOKUP(A2,'BSE ALL CAP'!$B$4:$Y$1038,11,)</f>
        <v>5345</v>
      </c>
      <c r="M2" s="101">
        <f>VLOOKUP(A2,'BSE ALL CAP'!$B$4:$Y$1038,12,)</f>
        <v>4657</v>
      </c>
      <c r="N2" s="101">
        <f>VLOOKUP(A2,'BSE ALL CAP'!$B$4:$Y$1038,13,)</f>
        <v>510</v>
      </c>
      <c r="O2" s="101">
        <f>VLOOKUP(A2,'BSE ALL CAP'!$B$4:$Y$1038,14,)</f>
        <v>497</v>
      </c>
      <c r="P2" s="95">
        <f>VLOOKUP(A2,'BSE ALL CAP'!$B$4:$Y$1038,15,)</f>
        <v>8.6933404227037089E-2</v>
      </c>
      <c r="Q2" s="95">
        <f>VLOOKUP(A2,'BSE ALL CAP'!$B$4:$Y$1038,16,)</f>
        <v>9.4674098157609535E-2</v>
      </c>
      <c r="R2" s="95">
        <f>VLOOKUP(A2,'BSE ALL CAP'!$B$4:$Y$1038,17,)</f>
        <v>-7.7406939305724454E-3</v>
      </c>
      <c r="S2" s="95">
        <f>VLOOKUP(A2,'BSE ALL CAP'!$B$4:$Y$1038,18,)</f>
        <v>9.5416276894293731E-2</v>
      </c>
      <c r="T2" s="95">
        <f>VLOOKUP(A2,'BSE ALL CAP'!$B$4:$Y$1038,19,)</f>
        <v>0.1067210650633455</v>
      </c>
      <c r="U2" s="95">
        <f>VLOOKUP(A2,'BSE ALL CAP'!$B$4:$Y$1038,20,)</f>
        <v>-1.1304788169051769E-2</v>
      </c>
      <c r="V2" s="95">
        <f>VLOOKUP(A2,'BSE ALL CAP'!$B$4:$Y$1038,21,)</f>
        <v>0.16473138256696074</v>
      </c>
      <c r="W2" s="95">
        <f>VLOOKUP(A2,'BSE ALL CAP'!$B$4:$Y$1038,22,)</f>
        <v>6.9501226492232115E-2</v>
      </c>
      <c r="X2" s="95">
        <f>VLOOKUP(A2,'BSE ALL CAP'!$B$4:$Y$1038,23,)</f>
        <v>0.14773459308567749</v>
      </c>
      <c r="Y2" s="95">
        <f>VLOOKUP(A2,'BSE ALL CAP'!$B$4:$Y$1038,24,)</f>
        <v>2.6156941649899457E-2</v>
      </c>
    </row>
    <row r="3" spans="1:25" ht="15.75" customHeight="1">
      <c r="A3" s="99">
        <v>544600</v>
      </c>
      <c r="B3" s="98" t="s">
        <v>1875</v>
      </c>
      <c r="C3" s="6" t="str">
        <f>VLOOKUP(A3,'BSE ALL CAP'!$B$4:$Y$1038,2,)</f>
        <v>Consumer Discretionary</v>
      </c>
      <c r="D3" s="6" t="str">
        <f>VLOOKUP(A3,'BSE ALL CAP'!$B$4:$Y$1038,3,)</f>
        <v>Speciality Retail</v>
      </c>
      <c r="E3" s="11">
        <f ca="1">IFERROR(__xludf.DUMMYFUNCTION("GOOGLEFINANCE(""BOM:""&amp;A3,""PRICE"")"),502.5)</f>
        <v>502.5</v>
      </c>
      <c r="F3" s="20">
        <f ca="1">IFERROR(__xludf.DUMMYFUNCTION("GOOGLEFINANCE(""BOM:""&amp;A3,""MARKETCAP"")/10000000"),87036.0112803)</f>
        <v>87036.011280299994</v>
      </c>
      <c r="G3" s="95">
        <f t="shared" ca="1" si="0"/>
        <v>0.30882842787187298</v>
      </c>
      <c r="H3" s="101">
        <f>VLOOKUP(A3,'BSE ALL CAP'!$B$4:$Y$1038,7,)</f>
        <v>6298</v>
      </c>
      <c r="I3" s="101">
        <f>VLOOKUP(A3,'BSE ALL CAP'!$B$4:$Y$1038,8,)</f>
        <v>4924</v>
      </c>
      <c r="J3" s="101">
        <f>VLOOKUP(A3,'BSE ALL CAP'!$B$4:$Y$1038,9,)</f>
        <v>297</v>
      </c>
      <c r="K3" s="101">
        <f>VLOOKUP(A3,'BSE ALL CAP'!$B$4:$Y$1038,10,)</f>
        <v>77</v>
      </c>
      <c r="L3" s="101">
        <f>VLOOKUP(A3,'BSE ALL CAP'!$B$4:$Y$1038,11,)</f>
        <v>2308</v>
      </c>
      <c r="M3" s="101">
        <f>VLOOKUP(A3,'BSE ALL CAP'!$B$4:$Y$1038,12,)</f>
        <v>1669</v>
      </c>
      <c r="N3" s="101">
        <f>VLOOKUP(A3,'BSE ALL CAP'!$B$4:$Y$1038,13,)</f>
        <v>133</v>
      </c>
      <c r="O3" s="101">
        <f>VLOOKUP(A3,'BSE ALL CAP'!$B$4:$Y$1038,14,)</f>
        <v>2</v>
      </c>
      <c r="P3" s="95">
        <f>VLOOKUP(A3,'BSE ALL CAP'!$B$4:$Y$1038,15,)</f>
        <v>4.7157827881867259E-2</v>
      </c>
      <c r="Q3" s="95">
        <f>VLOOKUP(A3,'BSE ALL CAP'!$B$4:$Y$1038,16,)</f>
        <v>1.5637692932575144E-2</v>
      </c>
      <c r="R3" s="95">
        <f>VLOOKUP(A3,'BSE ALL CAP'!$B$4:$Y$1038,17,)</f>
        <v>3.1520134949292115E-2</v>
      </c>
      <c r="S3" s="95">
        <f>VLOOKUP(A3,'BSE ALL CAP'!$B$4:$Y$1038,18,)</f>
        <v>5.7625649913344887E-2</v>
      </c>
      <c r="T3" s="95">
        <f>VLOOKUP(A3,'BSE ALL CAP'!$B$4:$Y$1038,19,)</f>
        <v>1.1983223487118035E-3</v>
      </c>
      <c r="U3" s="95">
        <f>VLOOKUP(A3,'BSE ALL CAP'!$B$4:$Y$1038,20,)</f>
        <v>5.6427327564633083E-2</v>
      </c>
      <c r="V3" s="95">
        <f>VLOOKUP(A3,'BSE ALL CAP'!$B$4:$Y$1038,21,)</f>
        <v>0.27904142973192525</v>
      </c>
      <c r="W3" s="95">
        <f>VLOOKUP(A3,'BSE ALL CAP'!$B$4:$Y$1038,22,)</f>
        <v>2.8571428571428572</v>
      </c>
      <c r="X3" s="95">
        <f>VLOOKUP(A3,'BSE ALL CAP'!$B$4:$Y$1038,23,)</f>
        <v>0.38286399041342123</v>
      </c>
      <c r="Y3" s="95">
        <f>VLOOKUP(A3,'BSE ALL CAP'!$B$4:$Y$1038,24,)</f>
        <v>65.5</v>
      </c>
    </row>
    <row r="4" spans="1:25" ht="15.75" customHeight="1">
      <c r="A4" s="99">
        <v>544403</v>
      </c>
      <c r="B4" s="98" t="s">
        <v>1876</v>
      </c>
      <c r="C4" s="6" t="str">
        <f>VLOOKUP(A4,'BSE ALL CAP'!$B$4:$Y$1038,2,)</f>
        <v>Consumer Discretionary</v>
      </c>
      <c r="D4" s="6" t="str">
        <f>VLOOKUP(A4,'BSE ALL CAP'!$B$4:$Y$1038,3,)</f>
        <v>Speciality Retail</v>
      </c>
      <c r="E4" s="11">
        <f ca="1">IFERROR(__xludf.DUMMYFUNCTION("GOOGLEFINANCE(""BOM:""&amp;A4,""PRICE"")"),96.32)</f>
        <v>96.32</v>
      </c>
      <c r="F4" s="20">
        <f ca="1">IFERROR(__xludf.DUMMYFUNCTION("GOOGLEFINANCE(""BOM:""&amp;A4,""MARKETCAP"")/10000000"),11676.1707486)</f>
        <v>11676.1707486</v>
      </c>
      <c r="G4" s="95">
        <f t="shared" ca="1" si="0"/>
        <v>4.143036201694443E-2</v>
      </c>
      <c r="H4" s="101">
        <f>VLOOKUP(A4,'BSE ALL CAP'!$B$4:$Y$1038,7,)</f>
        <v>6284</v>
      </c>
      <c r="I4" s="101">
        <f>VLOOKUP(A4,'BSE ALL CAP'!$B$4:$Y$1038,8,)</f>
        <v>5944</v>
      </c>
      <c r="J4" s="101">
        <f>VLOOKUP(A4,'BSE ALL CAP'!$B$4:$Y$1038,9,)</f>
        <v>116</v>
      </c>
      <c r="K4" s="101">
        <f>VLOOKUP(A4,'BSE ALL CAP'!$B$4:$Y$1038,10,)</f>
        <v>21</v>
      </c>
      <c r="L4" s="101">
        <f>VLOOKUP(A4,'BSE ALL CAP'!$B$4:$Y$1038,11,)</f>
        <v>2362</v>
      </c>
      <c r="M4" s="101">
        <f>VLOOKUP(A4,'BSE ALL CAP'!$B$4:$Y$1038,12,)</f>
        <v>2059</v>
      </c>
      <c r="N4" s="101">
        <f>VLOOKUP(A4,'BSE ALL CAP'!$B$4:$Y$1038,13,)</f>
        <v>69</v>
      </c>
      <c r="O4" s="101">
        <f>VLOOKUP(A4,'BSE ALL CAP'!$B$4:$Y$1038,14,)</f>
        <v>60</v>
      </c>
      <c r="P4" s="95">
        <f>VLOOKUP(A4,'BSE ALL CAP'!$B$4:$Y$1038,15,)</f>
        <v>1.8459579885423297E-2</v>
      </c>
      <c r="Q4" s="95">
        <f>VLOOKUP(A4,'BSE ALL CAP'!$B$4:$Y$1038,16,)</f>
        <v>3.5329744279946162E-3</v>
      </c>
      <c r="R4" s="95">
        <f>VLOOKUP(A4,'BSE ALL CAP'!$B$4:$Y$1038,17,)</f>
        <v>1.4926605457428681E-2</v>
      </c>
      <c r="S4" s="95">
        <f>VLOOKUP(A4,'BSE ALL CAP'!$B$4:$Y$1038,18,)</f>
        <v>2.9212531752751906E-2</v>
      </c>
      <c r="T4" s="95">
        <f>VLOOKUP(A4,'BSE ALL CAP'!$B$4:$Y$1038,19,)</f>
        <v>2.9140359397765905E-2</v>
      </c>
      <c r="U4" s="95">
        <f>VLOOKUP(A4,'BSE ALL CAP'!$B$4:$Y$1038,20,)</f>
        <v>7.2172354986001219E-5</v>
      </c>
      <c r="V4" s="95">
        <f>VLOOKUP(A4,'BSE ALL CAP'!$B$4:$Y$1038,21,)</f>
        <v>5.7200538358008091E-2</v>
      </c>
      <c r="W4" s="95">
        <f>VLOOKUP(A4,'BSE ALL CAP'!$B$4:$Y$1038,22,)</f>
        <v>4.5238095238095237</v>
      </c>
      <c r="X4" s="95">
        <f>VLOOKUP(A4,'BSE ALL CAP'!$B$4:$Y$1038,23,)</f>
        <v>0.14715881495871774</v>
      </c>
      <c r="Y4" s="95">
        <f>VLOOKUP(A4,'BSE ALL CAP'!$B$4:$Y$1038,24,)</f>
        <v>0.14999999999999991</v>
      </c>
    </row>
    <row r="5" spans="1:25" ht="15.75" customHeight="1">
      <c r="A5" s="99">
        <v>543463</v>
      </c>
      <c r="B5" s="98" t="s">
        <v>140</v>
      </c>
      <c r="C5" s="6" t="str">
        <f>VLOOKUP(A5,'BSE ALL CAP'!$B$4:$Y$1038,2,)</f>
        <v>Consumer Discretionary</v>
      </c>
      <c r="D5" s="6" t="str">
        <f>VLOOKUP(A5,'BSE ALL CAP'!$B$4:$Y$1038,3,)</f>
        <v>Speciality Retail</v>
      </c>
      <c r="E5" s="11">
        <f ca="1">IFERROR(__xludf.DUMMYFUNCTION("GOOGLEFINANCE(""BOM:""&amp;A5,""PRICE"")"),378.25)</f>
        <v>378.25</v>
      </c>
      <c r="F5" s="20">
        <f ca="1">IFERROR(__xludf.DUMMYFUNCTION("GOOGLEFINANCE(""BOM:""&amp;A5,""MARKETCAP"")/10000000"),9183.168611)</f>
        <v>9183.1686109999991</v>
      </c>
      <c r="G5" s="95">
        <f t="shared" ca="1" si="0"/>
        <v>3.258448409226878E-2</v>
      </c>
      <c r="H5" s="101">
        <f>VLOOKUP(A5,'BSE ALL CAP'!$B$4:$Y$1038,7,)</f>
        <v>1036</v>
      </c>
      <c r="I5" s="101">
        <f>VLOOKUP(A5,'BSE ALL CAP'!$B$4:$Y$1038,8,)</f>
        <v>1019</v>
      </c>
      <c r="J5" s="101">
        <f>VLOOKUP(A5,'BSE ALL CAP'!$B$4:$Y$1038,9,)</f>
        <v>261</v>
      </c>
      <c r="K5" s="101">
        <f>VLOOKUP(A5,'BSE ALL CAP'!$B$4:$Y$1038,10,)</f>
        <v>287</v>
      </c>
      <c r="L5" s="101">
        <f>VLOOKUP(A5,'BSE ALL CAP'!$B$4:$Y$1038,11,)</f>
        <v>491</v>
      </c>
      <c r="M5" s="101">
        <f>VLOOKUP(A5,'BSE ALL CAP'!$B$4:$Y$1038,12,)</f>
        <v>511</v>
      </c>
      <c r="N5" s="101">
        <f>VLOOKUP(A5,'BSE ALL CAP'!$B$4:$Y$1038,13,)</f>
        <v>134</v>
      </c>
      <c r="O5" s="101">
        <f>VLOOKUP(A5,'BSE ALL CAP'!$B$4:$Y$1038,14,)</f>
        <v>157</v>
      </c>
      <c r="P5" s="95">
        <f>VLOOKUP(A5,'BSE ALL CAP'!$B$4:$Y$1038,15,)</f>
        <v>0.25193050193050193</v>
      </c>
      <c r="Q5" s="95">
        <f>VLOOKUP(A5,'BSE ALL CAP'!$B$4:$Y$1038,16,)</f>
        <v>0.28164867517173697</v>
      </c>
      <c r="R5" s="95">
        <f>VLOOKUP(A5,'BSE ALL CAP'!$B$4:$Y$1038,17,)</f>
        <v>-2.9718173241235046E-2</v>
      </c>
      <c r="S5" s="95">
        <f>VLOOKUP(A5,'BSE ALL CAP'!$B$4:$Y$1038,18,)</f>
        <v>0.27291242362525459</v>
      </c>
      <c r="T5" s="95">
        <f>VLOOKUP(A5,'BSE ALL CAP'!$B$4:$Y$1038,19,)</f>
        <v>0.30724070450097846</v>
      </c>
      <c r="U5" s="95">
        <f>VLOOKUP(A5,'BSE ALL CAP'!$B$4:$Y$1038,20,)</f>
        <v>-3.4328280875723871E-2</v>
      </c>
      <c r="V5" s="95">
        <f>VLOOKUP(A5,'BSE ALL CAP'!$B$4:$Y$1038,21,)</f>
        <v>1.6683022571148287E-2</v>
      </c>
      <c r="W5" s="95">
        <f>VLOOKUP(A5,'BSE ALL CAP'!$B$4:$Y$1038,22,)</f>
        <v>-9.0592334494773552E-2</v>
      </c>
      <c r="X5" s="95">
        <f>VLOOKUP(A5,'BSE ALL CAP'!$B$4:$Y$1038,23,)</f>
        <v>-3.9138943248532287E-2</v>
      </c>
      <c r="Y5" s="95">
        <f>VLOOKUP(A5,'BSE ALL CAP'!$B$4:$Y$1038,24,)</f>
        <v>-0.14649681528662417</v>
      </c>
    </row>
    <row r="6" spans="1:25" ht="15.75" customHeight="1">
      <c r="A6" s="99">
        <v>535755</v>
      </c>
      <c r="B6" s="98" t="s">
        <v>1877</v>
      </c>
      <c r="C6" s="6" t="str">
        <f>VLOOKUP(A6,'BSE ALL CAP'!$B$4:$Y$1038,2,)</f>
        <v>Consumer Discretionary</v>
      </c>
      <c r="D6" s="6" t="str">
        <f>VLOOKUP(A6,'BSE ALL CAP'!$B$4:$Y$1038,3,)</f>
        <v>Speciality Retail</v>
      </c>
      <c r="E6" s="11">
        <f ca="1">IFERROR(__xludf.DUMMYFUNCTION("GOOGLEFINANCE(""BOM:""&amp;A6,""PRICE"")"),58.81)</f>
        <v>58.81</v>
      </c>
      <c r="F6" s="20">
        <f ca="1">IFERROR(__xludf.DUMMYFUNCTION("GOOGLEFINANCE(""BOM:""&amp;A6,""MARKETCAP"")/10000000"),7148.2086419)</f>
        <v>7148.2086418999997</v>
      </c>
      <c r="G6" s="95">
        <f t="shared" ca="1" si="0"/>
        <v>2.5363869558183458E-2</v>
      </c>
      <c r="H6" s="101">
        <f>VLOOKUP(A6,'BSE ALL CAP'!$B$4:$Y$1038,7,)</f>
        <v>6187</v>
      </c>
      <c r="I6" s="101">
        <f>VLOOKUP(A6,'BSE ALL CAP'!$B$4:$Y$1038,8,)</f>
        <v>5635</v>
      </c>
      <c r="J6" s="101">
        <f>VLOOKUP(A6,'BSE ALL CAP'!$B$4:$Y$1038,9,)</f>
        <v>-666</v>
      </c>
      <c r="K6" s="101">
        <f>VLOOKUP(A6,'BSE ALL CAP'!$B$4:$Y$1038,10,)</f>
        <v>-454</v>
      </c>
      <c r="L6" s="101">
        <f>VLOOKUP(A6,'BSE ALL CAP'!$B$4:$Y$1038,11,)</f>
        <v>2374</v>
      </c>
      <c r="M6" s="101">
        <f>VLOOKUP(A6,'BSE ALL CAP'!$B$4:$Y$1038,12,)</f>
        <v>2200</v>
      </c>
      <c r="N6" s="101">
        <f>VLOOKUP(A6,'BSE ALL CAP'!$B$4:$Y$1038,13,)</f>
        <v>-137</v>
      </c>
      <c r="O6" s="101">
        <f>VLOOKUP(A6,'BSE ALL CAP'!$B$4:$Y$1038,14,)</f>
        <v>-103</v>
      </c>
      <c r="P6" s="95">
        <f>VLOOKUP(A6,'BSE ALL CAP'!$B$4:$Y$1038,15,)</f>
        <v>-0.10764506222725069</v>
      </c>
      <c r="Q6" s="95">
        <f>VLOOKUP(A6,'BSE ALL CAP'!$B$4:$Y$1038,16,)</f>
        <v>-8.0567879325643299E-2</v>
      </c>
      <c r="R6" s="95">
        <f>VLOOKUP(A6,'BSE ALL CAP'!$B$4:$Y$1038,17,)</f>
        <v>-2.7077182901607391E-2</v>
      </c>
      <c r="S6" s="95">
        <f>VLOOKUP(A6,'BSE ALL CAP'!$B$4:$Y$1038,18,)</f>
        <v>-5.7708508845829821E-2</v>
      </c>
      <c r="T6" s="95">
        <f>VLOOKUP(A6,'BSE ALL CAP'!$B$4:$Y$1038,19,)</f>
        <v>-4.6818181818181821E-2</v>
      </c>
      <c r="U6" s="95">
        <f>VLOOKUP(A6,'BSE ALL CAP'!$B$4:$Y$1038,20,)</f>
        <v>-1.0890327027648E-2</v>
      </c>
      <c r="V6" s="95">
        <f>VLOOKUP(A6,'BSE ALL CAP'!$B$4:$Y$1038,21,)</f>
        <v>9.7959183673469452E-2</v>
      </c>
      <c r="W6" s="95">
        <f>VLOOKUP(A6,'BSE ALL CAP'!$B$4:$Y$1038,22,)</f>
        <v>0.46696035242290757</v>
      </c>
      <c r="X6" s="95">
        <f>VLOOKUP(A6,'BSE ALL CAP'!$B$4:$Y$1038,23,)</f>
        <v>7.9090909090909101E-2</v>
      </c>
      <c r="Y6" s="95">
        <f>VLOOKUP(A6,'BSE ALL CAP'!$B$4:$Y$1038,24,)</f>
        <v>0.33009708737864085</v>
      </c>
    </row>
    <row r="7" spans="1:25" ht="15.75" customHeight="1">
      <c r="A7" s="99">
        <v>532867</v>
      </c>
      <c r="B7" s="98" t="s">
        <v>1878</v>
      </c>
      <c r="C7" s="6" t="str">
        <f>VLOOKUP(A7,'BSE ALL CAP'!$B$4:$Y$1038,2,)</f>
        <v>Consumer Discretionary</v>
      </c>
      <c r="D7" s="6" t="str">
        <f>VLOOKUP(A7,'BSE ALL CAP'!$B$4:$Y$1038,3,)</f>
        <v>Speciality Retail</v>
      </c>
      <c r="E7" s="11">
        <f ca="1">IFERROR(__xludf.DUMMYFUNCTION("GOOGLEFINANCE(""BOM:""&amp;A7,""PRICE"")"),193.05)</f>
        <v>193.05</v>
      </c>
      <c r="F7" s="20">
        <f ca="1">IFERROR(__xludf.DUMMYFUNCTION("GOOGLEFINANCE(""BOM:""&amp;A7,""MARKETCAP"")/10000000"),7053.547889)</f>
        <v>7053.5478890000004</v>
      </c>
      <c r="G7" s="95">
        <f t="shared" ca="1" si="0"/>
        <v>2.5027986386732429E-2</v>
      </c>
      <c r="H7" s="101">
        <f>VLOOKUP(A7,'BSE ALL CAP'!$B$4:$Y$1038,7,)</f>
        <v>2270</v>
      </c>
      <c r="I7" s="101">
        <f>VLOOKUP(A7,'BSE ALL CAP'!$B$4:$Y$1038,8,)</f>
        <v>1385</v>
      </c>
      <c r="J7" s="101">
        <f>VLOOKUP(A7,'BSE ALL CAP'!$B$4:$Y$1038,9,)</f>
        <v>143</v>
      </c>
      <c r="K7" s="101">
        <f>VLOOKUP(A7,'BSE ALL CAP'!$B$4:$Y$1038,10,)</f>
        <v>65</v>
      </c>
      <c r="L7" s="101">
        <f>VLOOKUP(A7,'BSE ALL CAP'!$B$4:$Y$1038,11,)</f>
        <v>929</v>
      </c>
      <c r="M7" s="101">
        <f>VLOOKUP(A7,'BSE ALL CAP'!$B$4:$Y$1038,12,)</f>
        <v>590</v>
      </c>
      <c r="N7" s="101">
        <f>VLOOKUP(A7,'BSE ALL CAP'!$B$4:$Y$1038,13,)</f>
        <v>102</v>
      </c>
      <c r="O7" s="101">
        <f>VLOOKUP(A7,'BSE ALL CAP'!$B$4:$Y$1038,14,)</f>
        <v>51</v>
      </c>
      <c r="P7" s="95">
        <f>VLOOKUP(A7,'BSE ALL CAP'!$B$4:$Y$1038,15,)</f>
        <v>6.2995594713656386E-2</v>
      </c>
      <c r="Q7" s="95">
        <f>VLOOKUP(A7,'BSE ALL CAP'!$B$4:$Y$1038,16,)</f>
        <v>4.6931407942238268E-2</v>
      </c>
      <c r="R7" s="95">
        <f>VLOOKUP(A7,'BSE ALL CAP'!$B$4:$Y$1038,17,)</f>
        <v>1.6064186771418118E-2</v>
      </c>
      <c r="S7" s="95">
        <f>VLOOKUP(A7,'BSE ALL CAP'!$B$4:$Y$1038,18,)</f>
        <v>0.10979547900968784</v>
      </c>
      <c r="T7" s="95">
        <f>VLOOKUP(A7,'BSE ALL CAP'!$B$4:$Y$1038,19,)</f>
        <v>8.6440677966101692E-2</v>
      </c>
      <c r="U7" s="95">
        <f>VLOOKUP(A7,'BSE ALL CAP'!$B$4:$Y$1038,20,)</f>
        <v>2.3354801043586143E-2</v>
      </c>
      <c r="V7" s="95">
        <f>VLOOKUP(A7,'BSE ALL CAP'!$B$4:$Y$1038,21,)</f>
        <v>0.63898916967509023</v>
      </c>
      <c r="W7" s="95">
        <f>VLOOKUP(A7,'BSE ALL CAP'!$B$4:$Y$1038,22,)</f>
        <v>1.2000000000000002</v>
      </c>
      <c r="X7" s="95">
        <f>VLOOKUP(A7,'BSE ALL CAP'!$B$4:$Y$1038,23,)</f>
        <v>0.57457627118644061</v>
      </c>
      <c r="Y7" s="95">
        <f>VLOOKUP(A7,'BSE ALL CAP'!$B$4:$Y$1038,24,)</f>
        <v>1</v>
      </c>
    </row>
    <row r="8" spans="1:25" ht="15.75" customHeight="1">
      <c r="A8" s="99">
        <v>540205</v>
      </c>
      <c r="B8" s="98" t="s">
        <v>1879</v>
      </c>
      <c r="C8" s="6" t="str">
        <f>VLOOKUP(A8,'BSE ALL CAP'!$B$4:$Y$1038,2,)</f>
        <v>Consumer Discretionary</v>
      </c>
      <c r="D8" s="6" t="str">
        <f>VLOOKUP(A8,'BSE ALL CAP'!$B$4:$Y$1038,3,)</f>
        <v>Speciality Retail</v>
      </c>
      <c r="E8" s="11">
        <f ca="1">IFERROR(__xludf.DUMMYFUNCTION("GOOGLEFINANCE(""BOM:""&amp;A8,""PRICE"")"),459.55)</f>
        <v>459.55</v>
      </c>
      <c r="F8" s="20">
        <f ca="1">IFERROR(__xludf.DUMMYFUNCTION("GOOGLEFINANCE(""BOM:""&amp;A8,""MARKETCAP"")/10000000"),5926.1427411)</f>
        <v>5926.1427411000004</v>
      </c>
      <c r="G8" s="95">
        <f t="shared" ca="1" si="0"/>
        <v>2.10276334951079E-2</v>
      </c>
      <c r="H8" s="101">
        <f>VLOOKUP(A8,'BSE ALL CAP'!$B$4:$Y$1038,7,)</f>
        <v>2054</v>
      </c>
      <c r="I8" s="101">
        <f>VLOOKUP(A8,'BSE ALL CAP'!$B$4:$Y$1038,8,)</f>
        <v>1778</v>
      </c>
      <c r="J8" s="101">
        <f>VLOOKUP(A8,'BSE ALL CAP'!$B$4:$Y$1038,9,)</f>
        <v>95</v>
      </c>
      <c r="K8" s="101">
        <f>VLOOKUP(A8,'BSE ALL CAP'!$B$4:$Y$1038,10,)</f>
        <v>89</v>
      </c>
      <c r="L8" s="101">
        <f>VLOOKUP(A8,'BSE ALL CAP'!$B$4:$Y$1038,11,)</f>
        <v>652</v>
      </c>
      <c r="M8" s="101">
        <f>VLOOKUP(A8,'BSE ALL CAP'!$B$4:$Y$1038,12,)</f>
        <v>510</v>
      </c>
      <c r="N8" s="101">
        <f>VLOOKUP(A8,'BSE ALL CAP'!$B$4:$Y$1038,13,)</f>
        <v>27</v>
      </c>
      <c r="O8" s="101">
        <f>VLOOKUP(A8,'BSE ALL CAP'!$B$4:$Y$1038,14,)</f>
        <v>24</v>
      </c>
      <c r="P8" s="95">
        <f>VLOOKUP(A8,'BSE ALL CAP'!$B$4:$Y$1038,15,)</f>
        <v>4.6251217137293084E-2</v>
      </c>
      <c r="Q8" s="95">
        <f>VLOOKUP(A8,'BSE ALL CAP'!$B$4:$Y$1038,16,)</f>
        <v>5.0056242969628795E-2</v>
      </c>
      <c r="R8" s="95">
        <f>VLOOKUP(A8,'BSE ALL CAP'!$B$4:$Y$1038,17,)</f>
        <v>-3.8050258323357108E-3</v>
      </c>
      <c r="S8" s="95">
        <f>VLOOKUP(A8,'BSE ALL CAP'!$B$4:$Y$1038,18,)</f>
        <v>4.1411042944785273E-2</v>
      </c>
      <c r="T8" s="95">
        <f>VLOOKUP(A8,'BSE ALL CAP'!$B$4:$Y$1038,19,)</f>
        <v>4.7058823529411764E-2</v>
      </c>
      <c r="U8" s="95">
        <f>VLOOKUP(A8,'BSE ALL CAP'!$B$4:$Y$1038,20,)</f>
        <v>-5.6477805846264911E-3</v>
      </c>
      <c r="V8" s="95">
        <f>VLOOKUP(A8,'BSE ALL CAP'!$B$4:$Y$1038,21,)</f>
        <v>0.15523059617547807</v>
      </c>
      <c r="W8" s="95">
        <f>VLOOKUP(A8,'BSE ALL CAP'!$B$4:$Y$1038,22,)</f>
        <v>6.7415730337078594E-2</v>
      </c>
      <c r="X8" s="95">
        <f>VLOOKUP(A8,'BSE ALL CAP'!$B$4:$Y$1038,23,)</f>
        <v>0.27843137254901951</v>
      </c>
      <c r="Y8" s="95">
        <f>VLOOKUP(A8,'BSE ALL CAP'!$B$4:$Y$1038,24,)</f>
        <v>0.125</v>
      </c>
    </row>
    <row r="9" spans="1:25" ht="15.75" customHeight="1">
      <c r="A9" s="99">
        <v>542484</v>
      </c>
      <c r="B9" s="98" t="s">
        <v>1880</v>
      </c>
      <c r="C9" s="6" t="str">
        <f>VLOOKUP(A9,'BSE ALL CAP'!$B$4:$Y$1038,2,)</f>
        <v>Consumer Discretionary</v>
      </c>
      <c r="D9" s="6" t="str">
        <f>VLOOKUP(A9,'BSE ALL CAP'!$B$4:$Y$1038,3,)</f>
        <v>Speciality Retail</v>
      </c>
      <c r="E9" s="11">
        <f ca="1">IFERROR(__xludf.DUMMYFUNCTION("GOOGLEFINANCE(""BOM:""&amp;A9,""PRICE"")"),442.05)</f>
        <v>442.05</v>
      </c>
      <c r="F9" s="20">
        <f ca="1">IFERROR(__xludf.DUMMYFUNCTION("GOOGLEFINANCE(""BOM:""&amp;A9,""MARKETCAP"")/10000000"),5898.1905738)</f>
        <v>5898.1905737999996</v>
      </c>
      <c r="G9" s="95">
        <f t="shared" ca="1" si="0"/>
        <v>2.0928451285860395E-2</v>
      </c>
      <c r="H9" s="101">
        <f>VLOOKUP(A9,'BSE ALL CAP'!$B$4:$Y$1038,7,)</f>
        <v>3934</v>
      </c>
      <c r="I9" s="101">
        <f>VLOOKUP(A9,'BSE ALL CAP'!$B$4:$Y$1038,8,)</f>
        <v>3454</v>
      </c>
      <c r="J9" s="101">
        <f>VLOOKUP(A9,'BSE ALL CAP'!$B$4:$Y$1038,9,)</f>
        <v>118</v>
      </c>
      <c r="K9" s="101">
        <f>VLOOKUP(A9,'BSE ALL CAP'!$B$4:$Y$1038,10,)</f>
        <v>106</v>
      </c>
      <c r="L9" s="101">
        <f>VLOOKUP(A9,'BSE ALL CAP'!$B$4:$Y$1038,11,)</f>
        <v>1382</v>
      </c>
      <c r="M9" s="101">
        <f>VLOOKUP(A9,'BSE ALL CAP'!$B$4:$Y$1038,12,)</f>
        <v>1211</v>
      </c>
      <c r="N9" s="101">
        <f>VLOOKUP(A9,'BSE ALL CAP'!$B$4:$Y$1038,13,)</f>
        <v>36</v>
      </c>
      <c r="O9" s="101">
        <f>VLOOKUP(A9,'BSE ALL CAP'!$B$4:$Y$1038,14,)</f>
        <v>47</v>
      </c>
      <c r="P9" s="95">
        <f>VLOOKUP(A9,'BSE ALL CAP'!$B$4:$Y$1038,15,)</f>
        <v>2.9994916115912557E-2</v>
      </c>
      <c r="Q9" s="95">
        <f>VLOOKUP(A9,'BSE ALL CAP'!$B$4:$Y$1038,16,)</f>
        <v>3.0689056166763172E-2</v>
      </c>
      <c r="R9" s="95">
        <f>VLOOKUP(A9,'BSE ALL CAP'!$B$4:$Y$1038,17,)</f>
        <v>-6.9414005085061473E-4</v>
      </c>
      <c r="S9" s="95">
        <f>VLOOKUP(A9,'BSE ALL CAP'!$B$4:$Y$1038,18,)</f>
        <v>2.6049204052098408E-2</v>
      </c>
      <c r="T9" s="95">
        <f>VLOOKUP(A9,'BSE ALL CAP'!$B$4:$Y$1038,19,)</f>
        <v>3.8810900082576386E-2</v>
      </c>
      <c r="U9" s="95">
        <f>VLOOKUP(A9,'BSE ALL CAP'!$B$4:$Y$1038,20,)</f>
        <v>-1.2761696030477977E-2</v>
      </c>
      <c r="V9" s="95">
        <f>VLOOKUP(A9,'BSE ALL CAP'!$B$4:$Y$1038,21,)</f>
        <v>0.13896931094383325</v>
      </c>
      <c r="W9" s="95">
        <f>VLOOKUP(A9,'BSE ALL CAP'!$B$4:$Y$1038,22,)</f>
        <v>0.1132075471698113</v>
      </c>
      <c r="X9" s="95">
        <f>VLOOKUP(A9,'BSE ALL CAP'!$B$4:$Y$1038,23,)</f>
        <v>0.14120561519405439</v>
      </c>
      <c r="Y9" s="95">
        <f>VLOOKUP(A9,'BSE ALL CAP'!$B$4:$Y$1038,24,)</f>
        <v>-0.23404255319148937</v>
      </c>
    </row>
    <row r="10" spans="1:25" ht="15.75" customHeight="1">
      <c r="A10" s="99">
        <v>542727</v>
      </c>
      <c r="B10" s="98" t="s">
        <v>1881</v>
      </c>
      <c r="C10" s="6" t="str">
        <f>VLOOKUP(A10,'BSE ALL CAP'!$B$4:$Y$1038,2,)</f>
        <v>Consumer Discretionary</v>
      </c>
      <c r="D10" s="6" t="str">
        <f>VLOOKUP(A10,'BSE ALL CAP'!$B$4:$Y$1038,3,)</f>
        <v>Speciality Retail</v>
      </c>
      <c r="E10" s="11">
        <f ca="1">IFERROR(__xludf.DUMMYFUNCTION("GOOGLEFINANCE(""BOM:""&amp;A10,""PRICE"")"),2265)</f>
        <v>2265</v>
      </c>
      <c r="F10" s="20">
        <f ca="1">IFERROR(__xludf.DUMMYFUNCTION("GOOGLEFINANCE(""BOM:""&amp;A10,""MARKETCAP"")/10000000"),2415.402795)</f>
        <v>2415.402795</v>
      </c>
      <c r="G10" s="95">
        <f t="shared" ca="1" si="0"/>
        <v>8.5705334709659121E-3</v>
      </c>
      <c r="H10" s="101">
        <f>VLOOKUP(A10,'BSE ALL CAP'!$B$4:$Y$1038,7,)</f>
        <v>4</v>
      </c>
      <c r="I10" s="101">
        <f>VLOOKUP(A10,'BSE ALL CAP'!$B$4:$Y$1038,8,)</f>
        <v>2</v>
      </c>
      <c r="J10" s="101">
        <f>VLOOKUP(A10,'BSE ALL CAP'!$B$4:$Y$1038,9,)</f>
        <v>2</v>
      </c>
      <c r="K10" s="101">
        <f>VLOOKUP(A10,'BSE ALL CAP'!$B$4:$Y$1038,10,)</f>
        <v>1</v>
      </c>
      <c r="L10" s="101">
        <f>VLOOKUP(A10,'BSE ALL CAP'!$B$4:$Y$1038,11,)</f>
        <v>1</v>
      </c>
      <c r="M10" s="101">
        <f>VLOOKUP(A10,'BSE ALL CAP'!$B$4:$Y$1038,12,)</f>
        <v>2</v>
      </c>
      <c r="N10" s="101">
        <f>VLOOKUP(A10,'BSE ALL CAP'!$B$4:$Y$1038,13,)</f>
        <v>0.67</v>
      </c>
      <c r="O10" s="101">
        <f>VLOOKUP(A10,'BSE ALL CAP'!$B$4:$Y$1038,14,)</f>
        <v>0.88</v>
      </c>
      <c r="P10" s="95">
        <f>VLOOKUP(A10,'BSE ALL CAP'!$B$4:$Y$1038,15,)</f>
        <v>0.5</v>
      </c>
      <c r="Q10" s="95">
        <f>VLOOKUP(A10,'BSE ALL CAP'!$B$4:$Y$1038,16,)</f>
        <v>0.5</v>
      </c>
      <c r="R10" s="95">
        <f>VLOOKUP(A10,'BSE ALL CAP'!$B$4:$Y$1038,17,)</f>
        <v>0</v>
      </c>
      <c r="S10" s="95">
        <f>VLOOKUP(A10,'BSE ALL CAP'!$B$4:$Y$1038,18,)</f>
        <v>0.67</v>
      </c>
      <c r="T10" s="95">
        <f>VLOOKUP(A10,'BSE ALL CAP'!$B$4:$Y$1038,19,)</f>
        <v>0.44</v>
      </c>
      <c r="U10" s="95">
        <f>VLOOKUP(A10,'BSE ALL CAP'!$B$4:$Y$1038,20,)</f>
        <v>0.23000000000000004</v>
      </c>
      <c r="V10" s="95">
        <f>VLOOKUP(A10,'BSE ALL CAP'!$B$4:$Y$1038,21,)</f>
        <v>1</v>
      </c>
      <c r="W10" s="95">
        <f>VLOOKUP(A10,'BSE ALL CAP'!$B$4:$Y$1038,22,)</f>
        <v>1</v>
      </c>
      <c r="X10" s="95">
        <f>VLOOKUP(A10,'BSE ALL CAP'!$B$4:$Y$1038,23,)</f>
        <v>-0.5</v>
      </c>
      <c r="Y10" s="95">
        <f>VLOOKUP(A10,'BSE ALL CAP'!$B$4:$Y$1038,24,)</f>
        <v>-0.23863636363636365</v>
      </c>
    </row>
    <row r="11" spans="1:25" ht="15.75" customHeight="1">
      <c r="A11" s="99">
        <v>544243</v>
      </c>
      <c r="B11" s="98" t="s">
        <v>1882</v>
      </c>
      <c r="C11" s="6" t="str">
        <f>VLOOKUP(A11,'BSE ALL CAP'!$B$4:$Y$1038,2,)</f>
        <v>Consumer Discretionary</v>
      </c>
      <c r="D11" s="6" t="str">
        <f>VLOOKUP(A11,'BSE ALL CAP'!$B$4:$Y$1038,3,)</f>
        <v>Speciality Retail</v>
      </c>
      <c r="E11" s="11">
        <f ca="1">IFERROR(__xludf.DUMMYFUNCTION("GOOGLEFINANCE(""BOM:""&amp;A11,""PRICE"")"),296)</f>
        <v>296</v>
      </c>
      <c r="F11" s="20">
        <f ca="1">IFERROR(__xludf.DUMMYFUNCTION("GOOGLEFINANCE(""BOM:""&amp;A11,""MARKETCAP"")/10000000"),2210.8603016)</f>
        <v>2210.8603016000002</v>
      </c>
      <c r="G11" s="95">
        <f t="shared" ca="1" si="0"/>
        <v>7.8447587515077764E-3</v>
      </c>
      <c r="H11" s="101">
        <f>VLOOKUP(A11,'BSE ALL CAP'!$B$4:$Y$1038,7,)</f>
        <v>1376</v>
      </c>
      <c r="I11" s="101">
        <f>VLOOKUP(A11,'BSE ALL CAP'!$B$4:$Y$1038,8,)</f>
        <v>998</v>
      </c>
      <c r="J11" s="101">
        <f>VLOOKUP(A11,'BSE ALL CAP'!$B$4:$Y$1038,9,)</f>
        <v>72</v>
      </c>
      <c r="K11" s="101">
        <f>VLOOKUP(A11,'BSE ALL CAP'!$B$4:$Y$1038,10,)</f>
        <v>22</v>
      </c>
      <c r="L11" s="101">
        <f>VLOOKUP(A11,'BSE ALL CAP'!$B$4:$Y$1038,11,)</f>
        <v>466</v>
      </c>
      <c r="M11" s="101">
        <f>VLOOKUP(A11,'BSE ALL CAP'!$B$4:$Y$1038,12,)</f>
        <v>411</v>
      </c>
      <c r="N11" s="101">
        <f>VLOOKUP(A11,'BSE ALL CAP'!$B$4:$Y$1038,13,)</f>
        <v>19</v>
      </c>
      <c r="O11" s="101">
        <f>VLOOKUP(A11,'BSE ALL CAP'!$B$4:$Y$1038,14,)</f>
        <v>30</v>
      </c>
      <c r="P11" s="95">
        <f>VLOOKUP(A11,'BSE ALL CAP'!$B$4:$Y$1038,15,)</f>
        <v>5.232558139534884E-2</v>
      </c>
      <c r="Q11" s="95">
        <f>VLOOKUP(A11,'BSE ALL CAP'!$B$4:$Y$1038,16,)</f>
        <v>2.2044088176352707E-2</v>
      </c>
      <c r="R11" s="95">
        <f>VLOOKUP(A11,'BSE ALL CAP'!$B$4:$Y$1038,17,)</f>
        <v>3.0281493218996133E-2</v>
      </c>
      <c r="S11" s="95">
        <f>VLOOKUP(A11,'BSE ALL CAP'!$B$4:$Y$1038,18,)</f>
        <v>4.07725321888412E-2</v>
      </c>
      <c r="T11" s="95">
        <f>VLOOKUP(A11,'BSE ALL CAP'!$B$4:$Y$1038,19,)</f>
        <v>7.2992700729927001E-2</v>
      </c>
      <c r="U11" s="95">
        <f>VLOOKUP(A11,'BSE ALL CAP'!$B$4:$Y$1038,20,)</f>
        <v>-3.2220168541085802E-2</v>
      </c>
      <c r="V11" s="95">
        <f>VLOOKUP(A11,'BSE ALL CAP'!$B$4:$Y$1038,21,)</f>
        <v>0.37875751503006017</v>
      </c>
      <c r="W11" s="95">
        <f>VLOOKUP(A11,'BSE ALL CAP'!$B$4:$Y$1038,22,)</f>
        <v>2.2727272727272729</v>
      </c>
      <c r="X11" s="95">
        <f>VLOOKUP(A11,'BSE ALL CAP'!$B$4:$Y$1038,23,)</f>
        <v>0.13381995133819946</v>
      </c>
      <c r="Y11" s="95">
        <f>VLOOKUP(A11,'BSE ALL CAP'!$B$4:$Y$1038,24,)</f>
        <v>-0.3666666666666667</v>
      </c>
    </row>
    <row r="12" spans="1:25" ht="15.75" customHeight="1">
      <c r="A12" s="99">
        <v>543989</v>
      </c>
      <c r="B12" s="98" t="s">
        <v>1883</v>
      </c>
      <c r="C12" s="6" t="str">
        <f>VLOOKUP(A12,'BSE ALL CAP'!$B$4:$Y$1038,2,)</f>
        <v>Consumer Discretionary</v>
      </c>
      <c r="D12" s="6" t="str">
        <f>VLOOKUP(A12,'BSE ALL CAP'!$B$4:$Y$1038,3,)</f>
        <v>Speciality Retail</v>
      </c>
      <c r="E12" s="11">
        <f ca="1">IFERROR(__xludf.DUMMYFUNCTION("GOOGLEFINANCE(""BOM:""&amp;A12,""PRICE"")"),93.86)</f>
        <v>93.86</v>
      </c>
      <c r="F12" s="20">
        <f ca="1">IFERROR(__xludf.DUMMYFUNCTION("GOOGLEFINANCE(""BOM:""&amp;A12,""MARKETCAP"")/10000000"),1386.2688269)</f>
        <v>1386.2688269</v>
      </c>
      <c r="G12" s="95">
        <f t="shared" ca="1" si="0"/>
        <v>4.9188745683732228E-3</v>
      </c>
      <c r="H12" s="101">
        <f>VLOOKUP(A12,'BSE ALL CAP'!$B$4:$Y$1038,7,)</f>
        <v>1235</v>
      </c>
      <c r="I12" s="101">
        <f>VLOOKUP(A12,'BSE ALL CAP'!$B$4:$Y$1038,8,)</f>
        <v>1063</v>
      </c>
      <c r="J12" s="101">
        <f>VLOOKUP(A12,'BSE ALL CAP'!$B$4:$Y$1038,9,)</f>
        <v>108</v>
      </c>
      <c r="K12" s="101">
        <f>VLOOKUP(A12,'BSE ALL CAP'!$B$4:$Y$1038,10,)</f>
        <v>72</v>
      </c>
      <c r="L12" s="101">
        <f>VLOOKUP(A12,'BSE ALL CAP'!$B$4:$Y$1038,11,)</f>
        <v>411</v>
      </c>
      <c r="M12" s="101">
        <f>VLOOKUP(A12,'BSE ALL CAP'!$B$4:$Y$1038,12,)</f>
        <v>449</v>
      </c>
      <c r="N12" s="101">
        <f>VLOOKUP(A12,'BSE ALL CAP'!$B$4:$Y$1038,13,)</f>
        <v>38</v>
      </c>
      <c r="O12" s="101">
        <f>VLOOKUP(A12,'BSE ALL CAP'!$B$4:$Y$1038,14,)</f>
        <v>46</v>
      </c>
      <c r="P12" s="95">
        <f>VLOOKUP(A12,'BSE ALL CAP'!$B$4:$Y$1038,15,)</f>
        <v>8.7449392712550603E-2</v>
      </c>
      <c r="Q12" s="95">
        <f>VLOOKUP(A12,'BSE ALL CAP'!$B$4:$Y$1038,16,)</f>
        <v>6.7732831608654745E-2</v>
      </c>
      <c r="R12" s="95">
        <f>VLOOKUP(A12,'BSE ALL CAP'!$B$4:$Y$1038,17,)</f>
        <v>1.9716561103895858E-2</v>
      </c>
      <c r="S12" s="95">
        <f>VLOOKUP(A12,'BSE ALL CAP'!$B$4:$Y$1038,18,)</f>
        <v>9.2457420924574207E-2</v>
      </c>
      <c r="T12" s="95">
        <f>VLOOKUP(A12,'BSE ALL CAP'!$B$4:$Y$1038,19,)</f>
        <v>0.10244988864142539</v>
      </c>
      <c r="U12" s="95">
        <f>VLOOKUP(A12,'BSE ALL CAP'!$B$4:$Y$1038,20,)</f>
        <v>-9.9924677168511805E-3</v>
      </c>
      <c r="V12" s="95">
        <f>VLOOKUP(A12,'BSE ALL CAP'!$B$4:$Y$1038,21,)</f>
        <v>0.16180620884289754</v>
      </c>
      <c r="W12" s="95">
        <f>VLOOKUP(A12,'BSE ALL CAP'!$B$4:$Y$1038,22,)</f>
        <v>0.5</v>
      </c>
      <c r="X12" s="95">
        <f>VLOOKUP(A12,'BSE ALL CAP'!$B$4:$Y$1038,23,)</f>
        <v>-8.4632516703786242E-2</v>
      </c>
      <c r="Y12" s="95">
        <f>VLOOKUP(A12,'BSE ALL CAP'!$B$4:$Y$1038,24,)</f>
        <v>-0.17391304347826086</v>
      </c>
    </row>
    <row r="13" spans="1:25" ht="15.75" customHeight="1">
      <c r="A13" s="99">
        <v>543401</v>
      </c>
      <c r="B13" s="98" t="s">
        <v>1884</v>
      </c>
      <c r="C13" s="6" t="str">
        <f>VLOOKUP(A13,'BSE ALL CAP'!$B$4:$Y$1038,2,)</f>
        <v>Consumer Discretionary</v>
      </c>
      <c r="D13" s="6" t="str">
        <f>VLOOKUP(A13,'BSE ALL CAP'!$B$4:$Y$1038,3,)</f>
        <v>Speciality Retail</v>
      </c>
      <c r="E13" s="11">
        <f ca="1">IFERROR(__xludf.DUMMYFUNCTION("GOOGLEFINANCE(""BOM:""&amp;A13,""PRICE"")"),272.6)</f>
        <v>272.60000000000002</v>
      </c>
      <c r="F13" s="20">
        <f ca="1">IFERROR(__xludf.DUMMYFUNCTION("GOOGLEFINANCE(""BOM:""&amp;A13,""MARKETCAP"")/10000000"),1435.870254)</f>
        <v>1435.8702539999999</v>
      </c>
      <c r="G13" s="95">
        <f t="shared" ca="1" si="0"/>
        <v>5.0948744852600562E-3</v>
      </c>
      <c r="H13" s="101">
        <f>VLOOKUP(A13,'BSE ALL CAP'!$B$4:$Y$1038,7,)</f>
        <v>641</v>
      </c>
      <c r="I13" s="101">
        <f>VLOOKUP(A13,'BSE ALL CAP'!$B$4:$Y$1038,8,)</f>
        <v>643</v>
      </c>
      <c r="J13" s="101">
        <f>VLOOKUP(A13,'BSE ALL CAP'!$B$4:$Y$1038,9,)</f>
        <v>51</v>
      </c>
      <c r="K13" s="101">
        <f>VLOOKUP(A13,'BSE ALL CAP'!$B$4:$Y$1038,10,)</f>
        <v>73</v>
      </c>
      <c r="L13" s="101">
        <f>VLOOKUP(A13,'BSE ALL CAP'!$B$4:$Y$1038,11,)</f>
        <v>194</v>
      </c>
      <c r="M13" s="101">
        <f>VLOOKUP(A13,'BSE ALL CAP'!$B$4:$Y$1038,12,)</f>
        <v>214</v>
      </c>
      <c r="N13" s="101">
        <f>VLOOKUP(A13,'BSE ALL CAP'!$B$4:$Y$1038,13,)</f>
        <v>7</v>
      </c>
      <c r="O13" s="101">
        <f>VLOOKUP(A13,'BSE ALL CAP'!$B$4:$Y$1038,14,)</f>
        <v>24</v>
      </c>
      <c r="P13" s="95">
        <f>VLOOKUP(A13,'BSE ALL CAP'!$B$4:$Y$1038,15,)</f>
        <v>7.9563182527301088E-2</v>
      </c>
      <c r="Q13" s="95">
        <f>VLOOKUP(A13,'BSE ALL CAP'!$B$4:$Y$1038,16,)</f>
        <v>0.11353032659409021</v>
      </c>
      <c r="R13" s="95">
        <f>VLOOKUP(A13,'BSE ALL CAP'!$B$4:$Y$1038,17,)</f>
        <v>-3.3967144066789121E-2</v>
      </c>
      <c r="S13" s="95">
        <f>VLOOKUP(A13,'BSE ALL CAP'!$B$4:$Y$1038,18,)</f>
        <v>3.608247422680412E-2</v>
      </c>
      <c r="T13" s="95">
        <f>VLOOKUP(A13,'BSE ALL CAP'!$B$4:$Y$1038,19,)</f>
        <v>0.11214953271028037</v>
      </c>
      <c r="U13" s="95">
        <f>VLOOKUP(A13,'BSE ALL CAP'!$B$4:$Y$1038,20,)</f>
        <v>-7.6067058483476252E-2</v>
      </c>
      <c r="V13" s="95">
        <f>VLOOKUP(A13,'BSE ALL CAP'!$B$4:$Y$1038,21,)</f>
        <v>-3.1104199066873672E-3</v>
      </c>
      <c r="W13" s="95">
        <f>VLOOKUP(A13,'BSE ALL CAP'!$B$4:$Y$1038,22,)</f>
        <v>-0.30136986301369861</v>
      </c>
      <c r="X13" s="95">
        <f>VLOOKUP(A13,'BSE ALL CAP'!$B$4:$Y$1038,23,)</f>
        <v>-9.3457943925233655E-2</v>
      </c>
      <c r="Y13" s="95">
        <f>VLOOKUP(A13,'BSE ALL CAP'!$B$4:$Y$1038,24,)</f>
        <v>-0.70833333333333326</v>
      </c>
    </row>
    <row r="14" spans="1:25" ht="15.75" customHeight="1">
      <c r="A14" s="99">
        <v>544058</v>
      </c>
      <c r="B14" s="98" t="s">
        <v>1885</v>
      </c>
      <c r="C14" s="6"/>
      <c r="D14" s="6"/>
      <c r="E14" s="11">
        <f ca="1">IFERROR(__xludf.DUMMYFUNCTION("GOOGLEFINANCE(""BOM:""&amp;A14,""PRICE"")"),72.75)</f>
        <v>72.75</v>
      </c>
      <c r="F14" s="20">
        <f ca="1">IFERROR(__xludf.DUMMYFUNCTION("GOOGLEFINANCE(""BOM:""&amp;A14,""MARKETCAP"")/10000000"),475.240607)</f>
        <v>475.24060700000001</v>
      </c>
      <c r="G14" s="95">
        <f t="shared" ca="1" si="0"/>
        <v>1.686288323209321E-3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543746</v>
      </c>
      <c r="B15" s="98" t="s">
        <v>1886</v>
      </c>
      <c r="C15" s="6"/>
      <c r="D15" s="6"/>
      <c r="E15" s="11">
        <f ca="1">IFERROR(__xludf.DUMMYFUNCTION("GOOGLEFINANCE(""BOM:""&amp;A15,""PRICE"")"),187.8)</f>
        <v>187.8</v>
      </c>
      <c r="F15" s="20">
        <f ca="1">IFERROR(__xludf.DUMMYFUNCTION("GOOGLEFINANCE(""BOM:""&amp;A15,""MARKETCAP"")/10000000"),334.2391212)</f>
        <v>334.2391212</v>
      </c>
      <c r="G15" s="95">
        <f t="shared" ca="1" si="0"/>
        <v>1.1859751017431577E-3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540956</v>
      </c>
      <c r="B16" s="98" t="s">
        <v>1887</v>
      </c>
      <c r="C16" s="6"/>
      <c r="D16" s="6"/>
      <c r="E16" s="11">
        <f ca="1">IFERROR(__xludf.DUMMYFUNCTION("GOOGLEFINANCE(""BOM:""&amp;A16,""PRICE"")"),21.48)</f>
        <v>21.48</v>
      </c>
      <c r="F16" s="20">
        <f ca="1">IFERROR(__xludf.DUMMYFUNCTION("GOOGLEFINANCE(""BOM:""&amp;A16,""MARKETCAP"")/10000000"),302.1202747)</f>
        <v>302.12027469999998</v>
      </c>
      <c r="G16" s="95">
        <f t="shared" ca="1" si="0"/>
        <v>1.0720083341518886E-3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543442</v>
      </c>
      <c r="B17" s="98" t="s">
        <v>1888</v>
      </c>
      <c r="C17" s="6"/>
      <c r="D17" s="6"/>
      <c r="E17" s="11">
        <f ca="1">IFERROR(__xludf.DUMMYFUNCTION("GOOGLEFINANCE(""BOM:""&amp;A17,""PRICE"")"),224)</f>
        <v>224</v>
      </c>
      <c r="F17" s="20">
        <f ca="1">IFERROR(__xludf.DUMMYFUNCTION("GOOGLEFINANCE(""BOM:""&amp;A17,""MARKETCAP"")/10000000"),285.6600775)</f>
        <v>285.6600775</v>
      </c>
      <c r="G17" s="95">
        <f t="shared" ca="1" si="0"/>
        <v>1.0136028908306644E-3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540425</v>
      </c>
      <c r="B18" s="98" t="s">
        <v>1889</v>
      </c>
      <c r="C18" s="6"/>
      <c r="D18" s="6"/>
      <c r="E18" s="11">
        <f ca="1">IFERROR(__xludf.DUMMYFUNCTION("GOOGLEFINANCE(""BOM:""&amp;A18,""PRICE"")"),122)</f>
        <v>122</v>
      </c>
      <c r="F18" s="20">
        <f ca="1">IFERROR(__xludf.DUMMYFUNCTION("GOOGLEFINANCE(""BOM:""&amp;A18,""MARKETCAP"")/10000000"),292.4721104)</f>
        <v>292.47211040000002</v>
      </c>
      <c r="G18" s="95">
        <f t="shared" ca="1" si="0"/>
        <v>1.0377739136081599E-3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540901</v>
      </c>
      <c r="B19" s="98" t="s">
        <v>1890</v>
      </c>
      <c r="C19" s="6"/>
      <c r="D19" s="6"/>
      <c r="E19" s="11">
        <f ca="1">IFERROR(__xludf.DUMMYFUNCTION("GOOGLEFINANCE(""BOM:""&amp;A19,""PRICE"")"),6.28)</f>
        <v>6.28</v>
      </c>
      <c r="F19" s="20">
        <f ca="1">IFERROR(__xludf.DUMMYFUNCTION("GOOGLEFINANCE(""BOM:""&amp;A19,""MARKETCAP"")/10000000"),113.1596326)</f>
        <v>113.15963259999999</v>
      </c>
      <c r="G19" s="95">
        <f t="shared" ca="1" si="0"/>
        <v>4.0152243790067543E-4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544464</v>
      </c>
      <c r="B20" s="98" t="s">
        <v>1891</v>
      </c>
      <c r="C20" s="6"/>
      <c r="D20" s="6"/>
      <c r="E20" s="11">
        <f ca="1">IFERROR(__xludf.DUMMYFUNCTION("GOOGLEFINANCE(""BOM:""&amp;A20,""PRICE"")"),45.55)</f>
        <v>45.55</v>
      </c>
      <c r="F20" s="20">
        <f ca="1">IFERROR(__xludf.DUMMYFUNCTION("GOOGLEFINANCE(""BOM:""&amp;A20,""MARKETCAP"")/10000000"),64.7720989)</f>
        <v>64.772098900000003</v>
      </c>
      <c r="G20" s="95">
        <f t="shared" ca="1" si="0"/>
        <v>2.2982975872857031E-4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540615</v>
      </c>
      <c r="B21" s="98" t="s">
        <v>1892</v>
      </c>
      <c r="C21" s="6"/>
      <c r="D21" s="6"/>
      <c r="E21" s="11">
        <f ca="1">IFERROR(__xludf.DUMMYFUNCTION("GOOGLEFINANCE(""BOM:""&amp;A21,""PRICE"")"),3.55)</f>
        <v>3.55</v>
      </c>
      <c r="F21" s="20">
        <f ca="1">IFERROR(__xludf.DUMMYFUNCTION("GOOGLEFINANCE(""BOM:""&amp;A21,""MARKETCAP"")/10000000"),9.9424174)</f>
        <v>9.9424174000000001</v>
      </c>
      <c r="G21" s="95">
        <f t="shared" ca="1" si="0"/>
        <v>3.527851391304442E-5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541703</v>
      </c>
      <c r="B22" s="98" t="s">
        <v>1893</v>
      </c>
      <c r="C22" s="6"/>
      <c r="D22" s="6"/>
      <c r="E22" s="11">
        <f ca="1">IFERROR(__xludf.DUMMYFUNCTION("GOOGLEFINANCE(""BOM:""&amp;A22,""PRICE"")"),14.5)</f>
        <v>14.5</v>
      </c>
      <c r="F22" s="20">
        <f ca="1">IFERROR(__xludf.DUMMYFUNCTION("GOOGLEFINANCE(""BOM:""&amp;A22,""MARKETCAP"")/10000000"),15.62787)</f>
        <v>15.62787</v>
      </c>
      <c r="G22" s="95">
        <f t="shared" ca="1" si="0"/>
        <v>5.5452110592968015E-5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543613</v>
      </c>
      <c r="B23" s="98" t="s">
        <v>1894</v>
      </c>
      <c r="C23" s="6"/>
      <c r="D23" s="6"/>
      <c r="E23" s="11">
        <f ca="1">IFERROR(__xludf.DUMMYFUNCTION("GOOGLEFINANCE(""BOM:""&amp;A23,""PRICE"")"),7.5)</f>
        <v>7.5</v>
      </c>
      <c r="F23" s="20">
        <f ca="1">IFERROR(__xludf.DUMMYFUNCTION("GOOGLEFINANCE(""BOM:""&amp;A23,""MARKETCAP"")/10000000"),3.325162)</f>
        <v>3.3251620000000002</v>
      </c>
      <c r="G23" s="95">
        <f t="shared" ca="1" si="0"/>
        <v>1.1798616891715553E-5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544517</v>
      </c>
      <c r="B24" s="98" t="s">
        <v>1895</v>
      </c>
      <c r="C24" s="6"/>
      <c r="D24" s="6"/>
      <c r="E24" s="11">
        <f ca="1">IFERROR(__xludf.DUMMYFUNCTION("GOOGLEFINANCE(""BOM:""&amp;A24,""PRICE"")"),1075.7)</f>
        <v>1075.7</v>
      </c>
      <c r="F24" s="20">
        <f ca="1">IFERROR(__xludf.DUMMYFUNCTION("GOOGLEFINANCE(""BOM:""&amp;A24,""MARKETCAP"")/10000000"),2589.0997779)</f>
        <v>2589.0997778999999</v>
      </c>
      <c r="G24" s="95">
        <f t="shared" ca="1" si="0"/>
        <v>9.1868595797341378E-3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3.2">
      <c r="A25" s="101"/>
      <c r="B25" s="101"/>
      <c r="C25" s="101"/>
      <c r="D25" s="101"/>
      <c r="E25" s="101"/>
      <c r="F25" s="101"/>
      <c r="G25" s="95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3.2">
      <c r="A26" s="101"/>
      <c r="B26" s="101"/>
      <c r="C26" s="101"/>
      <c r="D26" s="101"/>
      <c r="E26" s="101"/>
      <c r="F26" s="112">
        <f ca="1">SUM(F2:F24)</f>
        <v>281826.42342890007</v>
      </c>
      <c r="G26" s="95">
        <f ca="1">F26/$F$26</f>
        <v>1</v>
      </c>
      <c r="H26" s="101">
        <f t="shared" ref="H26:O26" si="1">SUM(H2:H24)</f>
        <v>46365</v>
      </c>
      <c r="I26" s="101">
        <f t="shared" si="1"/>
        <v>39763</v>
      </c>
      <c r="J26" s="101">
        <f t="shared" si="1"/>
        <v>1905</v>
      </c>
      <c r="K26" s="101">
        <f t="shared" si="1"/>
        <v>1582</v>
      </c>
      <c r="L26" s="101">
        <f t="shared" si="1"/>
        <v>16915</v>
      </c>
      <c r="M26" s="101">
        <f t="shared" si="1"/>
        <v>14483</v>
      </c>
      <c r="N26" s="101">
        <f t="shared" si="1"/>
        <v>938.67</v>
      </c>
      <c r="O26" s="101">
        <f t="shared" si="1"/>
        <v>835.88</v>
      </c>
      <c r="P26" s="95">
        <f t="shared" ref="P26:Q26" si="2">J26/H26</f>
        <v>4.1087026852151411E-2</v>
      </c>
      <c r="Q26" s="95">
        <f t="shared" si="2"/>
        <v>3.9785730452933633E-2</v>
      </c>
      <c r="R26" s="95">
        <f>P26-Q26</f>
        <v>1.3012963992177773E-3</v>
      </c>
      <c r="S26" s="95">
        <f t="shared" ref="S26:T26" si="3">N26/L26</f>
        <v>5.5493349098433342E-2</v>
      </c>
      <c r="T26" s="95">
        <f t="shared" si="3"/>
        <v>5.7714561900158806E-2</v>
      </c>
      <c r="U26" s="95">
        <f>S26-T26</f>
        <v>-2.221212801725464E-3</v>
      </c>
      <c r="V26" s="95">
        <f>(H26/I26)-1</f>
        <v>0.16603374996856379</v>
      </c>
      <c r="W26" s="95">
        <f>(J26/K26)-1</f>
        <v>0.20417193426042979</v>
      </c>
      <c r="X26" s="95">
        <f>(L26/M26)-1</f>
        <v>0.16792101084029554</v>
      </c>
      <c r="Y26" s="95">
        <f>(N26/O26)-1</f>
        <v>0.12297219696607153</v>
      </c>
    </row>
    <row r="27" spans="1:25" ht="13.2">
      <c r="G27" s="50"/>
    </row>
    <row r="28" spans="1:25" ht="13.2">
      <c r="G28" s="50"/>
    </row>
    <row r="29" spans="1:25" ht="13.2">
      <c r="G29" s="50"/>
    </row>
    <row r="30" spans="1:25" ht="13.2">
      <c r="G30" s="50"/>
    </row>
    <row r="31" spans="1:25" ht="13.2">
      <c r="G31" s="50"/>
    </row>
    <row r="32" spans="1:25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24" xr:uid="{00000000-0009-0000-0000-000026000000}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532466</v>
      </c>
      <c r="B2" s="98" t="s">
        <v>1896</v>
      </c>
      <c r="C2" s="6" t="str">
        <f>VLOOKUP(A2,'BSE ALL CAP'!$B$4:$Y$1038,2,)</f>
        <v>Information Technology</v>
      </c>
      <c r="D2" s="6" t="str">
        <f>VLOOKUP(A2,'BSE ALL CAP'!$B$4:$Y$1038,3,)</f>
        <v>Software Products</v>
      </c>
      <c r="E2" s="11">
        <f ca="1">IFERROR(__xludf.DUMMYFUNCTION("GOOGLEFINANCE(""BOM:""&amp;A2,""PRICE"")"),7033.25)</f>
        <v>7033.25</v>
      </c>
      <c r="F2" s="20">
        <f ca="1">IFERROR(__xludf.DUMMYFUNCTION("GOOGLEFINANCE(""BOM:""&amp;A2,""MARKETCAP"")/10000000"),61216.1586855)</f>
        <v>61216.158685499999</v>
      </c>
      <c r="G2" s="95">
        <f t="shared" ref="G2:G51" ca="1" si="0">F2/$F$53</f>
        <v>0.66944820307282804</v>
      </c>
      <c r="H2" s="101">
        <f>VLOOKUP(A2,'BSE ALL CAP'!$B$4:$Y$1038,7,)</f>
        <v>5606</v>
      </c>
      <c r="I2" s="101">
        <f>VLOOKUP(A2,'BSE ALL CAP'!$B$4:$Y$1038,8,)</f>
        <v>5130</v>
      </c>
      <c r="J2" s="101">
        <f>VLOOKUP(A2,'BSE ALL CAP'!$B$4:$Y$1038,9,)</f>
        <v>1797</v>
      </c>
      <c r="K2" s="101">
        <f>VLOOKUP(A2,'BSE ALL CAP'!$B$4:$Y$1038,10,)</f>
        <v>1735</v>
      </c>
      <c r="L2" s="101">
        <f>VLOOKUP(A2,'BSE ALL CAP'!$B$4:$Y$1038,11,)</f>
        <v>1965</v>
      </c>
      <c r="M2" s="101">
        <f>VLOOKUP(A2,'BSE ALL CAP'!$B$4:$Y$1038,12,)</f>
        <v>1715</v>
      </c>
      <c r="N2" s="101">
        <f>VLOOKUP(A2,'BSE ALL CAP'!$B$4:$Y$1038,13,)</f>
        <v>609</v>
      </c>
      <c r="O2" s="101">
        <f>VLOOKUP(A2,'BSE ALL CAP'!$B$4:$Y$1038,14,)</f>
        <v>541</v>
      </c>
      <c r="P2" s="95">
        <f>VLOOKUP(A2,'BSE ALL CAP'!$B$4:$Y$1038,15,)</f>
        <v>0.32054941134498749</v>
      </c>
      <c r="Q2" s="95">
        <f>VLOOKUP(A2,'BSE ALL CAP'!$B$4:$Y$1038,16,)</f>
        <v>0.3382066276803119</v>
      </c>
      <c r="R2" s="95">
        <f>VLOOKUP(A2,'BSE ALL CAP'!$B$4:$Y$1038,17,)</f>
        <v>-1.765721633532441E-2</v>
      </c>
      <c r="S2" s="95">
        <f>VLOOKUP(A2,'BSE ALL CAP'!$B$4:$Y$1038,18,)</f>
        <v>0.3099236641221374</v>
      </c>
      <c r="T2" s="95">
        <f>VLOOKUP(A2,'BSE ALL CAP'!$B$4:$Y$1038,19,)</f>
        <v>0.31545189504373178</v>
      </c>
      <c r="U2" s="95">
        <f>VLOOKUP(A2,'BSE ALL CAP'!$B$4:$Y$1038,20,)</f>
        <v>-5.5282309215943792E-3</v>
      </c>
      <c r="V2" s="95">
        <f>VLOOKUP(A2,'BSE ALL CAP'!$B$4:$Y$1038,21,)</f>
        <v>9.2787524366471752E-2</v>
      </c>
      <c r="W2" s="95">
        <f>VLOOKUP(A2,'BSE ALL CAP'!$B$4:$Y$1038,22,)</f>
        <v>3.5734870317002843E-2</v>
      </c>
      <c r="X2" s="95">
        <f>VLOOKUP(A2,'BSE ALL CAP'!$B$4:$Y$1038,23,)</f>
        <v>0.14577259475218662</v>
      </c>
      <c r="Y2" s="95">
        <f>VLOOKUP(A2,'BSE ALL CAP'!$B$4:$Y$1038,24,)</f>
        <v>0.12569316081330872</v>
      </c>
    </row>
    <row r="3" spans="1:25" ht="15.75" customHeight="1">
      <c r="A3" s="99">
        <v>532790</v>
      </c>
      <c r="B3" s="98" t="s">
        <v>1897</v>
      </c>
      <c r="C3" s="6" t="str">
        <f>VLOOKUP(A3,'BSE ALL CAP'!$B$4:$Y$1038,2,)</f>
        <v>Information Technology</v>
      </c>
      <c r="D3" s="6" t="str">
        <f>VLOOKUP(A3,'BSE ALL CAP'!$B$4:$Y$1038,3,)</f>
        <v>Software Products</v>
      </c>
      <c r="E3" s="11">
        <f ca="1">IFERROR(__xludf.DUMMYFUNCTION("GOOGLEFINANCE(""BOM:""&amp;A3,""PRICE"")"),421.2)</f>
        <v>421.2</v>
      </c>
      <c r="F3" s="20">
        <f ca="1">IFERROR(__xludf.DUMMYFUNCTION("GOOGLEFINANCE(""BOM:""&amp;A3,""MARKETCAP"")/10000000"),5561.72317)</f>
        <v>5561.7231700000002</v>
      </c>
      <c r="G3" s="95">
        <f t="shared" ca="1" si="0"/>
        <v>6.0821940842017114E-2</v>
      </c>
      <c r="H3" s="101">
        <f>VLOOKUP(A3,'BSE ALL CAP'!$B$4:$Y$1038,7,)</f>
        <v>3240</v>
      </c>
      <c r="I3" s="101">
        <f>VLOOKUP(A3,'BSE ALL CAP'!$B$4:$Y$1038,8,)</f>
        <v>3003</v>
      </c>
      <c r="J3" s="101">
        <f>VLOOKUP(A3,'BSE ALL CAP'!$B$4:$Y$1038,9,)</f>
        <v>374</v>
      </c>
      <c r="K3" s="101">
        <f>VLOOKUP(A3,'BSE ALL CAP'!$B$4:$Y$1038,10,)</f>
        <v>389</v>
      </c>
      <c r="L3" s="101">
        <f>VLOOKUP(A3,'BSE ALL CAP'!$B$4:$Y$1038,11,)</f>
        <v>1121</v>
      </c>
      <c r="M3" s="101">
        <f>VLOOKUP(A3,'BSE ALL CAP'!$B$4:$Y$1038,12,)</f>
        <v>1000</v>
      </c>
      <c r="N3" s="101">
        <f>VLOOKUP(A3,'BSE ALL CAP'!$B$4:$Y$1038,13,)</f>
        <v>131</v>
      </c>
      <c r="O3" s="101">
        <f>VLOOKUP(A3,'BSE ALL CAP'!$B$4:$Y$1038,14,)</f>
        <v>118</v>
      </c>
      <c r="P3" s="95">
        <f>VLOOKUP(A3,'BSE ALL CAP'!$B$4:$Y$1038,15,)</f>
        <v>0.1154320987654321</v>
      </c>
      <c r="Q3" s="95">
        <f>VLOOKUP(A3,'BSE ALL CAP'!$B$4:$Y$1038,16,)</f>
        <v>0.12953712953712954</v>
      </c>
      <c r="R3" s="95">
        <f>VLOOKUP(A3,'BSE ALL CAP'!$B$4:$Y$1038,17,)</f>
        <v>-1.4105030771697433E-2</v>
      </c>
      <c r="S3" s="95">
        <f>VLOOKUP(A3,'BSE ALL CAP'!$B$4:$Y$1038,18,)</f>
        <v>0.11685994647636039</v>
      </c>
      <c r="T3" s="95">
        <f>VLOOKUP(A3,'BSE ALL CAP'!$B$4:$Y$1038,19,)</f>
        <v>0.11799999999999999</v>
      </c>
      <c r="U3" s="95">
        <f>VLOOKUP(A3,'BSE ALL CAP'!$B$4:$Y$1038,20,)</f>
        <v>-1.1400535236396059E-3</v>
      </c>
      <c r="V3" s="95">
        <f>VLOOKUP(A3,'BSE ALL CAP'!$B$4:$Y$1038,21,)</f>
        <v>7.8921078921079024E-2</v>
      </c>
      <c r="W3" s="95">
        <f>VLOOKUP(A3,'BSE ALL CAP'!$B$4:$Y$1038,22,)</f>
        <v>-3.8560411311054033E-2</v>
      </c>
      <c r="X3" s="95">
        <f>VLOOKUP(A3,'BSE ALL CAP'!$B$4:$Y$1038,23,)</f>
        <v>0.121</v>
      </c>
      <c r="Y3" s="95">
        <f>VLOOKUP(A3,'BSE ALL CAP'!$B$4:$Y$1038,24,)</f>
        <v>0.11016949152542366</v>
      </c>
    </row>
    <row r="4" spans="1:25" ht="15.75" customHeight="1">
      <c r="A4" s="99">
        <v>543425</v>
      </c>
      <c r="B4" s="98" t="s">
        <v>1510</v>
      </c>
      <c r="C4" s="6" t="str">
        <f>VLOOKUP(A4,'BSE ALL CAP'!$B$4:$Y$1038,2,)</f>
        <v>Information Technology</v>
      </c>
      <c r="D4" s="6" t="str">
        <f>VLOOKUP(A4,'BSE ALL CAP'!$B$4:$Y$1038,3,)</f>
        <v>Software Products</v>
      </c>
      <c r="E4" s="11">
        <f ca="1">IFERROR(__xludf.DUMMYFUNCTION("GOOGLEFINANCE(""BOM:""&amp;A4,""PRICE"")"),877.7)</f>
        <v>877.7</v>
      </c>
      <c r="F4" s="20">
        <f ca="1">IFERROR(__xludf.DUMMYFUNCTION("GOOGLEFINANCE(""BOM:""&amp;A4,""MARKETCAP"")/10000000"),4799.089582)</f>
        <v>4799.0895819999996</v>
      </c>
      <c r="G4" s="95">
        <f t="shared" ca="1" si="0"/>
        <v>5.2481925786310689E-2</v>
      </c>
      <c r="H4" s="101">
        <f>VLOOKUP(A4,'BSE ALL CAP'!$B$4:$Y$1038,7,)</f>
        <v>329</v>
      </c>
      <c r="I4" s="101">
        <f>VLOOKUP(A4,'BSE ALL CAP'!$B$4:$Y$1038,8,)</f>
        <v>319</v>
      </c>
      <c r="J4" s="101">
        <f>VLOOKUP(A4,'BSE ALL CAP'!$B$4:$Y$1038,9,)</f>
        <v>83</v>
      </c>
      <c r="K4" s="101">
        <f>VLOOKUP(A4,'BSE ALL CAP'!$B$4:$Y$1038,10,)</f>
        <v>98</v>
      </c>
      <c r="L4" s="101">
        <f>VLOOKUP(A4,'BSE ALL CAP'!$B$4:$Y$1038,11,)</f>
        <v>93</v>
      </c>
      <c r="M4" s="101">
        <f>VLOOKUP(A4,'BSE ALL CAP'!$B$4:$Y$1038,12,)</f>
        <v>114</v>
      </c>
      <c r="N4" s="101">
        <f>VLOOKUP(A4,'BSE ALL CAP'!$B$4:$Y$1038,13,)</f>
        <v>18</v>
      </c>
      <c r="O4" s="101">
        <f>VLOOKUP(A4,'BSE ALL CAP'!$B$4:$Y$1038,14,)</f>
        <v>32</v>
      </c>
      <c r="P4" s="95">
        <f>VLOOKUP(A4,'BSE ALL CAP'!$B$4:$Y$1038,15,)</f>
        <v>0.25227963525835867</v>
      </c>
      <c r="Q4" s="95">
        <f>VLOOKUP(A4,'BSE ALL CAP'!$B$4:$Y$1038,16,)</f>
        <v>0.30721003134796238</v>
      </c>
      <c r="R4" s="95">
        <f>VLOOKUP(A4,'BSE ALL CAP'!$B$4:$Y$1038,17,)</f>
        <v>-5.4930396089603706E-2</v>
      </c>
      <c r="S4" s="95">
        <f>VLOOKUP(A4,'BSE ALL CAP'!$B$4:$Y$1038,18,)</f>
        <v>0.19354838709677419</v>
      </c>
      <c r="T4" s="95">
        <f>VLOOKUP(A4,'BSE ALL CAP'!$B$4:$Y$1038,19,)</f>
        <v>0.2807017543859649</v>
      </c>
      <c r="U4" s="95">
        <f>VLOOKUP(A4,'BSE ALL CAP'!$B$4:$Y$1038,20,)</f>
        <v>-8.7153367289190709E-2</v>
      </c>
      <c r="V4" s="95">
        <f>VLOOKUP(A4,'BSE ALL CAP'!$B$4:$Y$1038,21,)</f>
        <v>3.1347962382445083E-2</v>
      </c>
      <c r="W4" s="95">
        <f>VLOOKUP(A4,'BSE ALL CAP'!$B$4:$Y$1038,22,)</f>
        <v>-0.15306122448979587</v>
      </c>
      <c r="X4" s="95">
        <f>VLOOKUP(A4,'BSE ALL CAP'!$B$4:$Y$1038,23,)</f>
        <v>-0.18421052631578949</v>
      </c>
      <c r="Y4" s="95">
        <f>VLOOKUP(A4,'BSE ALL CAP'!$B$4:$Y$1038,24,)</f>
        <v>-0.4375</v>
      </c>
    </row>
    <row r="5" spans="1:25" ht="15.75" customHeight="1">
      <c r="A5" s="99">
        <v>544614</v>
      </c>
      <c r="B5" s="98" t="s">
        <v>1898</v>
      </c>
      <c r="C5" s="6" t="e">
        <f>VLOOKUP(A5,'BSE ALL CAP'!$B$4:$Y$1038,2,)</f>
        <v>#N/A</v>
      </c>
      <c r="D5" s="6" t="e">
        <f>VLOOKUP(A5,'BSE ALL CAP'!$B$4:$Y$1038,3,)</f>
        <v>#N/A</v>
      </c>
      <c r="E5" s="11">
        <f ca="1">IFERROR(__xludf.DUMMYFUNCTION("GOOGLEFINANCE(""BOM:""&amp;A5,""PRICE"")"),490.1)</f>
        <v>490.1</v>
      </c>
      <c r="F5" s="20">
        <f ca="1">IFERROR(__xludf.DUMMYFUNCTION("GOOGLEFINANCE(""BOM:""&amp;A5,""MARKETCAP"")/10000000"),3889.369457)</f>
        <v>3889.3694569999998</v>
      </c>
      <c r="G5" s="95">
        <f t="shared" ca="1" si="0"/>
        <v>4.2533400494005925E-2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501421</v>
      </c>
      <c r="B6" s="98" t="s">
        <v>1899</v>
      </c>
      <c r="C6" s="6" t="e">
        <f>VLOOKUP(A6,'BSE ALL CAP'!$B$4:$Y$1038,2,)</f>
        <v>#N/A</v>
      </c>
      <c r="D6" s="6" t="e">
        <f>VLOOKUP(A6,'BSE ALL CAP'!$B$4:$Y$1038,3,)</f>
        <v>#N/A</v>
      </c>
      <c r="E6" s="11">
        <f ca="1">IFERROR(__xludf.DUMMYFUNCTION("GOOGLEFINANCE(""BOM:""&amp;A6,""PRICE"")"),5950)</f>
        <v>5950</v>
      </c>
      <c r="F6" s="20">
        <f ca="1">IFERROR(__xludf.DUMMYFUNCTION("GOOGLEFINANCE(""BOM:""&amp;A6,""MARKETCAP"")/10000000"),3733.624405)</f>
        <v>3733.624405</v>
      </c>
      <c r="G6" s="95">
        <f t="shared" ca="1" si="0"/>
        <v>4.0830202393410626E-2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531209</v>
      </c>
      <c r="B7" s="98" t="s">
        <v>1900</v>
      </c>
      <c r="C7" s="6" t="str">
        <f>VLOOKUP(A7,'BSE ALL CAP'!$B$4:$Y$1038,2,)</f>
        <v>Information Technology</v>
      </c>
      <c r="D7" s="6" t="str">
        <f>VLOOKUP(A7,'BSE ALL CAP'!$B$4:$Y$1038,3,)</f>
        <v>Software Products</v>
      </c>
      <c r="E7" s="11">
        <f ca="1">IFERROR(__xludf.DUMMYFUNCTION("GOOGLEFINANCE(""BOM:""&amp;A7,""PRICE"")"),829)</f>
        <v>829</v>
      </c>
      <c r="F7" s="20">
        <f ca="1">IFERROR(__xludf.DUMMYFUNCTION("GOOGLEFINANCE(""BOM:""&amp;A7,""MARKETCAP"")/10000000"),2184.846909)</f>
        <v>2184.8469089999999</v>
      </c>
      <c r="G7" s="95">
        <f t="shared" ca="1" si="0"/>
        <v>2.3893067919103558E-2</v>
      </c>
      <c r="H7" s="101">
        <f>VLOOKUP(A7,'BSE ALL CAP'!$B$4:$Y$1038,7,)</f>
        <v>651</v>
      </c>
      <c r="I7" s="101">
        <f>VLOOKUP(A7,'BSE ALL CAP'!$B$4:$Y$1038,8,)</f>
        <v>603</v>
      </c>
      <c r="J7" s="101">
        <f>VLOOKUP(A7,'BSE ALL CAP'!$B$4:$Y$1038,9,)</f>
        <v>82</v>
      </c>
      <c r="K7" s="101">
        <f>VLOOKUP(A7,'BSE ALL CAP'!$B$4:$Y$1038,10,)</f>
        <v>98</v>
      </c>
      <c r="L7" s="101">
        <f>VLOOKUP(A7,'BSE ALL CAP'!$B$4:$Y$1038,11,)</f>
        <v>220</v>
      </c>
      <c r="M7" s="101">
        <f>VLOOKUP(A7,'BSE ALL CAP'!$B$4:$Y$1038,12,)</f>
        <v>205</v>
      </c>
      <c r="N7" s="101">
        <f>VLOOKUP(A7,'BSE ALL CAP'!$B$4:$Y$1038,13,)</f>
        <v>20</v>
      </c>
      <c r="O7" s="101">
        <f>VLOOKUP(A7,'BSE ALL CAP'!$B$4:$Y$1038,14,)</f>
        <v>34</v>
      </c>
      <c r="P7" s="95">
        <f>VLOOKUP(A7,'BSE ALL CAP'!$B$4:$Y$1038,15,)</f>
        <v>0.1259600614439324</v>
      </c>
      <c r="Q7" s="95">
        <f>VLOOKUP(A7,'BSE ALL CAP'!$B$4:$Y$1038,16,)</f>
        <v>0.1625207296849088</v>
      </c>
      <c r="R7" s="95">
        <f>VLOOKUP(A7,'BSE ALL CAP'!$B$4:$Y$1038,17,)</f>
        <v>-3.6560668240976396E-2</v>
      </c>
      <c r="S7" s="95">
        <f>VLOOKUP(A7,'BSE ALL CAP'!$B$4:$Y$1038,18,)</f>
        <v>9.0909090909090912E-2</v>
      </c>
      <c r="T7" s="95">
        <f>VLOOKUP(A7,'BSE ALL CAP'!$B$4:$Y$1038,19,)</f>
        <v>0.16585365853658537</v>
      </c>
      <c r="U7" s="95">
        <f>VLOOKUP(A7,'BSE ALL CAP'!$B$4:$Y$1038,20,)</f>
        <v>-7.4944567627494463E-2</v>
      </c>
      <c r="V7" s="95">
        <f>VLOOKUP(A7,'BSE ALL CAP'!$B$4:$Y$1038,21,)</f>
        <v>7.9601990049751326E-2</v>
      </c>
      <c r="W7" s="95">
        <f>VLOOKUP(A7,'BSE ALL CAP'!$B$4:$Y$1038,22,)</f>
        <v>-0.16326530612244894</v>
      </c>
      <c r="X7" s="95">
        <f>VLOOKUP(A7,'BSE ALL CAP'!$B$4:$Y$1038,23,)</f>
        <v>7.3170731707317138E-2</v>
      </c>
      <c r="Y7" s="95">
        <f>VLOOKUP(A7,'BSE ALL CAP'!$B$4:$Y$1038,24,)</f>
        <v>-0.41176470588235292</v>
      </c>
    </row>
    <row r="8" spans="1:25" ht="15.75" customHeight="1">
      <c r="A8" s="99">
        <v>539682</v>
      </c>
      <c r="B8" s="98" t="s">
        <v>1901</v>
      </c>
      <c r="C8" s="6"/>
      <c r="D8" s="6"/>
      <c r="E8" s="11">
        <f ca="1">IFERROR(__xludf.DUMMYFUNCTION("GOOGLEFINANCE(""BOM:""&amp;A8,""PRICE"")"),1180)</f>
        <v>1180</v>
      </c>
      <c r="F8" s="20">
        <f ca="1">IFERROR(__xludf.DUMMYFUNCTION("GOOGLEFINANCE(""BOM:""&amp;A8,""MARKETCAP"")/10000000"),1824.2269)</f>
        <v>1824.2268999999999</v>
      </c>
      <c r="G8" s="95">
        <f t="shared" ca="1" si="0"/>
        <v>1.9949396473506298E-2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532370</v>
      </c>
      <c r="B9" s="98" t="s">
        <v>1902</v>
      </c>
      <c r="C9" s="6"/>
      <c r="D9" s="6"/>
      <c r="E9" s="11">
        <f ca="1">IFERROR(__xludf.DUMMYFUNCTION("GOOGLEFINANCE(""BOM:""&amp;A9,""PRICE"")"),382.1)</f>
        <v>382.1</v>
      </c>
      <c r="F9" s="20">
        <f ca="1">IFERROR(__xludf.DUMMYFUNCTION("GOOGLEFINANCE(""BOM:""&amp;A9,""MARKETCAP"")/10000000"),1428.4119061)</f>
        <v>1428.4119060999999</v>
      </c>
      <c r="G9" s="95">
        <f t="shared" ca="1" si="0"/>
        <v>1.5620839404498281E-2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539607</v>
      </c>
      <c r="B10" s="98" t="s">
        <v>1903</v>
      </c>
      <c r="C10" s="6"/>
      <c r="D10" s="6"/>
      <c r="E10" s="11">
        <f ca="1">IFERROR(__xludf.DUMMYFUNCTION("GOOGLEFINANCE(""BOM:""&amp;A10,""PRICE"")"),19.38)</f>
        <v>19.38</v>
      </c>
      <c r="F10" s="20">
        <f ca="1">IFERROR(__xludf.DUMMYFUNCTION("GOOGLEFINANCE(""BOM:""&amp;A10,""MARKETCAP"")/10000000"),1459.4714961)</f>
        <v>1459.4714961</v>
      </c>
      <c r="G10" s="95">
        <f t="shared" ca="1" si="0"/>
        <v>1.5960501140225649E-2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544227</v>
      </c>
      <c r="B11" s="98" t="s">
        <v>1904</v>
      </c>
      <c r="C11" s="6"/>
      <c r="D11" s="6"/>
      <c r="E11" s="11">
        <f ca="1">IFERROR(__xludf.DUMMYFUNCTION("GOOGLEFINANCE(""BOM:""&amp;A11,""PRICE"")"),89.94)</f>
        <v>89.94</v>
      </c>
      <c r="F11" s="20">
        <f ca="1">IFERROR(__xludf.DUMMYFUNCTION("GOOGLEFINANCE(""BOM:""&amp;A11,""MARKETCAP"")/10000000"),1012.4232707)</f>
        <v>1012.4232707</v>
      </c>
      <c r="G11" s="95">
        <f t="shared" ca="1" si="0"/>
        <v>1.1071667250492958E-2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539678</v>
      </c>
      <c r="B12" s="98" t="s">
        <v>1905</v>
      </c>
      <c r="C12" s="6"/>
      <c r="D12" s="6"/>
      <c r="E12" s="11">
        <f ca="1">IFERROR(__xludf.DUMMYFUNCTION("GOOGLEFINANCE(""BOM:""&amp;A12,""PRICE"")"),142.25)</f>
        <v>142.25</v>
      </c>
      <c r="F12" s="20">
        <f ca="1">IFERROR(__xludf.DUMMYFUNCTION("GOOGLEFINANCE(""BOM:""&amp;A12,""MARKETCAP"")/10000000"),772.1894575)</f>
        <v>772.1894575</v>
      </c>
      <c r="G12" s="95">
        <f t="shared" ca="1" si="0"/>
        <v>8.444516216885762E-3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540735</v>
      </c>
      <c r="B13" s="98" t="s">
        <v>1906</v>
      </c>
      <c r="C13" s="6"/>
      <c r="D13" s="6"/>
      <c r="E13" s="11">
        <f ca="1">IFERROR(__xludf.DUMMYFUNCTION("GOOGLEFINANCE(""BOM:""&amp;A13,""PRICE"")"),240.95)</f>
        <v>240.95</v>
      </c>
      <c r="F13" s="20">
        <f ca="1">IFERROR(__xludf.DUMMYFUNCTION("GOOGLEFINANCE(""BOM:""&amp;A13,""MARKETCAP"")/10000000"),494.0079732)</f>
        <v>494.00797319999998</v>
      </c>
      <c r="G13" s="95">
        <f t="shared" ca="1" si="0"/>
        <v>5.4023767100682884E-3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531161</v>
      </c>
      <c r="B14" s="98" t="s">
        <v>1907</v>
      </c>
      <c r="C14" s="6"/>
      <c r="D14" s="6"/>
      <c r="E14" s="11">
        <f ca="1">IFERROR(__xludf.DUMMYFUNCTION("GOOGLEFINANCE(""BOM:""&amp;A14,""PRICE"")"),227)</f>
        <v>227</v>
      </c>
      <c r="F14" s="20">
        <f ca="1">IFERROR(__xludf.DUMMYFUNCTION("GOOGLEFINANCE(""BOM:""&amp;A14,""MARKETCAP"")/10000000"),454.049713)</f>
        <v>454.049713</v>
      </c>
      <c r="G14" s="95">
        <f t="shared" ca="1" si="0"/>
        <v>4.9654008190092727E-3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532348</v>
      </c>
      <c r="B15" s="98" t="s">
        <v>1908</v>
      </c>
      <c r="C15" s="6"/>
      <c r="D15" s="6"/>
      <c r="E15" s="11">
        <f ca="1">IFERROR(__xludf.DUMMYFUNCTION("GOOGLEFINANCE(""BOM:""&amp;A15,""PRICE"")"),8.16)</f>
        <v>8.16</v>
      </c>
      <c r="F15" s="20">
        <f ca="1">IFERROR(__xludf.DUMMYFUNCTION("GOOGLEFINANCE(""BOM:""&amp;A15,""MARKETCAP"")/10000000"),452.2069668)</f>
        <v>452.20696679999998</v>
      </c>
      <c r="G15" s="95">
        <f t="shared" ca="1" si="0"/>
        <v>4.9452488990130005E-3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531525</v>
      </c>
      <c r="B16" s="98" t="s">
        <v>1909</v>
      </c>
      <c r="C16" s="6"/>
      <c r="D16" s="6"/>
      <c r="E16" s="11">
        <f ca="1">IFERROR(__xludf.DUMMYFUNCTION("GOOGLEFINANCE(""BOM:""&amp;A16,""PRICE"")"),162)</f>
        <v>162</v>
      </c>
      <c r="F16" s="20">
        <f ca="1">IFERROR(__xludf.DUMMYFUNCTION("GOOGLEFINANCE(""BOM:""&amp;A16,""MARKETCAP"")/10000000"),264.15639)</f>
        <v>264.15638999999999</v>
      </c>
      <c r="G16" s="95">
        <f t="shared" ca="1" si="0"/>
        <v>2.8887637580172478E-3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500389</v>
      </c>
      <c r="B17" s="98" t="s">
        <v>1910</v>
      </c>
      <c r="C17" s="6"/>
      <c r="D17" s="6"/>
      <c r="E17" s="11">
        <f ca="1">IFERROR(__xludf.DUMMYFUNCTION("GOOGLEFINANCE(""BOM:""&amp;A17,""PRICE"")"),8.99)</f>
        <v>8.99</v>
      </c>
      <c r="F17" s="20">
        <f ca="1">IFERROR(__xludf.DUMMYFUNCTION("GOOGLEFINANCE(""BOM:""&amp;A17,""MARKETCAP"")/10000000"),140.1788189)</f>
        <v>140.17881890000001</v>
      </c>
      <c r="G17" s="95">
        <f t="shared" ca="1" si="0"/>
        <v>1.5329687526392348E-3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538713</v>
      </c>
      <c r="B18" s="98" t="s">
        <v>1911</v>
      </c>
      <c r="C18" s="6"/>
      <c r="D18" s="6"/>
      <c r="E18" s="11">
        <f ca="1">IFERROR(__xludf.DUMMYFUNCTION("GOOGLEFINANCE(""BOM:""&amp;A18,""PRICE"")"),212)</f>
        <v>212</v>
      </c>
      <c r="F18" s="20">
        <f ca="1">IFERROR(__xludf.DUMMYFUNCTION("GOOGLEFINANCE(""BOM:""&amp;A18,""MARKETCAP"")/10000000"),233.869496)</f>
        <v>233.869496</v>
      </c>
      <c r="G18" s="95">
        <f t="shared" ca="1" si="0"/>
        <v>2.5575520779586658E-3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512149</v>
      </c>
      <c r="B19" s="98" t="s">
        <v>1912</v>
      </c>
      <c r="C19" s="6"/>
      <c r="D19" s="6"/>
      <c r="E19" s="11">
        <f ca="1">IFERROR(__xludf.DUMMYFUNCTION("GOOGLEFINANCE(""BOM:""&amp;A19,""PRICE"")"),0.99)</f>
        <v>0.99</v>
      </c>
      <c r="F19" s="20">
        <f ca="1">IFERROR(__xludf.DUMMYFUNCTION("GOOGLEFINANCE(""BOM:""&amp;A19,""MARKETCAP"")/10000000"),196.2097848)</f>
        <v>196.20978479999999</v>
      </c>
      <c r="G19" s="95">
        <f t="shared" ca="1" si="0"/>
        <v>2.1457126791390641E-3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532372</v>
      </c>
      <c r="B20" s="98" t="s">
        <v>1913</v>
      </c>
      <c r="C20" s="6"/>
      <c r="D20" s="6"/>
      <c r="E20" s="11">
        <f ca="1">IFERROR(__xludf.DUMMYFUNCTION("GOOGLEFINANCE(""BOM:""&amp;A20,""PRICE"")"),16.2)</f>
        <v>16.2</v>
      </c>
      <c r="F20" s="20">
        <f ca="1">IFERROR(__xludf.DUMMYFUNCTION("GOOGLEFINANCE(""BOM:""&amp;A20,""MARKETCAP"")/10000000"),175.3877047)</f>
        <v>175.3877047</v>
      </c>
      <c r="G20" s="95">
        <f t="shared" ca="1" si="0"/>
        <v>1.9180063936336778E-3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531439</v>
      </c>
      <c r="B21" s="98" t="s">
        <v>1914</v>
      </c>
      <c r="C21" s="6"/>
      <c r="D21" s="6"/>
      <c r="E21" s="11">
        <f ca="1">IFERROR(__xludf.DUMMYFUNCTION("GOOGLEFINANCE(""BOM:""&amp;A21,""PRICE"")"),36.3)</f>
        <v>36.299999999999997</v>
      </c>
      <c r="F21" s="20">
        <f ca="1">IFERROR(__xludf.DUMMYFUNCTION("GOOGLEFINANCE(""BOM:""&amp;A21,""MARKETCAP"")/10000000"),189.9195273)</f>
        <v>189.9195273</v>
      </c>
      <c r="G21" s="95">
        <f t="shared" ca="1" si="0"/>
        <v>2.0769236262049434E-3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542367</v>
      </c>
      <c r="B22" s="98" t="s">
        <v>1915</v>
      </c>
      <c r="C22" s="6"/>
      <c r="D22" s="6"/>
      <c r="E22" s="11">
        <f ca="1">IFERROR(__xludf.DUMMYFUNCTION("GOOGLEFINANCE(""BOM:""&amp;A22,""PRICE"")"),92)</f>
        <v>92</v>
      </c>
      <c r="F22" s="20">
        <f ca="1">IFERROR(__xludf.DUMMYFUNCTION("GOOGLEFINANCE(""BOM:""&amp;A22,""MARKETCAP"")/10000000"),135.2707281)</f>
        <v>135.27072810000001</v>
      </c>
      <c r="G22" s="95">
        <f t="shared" ca="1" si="0"/>
        <v>1.4792948103806438E-3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511644</v>
      </c>
      <c r="B23" s="98" t="s">
        <v>1916</v>
      </c>
      <c r="C23" s="6"/>
      <c r="D23" s="6"/>
      <c r="E23" s="11">
        <f ca="1">IFERROR(__xludf.DUMMYFUNCTION("GOOGLEFINANCE(""BOM:""&amp;A23,""PRICE"")"),62.43)</f>
        <v>62.43</v>
      </c>
      <c r="F23" s="20">
        <f ca="1">IFERROR(__xludf.DUMMYFUNCTION("GOOGLEFINANCE(""BOM:""&amp;A23,""MARKETCAP"")/10000000"),161.7716758)</f>
        <v>161.7716758</v>
      </c>
      <c r="G23" s="95">
        <f t="shared" ca="1" si="0"/>
        <v>1.7691041058092742E-3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526709</v>
      </c>
      <c r="B24" s="98" t="s">
        <v>1917</v>
      </c>
      <c r="C24" s="6"/>
      <c r="D24" s="6"/>
      <c r="E24" s="11">
        <f ca="1">IFERROR(__xludf.DUMMYFUNCTION("GOOGLEFINANCE(""BOM:""&amp;A24,""PRICE"")"),7.68)</f>
        <v>7.68</v>
      </c>
      <c r="F24" s="20">
        <f ca="1">IFERROR(__xludf.DUMMYFUNCTION("GOOGLEFINANCE(""BOM:""&amp;A24,""MARKETCAP"")/10000000"),85.919998)</f>
        <v>85.919998000000007</v>
      </c>
      <c r="G24" s="95">
        <f t="shared" ca="1" si="0"/>
        <v>9.396046649157889E-4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530175</v>
      </c>
      <c r="B25" s="98" t="s">
        <v>1918</v>
      </c>
      <c r="C25" s="6"/>
      <c r="D25" s="6"/>
      <c r="E25" s="11">
        <f ca="1">IFERROR(__xludf.DUMMYFUNCTION("GOOGLEFINANCE(""BOM:""&amp;A25,""PRICE"")"),42.59)</f>
        <v>42.59</v>
      </c>
      <c r="F25" s="20">
        <f ca="1">IFERROR(__xludf.DUMMYFUNCTION("GOOGLEFINANCE(""BOM:""&amp;A25,""MARKETCAP"")/10000000"),67.7388415)</f>
        <v>67.738841500000007</v>
      </c>
      <c r="G25" s="95">
        <f t="shared" ca="1" si="0"/>
        <v>7.4077901479224003E-4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543578</v>
      </c>
      <c r="B26" s="98" t="s">
        <v>1919</v>
      </c>
      <c r="C26" s="6"/>
      <c r="D26" s="6"/>
      <c r="E26" s="11">
        <f ca="1">IFERROR(__xludf.DUMMYFUNCTION("GOOGLEFINANCE(""BOM:""&amp;A26,""PRICE"")"),152)</f>
        <v>152</v>
      </c>
      <c r="F26" s="20">
        <f ca="1">IFERROR(__xludf.DUMMYFUNCTION("GOOGLEFINANCE(""BOM:""&amp;A26,""MARKETCAP"")/10000000"),67.64836)</f>
        <v>67.648359999999997</v>
      </c>
      <c r="G26" s="95">
        <f t="shared" ca="1" si="0"/>
        <v>7.3978952641389319E-4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530595</v>
      </c>
      <c r="B27" s="98" t="s">
        <v>1920</v>
      </c>
      <c r="C27" s="6"/>
      <c r="D27" s="6"/>
      <c r="E27" s="11">
        <f ca="1">IFERROR(__xludf.DUMMYFUNCTION("GOOGLEFINANCE(""BOM:""&amp;A27,""PRICE"")"),38.73)</f>
        <v>38.729999999999997</v>
      </c>
      <c r="F27" s="20">
        <f ca="1">IFERROR(__xludf.DUMMYFUNCTION("GOOGLEFINANCE(""BOM:""&amp;A27,""MARKETCAP"")/10000000"),59.3378837)</f>
        <v>59.337883699999999</v>
      </c>
      <c r="G27" s="95">
        <f t="shared" ca="1" si="0"/>
        <v>6.4890774707362714E-4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512093</v>
      </c>
      <c r="B28" s="98" t="s">
        <v>1921</v>
      </c>
      <c r="C28" s="6"/>
      <c r="D28" s="6"/>
      <c r="E28" s="11">
        <f ca="1">IFERROR(__xludf.DUMMYFUNCTION("GOOGLEFINANCE(""BOM:""&amp;A28,""PRICE"")"),3.15)</f>
        <v>3.15</v>
      </c>
      <c r="F28" s="20">
        <f ca="1">IFERROR(__xludf.DUMMYFUNCTION("GOOGLEFINANCE(""BOM:""&amp;A28,""MARKETCAP"")/10000000"),47.8665194)</f>
        <v>47.866519400000001</v>
      </c>
      <c r="G28" s="95">
        <f t="shared" ca="1" si="0"/>
        <v>5.2345910112244309E-4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531840</v>
      </c>
      <c r="B29" s="98" t="s">
        <v>1922</v>
      </c>
      <c r="C29" s="6"/>
      <c r="D29" s="6"/>
      <c r="E29" s="11">
        <f ca="1">IFERROR(__xludf.DUMMYFUNCTION("GOOGLEFINANCE(""BOM:""&amp;A29,""PRICE"")"),25.8)</f>
        <v>25.8</v>
      </c>
      <c r="F29" s="20">
        <f ca="1">IFERROR(__xludf.DUMMYFUNCTION("GOOGLEFINANCE(""BOM:""&amp;A29,""MARKETCAP"")/10000000"),39.3707988)</f>
        <v>39.370798800000003</v>
      </c>
      <c r="G29" s="95">
        <f t="shared" ca="1" si="0"/>
        <v>4.3055152554753251E-4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509040</v>
      </c>
      <c r="B30" s="98" t="s">
        <v>1923</v>
      </c>
      <c r="C30" s="6"/>
      <c r="D30" s="6"/>
      <c r="E30" s="11">
        <f ca="1">IFERROR(__xludf.DUMMYFUNCTION("GOOGLEFINANCE(""BOM:""&amp;A30,""PRICE"")"),200)</f>
        <v>200</v>
      </c>
      <c r="F30" s="20">
        <f ca="1">IFERROR(__xludf.DUMMYFUNCTION("GOOGLEFINANCE(""BOM:""&amp;A30,""MARKETCAP"")/10000000"),50.58448)</f>
        <v>50.584479999999999</v>
      </c>
      <c r="G30" s="95">
        <f t="shared" ca="1" si="0"/>
        <v>5.5318219840204625E-4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531268</v>
      </c>
      <c r="B31" s="98" t="s">
        <v>1924</v>
      </c>
      <c r="C31" s="6"/>
      <c r="D31" s="6"/>
      <c r="E31" s="11">
        <f ca="1">IFERROR(__xludf.DUMMYFUNCTION("GOOGLEFINANCE(""BOM:""&amp;A31,""PRICE"")"),33.11)</f>
        <v>33.11</v>
      </c>
      <c r="F31" s="20">
        <f ca="1">IFERROR(__xludf.DUMMYFUNCTION("GOOGLEFINANCE(""BOM:""&amp;A31,""MARKETCAP"")/10000000"),54.5589901)</f>
        <v>54.558990100000003</v>
      </c>
      <c r="G31" s="95">
        <f t="shared" ca="1" si="0"/>
        <v>5.9664668068374889E-4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532359</v>
      </c>
      <c r="B32" s="98" t="s">
        <v>1925</v>
      </c>
      <c r="C32" s="6"/>
      <c r="D32" s="6"/>
      <c r="E32" s="11">
        <f ca="1">IFERROR(__xludf.DUMMYFUNCTION("GOOGLEFINANCE(""BOM:""&amp;A32,""PRICE"")"),4.35)</f>
        <v>4.3499999999999996</v>
      </c>
      <c r="F32" s="20">
        <f ca="1">IFERROR(__xludf.DUMMYFUNCTION("GOOGLEFINANCE(""BOM:""&amp;A32,""MARKETCAP"")/10000000"),23.4464994)</f>
        <v>23.4464994</v>
      </c>
      <c r="G32" s="95">
        <f t="shared" ca="1" si="0"/>
        <v>2.5640643301906552E-4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538273</v>
      </c>
      <c r="B33" s="98" t="s">
        <v>1926</v>
      </c>
      <c r="C33" s="6"/>
      <c r="D33" s="6"/>
      <c r="E33" s="11">
        <f ca="1">IFERROR(__xludf.DUMMYFUNCTION("GOOGLEFINANCE(""BOM:""&amp;A33,""PRICE"")"),24)</f>
        <v>24</v>
      </c>
      <c r="F33" s="20">
        <f ca="1">IFERROR(__xludf.DUMMYFUNCTION("GOOGLEFINANCE(""BOM:""&amp;A33,""MARKETCAP"")/10000000"),20.2740096)</f>
        <v>20.274009599999999</v>
      </c>
      <c r="G33" s="95">
        <f t="shared" ca="1" si="0"/>
        <v>2.2171269134232854E-4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506935</v>
      </c>
      <c r="B34" s="98" t="s">
        <v>1927</v>
      </c>
      <c r="C34" s="6"/>
      <c r="D34" s="6"/>
      <c r="E34" s="11">
        <f ca="1">IFERROR(__xludf.DUMMYFUNCTION("GOOGLEFINANCE(""BOM:""&amp;A34,""PRICE"")"),63.52)</f>
        <v>63.52</v>
      </c>
      <c r="F34" s="20">
        <f ca="1">IFERROR(__xludf.DUMMYFUNCTION("GOOGLEFINANCE(""BOM:""&amp;A34,""MARKETCAP"")/10000000"),13.8336)</f>
        <v>13.833600000000001</v>
      </c>
      <c r="G34" s="95">
        <f t="shared" ca="1" si="0"/>
        <v>1.5128160376096675E-4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538922</v>
      </c>
      <c r="B35" s="98" t="s">
        <v>1928</v>
      </c>
      <c r="C35" s="6"/>
      <c r="D35" s="6"/>
      <c r="E35" s="11">
        <f ca="1">IFERROR(__xludf.DUMMYFUNCTION("GOOGLEFINANCE(""BOM:""&amp;A35,""PRICE"")"),20.7)</f>
        <v>20.7</v>
      </c>
      <c r="F35" s="20">
        <f ca="1">IFERROR(__xludf.DUMMYFUNCTION("GOOGLEFINANCE(""BOM:""&amp;A35,""MARKETCAP"")/10000000"),15.5250005)</f>
        <v>15.525000500000001</v>
      </c>
      <c r="G35" s="95">
        <f t="shared" ca="1" si="0"/>
        <v>1.6977843612868746E-4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523722</v>
      </c>
      <c r="B36" s="98" t="s">
        <v>1929</v>
      </c>
      <c r="C36" s="6"/>
      <c r="D36" s="6"/>
      <c r="E36" s="11">
        <f ca="1">IFERROR(__xludf.DUMMYFUNCTION("GOOGLEFINANCE(""BOM:""&amp;A36,""PRICE"")"),7.23)</f>
        <v>7.23</v>
      </c>
      <c r="F36" s="20">
        <f ca="1">IFERROR(__xludf.DUMMYFUNCTION("GOOGLEFINANCE(""BOM:""&amp;A36,""MARKETCAP"")/10000000"),12.210747)</f>
        <v>12.210747</v>
      </c>
      <c r="G36" s="95">
        <f t="shared" ca="1" si="0"/>
        <v>1.3353439374272881E-4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532100</v>
      </c>
      <c r="B37" s="98" t="s">
        <v>1930</v>
      </c>
      <c r="C37" s="6"/>
      <c r="D37" s="6"/>
      <c r="E37" s="11">
        <f ca="1">IFERROR(__xludf.DUMMYFUNCTION("GOOGLEFINANCE(""BOM:""&amp;A37,""PRICE"")"),11.9)</f>
        <v>11.9</v>
      </c>
      <c r="F37" s="20">
        <f ca="1">IFERROR(__xludf.DUMMYFUNCTION("GOOGLEFINANCE(""BOM:""&amp;A37,""MARKETCAP"")/10000000"),12.3759996)</f>
        <v>12.3759996</v>
      </c>
      <c r="G37" s="95">
        <f t="shared" ca="1" si="0"/>
        <v>1.3534156456982153E-4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537985</v>
      </c>
      <c r="B38" s="98" t="s">
        <v>1931</v>
      </c>
      <c r="C38" s="6"/>
      <c r="D38" s="6"/>
      <c r="E38" s="11">
        <f ca="1">IFERROR(__xludf.DUMMYFUNCTION("GOOGLEFINANCE(""BOM:""&amp;A38,""PRICE"")"),15.89)</f>
        <v>15.89</v>
      </c>
      <c r="F38" s="20">
        <f ca="1">IFERROR(__xludf.DUMMYFUNCTION("GOOGLEFINANCE(""BOM:""&amp;A38,""MARKETCAP"")/10000000"),12.5951499)</f>
        <v>12.595149899999999</v>
      </c>
      <c r="G38" s="95">
        <f t="shared" ca="1" si="0"/>
        <v>1.3773815033554389E-4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532315</v>
      </c>
      <c r="B39" s="98" t="s">
        <v>1932</v>
      </c>
      <c r="C39" s="6"/>
      <c r="D39" s="6"/>
      <c r="E39" s="11">
        <f ca="1">IFERROR(__xludf.DUMMYFUNCTION("GOOGLEFINANCE(""BOM:""&amp;A39,""PRICE"")"),5.45)</f>
        <v>5.45</v>
      </c>
      <c r="F39" s="20">
        <f ca="1">IFERROR(__xludf.DUMMYFUNCTION("GOOGLEFINANCE(""BOM:""&amp;A39,""MARKETCAP"")/10000000"),11.154253)</f>
        <v>11.154253000000001</v>
      </c>
      <c r="G39" s="95">
        <f t="shared" ca="1" si="0"/>
        <v>1.2198077742565744E-4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532041</v>
      </c>
      <c r="B40" s="98" t="s">
        <v>1933</v>
      </c>
      <c r="C40" s="6"/>
      <c r="D40" s="6"/>
      <c r="E40" s="11">
        <f ca="1">IFERROR(__xludf.DUMMYFUNCTION("GOOGLEFINANCE(""BOM:""&amp;A40,""PRICE"")"),8)</f>
        <v>8</v>
      </c>
      <c r="F40" s="20">
        <f ca="1">IFERROR(__xludf.DUMMYFUNCTION("GOOGLEFINANCE(""BOM:""&amp;A40,""MARKETCAP"")/10000000"),8.200632)</f>
        <v>8.2006320000000006</v>
      </c>
      <c r="G40" s="95">
        <f t="shared" ca="1" si="0"/>
        <v>8.9680543084483033E-5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532340</v>
      </c>
      <c r="B41" s="98" t="s">
        <v>1934</v>
      </c>
      <c r="C41" s="6"/>
      <c r="D41" s="6"/>
      <c r="E41" s="11">
        <f ca="1">IFERROR(__xludf.DUMMYFUNCTION("GOOGLEFINANCE(""BOM:""&amp;A41,""PRICE"")"),3.53)</f>
        <v>3.53</v>
      </c>
      <c r="F41" s="20">
        <f ca="1">IFERROR(__xludf.DUMMYFUNCTION("GOOGLEFINANCE(""BOM:""&amp;A41,""MARKETCAP"")/10000000"),6.0782222)</f>
        <v>6.0782221999999999</v>
      </c>
      <c r="G41" s="95">
        <f t="shared" ca="1" si="0"/>
        <v>6.647027544757052E-5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531794</v>
      </c>
      <c r="B42" s="98" t="s">
        <v>1935</v>
      </c>
      <c r="C42" s="6"/>
      <c r="D42" s="6"/>
      <c r="E42" s="11">
        <f ca="1">IFERROR(__xludf.DUMMYFUNCTION("GOOGLEFINANCE(""BOM:""&amp;A42,""PRICE"")"),101.2)</f>
        <v>101.2</v>
      </c>
      <c r="F42" s="20">
        <f ca="1">IFERROR(__xludf.DUMMYFUNCTION("GOOGLEFINANCE(""BOM:""&amp;A42,""MARKETCAP"")/10000000"),7.0269229)</f>
        <v>7.0269228999999997</v>
      </c>
      <c r="G42" s="95">
        <f t="shared" ca="1" si="0"/>
        <v>7.6845084852580922E-5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4.4">
      <c r="A43" s="99">
        <v>508867</v>
      </c>
      <c r="B43" s="98" t="s">
        <v>1936</v>
      </c>
      <c r="C43" s="6"/>
      <c r="D43" s="6"/>
      <c r="E43" s="11">
        <f ca="1">IFERROR(__xludf.DUMMYFUNCTION("GOOGLEFINANCE(""BOM:""&amp;A43,""PRICE"")"),17.91)</f>
        <v>17.91</v>
      </c>
      <c r="F43" s="20">
        <f ca="1">IFERROR(__xludf.DUMMYFUNCTION("GOOGLEFINANCE(""BOM:""&amp;A43,""MARKETCAP"")/10000000"),8.8475399)</f>
        <v>8.8475398999999992</v>
      </c>
      <c r="G43" s="95">
        <f t="shared" ca="1" si="0"/>
        <v>9.6755004150123134E-5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4.4">
      <c r="A44" s="99">
        <v>530839</v>
      </c>
      <c r="B44" s="98" t="s">
        <v>1937</v>
      </c>
      <c r="C44" s="6"/>
      <c r="D44" s="6"/>
      <c r="E44" s="11">
        <f ca="1">IFERROR(__xludf.DUMMYFUNCTION("GOOGLEFINANCE(""BOM:""&amp;A44,""PRICE"")"),5.68)</f>
        <v>5.68</v>
      </c>
      <c r="F44" s="20">
        <f ca="1">IFERROR(__xludf.DUMMYFUNCTION("GOOGLEFINANCE(""BOM:""&amp;A44,""MARKETCAP"")/10000000"),6.2542194)</f>
        <v>6.2542194000000002</v>
      </c>
      <c r="G44" s="95">
        <f t="shared" ca="1" si="0"/>
        <v>6.8394947165231849E-5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4.4">
      <c r="A45" s="99">
        <v>532379</v>
      </c>
      <c r="B45" s="98" t="s">
        <v>1938</v>
      </c>
      <c r="C45" s="6"/>
      <c r="D45" s="6"/>
      <c r="E45" s="11">
        <f ca="1">IFERROR(__xludf.DUMMYFUNCTION("GOOGLEFINANCE(""BOM:""&amp;A45,""PRICE"")"),7.1)</f>
        <v>7.1</v>
      </c>
      <c r="F45" s="20">
        <f ca="1">IFERROR(__xludf.DUMMYFUNCTION("GOOGLEFINANCE(""BOM:""&amp;A45,""MARKETCAP"")/10000000"),7.3859524)</f>
        <v>7.3859523999999999</v>
      </c>
      <c r="G45" s="95">
        <f t="shared" ca="1" si="0"/>
        <v>8.0771362795957775E-5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531083</v>
      </c>
      <c r="B46" s="98" t="s">
        <v>1939</v>
      </c>
      <c r="C46" s="6"/>
      <c r="D46" s="6"/>
      <c r="E46" s="11">
        <f ca="1">IFERROR(__xludf.DUMMYFUNCTION("GOOGLEFINANCE(""BOM:""&amp;A46,""PRICE"")"),6.82)</f>
        <v>6.82</v>
      </c>
      <c r="F46" s="20">
        <f ca="1">IFERROR(__xludf.DUMMYFUNCTION("GOOGLEFINANCE(""BOM:""&amp;A46,""MARKETCAP"")/10000000"),7.098084)</f>
        <v>7.0980840000000001</v>
      </c>
      <c r="G46" s="95">
        <f t="shared" ca="1" si="0"/>
        <v>7.7623289031781892E-5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4.4">
      <c r="A47" s="99">
        <v>531396</v>
      </c>
      <c r="B47" s="98" t="s">
        <v>1940</v>
      </c>
      <c r="C47" s="6"/>
      <c r="D47" s="6"/>
      <c r="E47" s="11">
        <f ca="1">IFERROR(__xludf.DUMMYFUNCTION("GOOGLEFINANCE(""BOM:""&amp;A47,""PRICE"")"),7.38)</f>
        <v>7.38</v>
      </c>
      <c r="F47" s="20">
        <f ca="1">IFERROR(__xludf.DUMMYFUNCTION("GOOGLEFINANCE(""BOM:""&amp;A47,""MARKETCAP"")/10000000"),3.2100557)</f>
        <v>3.2100556999999998</v>
      </c>
      <c r="G47" s="95">
        <f t="shared" ca="1" si="0"/>
        <v>3.5104555174215879E-5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4.4">
      <c r="A48" s="99">
        <v>532354</v>
      </c>
      <c r="B48" s="98" t="s">
        <v>1941</v>
      </c>
      <c r="C48" s="6"/>
      <c r="D48" s="6"/>
      <c r="E48" s="11">
        <f ca="1">IFERROR(__xludf.DUMMYFUNCTION("GOOGLEFINANCE(""BOM:""&amp;A48,""PRICE"")"),4.15)</f>
        <v>4.1500000000000004</v>
      </c>
      <c r="F48" s="20">
        <f ca="1">IFERROR(__xludf.DUMMYFUNCTION("GOOGLEFINANCE(""BOM:""&amp;A48,""MARKETCAP"")/10000000"),4.3592846)</f>
        <v>4.3592845999999996</v>
      </c>
      <c r="G48" s="95">
        <f t="shared" ca="1" si="0"/>
        <v>4.7672302621044733E-5</v>
      </c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ht="14.4">
      <c r="A49" s="99">
        <v>531769</v>
      </c>
      <c r="B49" s="98" t="s">
        <v>1942</v>
      </c>
      <c r="C49" s="6"/>
      <c r="D49" s="6"/>
      <c r="E49" s="11">
        <f ca="1">IFERROR(__xludf.DUMMYFUNCTION("GOOGLEFINANCE(""BOM:""&amp;A49,""PRICE"")"),4.39)</f>
        <v>4.3899999999999997</v>
      </c>
      <c r="F49" s="20">
        <f ca="1">IFERROR(__xludf.DUMMYFUNCTION("GOOGLEFINANCE(""BOM:""&amp;A49,""MARKETCAP"")/10000000"),3.2828858)</f>
        <v>3.2828857999999999</v>
      </c>
      <c r="G49" s="95">
        <f t="shared" ca="1" si="0"/>
        <v>3.5901011218200923E-5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4.4">
      <c r="A50" s="99">
        <v>532444</v>
      </c>
      <c r="B50" s="98" t="s">
        <v>1943</v>
      </c>
      <c r="C50" s="6"/>
      <c r="D50" s="6"/>
      <c r="E50" s="11">
        <f ca="1">IFERROR(__xludf.DUMMYFUNCTION("GOOGLEFINANCE(""BOM:""&amp;A50,""PRICE"")"),1.98)</f>
        <v>1.98</v>
      </c>
      <c r="F50" s="20">
        <f ca="1">IFERROR(__xludf.DUMMYFUNCTION("GOOGLEFINANCE(""BOM:""&amp;A50,""MARKETCAP"")/10000000"),3.960396)</f>
        <v>3.9603959999999998</v>
      </c>
      <c r="G50" s="95">
        <f t="shared" ca="1" si="0"/>
        <v>4.3310133183590509E-5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4.4">
      <c r="A51" s="99">
        <v>532303</v>
      </c>
      <c r="B51" s="98" t="s">
        <v>1944</v>
      </c>
      <c r="C51" s="6"/>
      <c r="D51" s="6"/>
      <c r="E51" s="11">
        <f ca="1">IFERROR(__xludf.DUMMYFUNCTION("GOOGLEFINANCE(""BOM:""&amp;A51,""PRICE"")"),4)</f>
        <v>4</v>
      </c>
      <c r="F51" s="20">
        <f ca="1">IFERROR(__xludf.DUMMYFUNCTION("GOOGLEFINANCE(""BOM:""&amp;A51,""MARKETCAP"")/10000000"),4.00184)</f>
        <v>4.0018399999999996</v>
      </c>
      <c r="G51" s="95">
        <f t="shared" ca="1" si="0"/>
        <v>4.3763356840937076E-5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3.2">
      <c r="A52" s="101"/>
      <c r="B52" s="101"/>
      <c r="C52" s="101"/>
      <c r="D52" s="101"/>
      <c r="E52" s="101"/>
      <c r="F52" s="101"/>
      <c r="G52" s="95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ht="13.2">
      <c r="A53" s="101"/>
      <c r="B53" s="101"/>
      <c r="C53" s="101"/>
      <c r="D53" s="101"/>
      <c r="E53" s="101"/>
      <c r="F53" s="112">
        <f ca="1">SUM(F2:F51)</f>
        <v>91442.711182899991</v>
      </c>
      <c r="G53" s="95">
        <f ca="1">F53/$F$53</f>
        <v>1</v>
      </c>
      <c r="H53" s="101">
        <f t="shared" ref="H53:O53" si="1">SUM(H2:H51)</f>
        <v>9826</v>
      </c>
      <c r="I53" s="101">
        <f t="shared" si="1"/>
        <v>9055</v>
      </c>
      <c r="J53" s="101">
        <f t="shared" si="1"/>
        <v>2336</v>
      </c>
      <c r="K53" s="101">
        <f t="shared" si="1"/>
        <v>2320</v>
      </c>
      <c r="L53" s="101">
        <f t="shared" si="1"/>
        <v>3399</v>
      </c>
      <c r="M53" s="101">
        <f t="shared" si="1"/>
        <v>3034</v>
      </c>
      <c r="N53" s="101">
        <f t="shared" si="1"/>
        <v>778</v>
      </c>
      <c r="O53" s="101">
        <f t="shared" si="1"/>
        <v>725</v>
      </c>
      <c r="P53" s="95">
        <f t="shared" ref="P53:Q53" si="2">J53/H53</f>
        <v>0.23773661713820476</v>
      </c>
      <c r="Q53" s="95">
        <f t="shared" si="2"/>
        <v>0.25621203754831584</v>
      </c>
      <c r="R53" s="95">
        <f>P53-Q53</f>
        <v>-1.8475420410111076E-2</v>
      </c>
      <c r="S53" s="95">
        <f t="shared" ref="S53:T53" si="3">N53/L53</f>
        <v>0.22889085025007355</v>
      </c>
      <c r="T53" s="95">
        <f t="shared" si="3"/>
        <v>0.23895847066578774</v>
      </c>
      <c r="U53" s="95">
        <f>S53-T53</f>
        <v>-1.0067620415714185E-2</v>
      </c>
      <c r="V53" s="95">
        <f>(H53/I53)-1</f>
        <v>8.5146327995582638E-2</v>
      </c>
      <c r="W53" s="95">
        <f>(J53/K53)-1</f>
        <v>6.8965517241379448E-3</v>
      </c>
      <c r="X53" s="95">
        <f>(L53/M53)-1</f>
        <v>0.12030323005932764</v>
      </c>
      <c r="Y53" s="95">
        <f>(N53/O53)-1</f>
        <v>7.3103448275862126E-2</v>
      </c>
    </row>
    <row r="54" spans="1:25" ht="13.2">
      <c r="G54" s="50"/>
    </row>
    <row r="55" spans="1:25" ht="13.2">
      <c r="G55" s="50"/>
    </row>
    <row r="56" spans="1:25" ht="13.2">
      <c r="G56" s="50"/>
    </row>
    <row r="57" spans="1:25" ht="13.2">
      <c r="G57" s="50"/>
    </row>
    <row r="58" spans="1:25" ht="13.2">
      <c r="G58" s="50"/>
    </row>
    <row r="59" spans="1:25" ht="13.2">
      <c r="G59" s="50"/>
    </row>
    <row r="60" spans="1:25" ht="13.2">
      <c r="G60" s="50"/>
    </row>
    <row r="61" spans="1:25" ht="13.2">
      <c r="G61" s="50"/>
    </row>
    <row r="62" spans="1:25" ht="13.2">
      <c r="G62" s="50"/>
    </row>
    <row r="63" spans="1:25" ht="13.2">
      <c r="G63" s="50"/>
    </row>
    <row r="64" spans="1:25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51" xr:uid="{00000000-0009-0000-0000-000027000000}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500620</v>
      </c>
      <c r="B2" s="98" t="s">
        <v>1945</v>
      </c>
      <c r="C2" s="6" t="str">
        <f>VLOOKUP(A2,'BSE ALL CAP'!$B$4:$Y$1038,2,)</f>
        <v>Services</v>
      </c>
      <c r="D2" s="6" t="str">
        <f>VLOOKUP(A2,'BSE ALL CAP'!$B$4:$Y$1038,3,)</f>
        <v>Shipping</v>
      </c>
      <c r="E2" s="101">
        <f ca="1">IFERROR(__xludf.DUMMYFUNCTION("GOOGLEFINANCE(""BOM:""&amp;A2,""PRICE"")"),1465)</f>
        <v>1465</v>
      </c>
      <c r="F2" s="112">
        <f ca="1">IFERROR(__xludf.DUMMYFUNCTION("GOOGLEFINANCE(""BOM:""&amp;A2,""MARKETCAP"")/10000000"),20923.9458274)</f>
        <v>20923.945827399999</v>
      </c>
      <c r="G2" s="95">
        <f t="shared" ref="G2:G11" ca="1" si="0">SUM(F2/$F$13)</f>
        <v>0.49691383070384532</v>
      </c>
      <c r="H2" s="101">
        <f>VLOOKUP(A2,'BSE ALL CAP'!$B$4:$Y$1038,7,)</f>
        <v>3898</v>
      </c>
      <c r="I2" s="101">
        <f>VLOOKUP(A2,'BSE ALL CAP'!$B$4:$Y$1038,8,)</f>
        <v>4099</v>
      </c>
      <c r="J2" s="101">
        <f>VLOOKUP(A2,'BSE ALL CAP'!$B$4:$Y$1038,9,)</f>
        <v>1898</v>
      </c>
      <c r="K2" s="101">
        <f>VLOOKUP(A2,'BSE ALL CAP'!$B$4:$Y$1038,10,)</f>
        <v>1981</v>
      </c>
      <c r="L2" s="101">
        <f>VLOOKUP(A2,'BSE ALL CAP'!$B$4:$Y$1038,11,)</f>
        <v>1454</v>
      </c>
      <c r="M2" s="101">
        <f>VLOOKUP(A2,'BSE ALL CAP'!$B$4:$Y$1038,12,)</f>
        <v>1237</v>
      </c>
      <c r="N2" s="101">
        <f>VLOOKUP(A2,'BSE ALL CAP'!$B$4:$Y$1038,13,)</f>
        <v>819</v>
      </c>
      <c r="O2" s="101">
        <f>VLOOKUP(A2,'BSE ALL CAP'!$B$4:$Y$1038,14,)</f>
        <v>594</v>
      </c>
      <c r="P2" s="95">
        <f>VLOOKUP(A2,'BSE ALL CAP'!$B$4:$Y$1038,15,)</f>
        <v>0.48691636736788096</v>
      </c>
      <c r="Q2" s="95">
        <f>VLOOKUP(A2,'BSE ALL CAP'!$B$4:$Y$1038,16,)</f>
        <v>0.48328860697731152</v>
      </c>
      <c r="R2" s="95">
        <f>VLOOKUP(A2,'BSE ALL CAP'!$B$4:$Y$1038,17,)</f>
        <v>3.6277603905694455E-3</v>
      </c>
      <c r="S2" s="95">
        <f>VLOOKUP(A2,'BSE ALL CAP'!$B$4:$Y$1038,18,)</f>
        <v>0.56327372764786798</v>
      </c>
      <c r="T2" s="95">
        <f>VLOOKUP(A2,'BSE ALL CAP'!$B$4:$Y$1038,19,)</f>
        <v>0.48019401778496362</v>
      </c>
      <c r="U2" s="95">
        <f>VLOOKUP(A2,'BSE ALL CAP'!$B$4:$Y$1038,20,)</f>
        <v>8.3079709862904361E-2</v>
      </c>
      <c r="V2" s="95">
        <f>VLOOKUP(A2,'BSE ALL CAP'!$B$4:$Y$1038,21,)</f>
        <v>-4.903635032934861E-2</v>
      </c>
      <c r="W2" s="95">
        <f>VLOOKUP(A2,'BSE ALL CAP'!$B$4:$Y$1038,22,)</f>
        <v>-4.1898031297324612E-2</v>
      </c>
      <c r="X2" s="95">
        <f>VLOOKUP(A2,'BSE ALL CAP'!$B$4:$Y$1038,23,)</f>
        <v>0.17542441390460795</v>
      </c>
      <c r="Y2" s="95">
        <f>VLOOKUP(A2,'BSE ALL CAP'!$B$4:$Y$1038,24,)</f>
        <v>0.3787878787878789</v>
      </c>
    </row>
    <row r="3" spans="1:25" ht="15.75" customHeight="1">
      <c r="A3" s="99">
        <v>523598</v>
      </c>
      <c r="B3" s="98" t="s">
        <v>1946</v>
      </c>
      <c r="C3" s="6" t="str">
        <f>VLOOKUP(A3,'BSE ALL CAP'!$B$4:$Y$1038,2,)</f>
        <v>Services</v>
      </c>
      <c r="D3" s="6" t="str">
        <f>VLOOKUP(A3,'BSE ALL CAP'!$B$4:$Y$1038,3,)</f>
        <v>Shipping</v>
      </c>
      <c r="E3" s="101">
        <f ca="1">IFERROR(__xludf.DUMMYFUNCTION("GOOGLEFINANCE(""BOM:""&amp;A3,""PRICE"")"),232.25)</f>
        <v>232.25</v>
      </c>
      <c r="F3" s="112">
        <f ca="1">IFERROR(__xludf.DUMMYFUNCTION("GOOGLEFINANCE(""BOM:""&amp;A3,""MARKETCAP"")/10000000"),10799.3858259)</f>
        <v>10799.385825900001</v>
      </c>
      <c r="G3" s="95">
        <f t="shared" ca="1" si="0"/>
        <v>0.25646999013778282</v>
      </c>
      <c r="H3" s="101">
        <f>VLOOKUP(A3,'BSE ALL CAP'!$B$4:$Y$1038,7,)</f>
        <v>4266</v>
      </c>
      <c r="I3" s="101">
        <f>VLOOKUP(A3,'BSE ALL CAP'!$B$4:$Y$1038,8,)</f>
        <v>4280</v>
      </c>
      <c r="J3" s="101">
        <f>VLOOKUP(A3,'BSE ALL CAP'!$B$4:$Y$1038,9,)</f>
        <v>948</v>
      </c>
      <c r="K3" s="101">
        <f>VLOOKUP(A3,'BSE ALL CAP'!$B$4:$Y$1038,10,)</f>
        <v>658</v>
      </c>
      <c r="L3" s="101">
        <f>VLOOKUP(A3,'BSE ALL CAP'!$B$4:$Y$1038,11,)</f>
        <v>1611</v>
      </c>
      <c r="M3" s="101">
        <f>VLOOKUP(A3,'BSE ALL CAP'!$B$4:$Y$1038,12,)</f>
        <v>1315</v>
      </c>
      <c r="N3" s="101">
        <f>VLOOKUP(A3,'BSE ALL CAP'!$B$4:$Y$1038,13,)</f>
        <v>404</v>
      </c>
      <c r="O3" s="101">
        <f>VLOOKUP(A3,'BSE ALL CAP'!$B$4:$Y$1038,14,)</f>
        <v>15</v>
      </c>
      <c r="P3" s="95">
        <f>VLOOKUP(A3,'BSE ALL CAP'!$B$4:$Y$1038,15,)</f>
        <v>0.22222222222222221</v>
      </c>
      <c r="Q3" s="95">
        <f>VLOOKUP(A3,'BSE ALL CAP'!$B$4:$Y$1038,16,)</f>
        <v>0.15373831775700936</v>
      </c>
      <c r="R3" s="95">
        <f>VLOOKUP(A3,'BSE ALL CAP'!$B$4:$Y$1038,17,)</f>
        <v>6.8483904465212853E-2</v>
      </c>
      <c r="S3" s="95">
        <f>VLOOKUP(A3,'BSE ALL CAP'!$B$4:$Y$1038,18,)</f>
        <v>0.25077591558038487</v>
      </c>
      <c r="T3" s="95">
        <f>VLOOKUP(A3,'BSE ALL CAP'!$B$4:$Y$1038,19,)</f>
        <v>1.1406844106463879E-2</v>
      </c>
      <c r="U3" s="95">
        <f>VLOOKUP(A3,'BSE ALL CAP'!$B$4:$Y$1038,20,)</f>
        <v>0.239369071473921</v>
      </c>
      <c r="V3" s="95">
        <f>VLOOKUP(A3,'BSE ALL CAP'!$B$4:$Y$1038,21,)</f>
        <v>-3.2710280373832168E-3</v>
      </c>
      <c r="W3" s="95">
        <f>VLOOKUP(A3,'BSE ALL CAP'!$B$4:$Y$1038,22,)</f>
        <v>0.44072948328267469</v>
      </c>
      <c r="X3" s="95">
        <f>VLOOKUP(A3,'BSE ALL CAP'!$B$4:$Y$1038,23,)</f>
        <v>0.2250950570342205</v>
      </c>
      <c r="Y3" s="95">
        <f>VLOOKUP(A3,'BSE ALL CAP'!$B$4:$Y$1038,24,)</f>
        <v>25.933333333333334</v>
      </c>
    </row>
    <row r="4" spans="1:25" ht="15.75" customHeight="1">
      <c r="A4" s="99">
        <v>544490</v>
      </c>
      <c r="B4" s="98" t="s">
        <v>1947</v>
      </c>
      <c r="C4" s="6" t="e">
        <f>VLOOKUP(A4,'BSE ALL CAP'!$B$4:$Y$1038,2,)</f>
        <v>#N/A</v>
      </c>
      <c r="D4" s="6" t="e">
        <f>VLOOKUP(A4,'BSE ALL CAP'!$B$4:$Y$1038,3,)</f>
        <v>#N/A</v>
      </c>
      <c r="E4" s="101">
        <f ca="1">IFERROR(__xludf.DUMMYFUNCTION("GOOGLEFINANCE(""BOM:""&amp;A4,""PRICE"")"),342.6)</f>
        <v>342.6</v>
      </c>
      <c r="F4" s="112">
        <f ca="1">IFERROR(__xludf.DUMMYFUNCTION("GOOGLEFINANCE(""BOM:""&amp;A4,""MARKETCAP"")/10000000"),5584.8356971)</f>
        <v>5584.8356971000003</v>
      </c>
      <c r="G4" s="95">
        <f t="shared" ca="1" si="0"/>
        <v>0.13263187177933849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526807</v>
      </c>
      <c r="B5" s="98" t="s">
        <v>1948</v>
      </c>
      <c r="C5" s="6" t="str">
        <f>VLOOKUP(A5,'BSE ALL CAP'!$B$4:$Y$1038,2,)</f>
        <v>Services</v>
      </c>
      <c r="D5" s="6" t="str">
        <f>VLOOKUP(A5,'BSE ALL CAP'!$B$4:$Y$1038,3,)</f>
        <v>Shipping</v>
      </c>
      <c r="E5" s="101">
        <f ca="1">IFERROR(__xludf.DUMMYFUNCTION("GOOGLEFINANCE(""BOM:""&amp;A5,""PRICE"")"),1484)</f>
        <v>1484</v>
      </c>
      <c r="F5" s="112">
        <f ca="1">IFERROR(__xludf.DUMMYFUNCTION("GOOGLEFINANCE(""BOM:""&amp;A5,""MARKETCAP"")/10000000"),3777.1364523)</f>
        <v>3777.1364523000002</v>
      </c>
      <c r="G5" s="95">
        <f t="shared" ca="1" si="0"/>
        <v>8.9701596395155139E-2</v>
      </c>
      <c r="H5" s="101">
        <f>VLOOKUP(A5,'BSE ALL CAP'!$B$4:$Y$1038,7,)</f>
        <v>625</v>
      </c>
      <c r="I5" s="101">
        <f>VLOOKUP(A5,'BSE ALL CAP'!$B$4:$Y$1038,8,)</f>
        <v>452</v>
      </c>
      <c r="J5" s="101">
        <f>VLOOKUP(A5,'BSE ALL CAP'!$B$4:$Y$1038,9,)</f>
        <v>149</v>
      </c>
      <c r="K5" s="101">
        <f>VLOOKUP(A5,'BSE ALL CAP'!$B$4:$Y$1038,10,)</f>
        <v>46</v>
      </c>
      <c r="L5" s="101">
        <f>VLOOKUP(A5,'BSE ALL CAP'!$B$4:$Y$1038,11,)</f>
        <v>317</v>
      </c>
      <c r="M5" s="101">
        <f>VLOOKUP(A5,'BSE ALL CAP'!$B$4:$Y$1038,12,)</f>
        <v>149</v>
      </c>
      <c r="N5" s="101">
        <f>VLOOKUP(A5,'BSE ALL CAP'!$B$4:$Y$1038,13,)</f>
        <v>99</v>
      </c>
      <c r="O5" s="101">
        <f>VLOOKUP(A5,'BSE ALL CAP'!$B$4:$Y$1038,14,)</f>
        <v>-3</v>
      </c>
      <c r="P5" s="95">
        <f>VLOOKUP(A5,'BSE ALL CAP'!$B$4:$Y$1038,15,)</f>
        <v>0.2384</v>
      </c>
      <c r="Q5" s="95">
        <f>VLOOKUP(A5,'BSE ALL CAP'!$B$4:$Y$1038,16,)</f>
        <v>0.10176991150442478</v>
      </c>
      <c r="R5" s="95">
        <f>VLOOKUP(A5,'BSE ALL CAP'!$B$4:$Y$1038,17,)</f>
        <v>0.13663008849557523</v>
      </c>
      <c r="S5" s="95">
        <f>VLOOKUP(A5,'BSE ALL CAP'!$B$4:$Y$1038,18,)</f>
        <v>0.31230283911671924</v>
      </c>
      <c r="T5" s="95">
        <f>VLOOKUP(A5,'BSE ALL CAP'!$B$4:$Y$1038,19,)</f>
        <v>-2.0134228187919462E-2</v>
      </c>
      <c r="U5" s="95">
        <f>VLOOKUP(A5,'BSE ALL CAP'!$B$4:$Y$1038,20,)</f>
        <v>0.33243706730463873</v>
      </c>
      <c r="V5" s="95">
        <f>VLOOKUP(A5,'BSE ALL CAP'!$B$4:$Y$1038,21,)</f>
        <v>0.38274336283185839</v>
      </c>
      <c r="W5" s="95">
        <f>VLOOKUP(A5,'BSE ALL CAP'!$B$4:$Y$1038,22,)</f>
        <v>2.2391304347826089</v>
      </c>
      <c r="X5" s="95">
        <f>VLOOKUP(A5,'BSE ALL CAP'!$B$4:$Y$1038,23,)</f>
        <v>1.1275167785234901</v>
      </c>
      <c r="Y5" s="95">
        <f>VLOOKUP(A5,'BSE ALL CAP'!$B$4:$Y$1038,24,)</f>
        <v>-34</v>
      </c>
    </row>
    <row r="6" spans="1:25" ht="15.75" customHeight="1">
      <c r="A6" s="99">
        <v>533704</v>
      </c>
      <c r="B6" s="98" t="s">
        <v>1949</v>
      </c>
      <c r="C6" s="6" t="e">
        <f>VLOOKUP(A6,'BSE ALL CAP'!$B$4:$Y$1038,2,)</f>
        <v>#N/A</v>
      </c>
      <c r="D6" s="6" t="e">
        <f>VLOOKUP(A6,'BSE ALL CAP'!$B$4:$Y$1038,3,)</f>
        <v>#N/A</v>
      </c>
      <c r="E6" s="101">
        <f ca="1">IFERROR(__xludf.DUMMYFUNCTION("GOOGLEFINANCE(""BOM:""&amp;A6,""PRICE"")"),23.73)</f>
        <v>23.73</v>
      </c>
      <c r="F6" s="112">
        <f ca="1">IFERROR(__xludf.DUMMYFUNCTION("GOOGLEFINANCE(""BOM:""&amp;A6,""MARKETCAP"")/10000000"),487.2215229)</f>
        <v>487.22152290000002</v>
      </c>
      <c r="G6" s="95">
        <f t="shared" ca="1" si="0"/>
        <v>1.1570815339645928E-2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520151</v>
      </c>
      <c r="B7" s="98" t="s">
        <v>1950</v>
      </c>
      <c r="C7" s="6" t="e">
        <f>VLOOKUP(A7,'BSE ALL CAP'!$B$4:$Y$1038,2,)</f>
        <v>#N/A</v>
      </c>
      <c r="D7" s="6" t="e">
        <f>VLOOKUP(A7,'BSE ALL CAP'!$B$4:$Y$1038,3,)</f>
        <v>#N/A</v>
      </c>
      <c r="E7" s="101">
        <f ca="1">IFERROR(__xludf.DUMMYFUNCTION("GOOGLEFINANCE(""BOM:""&amp;A7,""PRICE"")"),134.85)</f>
        <v>134.85</v>
      </c>
      <c r="F7" s="112">
        <f ca="1">IFERROR(__xludf.DUMMYFUNCTION("GOOGLEFINANCE(""BOM:""&amp;A7,""MARKETCAP"")/10000000"),291.4643)</f>
        <v>291.46429999999998</v>
      </c>
      <c r="G7" s="95">
        <f t="shared" ca="1" si="0"/>
        <v>6.921860867980063E-3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501848</v>
      </c>
      <c r="B8" s="98" t="s">
        <v>1951</v>
      </c>
      <c r="C8" s="6" t="e">
        <f>VLOOKUP(A8,'BSE ALL CAP'!$B$4:$Y$1038,2,)</f>
        <v>#N/A</v>
      </c>
      <c r="D8" s="6" t="e">
        <f>VLOOKUP(A8,'BSE ALL CAP'!$B$4:$Y$1038,3,)</f>
        <v>#N/A</v>
      </c>
      <c r="E8" s="101">
        <f ca="1">IFERROR(__xludf.DUMMYFUNCTION("GOOGLEFINANCE(""BOM:""&amp;A8,""PRICE"")"),45.07)</f>
        <v>45.07</v>
      </c>
      <c r="F8" s="112">
        <f ca="1">IFERROR(__xludf.DUMMYFUNCTION("GOOGLEFINANCE(""BOM:""&amp;A8,""MARKETCAP"")/10000000"),138.560638)</f>
        <v>138.56063800000001</v>
      </c>
      <c r="G8" s="95">
        <f t="shared" ca="1" si="0"/>
        <v>3.2906172660409918E-3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501833</v>
      </c>
      <c r="B9" s="98" t="s">
        <v>1952</v>
      </c>
      <c r="C9" s="6" t="e">
        <f>VLOOKUP(A9,'BSE ALL CAP'!$B$4:$Y$1038,2,)</f>
        <v>#N/A</v>
      </c>
      <c r="D9" s="6" t="e">
        <f>VLOOKUP(A9,'BSE ALL CAP'!$B$4:$Y$1038,3,)</f>
        <v>#N/A</v>
      </c>
      <c r="E9" s="101">
        <f ca="1">IFERROR(__xludf.DUMMYFUNCTION("GOOGLEFINANCE(""BOM:""&amp;A9,""PRICE"")"),20.45)</f>
        <v>20.45</v>
      </c>
      <c r="F9" s="112">
        <f ca="1">IFERROR(__xludf.DUMMYFUNCTION("GOOGLEFINANCE(""BOM:""&amp;A9,""MARKETCAP"")/10000000"),74.2507216)</f>
        <v>74.250721600000006</v>
      </c>
      <c r="G9" s="95">
        <f t="shared" ca="1" si="0"/>
        <v>1.7633485962511432E-3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526508</v>
      </c>
      <c r="B10" s="98" t="s">
        <v>1953</v>
      </c>
      <c r="C10" s="6" t="e">
        <f>VLOOKUP(A10,'BSE ALL CAP'!$B$4:$Y$1038,2,)</f>
        <v>#N/A</v>
      </c>
      <c r="D10" s="6" t="e">
        <f>VLOOKUP(A10,'BSE ALL CAP'!$B$4:$Y$1038,3,)</f>
        <v>#N/A</v>
      </c>
      <c r="E10" s="101">
        <f ca="1">IFERROR(__xludf.DUMMYFUNCTION("GOOGLEFINANCE(""BOM:""&amp;A10,""PRICE"")"),13.18)</f>
        <v>13.18</v>
      </c>
      <c r="F10" s="112">
        <f ca="1">IFERROR(__xludf.DUMMYFUNCTION("GOOGLEFINANCE(""BOM:""&amp;A10,""MARKETCAP"")/10000000"),19.1042391)</f>
        <v>19.104239100000001</v>
      </c>
      <c r="G10" s="95">
        <f t="shared" ca="1" si="0"/>
        <v>4.5369839475649224E-4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519413</v>
      </c>
      <c r="B11" s="98" t="s">
        <v>1954</v>
      </c>
      <c r="C11" s="6" t="e">
        <f>VLOOKUP(A11,'BSE ALL CAP'!$B$4:$Y$1038,2,)</f>
        <v>#N/A</v>
      </c>
      <c r="D11" s="6" t="e">
        <f>VLOOKUP(A11,'BSE ALL CAP'!$B$4:$Y$1038,3,)</f>
        <v>#N/A</v>
      </c>
      <c r="E11" s="101">
        <f ca="1">IFERROR(__xludf.DUMMYFUNCTION("GOOGLEFINANCE(""BOM:""&amp;A11,""PRICE"")"),23.78)</f>
        <v>23.78</v>
      </c>
      <c r="F11" s="112">
        <f ca="1">IFERROR(__xludf.DUMMYFUNCTION("GOOGLEFINANCE(""BOM:""&amp;A11,""MARKETCAP"")/10000000"),11.89)</f>
        <v>11.89</v>
      </c>
      <c r="G11" s="95">
        <f t="shared" ca="1" si="0"/>
        <v>2.823705192034941E-4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>
      <c r="A12" s="101"/>
      <c r="B12" s="101"/>
      <c r="C12" s="101"/>
      <c r="D12" s="101"/>
      <c r="E12" s="101"/>
      <c r="F12" s="101"/>
      <c r="G12" s="95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>
      <c r="A13" s="101"/>
      <c r="B13" s="101"/>
      <c r="C13" s="101"/>
      <c r="D13" s="101"/>
      <c r="E13" s="101"/>
      <c r="F13" s="112">
        <f ca="1">SUM(F1:F11)</f>
        <v>42107.795224300004</v>
      </c>
      <c r="G13" s="95">
        <f ca="1">SUM(F13/$F$13)</f>
        <v>1</v>
      </c>
      <c r="H13" s="101">
        <f t="shared" ref="H13:O13" si="1">SUM(H2:H11)</f>
        <v>8789</v>
      </c>
      <c r="I13" s="101">
        <f t="shared" si="1"/>
        <v>8831</v>
      </c>
      <c r="J13" s="101">
        <f t="shared" si="1"/>
        <v>2995</v>
      </c>
      <c r="K13" s="101">
        <f t="shared" si="1"/>
        <v>2685</v>
      </c>
      <c r="L13" s="101">
        <f t="shared" si="1"/>
        <v>3382</v>
      </c>
      <c r="M13" s="101">
        <f t="shared" si="1"/>
        <v>2701</v>
      </c>
      <c r="N13" s="101">
        <f t="shared" si="1"/>
        <v>1322</v>
      </c>
      <c r="O13" s="101">
        <f t="shared" si="1"/>
        <v>606</v>
      </c>
      <c r="P13" s="95">
        <f t="shared" ref="P13:Q13" si="2">J13/H13</f>
        <v>0.34076686767550346</v>
      </c>
      <c r="Q13" s="95">
        <f t="shared" si="2"/>
        <v>0.30404257728456574</v>
      </c>
      <c r="R13" s="95">
        <f>P13-Q13</f>
        <v>3.6724290390937719E-2</v>
      </c>
      <c r="S13" s="95">
        <f t="shared" ref="S13:T13" si="3">N13/L13</f>
        <v>0.39089296274393848</v>
      </c>
      <c r="T13" s="95">
        <f t="shared" si="3"/>
        <v>0.22436134764901888</v>
      </c>
      <c r="U13" s="95">
        <f>S13-T13</f>
        <v>0.16653161509491959</v>
      </c>
      <c r="V13" s="95">
        <f>(H13/I13)-1</f>
        <v>-4.7559732759596685E-3</v>
      </c>
      <c r="W13" s="95">
        <f>(J13/K13)-1</f>
        <v>0.11545623836126628</v>
      </c>
      <c r="X13" s="95">
        <f>(L13/M13)-1</f>
        <v>0.25212884116993717</v>
      </c>
      <c r="Y13" s="95">
        <f>(N13/O13)-1</f>
        <v>1.1815181518151814</v>
      </c>
    </row>
    <row r="14" spans="1:25">
      <c r="G14" s="50"/>
    </row>
    <row r="15" spans="1:25">
      <c r="G15" s="50"/>
    </row>
    <row r="16" spans="1:25">
      <c r="G16" s="50"/>
    </row>
    <row r="17" spans="7:7">
      <c r="G17" s="50"/>
    </row>
    <row r="18" spans="7:7">
      <c r="G18" s="50"/>
    </row>
    <row r="19" spans="7:7">
      <c r="G19" s="50"/>
    </row>
    <row r="20" spans="7:7">
      <c r="G20" s="50"/>
    </row>
    <row r="21" spans="7:7">
      <c r="G21" s="50"/>
    </row>
    <row r="22" spans="7:7">
      <c r="G22" s="50"/>
    </row>
    <row r="23" spans="7:7">
      <c r="G23" s="50"/>
    </row>
    <row r="24" spans="7:7">
      <c r="G24" s="50"/>
    </row>
    <row r="25" spans="7:7" ht="13.2">
      <c r="G25" s="50"/>
    </row>
    <row r="26" spans="7:7" ht="13.2">
      <c r="G26" s="50"/>
    </row>
    <row r="27" spans="7:7" ht="13.2">
      <c r="G27" s="50"/>
    </row>
    <row r="28" spans="7:7" ht="13.2">
      <c r="G28" s="50"/>
    </row>
    <row r="29" spans="7:7" ht="13.2">
      <c r="G29" s="50"/>
    </row>
    <row r="30" spans="7:7" ht="13.2">
      <c r="G30" s="50"/>
    </row>
    <row r="31" spans="7:7" ht="13.2">
      <c r="G31" s="50"/>
    </row>
    <row r="32" spans="7:7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11" xr:uid="{00000000-0009-0000-0000-000028000000}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543237</v>
      </c>
      <c r="B2" s="98" t="s">
        <v>1397</v>
      </c>
      <c r="C2" s="6" t="str">
        <f>VLOOKUP(A2,'BSE ALL CAP'!$B$4:$Y$1038,2,)</f>
        <v>Industrials</v>
      </c>
      <c r="D2" s="6" t="str">
        <f>VLOOKUP(A2,'BSE ALL CAP'!$B$4:$Y$1038,3,)</f>
        <v>Ship Building &amp; Allied Services</v>
      </c>
      <c r="E2" s="101">
        <f ca="1">IFERROR(__xludf.DUMMYFUNCTION("GOOGLEFINANCE(""BOM:""&amp;A2,""PRICE"")"),2316.3)</f>
        <v>2316.3000000000002</v>
      </c>
      <c r="F2" s="112">
        <f ca="1">IFERROR(__xludf.DUMMYFUNCTION("GOOGLEFINANCE(""BOM:""&amp;A2,""MARKETCAP"")/10000000"),93480.23665)</f>
        <v>93480.236650000006</v>
      </c>
      <c r="G2" s="95">
        <f t="shared" ref="G2:G6" ca="1" si="0">F2/$F$8</f>
        <v>0.68064073635605016</v>
      </c>
      <c r="H2" s="101">
        <f>VLOOKUP(A2,'BSE ALL CAP'!$B$4:$Y$1038,7,)</f>
        <v>9155</v>
      </c>
      <c r="I2" s="101">
        <f>VLOOKUP(A2,'BSE ALL CAP'!$B$4:$Y$1038,8,)</f>
        <v>8257</v>
      </c>
      <c r="J2" s="101">
        <f>VLOOKUP(A2,'BSE ALL CAP'!$B$4:$Y$1038,9,)</f>
        <v>2081</v>
      </c>
      <c r="K2" s="101">
        <f>VLOOKUP(A2,'BSE ALL CAP'!$B$4:$Y$1038,10,)</f>
        <v>2088</v>
      </c>
      <c r="L2" s="101">
        <f>VLOOKUP(A2,'BSE ALL CAP'!$B$4:$Y$1038,11,)</f>
        <v>3601</v>
      </c>
      <c r="M2" s="101">
        <f>VLOOKUP(A2,'BSE ALL CAP'!$B$4:$Y$1038,12,)</f>
        <v>3143</v>
      </c>
      <c r="N2" s="101">
        <f>VLOOKUP(A2,'BSE ALL CAP'!$B$4:$Y$1038,13,)</f>
        <v>879</v>
      </c>
      <c r="O2" s="101">
        <f>VLOOKUP(A2,'BSE ALL CAP'!$B$4:$Y$1038,14,)</f>
        <v>807</v>
      </c>
      <c r="P2" s="95">
        <f>VLOOKUP(A2,'BSE ALL CAP'!$B$4:$Y$1038,15,)</f>
        <v>0.22730748225013653</v>
      </c>
      <c r="Q2" s="95">
        <f>VLOOKUP(A2,'BSE ALL CAP'!$B$4:$Y$1038,16,)</f>
        <v>0.25287634734164949</v>
      </c>
      <c r="R2" s="95">
        <f>VLOOKUP(A2,'BSE ALL CAP'!$B$4:$Y$1038,17,)</f>
        <v>-2.556886509151296E-2</v>
      </c>
      <c r="S2" s="95">
        <f>VLOOKUP(A2,'BSE ALL CAP'!$B$4:$Y$1038,18,)</f>
        <v>0.24409886142738127</v>
      </c>
      <c r="T2" s="95">
        <f>VLOOKUP(A2,'BSE ALL CAP'!$B$4:$Y$1038,19,)</f>
        <v>0.25676105631562202</v>
      </c>
      <c r="U2" s="95">
        <f>VLOOKUP(A2,'BSE ALL CAP'!$B$4:$Y$1038,20,)</f>
        <v>-1.2662194888240746E-2</v>
      </c>
      <c r="V2" s="95">
        <f>VLOOKUP(A2,'BSE ALL CAP'!$B$4:$Y$1038,21,)</f>
        <v>0.10875620685478982</v>
      </c>
      <c r="W2" s="95">
        <f>VLOOKUP(A2,'BSE ALL CAP'!$B$4:$Y$1038,22,)</f>
        <v>-3.3524904214559115E-3</v>
      </c>
      <c r="X2" s="95">
        <f>VLOOKUP(A2,'BSE ALL CAP'!$B$4:$Y$1038,23,)</f>
        <v>0.14572064906140625</v>
      </c>
      <c r="Y2" s="95">
        <f>VLOOKUP(A2,'BSE ALL CAP'!$B$4:$Y$1038,24,)</f>
        <v>8.9219330855018653E-2</v>
      </c>
    </row>
    <row r="3" spans="1:25" ht="15.75" customHeight="1">
      <c r="A3" s="99">
        <v>540678</v>
      </c>
      <c r="B3" s="98" t="s">
        <v>1955</v>
      </c>
      <c r="C3" s="6" t="str">
        <f>VLOOKUP(A3,'BSE ALL CAP'!$B$4:$Y$1038,2,)</f>
        <v>Industrials</v>
      </c>
      <c r="D3" s="6" t="str">
        <f>VLOOKUP(A3,'BSE ALL CAP'!$B$4:$Y$1038,3,)</f>
        <v>Ship Building &amp; Allied Services</v>
      </c>
      <c r="E3" s="101">
        <f ca="1">IFERROR(__xludf.DUMMYFUNCTION("GOOGLEFINANCE(""BOM:""&amp;A3,""PRICE"")"),1333.2)</f>
        <v>1333.2</v>
      </c>
      <c r="F3" s="112">
        <f ca="1">IFERROR(__xludf.DUMMYFUNCTION("GOOGLEFINANCE(""BOM:""&amp;A3,""MARKETCAP"")/10000000"),35063.3969805)</f>
        <v>35063.396980500002</v>
      </c>
      <c r="G3" s="95">
        <f t="shared" ca="1" si="0"/>
        <v>0.25530076939478974</v>
      </c>
      <c r="H3" s="101">
        <f>VLOOKUP(A3,'BSE ALL CAP'!$B$4:$Y$1038,7,)</f>
        <v>3537</v>
      </c>
      <c r="I3" s="101">
        <f>VLOOKUP(A3,'BSE ALL CAP'!$B$4:$Y$1038,8,)</f>
        <v>3062</v>
      </c>
      <c r="J3" s="101">
        <f>VLOOKUP(A3,'BSE ALL CAP'!$B$4:$Y$1038,9,)</f>
        <v>440</v>
      </c>
      <c r="K3" s="101">
        <f>VLOOKUP(A3,'BSE ALL CAP'!$B$4:$Y$1038,10,)</f>
        <v>540</v>
      </c>
      <c r="L3" s="101">
        <f>VLOOKUP(A3,'BSE ALL CAP'!$B$4:$Y$1038,11,)</f>
        <v>1350</v>
      </c>
      <c r="M3" s="101">
        <f>VLOOKUP(A3,'BSE ALL CAP'!$B$4:$Y$1038,12,)</f>
        <v>1147</v>
      </c>
      <c r="N3" s="101">
        <f>VLOOKUP(A3,'BSE ALL CAP'!$B$4:$Y$1038,13,)</f>
        <v>144</v>
      </c>
      <c r="O3" s="101">
        <f>VLOOKUP(A3,'BSE ALL CAP'!$B$4:$Y$1038,14,)</f>
        <v>176</v>
      </c>
      <c r="P3" s="95">
        <f>VLOOKUP(A3,'BSE ALL CAP'!$B$4:$Y$1038,15,)</f>
        <v>0.12439920836867402</v>
      </c>
      <c r="Q3" s="95">
        <f>VLOOKUP(A3,'BSE ALL CAP'!$B$4:$Y$1038,16,)</f>
        <v>0.17635532331809275</v>
      </c>
      <c r="R3" s="95">
        <f>VLOOKUP(A3,'BSE ALL CAP'!$B$4:$Y$1038,17,)</f>
        <v>-5.1956114949418736E-2</v>
      </c>
      <c r="S3" s="95">
        <f>VLOOKUP(A3,'BSE ALL CAP'!$B$4:$Y$1038,18,)</f>
        <v>0.10666666666666667</v>
      </c>
      <c r="T3" s="95">
        <f>VLOOKUP(A3,'BSE ALL CAP'!$B$4:$Y$1038,19,)</f>
        <v>0.15344376634699217</v>
      </c>
      <c r="U3" s="95">
        <f>VLOOKUP(A3,'BSE ALL CAP'!$B$4:$Y$1038,20,)</f>
        <v>-4.6777099680325493E-2</v>
      </c>
      <c r="V3" s="95">
        <f>VLOOKUP(A3,'BSE ALL CAP'!$B$4:$Y$1038,21,)</f>
        <v>0.15512736773350744</v>
      </c>
      <c r="W3" s="95">
        <f>VLOOKUP(A3,'BSE ALL CAP'!$B$4:$Y$1038,22,)</f>
        <v>-0.18518518518518523</v>
      </c>
      <c r="X3" s="95">
        <f>VLOOKUP(A3,'BSE ALL CAP'!$B$4:$Y$1038,23,)</f>
        <v>0.17698343504795111</v>
      </c>
      <c r="Y3" s="95">
        <f>VLOOKUP(A3,'BSE ALL CAP'!$B$4:$Y$1038,24,)</f>
        <v>-0.18181818181818177</v>
      </c>
    </row>
    <row r="4" spans="1:25" ht="15.75" customHeight="1">
      <c r="A4" s="99">
        <v>533107</v>
      </c>
      <c r="B4" s="98" t="s">
        <v>1956</v>
      </c>
      <c r="C4" s="6"/>
      <c r="D4" s="6"/>
      <c r="E4" s="101">
        <f ca="1">IFERROR(__xludf.DUMMYFUNCTION("GOOGLEFINANCE(""BOM:""&amp;A4,""PRICE"")"),1622.35)</f>
        <v>1622.35</v>
      </c>
      <c r="F4" s="112">
        <f ca="1">IFERROR(__xludf.DUMMYFUNCTION("GOOGLEFINANCE(""BOM:""&amp;A4,""MARKETCAP"")/10000000"),8594.5644482)</f>
        <v>8594.5644482000007</v>
      </c>
      <c r="G4" s="95">
        <f t="shared" ca="1" si="0"/>
        <v>6.2578047342613116E-2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537669</v>
      </c>
      <c r="B5" s="98" t="s">
        <v>1957</v>
      </c>
      <c r="C5" s="6"/>
      <c r="D5" s="6"/>
      <c r="E5" s="101">
        <f ca="1">IFERROR(__xludf.DUMMYFUNCTION("GOOGLEFINANCE(""BOM:""&amp;A5,""PRICE"")"),250)</f>
        <v>250</v>
      </c>
      <c r="F5" s="112">
        <f ca="1">IFERROR(__xludf.DUMMYFUNCTION("GOOGLEFINANCE(""BOM:""&amp;A5,""MARKETCAP"")/10000000"),143.8)</f>
        <v>143.80000000000001</v>
      </c>
      <c r="G5" s="95">
        <f t="shared" ca="1" si="0"/>
        <v>1.0470249262895936E-3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526931</v>
      </c>
      <c r="B6" s="98" t="s">
        <v>1958</v>
      </c>
      <c r="C6" s="6"/>
      <c r="D6" s="6"/>
      <c r="E6" s="101">
        <f ca="1">IFERROR(__xludf.DUMMYFUNCTION("GOOGLEFINANCE(""BOM:""&amp;A6,""PRICE"")"),96.53)</f>
        <v>96.53</v>
      </c>
      <c r="F6" s="112">
        <f ca="1">IFERROR(__xludf.DUMMYFUNCTION("GOOGLEFINANCE(""BOM:""&amp;A6,""MARKETCAP"")/10000000"),59.5268357)</f>
        <v>59.526835699999999</v>
      </c>
      <c r="G6" s="95">
        <f t="shared" ca="1" si="0"/>
        <v>4.3342198025761642E-4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101"/>
      <c r="B7" s="101"/>
      <c r="C7" s="101"/>
      <c r="D7" s="101"/>
      <c r="E7" s="101"/>
      <c r="F7" s="101"/>
      <c r="G7" s="95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12">
        <f ca="1">SUM(F2:F6)</f>
        <v>137341.52491439998</v>
      </c>
      <c r="G8" s="95">
        <f ca="1">F8/$F$8</f>
        <v>1</v>
      </c>
      <c r="H8" s="101">
        <f t="shared" ref="H8:O8" si="1">SUM(H2:H6)</f>
        <v>12692</v>
      </c>
      <c r="I8" s="101">
        <f t="shared" si="1"/>
        <v>11319</v>
      </c>
      <c r="J8" s="101">
        <f t="shared" si="1"/>
        <v>2521</v>
      </c>
      <c r="K8" s="101">
        <f t="shared" si="1"/>
        <v>2628</v>
      </c>
      <c r="L8" s="101">
        <f t="shared" si="1"/>
        <v>4951</v>
      </c>
      <c r="M8" s="101">
        <f t="shared" si="1"/>
        <v>4290</v>
      </c>
      <c r="N8" s="101">
        <f t="shared" si="1"/>
        <v>1023</v>
      </c>
      <c r="O8" s="101">
        <f t="shared" si="1"/>
        <v>983</v>
      </c>
      <c r="P8" s="95">
        <f t="shared" ref="P8:Q8" si="2">J8/H8</f>
        <v>0.19862905767412542</v>
      </c>
      <c r="Q8" s="95">
        <f t="shared" si="2"/>
        <v>0.2321759872780281</v>
      </c>
      <c r="R8" s="95">
        <f>P8-Q8</f>
        <v>-3.3546929603902681E-2</v>
      </c>
      <c r="S8" s="95">
        <f t="shared" ref="S8:T8" si="3">N8/L8</f>
        <v>0.20662492425772572</v>
      </c>
      <c r="T8" s="95">
        <f t="shared" si="3"/>
        <v>0.22913752913752913</v>
      </c>
      <c r="U8" s="95">
        <f>S8-T8</f>
        <v>-2.2512604879803416E-2</v>
      </c>
      <c r="V8" s="95">
        <f>(H8/I8)-1</f>
        <v>0.12130046823924379</v>
      </c>
      <c r="W8" s="95">
        <f>(J8/K8)-1</f>
        <v>-4.0715372907153768E-2</v>
      </c>
      <c r="X8" s="95">
        <f>(L8/M8)-1</f>
        <v>0.15407925407925416</v>
      </c>
      <c r="Y8" s="95">
        <f>(N8/O8)-1</f>
        <v>4.069175991861651E-2</v>
      </c>
    </row>
    <row r="9" spans="1:25">
      <c r="G9" s="50"/>
    </row>
    <row r="10" spans="1:25">
      <c r="G10" s="50"/>
    </row>
    <row r="11" spans="1:25">
      <c r="G11" s="50"/>
    </row>
    <row r="12" spans="1:25">
      <c r="G12" s="50"/>
    </row>
    <row r="13" spans="1:25">
      <c r="G13" s="50"/>
    </row>
    <row r="14" spans="1:25">
      <c r="G14" s="50"/>
    </row>
    <row r="15" spans="1:25">
      <c r="G15" s="50"/>
    </row>
    <row r="16" spans="1:25">
      <c r="G16" s="50"/>
    </row>
    <row r="17" spans="7:7">
      <c r="G17" s="50"/>
    </row>
    <row r="18" spans="7:7">
      <c r="G18" s="50"/>
    </row>
    <row r="19" spans="7:7">
      <c r="G19" s="50"/>
    </row>
    <row r="20" spans="7:7">
      <c r="G20" s="50"/>
    </row>
    <row r="21" spans="7:7">
      <c r="G21" s="50"/>
    </row>
    <row r="22" spans="7:7">
      <c r="G22" s="50"/>
    </row>
    <row r="23" spans="7:7">
      <c r="G23" s="50"/>
    </row>
    <row r="24" spans="7:7">
      <c r="G24" s="50"/>
    </row>
    <row r="25" spans="7:7" ht="13.2">
      <c r="G25" s="50"/>
    </row>
    <row r="26" spans="7:7" ht="13.2">
      <c r="G26" s="50"/>
    </row>
    <row r="27" spans="7:7" ht="13.2">
      <c r="G27" s="50"/>
    </row>
    <row r="28" spans="7:7" ht="13.2">
      <c r="G28" s="50"/>
    </row>
    <row r="29" spans="7:7" ht="13.2">
      <c r="G29" s="50"/>
    </row>
    <row r="30" spans="7:7" ht="13.2">
      <c r="G30" s="50"/>
    </row>
    <row r="31" spans="7:7" ht="13.2">
      <c r="G31" s="50"/>
    </row>
    <row r="32" spans="7:7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6" xr:uid="{00000000-0009-0000-0000-000029000000}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3">
        <v>540692</v>
      </c>
      <c r="B2" s="90" t="s">
        <v>1959</v>
      </c>
      <c r="C2" s="6" t="e">
        <f>VLOOKUP(A2,'BSE ALL CAP'!$B$4:$Y$1038,2,)</f>
        <v>#N/A</v>
      </c>
      <c r="D2" s="6" t="e">
        <f>VLOOKUP(A2,'BSE ALL CAP'!$B$4:$Y$1038,3,)</f>
        <v>#N/A</v>
      </c>
      <c r="E2" s="101">
        <f ca="1">IFERROR(__xludf.DUMMYFUNCTION("GOOGLEFINANCE(""BOM:""&amp;A2,""PRICE"")"),392.5)</f>
        <v>392.5</v>
      </c>
      <c r="F2" s="112">
        <f ca="1">IFERROR(__xludf.DUMMYFUNCTION("GOOGLEFINANCE(""BOM:""&amp;A2,""MARKETCAP"")/10000000"),1225)</f>
        <v>1225</v>
      </c>
      <c r="G2" s="50">
        <f t="shared" ref="G2:G10" ca="1" si="0">F2/$F$12</f>
        <v>0.43450361203721688</v>
      </c>
    </row>
    <row r="3" spans="1:25" ht="15.75" customHeight="1">
      <c r="A3" s="93">
        <v>519397</v>
      </c>
      <c r="B3" s="90" t="s">
        <v>1960</v>
      </c>
      <c r="C3" s="6" t="e">
        <f>VLOOKUP(A3,'BSE ALL CAP'!$B$4:$Y$1038,2,)</f>
        <v>#N/A</v>
      </c>
      <c r="D3" s="6" t="e">
        <f>VLOOKUP(A3,'BSE ALL CAP'!$B$4:$Y$1038,3,)</f>
        <v>#N/A</v>
      </c>
      <c r="E3" s="101">
        <f ca="1">IFERROR(__xludf.DUMMYFUNCTION("GOOGLEFINANCE(""BOM:""&amp;A3,""PRICE"")"),145.85)</f>
        <v>145.85</v>
      </c>
      <c r="F3" s="112">
        <f ca="1">IFERROR(__xludf.DUMMYFUNCTION("GOOGLEFINANCE(""BOM:""&amp;A3,""MARKETCAP"")/10000000"),571.9427771)</f>
        <v>571.94277709999994</v>
      </c>
      <c r="G3" s="50">
        <f t="shared" ca="1" si="0"/>
        <v>0.20286628777840554</v>
      </c>
    </row>
    <row r="4" spans="1:25" ht="15.75" customHeight="1">
      <c r="A4" s="93">
        <v>501831</v>
      </c>
      <c r="B4" s="90" t="s">
        <v>1961</v>
      </c>
      <c r="C4" s="6" t="e">
        <f>VLOOKUP(A4,'BSE ALL CAP'!$B$4:$Y$1038,2,)</f>
        <v>#N/A</v>
      </c>
      <c r="D4" s="6" t="e">
        <f>VLOOKUP(A4,'BSE ALL CAP'!$B$4:$Y$1038,3,)</f>
        <v>#N/A</v>
      </c>
      <c r="E4" s="101">
        <f ca="1">IFERROR(__xludf.DUMMYFUNCTION("GOOGLEFINANCE(""BOM:""&amp;A4,""PRICE"")"),47.43)</f>
        <v>47.43</v>
      </c>
      <c r="F4" s="112">
        <f ca="1">IFERROR(__xludf.DUMMYFUNCTION("GOOGLEFINANCE(""BOM:""&amp;A4,""MARKETCAP"")/10000000"),317.472033)</f>
        <v>317.47203300000001</v>
      </c>
      <c r="G4" s="50">
        <f t="shared" ca="1" si="0"/>
        <v>0.11260632249738656</v>
      </c>
    </row>
    <row r="5" spans="1:25" ht="15.75" customHeight="1">
      <c r="A5" s="93">
        <v>530215</v>
      </c>
      <c r="B5" s="90" t="s">
        <v>1962</v>
      </c>
      <c r="C5" s="6" t="e">
        <f>VLOOKUP(A5,'BSE ALL CAP'!$B$4:$Y$1038,2,)</f>
        <v>#N/A</v>
      </c>
      <c r="D5" s="6" t="e">
        <f>VLOOKUP(A5,'BSE ALL CAP'!$B$4:$Y$1038,3,)</f>
        <v>#N/A</v>
      </c>
      <c r="E5" s="101">
        <f ca="1">IFERROR(__xludf.DUMMYFUNCTION("GOOGLEFINANCE(""BOM:""&amp;A5,""PRICE"")"),122.05)</f>
        <v>122.05</v>
      </c>
      <c r="F5" s="112">
        <f ca="1">IFERROR(__xludf.DUMMYFUNCTION("GOOGLEFINANCE(""BOM:""&amp;A5,""MARKETCAP"")/10000000"),299.0889026)</f>
        <v>299.08890259999998</v>
      </c>
      <c r="G5" s="50">
        <f t="shared" ca="1" si="0"/>
        <v>0.10608588448975294</v>
      </c>
    </row>
    <row r="6" spans="1:25" ht="15.75" customHeight="1">
      <c r="A6" s="93">
        <v>523660</v>
      </c>
      <c r="B6" s="90" t="s">
        <v>1963</v>
      </c>
      <c r="C6" s="6" t="e">
        <f>VLOOKUP(A6,'BSE ALL CAP'!$B$4:$Y$1038,2,)</f>
        <v>#N/A</v>
      </c>
      <c r="D6" s="6" t="e">
        <f>VLOOKUP(A6,'BSE ALL CAP'!$B$4:$Y$1038,3,)</f>
        <v>#N/A</v>
      </c>
      <c r="E6" s="101">
        <f ca="1">IFERROR(__xludf.DUMMYFUNCTION("GOOGLEFINANCE(""BOM:""&amp;A6,""PRICE"")"),42.33)</f>
        <v>42.33</v>
      </c>
      <c r="F6" s="112">
        <f ca="1">IFERROR(__xludf.DUMMYFUNCTION("GOOGLEFINANCE(""BOM:""&amp;A6,""MARKETCAP"")/10000000"),175.3596096)</f>
        <v>175.3596096</v>
      </c>
      <c r="G6" s="50">
        <f t="shared" ca="1" si="0"/>
        <v>6.2199496960519358E-2</v>
      </c>
    </row>
    <row r="7" spans="1:25" ht="15.75" customHeight="1">
      <c r="A7" s="93">
        <v>539963</v>
      </c>
      <c r="B7" s="90" t="s">
        <v>1964</v>
      </c>
      <c r="C7" s="6" t="e">
        <f>VLOOKUP(A7,'BSE ALL CAP'!$B$4:$Y$1038,2,)</f>
        <v>#N/A</v>
      </c>
      <c r="D7" s="6" t="e">
        <f>VLOOKUP(A7,'BSE ALL CAP'!$B$4:$Y$1038,3,)</f>
        <v>#N/A</v>
      </c>
      <c r="E7" s="101">
        <f ca="1">IFERROR(__xludf.DUMMYFUNCTION("GOOGLEFINANCE(""BOM:""&amp;A7,""PRICE"")"),12.89)</f>
        <v>12.89</v>
      </c>
      <c r="F7" s="112">
        <f ca="1">IFERROR(__xludf.DUMMYFUNCTION("GOOGLEFINANCE(""BOM:""&amp;A7,""MARKETCAP"")/10000000"),162.4989494)</f>
        <v>162.49894939999999</v>
      </c>
      <c r="G7" s="50">
        <f t="shared" ca="1" si="0"/>
        <v>5.7637861605349332E-2</v>
      </c>
    </row>
    <row r="8" spans="1:25" ht="15.75" customHeight="1">
      <c r="A8" s="93">
        <v>544475</v>
      </c>
      <c r="B8" s="90" t="s">
        <v>1965</v>
      </c>
      <c r="C8" s="6" t="e">
        <f>VLOOKUP(A8,'BSE ALL CAP'!$B$4:$Y$1038,2,)</f>
        <v>#N/A</v>
      </c>
      <c r="D8" s="6" t="e">
        <f>VLOOKUP(A8,'BSE ALL CAP'!$B$4:$Y$1038,3,)</f>
        <v>#N/A</v>
      </c>
      <c r="E8" s="101">
        <f ca="1">IFERROR(__xludf.DUMMYFUNCTION("GOOGLEFINANCE(""BOM:""&amp;A8,""PRICE"")"),25.75)</f>
        <v>25.75</v>
      </c>
      <c r="F8" s="112">
        <f ca="1">IFERROR(__xludf.DUMMYFUNCTION("GOOGLEFINANCE(""BOM:""&amp;A8,""MARKETCAP"")/10000000"),39.6048652)</f>
        <v>39.604865199999999</v>
      </c>
      <c r="G8" s="50">
        <f t="shared" ca="1" si="0"/>
        <v>1.4047719986650671E-2</v>
      </c>
    </row>
    <row r="9" spans="1:25" ht="15.75" customHeight="1">
      <c r="A9" s="93">
        <v>519506</v>
      </c>
      <c r="B9" s="90" t="s">
        <v>1966</v>
      </c>
      <c r="C9" s="6" t="e">
        <f>VLOOKUP(A9,'BSE ALL CAP'!$B$4:$Y$1038,2,)</f>
        <v>#N/A</v>
      </c>
      <c r="D9" s="6" t="e">
        <f>VLOOKUP(A9,'BSE ALL CAP'!$B$4:$Y$1038,3,)</f>
        <v>#N/A</v>
      </c>
      <c r="E9" s="101">
        <f ca="1">IFERROR(__xludf.DUMMYFUNCTION("GOOGLEFINANCE(""BOM:""&amp;A9,""PRICE"")"),24.23)</f>
        <v>24.23</v>
      </c>
      <c r="F9" s="112">
        <f ca="1">IFERROR(__xludf.DUMMYFUNCTION("GOOGLEFINANCE(""BOM:""&amp;A9,""MARKETCAP"")/10000000"),18.77825)</f>
        <v>18.77825</v>
      </c>
      <c r="G9" s="50">
        <f t="shared" ca="1" si="0"/>
        <v>6.6605856757043823E-3</v>
      </c>
    </row>
    <row r="10" spans="1:25" ht="15.75" customHeight="1">
      <c r="A10" s="93">
        <v>526113</v>
      </c>
      <c r="B10" s="90" t="s">
        <v>1967</v>
      </c>
      <c r="C10" s="6" t="e">
        <f>VLOOKUP(A10,'BSE ALL CAP'!$B$4:$Y$1038,2,)</f>
        <v>#N/A</v>
      </c>
      <c r="D10" s="6" t="e">
        <f>VLOOKUP(A10,'BSE ALL CAP'!$B$4:$Y$1038,3,)</f>
        <v>#N/A</v>
      </c>
      <c r="E10" s="101">
        <f ca="1">IFERROR(__xludf.DUMMYFUNCTION("GOOGLEFINANCE(""BOM:""&amp;A10,""PRICE"")"),14.76)</f>
        <v>14.76</v>
      </c>
      <c r="F10" s="112">
        <f ca="1">IFERROR(__xludf.DUMMYFUNCTION("GOOGLEFINANCE(""BOM:""&amp;A10,""MARKETCAP"")/10000000"),9.5637421)</f>
        <v>9.5637421000000007</v>
      </c>
      <c r="G10" s="50">
        <f t="shared" ca="1" si="0"/>
        <v>3.3922289690142028E-3</v>
      </c>
    </row>
    <row r="11" spans="1:25">
      <c r="G11" s="50"/>
    </row>
    <row r="12" spans="1:25">
      <c r="F12" s="94">
        <f ca="1">SUM(F2:F10)</f>
        <v>2819.3091290000002</v>
      </c>
      <c r="G12" s="50">
        <f ca="1">F12/$F$12</f>
        <v>1</v>
      </c>
    </row>
    <row r="13" spans="1:25">
      <c r="G13" s="50"/>
    </row>
    <row r="14" spans="1:25">
      <c r="G14" s="50"/>
    </row>
    <row r="15" spans="1:25">
      <c r="G15" s="50"/>
    </row>
    <row r="16" spans="1:25">
      <c r="G16" s="50"/>
    </row>
    <row r="17" spans="7:7">
      <c r="G17" s="50"/>
    </row>
    <row r="18" spans="7:7">
      <c r="G18" s="50"/>
    </row>
    <row r="19" spans="7:7">
      <c r="G19" s="50"/>
    </row>
    <row r="20" spans="7:7">
      <c r="G20" s="50"/>
    </row>
    <row r="21" spans="7:7">
      <c r="G21" s="50"/>
    </row>
    <row r="22" spans="7:7">
      <c r="G22" s="50"/>
    </row>
    <row r="23" spans="7:7">
      <c r="G23" s="50"/>
    </row>
    <row r="24" spans="7:7">
      <c r="G24" s="50"/>
    </row>
    <row r="25" spans="7:7" ht="13.2">
      <c r="G25" s="50"/>
    </row>
    <row r="26" spans="7:7" ht="13.2">
      <c r="G26" s="50"/>
    </row>
    <row r="27" spans="7:7" ht="13.2">
      <c r="G27" s="50"/>
    </row>
    <row r="28" spans="7:7" ht="13.2">
      <c r="G28" s="50"/>
    </row>
    <row r="29" spans="7:7" ht="13.2">
      <c r="G29" s="50"/>
    </row>
    <row r="30" spans="7:7" ht="13.2">
      <c r="G30" s="50"/>
    </row>
    <row r="31" spans="7:7" ht="13.2">
      <c r="G31" s="50"/>
    </row>
    <row r="32" spans="7:7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10" xr:uid="{00000000-0009-0000-0000-00002A000000}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532443</v>
      </c>
      <c r="B2" s="98" t="s">
        <v>1968</v>
      </c>
      <c r="C2" s="6" t="str">
        <f>VLOOKUP(A2,'BSE ALL CAP'!$B$4:$Y$1038,2,)</f>
        <v>Consumer Discretionary</v>
      </c>
      <c r="D2" s="6" t="str">
        <f>VLOOKUP(A2,'BSE ALL CAP'!$B$4:$Y$1038,3,)</f>
        <v>Sanitary Ware</v>
      </c>
      <c r="E2" s="101">
        <f ca="1">IFERROR(__xludf.DUMMYFUNCTION("GOOGLEFINANCE(""BOM:""&amp;A2,""PRICE"")"),4790.95)</f>
        <v>4790.95</v>
      </c>
      <c r="F2" s="112">
        <f ca="1">IFERROR(__xludf.DUMMYFUNCTION("GOOGLEFINANCE(""BOM:""&amp;A2,""MARKETCAP"")/10000000"),6180.6744721)</f>
        <v>6180.6744720999995</v>
      </c>
      <c r="G2" s="95">
        <f t="shared" ref="G2:G3" ca="1" si="0">F2/$F$5</f>
        <v>0.78733820612633554</v>
      </c>
      <c r="H2" s="101">
        <f>VLOOKUP(A2,'BSE ALL CAP'!$B$4:$Y$1038,7,)</f>
        <v>1406</v>
      </c>
      <c r="I2" s="101">
        <f>VLOOKUP(A2,'BSE ALL CAP'!$B$4:$Y$1038,8,)</f>
        <v>1337</v>
      </c>
      <c r="J2" s="101">
        <f>VLOOKUP(A2,'BSE ALL CAP'!$B$4:$Y$1038,9,)</f>
        <v>126</v>
      </c>
      <c r="K2" s="101">
        <f>VLOOKUP(A2,'BSE ALL CAP'!$B$4:$Y$1038,10,)</f>
        <v>160</v>
      </c>
      <c r="L2" s="101">
        <f>VLOOKUP(A2,'BSE ALL CAP'!$B$4:$Y$1038,11,)</f>
        <v>498</v>
      </c>
      <c r="M2" s="101">
        <f>VLOOKUP(A2,'BSE ALL CAP'!$B$4:$Y$1038,12,)</f>
        <v>449</v>
      </c>
      <c r="N2" s="101">
        <f>VLOOKUP(A2,'BSE ALL CAP'!$B$4:$Y$1038,13,)</f>
        <v>23</v>
      </c>
      <c r="O2" s="101">
        <f>VLOOKUP(A2,'BSE ALL CAP'!$B$4:$Y$1038,14,)</f>
        <v>45</v>
      </c>
      <c r="P2" s="95">
        <f>VLOOKUP(A2,'BSE ALL CAP'!$B$4:$Y$1038,15,)</f>
        <v>8.9615931721194877E-2</v>
      </c>
      <c r="Q2" s="95">
        <f>VLOOKUP(A2,'BSE ALL CAP'!$B$4:$Y$1038,16,)</f>
        <v>0.11967090501121914</v>
      </c>
      <c r="R2" s="95">
        <f>VLOOKUP(A2,'BSE ALL CAP'!$B$4:$Y$1038,17,)</f>
        <v>-3.0054973290024267E-2</v>
      </c>
      <c r="S2" s="95">
        <f>VLOOKUP(A2,'BSE ALL CAP'!$B$4:$Y$1038,18,)</f>
        <v>4.6184738955823292E-2</v>
      </c>
      <c r="T2" s="95">
        <f>VLOOKUP(A2,'BSE ALL CAP'!$B$4:$Y$1038,19,)</f>
        <v>0.10022271714922049</v>
      </c>
      <c r="U2" s="95">
        <f>VLOOKUP(A2,'BSE ALL CAP'!$B$4:$Y$1038,20,)</f>
        <v>-5.4037978193397194E-2</v>
      </c>
      <c r="V2" s="95">
        <f>VLOOKUP(A2,'BSE ALL CAP'!$B$4:$Y$1038,21,)</f>
        <v>5.1608077786088336E-2</v>
      </c>
      <c r="W2" s="95">
        <f>VLOOKUP(A2,'BSE ALL CAP'!$B$4:$Y$1038,22,)</f>
        <v>-0.21250000000000002</v>
      </c>
      <c r="X2" s="95">
        <f>VLOOKUP(A2,'BSE ALL CAP'!$B$4:$Y$1038,23,)</f>
        <v>0.10913140311804015</v>
      </c>
      <c r="Y2" s="95">
        <f>VLOOKUP(A2,'BSE ALL CAP'!$B$4:$Y$1038,24,)</f>
        <v>-0.48888888888888893</v>
      </c>
    </row>
    <row r="3" spans="1:25" ht="15.75" customHeight="1">
      <c r="A3" s="99">
        <v>542905</v>
      </c>
      <c r="B3" s="98" t="s">
        <v>1969</v>
      </c>
      <c r="C3" s="6" t="str">
        <f>VLOOKUP(A3,'BSE ALL CAP'!$B$4:$Y$1038,2,)</f>
        <v>Consumer Discretionary</v>
      </c>
      <c r="D3" s="6" t="str">
        <f>VLOOKUP(A3,'BSE ALL CAP'!$B$4:$Y$1038,3,)</f>
        <v>Sanitary Ware</v>
      </c>
      <c r="E3" s="101">
        <f ca="1">IFERROR(__xludf.DUMMYFUNCTION("GOOGLEFINANCE(""BOM:""&amp;A3,""PRICE"")"),199.5)</f>
        <v>199.5</v>
      </c>
      <c r="F3" s="112">
        <f ca="1">IFERROR(__xludf.DUMMYFUNCTION("GOOGLEFINANCE(""BOM:""&amp;A3,""MARKETCAP"")/10000000"),1669.4138686)</f>
        <v>1669.4138685999999</v>
      </c>
      <c r="G3" s="95">
        <f t="shared" ca="1" si="0"/>
        <v>0.21266179387366446</v>
      </c>
      <c r="H3" s="101">
        <f>VLOOKUP(A3,'BSE ALL CAP'!$B$4:$Y$1038,7,)</f>
        <v>1849</v>
      </c>
      <c r="I3" s="101">
        <f>VLOOKUP(A3,'BSE ALL CAP'!$B$4:$Y$1038,8,)</f>
        <v>1824</v>
      </c>
      <c r="J3" s="101">
        <f>VLOOKUP(A3,'BSE ALL CAP'!$B$4:$Y$1038,9,)</f>
        <v>-12</v>
      </c>
      <c r="K3" s="101">
        <f>VLOOKUP(A3,'BSE ALL CAP'!$B$4:$Y$1038,10,)</f>
        <v>-22</v>
      </c>
      <c r="L3" s="101">
        <f>VLOOKUP(A3,'BSE ALL CAP'!$B$4:$Y$1038,11,)</f>
        <v>640</v>
      </c>
      <c r="M3" s="101">
        <f>VLOOKUP(A3,'BSE ALL CAP'!$B$4:$Y$1038,12,)</f>
        <v>594</v>
      </c>
      <c r="N3" s="101">
        <f>VLOOKUP(A3,'BSE ALL CAP'!$B$4:$Y$1038,13,)</f>
        <v>5</v>
      </c>
      <c r="O3" s="101">
        <f>VLOOKUP(A3,'BSE ALL CAP'!$B$4:$Y$1038,14,)</f>
        <v>-12</v>
      </c>
      <c r="P3" s="95">
        <f>VLOOKUP(A3,'BSE ALL CAP'!$B$4:$Y$1038,15,)</f>
        <v>-6.4899945916711737E-3</v>
      </c>
      <c r="Q3" s="95">
        <f>VLOOKUP(A3,'BSE ALL CAP'!$B$4:$Y$1038,16,)</f>
        <v>-1.2061403508771929E-2</v>
      </c>
      <c r="R3" s="95">
        <f>VLOOKUP(A3,'BSE ALL CAP'!$B$4:$Y$1038,17,)</f>
        <v>5.5714089171007555E-3</v>
      </c>
      <c r="S3" s="95">
        <f>VLOOKUP(A3,'BSE ALL CAP'!$B$4:$Y$1038,18,)</f>
        <v>7.8125E-3</v>
      </c>
      <c r="T3" s="95">
        <f>VLOOKUP(A3,'BSE ALL CAP'!$B$4:$Y$1038,19,)</f>
        <v>-2.0202020202020204E-2</v>
      </c>
      <c r="U3" s="95">
        <f>VLOOKUP(A3,'BSE ALL CAP'!$B$4:$Y$1038,20,)</f>
        <v>2.8014520202020204E-2</v>
      </c>
      <c r="V3" s="95">
        <f>VLOOKUP(A3,'BSE ALL CAP'!$B$4:$Y$1038,21,)</f>
        <v>1.3706140350877138E-2</v>
      </c>
      <c r="W3" s="95">
        <f>VLOOKUP(A3,'BSE ALL CAP'!$B$4:$Y$1038,22,)</f>
        <v>-0.45454545454545459</v>
      </c>
      <c r="X3" s="95">
        <f>VLOOKUP(A3,'BSE ALL CAP'!$B$4:$Y$1038,23,)</f>
        <v>7.7441077441077422E-2</v>
      </c>
      <c r="Y3" s="95">
        <f>VLOOKUP(A3,'BSE ALL CAP'!$B$4:$Y$1038,24,)</f>
        <v>-1.4166666666666667</v>
      </c>
    </row>
    <row r="4" spans="1:25">
      <c r="A4" s="101"/>
      <c r="B4" s="101"/>
      <c r="C4" s="101"/>
      <c r="D4" s="101"/>
      <c r="E4" s="101"/>
      <c r="F4" s="101"/>
      <c r="G4" s="95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101"/>
      <c r="B5" s="101"/>
      <c r="C5" s="101"/>
      <c r="D5" s="101"/>
      <c r="E5" s="101"/>
      <c r="F5" s="112">
        <f ca="1">SUM(F2:F3)</f>
        <v>7850.0883406999992</v>
      </c>
      <c r="G5" s="95">
        <f ca="1">F5/$F$5</f>
        <v>1</v>
      </c>
      <c r="H5" s="101">
        <f t="shared" ref="H5:O5" si="1">SUM(H2:H3)</f>
        <v>3255</v>
      </c>
      <c r="I5" s="101">
        <f t="shared" si="1"/>
        <v>3161</v>
      </c>
      <c r="J5" s="101">
        <f t="shared" si="1"/>
        <v>114</v>
      </c>
      <c r="K5" s="101">
        <f t="shared" si="1"/>
        <v>138</v>
      </c>
      <c r="L5" s="101">
        <f t="shared" si="1"/>
        <v>1138</v>
      </c>
      <c r="M5" s="101">
        <f t="shared" si="1"/>
        <v>1043</v>
      </c>
      <c r="N5" s="101">
        <f t="shared" si="1"/>
        <v>28</v>
      </c>
      <c r="O5" s="101">
        <f t="shared" si="1"/>
        <v>33</v>
      </c>
      <c r="P5" s="95">
        <f t="shared" ref="P5:Q5" si="2">J5/H5</f>
        <v>3.5023041474654376E-2</v>
      </c>
      <c r="Q5" s="95">
        <f t="shared" si="2"/>
        <v>4.365707054729516E-2</v>
      </c>
      <c r="R5" s="95">
        <f>P5-Q5</f>
        <v>-8.6340290726407837E-3</v>
      </c>
      <c r="S5" s="95">
        <f t="shared" ref="S5:T5" si="3">N5/L5</f>
        <v>2.4604569420035149E-2</v>
      </c>
      <c r="T5" s="95">
        <f t="shared" si="3"/>
        <v>3.1639501438159155E-2</v>
      </c>
      <c r="U5" s="95">
        <f>S5-T5</f>
        <v>-7.0349320181240065E-3</v>
      </c>
      <c r="V5" s="95">
        <f>(H5/I5)-1</f>
        <v>2.9737424865548867E-2</v>
      </c>
      <c r="W5" s="95">
        <f>(J5/K5)-1</f>
        <v>-0.17391304347826086</v>
      </c>
      <c r="X5" s="95">
        <f>(L5/M5)-1</f>
        <v>9.1083413231064281E-2</v>
      </c>
      <c r="Y5" s="95">
        <f>(N5/O5)-1</f>
        <v>-0.15151515151515149</v>
      </c>
    </row>
    <row r="6" spans="1:25">
      <c r="G6" s="50"/>
    </row>
    <row r="7" spans="1:25">
      <c r="G7" s="50"/>
    </row>
    <row r="8" spans="1:25">
      <c r="G8" s="50"/>
    </row>
    <row r="9" spans="1:25">
      <c r="G9" s="50"/>
    </row>
    <row r="10" spans="1:25">
      <c r="G10" s="50"/>
    </row>
    <row r="11" spans="1:25">
      <c r="G11" s="50"/>
    </row>
    <row r="12" spans="1:25">
      <c r="G12" s="50"/>
    </row>
    <row r="13" spans="1:25">
      <c r="G13" s="50"/>
    </row>
    <row r="14" spans="1:25">
      <c r="G14" s="50"/>
    </row>
    <row r="15" spans="1:25">
      <c r="G15" s="50"/>
    </row>
    <row r="16" spans="1:25">
      <c r="G16" s="50"/>
    </row>
    <row r="17" spans="7:7">
      <c r="G17" s="50"/>
    </row>
    <row r="18" spans="7:7">
      <c r="G18" s="50"/>
    </row>
    <row r="19" spans="7:7">
      <c r="G19" s="50"/>
    </row>
    <row r="20" spans="7:7">
      <c r="G20" s="50"/>
    </row>
    <row r="21" spans="7:7">
      <c r="G21" s="50"/>
    </row>
    <row r="22" spans="7:7">
      <c r="G22" s="50"/>
    </row>
    <row r="23" spans="7:7">
      <c r="G23" s="50"/>
    </row>
    <row r="24" spans="7:7">
      <c r="G24" s="50"/>
    </row>
    <row r="25" spans="7:7" ht="13.2">
      <c r="G25" s="50"/>
    </row>
    <row r="26" spans="7:7" ht="13.2">
      <c r="G26" s="50"/>
    </row>
    <row r="27" spans="7:7" ht="13.2">
      <c r="G27" s="50"/>
    </row>
    <row r="28" spans="7:7" ht="13.2">
      <c r="G28" s="50"/>
    </row>
    <row r="29" spans="7:7" ht="13.2">
      <c r="G29" s="50"/>
    </row>
    <row r="30" spans="7:7" ht="13.2">
      <c r="G30" s="50"/>
    </row>
    <row r="31" spans="7:7" ht="13.2">
      <c r="G31" s="50"/>
    </row>
    <row r="32" spans="7:7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3" xr:uid="{00000000-0009-0000-0000-00002B000000}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3">
        <v>544555</v>
      </c>
      <c r="B2" s="90" t="s">
        <v>1970</v>
      </c>
      <c r="C2" s="6" t="e">
        <f>VLOOKUP(A2,'BSE ALL CAP'!$B$4:$Y$1038,2,)</f>
        <v>#N/A</v>
      </c>
      <c r="D2" s="6" t="e">
        <f>VLOOKUP(A2,'BSE ALL CAP'!$B$4:$Y$1038,3,)</f>
        <v>#N/A</v>
      </c>
      <c r="E2" s="101">
        <f ca="1">IFERROR(__xludf.DUMMYFUNCTION("GOOGLEFINANCE(""BOM:""&amp;A2,""PRICE"")"),116)</f>
        <v>116</v>
      </c>
      <c r="F2" s="112">
        <f ca="1">IFERROR(__xludf.DUMMYFUNCTION("GOOGLEFINANCE(""BOM:""&amp;A2,""MARKETCAP"")/10000000"),130.848)</f>
        <v>130.84800000000001</v>
      </c>
      <c r="G2" s="50">
        <f t="shared" ref="G2:G11" ca="1" si="0">F2/$F$13</f>
        <v>1.8460329078695752E-2</v>
      </c>
    </row>
    <row r="3" spans="1:25" ht="15.75" customHeight="1">
      <c r="A3" s="93">
        <v>523694</v>
      </c>
      <c r="B3" s="90" t="s">
        <v>1971</v>
      </c>
      <c r="C3" s="6" t="e">
        <f>VLOOKUP(A3,'BSE ALL CAP'!$B$4:$Y$1038,2,)</f>
        <v>#N/A</v>
      </c>
      <c r="D3" s="6" t="e">
        <f>VLOOKUP(A3,'BSE ALL CAP'!$B$4:$Y$1038,3,)</f>
        <v>#N/A</v>
      </c>
      <c r="E3" s="101">
        <f ca="1">IFERROR(__xludf.DUMMYFUNCTION("GOOGLEFINANCE(""BOM:""&amp;A3,""PRICE"")"),360.1)</f>
        <v>360.1</v>
      </c>
      <c r="F3" s="112">
        <f ca="1">IFERROR(__xludf.DUMMYFUNCTION("GOOGLEFINANCE(""BOM:""&amp;A3,""MARKETCAP"")/10000000"),1867.7139635)</f>
        <v>1867.7139635000001</v>
      </c>
      <c r="G3" s="50">
        <f t="shared" ca="1" si="0"/>
        <v>0.26350127163644188</v>
      </c>
    </row>
    <row r="4" spans="1:25" ht="15.75" customHeight="1">
      <c r="A4" s="93">
        <v>544677</v>
      </c>
      <c r="B4" s="90" t="s">
        <v>1972</v>
      </c>
      <c r="C4" s="6" t="e">
        <f>VLOOKUP(A4,'BSE ALL CAP'!$B$4:$Y$1038,2,)</f>
        <v>#N/A</v>
      </c>
      <c r="D4" s="6" t="e">
        <f>VLOOKUP(A4,'BSE ALL CAP'!$B$4:$Y$1038,3,)</f>
        <v>#N/A</v>
      </c>
      <c r="E4" s="101">
        <f ca="1">IFERROR(__xludf.DUMMYFUNCTION("GOOGLEFINANCE(""BOM:""&amp;A4,""PRICE"")"),88)</f>
        <v>88</v>
      </c>
      <c r="F4" s="112">
        <f ca="1">IFERROR(__xludf.DUMMYFUNCTION("GOOGLEFINANCE(""BOM:""&amp;A4,""MARKETCAP"")/10000000"),61.8149)</f>
        <v>61.814900000000002</v>
      </c>
      <c r="G4" s="50">
        <f t="shared" ca="1" si="0"/>
        <v>8.7209846231250769E-3</v>
      </c>
    </row>
    <row r="5" spans="1:25" ht="15.75" customHeight="1">
      <c r="A5" s="93">
        <v>509152</v>
      </c>
      <c r="B5" s="90" t="s">
        <v>1973</v>
      </c>
      <c r="C5" s="6" t="e">
        <f>VLOOKUP(A5,'BSE ALL CAP'!$B$4:$Y$1038,2,)</f>
        <v>#N/A</v>
      </c>
      <c r="D5" s="6" t="e">
        <f>VLOOKUP(A5,'BSE ALL CAP'!$B$4:$Y$1038,3,)</f>
        <v>#N/A</v>
      </c>
      <c r="E5" s="101">
        <f ca="1">IFERROR(__xludf.DUMMYFUNCTION("GOOGLEFINANCE(""BOM:""&amp;A5,""PRICE"")"),1923.15)</f>
        <v>1923.15</v>
      </c>
      <c r="F5" s="112">
        <f ca="1">IFERROR(__xludf.DUMMYFUNCTION("GOOGLEFINANCE(""BOM:""&amp;A5,""MARKETCAP"")/10000000"),1026.5599618)</f>
        <v>1026.5599618000001</v>
      </c>
      <c r="G5" s="50">
        <f t="shared" ca="1" si="0"/>
        <v>0.14482937999695328</v>
      </c>
    </row>
    <row r="6" spans="1:25" ht="15.75" customHeight="1">
      <c r="A6" s="93">
        <v>500467</v>
      </c>
      <c r="B6" s="90" t="s">
        <v>1974</v>
      </c>
      <c r="C6" s="6" t="e">
        <f>VLOOKUP(A6,'BSE ALL CAP'!$B$4:$Y$1038,2,)</f>
        <v>#N/A</v>
      </c>
      <c r="D6" s="6" t="e">
        <f>VLOOKUP(A6,'BSE ALL CAP'!$B$4:$Y$1038,3,)</f>
        <v>#N/A</v>
      </c>
      <c r="E6" s="101">
        <f ca="1">IFERROR(__xludf.DUMMYFUNCTION("GOOGLEFINANCE(""BOM:""&amp;A6,""PRICE"")"),192.2)</f>
        <v>192.2</v>
      </c>
      <c r="F6" s="112">
        <f ca="1">IFERROR(__xludf.DUMMYFUNCTION("GOOGLEFINANCE(""BOM:""&amp;A6,""MARKETCAP"")/10000000"),350.7448826)</f>
        <v>350.74488259999998</v>
      </c>
      <c r="G6" s="50">
        <f t="shared" ca="1" si="0"/>
        <v>4.9483874078812877E-2</v>
      </c>
    </row>
    <row r="7" spans="1:25" ht="15.75" customHeight="1">
      <c r="A7" s="93">
        <v>500333</v>
      </c>
      <c r="B7" s="90" t="s">
        <v>1975</v>
      </c>
      <c r="C7" s="6" t="e">
        <f>VLOOKUP(A7,'BSE ALL CAP'!$B$4:$Y$1038,2,)</f>
        <v>#N/A</v>
      </c>
      <c r="D7" s="6" t="e">
        <f>VLOOKUP(A7,'BSE ALL CAP'!$B$4:$Y$1038,3,)</f>
        <v>#N/A</v>
      </c>
      <c r="E7" s="101">
        <f ca="1">IFERROR(__xludf.DUMMYFUNCTION("GOOGLEFINANCE(""BOM:""&amp;A7,""PRICE"")"),1457.5)</f>
        <v>1457.5</v>
      </c>
      <c r="F7" s="112">
        <f ca="1">IFERROR(__xludf.DUMMYFUNCTION("GOOGLEFINANCE(""BOM:""&amp;A7,""MARKETCAP"")/10000000"),1978.377588)</f>
        <v>1978.3775880000001</v>
      </c>
      <c r="G7" s="50">
        <f t="shared" ca="1" si="0"/>
        <v>0.27911394378512749</v>
      </c>
    </row>
    <row r="8" spans="1:25" ht="15.75" customHeight="1">
      <c r="A8" s="93">
        <v>526492</v>
      </c>
      <c r="B8" s="90" t="s">
        <v>1976</v>
      </c>
      <c r="C8" s="6" t="e">
        <f>VLOOKUP(A8,'BSE ALL CAP'!$B$4:$Y$1038,2,)</f>
        <v>#N/A</v>
      </c>
      <c r="D8" s="6" t="e">
        <f>VLOOKUP(A8,'BSE ALL CAP'!$B$4:$Y$1038,3,)</f>
        <v>#N/A</v>
      </c>
      <c r="E8" s="101">
        <f ca="1">IFERROR(__xludf.DUMMYFUNCTION("GOOGLEFINANCE(""BOM:""&amp;A8,""PRICE"")"),80.99)</f>
        <v>80.989999999999995</v>
      </c>
      <c r="F8" s="112">
        <f ca="1">IFERROR(__xludf.DUMMYFUNCTION("GOOGLEFINANCE(""BOM:""&amp;A8,""MARKETCAP"")/10000000"),74.2160106)</f>
        <v>74.216010600000004</v>
      </c>
      <c r="G8" s="50">
        <f t="shared" ca="1" si="0"/>
        <v>1.0470561098251193E-2</v>
      </c>
    </row>
    <row r="9" spans="1:25" ht="15.75" customHeight="1">
      <c r="A9" s="93">
        <v>500367</v>
      </c>
      <c r="B9" s="90" t="s">
        <v>1977</v>
      </c>
      <c r="C9" s="6" t="e">
        <f>VLOOKUP(A9,'BSE ALL CAP'!$B$4:$Y$1038,2,)</f>
        <v>#N/A</v>
      </c>
      <c r="D9" s="6" t="e">
        <f>VLOOKUP(A9,'BSE ALL CAP'!$B$4:$Y$1038,3,)</f>
        <v>#N/A</v>
      </c>
      <c r="E9" s="101">
        <f ca="1">IFERROR(__xludf.DUMMYFUNCTION("GOOGLEFINANCE(""BOM:""&amp;A9,""PRICE"")"),64.8)</f>
        <v>64.8</v>
      </c>
      <c r="F9" s="112">
        <f ca="1">IFERROR(__xludf.DUMMYFUNCTION("GOOGLEFINANCE(""BOM:""&amp;A9,""MARKETCAP"")/10000000"),352.4132881)</f>
        <v>352.41328809999999</v>
      </c>
      <c r="G9" s="50">
        <f t="shared" ca="1" si="0"/>
        <v>4.9719256465755791E-2</v>
      </c>
    </row>
    <row r="10" spans="1:25" ht="15.75" customHeight="1">
      <c r="A10" s="93">
        <v>534598</v>
      </c>
      <c r="B10" s="90" t="s">
        <v>1978</v>
      </c>
      <c r="C10" s="6" t="e">
        <f>VLOOKUP(A10,'BSE ALL CAP'!$B$4:$Y$1038,2,)</f>
        <v>#N/A</v>
      </c>
      <c r="D10" s="6" t="e">
        <f>VLOOKUP(A10,'BSE ALL CAP'!$B$4:$Y$1038,3,)</f>
        <v>#N/A</v>
      </c>
      <c r="E10" s="101">
        <f ca="1">IFERROR(__xludf.DUMMYFUNCTION("GOOGLEFINANCE(""BOM:""&amp;A10,""PRICE"")"),27.28)</f>
        <v>27.28</v>
      </c>
      <c r="F10" s="112">
        <f ca="1">IFERROR(__xludf.DUMMYFUNCTION("GOOGLEFINANCE(""BOM:""&amp;A10,""MARKETCAP"")/10000000"),133.9834537)</f>
        <v>133.98345370000001</v>
      </c>
      <c r="G10" s="50">
        <f t="shared" ca="1" si="0"/>
        <v>1.8902685913443049E-2</v>
      </c>
    </row>
    <row r="11" spans="1:25" ht="15.75" customHeight="1">
      <c r="A11" s="93">
        <v>530475</v>
      </c>
      <c r="B11" s="90" t="s">
        <v>1979</v>
      </c>
      <c r="C11" s="6" t="e">
        <f>VLOOKUP(A11,'BSE ALL CAP'!$B$4:$Y$1038,2,)</f>
        <v>#N/A</v>
      </c>
      <c r="D11" s="6" t="e">
        <f>VLOOKUP(A11,'BSE ALL CAP'!$B$4:$Y$1038,3,)</f>
        <v>#N/A</v>
      </c>
      <c r="E11" s="101">
        <f ca="1">IFERROR(__xludf.DUMMYFUNCTION("GOOGLEFINANCE(""BOM:""&amp;A11,""PRICE"")"),615.7)</f>
        <v>615.70000000000005</v>
      </c>
      <c r="F11" s="112">
        <f ca="1">IFERROR(__xludf.DUMMYFUNCTION("GOOGLEFINANCE(""BOM:""&amp;A11,""MARKETCAP"")/10000000"),1111.3922783)</f>
        <v>1111.3922783</v>
      </c>
      <c r="G11" s="50">
        <f t="shared" ca="1" si="0"/>
        <v>0.15679771332339365</v>
      </c>
    </row>
    <row r="12" spans="1:25">
      <c r="G12" s="50"/>
    </row>
    <row r="13" spans="1:25">
      <c r="F13" s="94">
        <f ca="1">SUM(F2:F11)</f>
        <v>7088.0643265999997</v>
      </c>
      <c r="G13" s="50"/>
    </row>
    <row r="14" spans="1:25">
      <c r="G14" s="50"/>
    </row>
    <row r="15" spans="1:25">
      <c r="G15" s="50"/>
    </row>
    <row r="16" spans="1:25">
      <c r="G16" s="50"/>
    </row>
    <row r="17" spans="7:7">
      <c r="G17" s="50"/>
    </row>
    <row r="18" spans="7:7">
      <c r="G18" s="50"/>
    </row>
    <row r="19" spans="7:7">
      <c r="G19" s="50"/>
    </row>
    <row r="20" spans="7:7">
      <c r="G20" s="50"/>
    </row>
    <row r="21" spans="7:7">
      <c r="G21" s="50"/>
    </row>
    <row r="22" spans="7:7">
      <c r="G22" s="50"/>
    </row>
    <row r="23" spans="7:7">
      <c r="G23" s="50"/>
    </row>
    <row r="24" spans="7:7">
      <c r="G24" s="50"/>
    </row>
    <row r="25" spans="7:7" ht="13.2">
      <c r="G25" s="50"/>
    </row>
    <row r="26" spans="7:7" ht="13.2">
      <c r="G26" s="50"/>
    </row>
    <row r="27" spans="7:7" ht="13.2">
      <c r="G27" s="50"/>
    </row>
    <row r="28" spans="7:7" ht="13.2">
      <c r="G28" s="50"/>
    </row>
    <row r="29" spans="7:7" ht="13.2">
      <c r="G29" s="50"/>
    </row>
    <row r="30" spans="7:7" ht="13.2">
      <c r="G30" s="50"/>
    </row>
    <row r="31" spans="7:7" ht="13.2">
      <c r="G31" s="50"/>
    </row>
    <row r="32" spans="7:7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outlinePr summaryBelow="0" summaryRight="0"/>
  </sheetPr>
  <dimension ref="A1:Y992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544579</v>
      </c>
      <c r="B2" s="98" t="s">
        <v>1980</v>
      </c>
      <c r="C2" s="6" t="e">
        <f>VLOOKUP(A2,'BSE ALL CAP'!$B$4:$Y$1038,2,)</f>
        <v>#N/A</v>
      </c>
      <c r="D2" s="6" t="e">
        <f>VLOOKUP(A2,'BSE ALL CAP'!$B$4:$Y$1038,3,)</f>
        <v>#N/A</v>
      </c>
      <c r="E2" s="101">
        <f ca="1">IFERROR(__xludf.DUMMYFUNCTION("GOOGLEFINANCE(""BOM:""&amp;A2,""PRICE"")"),103.19)</f>
        <v>103.19</v>
      </c>
      <c r="F2" s="112">
        <f ca="1">IFERROR(__xludf.DUMMYFUNCTION("GOOGLEFINANCE(""BOM:""&amp;A2,""MARKETCAP"")/10000000"),2243.7303922)</f>
        <v>2243.7303922000001</v>
      </c>
      <c r="G2" s="95">
        <f t="shared" ref="G2:G9" ca="1" si="0">F2/$F$11</f>
        <v>0.73063076770396174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.75" customHeight="1">
      <c r="A3" s="99">
        <v>544239</v>
      </c>
      <c r="B3" s="98" t="s">
        <v>1981</v>
      </c>
      <c r="C3" s="6" t="e">
        <f>VLOOKUP(A3,'BSE ALL CAP'!$B$4:$Y$1038,2,)</f>
        <v>#N/A</v>
      </c>
      <c r="D3" s="6" t="e">
        <f>VLOOKUP(A3,'BSE ALL CAP'!$B$4:$Y$1038,3,)</f>
        <v>#N/A</v>
      </c>
      <c r="E3" s="101">
        <f ca="1">IFERROR(__xludf.DUMMYFUNCTION("GOOGLEFINANCE(""BOM:""&amp;A3,""PRICE"")"),121.45)</f>
        <v>121.45</v>
      </c>
      <c r="F3" s="112">
        <f ca="1">IFERROR(__xludf.DUMMYFUNCTION("GOOGLEFINANCE(""BOM:""&amp;A3,""MARKETCAP"")/10000000"),728.4600219)</f>
        <v>728.46002190000002</v>
      </c>
      <c r="G3" s="95">
        <f t="shared" ca="1" si="0"/>
        <v>0.23721000833820313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520123</v>
      </c>
      <c r="B4" s="98" t="s">
        <v>1982</v>
      </c>
      <c r="C4" s="6" t="e">
        <f>VLOOKUP(A4,'BSE ALL CAP'!$B$4:$Y$1038,2,)</f>
        <v>#N/A</v>
      </c>
      <c r="D4" s="6" t="e">
        <f>VLOOKUP(A4,'BSE ALL CAP'!$B$4:$Y$1038,3,)</f>
        <v>#N/A</v>
      </c>
      <c r="E4" s="101">
        <f ca="1">IFERROR(__xludf.DUMMYFUNCTION("GOOGLEFINANCE(""BOM:""&amp;A4,""PRICE"")"),57.9)</f>
        <v>57.9</v>
      </c>
      <c r="F4" s="112">
        <f ca="1">IFERROR(__xludf.DUMMYFUNCTION("GOOGLEFINANCE(""BOM:""&amp;A4,""MARKETCAP"")/10000000"),31.3657741)</f>
        <v>31.365774099999999</v>
      </c>
      <c r="G4" s="95">
        <f t="shared" ca="1" si="0"/>
        <v>1.0213704681266044E-2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520127</v>
      </c>
      <c r="B5" s="98" t="s">
        <v>1983</v>
      </c>
      <c r="C5" s="6" t="e">
        <f>VLOOKUP(A5,'BSE ALL CAP'!$B$4:$Y$1038,2,)</f>
        <v>#N/A</v>
      </c>
      <c r="D5" s="6" t="e">
        <f>VLOOKUP(A5,'BSE ALL CAP'!$B$4:$Y$1038,3,)</f>
        <v>#N/A</v>
      </c>
      <c r="E5" s="101">
        <f ca="1">IFERROR(__xludf.DUMMYFUNCTION("GOOGLEFINANCE(""BOM:""&amp;A5,""PRICE"")"),11.75)</f>
        <v>11.75</v>
      </c>
      <c r="F5" s="112">
        <f ca="1">IFERROR(__xludf.DUMMYFUNCTION("GOOGLEFINANCE(""BOM:""&amp;A5,""MARKETCAP"")/10000000"),21.385)</f>
        <v>21.385000000000002</v>
      </c>
      <c r="G5" s="95">
        <f t="shared" ca="1" si="0"/>
        <v>6.963643680927817E-3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530259</v>
      </c>
      <c r="B6" s="98" t="s">
        <v>1984</v>
      </c>
      <c r="C6" s="6" t="e">
        <f>VLOOKUP(A6,'BSE ALL CAP'!$B$4:$Y$1038,2,)</f>
        <v>#N/A</v>
      </c>
      <c r="D6" s="6" t="e">
        <f>VLOOKUP(A6,'BSE ALL CAP'!$B$4:$Y$1038,3,)</f>
        <v>#N/A</v>
      </c>
      <c r="E6" s="101">
        <f ca="1">IFERROR(__xludf.DUMMYFUNCTION("GOOGLEFINANCE(""BOM:""&amp;A6,""PRICE"")"),32.06)</f>
        <v>32.06</v>
      </c>
      <c r="F6" s="112">
        <f ca="1">IFERROR(__xludf.DUMMYFUNCTION("GOOGLEFINANCE(""BOM:""&amp;A6,""MARKETCAP"")/10000000"),16.0053144)</f>
        <v>16.0053144</v>
      </c>
      <c r="G6" s="95">
        <f t="shared" ca="1" si="0"/>
        <v>5.2118450541418278E-3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520131</v>
      </c>
      <c r="B7" s="98" t="s">
        <v>1985</v>
      </c>
      <c r="C7" s="6" t="e">
        <f>VLOOKUP(A7,'BSE ALL CAP'!$B$4:$Y$1038,2,)</f>
        <v>#N/A</v>
      </c>
      <c r="D7" s="6" t="e">
        <f>VLOOKUP(A7,'BSE ALL CAP'!$B$4:$Y$1038,3,)</f>
        <v>#N/A</v>
      </c>
      <c r="E7" s="101">
        <f ca="1">IFERROR(__xludf.DUMMYFUNCTION("GOOGLEFINANCE(""BOM:""&amp;A7,""PRICE"")"),26.25)</f>
        <v>26.25</v>
      </c>
      <c r="F7" s="112">
        <f ca="1">IFERROR(__xludf.DUMMYFUNCTION("GOOGLEFINANCE(""BOM:""&amp;A7,""MARKETCAP"")/10000000"),10.8847278)</f>
        <v>10.8847278</v>
      </c>
      <c r="G7" s="95">
        <f t="shared" ca="1" si="0"/>
        <v>3.5444173936445798E-3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532042</v>
      </c>
      <c r="B8" s="98" t="s">
        <v>1986</v>
      </c>
      <c r="C8" s="6" t="e">
        <f>VLOOKUP(A8,'BSE ALL CAP'!$B$4:$Y$1038,2,)</f>
        <v>#N/A</v>
      </c>
      <c r="D8" s="6" t="e">
        <f>VLOOKUP(A8,'BSE ALL CAP'!$B$4:$Y$1038,3,)</f>
        <v>#N/A</v>
      </c>
      <c r="E8" s="101">
        <f ca="1">IFERROR(__xludf.DUMMYFUNCTION("GOOGLEFINANCE(""BOM:""&amp;A8,""PRICE"")"),27.7)</f>
        <v>27.7</v>
      </c>
      <c r="F8" s="112">
        <f ca="1">IFERROR(__xludf.DUMMYFUNCTION("GOOGLEFINANCE(""BOM:""&amp;A8,""MARKETCAP"")/10000000"),13.8500003)</f>
        <v>13.8500003</v>
      </c>
      <c r="G8" s="95">
        <f t="shared" ca="1" si="0"/>
        <v>4.510005474395294E-3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526795</v>
      </c>
      <c r="B9" s="98" t="s">
        <v>1987</v>
      </c>
      <c r="C9" s="6" t="e">
        <f>VLOOKUP(A9,'BSE ALL CAP'!$B$4:$Y$1038,2,)</f>
        <v>#N/A</v>
      </c>
      <c r="D9" s="6" t="e">
        <f>VLOOKUP(A9,'BSE ALL CAP'!$B$4:$Y$1038,3,)</f>
        <v>#N/A</v>
      </c>
      <c r="E9" s="101">
        <f ca="1">IFERROR(__xludf.DUMMYFUNCTION("GOOGLEFINANCE(""BOM:""&amp;A9,""PRICE"")"),6.7)</f>
        <v>6.7</v>
      </c>
      <c r="F9" s="112">
        <f ca="1">IFERROR(__xludf.DUMMYFUNCTION("GOOGLEFINANCE(""BOM:""&amp;A9,""MARKETCAP"")/10000000"),5.268545)</f>
        <v>5.2685449999999996</v>
      </c>
      <c r="G9" s="95">
        <f t="shared" ca="1" si="0"/>
        <v>1.7156076734596137E-3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>
      <c r="G10" s="50"/>
    </row>
    <row r="11" spans="1:25">
      <c r="F11" s="94">
        <f ca="1">SUM(F2:F9)</f>
        <v>3070.9497756999999</v>
      </c>
      <c r="G11" s="50"/>
    </row>
    <row r="12" spans="1:25">
      <c r="G12" s="50"/>
    </row>
    <row r="13" spans="1:25">
      <c r="G13" s="50"/>
    </row>
    <row r="14" spans="1:25">
      <c r="G14" s="50"/>
    </row>
    <row r="15" spans="1:25">
      <c r="G15" s="50"/>
    </row>
    <row r="16" spans="1:25">
      <c r="G16" s="50"/>
    </row>
    <row r="17" spans="7:7">
      <c r="G17" s="50"/>
    </row>
    <row r="18" spans="7:7">
      <c r="G18" s="50"/>
    </row>
    <row r="19" spans="7:7">
      <c r="G19" s="50"/>
    </row>
    <row r="20" spans="7:7">
      <c r="G20" s="50"/>
    </row>
    <row r="21" spans="7:7">
      <c r="G21" s="50"/>
    </row>
    <row r="22" spans="7:7">
      <c r="G22" s="50"/>
    </row>
    <row r="23" spans="7:7">
      <c r="G23" s="50"/>
    </row>
    <row r="24" spans="7:7">
      <c r="G24" s="50"/>
    </row>
    <row r="25" spans="7:7" ht="13.2">
      <c r="G25" s="50"/>
    </row>
    <row r="26" spans="7:7" ht="13.2">
      <c r="G26" s="50"/>
    </row>
    <row r="27" spans="7:7" ht="13.2">
      <c r="G27" s="50"/>
    </row>
    <row r="28" spans="7:7" ht="13.2">
      <c r="G28" s="50"/>
    </row>
    <row r="29" spans="7:7" ht="13.2">
      <c r="G29" s="50"/>
    </row>
    <row r="30" spans="7:7" ht="13.2">
      <c r="G30" s="50"/>
    </row>
    <row r="31" spans="7:7" ht="13.2">
      <c r="G31" s="50"/>
    </row>
    <row r="32" spans="7:7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</sheetData>
  <autoFilter ref="A1:Y9" xr:uid="{00000000-0009-0000-0000-00002D000000}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543385</v>
      </c>
      <c r="B2" s="98" t="s">
        <v>1988</v>
      </c>
      <c r="C2" s="6" t="e">
        <f>VLOOKUP(A2,'BSE ALL CAP'!$B$4:$Y$1038,2,)</f>
        <v>#N/A</v>
      </c>
      <c r="D2" s="6" t="e">
        <f>VLOOKUP(A2,'BSE ALL CAP'!$B$4:$Y$1038,3,)</f>
        <v>#N/A</v>
      </c>
      <c r="E2" s="101">
        <f ca="1">IFERROR(__xludf.DUMMYFUNCTION("GOOGLEFINANCE(""BOM:""&amp;A2,""PRICE"")"),151)</f>
        <v>151</v>
      </c>
      <c r="F2" s="112">
        <f ca="1">IFERROR(__xludf.DUMMYFUNCTION("GOOGLEFINANCE(""BOM:""&amp;A2,""MARKETCAP"")/10000000"),35072.23)</f>
        <v>35072.230000000003</v>
      </c>
      <c r="G2" s="95">
        <f t="shared" ref="G2:G15" ca="1" si="0">F2/$F$17</f>
        <v>0.38301260020542971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.75" customHeight="1">
      <c r="A3" s="99">
        <v>543899</v>
      </c>
      <c r="B3" s="98" t="s">
        <v>1989</v>
      </c>
      <c r="C3" s="6" t="e">
        <f>VLOOKUP(A3,'BSE ALL CAP'!$B$4:$Y$1038,2,)</f>
        <v>#N/A</v>
      </c>
      <c r="D3" s="6" t="e">
        <f>VLOOKUP(A3,'BSE ALL CAP'!$B$4:$Y$1038,3,)</f>
        <v>#N/A</v>
      </c>
      <c r="E3" s="101">
        <f ca="1">IFERROR(__xludf.DUMMYFUNCTION("GOOGLEFINANCE(""BOM:""&amp;A3,""PRICE"")"),148)</f>
        <v>148</v>
      </c>
      <c r="F3" s="112">
        <f ca="1">IFERROR(__xludf.DUMMYFUNCTION("GOOGLEFINANCE(""BOM:""&amp;A3,""MARKETCAP"")/10000000"),19892.2212)</f>
        <v>19892.2212</v>
      </c>
      <c r="G3" s="95">
        <f t="shared" ca="1" si="0"/>
        <v>0.21723658192460454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541300</v>
      </c>
      <c r="B4" s="98" t="s">
        <v>1990</v>
      </c>
      <c r="C4" s="6" t="e">
        <f>VLOOKUP(A4,'BSE ALL CAP'!$B$4:$Y$1038,2,)</f>
        <v>#N/A</v>
      </c>
      <c r="D4" s="6" t="e">
        <f>VLOOKUP(A4,'BSE ALL CAP'!$B$4:$Y$1038,3,)</f>
        <v>#N/A</v>
      </c>
      <c r="E4" s="101">
        <f ca="1">IFERROR(__xludf.DUMMYFUNCTION("GOOGLEFINANCE(""BOM:""&amp;A4,""PRICE"")"),113)</f>
        <v>113</v>
      </c>
      <c r="F4" s="112">
        <f ca="1">IFERROR(__xludf.DUMMYFUNCTION("GOOGLEFINANCE(""BOM:""&amp;A4,""MARKETCAP"")/10000000"),11440.46)</f>
        <v>11440.46</v>
      </c>
      <c r="G4" s="95">
        <f t="shared" ca="1" si="0"/>
        <v>0.12493760254612295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543925</v>
      </c>
      <c r="B5" s="98" t="s">
        <v>1991</v>
      </c>
      <c r="C5" s="6" t="e">
        <f>VLOOKUP(A5,'BSE ALL CAP'!$B$4:$Y$1038,2,)</f>
        <v>#N/A</v>
      </c>
      <c r="D5" s="6" t="e">
        <f>VLOOKUP(A5,'BSE ALL CAP'!$B$4:$Y$1038,3,)</f>
        <v>#N/A</v>
      </c>
      <c r="E5" s="101">
        <f ca="1">IFERROR(__xludf.DUMMYFUNCTION("GOOGLEFINANCE(""BOM:""&amp;A5,""PRICE"")"),145.6)</f>
        <v>145.6</v>
      </c>
      <c r="F5" s="112">
        <f ca="1">IFERROR(__xludf.DUMMYFUNCTION("GOOGLEFINANCE(""BOM:""&amp;A5,""MARKETCAP"")/10000000"),6883.578)</f>
        <v>6883.5780000000004</v>
      </c>
      <c r="G5" s="95">
        <f t="shared" ca="1" si="0"/>
        <v>7.5173352492752574E-2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544137</v>
      </c>
      <c r="B6" s="98" t="s">
        <v>1992</v>
      </c>
      <c r="C6" s="6" t="e">
        <f>VLOOKUP(A6,'BSE ALL CAP'!$B$4:$Y$1038,2,)</f>
        <v>#N/A</v>
      </c>
      <c r="D6" s="6" t="e">
        <f>VLOOKUP(A6,'BSE ALL CAP'!$B$4:$Y$1038,3,)</f>
        <v>#N/A</v>
      </c>
      <c r="E6" s="101">
        <f ca="1">IFERROR(__xludf.DUMMYFUNCTION("GOOGLEFINANCE(""BOM:""&amp;A6,""PRICE"")"),123.6)</f>
        <v>123.6</v>
      </c>
      <c r="F6" s="112">
        <f ca="1">IFERROR(__xludf.DUMMYFUNCTION("GOOGLEFINANCE(""BOM:""&amp;A6,""MARKETCAP"")/10000000"),5484.4458762)</f>
        <v>5484.4458762000004</v>
      </c>
      <c r="G6" s="95">
        <f t="shared" ca="1" si="0"/>
        <v>5.9893878311396462E-2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544374</v>
      </c>
      <c r="B7" s="98" t="s">
        <v>1993</v>
      </c>
      <c r="C7" s="6" t="e">
        <f>VLOOKUP(A7,'BSE ALL CAP'!$B$4:$Y$1038,2,)</f>
        <v>#N/A</v>
      </c>
      <c r="D7" s="6" t="e">
        <f>VLOOKUP(A7,'BSE ALL CAP'!$B$4:$Y$1038,3,)</f>
        <v>#N/A</v>
      </c>
      <c r="E7" s="101">
        <f ca="1">IFERROR(__xludf.DUMMYFUNCTION("GOOGLEFINANCE(""BOM:""&amp;A7,""PRICE"")"),62)</f>
        <v>62</v>
      </c>
      <c r="F7" s="112">
        <f ca="1">IFERROR(__xludf.DUMMYFUNCTION("GOOGLEFINANCE(""BOM:""&amp;A7,""MARKETCAP"")/10000000"),4706.5967)</f>
        <v>4706.5967000000001</v>
      </c>
      <c r="G7" s="95">
        <f t="shared" ca="1" si="0"/>
        <v>5.1399236381185189E-2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540526</v>
      </c>
      <c r="B8" s="98" t="s">
        <v>1994</v>
      </c>
      <c r="C8" s="6" t="e">
        <f>VLOOKUP(A8,'BSE ALL CAP'!$B$4:$Y$1038,2,)</f>
        <v>#N/A</v>
      </c>
      <c r="D8" s="6" t="e">
        <f>VLOOKUP(A8,'BSE ALL CAP'!$B$4:$Y$1038,3,)</f>
        <v>#N/A</v>
      </c>
      <c r="E8" s="101">
        <f ca="1">IFERROR(__xludf.DUMMYFUNCTION("GOOGLEFINANCE(""BOM:""&amp;A8,""PRICE"")"),60.75)</f>
        <v>60.75</v>
      </c>
      <c r="F8" s="112">
        <f ca="1">IFERROR(__xludf.DUMMYFUNCTION("GOOGLEFINANCE(""BOM:""&amp;A8,""MARKETCAP"")/10000000"),3532.973355)</f>
        <v>3532.9733550000001</v>
      </c>
      <c r="G8" s="95">
        <f t="shared" ca="1" si="0"/>
        <v>3.8582471407009211E-2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544579</v>
      </c>
      <c r="B9" s="98" t="s">
        <v>1980</v>
      </c>
      <c r="C9" s="6" t="e">
        <f>VLOOKUP(A9,'BSE ALL CAP'!$B$4:$Y$1038,2,)</f>
        <v>#N/A</v>
      </c>
      <c r="D9" s="6" t="e">
        <f>VLOOKUP(A9,'BSE ALL CAP'!$B$4:$Y$1038,3,)</f>
        <v>#N/A</v>
      </c>
      <c r="E9" s="101">
        <f ca="1">IFERROR(__xludf.DUMMYFUNCTION("GOOGLEFINANCE(""BOM:""&amp;A9,""PRICE"")"),103.19)</f>
        <v>103.19</v>
      </c>
      <c r="F9" s="112">
        <f ca="1">IFERROR(__xludf.DUMMYFUNCTION("GOOGLEFINANCE(""BOM:""&amp;A9,""MARKETCAP"")/10000000"),2243.7303922)</f>
        <v>2243.7303922000001</v>
      </c>
      <c r="G9" s="95">
        <f t="shared" ca="1" si="0"/>
        <v>2.4503061586801596E-2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532430</v>
      </c>
      <c r="B10" s="98" t="s">
        <v>1995</v>
      </c>
      <c r="C10" s="6" t="str">
        <f>VLOOKUP(A10,'BSE ALL CAP'!$B$4:$Y$1038,2,)</f>
        <v>Services</v>
      </c>
      <c r="D10" s="6" t="str">
        <f>VLOOKUP(A10,'BSE ALL CAP'!$B$4:$Y$1038,3,)</f>
        <v>Road Assets–Toll, Annuity, Hybrid-Annuity</v>
      </c>
      <c r="E10" s="101">
        <f ca="1">IFERROR(__xludf.DUMMYFUNCTION("GOOGLEFINANCE(""BOM:""&amp;A10,""PRICE"")"),411.5)</f>
        <v>411.5</v>
      </c>
      <c r="F10" s="112">
        <f ca="1">IFERROR(__xludf.DUMMYFUNCTION("GOOGLEFINANCE(""BOM:""&amp;A10,""MARKETCAP"")/10000000"),1543.6194314)</f>
        <v>1543.6194313999999</v>
      </c>
      <c r="G10" s="95">
        <f t="shared" ca="1" si="0"/>
        <v>1.6857373829612228E-2</v>
      </c>
      <c r="H10" s="101">
        <f>VLOOKUP(A10,'BSE ALL CAP'!$B$4:$Y$1038,7,)</f>
        <v>17</v>
      </c>
      <c r="I10" s="101">
        <f>VLOOKUP(A10,'BSE ALL CAP'!$B$4:$Y$1038,8,)</f>
        <v>16</v>
      </c>
      <c r="J10" s="101">
        <f>VLOOKUP(A10,'BSE ALL CAP'!$B$4:$Y$1038,9,)</f>
        <v>5</v>
      </c>
      <c r="K10" s="101">
        <f>VLOOKUP(A10,'BSE ALL CAP'!$B$4:$Y$1038,10,)</f>
        <v>15</v>
      </c>
      <c r="L10" s="101">
        <f>VLOOKUP(A10,'BSE ALL CAP'!$B$4:$Y$1038,11,)</f>
        <v>3</v>
      </c>
      <c r="M10" s="101">
        <f>VLOOKUP(A10,'BSE ALL CAP'!$B$4:$Y$1038,12,)</f>
        <v>1</v>
      </c>
      <c r="N10" s="101">
        <f>VLOOKUP(A10,'BSE ALL CAP'!$B$4:$Y$1038,13,)</f>
        <v>-2</v>
      </c>
      <c r="O10" s="101">
        <f>VLOOKUP(A10,'BSE ALL CAP'!$B$4:$Y$1038,14,)</f>
        <v>-0.83</v>
      </c>
      <c r="P10" s="95">
        <f>VLOOKUP(A10,'BSE ALL CAP'!$B$4:$Y$1038,15,)</f>
        <v>0.29411764705882354</v>
      </c>
      <c r="Q10" s="95">
        <f>VLOOKUP(A10,'BSE ALL CAP'!$B$4:$Y$1038,16,)</f>
        <v>0.9375</v>
      </c>
      <c r="R10" s="95">
        <f>VLOOKUP(A10,'BSE ALL CAP'!$B$4:$Y$1038,17,)</f>
        <v>-0.64338235294117641</v>
      </c>
      <c r="S10" s="95">
        <f>VLOOKUP(A10,'BSE ALL CAP'!$B$4:$Y$1038,18,)</f>
        <v>-0.66666666666666663</v>
      </c>
      <c r="T10" s="95">
        <f>VLOOKUP(A10,'BSE ALL CAP'!$B$4:$Y$1038,19,)</f>
        <v>-0.83</v>
      </c>
      <c r="U10" s="95">
        <f>VLOOKUP(A10,'BSE ALL CAP'!$B$4:$Y$1038,20,)</f>
        <v>0.16333333333333333</v>
      </c>
      <c r="V10" s="95">
        <f>VLOOKUP(A10,'BSE ALL CAP'!$B$4:$Y$1038,21,)</f>
        <v>6.25E-2</v>
      </c>
      <c r="W10" s="95">
        <f>VLOOKUP(A10,'BSE ALL CAP'!$B$4:$Y$1038,22,)</f>
        <v>-0.66666666666666674</v>
      </c>
      <c r="X10" s="95">
        <f>VLOOKUP(A10,'BSE ALL CAP'!$B$4:$Y$1038,23,)</f>
        <v>2</v>
      </c>
      <c r="Y10" s="95">
        <f>VLOOKUP(A10,'BSE ALL CAP'!$B$4:$Y$1038,24,)</f>
        <v>1.4096385542168677</v>
      </c>
    </row>
    <row r="11" spans="1:25" ht="15.75" customHeight="1">
      <c r="A11" s="99">
        <v>544477</v>
      </c>
      <c r="B11" s="98" t="s">
        <v>1996</v>
      </c>
      <c r="C11" s="6" t="e">
        <f>VLOOKUP(A11,'BSE ALL CAP'!$B$4:$Y$1038,2,)</f>
        <v>#N/A</v>
      </c>
      <c r="D11" s="6" t="e">
        <f>VLOOKUP(A11,'BSE ALL CAP'!$B$4:$Y$1038,3,)</f>
        <v>#N/A</v>
      </c>
      <c r="E11" s="101">
        <f ca="1">IFERROR(__xludf.DUMMYFUNCTION("GOOGLEFINANCE(""BOM:""&amp;A11,""PRICE"")"),47.39)</f>
        <v>47.39</v>
      </c>
      <c r="F11" s="112">
        <f ca="1">IFERROR(__xludf.DUMMYFUNCTION("GOOGLEFINANCE(""BOM:""&amp;A11,""MARKETCAP"")/10000000"),336.0135777)</f>
        <v>336.01357769999998</v>
      </c>
      <c r="G11" s="95">
        <f t="shared" ca="1" si="0"/>
        <v>3.6694967528214254E-3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532759</v>
      </c>
      <c r="B12" s="98" t="s">
        <v>1997</v>
      </c>
      <c r="C12" s="6" t="e">
        <f>VLOOKUP(A12,'BSE ALL CAP'!$B$4:$Y$1038,2,)</f>
        <v>#N/A</v>
      </c>
      <c r="D12" s="6" t="e">
        <f>VLOOKUP(A12,'BSE ALL CAP'!$B$4:$Y$1038,3,)</f>
        <v>#N/A</v>
      </c>
      <c r="E12" s="101">
        <f ca="1">IFERROR(__xludf.DUMMYFUNCTION("GOOGLEFINANCE(""BOM:""&amp;A12,""PRICE"")"),37.45)</f>
        <v>37.450000000000003</v>
      </c>
      <c r="F12" s="112">
        <f ca="1">IFERROR(__xludf.DUMMYFUNCTION("GOOGLEFINANCE(""BOM:""&amp;A12,""MARKETCAP"")/10000000"),307.6625)</f>
        <v>307.66250000000002</v>
      </c>
      <c r="G12" s="95">
        <f t="shared" ca="1" si="0"/>
        <v>3.359883706017639E-3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532481</v>
      </c>
      <c r="B13" s="98" t="s">
        <v>1998</v>
      </c>
      <c r="C13" s="6" t="e">
        <f>VLOOKUP(A13,'BSE ALL CAP'!$B$4:$Y$1038,2,)</f>
        <v>#N/A</v>
      </c>
      <c r="D13" s="6" t="e">
        <f>VLOOKUP(A13,'BSE ALL CAP'!$B$4:$Y$1038,3,)</f>
        <v>#N/A</v>
      </c>
      <c r="E13" s="101">
        <f ca="1">IFERROR(__xludf.DUMMYFUNCTION("GOOGLEFINANCE(""BOM:""&amp;A13,""PRICE"")"),3.26)</f>
        <v>3.26</v>
      </c>
      <c r="F13" s="112">
        <f ca="1">IFERROR(__xludf.DUMMYFUNCTION("GOOGLEFINANCE(""BOM:""&amp;A13,""MARKETCAP"")/10000000"),59.5824008)</f>
        <v>59.582400800000002</v>
      </c>
      <c r="G13" s="95">
        <f t="shared" ca="1" si="0"/>
        <v>6.5068033190048295E-4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541546</v>
      </c>
      <c r="B14" s="98" t="s">
        <v>1999</v>
      </c>
      <c r="C14" s="6" t="e">
        <f>VLOOKUP(A14,'BSE ALL CAP'!$B$4:$Y$1038,2,)</f>
        <v>#N/A</v>
      </c>
      <c r="D14" s="6" t="e">
        <f>VLOOKUP(A14,'BSE ALL CAP'!$B$4:$Y$1038,3,)</f>
        <v>#N/A</v>
      </c>
      <c r="E14" s="101">
        <f ca="1">IFERROR(__xludf.DUMMYFUNCTION("GOOGLEFINANCE(""BOM:""&amp;A14,""PRICE"")"),2.09)</f>
        <v>2.09</v>
      </c>
      <c r="F14" s="112">
        <f ca="1">IFERROR(__xludf.DUMMYFUNCTION("GOOGLEFINANCE(""BOM:""&amp;A14,""MARKETCAP"")/10000000"),51.0458574)</f>
        <v>51.045857400000003</v>
      </c>
      <c r="G14" s="95">
        <f t="shared" ca="1" si="0"/>
        <v>5.5745547324734062E-4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539126</v>
      </c>
      <c r="B15" s="98" t="s">
        <v>2000</v>
      </c>
      <c r="C15" s="6" t="e">
        <f>VLOOKUP(A15,'BSE ALL CAP'!$B$4:$Y$1038,2,)</f>
        <v>#N/A</v>
      </c>
      <c r="D15" s="6" t="e">
        <f>VLOOKUP(A15,'BSE ALL CAP'!$B$4:$Y$1038,3,)</f>
        <v>#N/A</v>
      </c>
      <c r="E15" s="101">
        <f ca="1">IFERROR(__xludf.DUMMYFUNCTION("GOOGLEFINANCE(""BOM:""&amp;A15,""PRICE"")"),0.85)</f>
        <v>0.85</v>
      </c>
      <c r="F15" s="112">
        <f ca="1">IFERROR(__xludf.DUMMYFUNCTION("GOOGLEFINANCE(""BOM:""&amp;A15,""MARKETCAP"")/10000000"),15.2302834)</f>
        <v>15.230283399999999</v>
      </c>
      <c r="G15" s="95">
        <f t="shared" ca="1" si="0"/>
        <v>1.6632505109882069E-4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>
      <c r="A16" s="101"/>
      <c r="B16" s="101"/>
      <c r="C16" s="101"/>
      <c r="D16" s="101"/>
      <c r="E16" s="101"/>
      <c r="F16" s="101"/>
      <c r="G16" s="95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>
      <c r="A17" s="101"/>
      <c r="B17" s="101"/>
      <c r="C17" s="101"/>
      <c r="D17" s="101"/>
      <c r="E17" s="101"/>
      <c r="F17" s="112">
        <f ca="1">SUM(F2:F15)</f>
        <v>91569.389574099987</v>
      </c>
      <c r="G17" s="95">
        <f ca="1">F17/$F$17</f>
        <v>1</v>
      </c>
      <c r="H17" s="101"/>
      <c r="I17" s="101"/>
      <c r="J17" s="101"/>
      <c r="K17" s="101"/>
      <c r="L17" s="101"/>
      <c r="M17" s="101"/>
      <c r="N17" s="101"/>
      <c r="O17" s="101"/>
      <c r="P17" s="95" t="e">
        <f t="shared" ref="P17:Q17" si="1">J17/H17</f>
        <v>#DIV/0!</v>
      </c>
      <c r="Q17" s="95" t="e">
        <f t="shared" si="1"/>
        <v>#DIV/0!</v>
      </c>
      <c r="R17" s="101" t="e">
        <f>P17-Q17</f>
        <v>#DIV/0!</v>
      </c>
      <c r="S17" s="95" t="e">
        <f t="shared" ref="S17:T17" si="2">N17/L17</f>
        <v>#DIV/0!</v>
      </c>
      <c r="T17" s="95" t="e">
        <f t="shared" si="2"/>
        <v>#DIV/0!</v>
      </c>
      <c r="U17" s="101" t="e">
        <f>S17-T17</f>
        <v>#DIV/0!</v>
      </c>
      <c r="V17" s="95" t="e">
        <f>(H17/I17)-1</f>
        <v>#DIV/0!</v>
      </c>
      <c r="W17" s="95" t="e">
        <f>(J17/K17)-1</f>
        <v>#DIV/0!</v>
      </c>
      <c r="X17" s="95" t="e">
        <f>(L17/M17)-1</f>
        <v>#DIV/0!</v>
      </c>
      <c r="Y17" s="95" t="e">
        <f>(N17/O17)-1</f>
        <v>#DIV/0!</v>
      </c>
    </row>
    <row r="18" spans="1:25">
      <c r="G18" s="50"/>
    </row>
    <row r="19" spans="1:25">
      <c r="G19" s="50"/>
    </row>
    <row r="20" spans="1:25">
      <c r="G20" s="50"/>
    </row>
    <row r="21" spans="1:25">
      <c r="G21" s="50"/>
    </row>
    <row r="22" spans="1:25">
      <c r="G22" s="50"/>
    </row>
    <row r="23" spans="1:25">
      <c r="G23" s="50"/>
    </row>
    <row r="24" spans="1:25">
      <c r="G24" s="50"/>
    </row>
    <row r="25" spans="1:25" ht="13.2">
      <c r="G25" s="50"/>
    </row>
    <row r="26" spans="1:25" ht="13.2">
      <c r="G26" s="50"/>
    </row>
    <row r="27" spans="1:25" ht="13.2">
      <c r="G27" s="50"/>
    </row>
    <row r="28" spans="1:25" ht="13.2">
      <c r="G28" s="50"/>
    </row>
    <row r="29" spans="1:25" ht="13.2">
      <c r="G29" s="50"/>
    </row>
    <row r="30" spans="1:25" ht="13.2">
      <c r="G30" s="50"/>
    </row>
    <row r="31" spans="1:25" ht="13.2">
      <c r="G31" s="50"/>
    </row>
    <row r="32" spans="1:25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15" xr:uid="{00000000-0009-0000-0000-00002E000000}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533155</v>
      </c>
      <c r="B2" s="98" t="s">
        <v>125</v>
      </c>
      <c r="C2" s="6" t="str">
        <f>VLOOKUP(A2,'BSE ALL CAP'!$B$4:$Y$1038,2,)</f>
        <v>Consumer Discretionary</v>
      </c>
      <c r="D2" s="6" t="str">
        <f>VLOOKUP(A2,'BSE ALL CAP'!$B$4:$Y$1038,3,)</f>
        <v>Restaurants</v>
      </c>
      <c r="E2" s="101">
        <f ca="1">IFERROR(__xludf.DUMMYFUNCTION("GOOGLEFINANCE(""BOM:""&amp;A2,""PRICE"")"),461.15)</f>
        <v>461.15</v>
      </c>
      <c r="F2" s="112">
        <f ca="1">IFERROR(__xludf.DUMMYFUNCTION("GOOGLEFINANCE(""BOM:""&amp;A2,""MARKETCAP"")/10000000"),30350.0619213)</f>
        <v>30350.061921299999</v>
      </c>
      <c r="G2" s="95">
        <f t="shared" ref="G2:G14" ca="1" si="0">F2/$F$16</f>
        <v>0.38406143193277631</v>
      </c>
      <c r="H2" s="101">
        <f>VLOOKUP(A2,'BSE ALL CAP'!$B$4:$Y$1038,7,)</f>
        <v>7038</v>
      </c>
      <c r="I2" s="101">
        <f>VLOOKUP(A2,'BSE ALL CAP'!$B$4:$Y$1038,8,)</f>
        <v>6038</v>
      </c>
      <c r="J2" s="101">
        <f>VLOOKUP(A2,'BSE ALL CAP'!$B$4:$Y$1038,9,)</f>
        <v>361</v>
      </c>
      <c r="K2" s="101">
        <f>VLOOKUP(A2,'BSE ALL CAP'!$B$4:$Y$1038,10,)</f>
        <v>167</v>
      </c>
      <c r="L2" s="101">
        <f>VLOOKUP(A2,'BSE ALL CAP'!$B$4:$Y$1038,11,)</f>
        <v>2437</v>
      </c>
      <c r="M2" s="101">
        <f>VLOOKUP(A2,'BSE ALL CAP'!$B$4:$Y$1038,12,)</f>
        <v>2150</v>
      </c>
      <c r="N2" s="101">
        <f>VLOOKUP(A2,'BSE ALL CAP'!$B$4:$Y$1038,13,)</f>
        <v>72</v>
      </c>
      <c r="O2" s="101">
        <f>VLOOKUP(A2,'BSE ALL CAP'!$B$4:$Y$1038,14,)</f>
        <v>43</v>
      </c>
      <c r="P2" s="95">
        <f>VLOOKUP(A2,'BSE ALL CAP'!$B$4:$Y$1038,15,)</f>
        <v>5.129298096050014E-2</v>
      </c>
      <c r="Q2" s="95">
        <f>VLOOKUP(A2,'BSE ALL CAP'!$B$4:$Y$1038,16,)</f>
        <v>2.7658164955283206E-2</v>
      </c>
      <c r="R2" s="95">
        <f>VLOOKUP(A2,'BSE ALL CAP'!$B$4:$Y$1038,17,)</f>
        <v>2.3634816005216934E-2</v>
      </c>
      <c r="S2" s="95">
        <f>VLOOKUP(A2,'BSE ALL CAP'!$B$4:$Y$1038,18,)</f>
        <v>2.9544521953221173E-2</v>
      </c>
      <c r="T2" s="95">
        <f>VLOOKUP(A2,'BSE ALL CAP'!$B$4:$Y$1038,19,)</f>
        <v>0.02</v>
      </c>
      <c r="U2" s="95">
        <f>VLOOKUP(A2,'BSE ALL CAP'!$B$4:$Y$1038,20,)</f>
        <v>9.5445219532211724E-3</v>
      </c>
      <c r="V2" s="95">
        <f>VLOOKUP(A2,'BSE ALL CAP'!$B$4:$Y$1038,21,)</f>
        <v>0.16561775422325264</v>
      </c>
      <c r="W2" s="95">
        <f>VLOOKUP(A2,'BSE ALL CAP'!$B$4:$Y$1038,22,)</f>
        <v>1.1616766467065869</v>
      </c>
      <c r="X2" s="95">
        <f>VLOOKUP(A2,'BSE ALL CAP'!$B$4:$Y$1038,23,)</f>
        <v>0.13348837209302333</v>
      </c>
      <c r="Y2" s="95">
        <f>VLOOKUP(A2,'BSE ALL CAP'!$B$4:$Y$1038,24,)</f>
        <v>0.67441860465116288</v>
      </c>
    </row>
    <row r="3" spans="1:25" ht="15.75" customHeight="1">
      <c r="A3" s="99">
        <v>544443</v>
      </c>
      <c r="B3" s="98" t="s">
        <v>2001</v>
      </c>
      <c r="C3" s="6" t="e">
        <f>VLOOKUP(A3,'BSE ALL CAP'!$B$4:$Y$1038,2,)</f>
        <v>#N/A</v>
      </c>
      <c r="D3" s="6" t="e">
        <f>VLOOKUP(A3,'BSE ALL CAP'!$B$4:$Y$1038,3,)</f>
        <v>#N/A</v>
      </c>
      <c r="E3" s="101">
        <f ca="1">IFERROR(__xludf.DUMMYFUNCTION("GOOGLEFINANCE(""BOM:""&amp;A3,""PRICE"")"),1268.65)</f>
        <v>1268.6500000000001</v>
      </c>
      <c r="F3" s="112">
        <f ca="1">IFERROR(__xludf.DUMMYFUNCTION("GOOGLEFINANCE(""BOM:""&amp;A3,""MARKETCAP"")/10000000"),16735.1479764)</f>
        <v>16735.1479764</v>
      </c>
      <c r="G3" s="95">
        <f t="shared" ca="1" si="0"/>
        <v>0.21177304059838911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543330</v>
      </c>
      <c r="B4" s="98" t="s">
        <v>2002</v>
      </c>
      <c r="C4" s="6" t="str">
        <f>VLOOKUP(A4,'BSE ALL CAP'!$B$4:$Y$1038,2,)</f>
        <v>Consumer Discretionary</v>
      </c>
      <c r="D4" s="6" t="str">
        <f>VLOOKUP(A4,'BSE ALL CAP'!$B$4:$Y$1038,3,)</f>
        <v>Restaurants</v>
      </c>
      <c r="E4" s="101">
        <f ca="1">IFERROR(__xludf.DUMMYFUNCTION("GOOGLEFINANCE(""BOM:""&amp;A4,""PRICE"")"),99.74)</f>
        <v>99.74</v>
      </c>
      <c r="F4" s="112">
        <f ca="1">IFERROR(__xludf.DUMMYFUNCTION("GOOGLEFINANCE(""BOM:""&amp;A4,""MARKETCAP"")/10000000"),12301.0319891)</f>
        <v>12301.0319891</v>
      </c>
      <c r="G4" s="95">
        <f t="shared" ca="1" si="0"/>
        <v>0.15566202046754418</v>
      </c>
      <c r="H4" s="101">
        <f>VLOOKUP(A4,'BSE ALL CAP'!$B$4:$Y$1038,7,)</f>
        <v>4174</v>
      </c>
      <c r="I4" s="101">
        <f>VLOOKUP(A4,'BSE ALL CAP'!$B$4:$Y$1038,8,)</f>
        <v>3738</v>
      </c>
      <c r="J4" s="101">
        <f>VLOOKUP(A4,'BSE ALL CAP'!$B$4:$Y$1038,9,)</f>
        <v>-32</v>
      </c>
      <c r="K4" s="101">
        <f>VLOOKUP(A4,'BSE ALL CAP'!$B$4:$Y$1038,10,)</f>
        <v>9</v>
      </c>
      <c r="L4" s="101">
        <f>VLOOKUP(A4,'BSE ALL CAP'!$B$4:$Y$1038,11,)</f>
        <v>1440</v>
      </c>
      <c r="M4" s="101">
        <f>VLOOKUP(A4,'BSE ALL CAP'!$B$4:$Y$1038,12,)</f>
        <v>1294</v>
      </c>
      <c r="N4" s="101">
        <f>VLOOKUP(A4,'BSE ALL CAP'!$B$4:$Y$1038,13,)</f>
        <v>-10</v>
      </c>
      <c r="O4" s="101">
        <f>VLOOKUP(A4,'BSE ALL CAP'!$B$4:$Y$1038,14,)</f>
        <v>-7</v>
      </c>
      <c r="P4" s="95">
        <f>VLOOKUP(A4,'BSE ALL CAP'!$B$4:$Y$1038,15,)</f>
        <v>-7.6665069477719217E-3</v>
      </c>
      <c r="Q4" s="95">
        <f>VLOOKUP(A4,'BSE ALL CAP'!$B$4:$Y$1038,16,)</f>
        <v>2.407704654895666E-3</v>
      </c>
      <c r="R4" s="95">
        <f>VLOOKUP(A4,'BSE ALL CAP'!$B$4:$Y$1038,17,)</f>
        <v>-1.0074211602667587E-2</v>
      </c>
      <c r="S4" s="95">
        <f>VLOOKUP(A4,'BSE ALL CAP'!$B$4:$Y$1038,18,)</f>
        <v>-6.9444444444444441E-3</v>
      </c>
      <c r="T4" s="95">
        <f>VLOOKUP(A4,'BSE ALL CAP'!$B$4:$Y$1038,19,)</f>
        <v>-5.4095826893353939E-3</v>
      </c>
      <c r="U4" s="95">
        <f>VLOOKUP(A4,'BSE ALL CAP'!$B$4:$Y$1038,20,)</f>
        <v>-1.5348617551090502E-3</v>
      </c>
      <c r="V4" s="95">
        <f>VLOOKUP(A4,'BSE ALL CAP'!$B$4:$Y$1038,21,)</f>
        <v>0.11663991439272348</v>
      </c>
      <c r="W4" s="95">
        <f>VLOOKUP(A4,'BSE ALL CAP'!$B$4:$Y$1038,22,)</f>
        <v>-4.5555555555555554</v>
      </c>
      <c r="X4" s="95">
        <f>VLOOKUP(A4,'BSE ALL CAP'!$B$4:$Y$1038,23,)</f>
        <v>0.1128284389489953</v>
      </c>
      <c r="Y4" s="95">
        <f>VLOOKUP(A4,'BSE ALL CAP'!$B$4:$Y$1038,24,)</f>
        <v>0.4285714285714286</v>
      </c>
    </row>
    <row r="5" spans="1:25" ht="15.75" customHeight="1">
      <c r="A5" s="99">
        <v>505533</v>
      </c>
      <c r="B5" s="98" t="s">
        <v>2003</v>
      </c>
      <c r="C5" s="6" t="str">
        <f>VLOOKUP(A5,'BSE ALL CAP'!$B$4:$Y$1038,2,)</f>
        <v>Consumer Discretionary</v>
      </c>
      <c r="D5" s="6" t="str">
        <f>VLOOKUP(A5,'BSE ALL CAP'!$B$4:$Y$1038,3,)</f>
        <v>Restaurants</v>
      </c>
      <c r="E5" s="101">
        <f ca="1">IFERROR(__xludf.DUMMYFUNCTION("GOOGLEFINANCE(""BOM:""&amp;A5,""PRICE"")"),461.85)</f>
        <v>461.85</v>
      </c>
      <c r="F5" s="112">
        <f ca="1">IFERROR(__xludf.DUMMYFUNCTION("GOOGLEFINANCE(""BOM:""&amp;A5,""MARKETCAP"")/10000000"),7160.8764142)</f>
        <v>7160.8764142</v>
      </c>
      <c r="G5" s="95">
        <f t="shared" ca="1" si="0"/>
        <v>9.0616502090269724E-2</v>
      </c>
      <c r="H5" s="101">
        <f>VLOOKUP(A5,'BSE ALL CAP'!$B$4:$Y$1038,7,)</f>
        <v>1995</v>
      </c>
      <c r="I5" s="101">
        <f>VLOOKUP(A5,'BSE ALL CAP'!$B$4:$Y$1038,8,)</f>
        <v>1902</v>
      </c>
      <c r="J5" s="101">
        <f>VLOOKUP(A5,'BSE ALL CAP'!$B$4:$Y$1038,9,)</f>
        <v>29</v>
      </c>
      <c r="K5" s="101">
        <f>VLOOKUP(A5,'BSE ALL CAP'!$B$4:$Y$1038,10,)</f>
        <v>10</v>
      </c>
      <c r="L5" s="101">
        <f>VLOOKUP(A5,'BSE ALL CAP'!$B$4:$Y$1038,11,)</f>
        <v>678</v>
      </c>
      <c r="M5" s="101">
        <f>VLOOKUP(A5,'BSE ALL CAP'!$B$4:$Y$1038,12,)</f>
        <v>656</v>
      </c>
      <c r="N5" s="101">
        <f>VLOOKUP(A5,'BSE ALL CAP'!$B$4:$Y$1038,13,)</f>
        <v>10</v>
      </c>
      <c r="O5" s="101">
        <f>VLOOKUP(A5,'BSE ALL CAP'!$B$4:$Y$1038,14,)</f>
        <v>70</v>
      </c>
      <c r="P5" s="95">
        <f>VLOOKUP(A5,'BSE ALL CAP'!$B$4:$Y$1038,15,)</f>
        <v>1.4536340852130326E-2</v>
      </c>
      <c r="Q5" s="95">
        <f>VLOOKUP(A5,'BSE ALL CAP'!$B$4:$Y$1038,16,)</f>
        <v>5.2576235541535229E-3</v>
      </c>
      <c r="R5" s="95">
        <f>VLOOKUP(A5,'BSE ALL CAP'!$B$4:$Y$1038,17,)</f>
        <v>9.2787172979768035E-3</v>
      </c>
      <c r="S5" s="95">
        <f>VLOOKUP(A5,'BSE ALL CAP'!$B$4:$Y$1038,18,)</f>
        <v>1.4749262536873156E-2</v>
      </c>
      <c r="T5" s="95">
        <f>VLOOKUP(A5,'BSE ALL CAP'!$B$4:$Y$1038,19,)</f>
        <v>0.10670731707317073</v>
      </c>
      <c r="U5" s="95">
        <f>VLOOKUP(A5,'BSE ALL CAP'!$B$4:$Y$1038,20,)</f>
        <v>-9.1958054536297573E-2</v>
      </c>
      <c r="V5" s="95">
        <f>VLOOKUP(A5,'BSE ALL CAP'!$B$4:$Y$1038,21,)</f>
        <v>4.8895899053627678E-2</v>
      </c>
      <c r="W5" s="95">
        <f>VLOOKUP(A5,'BSE ALL CAP'!$B$4:$Y$1038,22,)</f>
        <v>1.9</v>
      </c>
      <c r="X5" s="95">
        <f>VLOOKUP(A5,'BSE ALL CAP'!$B$4:$Y$1038,23,)</f>
        <v>3.3536585365853577E-2</v>
      </c>
      <c r="Y5" s="95">
        <f>VLOOKUP(A5,'BSE ALL CAP'!$B$4:$Y$1038,24,)</f>
        <v>-0.85714285714285721</v>
      </c>
    </row>
    <row r="6" spans="1:25" ht="15.75" customHeight="1">
      <c r="A6" s="99">
        <v>543397</v>
      </c>
      <c r="B6" s="98" t="s">
        <v>2004</v>
      </c>
      <c r="C6" s="6" t="str">
        <f>VLOOKUP(A6,'BSE ALL CAP'!$B$4:$Y$1038,2,)</f>
        <v>Consumer Discretionary</v>
      </c>
      <c r="D6" s="6" t="str">
        <f>VLOOKUP(A6,'BSE ALL CAP'!$B$4:$Y$1038,3,)</f>
        <v>Restaurants</v>
      </c>
      <c r="E6" s="101">
        <f ca="1">IFERROR(__xludf.DUMMYFUNCTION("GOOGLEFINANCE(""BOM:""&amp;A6,""PRICE"")"),157.15)</f>
        <v>157.15</v>
      </c>
      <c r="F6" s="112">
        <f ca="1">IFERROR(__xludf.DUMMYFUNCTION("GOOGLEFINANCE(""BOM:""&amp;A6,""MARKETCAP"")/10000000"),5046.7937437)</f>
        <v>5046.7937437000001</v>
      </c>
      <c r="G6" s="95">
        <f t="shared" ca="1" si="0"/>
        <v>6.3864081625299551E-2</v>
      </c>
      <c r="H6" s="101">
        <f>VLOOKUP(A6,'BSE ALL CAP'!$B$4:$Y$1038,7,)</f>
        <v>2333</v>
      </c>
      <c r="I6" s="101">
        <f>VLOOKUP(A6,'BSE ALL CAP'!$B$4:$Y$1038,8,)</f>
        <v>2170</v>
      </c>
      <c r="J6" s="101">
        <f>VLOOKUP(A6,'BSE ALL CAP'!$B$4:$Y$1038,9,)</f>
        <v>-19</v>
      </c>
      <c r="K6" s="101">
        <f>VLOOKUP(A6,'BSE ALL CAP'!$B$4:$Y$1038,10,)</f>
        <v>14</v>
      </c>
      <c r="L6" s="101">
        <f>VLOOKUP(A6,'BSE ALL CAP'!$B$4:$Y$1038,11,)</f>
        <v>813</v>
      </c>
      <c r="M6" s="101">
        <f>VLOOKUP(A6,'BSE ALL CAP'!$B$4:$Y$1038,12,)</f>
        <v>756</v>
      </c>
      <c r="N6" s="101">
        <f>VLOOKUP(A6,'BSE ALL CAP'!$B$4:$Y$1038,13,)</f>
        <v>-4</v>
      </c>
      <c r="O6" s="101">
        <f>VLOOKUP(A6,'BSE ALL CAP'!$B$4:$Y$1038,14,)</f>
        <v>12</v>
      </c>
      <c r="P6" s="95">
        <f>VLOOKUP(A6,'BSE ALL CAP'!$B$4:$Y$1038,15,)</f>
        <v>-8.144020574367767E-3</v>
      </c>
      <c r="Q6" s="95">
        <f>VLOOKUP(A6,'BSE ALL CAP'!$B$4:$Y$1038,16,)</f>
        <v>6.4516129032258064E-3</v>
      </c>
      <c r="R6" s="95">
        <f>VLOOKUP(A6,'BSE ALL CAP'!$B$4:$Y$1038,17,)</f>
        <v>-1.4595633477593573E-2</v>
      </c>
      <c r="S6" s="95">
        <f>VLOOKUP(A6,'BSE ALL CAP'!$B$4:$Y$1038,18,)</f>
        <v>-4.9200492004920051E-3</v>
      </c>
      <c r="T6" s="95">
        <f>VLOOKUP(A6,'BSE ALL CAP'!$B$4:$Y$1038,19,)</f>
        <v>1.5873015873015872E-2</v>
      </c>
      <c r="U6" s="95">
        <f>VLOOKUP(A6,'BSE ALL CAP'!$B$4:$Y$1038,20,)</f>
        <v>-2.0793065073507876E-2</v>
      </c>
      <c r="V6" s="95">
        <f>VLOOKUP(A6,'BSE ALL CAP'!$B$4:$Y$1038,21,)</f>
        <v>7.5115207373271931E-2</v>
      </c>
      <c r="W6" s="95">
        <f>VLOOKUP(A6,'BSE ALL CAP'!$B$4:$Y$1038,22,)</f>
        <v>-2.3571428571428572</v>
      </c>
      <c r="X6" s="95">
        <f>VLOOKUP(A6,'BSE ALL CAP'!$B$4:$Y$1038,23,)</f>
        <v>7.5396825396825351E-2</v>
      </c>
      <c r="Y6" s="95">
        <f>VLOOKUP(A6,'BSE ALL CAP'!$B$4:$Y$1038,24,)</f>
        <v>-1.3333333333333333</v>
      </c>
    </row>
    <row r="7" spans="1:25" ht="15.75" customHeight="1">
      <c r="A7" s="99">
        <v>543248</v>
      </c>
      <c r="B7" s="98" t="s">
        <v>2005</v>
      </c>
      <c r="C7" s="6" t="str">
        <f>VLOOKUP(A7,'BSE ALL CAP'!$B$4:$Y$1038,2,)</f>
        <v>Consumer Discretionary</v>
      </c>
      <c r="D7" s="6" t="str">
        <f>VLOOKUP(A7,'BSE ALL CAP'!$B$4:$Y$1038,3,)</f>
        <v>Restaurants</v>
      </c>
      <c r="E7" s="101">
        <f ca="1">IFERROR(__xludf.DUMMYFUNCTION("GOOGLEFINANCE(""BOM:""&amp;A7,""PRICE"")"),60.82)</f>
        <v>60.82</v>
      </c>
      <c r="F7" s="112">
        <f ca="1">IFERROR(__xludf.DUMMYFUNCTION("GOOGLEFINANCE(""BOM:""&amp;A7,""MARKETCAP"")/10000000"),3543.8878595)</f>
        <v>3543.8878595000001</v>
      </c>
      <c r="G7" s="95">
        <f t="shared" ca="1" si="0"/>
        <v>4.4845728798119447E-2</v>
      </c>
      <c r="H7" s="101">
        <f>VLOOKUP(A7,'BSE ALL CAP'!$B$4:$Y$1038,7,)</f>
        <v>2115</v>
      </c>
      <c r="I7" s="101">
        <f>VLOOKUP(A7,'BSE ALL CAP'!$B$4:$Y$1038,8,)</f>
        <v>1918</v>
      </c>
      <c r="J7" s="101">
        <f>VLOOKUP(A7,'BSE ALL CAP'!$B$4:$Y$1038,9,)</f>
        <v>-156</v>
      </c>
      <c r="K7" s="101">
        <f>VLOOKUP(A7,'BSE ALL CAP'!$B$4:$Y$1038,10,)</f>
        <v>-172</v>
      </c>
      <c r="L7" s="101">
        <f>VLOOKUP(A7,'BSE ALL CAP'!$B$4:$Y$1038,11,)</f>
        <v>714</v>
      </c>
      <c r="M7" s="101">
        <f>VLOOKUP(A7,'BSE ALL CAP'!$B$4:$Y$1038,12,)</f>
        <v>639</v>
      </c>
      <c r="N7" s="101">
        <f>VLOOKUP(A7,'BSE ALL CAP'!$B$4:$Y$1038,13,)</f>
        <v>-47</v>
      </c>
      <c r="O7" s="101">
        <f>VLOOKUP(A7,'BSE ALL CAP'!$B$4:$Y$1038,14,)</f>
        <v>-54</v>
      </c>
      <c r="P7" s="95">
        <f>VLOOKUP(A7,'BSE ALL CAP'!$B$4:$Y$1038,15,)</f>
        <v>-7.3758865248226946E-2</v>
      </c>
      <c r="Q7" s="95">
        <f>VLOOKUP(A7,'BSE ALL CAP'!$B$4:$Y$1038,16,)</f>
        <v>-8.9676746611053182E-2</v>
      </c>
      <c r="R7" s="95">
        <f>VLOOKUP(A7,'BSE ALL CAP'!$B$4:$Y$1038,17,)</f>
        <v>1.5917881362826236E-2</v>
      </c>
      <c r="S7" s="95">
        <f>VLOOKUP(A7,'BSE ALL CAP'!$B$4:$Y$1038,18,)</f>
        <v>-6.5826330532212887E-2</v>
      </c>
      <c r="T7" s="95">
        <f>VLOOKUP(A7,'BSE ALL CAP'!$B$4:$Y$1038,19,)</f>
        <v>-8.4507042253521125E-2</v>
      </c>
      <c r="U7" s="95">
        <f>VLOOKUP(A7,'BSE ALL CAP'!$B$4:$Y$1038,20,)</f>
        <v>1.8680711721308238E-2</v>
      </c>
      <c r="V7" s="95">
        <f>VLOOKUP(A7,'BSE ALL CAP'!$B$4:$Y$1038,21,)</f>
        <v>0.10271115745568293</v>
      </c>
      <c r="W7" s="95">
        <f>VLOOKUP(A7,'BSE ALL CAP'!$B$4:$Y$1038,22,)</f>
        <v>-9.3023255813953543E-2</v>
      </c>
      <c r="X7" s="95">
        <f>VLOOKUP(A7,'BSE ALL CAP'!$B$4:$Y$1038,23,)</f>
        <v>0.11737089201877926</v>
      </c>
      <c r="Y7" s="95">
        <f>VLOOKUP(A7,'BSE ALL CAP'!$B$4:$Y$1038,24,)</f>
        <v>-0.12962962962962965</v>
      </c>
    </row>
    <row r="8" spans="1:25" ht="15.75" customHeight="1">
      <c r="A8" s="99">
        <v>539895</v>
      </c>
      <c r="B8" s="98" t="s">
        <v>2006</v>
      </c>
      <c r="C8" s="6"/>
      <c r="D8" s="6"/>
      <c r="E8" s="101">
        <f ca="1">IFERROR(__xludf.DUMMYFUNCTION("GOOGLEFINANCE(""BOM:""&amp;A8,""PRICE"")"),27.82)</f>
        <v>27.82</v>
      </c>
      <c r="F8" s="112">
        <f ca="1">IFERROR(__xludf.DUMMYFUNCTION("GOOGLEFINANCE(""BOM:""&amp;A8,""MARKETCAP"")/10000000"),1847.375)</f>
        <v>1847.375</v>
      </c>
      <c r="G8" s="95">
        <f t="shared" ca="1" si="0"/>
        <v>2.3377398361051585E-2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543283</v>
      </c>
      <c r="B9" s="98" t="s">
        <v>2007</v>
      </c>
      <c r="C9" s="6"/>
      <c r="D9" s="6"/>
      <c r="E9" s="101">
        <f ca="1">IFERROR(__xludf.DUMMYFUNCTION("GOOGLEFINANCE(""BOM:""&amp;A9,""PRICE"")"),218.9)</f>
        <v>218.9</v>
      </c>
      <c r="F9" s="112">
        <f ca="1">IFERROR(__xludf.DUMMYFUNCTION("GOOGLEFINANCE(""BOM:""&amp;A9,""MARKETCAP"")/10000000"),863.808998)</f>
        <v>863.80899799999997</v>
      </c>
      <c r="G9" s="95">
        <f t="shared" ca="1" si="0"/>
        <v>1.0930973437502841E-2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539436</v>
      </c>
      <c r="B10" s="98" t="s">
        <v>2008</v>
      </c>
      <c r="C10" s="6"/>
      <c r="D10" s="6"/>
      <c r="E10" s="101">
        <f ca="1">IFERROR(__xludf.DUMMYFUNCTION("GOOGLEFINANCE(""BOM:""&amp;A10,""PRICE"")"),23.5)</f>
        <v>23.5</v>
      </c>
      <c r="F10" s="112">
        <f ca="1">IFERROR(__xludf.DUMMYFUNCTION("GOOGLEFINANCE(""BOM:""&amp;A10,""MARKETCAP"")/10000000"),497.4977373)</f>
        <v>497.49773729999998</v>
      </c>
      <c r="G10" s="95">
        <f t="shared" ca="1" si="0"/>
        <v>6.2955289470648301E-3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534425</v>
      </c>
      <c r="B11" s="98" t="s">
        <v>2009</v>
      </c>
      <c r="C11" s="6"/>
      <c r="D11" s="6"/>
      <c r="E11" s="101">
        <f ca="1">IFERROR(__xludf.DUMMYFUNCTION("GOOGLEFINANCE(""BOM:""&amp;A11,""PRICE"")"),94.75)</f>
        <v>94.75</v>
      </c>
      <c r="F11" s="112">
        <f ca="1">IFERROR(__xludf.DUMMYFUNCTION("GOOGLEFINANCE(""BOM:""&amp;A11,""MARKETCAP"")/10000000"),456.7915907)</f>
        <v>456.79159069999997</v>
      </c>
      <c r="G11" s="95">
        <f t="shared" ca="1" si="0"/>
        <v>5.7804176108111919E-3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506134</v>
      </c>
      <c r="B12" s="98" t="s">
        <v>2010</v>
      </c>
      <c r="C12" s="6"/>
      <c r="D12" s="6"/>
      <c r="E12" s="101">
        <f ca="1">IFERROR(__xludf.DUMMYFUNCTION("GOOGLEFINANCE(""BOM:""&amp;A12,""PRICE"")"),7.9)</f>
        <v>7.9</v>
      </c>
      <c r="F12" s="112">
        <f ca="1">IFERROR(__xludf.DUMMYFUNCTION("GOOGLEFINANCE(""BOM:""&amp;A12,""MARKETCAP"")/10000000"),119.5331634)</f>
        <v>119.53316340000001</v>
      </c>
      <c r="G12" s="95">
        <f t="shared" ca="1" si="0"/>
        <v>1.512618920445752E-3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539659</v>
      </c>
      <c r="B13" s="98" t="s">
        <v>2011</v>
      </c>
      <c r="C13" s="6"/>
      <c r="D13" s="6"/>
      <c r="E13" s="101">
        <f ca="1">IFERROR(__xludf.DUMMYFUNCTION("GOOGLEFINANCE(""BOM:""&amp;A13,""PRICE"")"),38.73)</f>
        <v>38.729999999999997</v>
      </c>
      <c r="F13" s="112">
        <f ca="1">IFERROR(__xludf.DUMMYFUNCTION("GOOGLEFINANCE(""BOM:""&amp;A13,""MARKETCAP"")/10000000"),66.9636269)</f>
        <v>66.963626899999994</v>
      </c>
      <c r="G13" s="95">
        <f t="shared" ca="1" si="0"/>
        <v>8.4738365612944293E-4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539273</v>
      </c>
      <c r="B14" s="98" t="s">
        <v>2012</v>
      </c>
      <c r="C14" s="6"/>
      <c r="D14" s="6"/>
      <c r="E14" s="101">
        <f ca="1">IFERROR(__xludf.DUMMYFUNCTION("GOOGLEFINANCE(""BOM:""&amp;A14,""PRICE"")"),261.15)</f>
        <v>261.14999999999998</v>
      </c>
      <c r="F14" s="112">
        <f ca="1">IFERROR(__xludf.DUMMYFUNCTION("GOOGLEFINANCE(""BOM:""&amp;A14,""MARKETCAP"")/10000000"),34.20739)</f>
        <v>34.207389999999997</v>
      </c>
      <c r="G14" s="95">
        <f t="shared" ca="1" si="0"/>
        <v>4.3287355459603616E-4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>
      <c r="A15" s="101"/>
      <c r="B15" s="101"/>
      <c r="C15" s="101"/>
      <c r="D15" s="101"/>
      <c r="E15" s="101"/>
      <c r="F15" s="101"/>
      <c r="G15" s="95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>
      <c r="A16" s="101"/>
      <c r="B16" s="101"/>
      <c r="C16" s="101"/>
      <c r="D16" s="101"/>
      <c r="E16" s="101"/>
      <c r="F16" s="112">
        <f ca="1">SUM(F2:F14)</f>
        <v>79023.977410499996</v>
      </c>
      <c r="G16" s="95">
        <f ca="1">F16/$F$16</f>
        <v>1</v>
      </c>
      <c r="H16" s="101">
        <f t="shared" ref="H16:O16" si="1">SUM(H2:H14)</f>
        <v>17655</v>
      </c>
      <c r="I16" s="101">
        <f t="shared" si="1"/>
        <v>15766</v>
      </c>
      <c r="J16" s="101">
        <f t="shared" si="1"/>
        <v>183</v>
      </c>
      <c r="K16" s="101">
        <f t="shared" si="1"/>
        <v>28</v>
      </c>
      <c r="L16" s="101">
        <f t="shared" si="1"/>
        <v>6082</v>
      </c>
      <c r="M16" s="101">
        <f t="shared" si="1"/>
        <v>5495</v>
      </c>
      <c r="N16" s="101">
        <f t="shared" si="1"/>
        <v>21</v>
      </c>
      <c r="O16" s="101">
        <f t="shared" si="1"/>
        <v>64</v>
      </c>
      <c r="P16" s="95">
        <f t="shared" ref="P16:Q16" si="2">J16/H16</f>
        <v>1.0365335598980459E-2</v>
      </c>
      <c r="Q16" s="95">
        <f t="shared" si="2"/>
        <v>1.7759736141063048E-3</v>
      </c>
      <c r="R16" s="95">
        <f>P16-Q16</f>
        <v>8.5893619848741547E-3</v>
      </c>
      <c r="S16" s="95">
        <f t="shared" ref="S16:T16" si="3">N16/L16</f>
        <v>3.4528115751397566E-3</v>
      </c>
      <c r="T16" s="95">
        <f t="shared" si="3"/>
        <v>1.164695177434031E-2</v>
      </c>
      <c r="U16" s="95">
        <f>S16-T16</f>
        <v>-8.1941401992005527E-3</v>
      </c>
      <c r="V16" s="95">
        <f>(H16/I16)-1</f>
        <v>0.11981479132310024</v>
      </c>
      <c r="W16" s="95">
        <f>(J16/K16)-1</f>
        <v>5.5357142857142856</v>
      </c>
      <c r="X16" s="95">
        <f>(L16/M16)-1</f>
        <v>0.10682438580527753</v>
      </c>
      <c r="Y16" s="95">
        <f>(N16/O16)-1</f>
        <v>-0.671875</v>
      </c>
    </row>
    <row r="17" spans="7:7">
      <c r="G17" s="50"/>
    </row>
    <row r="18" spans="7:7">
      <c r="G18" s="50"/>
    </row>
    <row r="19" spans="7:7">
      <c r="G19" s="50"/>
    </row>
    <row r="20" spans="7:7">
      <c r="G20" s="50"/>
    </row>
    <row r="21" spans="7:7">
      <c r="G21" s="50"/>
    </row>
    <row r="22" spans="7:7">
      <c r="G22" s="50"/>
    </row>
    <row r="23" spans="7:7">
      <c r="G23" s="50"/>
    </row>
    <row r="24" spans="7:7">
      <c r="G24" s="50"/>
    </row>
    <row r="25" spans="7:7" ht="13.2">
      <c r="G25" s="50"/>
    </row>
    <row r="26" spans="7:7" ht="13.2">
      <c r="G26" s="50"/>
    </row>
    <row r="27" spans="7:7" ht="13.2">
      <c r="G27" s="50"/>
    </row>
    <row r="28" spans="7:7" ht="13.2">
      <c r="G28" s="50"/>
    </row>
    <row r="29" spans="7:7" ht="13.2">
      <c r="G29" s="50"/>
    </row>
    <row r="30" spans="7:7" ht="13.2">
      <c r="G30" s="50"/>
    </row>
    <row r="31" spans="7:7" ht="13.2">
      <c r="G31" s="50"/>
    </row>
    <row r="32" spans="7:7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14" xr:uid="{00000000-0009-0000-0000-00002F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V199"/>
  <sheetViews>
    <sheetView workbookViewId="0">
      <selection activeCell="E24" sqref="E24"/>
    </sheetView>
  </sheetViews>
  <sheetFormatPr defaultColWidth="12.6640625" defaultRowHeight="15.75" customHeight="1"/>
  <cols>
    <col min="1" max="1" width="32.21875" customWidth="1"/>
  </cols>
  <sheetData>
    <row r="1" spans="1:22" ht="15.75" customHeight="1">
      <c r="A1" s="129" t="s">
        <v>1338</v>
      </c>
      <c r="B1" s="130" t="s">
        <v>1339</v>
      </c>
      <c r="C1" s="131" t="s">
        <v>147</v>
      </c>
      <c r="D1" s="132" t="s">
        <v>148</v>
      </c>
      <c r="E1" s="131" t="s">
        <v>1340</v>
      </c>
      <c r="F1" s="131" t="s">
        <v>1341</v>
      </c>
      <c r="G1" s="131" t="s">
        <v>1342</v>
      </c>
      <c r="H1" s="131" t="s">
        <v>1343</v>
      </c>
      <c r="I1" s="133" t="s">
        <v>1344</v>
      </c>
      <c r="J1" s="133" t="s">
        <v>1345</v>
      </c>
      <c r="K1" s="131" t="s">
        <v>1346</v>
      </c>
      <c r="L1" s="131" t="s">
        <v>1347</v>
      </c>
      <c r="M1" s="131" t="s">
        <v>1348</v>
      </c>
      <c r="N1" s="131" t="s">
        <v>1349</v>
      </c>
      <c r="O1" s="134" t="s">
        <v>1350</v>
      </c>
      <c r="P1" s="131" t="s">
        <v>1351</v>
      </c>
      <c r="Q1" s="131" t="s">
        <v>1352</v>
      </c>
      <c r="R1" s="134" t="s">
        <v>1353</v>
      </c>
      <c r="S1" s="133" t="s">
        <v>1354</v>
      </c>
      <c r="T1" s="133" t="s">
        <v>1355</v>
      </c>
      <c r="U1" s="133" t="s">
        <v>1356</v>
      </c>
      <c r="V1" s="133" t="s">
        <v>1357</v>
      </c>
    </row>
    <row r="2" spans="1:22">
      <c r="A2" s="135" t="s">
        <v>82</v>
      </c>
      <c r="B2" s="136">
        <v>10</v>
      </c>
      <c r="C2" s="94">
        <v>749493.55053010001</v>
      </c>
      <c r="D2" s="50">
        <v>1</v>
      </c>
      <c r="E2" s="70">
        <v>140362</v>
      </c>
      <c r="F2" s="70">
        <v>117194</v>
      </c>
      <c r="G2" s="70">
        <v>17330</v>
      </c>
      <c r="H2" s="70">
        <v>13207</v>
      </c>
      <c r="I2" s="70">
        <v>50503</v>
      </c>
      <c r="J2" s="70">
        <v>40136</v>
      </c>
      <c r="K2" s="70">
        <v>6253</v>
      </c>
      <c r="L2" s="70">
        <v>4886</v>
      </c>
      <c r="M2" s="50">
        <v>0.12346646528262635</v>
      </c>
      <c r="N2" s="50">
        <v>0.11269348260149838</v>
      </c>
      <c r="O2" s="50">
        <v>1.0772982681127974E-2</v>
      </c>
      <c r="P2" s="50">
        <v>0.12381442686573074</v>
      </c>
      <c r="Q2" s="50">
        <v>0.12173609726928443</v>
      </c>
      <c r="R2" s="50">
        <v>2.0783295964463128E-3</v>
      </c>
      <c r="S2" s="50">
        <v>0.19768930150007669</v>
      </c>
      <c r="T2" s="50">
        <v>0.31218293329295066</v>
      </c>
      <c r="U2" s="50">
        <v>0.25829679091090285</v>
      </c>
      <c r="V2" s="50">
        <v>0.2797789602947196</v>
      </c>
    </row>
    <row r="3" spans="1:22">
      <c r="A3" s="135" t="s">
        <v>524</v>
      </c>
      <c r="B3" s="136">
        <v>7</v>
      </c>
      <c r="C3" s="94">
        <v>67770.406430000003</v>
      </c>
      <c r="D3" s="50">
        <v>1</v>
      </c>
      <c r="E3" s="70">
        <v>8416</v>
      </c>
      <c r="F3" s="70">
        <v>8013</v>
      </c>
      <c r="G3" s="70">
        <v>760</v>
      </c>
      <c r="H3" s="70">
        <v>817</v>
      </c>
      <c r="I3" s="70">
        <v>2818</v>
      </c>
      <c r="J3" s="70">
        <v>2637</v>
      </c>
      <c r="K3" s="70">
        <v>242</v>
      </c>
      <c r="L3" s="70">
        <v>202</v>
      </c>
      <c r="M3" s="50">
        <v>9.0304182509505698E-2</v>
      </c>
      <c r="N3" s="50">
        <v>0.1019593161113191</v>
      </c>
      <c r="O3" s="50">
        <v>-1.1655133601813403E-2</v>
      </c>
      <c r="P3" s="50">
        <v>8.5876508161816897E-2</v>
      </c>
      <c r="Q3" s="50">
        <v>7.6602199469093663E-2</v>
      </c>
      <c r="R3" s="50">
        <v>9.2743086927232349E-3</v>
      </c>
      <c r="S3" s="50">
        <v>5.0293273430675134E-2</v>
      </c>
      <c r="T3" s="50">
        <v>-6.9767441860465129E-2</v>
      </c>
      <c r="U3" s="50">
        <v>6.8638604474781983E-2</v>
      </c>
      <c r="V3" s="50">
        <v>0.19801980198019797</v>
      </c>
    </row>
    <row r="4" spans="1:22">
      <c r="A4" s="135" t="s">
        <v>1358</v>
      </c>
      <c r="B4" s="136">
        <v>10</v>
      </c>
    </row>
    <row r="5" spans="1:22">
      <c r="A5" s="135" t="s">
        <v>204</v>
      </c>
      <c r="B5" s="136">
        <v>23</v>
      </c>
      <c r="C5" s="94">
        <v>721464.37268890045</v>
      </c>
      <c r="D5" s="50">
        <v>1</v>
      </c>
      <c r="E5" s="94">
        <v>49001</v>
      </c>
      <c r="F5" s="94">
        <v>41690</v>
      </c>
      <c r="G5" s="94">
        <v>10283</v>
      </c>
      <c r="H5" s="94">
        <v>8847</v>
      </c>
      <c r="I5" s="94">
        <v>19447</v>
      </c>
      <c r="J5" s="94">
        <v>16494</v>
      </c>
      <c r="K5" s="94">
        <v>3987</v>
      </c>
      <c r="L5" s="94">
        <v>3259</v>
      </c>
      <c r="M5" s="50">
        <v>0.20985286014571131</v>
      </c>
      <c r="N5" s="50">
        <v>0.21220916286879349</v>
      </c>
      <c r="O5" s="50">
        <v>-2.356302723082182E-3</v>
      </c>
      <c r="P5" s="50">
        <v>0.20501876896179358</v>
      </c>
      <c r="Q5" s="50">
        <v>0.19758700133381835</v>
      </c>
      <c r="R5" s="50">
        <v>7.4317676279752332E-3</v>
      </c>
      <c r="S5" s="50">
        <v>0.1753657951547134</v>
      </c>
      <c r="T5" s="50">
        <v>0.16231490900870349</v>
      </c>
      <c r="U5" s="50">
        <v>0.17903480053352738</v>
      </c>
      <c r="V5" s="50">
        <v>0.22338140533906103</v>
      </c>
    </row>
    <row r="6" spans="1:22">
      <c r="A6" s="135" t="s">
        <v>135</v>
      </c>
      <c r="B6" s="136">
        <v>4</v>
      </c>
      <c r="C6" s="94">
        <v>162097.26828289998</v>
      </c>
      <c r="D6" s="50">
        <v>1</v>
      </c>
      <c r="E6" s="70">
        <v>65843</v>
      </c>
      <c r="F6" s="70">
        <v>62511</v>
      </c>
      <c r="G6" s="70">
        <v>32</v>
      </c>
      <c r="H6" s="70">
        <v>4163</v>
      </c>
      <c r="I6" s="70">
        <v>24816</v>
      </c>
      <c r="J6" s="70">
        <v>23288</v>
      </c>
      <c r="K6" s="70">
        <v>288</v>
      </c>
      <c r="L6" s="70">
        <v>2468</v>
      </c>
      <c r="M6" s="50">
        <v>4.8600458666828671E-4</v>
      </c>
      <c r="N6" s="50">
        <v>6.659627905488634E-2</v>
      </c>
      <c r="O6" s="50">
        <v>-6.6110274468218058E-2</v>
      </c>
      <c r="P6" s="50">
        <v>1.160541586073501E-2</v>
      </c>
      <c r="Q6" s="50">
        <v>0.1059773273789076</v>
      </c>
      <c r="R6" s="50">
        <v>-9.4371911518172591E-2</v>
      </c>
      <c r="S6" s="50">
        <v>5.3302618739101915E-2</v>
      </c>
      <c r="T6" s="50">
        <v>-0.99231323564736973</v>
      </c>
      <c r="U6" s="50">
        <v>6.5613191343180999E-2</v>
      </c>
      <c r="V6" s="50">
        <v>-0.88330632090761751</v>
      </c>
    </row>
    <row r="7" spans="1:22">
      <c r="A7" s="135" t="s">
        <v>314</v>
      </c>
      <c r="B7" s="136">
        <v>2</v>
      </c>
      <c r="C7" s="94">
        <v>93435.838991600001</v>
      </c>
      <c r="D7" s="50">
        <v>1</v>
      </c>
      <c r="E7" s="70">
        <v>10869</v>
      </c>
      <c r="F7" s="70">
        <v>7551</v>
      </c>
      <c r="G7" s="70">
        <v>72</v>
      </c>
      <c r="H7" s="70">
        <v>-564</v>
      </c>
      <c r="I7" s="70">
        <v>3994</v>
      </c>
      <c r="J7" s="70">
        <v>2653</v>
      </c>
      <c r="K7" s="70">
        <v>174</v>
      </c>
      <c r="L7" s="70">
        <v>202</v>
      </c>
      <c r="M7" s="50">
        <v>6.6243444659122271E-3</v>
      </c>
      <c r="N7" s="50">
        <v>-7.4692093762415576E-2</v>
      </c>
      <c r="O7" s="50">
        <v>8.1316438228327806E-2</v>
      </c>
      <c r="P7" s="50">
        <v>4.3565348022033053E-2</v>
      </c>
      <c r="Q7" s="50">
        <v>7.6140218620429703E-2</v>
      </c>
      <c r="R7" s="50">
        <v>-3.2574870598396651E-2</v>
      </c>
      <c r="S7" s="50">
        <v>0.43941199841080647</v>
      </c>
      <c r="T7" s="50">
        <v>-1.1276595744680851</v>
      </c>
      <c r="U7" s="50">
        <v>0.50546551074255563</v>
      </c>
      <c r="V7" s="50">
        <v>-0.13861386138613863</v>
      </c>
    </row>
    <row r="8" spans="1:22">
      <c r="A8" s="135" t="s">
        <v>232</v>
      </c>
      <c r="B8" s="136">
        <v>11</v>
      </c>
      <c r="C8" s="94">
        <v>279228.06239860004</v>
      </c>
      <c r="D8" s="50">
        <v>1</v>
      </c>
      <c r="E8" s="70">
        <v>209641</v>
      </c>
      <c r="F8" s="70">
        <v>185126</v>
      </c>
      <c r="G8" s="70">
        <v>14869</v>
      </c>
      <c r="H8" s="70">
        <v>13919</v>
      </c>
      <c r="I8" s="70">
        <v>71252</v>
      </c>
      <c r="J8" s="70">
        <v>63052</v>
      </c>
      <c r="K8" s="70">
        <v>3644</v>
      </c>
      <c r="L8" s="70">
        <v>5301</v>
      </c>
      <c r="M8" s="50">
        <v>7.0926011610324316E-2</v>
      </c>
      <c r="N8" s="50">
        <v>7.5186629646835132E-2</v>
      </c>
      <c r="O8" s="50">
        <v>-4.2606180365108159E-3</v>
      </c>
      <c r="P8" s="50">
        <v>5.1142424072306743E-2</v>
      </c>
      <c r="Q8" s="50">
        <v>8.4073463173253829E-2</v>
      </c>
      <c r="R8" s="50">
        <v>-3.2931039100947086E-2</v>
      </c>
      <c r="S8" s="50">
        <v>0.13242332249386912</v>
      </c>
      <c r="T8" s="50">
        <v>6.8252029599827679E-2</v>
      </c>
      <c r="U8" s="50">
        <v>0.13005138615745726</v>
      </c>
      <c r="V8" s="50">
        <v>-0.31258253159781169</v>
      </c>
    </row>
    <row r="9" spans="1:22">
      <c r="A9" s="135" t="s">
        <v>944</v>
      </c>
      <c r="B9" s="136">
        <v>14</v>
      </c>
      <c r="C9" s="94">
        <v>13387.195290599999</v>
      </c>
      <c r="D9" s="50">
        <v>1</v>
      </c>
      <c r="E9" s="70">
        <v>7001</v>
      </c>
      <c r="F9" s="70">
        <v>5507</v>
      </c>
      <c r="G9" s="70">
        <v>215</v>
      </c>
      <c r="H9" s="70">
        <v>138.36000000000001</v>
      </c>
      <c r="I9" s="70">
        <v>2602</v>
      </c>
      <c r="J9" s="70">
        <v>1847</v>
      </c>
      <c r="K9" s="70">
        <v>76</v>
      </c>
      <c r="L9" s="70">
        <v>55.3</v>
      </c>
      <c r="M9" s="50">
        <v>3.0709898585916297E-2</v>
      </c>
      <c r="N9" s="50">
        <v>2.5124387143635376E-2</v>
      </c>
      <c r="O9" s="50">
        <v>5.5855114422809216E-3</v>
      </c>
      <c r="P9" s="50">
        <v>2.9208301306687164E-2</v>
      </c>
      <c r="Q9" s="50">
        <v>2.994044396318354E-2</v>
      </c>
      <c r="R9" s="50">
        <v>-7.3214265649637622E-4</v>
      </c>
      <c r="S9" s="50">
        <v>0.27129108407481395</v>
      </c>
      <c r="T9" s="50">
        <v>0.55391731714368309</v>
      </c>
      <c r="U9" s="50">
        <v>0.40877097996751499</v>
      </c>
      <c r="V9" s="50">
        <v>0.3743218806509947</v>
      </c>
    </row>
    <row r="10" spans="1:22">
      <c r="A10" s="135" t="s">
        <v>104</v>
      </c>
      <c r="B10" s="136">
        <v>7</v>
      </c>
      <c r="C10" s="94">
        <v>7035.3005848999992</v>
      </c>
      <c r="D10" s="50">
        <v>1</v>
      </c>
      <c r="E10" s="70">
        <v>4110</v>
      </c>
      <c r="F10" s="70">
        <v>3932</v>
      </c>
      <c r="G10" s="70">
        <v>65.95</v>
      </c>
      <c r="H10" s="70">
        <v>160</v>
      </c>
      <c r="I10" s="70">
        <v>1437</v>
      </c>
      <c r="J10" s="70">
        <v>1306</v>
      </c>
      <c r="K10" s="70">
        <v>9</v>
      </c>
      <c r="L10" s="70">
        <v>23</v>
      </c>
      <c r="M10" s="50">
        <v>1.6046228710462289E-2</v>
      </c>
      <c r="N10" s="50">
        <v>4.0691759918616482E-2</v>
      </c>
      <c r="O10" s="50">
        <v>-2.4645531208154194E-2</v>
      </c>
      <c r="P10" s="50">
        <v>6.2630480167014616E-3</v>
      </c>
      <c r="Q10" s="50">
        <v>1.761102603369066E-2</v>
      </c>
      <c r="R10" s="50">
        <v>-1.1347978016989198E-2</v>
      </c>
      <c r="S10" s="50">
        <v>4.5269582909460926E-2</v>
      </c>
      <c r="T10" s="50">
        <v>-0.58781249999999996</v>
      </c>
      <c r="U10" s="50">
        <v>0.10030627871362929</v>
      </c>
      <c r="V10" s="50">
        <v>-0.60869565217391308</v>
      </c>
    </row>
    <row r="11" spans="1:22">
      <c r="A11" s="135" t="s">
        <v>604</v>
      </c>
      <c r="B11" s="136">
        <v>5</v>
      </c>
      <c r="C11" s="94">
        <v>29369.9246637</v>
      </c>
      <c r="D11" s="50">
        <v>1</v>
      </c>
      <c r="E11" s="70">
        <v>12498</v>
      </c>
      <c r="F11" s="70">
        <v>11474</v>
      </c>
      <c r="G11" s="70">
        <v>860</v>
      </c>
      <c r="H11" s="70">
        <v>736</v>
      </c>
      <c r="I11" s="70">
        <v>4101</v>
      </c>
      <c r="J11" s="70">
        <v>3815</v>
      </c>
      <c r="K11" s="70">
        <v>273</v>
      </c>
      <c r="L11" s="70">
        <v>251</v>
      </c>
      <c r="M11" s="50">
        <v>6.8811009761561848E-2</v>
      </c>
      <c r="N11" s="50">
        <v>6.4145023531462439E-2</v>
      </c>
      <c r="O11" s="50">
        <v>4.6659862300994087E-3</v>
      </c>
      <c r="P11" s="50">
        <v>6.6569129480614483E-2</v>
      </c>
      <c r="Q11" s="50">
        <v>6.579292267365662E-2</v>
      </c>
      <c r="R11" s="50">
        <v>7.7620680695786315E-4</v>
      </c>
      <c r="S11" s="50">
        <v>8.9245250130730369E-2</v>
      </c>
      <c r="T11" s="50">
        <v>0.16847826086956519</v>
      </c>
      <c r="U11" s="50">
        <v>7.4967234600262111E-2</v>
      </c>
      <c r="V11" s="50">
        <v>8.7649402390438169E-2</v>
      </c>
    </row>
    <row r="12" spans="1:22">
      <c r="A12" s="135" t="s">
        <v>246</v>
      </c>
      <c r="B12" s="136">
        <v>8</v>
      </c>
      <c r="C12" s="94">
        <v>335531.79161860002</v>
      </c>
      <c r="D12" s="50">
        <v>1</v>
      </c>
      <c r="E12" s="70">
        <v>8907</v>
      </c>
      <c r="F12" s="70">
        <v>7944</v>
      </c>
      <c r="G12" s="70">
        <v>4689</v>
      </c>
      <c r="H12" s="70">
        <v>4220</v>
      </c>
      <c r="I12" s="70">
        <v>3094</v>
      </c>
      <c r="J12" s="70">
        <v>2533</v>
      </c>
      <c r="K12" s="70">
        <v>1579</v>
      </c>
      <c r="L12" s="70">
        <v>1333</v>
      </c>
      <c r="M12" s="50">
        <v>0.52643987874705289</v>
      </c>
      <c r="N12" s="50">
        <v>0.53121852970795569</v>
      </c>
      <c r="O12" s="50">
        <v>-4.7786509609027972E-3</v>
      </c>
      <c r="P12" s="50">
        <v>0.51034259857789266</v>
      </c>
      <c r="Q12" s="50">
        <v>0.52625345440189497</v>
      </c>
      <c r="R12" s="50">
        <v>-1.5910855824002312E-2</v>
      </c>
      <c r="S12" s="50">
        <v>0.12122356495468267</v>
      </c>
      <c r="T12" s="50">
        <v>0.1111374407582939</v>
      </c>
      <c r="U12" s="50">
        <v>0.22147651006711411</v>
      </c>
      <c r="V12" s="50">
        <v>0.18454613653413343</v>
      </c>
    </row>
    <row r="13" spans="1:22">
      <c r="A13" s="135" t="s">
        <v>312</v>
      </c>
      <c r="B13" s="136">
        <v>126</v>
      </c>
      <c r="C13" s="94">
        <v>951701.08089610003</v>
      </c>
      <c r="D13" s="50">
        <v>1</v>
      </c>
      <c r="E13" s="70">
        <v>302525</v>
      </c>
      <c r="F13" s="70">
        <v>270370</v>
      </c>
      <c r="G13" s="70">
        <v>16344</v>
      </c>
      <c r="H13" s="70">
        <v>15425</v>
      </c>
      <c r="I13" s="70">
        <v>102462</v>
      </c>
      <c r="J13" s="70">
        <v>88537</v>
      </c>
      <c r="K13" s="70">
        <v>5368</v>
      </c>
      <c r="L13" s="70">
        <v>4719.3900000000003</v>
      </c>
      <c r="M13" s="9">
        <v>5.402528716634989E-2</v>
      </c>
      <c r="N13" s="9">
        <v>5.705144801568221E-2</v>
      </c>
      <c r="O13" s="9">
        <v>-3.0261608493323197E-3</v>
      </c>
      <c r="P13" s="9">
        <v>5.2390154398703911E-2</v>
      </c>
      <c r="Q13" s="9">
        <v>5.3304155324892424E-2</v>
      </c>
      <c r="R13" s="9">
        <v>-9.1400092618851292E-4</v>
      </c>
      <c r="S13" s="9">
        <v>0.11892961497207533</v>
      </c>
      <c r="T13" s="9">
        <v>5.9578606158833036E-2</v>
      </c>
      <c r="U13" s="9">
        <v>0.15727887775732174</v>
      </c>
      <c r="V13" s="9">
        <v>0.13743513462544943</v>
      </c>
    </row>
    <row r="14" spans="1:22">
      <c r="A14" s="135" t="s">
        <v>1359</v>
      </c>
      <c r="B14" s="136">
        <v>4</v>
      </c>
    </row>
    <row r="15" spans="1:22">
      <c r="A15" s="135" t="s">
        <v>446</v>
      </c>
      <c r="B15" s="136">
        <v>6</v>
      </c>
      <c r="C15" s="94">
        <v>40615.030248499999</v>
      </c>
      <c r="D15" s="50">
        <v>1</v>
      </c>
      <c r="E15" s="70">
        <v>2055</v>
      </c>
      <c r="F15" s="70">
        <v>1830</v>
      </c>
      <c r="G15" s="70">
        <v>530</v>
      </c>
      <c r="H15" s="70">
        <v>475</v>
      </c>
      <c r="I15" s="70">
        <v>594</v>
      </c>
      <c r="J15" s="70">
        <v>666</v>
      </c>
      <c r="K15" s="70">
        <v>135</v>
      </c>
      <c r="L15" s="70">
        <v>162</v>
      </c>
      <c r="M15" s="50">
        <v>0.25790754257907544</v>
      </c>
      <c r="N15" s="50">
        <v>0.25956284153005466</v>
      </c>
      <c r="O15" s="50">
        <v>-1.6552989509792115E-3</v>
      </c>
      <c r="P15" s="50">
        <v>0.22727272727272727</v>
      </c>
      <c r="Q15" s="50">
        <v>0.24324324324324326</v>
      </c>
      <c r="R15" s="50">
        <v>-1.5970515970515992E-2</v>
      </c>
      <c r="S15" s="50">
        <v>0.12295081967213117</v>
      </c>
      <c r="T15" s="50">
        <v>0.11578947368421044</v>
      </c>
      <c r="U15" s="50">
        <v>-0.10810810810810811</v>
      </c>
      <c r="V15" s="50">
        <v>-0.16666666666666663</v>
      </c>
    </row>
    <row r="16" spans="1:22">
      <c r="A16" s="135" t="s">
        <v>317</v>
      </c>
      <c r="B16" s="136">
        <v>27</v>
      </c>
      <c r="C16" s="94">
        <v>214233.2966342</v>
      </c>
      <c r="D16" s="50">
        <v>1</v>
      </c>
      <c r="E16" s="70">
        <v>72342</v>
      </c>
      <c r="F16" s="70">
        <v>68614</v>
      </c>
      <c r="G16" s="70">
        <v>2721</v>
      </c>
      <c r="H16" s="70">
        <v>2340</v>
      </c>
      <c r="I16" s="70">
        <v>25296</v>
      </c>
      <c r="J16" s="70">
        <v>23898</v>
      </c>
      <c r="K16" s="70">
        <v>798</v>
      </c>
      <c r="L16" s="70">
        <v>680.72</v>
      </c>
      <c r="M16" s="50">
        <v>3.7613004893422911E-2</v>
      </c>
      <c r="N16" s="50">
        <v>3.4103827207275485E-2</v>
      </c>
      <c r="O16" s="50">
        <v>3.5091776861474258E-3</v>
      </c>
      <c r="P16" s="50">
        <v>3.1546489563567363E-2</v>
      </c>
      <c r="Q16" s="50">
        <v>2.8484391999330488E-2</v>
      </c>
      <c r="R16" s="50">
        <v>3.0620975642368757E-3</v>
      </c>
      <c r="S16" s="50">
        <v>5.4332934969539837E-2</v>
      </c>
      <c r="T16" s="50">
        <v>0.16282051282051291</v>
      </c>
      <c r="U16" s="50">
        <v>5.849861913130816E-2</v>
      </c>
      <c r="V16" s="50">
        <v>0.17228816547185333</v>
      </c>
    </row>
    <row r="17" spans="1:22">
      <c r="A17" s="135" t="s">
        <v>649</v>
      </c>
      <c r="B17" s="136">
        <v>8</v>
      </c>
      <c r="C17" s="94">
        <v>27561.255984199997</v>
      </c>
      <c r="D17" s="50">
        <v>1</v>
      </c>
      <c r="E17" s="70">
        <v>18408</v>
      </c>
      <c r="F17" s="70">
        <v>15338</v>
      </c>
      <c r="G17" s="70">
        <v>1059</v>
      </c>
      <c r="H17" s="70">
        <v>973</v>
      </c>
      <c r="I17" s="70">
        <v>6293</v>
      </c>
      <c r="J17" s="70">
        <v>5329</v>
      </c>
      <c r="K17" s="70">
        <v>175</v>
      </c>
      <c r="L17" s="70">
        <v>251</v>
      </c>
      <c r="M17" s="50">
        <v>5.7529335071707953E-2</v>
      </c>
      <c r="N17" s="50">
        <v>6.3437214760725003E-2</v>
      </c>
      <c r="O17" s="50">
        <v>-5.9078796890170496E-3</v>
      </c>
      <c r="P17" s="50">
        <v>2.7808676307007785E-2</v>
      </c>
      <c r="Q17" s="50">
        <v>4.7100769375117285E-2</v>
      </c>
      <c r="R17" s="50">
        <v>-1.92920930681095E-2</v>
      </c>
      <c r="S17" s="50">
        <v>0.20015647411657311</v>
      </c>
      <c r="T17" s="50">
        <v>8.8386433710174739E-2</v>
      </c>
      <c r="U17" s="50">
        <v>0.18089697879527122</v>
      </c>
      <c r="V17" s="50">
        <v>-0.3027888446215139</v>
      </c>
    </row>
    <row r="18" spans="1:22">
      <c r="A18" s="135" t="s">
        <v>271</v>
      </c>
      <c r="B18" s="136">
        <v>16</v>
      </c>
      <c r="C18" s="94">
        <v>181443.85864690001</v>
      </c>
      <c r="D18" s="50">
        <v>1</v>
      </c>
      <c r="E18" s="70">
        <v>41600</v>
      </c>
      <c r="F18" s="70">
        <v>33101</v>
      </c>
      <c r="G18" s="70">
        <v>3476</v>
      </c>
      <c r="H18" s="70">
        <v>2510</v>
      </c>
      <c r="I18" s="70">
        <v>15490</v>
      </c>
      <c r="J18" s="70">
        <v>11269</v>
      </c>
      <c r="K18" s="70">
        <v>1173</v>
      </c>
      <c r="L18" s="70">
        <v>858</v>
      </c>
      <c r="M18" s="50">
        <v>8.3557692307692305E-2</v>
      </c>
      <c r="N18" s="50">
        <v>7.582852481798133E-2</v>
      </c>
      <c r="O18" s="50">
        <v>7.7291674897109752E-3</v>
      </c>
      <c r="P18" s="50">
        <v>7.5726275016139447E-2</v>
      </c>
      <c r="Q18" s="50">
        <v>7.6138077912858287E-2</v>
      </c>
      <c r="R18" s="50">
        <v>-4.1180289671884085E-4</v>
      </c>
      <c r="S18" s="50">
        <v>0.25675961451315676</v>
      </c>
      <c r="T18" s="50">
        <v>0.38486055776892436</v>
      </c>
      <c r="U18" s="50">
        <v>0.37456739728458599</v>
      </c>
      <c r="V18" s="50">
        <v>0.36713286713286708</v>
      </c>
    </row>
    <row r="19" spans="1:22">
      <c r="A19" s="135" t="s">
        <v>544</v>
      </c>
      <c r="B19" s="136">
        <v>2</v>
      </c>
      <c r="C19" s="94">
        <v>33291.851964999994</v>
      </c>
      <c r="D19" s="50">
        <v>1</v>
      </c>
      <c r="E19" s="70">
        <v>9495</v>
      </c>
      <c r="F19" s="70">
        <v>9794</v>
      </c>
      <c r="G19" s="70">
        <v>705</v>
      </c>
      <c r="H19" s="70">
        <v>733</v>
      </c>
      <c r="I19" s="70">
        <v>3029</v>
      </c>
      <c r="J19" s="70">
        <v>3150</v>
      </c>
      <c r="K19" s="70">
        <v>194</v>
      </c>
      <c r="L19" s="70">
        <v>234</v>
      </c>
      <c r="M19" s="50">
        <v>7.4249605055292253E-2</v>
      </c>
      <c r="N19" s="50">
        <v>7.4841739840718804E-2</v>
      </c>
      <c r="O19" s="50">
        <v>-5.9213478542655129E-4</v>
      </c>
      <c r="P19" s="50">
        <v>6.4047540442390222E-2</v>
      </c>
      <c r="Q19" s="50">
        <v>7.4285714285714288E-2</v>
      </c>
      <c r="R19" s="50">
        <v>-1.0238173843324067E-2</v>
      </c>
      <c r="S19" s="50">
        <v>-3.0528895241984877E-2</v>
      </c>
      <c r="T19" s="50">
        <v>-3.8199181446111896E-2</v>
      </c>
      <c r="U19" s="50">
        <v>-3.8412698412698454E-2</v>
      </c>
      <c r="V19" s="50">
        <v>-0.17094017094017089</v>
      </c>
    </row>
    <row r="20" spans="1:22">
      <c r="A20" s="135" t="s">
        <v>463</v>
      </c>
      <c r="B20" s="136">
        <v>18</v>
      </c>
      <c r="C20" s="94">
        <v>58532.617219799999</v>
      </c>
      <c r="D20" s="50">
        <v>1</v>
      </c>
      <c r="E20" s="70">
        <v>5118</v>
      </c>
      <c r="F20" s="70">
        <v>4839</v>
      </c>
      <c r="G20" s="70">
        <v>1286</v>
      </c>
      <c r="H20" s="70">
        <v>1114</v>
      </c>
      <c r="I20" s="70">
        <v>1768</v>
      </c>
      <c r="J20" s="70">
        <v>1675</v>
      </c>
      <c r="K20" s="70">
        <v>441</v>
      </c>
      <c r="L20" s="70">
        <v>382</v>
      </c>
      <c r="M20" s="50">
        <v>0.25127002735443532</v>
      </c>
      <c r="N20" s="50">
        <v>0.23021285389543295</v>
      </c>
      <c r="O20" s="50">
        <v>2.1057173459002376E-2</v>
      </c>
      <c r="P20" s="50">
        <v>0.2494343891402715</v>
      </c>
      <c r="Q20" s="50">
        <v>0.22805970149253732</v>
      </c>
      <c r="R20" s="50">
        <v>2.1374687647734175E-2</v>
      </c>
      <c r="S20" s="50">
        <v>5.7656540607563533E-2</v>
      </c>
      <c r="T20" s="50">
        <v>0.15439856373429084</v>
      </c>
      <c r="U20" s="50">
        <v>5.5522388059701555E-2</v>
      </c>
      <c r="V20" s="50">
        <v>0.15445026178010468</v>
      </c>
    </row>
    <row r="21" spans="1:22">
      <c r="A21" s="135" t="s">
        <v>109</v>
      </c>
      <c r="B21" s="136">
        <v>39</v>
      </c>
      <c r="C21" s="94">
        <v>888683.25945600006</v>
      </c>
      <c r="D21" s="50">
        <v>1</v>
      </c>
      <c r="E21" s="70">
        <v>318471</v>
      </c>
      <c r="F21" s="70">
        <v>271844</v>
      </c>
      <c r="G21" s="70">
        <v>20501</v>
      </c>
      <c r="H21" s="70">
        <v>15102</v>
      </c>
      <c r="I21" s="70">
        <v>110325</v>
      </c>
      <c r="J21" s="70">
        <v>92379</v>
      </c>
      <c r="K21" s="70">
        <v>6076</v>
      </c>
      <c r="L21" s="70">
        <v>7579</v>
      </c>
      <c r="M21" s="50">
        <v>6.4373208235600735E-2</v>
      </c>
      <c r="N21" s="50">
        <v>5.5553920630950104E-2</v>
      </c>
      <c r="O21" s="50">
        <v>8.8192876046506302E-3</v>
      </c>
      <c r="P21" s="50">
        <v>5.5073646045773847E-2</v>
      </c>
      <c r="Q21" s="50">
        <v>8.2042455536431441E-2</v>
      </c>
      <c r="R21" s="50">
        <v>-2.6968809490657594E-2</v>
      </c>
      <c r="S21" s="50">
        <v>0.17152116655140448</v>
      </c>
      <c r="T21" s="50">
        <v>0.35750231757383122</v>
      </c>
      <c r="U21" s="50">
        <v>0.19426493034131131</v>
      </c>
      <c r="V21" s="50">
        <v>-0.19831112283942476</v>
      </c>
    </row>
    <row r="22" spans="1:22">
      <c r="A22" s="135" t="s">
        <v>115</v>
      </c>
      <c r="B22" s="136">
        <v>9</v>
      </c>
      <c r="C22" s="94">
        <v>21418.464452700005</v>
      </c>
      <c r="D22" s="50">
        <v>1</v>
      </c>
      <c r="E22" s="70">
        <v>3528</v>
      </c>
      <c r="F22" s="70">
        <v>3334</v>
      </c>
      <c r="G22" s="70">
        <v>349</v>
      </c>
      <c r="H22" s="70">
        <v>-479</v>
      </c>
      <c r="I22" s="70">
        <v>1183</v>
      </c>
      <c r="J22" s="70">
        <v>1134</v>
      </c>
      <c r="K22" s="70">
        <v>82</v>
      </c>
      <c r="L22" s="70">
        <v>-580</v>
      </c>
      <c r="M22" s="50">
        <v>9.8922902494331069E-2</v>
      </c>
      <c r="N22" s="50">
        <v>-0.14367126574685063</v>
      </c>
      <c r="O22" s="50">
        <v>0.24259416824118168</v>
      </c>
      <c r="P22" s="50">
        <v>6.9315300084530851E-2</v>
      </c>
      <c r="Q22" s="50">
        <v>-0.5114638447971781</v>
      </c>
      <c r="R22" s="50">
        <v>0.58077914488170901</v>
      </c>
      <c r="S22" s="50">
        <v>5.8188362327534549E-2</v>
      </c>
      <c r="T22" s="50">
        <v>-1.7286012526096033</v>
      </c>
      <c r="U22" s="50">
        <v>4.3209876543209846E-2</v>
      </c>
      <c r="V22" s="50">
        <v>-1.1413793103448275</v>
      </c>
    </row>
    <row r="23" spans="1:22">
      <c r="A23" s="135" t="s">
        <v>480</v>
      </c>
      <c r="B23" s="136">
        <v>4</v>
      </c>
      <c r="C23" s="94">
        <v>41751.329282900006</v>
      </c>
      <c r="D23" s="50">
        <v>1</v>
      </c>
      <c r="E23" s="70">
        <v>12468</v>
      </c>
      <c r="F23" s="70">
        <v>6470</v>
      </c>
      <c r="G23" s="70">
        <v>1490</v>
      </c>
      <c r="H23" s="70">
        <v>1056</v>
      </c>
      <c r="I23" s="70">
        <v>4421</v>
      </c>
      <c r="J23" s="70">
        <v>2457</v>
      </c>
      <c r="K23" s="70">
        <v>507</v>
      </c>
      <c r="L23" s="70">
        <v>464</v>
      </c>
      <c r="M23" s="50">
        <v>0.11950593519409689</v>
      </c>
      <c r="N23" s="50">
        <v>0.16321483771251932</v>
      </c>
      <c r="O23" s="50">
        <v>-4.3708902518422438E-2</v>
      </c>
      <c r="P23" s="50">
        <v>0.1146799366659127</v>
      </c>
      <c r="Q23" s="50">
        <v>0.18884818884818885</v>
      </c>
      <c r="R23" s="50">
        <v>-7.4168252182276156E-2</v>
      </c>
      <c r="S23" s="50">
        <v>0.92704791344667692</v>
      </c>
      <c r="T23" s="50">
        <v>0.4109848484848484</v>
      </c>
      <c r="U23" s="50">
        <v>0.79934879934879932</v>
      </c>
      <c r="V23" s="50">
        <v>9.2672413793103425E-2</v>
      </c>
    </row>
    <row r="24" spans="1:22">
      <c r="A24" s="135" t="s">
        <v>181</v>
      </c>
      <c r="B24" s="136">
        <v>109</v>
      </c>
      <c r="C24" s="94">
        <v>824616.65300819988</v>
      </c>
      <c r="D24" s="50">
        <v>1</v>
      </c>
      <c r="E24" s="94">
        <v>404508</v>
      </c>
      <c r="F24" s="94">
        <v>352484</v>
      </c>
      <c r="G24" s="94">
        <v>27154</v>
      </c>
      <c r="H24" s="94">
        <v>28915</v>
      </c>
      <c r="I24" s="94">
        <v>131838</v>
      </c>
      <c r="J24" s="94">
        <v>123555</v>
      </c>
      <c r="K24" s="94">
        <v>11351</v>
      </c>
      <c r="L24" s="94">
        <v>13790</v>
      </c>
      <c r="M24" s="50">
        <v>6.7128462230660463E-2</v>
      </c>
      <c r="N24" s="50">
        <v>8.2032092236810752E-2</v>
      </c>
      <c r="O24" s="50">
        <v>-1.490363000615029E-2</v>
      </c>
      <c r="P24" s="50">
        <v>8.6098090080250003E-2</v>
      </c>
      <c r="Q24" s="50">
        <v>0.11161021407470358</v>
      </c>
      <c r="R24" s="50">
        <v>-2.5512123994453573E-2</v>
      </c>
      <c r="S24" s="50">
        <v>0.14759251483755298</v>
      </c>
      <c r="T24" s="50">
        <v>-6.0902645685630308E-2</v>
      </c>
      <c r="U24" s="50">
        <v>6.7038970498968009E-2</v>
      </c>
      <c r="V24" s="50">
        <v>-0.17686729514140687</v>
      </c>
    </row>
    <row r="25" spans="1:22" ht="13.2">
      <c r="A25" s="135" t="s">
        <v>222</v>
      </c>
      <c r="B25" s="136">
        <v>2</v>
      </c>
      <c r="C25" s="94">
        <v>301223.17131279997</v>
      </c>
      <c r="D25" s="50">
        <v>1</v>
      </c>
      <c r="E25" s="94">
        <v>112972</v>
      </c>
      <c r="F25" s="94">
        <v>117891</v>
      </c>
      <c r="G25" s="94">
        <v>20684</v>
      </c>
      <c r="H25" s="94">
        <v>27197</v>
      </c>
      <c r="I25" s="94">
        <v>38916</v>
      </c>
      <c r="J25" s="94">
        <v>41496</v>
      </c>
      <c r="K25" s="94">
        <v>7256</v>
      </c>
      <c r="L25" s="94">
        <v>9053</v>
      </c>
      <c r="M25" s="50">
        <v>0.18308961512587191</v>
      </c>
      <c r="N25" s="50">
        <v>0.23069615152980294</v>
      </c>
      <c r="O25" s="50">
        <v>-4.7606536403931032E-2</v>
      </c>
      <c r="P25" s="50">
        <v>0.18645287285435297</v>
      </c>
      <c r="Q25" s="50">
        <v>0.21816560632350107</v>
      </c>
      <c r="R25" s="50">
        <v>-3.1712733469148102E-2</v>
      </c>
      <c r="S25" s="50">
        <v>-4.1724983247236835E-2</v>
      </c>
      <c r="T25" s="50">
        <v>-0.23947494208920106</v>
      </c>
      <c r="U25" s="50">
        <v>-6.2174667437825293E-2</v>
      </c>
      <c r="V25" s="50">
        <v>-0.19849773555727379</v>
      </c>
    </row>
    <row r="26" spans="1:22" ht="13.2">
      <c r="A26" s="135" t="s">
        <v>279</v>
      </c>
      <c r="B26" s="136">
        <v>4</v>
      </c>
      <c r="C26" s="94">
        <v>249065.90418080002</v>
      </c>
      <c r="D26" s="50">
        <v>1</v>
      </c>
      <c r="E26" s="94">
        <v>98813</v>
      </c>
      <c r="F26" s="94">
        <v>71821</v>
      </c>
      <c r="G26" s="94">
        <v>3682</v>
      </c>
      <c r="H26" s="94">
        <v>4061</v>
      </c>
      <c r="I26" s="94">
        <v>37216</v>
      </c>
      <c r="J26" s="94">
        <v>31145</v>
      </c>
      <c r="K26" s="94">
        <v>1585</v>
      </c>
      <c r="L26" s="94">
        <v>2175.5300000000002</v>
      </c>
      <c r="M26" s="50">
        <v>3.7262303543056076E-2</v>
      </c>
      <c r="N26" s="50">
        <v>5.6543350830537027E-2</v>
      </c>
      <c r="O26" s="50">
        <v>-1.9281047287480951E-2</v>
      </c>
      <c r="P26" s="50">
        <v>4.2589208942390371E-2</v>
      </c>
      <c r="Q26" s="50">
        <v>6.9851661582918612E-2</v>
      </c>
      <c r="R26" s="50">
        <v>-2.7262452640528241E-2</v>
      </c>
      <c r="S26" s="50">
        <v>0.3758232271898192</v>
      </c>
      <c r="T26" s="50">
        <v>-9.332676680620533E-2</v>
      </c>
      <c r="U26" s="50">
        <v>0.19492695456734621</v>
      </c>
      <c r="V26" s="50">
        <v>-0.27144190151365422</v>
      </c>
    </row>
    <row r="27" spans="1:22" ht="13.2">
      <c r="A27" s="135" t="s">
        <v>1360</v>
      </c>
      <c r="B27" s="136">
        <v>60</v>
      </c>
      <c r="C27" s="94">
        <v>144737.6299479999</v>
      </c>
      <c r="D27" s="50">
        <v>1</v>
      </c>
      <c r="E27" s="70">
        <v>43944</v>
      </c>
      <c r="F27" s="70">
        <v>42562</v>
      </c>
      <c r="G27" s="70">
        <v>2534</v>
      </c>
      <c r="H27" s="70">
        <v>2498</v>
      </c>
      <c r="I27" s="70">
        <v>15603</v>
      </c>
      <c r="J27" s="70">
        <v>15251</v>
      </c>
      <c r="K27" s="70">
        <v>624</v>
      </c>
      <c r="L27" s="70">
        <v>804</v>
      </c>
      <c r="M27" s="50">
        <v>5.7664300018204988E-2</v>
      </c>
      <c r="N27" s="50">
        <v>5.8690850993844274E-2</v>
      </c>
      <c r="O27" s="50">
        <v>-1.0265509756392857E-3</v>
      </c>
      <c r="P27" s="50">
        <v>3.999230917131321E-2</v>
      </c>
      <c r="Q27" s="50">
        <v>5.2717854566913643E-2</v>
      </c>
      <c r="R27" s="50">
        <v>-1.2725545395600432E-2</v>
      </c>
      <c r="S27" s="50">
        <v>3.2470278652318996E-2</v>
      </c>
      <c r="T27" s="50">
        <v>1.4411529223378627E-2</v>
      </c>
      <c r="U27" s="50">
        <v>2.3080453740738305E-2</v>
      </c>
      <c r="V27" s="50">
        <v>-0.22388059701492535</v>
      </c>
    </row>
    <row r="28" spans="1:22" ht="13.2">
      <c r="A28" s="135" t="s">
        <v>264</v>
      </c>
      <c r="B28" s="136">
        <v>13</v>
      </c>
      <c r="C28" s="94">
        <v>226261.3326046</v>
      </c>
      <c r="D28" s="50">
        <v>1</v>
      </c>
      <c r="E28" s="70">
        <v>33203</v>
      </c>
      <c r="F28" s="70">
        <v>29381</v>
      </c>
      <c r="G28" s="70">
        <v>3924</v>
      </c>
      <c r="H28" s="70">
        <v>3550</v>
      </c>
      <c r="I28" s="70">
        <v>11209</v>
      </c>
      <c r="J28" s="70">
        <v>10224</v>
      </c>
      <c r="K28" s="70">
        <v>1173</v>
      </c>
      <c r="L28" s="70">
        <v>1227</v>
      </c>
      <c r="M28" s="50">
        <v>0.1181820919796404</v>
      </c>
      <c r="N28" s="50">
        <v>0.1208263843980804</v>
      </c>
      <c r="O28" s="50">
        <v>-2.6442924184399974E-3</v>
      </c>
      <c r="P28" s="50">
        <v>0.10464805067356589</v>
      </c>
      <c r="Q28" s="50">
        <v>0.12001173708920188</v>
      </c>
      <c r="R28" s="50">
        <v>-1.5363686415635985E-2</v>
      </c>
      <c r="S28" s="50">
        <v>0.13008406793506011</v>
      </c>
      <c r="T28" s="50">
        <v>0.10535211267605638</v>
      </c>
      <c r="U28" s="50">
        <v>9.6341940532081338E-2</v>
      </c>
      <c r="V28" s="50">
        <v>-4.4009779951100225E-2</v>
      </c>
    </row>
    <row r="29" spans="1:22" ht="13.2">
      <c r="A29" s="135" t="s">
        <v>175</v>
      </c>
      <c r="B29" s="136">
        <v>77</v>
      </c>
      <c r="C29" s="94">
        <v>2574865.2410587994</v>
      </c>
      <c r="D29" s="50">
        <v>1</v>
      </c>
      <c r="E29" s="70">
        <v>648561</v>
      </c>
      <c r="F29" s="70">
        <v>606002</v>
      </c>
      <c r="G29" s="70">
        <v>92907</v>
      </c>
      <c r="H29" s="70">
        <v>92058</v>
      </c>
      <c r="I29" s="70">
        <v>219392</v>
      </c>
      <c r="J29" s="70">
        <v>201940</v>
      </c>
      <c r="K29" s="70">
        <v>28837</v>
      </c>
      <c r="L29" s="70">
        <v>31514</v>
      </c>
      <c r="M29" s="50">
        <v>0.14325098178891424</v>
      </c>
      <c r="N29" s="50">
        <v>0.15191038973468735</v>
      </c>
      <c r="O29" s="50">
        <v>-8.6594079457731066E-3</v>
      </c>
      <c r="P29" s="50">
        <v>0.13144052654609101</v>
      </c>
      <c r="Q29" s="50">
        <v>0.15605625433297018</v>
      </c>
      <c r="R29" s="50">
        <v>-2.4615727786879177E-2</v>
      </c>
      <c r="S29" s="50">
        <v>7.022914115794987E-2</v>
      </c>
      <c r="T29" s="50">
        <v>9.222446718373245E-3</v>
      </c>
      <c r="U29" s="50">
        <v>8.6421709418639248E-2</v>
      </c>
      <c r="V29" s="50">
        <v>-8.4946373040553413E-2</v>
      </c>
    </row>
    <row r="30" spans="1:22" ht="13.2">
      <c r="A30" s="135" t="s">
        <v>1089</v>
      </c>
      <c r="B30" s="136">
        <v>22</v>
      </c>
      <c r="C30" s="94">
        <v>17555.030364200004</v>
      </c>
      <c r="D30" s="50">
        <v>1</v>
      </c>
      <c r="E30" s="70">
        <v>13007</v>
      </c>
      <c r="F30" s="70">
        <v>12086</v>
      </c>
      <c r="G30" s="70">
        <v>312</v>
      </c>
      <c r="H30" s="70">
        <v>234</v>
      </c>
      <c r="I30" s="70">
        <v>4666</v>
      </c>
      <c r="J30" s="70">
        <v>3299</v>
      </c>
      <c r="K30" s="70">
        <v>117</v>
      </c>
      <c r="L30" s="70">
        <v>62</v>
      </c>
      <c r="M30" s="50">
        <v>2.3987083877911895E-2</v>
      </c>
      <c r="N30" s="50">
        <v>1.9361244415025649E-2</v>
      </c>
      <c r="O30" s="50">
        <v>4.6258394628862463E-3</v>
      </c>
      <c r="P30" s="50">
        <v>2.5075010715816547E-2</v>
      </c>
      <c r="Q30" s="50">
        <v>1.8793573810245528E-2</v>
      </c>
      <c r="R30" s="50">
        <v>6.2814369055710188E-3</v>
      </c>
      <c r="S30" s="50">
        <v>7.620387224888292E-2</v>
      </c>
      <c r="T30" s="50">
        <v>0.33333333333333326</v>
      </c>
      <c r="U30" s="50">
        <v>0.41436799030009097</v>
      </c>
      <c r="V30" s="50">
        <v>0.88709677419354849</v>
      </c>
    </row>
    <row r="31" spans="1:22" ht="13.2">
      <c r="A31" s="135" t="s">
        <v>678</v>
      </c>
      <c r="B31" s="136">
        <v>5</v>
      </c>
      <c r="C31" s="94">
        <v>28308.875950400001</v>
      </c>
      <c r="D31" s="50">
        <v>1</v>
      </c>
      <c r="E31" s="70">
        <v>6150</v>
      </c>
      <c r="F31" s="70">
        <v>6053</v>
      </c>
      <c r="G31" s="70">
        <v>396</v>
      </c>
      <c r="H31" s="70">
        <v>463</v>
      </c>
      <c r="I31" s="70">
        <v>2370</v>
      </c>
      <c r="J31" s="70">
        <v>2298</v>
      </c>
      <c r="K31" s="70">
        <v>132</v>
      </c>
      <c r="L31" s="70">
        <v>203</v>
      </c>
      <c r="M31" s="50">
        <v>6.4390243902439026E-2</v>
      </c>
      <c r="N31" s="50">
        <v>7.6490996200231295E-2</v>
      </c>
      <c r="O31" s="50">
        <v>-1.2100752297792269E-2</v>
      </c>
      <c r="P31" s="50">
        <v>5.5696202531645568E-2</v>
      </c>
      <c r="Q31" s="50">
        <v>8.8337684943429071E-2</v>
      </c>
      <c r="R31" s="50">
        <v>-3.2641482411783503E-2</v>
      </c>
      <c r="S31" s="50">
        <v>1.6025111514951229E-2</v>
      </c>
      <c r="T31" s="50">
        <v>-0.14470842332613387</v>
      </c>
      <c r="U31" s="50">
        <v>3.1331592689294974E-2</v>
      </c>
      <c r="V31" s="50">
        <v>-0.34975369458128081</v>
      </c>
    </row>
    <row r="32" spans="1:22" ht="13.2">
      <c r="A32" s="135" t="s">
        <v>1361</v>
      </c>
      <c r="B32" s="136">
        <v>17</v>
      </c>
    </row>
    <row r="33" spans="1:22" ht="13.2">
      <c r="A33" s="135" t="s">
        <v>111</v>
      </c>
      <c r="B33" s="136">
        <v>14</v>
      </c>
      <c r="C33" s="94">
        <v>155365.31393990005</v>
      </c>
      <c r="D33" s="50">
        <v>1</v>
      </c>
      <c r="E33" s="70">
        <v>57756</v>
      </c>
      <c r="F33" s="70">
        <v>46760</v>
      </c>
      <c r="G33" s="70">
        <v>2441</v>
      </c>
      <c r="H33" s="70">
        <v>1864</v>
      </c>
      <c r="I33" s="70">
        <v>17671</v>
      </c>
      <c r="J33" s="70">
        <v>16309</v>
      </c>
      <c r="K33" s="70">
        <v>680</v>
      </c>
      <c r="L33" s="70">
        <v>534</v>
      </c>
      <c r="M33" s="50">
        <v>4.2264007202714872E-2</v>
      </c>
      <c r="N33" s="50">
        <v>3.9863130881094951E-2</v>
      </c>
      <c r="O33" s="50">
        <v>2.4008763216199214E-3</v>
      </c>
      <c r="P33" s="50">
        <v>3.8481127270669456E-2</v>
      </c>
      <c r="Q33" s="50">
        <v>3.2742657428413757E-2</v>
      </c>
      <c r="R33" s="50">
        <v>5.7384698422556987E-3</v>
      </c>
      <c r="S33" s="50">
        <v>0.23515825491873388</v>
      </c>
      <c r="T33" s="50">
        <v>0.30954935622317592</v>
      </c>
      <c r="U33" s="50">
        <v>8.3512171193819373E-2</v>
      </c>
      <c r="V33" s="50">
        <v>0.27340823970037453</v>
      </c>
    </row>
    <row r="34" spans="1:22" ht="13.2">
      <c r="A34" s="135" t="s">
        <v>403</v>
      </c>
      <c r="B34" s="136">
        <v>4</v>
      </c>
      <c r="C34" s="94">
        <v>47072.896831999999</v>
      </c>
      <c r="D34" s="50">
        <v>1</v>
      </c>
      <c r="E34" s="70">
        <v>1922</v>
      </c>
      <c r="F34" s="70">
        <v>1340</v>
      </c>
      <c r="G34" s="70">
        <v>477</v>
      </c>
      <c r="H34" s="70">
        <v>278</v>
      </c>
      <c r="I34" s="70">
        <v>687</v>
      </c>
      <c r="J34" s="70">
        <v>328</v>
      </c>
      <c r="K34" s="70">
        <v>156</v>
      </c>
      <c r="L34" s="70">
        <v>63</v>
      </c>
      <c r="M34" s="50">
        <v>0.2481789802289282</v>
      </c>
      <c r="N34" s="50">
        <v>0.20746268656716418</v>
      </c>
      <c r="O34" s="50">
        <v>4.0716293661764019E-2</v>
      </c>
      <c r="P34" s="50">
        <v>0.22707423580786026</v>
      </c>
      <c r="Q34" s="50">
        <v>0.19207317073170732</v>
      </c>
      <c r="R34" s="50">
        <v>3.5001065076152943E-2</v>
      </c>
      <c r="S34" s="50">
        <v>0.43432835820895521</v>
      </c>
      <c r="T34" s="50">
        <v>0.71582733812949639</v>
      </c>
      <c r="U34" s="50">
        <v>1.0945121951219514</v>
      </c>
      <c r="V34" s="50">
        <v>1.4761904761904763</v>
      </c>
    </row>
    <row r="35" spans="1:22" ht="13.2">
      <c r="A35" s="135" t="s">
        <v>569</v>
      </c>
      <c r="B35" s="136">
        <v>13</v>
      </c>
      <c r="C35" s="94">
        <v>37326.859484500004</v>
      </c>
      <c r="D35" s="50">
        <v>1</v>
      </c>
      <c r="E35" s="70">
        <v>17757</v>
      </c>
      <c r="F35" s="70">
        <v>15831</v>
      </c>
      <c r="G35" s="70">
        <v>652</v>
      </c>
      <c r="H35" s="70">
        <v>626</v>
      </c>
      <c r="I35" s="70">
        <v>5759</v>
      </c>
      <c r="J35" s="70">
        <v>5033</v>
      </c>
      <c r="K35" s="70">
        <v>192.85</v>
      </c>
      <c r="L35" s="70">
        <v>195</v>
      </c>
      <c r="M35" s="50">
        <v>3.6717914062060035E-2</v>
      </c>
      <c r="N35" s="50">
        <v>3.9542669446023623E-2</v>
      </c>
      <c r="O35" s="50">
        <v>-2.8247553839635883E-3</v>
      </c>
      <c r="P35" s="50">
        <v>3.3486716443827051E-2</v>
      </c>
      <c r="Q35" s="50">
        <v>3.8744287701172261E-2</v>
      </c>
      <c r="R35" s="50">
        <v>-5.2575712573452102E-3</v>
      </c>
      <c r="S35" s="50">
        <v>0.12166003411029003</v>
      </c>
      <c r="T35" s="50">
        <v>4.1533546325878579E-2</v>
      </c>
      <c r="U35" s="50">
        <v>0.14424796344128743</v>
      </c>
      <c r="V35" s="50">
        <v>-1.1025641025641075E-2</v>
      </c>
    </row>
    <row r="36" spans="1:22" ht="13.2">
      <c r="A36" s="135" t="s">
        <v>1362</v>
      </c>
      <c r="B36" s="136">
        <v>2</v>
      </c>
    </row>
    <row r="37" spans="1:22" ht="13.2">
      <c r="A37" s="135" t="s">
        <v>626</v>
      </c>
      <c r="B37" s="136">
        <v>3</v>
      </c>
      <c r="C37" s="94">
        <v>58211.344968799996</v>
      </c>
      <c r="D37" s="50">
        <v>1</v>
      </c>
      <c r="E37" s="70">
        <v>4182</v>
      </c>
      <c r="F37" s="70">
        <v>3940</v>
      </c>
      <c r="G37" s="70">
        <v>1273</v>
      </c>
      <c r="H37" s="70">
        <v>1284</v>
      </c>
      <c r="I37" s="70">
        <v>1474</v>
      </c>
      <c r="J37" s="70">
        <v>1344</v>
      </c>
      <c r="K37" s="70">
        <v>438</v>
      </c>
      <c r="L37" s="70">
        <v>430</v>
      </c>
      <c r="M37" s="50">
        <v>0.30439980870396938</v>
      </c>
      <c r="N37" s="50">
        <v>0.32588832487309644</v>
      </c>
      <c r="O37" s="50">
        <v>-2.1488516169127059E-2</v>
      </c>
      <c r="P37" s="50">
        <v>0.29715061058344638</v>
      </c>
      <c r="Q37" s="50">
        <v>0.31994047619047616</v>
      </c>
      <c r="R37" s="50">
        <v>-2.278986560702978E-2</v>
      </c>
      <c r="S37" s="50">
        <v>6.1421319796954421E-2</v>
      </c>
      <c r="T37" s="50">
        <v>-8.5669781931464462E-3</v>
      </c>
      <c r="U37" s="50">
        <v>9.6726190476190466E-2</v>
      </c>
      <c r="V37" s="50">
        <v>1.8604651162790642E-2</v>
      </c>
    </row>
    <row r="38" spans="1:22" ht="13.2">
      <c r="A38" s="135" t="s">
        <v>785</v>
      </c>
      <c r="B38" s="136">
        <v>3</v>
      </c>
      <c r="C38" s="94">
        <v>9106.7029565000012</v>
      </c>
      <c r="D38" s="50">
        <v>1</v>
      </c>
      <c r="E38" s="70">
        <v>1431</v>
      </c>
      <c r="F38" s="70">
        <v>1103</v>
      </c>
      <c r="G38" s="70">
        <v>26</v>
      </c>
      <c r="H38" s="70">
        <v>53</v>
      </c>
      <c r="I38" s="70">
        <v>405</v>
      </c>
      <c r="J38" s="70">
        <v>534</v>
      </c>
      <c r="K38" s="70">
        <v>8</v>
      </c>
      <c r="L38" s="70">
        <v>13</v>
      </c>
      <c r="M38" s="50">
        <v>1.8169112508735149E-2</v>
      </c>
      <c r="N38" s="50">
        <v>4.805077062556664E-2</v>
      </c>
      <c r="O38" s="50">
        <v>-2.9881658116831491E-2</v>
      </c>
      <c r="P38" s="50">
        <v>1.9753086419753086E-2</v>
      </c>
      <c r="Q38" s="50">
        <v>2.4344569288389514E-2</v>
      </c>
      <c r="R38" s="50">
        <v>-4.5914828686364276E-3</v>
      </c>
      <c r="S38" s="50">
        <v>0.29737080689029916</v>
      </c>
      <c r="T38" s="50">
        <v>-0.50943396226415094</v>
      </c>
      <c r="U38" s="50">
        <v>-0.2415730337078652</v>
      </c>
      <c r="V38" s="50">
        <v>-0.38461538461538458</v>
      </c>
    </row>
    <row r="39" spans="1:22" ht="13.2">
      <c r="A39" s="135" t="s">
        <v>1363</v>
      </c>
      <c r="B39" s="136">
        <v>6</v>
      </c>
    </row>
    <row r="40" spans="1:22" ht="13.2">
      <c r="A40" s="135" t="s">
        <v>441</v>
      </c>
      <c r="B40" s="136">
        <v>13</v>
      </c>
      <c r="C40" s="94">
        <v>86061.283942500013</v>
      </c>
      <c r="D40" s="50">
        <v>1</v>
      </c>
      <c r="E40" s="70">
        <v>31097</v>
      </c>
      <c r="F40" s="70">
        <v>28749</v>
      </c>
      <c r="G40" s="70">
        <v>2317</v>
      </c>
      <c r="H40" s="70">
        <v>2245</v>
      </c>
      <c r="I40" s="70">
        <v>10938</v>
      </c>
      <c r="J40" s="70">
        <v>10062</v>
      </c>
      <c r="K40" s="70">
        <v>568</v>
      </c>
      <c r="L40" s="70">
        <v>748</v>
      </c>
      <c r="M40" s="50">
        <v>7.4508795060616778E-2</v>
      </c>
      <c r="N40" s="50">
        <v>7.8089672684267281E-2</v>
      </c>
      <c r="O40" s="50">
        <v>-3.5808776236505024E-3</v>
      </c>
      <c r="P40" s="50">
        <v>5.1929054671786434E-2</v>
      </c>
      <c r="Q40" s="50">
        <v>7.4339097594911543E-2</v>
      </c>
      <c r="R40" s="50">
        <v>-2.2410042923125109E-2</v>
      </c>
      <c r="S40" s="50">
        <v>8.1672405996730424E-2</v>
      </c>
      <c r="T40" s="50">
        <v>3.207126948775052E-2</v>
      </c>
      <c r="U40" s="50">
        <v>8.7060226595110368E-2</v>
      </c>
      <c r="V40" s="50">
        <v>-0.24064171122994649</v>
      </c>
    </row>
    <row r="41" spans="1:22" ht="13.2">
      <c r="A41" s="135" t="s">
        <v>657</v>
      </c>
      <c r="B41" s="136">
        <v>79</v>
      </c>
      <c r="C41" s="94">
        <v>72657.513007299989</v>
      </c>
      <c r="D41" s="50">
        <v>1</v>
      </c>
      <c r="E41" s="70">
        <v>27178</v>
      </c>
      <c r="F41" s="70">
        <v>25349</v>
      </c>
      <c r="G41" s="70">
        <v>1919</v>
      </c>
      <c r="H41" s="70">
        <v>1612</v>
      </c>
      <c r="I41" s="70">
        <v>14745</v>
      </c>
      <c r="J41" s="70">
        <v>14089</v>
      </c>
      <c r="K41" s="70">
        <v>569</v>
      </c>
      <c r="L41" s="70">
        <v>528</v>
      </c>
      <c r="M41" s="50">
        <v>7.060858046949739E-2</v>
      </c>
      <c r="N41" s="50">
        <v>6.3592252159848511E-2</v>
      </c>
      <c r="O41" s="50">
        <v>7.0163283096488782E-3</v>
      </c>
      <c r="P41" s="50">
        <v>3.8589352322821298E-2</v>
      </c>
      <c r="Q41" s="50">
        <v>3.7476045141599829E-2</v>
      </c>
      <c r="R41" s="50">
        <v>1.1133071812214693E-3</v>
      </c>
      <c r="S41" s="50">
        <v>7.2152747642905135E-2</v>
      </c>
      <c r="T41" s="50">
        <v>0.19044665012406958</v>
      </c>
      <c r="U41" s="50">
        <v>4.656114699410896E-2</v>
      </c>
      <c r="V41" s="50">
        <v>7.7651515151515138E-2</v>
      </c>
    </row>
    <row r="42" spans="1:22" ht="13.2">
      <c r="A42" s="135" t="s">
        <v>1364</v>
      </c>
      <c r="B42" s="136">
        <v>2</v>
      </c>
    </row>
    <row r="43" spans="1:22" ht="13.2">
      <c r="A43" s="135" t="s">
        <v>117</v>
      </c>
      <c r="B43" s="136">
        <v>5</v>
      </c>
      <c r="C43" s="94">
        <v>864293.30520020006</v>
      </c>
      <c r="D43" s="50">
        <v>1</v>
      </c>
      <c r="E43" s="70">
        <v>116587</v>
      </c>
      <c r="F43" s="70">
        <v>109372</v>
      </c>
      <c r="G43" s="70">
        <v>27716</v>
      </c>
      <c r="H43" s="70">
        <v>23520</v>
      </c>
      <c r="I43" s="70">
        <v>38902</v>
      </c>
      <c r="J43" s="70">
        <v>36945</v>
      </c>
      <c r="K43" s="70">
        <v>11657</v>
      </c>
      <c r="L43" s="70">
        <v>7736</v>
      </c>
      <c r="M43" s="50">
        <v>0.23772804858174582</v>
      </c>
      <c r="N43" s="50">
        <v>0.21504589840178473</v>
      </c>
      <c r="O43" s="50">
        <v>2.2682150179961086E-2</v>
      </c>
      <c r="P43" s="50">
        <v>0.2996504035782222</v>
      </c>
      <c r="Q43" s="50">
        <v>0.20939233996481255</v>
      </c>
      <c r="R43" s="50">
        <v>9.0258063613409656E-2</v>
      </c>
      <c r="S43" s="50">
        <v>6.596752368064962E-2</v>
      </c>
      <c r="T43" s="50">
        <v>0.17840136054421762</v>
      </c>
      <c r="U43" s="50">
        <v>5.2970632020571173E-2</v>
      </c>
      <c r="V43" s="50">
        <v>0.50685108583247152</v>
      </c>
    </row>
    <row r="44" spans="1:22" ht="13.2">
      <c r="A44" s="135" t="s">
        <v>216</v>
      </c>
      <c r="B44" s="136">
        <v>4</v>
      </c>
      <c r="C44" s="94">
        <v>273149.61933200003</v>
      </c>
      <c r="D44" s="50">
        <v>1</v>
      </c>
      <c r="E44" s="70">
        <v>61923</v>
      </c>
      <c r="F44" s="70">
        <v>52199</v>
      </c>
      <c r="G44" s="70">
        <v>15838</v>
      </c>
      <c r="H44" s="70">
        <v>15615</v>
      </c>
      <c r="I44" s="70">
        <v>24148</v>
      </c>
      <c r="J44" s="70">
        <v>17572</v>
      </c>
      <c r="K44" s="70">
        <v>7842</v>
      </c>
      <c r="L44" s="70">
        <v>4889</v>
      </c>
      <c r="M44" s="50">
        <v>0.25576926182516996</v>
      </c>
      <c r="N44" s="50">
        <v>0.29914366175597235</v>
      </c>
      <c r="O44" s="50">
        <v>-4.3374399930802388E-2</v>
      </c>
      <c r="P44" s="50">
        <v>0.32474739108828887</v>
      </c>
      <c r="Q44" s="50">
        <v>0.27822672433416801</v>
      </c>
      <c r="R44" s="50">
        <v>4.6520666754120865E-2</v>
      </c>
      <c r="S44" s="50">
        <v>0.18628709362248319</v>
      </c>
      <c r="T44" s="50">
        <v>1.428113992955482E-2</v>
      </c>
      <c r="U44" s="50">
        <v>0.37423173230138862</v>
      </c>
      <c r="V44" s="50">
        <v>0.60400899979545919</v>
      </c>
    </row>
    <row r="45" spans="1:22" ht="13.2">
      <c r="A45" s="135" t="s">
        <v>84</v>
      </c>
      <c r="B45" s="136">
        <v>12</v>
      </c>
      <c r="C45" s="94">
        <v>337979.81081409997</v>
      </c>
      <c r="D45" s="50">
        <v>1</v>
      </c>
      <c r="E45" s="70">
        <v>72850</v>
      </c>
      <c r="F45" s="70">
        <v>63758</v>
      </c>
      <c r="G45" s="70">
        <v>3143</v>
      </c>
      <c r="H45" s="70">
        <v>2842</v>
      </c>
      <c r="I45" s="70">
        <v>26251</v>
      </c>
      <c r="J45" s="70">
        <v>23316</v>
      </c>
      <c r="K45" s="70">
        <v>1300</v>
      </c>
      <c r="L45" s="70">
        <v>1141</v>
      </c>
      <c r="M45" s="50">
        <v>4.3143445435827044E-2</v>
      </c>
      <c r="N45" s="50">
        <v>4.4574798456664261E-2</v>
      </c>
      <c r="O45" s="50">
        <v>-1.4313530208372172E-3</v>
      </c>
      <c r="P45" s="50">
        <v>4.9521922974362878E-2</v>
      </c>
      <c r="Q45" s="50">
        <v>4.8936352719162808E-2</v>
      </c>
      <c r="R45" s="50">
        <v>5.8557025520006994E-4</v>
      </c>
      <c r="S45" s="50">
        <v>0.14260171272624622</v>
      </c>
      <c r="T45" s="50">
        <v>0.10591133004926112</v>
      </c>
      <c r="U45" s="50">
        <v>0.12587922456682099</v>
      </c>
      <c r="V45" s="50">
        <v>0.13935144609991235</v>
      </c>
    </row>
    <row r="46" spans="1:22" ht="13.2">
      <c r="A46" s="135" t="s">
        <v>1051</v>
      </c>
      <c r="B46" s="136">
        <v>2</v>
      </c>
      <c r="C46" s="94">
        <v>6113.1063790999997</v>
      </c>
      <c r="D46" s="50">
        <v>1</v>
      </c>
      <c r="E46" s="70">
        <v>820</v>
      </c>
      <c r="F46" s="70">
        <v>729</v>
      </c>
      <c r="G46" s="70">
        <v>-50</v>
      </c>
      <c r="H46" s="70">
        <v>-37</v>
      </c>
      <c r="I46" s="70">
        <v>358</v>
      </c>
      <c r="J46" s="70">
        <v>366</v>
      </c>
      <c r="K46" s="70">
        <v>6</v>
      </c>
      <c r="L46" s="70">
        <v>26</v>
      </c>
      <c r="M46" s="50">
        <v>-6.097560975609756E-2</v>
      </c>
      <c r="N46" s="50">
        <v>-5.0754458161865572E-2</v>
      </c>
      <c r="O46" s="50">
        <v>-1.0221151594231988E-2</v>
      </c>
      <c r="P46" s="50">
        <v>1.6759776536312849E-2</v>
      </c>
      <c r="Q46" s="50">
        <v>7.1038251366120214E-2</v>
      </c>
      <c r="R46" s="50">
        <v>-5.4278474829807369E-2</v>
      </c>
      <c r="S46" s="50">
        <v>0.1248285322359397</v>
      </c>
      <c r="T46" s="50">
        <v>0.35135135135135132</v>
      </c>
      <c r="U46" s="50">
        <v>-2.1857923497267784E-2</v>
      </c>
      <c r="V46" s="50">
        <v>-0.76923076923076916</v>
      </c>
    </row>
    <row r="47" spans="1:22" ht="13.2">
      <c r="A47" s="135" t="s">
        <v>898</v>
      </c>
      <c r="B47" s="136">
        <v>8</v>
      </c>
      <c r="C47" s="94">
        <v>13225.8391637</v>
      </c>
      <c r="D47" s="50">
        <v>1</v>
      </c>
      <c r="E47" s="70">
        <v>7586</v>
      </c>
      <c r="F47" s="70">
        <v>2531</v>
      </c>
      <c r="G47" s="70">
        <v>4838</v>
      </c>
      <c r="H47" s="70">
        <v>16</v>
      </c>
      <c r="I47" s="70">
        <v>2276</v>
      </c>
      <c r="J47" s="70">
        <v>844</v>
      </c>
      <c r="K47" s="70">
        <v>4895</v>
      </c>
      <c r="L47" s="70">
        <v>-12.5</v>
      </c>
      <c r="M47" s="50">
        <v>0.63775375692064329</v>
      </c>
      <c r="N47" s="50">
        <v>6.3216120110628207E-3</v>
      </c>
      <c r="O47" s="50">
        <v>0.63143214490958044</v>
      </c>
      <c r="P47" s="50">
        <v>2.1507029876977155</v>
      </c>
      <c r="Q47" s="50">
        <v>-1.481042654028436E-2</v>
      </c>
      <c r="R47" s="50">
        <v>2.1655134142379997</v>
      </c>
      <c r="S47" s="50">
        <v>1.99723429474516</v>
      </c>
      <c r="T47" s="50">
        <v>301.375</v>
      </c>
      <c r="U47" s="50">
        <v>1.6966824644549763</v>
      </c>
      <c r="V47" s="50">
        <v>-392.6</v>
      </c>
    </row>
    <row r="48" spans="1:22" ht="13.2">
      <c r="A48" s="135" t="s">
        <v>130</v>
      </c>
      <c r="B48" s="136">
        <v>22</v>
      </c>
      <c r="C48" s="94">
        <v>183950.34549000001</v>
      </c>
      <c r="D48" s="50">
        <v>1</v>
      </c>
      <c r="E48" s="70">
        <v>111596</v>
      </c>
      <c r="F48" s="70">
        <v>92473</v>
      </c>
      <c r="G48" s="70">
        <v>3707</v>
      </c>
      <c r="H48" s="70">
        <v>3490</v>
      </c>
      <c r="I48" s="70">
        <v>39344</v>
      </c>
      <c r="J48" s="70">
        <v>33825</v>
      </c>
      <c r="K48" s="70">
        <v>1404</v>
      </c>
      <c r="L48" s="70">
        <v>1263</v>
      </c>
      <c r="M48" s="50">
        <v>3.3218036488763036E-2</v>
      </c>
      <c r="N48" s="50">
        <v>3.7740745947465744E-2</v>
      </c>
      <c r="O48" s="50">
        <v>-4.5227094587027075E-3</v>
      </c>
      <c r="P48" s="50">
        <v>3.5685237901586009E-2</v>
      </c>
      <c r="Q48" s="50">
        <v>3.7339246119733924E-2</v>
      </c>
      <c r="R48" s="50">
        <v>-1.6540082181479149E-3</v>
      </c>
      <c r="S48" s="50">
        <v>0.20679549706400779</v>
      </c>
      <c r="T48" s="50">
        <v>6.2177650429799503E-2</v>
      </c>
      <c r="U48" s="50">
        <v>0.16316334072431626</v>
      </c>
      <c r="V48" s="50">
        <v>0.1116389548693586</v>
      </c>
    </row>
    <row r="49" spans="1:22" ht="13.2">
      <c r="A49" s="135" t="s">
        <v>133</v>
      </c>
      <c r="B49" s="136">
        <v>18</v>
      </c>
      <c r="C49" s="94">
        <v>9043.9388134000001</v>
      </c>
      <c r="D49" s="50">
        <v>1</v>
      </c>
      <c r="E49" s="70">
        <v>1426</v>
      </c>
      <c r="F49" s="70">
        <v>1223</v>
      </c>
      <c r="G49" s="70">
        <v>170</v>
      </c>
      <c r="H49" s="70">
        <v>178</v>
      </c>
      <c r="I49" s="70">
        <v>499</v>
      </c>
      <c r="J49" s="70">
        <v>418</v>
      </c>
      <c r="K49" s="70">
        <v>74</v>
      </c>
      <c r="L49" s="70">
        <v>61</v>
      </c>
      <c r="M49" s="50">
        <v>0.11921458625525946</v>
      </c>
      <c r="N49" s="50">
        <v>0.14554374488961569</v>
      </c>
      <c r="O49" s="50">
        <v>-2.6329158634356226E-2</v>
      </c>
      <c r="P49" s="50">
        <v>0.14829659318637275</v>
      </c>
      <c r="Q49" s="50">
        <v>0.145933014354067</v>
      </c>
      <c r="R49" s="50">
        <v>2.3635788323057572E-3</v>
      </c>
      <c r="S49" s="50">
        <v>0.1659852820932135</v>
      </c>
      <c r="T49" s="50">
        <v>-4.49438202247191E-2</v>
      </c>
      <c r="U49" s="50">
        <v>0.19377990430622005</v>
      </c>
      <c r="V49" s="50">
        <v>0.21311475409836067</v>
      </c>
    </row>
    <row r="50" spans="1:22" ht="13.2">
      <c r="A50" s="135" t="s">
        <v>1218</v>
      </c>
      <c r="B50" s="136">
        <v>6</v>
      </c>
      <c r="C50" s="94">
        <v>30351.841881299999</v>
      </c>
      <c r="D50" s="50">
        <v>1</v>
      </c>
      <c r="E50" s="70">
        <v>3544</v>
      </c>
      <c r="F50" s="70">
        <v>2821</v>
      </c>
      <c r="G50" s="70">
        <v>171</v>
      </c>
      <c r="H50" s="70">
        <v>147</v>
      </c>
      <c r="I50" s="70">
        <v>1264</v>
      </c>
      <c r="J50" s="70">
        <v>996</v>
      </c>
      <c r="K50" s="70">
        <v>137</v>
      </c>
      <c r="L50" s="70">
        <v>117</v>
      </c>
      <c r="M50" s="50">
        <v>4.8250564334085776E-2</v>
      </c>
      <c r="N50" s="50">
        <v>5.2109181141439205E-2</v>
      </c>
      <c r="O50" s="50">
        <v>-3.8586168073534294E-3</v>
      </c>
      <c r="P50" s="50">
        <v>0.10838607594936708</v>
      </c>
      <c r="Q50" s="50">
        <v>0.11746987951807229</v>
      </c>
      <c r="R50" s="50">
        <v>-9.0838035687052093E-3</v>
      </c>
      <c r="S50" s="50">
        <v>0.25629209500177241</v>
      </c>
      <c r="T50" s="50">
        <v>0.16326530612244894</v>
      </c>
      <c r="U50" s="50">
        <v>0.26907630522088355</v>
      </c>
      <c r="V50" s="50">
        <v>0.170940170940171</v>
      </c>
    </row>
    <row r="51" spans="1:22" ht="13.2">
      <c r="A51" s="135" t="s">
        <v>669</v>
      </c>
      <c r="B51" s="136">
        <v>11</v>
      </c>
      <c r="C51" s="94">
        <v>45216.0839137</v>
      </c>
      <c r="D51" s="50">
        <v>1</v>
      </c>
      <c r="E51" s="70">
        <v>9385</v>
      </c>
      <c r="F51" s="70">
        <v>8284</v>
      </c>
      <c r="G51" s="70">
        <v>3659</v>
      </c>
      <c r="H51" s="70">
        <v>1054</v>
      </c>
      <c r="I51" s="70">
        <v>3005</v>
      </c>
      <c r="J51" s="70">
        <v>2575</v>
      </c>
      <c r="K51" s="70">
        <v>429</v>
      </c>
      <c r="L51" s="70">
        <v>178</v>
      </c>
      <c r="M51" s="50">
        <v>0.3898774640383591</v>
      </c>
      <c r="N51" s="50">
        <v>0.12723322066634477</v>
      </c>
      <c r="O51" s="50">
        <v>0.26264424337201431</v>
      </c>
      <c r="P51" s="50">
        <v>0.1427620632279534</v>
      </c>
      <c r="Q51" s="50">
        <v>6.9126213592233005E-2</v>
      </c>
      <c r="R51" s="50">
        <v>7.3635849635720396E-2</v>
      </c>
      <c r="S51" s="50">
        <v>0.13290680830516655</v>
      </c>
      <c r="T51" s="50">
        <v>2.4715370018975333</v>
      </c>
      <c r="U51" s="50">
        <v>0.16699029126213594</v>
      </c>
      <c r="V51" s="50">
        <v>1.4101123595505616</v>
      </c>
    </row>
    <row r="52" spans="1:22" ht="13.2">
      <c r="A52" s="135" t="s">
        <v>1365</v>
      </c>
      <c r="B52" s="136">
        <v>5</v>
      </c>
    </row>
    <row r="53" spans="1:22" ht="13.2">
      <c r="A53" s="135" t="s">
        <v>120</v>
      </c>
      <c r="B53" s="136">
        <v>14</v>
      </c>
      <c r="C53" s="94">
        <v>463472.34328700003</v>
      </c>
      <c r="D53" s="50">
        <v>1</v>
      </c>
      <c r="E53" s="70">
        <v>57406</v>
      </c>
      <c r="F53" s="70">
        <v>32379</v>
      </c>
      <c r="G53" s="70">
        <v>245</v>
      </c>
      <c r="H53" s="70">
        <v>906</v>
      </c>
      <c r="I53" s="70">
        <v>23887</v>
      </c>
      <c r="J53" s="70">
        <v>11980</v>
      </c>
      <c r="K53" s="70">
        <v>21</v>
      </c>
      <c r="L53" s="70">
        <v>-61</v>
      </c>
      <c r="M53" s="50">
        <v>4.267846566560987E-3</v>
      </c>
      <c r="N53" s="50">
        <v>2.7981098860372464E-2</v>
      </c>
      <c r="O53" s="50">
        <v>-2.3713252293811476E-2</v>
      </c>
      <c r="P53" s="50">
        <v>8.7913928078034074E-4</v>
      </c>
      <c r="Q53" s="50">
        <v>-5.0918196994991652E-3</v>
      </c>
      <c r="R53" s="50">
        <v>5.9709589802795062E-3</v>
      </c>
      <c r="S53" s="50">
        <v>0.77293925074894232</v>
      </c>
      <c r="T53" s="50">
        <v>-0.72958057395143494</v>
      </c>
      <c r="U53" s="50">
        <v>0.99390651085141912</v>
      </c>
      <c r="V53" s="50">
        <v>-1.3442622950819672</v>
      </c>
    </row>
    <row r="54" spans="1:22" ht="13.2">
      <c r="A54" s="135" t="s">
        <v>304</v>
      </c>
      <c r="B54" s="136">
        <v>2</v>
      </c>
      <c r="C54" s="94">
        <v>73360.518016400005</v>
      </c>
      <c r="D54" s="50">
        <v>1</v>
      </c>
      <c r="E54" s="70">
        <v>1944</v>
      </c>
      <c r="F54" s="70">
        <v>1283</v>
      </c>
      <c r="G54" s="70">
        <v>1164</v>
      </c>
      <c r="H54" s="70">
        <v>736</v>
      </c>
      <c r="I54" s="70">
        <v>842</v>
      </c>
      <c r="J54" s="70">
        <v>456</v>
      </c>
      <c r="K54" s="70">
        <v>520</v>
      </c>
      <c r="L54" s="70">
        <v>267</v>
      </c>
      <c r="M54" s="50">
        <v>0.59876543209876543</v>
      </c>
      <c r="N54" s="50">
        <v>0.57365549493374901</v>
      </c>
      <c r="O54" s="50">
        <v>2.5109937165016416E-2</v>
      </c>
      <c r="P54" s="50">
        <v>0.61757719714964365</v>
      </c>
      <c r="Q54" s="50">
        <v>0.58552631578947367</v>
      </c>
      <c r="R54" s="50">
        <v>3.205088136016998E-2</v>
      </c>
      <c r="S54" s="50">
        <v>0.51519875292283701</v>
      </c>
      <c r="T54" s="50">
        <v>0.58152173913043481</v>
      </c>
      <c r="U54" s="50">
        <v>0.84649122807017552</v>
      </c>
      <c r="V54" s="50">
        <v>0.94756554307116114</v>
      </c>
    </row>
    <row r="55" spans="1:22" ht="13.2">
      <c r="A55" s="135" t="s">
        <v>277</v>
      </c>
      <c r="B55" s="136">
        <v>5</v>
      </c>
      <c r="C55" s="94">
        <v>117631.14249059999</v>
      </c>
      <c r="D55" s="50">
        <v>1</v>
      </c>
      <c r="E55" s="70">
        <v>6684</v>
      </c>
      <c r="F55" s="70">
        <v>5717</v>
      </c>
      <c r="G55" s="70">
        <v>1220</v>
      </c>
      <c r="H55" s="70">
        <v>966</v>
      </c>
      <c r="I55" s="70">
        <v>2629</v>
      </c>
      <c r="J55" s="70">
        <v>2138</v>
      </c>
      <c r="K55" s="70">
        <v>473</v>
      </c>
      <c r="L55" s="70">
        <v>346</v>
      </c>
      <c r="M55" s="50">
        <v>0.18252543387193298</v>
      </c>
      <c r="N55" s="50">
        <v>0.16896973937379745</v>
      </c>
      <c r="O55" s="50">
        <v>1.355569449813554E-2</v>
      </c>
      <c r="P55" s="50">
        <v>0.1799163179916318</v>
      </c>
      <c r="Q55" s="50">
        <v>0.1618334892422825</v>
      </c>
      <c r="R55" s="50">
        <v>1.80828287493493E-2</v>
      </c>
      <c r="S55" s="50">
        <v>0.16914465628826303</v>
      </c>
      <c r="T55" s="50">
        <v>0.26293995859213259</v>
      </c>
      <c r="U55" s="50">
        <v>0.22965388213283444</v>
      </c>
      <c r="V55" s="50">
        <v>0.36705202312138718</v>
      </c>
    </row>
    <row r="56" spans="1:22" ht="13.2">
      <c r="A56" s="135" t="s">
        <v>887</v>
      </c>
      <c r="B56" s="136">
        <v>10</v>
      </c>
      <c r="C56" s="94">
        <v>10333.219841999999</v>
      </c>
      <c r="D56" s="50">
        <v>1.0000000000000002</v>
      </c>
      <c r="E56" s="70">
        <v>2063</v>
      </c>
      <c r="F56" s="70">
        <v>1997</v>
      </c>
      <c r="G56" s="70">
        <v>322</v>
      </c>
      <c r="H56" s="70">
        <v>332</v>
      </c>
      <c r="I56" s="70">
        <v>703</v>
      </c>
      <c r="J56" s="70">
        <v>643</v>
      </c>
      <c r="K56" s="70">
        <v>131</v>
      </c>
      <c r="L56" s="70">
        <v>93</v>
      </c>
      <c r="M56" s="50">
        <v>0.15608337372758119</v>
      </c>
      <c r="N56" s="50">
        <v>0.16624937406109164</v>
      </c>
      <c r="O56" s="50">
        <v>-1.016600033351045E-2</v>
      </c>
      <c r="P56" s="50">
        <v>0.18634423897581792</v>
      </c>
      <c r="Q56" s="50">
        <v>0.14463452566096424</v>
      </c>
      <c r="R56" s="50">
        <v>4.170971331485368E-2</v>
      </c>
      <c r="S56" s="50">
        <v>3.3049574361542211E-2</v>
      </c>
      <c r="T56" s="50">
        <v>-3.0120481927710885E-2</v>
      </c>
      <c r="U56" s="50">
        <v>9.3312597200622127E-2</v>
      </c>
      <c r="V56" s="50">
        <v>0.40860215053763449</v>
      </c>
    </row>
    <row r="57" spans="1:22" ht="13.2">
      <c r="A57" s="135" t="s">
        <v>376</v>
      </c>
      <c r="B57" s="136">
        <v>21</v>
      </c>
      <c r="C57" s="94">
        <v>161237.63732809998</v>
      </c>
      <c r="D57" s="50">
        <v>1</v>
      </c>
      <c r="E57" s="70">
        <v>98987</v>
      </c>
      <c r="F57" s="70">
        <v>82012</v>
      </c>
      <c r="G57" s="70">
        <v>5321</v>
      </c>
      <c r="H57" s="70">
        <v>4153</v>
      </c>
      <c r="I57" s="70">
        <v>34472</v>
      </c>
      <c r="J57" s="70">
        <v>30057</v>
      </c>
      <c r="K57" s="70">
        <v>1588</v>
      </c>
      <c r="L57" s="70">
        <v>1495</v>
      </c>
      <c r="M57" s="50">
        <v>5.3754533423580872E-2</v>
      </c>
      <c r="N57" s="50">
        <v>5.0638930888162709E-2</v>
      </c>
      <c r="O57" s="50">
        <v>3.1156025354181632E-3</v>
      </c>
      <c r="P57" s="50">
        <v>4.6066372708284987E-2</v>
      </c>
      <c r="Q57" s="50">
        <v>4.9738829557174701E-2</v>
      </c>
      <c r="R57" s="50">
        <v>-3.672456848889713E-3</v>
      </c>
      <c r="S57" s="50">
        <v>0.20698190508706049</v>
      </c>
      <c r="T57" s="50">
        <v>0.28124247531904656</v>
      </c>
      <c r="U57" s="50">
        <v>0.14688758026416471</v>
      </c>
      <c r="V57" s="50">
        <v>6.2207357859531687E-2</v>
      </c>
    </row>
    <row r="58" spans="1:22" ht="13.2">
      <c r="A58" s="135" t="s">
        <v>772</v>
      </c>
      <c r="B58" s="136">
        <v>20</v>
      </c>
      <c r="C58" s="94">
        <v>13012.365759799995</v>
      </c>
      <c r="D58" s="50">
        <v>1.0000000000000002</v>
      </c>
      <c r="E58" s="70">
        <v>2771</v>
      </c>
      <c r="F58" s="70">
        <v>3297</v>
      </c>
      <c r="G58" s="70">
        <v>155</v>
      </c>
      <c r="H58" s="70">
        <v>-121</v>
      </c>
      <c r="I58" s="70">
        <v>2244</v>
      </c>
      <c r="J58" s="70">
        <v>2009</v>
      </c>
      <c r="K58" s="70">
        <v>95</v>
      </c>
      <c r="L58" s="70">
        <v>37</v>
      </c>
      <c r="M58" s="50">
        <v>5.5936485023457237E-2</v>
      </c>
      <c r="N58" s="50">
        <v>-3.6700030330603581E-2</v>
      </c>
      <c r="O58" s="50">
        <v>9.2636515354060811E-2</v>
      </c>
      <c r="P58" s="50">
        <v>4.233511586452763E-2</v>
      </c>
      <c r="Q58" s="50">
        <v>1.841712294673967E-2</v>
      </c>
      <c r="R58" s="50">
        <v>2.3917992917787959E-2</v>
      </c>
      <c r="S58" s="50">
        <v>-0.15953897482559898</v>
      </c>
      <c r="T58" s="50">
        <v>-2.28099173553719</v>
      </c>
      <c r="U58" s="50">
        <v>0.11697361871577905</v>
      </c>
      <c r="V58" s="50">
        <v>1.5675675675675675</v>
      </c>
    </row>
    <row r="59" spans="1:22" ht="13.2">
      <c r="A59" s="135" t="s">
        <v>266</v>
      </c>
      <c r="B59" s="136">
        <v>8</v>
      </c>
      <c r="C59" s="94">
        <v>417488.66250839998</v>
      </c>
      <c r="D59" s="50">
        <v>1</v>
      </c>
      <c r="E59" s="94">
        <v>169450</v>
      </c>
      <c r="F59" s="94">
        <v>153003</v>
      </c>
      <c r="G59" s="94">
        <v>47212</v>
      </c>
      <c r="H59" s="94">
        <v>41889</v>
      </c>
      <c r="I59" s="94">
        <v>57735</v>
      </c>
      <c r="J59" s="94">
        <v>53441</v>
      </c>
      <c r="K59" s="94">
        <v>15416</v>
      </c>
      <c r="L59" s="94">
        <v>14640</v>
      </c>
      <c r="M59" s="50">
        <v>0.27861906167010919</v>
      </c>
      <c r="N59" s="50">
        <v>0.27377894551087234</v>
      </c>
      <c r="O59" s="50">
        <v>4.8401161592368513E-3</v>
      </c>
      <c r="P59" s="50">
        <v>0.26701307698969429</v>
      </c>
      <c r="Q59" s="50">
        <v>0.27394696955521042</v>
      </c>
      <c r="R59" s="50">
        <v>-6.933892565516131E-3</v>
      </c>
      <c r="S59" s="50">
        <v>0.10749462428841272</v>
      </c>
      <c r="T59" s="50">
        <v>0.12707393349089258</v>
      </c>
      <c r="U59" s="50">
        <v>8.0350292846316451E-2</v>
      </c>
      <c r="V59" s="50">
        <v>5.3005464480874398E-2</v>
      </c>
    </row>
    <row r="60" spans="1:22" ht="13.2">
      <c r="A60" s="135" t="s">
        <v>518</v>
      </c>
      <c r="B60" s="136">
        <v>3</v>
      </c>
      <c r="C60" s="94">
        <v>22352.431159999996</v>
      </c>
      <c r="D60" s="50">
        <v>1</v>
      </c>
      <c r="E60" s="70">
        <v>1831</v>
      </c>
      <c r="F60" s="70">
        <v>1484</v>
      </c>
      <c r="G60" s="70">
        <v>448</v>
      </c>
      <c r="H60" s="70">
        <v>347</v>
      </c>
      <c r="I60" s="70">
        <v>644</v>
      </c>
      <c r="J60" s="70">
        <v>504</v>
      </c>
      <c r="K60" s="70">
        <v>155</v>
      </c>
      <c r="L60" s="70">
        <v>117</v>
      </c>
      <c r="M60" s="50">
        <v>0.24467504096122339</v>
      </c>
      <c r="N60" s="50">
        <v>0.23382749326145552</v>
      </c>
      <c r="O60" s="50">
        <v>1.0847547699767868E-2</v>
      </c>
      <c r="P60" s="50">
        <v>0.24068322981366461</v>
      </c>
      <c r="Q60" s="50">
        <v>0.23214285714285715</v>
      </c>
      <c r="R60" s="50">
        <v>8.5403726708074557E-3</v>
      </c>
      <c r="S60" s="50">
        <v>0.23382749326145547</v>
      </c>
      <c r="T60" s="50">
        <v>0.29106628242074928</v>
      </c>
      <c r="U60" s="50">
        <v>0.27777777777777768</v>
      </c>
      <c r="V60" s="50">
        <v>0.32478632478632474</v>
      </c>
    </row>
    <row r="61" spans="1:22" ht="13.2">
      <c r="A61" s="135" t="s">
        <v>365</v>
      </c>
      <c r="B61" s="136">
        <v>9</v>
      </c>
      <c r="C61" s="94">
        <v>154873.45942329997</v>
      </c>
      <c r="D61" s="50">
        <v>1.0000000000000002</v>
      </c>
      <c r="E61" s="70">
        <v>11849</v>
      </c>
      <c r="F61" s="70">
        <v>9266</v>
      </c>
      <c r="G61" s="70">
        <v>777</v>
      </c>
      <c r="H61" s="70">
        <v>63</v>
      </c>
      <c r="I61" s="70">
        <v>4262</v>
      </c>
      <c r="J61" s="70">
        <v>3409</v>
      </c>
      <c r="K61" s="70">
        <v>414</v>
      </c>
      <c r="L61" s="70">
        <v>-137</v>
      </c>
      <c r="M61" s="50">
        <v>6.5575154021436405E-2</v>
      </c>
      <c r="N61" s="50">
        <v>6.7990502913878696E-3</v>
      </c>
      <c r="O61" s="50">
        <v>5.8776103730048532E-2</v>
      </c>
      <c r="P61" s="50">
        <v>9.7137494134209287E-2</v>
      </c>
      <c r="Q61" s="50">
        <v>-4.0187738339689055E-2</v>
      </c>
      <c r="R61" s="50">
        <v>0.13732523247389833</v>
      </c>
      <c r="S61" s="50">
        <v>0.27876106194690276</v>
      </c>
      <c r="T61" s="50">
        <v>11.333333333333334</v>
      </c>
      <c r="U61" s="50">
        <v>0.25022000586682314</v>
      </c>
      <c r="V61" s="50">
        <v>-4.0218978102189782</v>
      </c>
    </row>
    <row r="62" spans="1:22" ht="13.2">
      <c r="A62" s="135" t="s">
        <v>506</v>
      </c>
      <c r="B62" s="136">
        <v>11</v>
      </c>
      <c r="C62" s="94">
        <v>54030.25521860001</v>
      </c>
      <c r="D62" s="50">
        <v>0.99999999999999967</v>
      </c>
      <c r="E62" s="70">
        <v>9790</v>
      </c>
      <c r="F62" s="70">
        <v>9359</v>
      </c>
      <c r="G62" s="70">
        <v>817</v>
      </c>
      <c r="H62" s="70">
        <v>871</v>
      </c>
      <c r="I62" s="70">
        <v>3798</v>
      </c>
      <c r="J62" s="70">
        <v>3464</v>
      </c>
      <c r="K62" s="70">
        <v>391</v>
      </c>
      <c r="L62" s="70">
        <v>309</v>
      </c>
      <c r="M62" s="50">
        <v>8.3452502553626143E-2</v>
      </c>
      <c r="N62" s="50">
        <v>9.3065498450689177E-2</v>
      </c>
      <c r="O62" s="50">
        <v>-9.6129958970630341E-3</v>
      </c>
      <c r="P62" s="50">
        <v>0.10294892048446551</v>
      </c>
      <c r="Q62" s="50">
        <v>8.9203233256351044E-2</v>
      </c>
      <c r="R62" s="50">
        <v>1.3745687228114464E-2</v>
      </c>
      <c r="S62" s="50">
        <v>4.6051928624853078E-2</v>
      </c>
      <c r="T62" s="50">
        <v>-6.1997703788748582E-2</v>
      </c>
      <c r="U62" s="50">
        <v>9.6420323325635104E-2</v>
      </c>
      <c r="V62" s="50">
        <v>0.2653721682847896</v>
      </c>
    </row>
    <row r="63" spans="1:22" ht="13.2">
      <c r="A63" s="135" t="s">
        <v>1366</v>
      </c>
      <c r="B63" s="137">
        <v>2</v>
      </c>
    </row>
    <row r="64" spans="1:22" ht="13.2">
      <c r="A64" s="135" t="s">
        <v>1367</v>
      </c>
      <c r="B64" s="136">
        <v>8</v>
      </c>
      <c r="C64" s="94">
        <v>19114.259030200003</v>
      </c>
      <c r="D64" s="50">
        <v>0.99999999999999989</v>
      </c>
      <c r="E64" s="94">
        <v>3734</v>
      </c>
      <c r="F64" s="94">
        <v>3627</v>
      </c>
      <c r="G64" s="94">
        <v>194</v>
      </c>
      <c r="H64" s="94">
        <v>221</v>
      </c>
      <c r="I64" s="70">
        <v>1385</v>
      </c>
      <c r="J64" s="70">
        <v>1334</v>
      </c>
      <c r="K64" s="94">
        <v>75</v>
      </c>
      <c r="L64" s="94">
        <v>63</v>
      </c>
      <c r="M64" s="50">
        <v>5.195500803427959E-2</v>
      </c>
      <c r="N64" s="50">
        <v>6.093189964157706E-2</v>
      </c>
      <c r="O64" s="50">
        <v>-8.97689160729747E-3</v>
      </c>
      <c r="P64" s="50">
        <v>5.4151624548736461E-2</v>
      </c>
      <c r="Q64" s="50">
        <v>4.7226386806596701E-2</v>
      </c>
      <c r="R64" s="50">
        <v>6.9252377421397601E-3</v>
      </c>
      <c r="S64" s="50">
        <v>2.9500964984835898E-2</v>
      </c>
      <c r="T64" s="50">
        <v>-0.12217194570135748</v>
      </c>
      <c r="U64" s="50">
        <v>3.8230884557721057E-2</v>
      </c>
      <c r="V64" s="50">
        <v>0.19047619047619047</v>
      </c>
    </row>
    <row r="65" spans="1:22" ht="13.2">
      <c r="A65" s="138" t="s">
        <v>1368</v>
      </c>
      <c r="B65" s="136">
        <v>0</v>
      </c>
    </row>
    <row r="66" spans="1:22" ht="13.2">
      <c r="A66" s="135" t="s">
        <v>96</v>
      </c>
      <c r="B66" s="136">
        <v>37</v>
      </c>
      <c r="C66" s="94">
        <v>78060.982364100026</v>
      </c>
      <c r="D66" s="50">
        <v>0.99999999999999956</v>
      </c>
      <c r="E66" s="70">
        <v>19386</v>
      </c>
      <c r="F66" s="70">
        <v>17994</v>
      </c>
      <c r="G66" s="70">
        <v>1280</v>
      </c>
      <c r="H66" s="70">
        <v>1321</v>
      </c>
      <c r="I66" s="70">
        <v>6653</v>
      </c>
      <c r="J66" s="70">
        <v>6164</v>
      </c>
      <c r="K66" s="70">
        <v>420</v>
      </c>
      <c r="L66" s="70">
        <v>508</v>
      </c>
      <c r="M66" s="50">
        <v>6.6027029815330651E-2</v>
      </c>
      <c r="N66" s="50">
        <v>7.3413360008891856E-2</v>
      </c>
      <c r="O66" s="50">
        <v>-7.3863301935612052E-3</v>
      </c>
      <c r="P66" s="50">
        <v>6.31294153013678E-2</v>
      </c>
      <c r="Q66" s="50">
        <v>8.2414016872160933E-2</v>
      </c>
      <c r="R66" s="50">
        <v>-1.9284601570793133E-2</v>
      </c>
      <c r="S66" s="50">
        <v>7.7359119706568835E-2</v>
      </c>
      <c r="T66" s="50">
        <v>-3.1037093111279335E-2</v>
      </c>
      <c r="U66" s="50">
        <v>7.9331602855288841E-2</v>
      </c>
      <c r="V66" s="50">
        <v>-0.17322834645669294</v>
      </c>
    </row>
    <row r="67" spans="1:22" ht="13.2">
      <c r="A67" s="135" t="s">
        <v>300</v>
      </c>
      <c r="B67" s="136">
        <v>3</v>
      </c>
      <c r="C67" s="94">
        <v>111339.66134169999</v>
      </c>
      <c r="D67" s="50">
        <v>1</v>
      </c>
      <c r="E67" s="70">
        <v>118988</v>
      </c>
      <c r="F67" s="70">
        <v>119330</v>
      </c>
      <c r="G67" s="70">
        <v>7332</v>
      </c>
      <c r="H67" s="70">
        <v>11242</v>
      </c>
      <c r="I67" s="70">
        <v>39394</v>
      </c>
      <c r="J67" s="70">
        <v>41477</v>
      </c>
      <c r="K67" s="70">
        <v>2108</v>
      </c>
      <c r="L67" s="70">
        <v>4419</v>
      </c>
      <c r="M67" s="50">
        <v>6.1619659125289945E-2</v>
      </c>
      <c r="N67" s="50">
        <v>9.4209335456297658E-2</v>
      </c>
      <c r="O67" s="50">
        <v>-3.2589676331007712E-2</v>
      </c>
      <c r="P67" s="50">
        <v>5.3510686906635525E-2</v>
      </c>
      <c r="Q67" s="50">
        <v>0.10654097451599681</v>
      </c>
      <c r="R67" s="50">
        <v>-5.3030287609361286E-2</v>
      </c>
      <c r="S67" s="50">
        <v>-2.866001843626953E-3</v>
      </c>
      <c r="T67" s="50">
        <v>-0.34780288204945742</v>
      </c>
      <c r="U67" s="50">
        <v>-5.0220604190274076E-2</v>
      </c>
      <c r="V67" s="50">
        <v>-0.52296899751074899</v>
      </c>
    </row>
    <row r="68" spans="1:22" ht="13.2">
      <c r="A68" s="135" t="s">
        <v>70</v>
      </c>
      <c r="B68" s="136">
        <v>69</v>
      </c>
      <c r="C68" s="94">
        <v>482664.04328270024</v>
      </c>
      <c r="D68" s="50">
        <v>0.99999999999999944</v>
      </c>
      <c r="E68" s="70">
        <v>659206</v>
      </c>
      <c r="F68" s="70">
        <v>312616</v>
      </c>
      <c r="G68" s="70">
        <v>7385</v>
      </c>
      <c r="H68" s="70">
        <v>4503</v>
      </c>
      <c r="I68" s="70">
        <v>285431</v>
      </c>
      <c r="J68" s="70">
        <v>131872</v>
      </c>
      <c r="K68" s="70">
        <v>3280</v>
      </c>
      <c r="L68" s="70">
        <v>1876</v>
      </c>
      <c r="M68" s="50">
        <v>1.1202871333088595E-2</v>
      </c>
      <c r="N68" s="50">
        <v>1.4404253141233975E-2</v>
      </c>
      <c r="O68" s="50">
        <v>-3.2013818081453801E-3</v>
      </c>
      <c r="P68" s="50">
        <v>1.1491393716870277E-2</v>
      </c>
      <c r="Q68" s="50">
        <v>1.4225916039796166E-2</v>
      </c>
      <c r="R68" s="50">
        <v>-2.7345223229258888E-3</v>
      </c>
      <c r="S68" s="50">
        <v>1.1086764592983083</v>
      </c>
      <c r="T68" s="50">
        <v>0.64001776593382198</v>
      </c>
      <c r="U68" s="50">
        <v>1.1644549259888377</v>
      </c>
      <c r="V68" s="50">
        <v>0.74840085287846492</v>
      </c>
    </row>
    <row r="69" spans="1:22" ht="13.2">
      <c r="A69" s="135" t="s">
        <v>86</v>
      </c>
      <c r="B69" s="136">
        <v>6</v>
      </c>
      <c r="C69" s="94">
        <v>240966.81666589997</v>
      </c>
      <c r="D69" s="50">
        <v>1</v>
      </c>
      <c r="E69" s="70">
        <v>115444</v>
      </c>
      <c r="F69" s="70">
        <v>102950</v>
      </c>
      <c r="G69" s="70">
        <v>10261</v>
      </c>
      <c r="H69" s="70">
        <v>8219</v>
      </c>
      <c r="I69" s="70">
        <v>38144</v>
      </c>
      <c r="J69" s="70">
        <v>34143</v>
      </c>
      <c r="K69" s="70">
        <v>2966</v>
      </c>
      <c r="L69" s="70">
        <v>3037</v>
      </c>
      <c r="M69" s="50">
        <v>8.888292158968851E-2</v>
      </c>
      <c r="N69" s="50">
        <v>7.9834871296745991E-2</v>
      </c>
      <c r="O69" s="50">
        <v>9.0480502929425194E-3</v>
      </c>
      <c r="P69" s="50">
        <v>7.775796979865772E-2</v>
      </c>
      <c r="Q69" s="50">
        <v>8.8949418621679405E-2</v>
      </c>
      <c r="R69" s="50">
        <v>-1.1191448823021685E-2</v>
      </c>
      <c r="S69" s="50">
        <v>0.1213598834385623</v>
      </c>
      <c r="T69" s="50">
        <v>0.24844871638885513</v>
      </c>
      <c r="U69" s="50">
        <v>0.117183610110418</v>
      </c>
      <c r="V69" s="50">
        <v>-2.3378333882120517E-2</v>
      </c>
    </row>
    <row r="70" spans="1:22" ht="13.2">
      <c r="A70" s="135" t="s">
        <v>930</v>
      </c>
      <c r="B70" s="136">
        <v>3</v>
      </c>
      <c r="C70" s="94">
        <v>7188.2762099000001</v>
      </c>
      <c r="D70" s="50">
        <v>0.99999999999999989</v>
      </c>
      <c r="E70" s="70">
        <v>1115</v>
      </c>
      <c r="F70" s="70">
        <v>1105</v>
      </c>
      <c r="G70" s="70">
        <v>-41</v>
      </c>
      <c r="H70" s="70">
        <v>-57</v>
      </c>
      <c r="I70" s="70">
        <v>390</v>
      </c>
      <c r="J70" s="70">
        <v>361</v>
      </c>
      <c r="K70" s="70">
        <v>100</v>
      </c>
      <c r="L70" s="70">
        <v>-30</v>
      </c>
      <c r="M70" s="50">
        <v>-3.6771300448430494E-2</v>
      </c>
      <c r="N70" s="50">
        <v>-5.1583710407239816E-2</v>
      </c>
      <c r="O70" s="50">
        <v>1.4812409958809322E-2</v>
      </c>
      <c r="P70" s="50">
        <v>0.25641025641025639</v>
      </c>
      <c r="Q70" s="50">
        <v>-8.3102493074792241E-2</v>
      </c>
      <c r="R70" s="50">
        <v>0.33951274948504861</v>
      </c>
      <c r="S70" s="50">
        <v>9.0497737556560764E-3</v>
      </c>
      <c r="T70" s="50">
        <v>-0.2807017543859649</v>
      </c>
      <c r="U70" s="50">
        <v>8.0332409972299068E-2</v>
      </c>
      <c r="V70" s="50">
        <v>-4.3333333333333339</v>
      </c>
    </row>
    <row r="71" spans="1:22" ht="13.2">
      <c r="A71" s="135" t="s">
        <v>1176</v>
      </c>
      <c r="B71" s="136">
        <v>7</v>
      </c>
      <c r="C71" s="94">
        <v>7587.9589379000008</v>
      </c>
      <c r="D71" s="50">
        <v>0.99999999999999989</v>
      </c>
      <c r="E71" s="70">
        <v>854</v>
      </c>
      <c r="F71" s="70">
        <v>1063</v>
      </c>
      <c r="G71" s="70">
        <v>123</v>
      </c>
      <c r="H71" s="70">
        <v>213</v>
      </c>
      <c r="I71" s="70">
        <v>263</v>
      </c>
      <c r="J71" s="70">
        <v>340</v>
      </c>
      <c r="K71" s="70">
        <v>37</v>
      </c>
      <c r="L71" s="70">
        <v>64</v>
      </c>
      <c r="M71" s="50">
        <v>0.14402810304449648</v>
      </c>
      <c r="N71" s="50">
        <v>0.20037629350893696</v>
      </c>
      <c r="O71" s="50">
        <v>-5.6348190464440479E-2</v>
      </c>
      <c r="P71" s="50">
        <v>0.14068441064638784</v>
      </c>
      <c r="Q71" s="50">
        <v>0.18823529411764706</v>
      </c>
      <c r="R71" s="50">
        <v>-4.7550883471259214E-2</v>
      </c>
      <c r="S71" s="50">
        <v>-0.19661335841956729</v>
      </c>
      <c r="T71" s="50">
        <v>-0.42253521126760563</v>
      </c>
      <c r="U71" s="50">
        <v>-0.22647058823529409</v>
      </c>
      <c r="V71" s="50">
        <v>-0.421875</v>
      </c>
    </row>
    <row r="72" spans="1:22" ht="13.2">
      <c r="A72" s="135" t="s">
        <v>618</v>
      </c>
      <c r="B72" s="136">
        <v>9</v>
      </c>
      <c r="C72" s="94">
        <v>33542.264159400009</v>
      </c>
      <c r="D72" s="50">
        <v>0.99999999999999978</v>
      </c>
      <c r="E72" s="70">
        <v>3261</v>
      </c>
      <c r="F72" s="70">
        <v>3094</v>
      </c>
      <c r="G72" s="70">
        <v>315</v>
      </c>
      <c r="H72" s="70">
        <v>533</v>
      </c>
      <c r="I72" s="70">
        <v>1959</v>
      </c>
      <c r="J72" s="70">
        <v>1753</v>
      </c>
      <c r="K72" s="70">
        <v>33</v>
      </c>
      <c r="L72" s="70">
        <v>218</v>
      </c>
      <c r="M72" s="50">
        <v>9.6596136154553813E-2</v>
      </c>
      <c r="N72" s="50">
        <v>0.17226890756302521</v>
      </c>
      <c r="O72" s="50">
        <v>-7.5672771408471395E-2</v>
      </c>
      <c r="P72" s="50">
        <v>1.6845329249617153E-2</v>
      </c>
      <c r="Q72" s="50">
        <v>0.12435824301197947</v>
      </c>
      <c r="R72" s="50">
        <v>-0.10751291376236231</v>
      </c>
      <c r="S72" s="50">
        <v>5.3975436328377535E-2</v>
      </c>
      <c r="T72" s="50">
        <v>-0.40900562851782363</v>
      </c>
      <c r="U72" s="50">
        <v>0.11751283513976052</v>
      </c>
      <c r="V72" s="50">
        <v>-0.84862385321100919</v>
      </c>
    </row>
    <row r="73" spans="1:22" ht="13.2">
      <c r="A73" s="135" t="s">
        <v>98</v>
      </c>
      <c r="B73" s="136">
        <v>25</v>
      </c>
      <c r="C73" s="94">
        <v>57761.251683799994</v>
      </c>
      <c r="D73" s="50">
        <v>1</v>
      </c>
      <c r="E73" s="70">
        <v>5060</v>
      </c>
      <c r="F73" s="70">
        <v>4382</v>
      </c>
      <c r="G73" s="70">
        <v>815</v>
      </c>
      <c r="H73" s="70">
        <v>685</v>
      </c>
      <c r="I73" s="70">
        <v>1646</v>
      </c>
      <c r="J73" s="70">
        <v>1426</v>
      </c>
      <c r="K73" s="70">
        <v>219</v>
      </c>
      <c r="L73" s="70">
        <v>202</v>
      </c>
      <c r="M73" s="50">
        <v>0.16106719367588934</v>
      </c>
      <c r="N73" s="50">
        <v>0.15632131446827932</v>
      </c>
      <c r="O73" s="50">
        <v>4.7458792076100209E-3</v>
      </c>
      <c r="P73" s="50">
        <v>0.13304981773997571</v>
      </c>
      <c r="Q73" s="50">
        <v>0.14165497896213183</v>
      </c>
      <c r="R73" s="50">
        <v>-8.6051612221561269E-3</v>
      </c>
      <c r="S73" s="50">
        <v>0.15472387037882251</v>
      </c>
      <c r="T73" s="50">
        <v>0.18978102189781021</v>
      </c>
      <c r="U73" s="50">
        <v>0.15427769985974749</v>
      </c>
      <c r="V73" s="50">
        <v>8.4158415841584233E-2</v>
      </c>
    </row>
    <row r="74" spans="1:22" ht="13.2">
      <c r="A74" s="135" t="s">
        <v>275</v>
      </c>
      <c r="B74" s="136">
        <v>38</v>
      </c>
      <c r="C74" s="94">
        <v>959144.24932999967</v>
      </c>
      <c r="D74" s="50">
        <v>1.0000000000000004</v>
      </c>
      <c r="E74" s="70">
        <v>122206</v>
      </c>
      <c r="F74" s="70">
        <v>97837</v>
      </c>
      <c r="G74" s="70">
        <v>12659</v>
      </c>
      <c r="H74" s="70">
        <v>9601</v>
      </c>
      <c r="I74" s="70">
        <v>40882</v>
      </c>
      <c r="J74" s="70">
        <v>33621</v>
      </c>
      <c r="K74" s="70">
        <v>3836</v>
      </c>
      <c r="L74" s="70">
        <v>3220</v>
      </c>
      <c r="M74" s="50">
        <v>0.10358738523476753</v>
      </c>
      <c r="N74" s="50">
        <v>9.8132608317916536E-2</v>
      </c>
      <c r="O74" s="50">
        <v>5.4547769168509924E-3</v>
      </c>
      <c r="P74" s="50">
        <v>9.3831025879360111E-2</v>
      </c>
      <c r="Q74" s="50">
        <v>9.577347491151364E-2</v>
      </c>
      <c r="R74" s="50">
        <v>-1.9424490321535287E-3</v>
      </c>
      <c r="S74" s="50">
        <v>0.24907754734916243</v>
      </c>
      <c r="T74" s="50">
        <v>0.31850848869909387</v>
      </c>
      <c r="U74" s="50">
        <v>0.21596621159394425</v>
      </c>
      <c r="V74" s="50">
        <v>0.19130434782608696</v>
      </c>
    </row>
    <row r="75" spans="1:22" ht="13.2">
      <c r="A75" s="135" t="s">
        <v>209</v>
      </c>
      <c r="B75" s="136">
        <v>15</v>
      </c>
      <c r="C75" s="94">
        <v>419463.11676090001</v>
      </c>
      <c r="D75" s="50">
        <v>1.0000000000000002</v>
      </c>
      <c r="E75" s="70">
        <v>137735</v>
      </c>
      <c r="F75" s="70">
        <v>119619</v>
      </c>
      <c r="G75" s="70">
        <v>24565</v>
      </c>
      <c r="H75" s="70">
        <v>19479</v>
      </c>
      <c r="I75" s="70">
        <v>49643</v>
      </c>
      <c r="J75" s="70">
        <v>39014</v>
      </c>
      <c r="K75" s="70">
        <v>7468</v>
      </c>
      <c r="L75" s="70">
        <v>6850</v>
      </c>
      <c r="M75" s="50">
        <v>0.17834972955312739</v>
      </c>
      <c r="N75" s="50">
        <v>0.16284202342437237</v>
      </c>
      <c r="O75" s="50">
        <v>1.5507706128755017E-2</v>
      </c>
      <c r="P75" s="50">
        <v>0.15043409947021735</v>
      </c>
      <c r="Q75" s="50">
        <v>0.17557799764187215</v>
      </c>
      <c r="R75" s="50">
        <v>-2.5143898171654799E-2</v>
      </c>
      <c r="S75" s="50">
        <v>0.15144751251891431</v>
      </c>
      <c r="T75" s="50">
        <v>0.26110169926587612</v>
      </c>
      <c r="U75" s="50">
        <v>0.27244066232634445</v>
      </c>
      <c r="V75" s="50">
        <v>9.0218978102189817E-2</v>
      </c>
    </row>
    <row r="76" spans="1:22" ht="13.2">
      <c r="A76" s="135" t="s">
        <v>113</v>
      </c>
      <c r="B76" s="136">
        <v>27</v>
      </c>
      <c r="C76" s="94">
        <v>467527.82369469985</v>
      </c>
      <c r="D76" s="50">
        <v>1</v>
      </c>
      <c r="E76" s="70">
        <v>57759</v>
      </c>
      <c r="F76" s="70">
        <v>49056</v>
      </c>
      <c r="G76" s="70">
        <v>6070</v>
      </c>
      <c r="H76" s="70">
        <v>5081</v>
      </c>
      <c r="I76" s="70">
        <v>20166</v>
      </c>
      <c r="J76" s="70">
        <v>16762</v>
      </c>
      <c r="K76" s="70">
        <v>1759</v>
      </c>
      <c r="L76" s="70">
        <v>1735</v>
      </c>
      <c r="M76" s="50">
        <v>0.10509184715801867</v>
      </c>
      <c r="N76" s="50">
        <v>0.10357550554468363</v>
      </c>
      <c r="O76" s="50">
        <v>1.5163416133350399E-3</v>
      </c>
      <c r="P76" s="50">
        <v>8.722602400079342E-2</v>
      </c>
      <c r="Q76" s="50">
        <v>0.10350793461400787</v>
      </c>
      <c r="R76" s="50">
        <v>-1.6281910613214448E-2</v>
      </c>
      <c r="S76" s="50">
        <v>0.17740949119373783</v>
      </c>
      <c r="T76" s="50">
        <v>0.19464672308600672</v>
      </c>
      <c r="U76" s="50">
        <v>0.20307839160004781</v>
      </c>
      <c r="V76" s="50">
        <v>1.383285302593662E-2</v>
      </c>
    </row>
    <row r="77" spans="1:22" ht="13.2">
      <c r="A77" s="135" t="s">
        <v>78</v>
      </c>
      <c r="B77" s="136">
        <v>57</v>
      </c>
      <c r="C77" s="94">
        <v>228013.16544290003</v>
      </c>
      <c r="D77" s="50">
        <v>0.99999999999999978</v>
      </c>
      <c r="E77" s="70">
        <v>22899</v>
      </c>
      <c r="F77" s="70">
        <v>18841</v>
      </c>
      <c r="G77" s="70">
        <v>4103</v>
      </c>
      <c r="H77" s="70">
        <v>2746</v>
      </c>
      <c r="I77" s="70">
        <v>8979</v>
      </c>
      <c r="J77" s="70">
        <v>7739</v>
      </c>
      <c r="K77" s="70">
        <v>2133</v>
      </c>
      <c r="L77" s="70">
        <v>1566</v>
      </c>
      <c r="M77" s="50">
        <v>0.17917813004934713</v>
      </c>
      <c r="N77" s="50">
        <v>0.14574597951276472</v>
      </c>
      <c r="O77" s="50">
        <v>3.3432150536582411E-2</v>
      </c>
      <c r="P77" s="50">
        <v>0.23755429335115269</v>
      </c>
      <c r="Q77" s="50">
        <v>0.20235172502907353</v>
      </c>
      <c r="R77" s="50">
        <v>3.5202568322079159E-2</v>
      </c>
      <c r="S77" s="50">
        <v>0.2153813491852874</v>
      </c>
      <c r="T77" s="50">
        <v>0.49417334304442817</v>
      </c>
      <c r="U77" s="50">
        <v>0.16022741956325115</v>
      </c>
      <c r="V77" s="50">
        <v>0.36206896551724133</v>
      </c>
    </row>
    <row r="78" spans="1:22" ht="13.2">
      <c r="A78" s="135" t="s">
        <v>93</v>
      </c>
      <c r="B78" s="136">
        <v>24</v>
      </c>
      <c r="C78" s="94">
        <v>280251.92012029997</v>
      </c>
      <c r="D78" s="50">
        <v>1.0000000000000002</v>
      </c>
      <c r="E78" s="70">
        <v>76091</v>
      </c>
      <c r="F78" s="70">
        <v>77425</v>
      </c>
      <c r="G78" s="70">
        <v>2762</v>
      </c>
      <c r="H78" s="70">
        <v>4080</v>
      </c>
      <c r="I78" s="70">
        <v>24107</v>
      </c>
      <c r="J78" s="70">
        <v>22953</v>
      </c>
      <c r="K78" s="70">
        <v>519</v>
      </c>
      <c r="L78" s="70">
        <v>979</v>
      </c>
      <c r="M78" s="50">
        <v>3.6298642415003086E-2</v>
      </c>
      <c r="N78" s="50">
        <v>5.2696157571843719E-2</v>
      </c>
      <c r="O78" s="50">
        <v>-1.6397515156840632E-2</v>
      </c>
      <c r="P78" s="50">
        <v>2.1529016468245739E-2</v>
      </c>
      <c r="Q78" s="50">
        <v>4.2652376595651985E-2</v>
      </c>
      <c r="R78" s="50">
        <v>-2.1123360127406246E-2</v>
      </c>
      <c r="S78" s="50">
        <v>-1.7229577010009711E-2</v>
      </c>
      <c r="T78" s="50">
        <v>-0.32303921568627447</v>
      </c>
      <c r="U78" s="50">
        <v>5.0276652289461099E-2</v>
      </c>
      <c r="V78" s="50">
        <v>-0.46986721144024512</v>
      </c>
    </row>
    <row r="79" spans="1:22" ht="13.2">
      <c r="A79" s="135" t="s">
        <v>804</v>
      </c>
      <c r="B79" s="136">
        <v>9</v>
      </c>
      <c r="C79" s="94">
        <v>10610.516737299999</v>
      </c>
      <c r="D79" s="50">
        <v>1.0000000000000002</v>
      </c>
      <c r="E79" s="70">
        <v>3354</v>
      </c>
      <c r="F79" s="70">
        <v>3222</v>
      </c>
      <c r="G79" s="70">
        <v>295</v>
      </c>
      <c r="H79" s="70">
        <v>366</v>
      </c>
      <c r="I79" s="70">
        <v>1106</v>
      </c>
      <c r="J79" s="70">
        <v>1036</v>
      </c>
      <c r="K79" s="70">
        <v>88</v>
      </c>
      <c r="L79" s="70">
        <v>100</v>
      </c>
      <c r="M79" s="50">
        <v>8.7954680977936794E-2</v>
      </c>
      <c r="N79" s="50">
        <v>0.11359404096834265</v>
      </c>
      <c r="O79" s="50">
        <v>-2.5639359990405855E-2</v>
      </c>
      <c r="P79" s="50">
        <v>7.956600361663653E-2</v>
      </c>
      <c r="Q79" s="50">
        <v>9.6525096525096526E-2</v>
      </c>
      <c r="R79" s="50">
        <v>-1.6959092908459997E-2</v>
      </c>
      <c r="S79" s="50">
        <v>4.0968342644320366E-2</v>
      </c>
      <c r="T79" s="50">
        <v>-0.19398907103825136</v>
      </c>
      <c r="U79" s="50">
        <v>6.7567567567567544E-2</v>
      </c>
      <c r="V79" s="50">
        <v>-0.12</v>
      </c>
    </row>
    <row r="80" spans="1:22" ht="13.2">
      <c r="A80" s="135" t="s">
        <v>800</v>
      </c>
      <c r="B80" s="136">
        <v>9</v>
      </c>
      <c r="C80" s="94">
        <v>17547.725013200001</v>
      </c>
      <c r="D80" s="50">
        <v>0.99999999999999978</v>
      </c>
      <c r="E80" s="70">
        <v>3468</v>
      </c>
      <c r="F80" s="70">
        <v>3193</v>
      </c>
      <c r="G80" s="70">
        <v>396</v>
      </c>
      <c r="H80" s="70">
        <v>411</v>
      </c>
      <c r="I80" s="70">
        <v>1223</v>
      </c>
      <c r="J80" s="70">
        <v>1180</v>
      </c>
      <c r="K80" s="70">
        <v>126</v>
      </c>
      <c r="L80" s="70">
        <v>148</v>
      </c>
      <c r="M80" s="50">
        <v>0.11418685121107267</v>
      </c>
      <c r="N80" s="50">
        <v>0.12871907297212654</v>
      </c>
      <c r="O80" s="50">
        <v>-1.4532221761053871E-2</v>
      </c>
      <c r="P80" s="50">
        <v>0.10302534750613246</v>
      </c>
      <c r="Q80" s="50">
        <v>0.12542372881355932</v>
      </c>
      <c r="R80" s="50">
        <v>-2.2398381307426857E-2</v>
      </c>
      <c r="S80" s="50">
        <v>8.6125900407140632E-2</v>
      </c>
      <c r="T80" s="50">
        <v>-3.6496350364963459E-2</v>
      </c>
      <c r="U80" s="50">
        <v>3.6440677966101731E-2</v>
      </c>
      <c r="V80" s="50">
        <v>-0.14864864864864868</v>
      </c>
    </row>
    <row r="81" spans="1:22" ht="13.2">
      <c r="A81" s="135" t="s">
        <v>80</v>
      </c>
      <c r="B81" s="136">
        <v>18</v>
      </c>
      <c r="C81" s="94">
        <v>196257.43131089996</v>
      </c>
      <c r="D81" s="50">
        <v>1.0000000000000004</v>
      </c>
      <c r="E81" s="70">
        <v>56400</v>
      </c>
      <c r="F81" s="70">
        <v>51513</v>
      </c>
      <c r="G81" s="70">
        <v>12348</v>
      </c>
      <c r="H81" s="70">
        <v>8019</v>
      </c>
      <c r="I81" s="70">
        <v>18886</v>
      </c>
      <c r="J81" s="70">
        <v>17417</v>
      </c>
      <c r="K81" s="70">
        <v>4210</v>
      </c>
      <c r="L81" s="70">
        <v>3855</v>
      </c>
      <c r="M81" s="50">
        <v>0.21893617021276596</v>
      </c>
      <c r="N81" s="50">
        <v>0.15566944266495836</v>
      </c>
      <c r="O81" s="50">
        <v>6.32667275478076E-2</v>
      </c>
      <c r="P81" s="50">
        <v>0.22291644604468919</v>
      </c>
      <c r="Q81" s="50">
        <v>0.22133547683297927</v>
      </c>
      <c r="R81" s="50">
        <v>1.580969211709915E-3</v>
      </c>
      <c r="S81" s="50">
        <v>9.4869256304233929E-2</v>
      </c>
      <c r="T81" s="50">
        <v>0.53984287317620661</v>
      </c>
      <c r="U81" s="50">
        <v>8.4342883389791679E-2</v>
      </c>
      <c r="V81" s="50">
        <v>9.20881971465628E-2</v>
      </c>
    </row>
    <row r="82" spans="1:22" ht="13.2">
      <c r="A82" s="135" t="s">
        <v>399</v>
      </c>
      <c r="B82" s="136">
        <v>7</v>
      </c>
      <c r="C82" s="94">
        <v>66035.594602800003</v>
      </c>
      <c r="D82" s="50">
        <v>0.99999999999999989</v>
      </c>
      <c r="E82" s="70">
        <v>3258</v>
      </c>
      <c r="F82" s="70">
        <v>3557</v>
      </c>
      <c r="G82" s="70">
        <v>607</v>
      </c>
      <c r="H82" s="70">
        <v>461</v>
      </c>
      <c r="I82" s="70">
        <v>1277</v>
      </c>
      <c r="J82" s="70">
        <v>1291</v>
      </c>
      <c r="K82" s="70">
        <v>253</v>
      </c>
      <c r="L82" s="70">
        <v>172</v>
      </c>
      <c r="M82" s="50">
        <v>0.18631062001227747</v>
      </c>
      <c r="N82" s="50">
        <v>0.12960359853809389</v>
      </c>
      <c r="O82" s="50">
        <v>5.6707021474183578E-2</v>
      </c>
      <c r="P82" s="50">
        <v>0.19812059514487079</v>
      </c>
      <c r="Q82" s="50">
        <v>0.13323005422153369</v>
      </c>
      <c r="R82" s="50">
        <v>6.4890540923337098E-2</v>
      </c>
      <c r="S82" s="50">
        <v>-8.4059600787180222E-2</v>
      </c>
      <c r="T82" s="50">
        <v>0.31670281995661598</v>
      </c>
      <c r="U82" s="50">
        <v>-1.0844306738962084E-2</v>
      </c>
      <c r="V82" s="50">
        <v>0.47093023255813948</v>
      </c>
    </row>
    <row r="83" spans="1:22" ht="13.2">
      <c r="A83" s="138" t="s">
        <v>1369</v>
      </c>
      <c r="B83" s="136">
        <v>0</v>
      </c>
    </row>
    <row r="84" spans="1:22" ht="13.2">
      <c r="A84" s="135" t="s">
        <v>357</v>
      </c>
      <c r="B84" s="136">
        <v>14</v>
      </c>
      <c r="C84" s="94">
        <v>185833.75678910004</v>
      </c>
      <c r="D84" s="50">
        <v>1</v>
      </c>
      <c r="E84" s="70">
        <v>37542</v>
      </c>
      <c r="F84" s="70">
        <v>28391</v>
      </c>
      <c r="G84" s="70">
        <v>8919</v>
      </c>
      <c r="H84" s="70">
        <v>7245</v>
      </c>
      <c r="I84" s="70">
        <v>14475</v>
      </c>
      <c r="J84" s="70">
        <v>10254</v>
      </c>
      <c r="K84" s="70">
        <v>3119</v>
      </c>
      <c r="L84" s="70">
        <v>2575</v>
      </c>
      <c r="M84" s="50">
        <v>0.23757391721272175</v>
      </c>
      <c r="N84" s="50">
        <v>0.25518650276496074</v>
      </c>
      <c r="O84" s="50">
        <v>-1.7612585552238991E-2</v>
      </c>
      <c r="P84" s="50">
        <v>0.21547495682210707</v>
      </c>
      <c r="Q84" s="50">
        <v>0.25112151355568557</v>
      </c>
      <c r="R84" s="50">
        <v>-3.5646556733578499E-2</v>
      </c>
      <c r="S84" s="50">
        <v>0.32232045366489381</v>
      </c>
      <c r="T84" s="50">
        <v>0.23105590062111792</v>
      </c>
      <c r="U84" s="50">
        <v>0.41164423639555303</v>
      </c>
      <c r="V84" s="50">
        <v>0.21126213592233012</v>
      </c>
    </row>
    <row r="85" spans="1:22" ht="13.2">
      <c r="A85" s="135" t="s">
        <v>514</v>
      </c>
      <c r="B85" s="139">
        <v>135</v>
      </c>
      <c r="C85" s="94">
        <v>245478.06653699995</v>
      </c>
      <c r="D85" s="50">
        <v>0.99999999999999922</v>
      </c>
      <c r="E85" s="70">
        <v>47251</v>
      </c>
      <c r="F85" s="70">
        <v>42687</v>
      </c>
      <c r="G85" s="70">
        <v>2566</v>
      </c>
      <c r="H85" s="70">
        <v>2507.79</v>
      </c>
      <c r="I85" s="70">
        <v>13582</v>
      </c>
      <c r="J85" s="70">
        <v>12451</v>
      </c>
      <c r="K85" s="70">
        <v>827.5</v>
      </c>
      <c r="L85" s="70">
        <v>940</v>
      </c>
      <c r="M85" s="50">
        <v>5.4305728979280862E-2</v>
      </c>
      <c r="N85" s="50">
        <v>5.8748330873568066E-2</v>
      </c>
      <c r="O85" s="50">
        <v>-4.4426018942872042E-3</v>
      </c>
      <c r="P85" s="50">
        <v>6.0926225887203651E-2</v>
      </c>
      <c r="Q85" s="50">
        <v>7.5495944100875428E-2</v>
      </c>
      <c r="R85" s="50">
        <v>-1.4569718213671777E-2</v>
      </c>
      <c r="S85" s="50">
        <v>0.10691779698737314</v>
      </c>
      <c r="T85" s="50">
        <v>2.3211672428712138E-2</v>
      </c>
      <c r="U85" s="50">
        <v>9.0836077423500194E-2</v>
      </c>
      <c r="V85" s="50">
        <v>-0.11968085106382975</v>
      </c>
    </row>
    <row r="86" spans="1:22" ht="13.2">
      <c r="A86" s="135" t="s">
        <v>288</v>
      </c>
      <c r="B86" s="136">
        <v>5</v>
      </c>
      <c r="C86" s="94">
        <v>511890.3932858</v>
      </c>
      <c r="D86" s="50">
        <v>1</v>
      </c>
      <c r="E86" s="70">
        <v>141018</v>
      </c>
      <c r="F86" s="70">
        <v>145664</v>
      </c>
      <c r="G86" s="70">
        <v>17681</v>
      </c>
      <c r="H86" s="70">
        <v>17193</v>
      </c>
      <c r="I86" s="70">
        <v>41479</v>
      </c>
      <c r="J86" s="70">
        <v>44155</v>
      </c>
      <c r="K86" s="70">
        <v>4652</v>
      </c>
      <c r="L86" s="70">
        <v>1601</v>
      </c>
      <c r="M86" s="50">
        <v>0.12538115701541647</v>
      </c>
      <c r="N86" s="50">
        <v>0.11803190905096661</v>
      </c>
      <c r="O86" s="50">
        <v>7.3492479644498565E-3</v>
      </c>
      <c r="P86" s="50">
        <v>0.11215313773234649</v>
      </c>
      <c r="Q86" s="50">
        <v>3.6258634356245045E-2</v>
      </c>
      <c r="R86" s="50">
        <v>7.5894503376101444E-2</v>
      </c>
      <c r="S86" s="50">
        <v>-3.1895320738137056E-2</v>
      </c>
      <c r="T86" s="50">
        <v>2.8383644506485117E-2</v>
      </c>
      <c r="U86" s="50">
        <v>-6.0604688030800546E-2</v>
      </c>
      <c r="V86" s="50">
        <v>1.905683947532792</v>
      </c>
    </row>
    <row r="87" spans="1:22" ht="13.2">
      <c r="A87" s="135" t="s">
        <v>122</v>
      </c>
      <c r="B87" s="136">
        <v>8</v>
      </c>
      <c r="C87" s="94">
        <v>84550.244209199984</v>
      </c>
      <c r="D87" s="50">
        <v>1.0000000000000002</v>
      </c>
      <c r="E87" s="70">
        <v>4485</v>
      </c>
      <c r="F87" s="70">
        <v>3984</v>
      </c>
      <c r="G87" s="70">
        <v>1828</v>
      </c>
      <c r="H87" s="70">
        <v>1428</v>
      </c>
      <c r="I87" s="70">
        <v>1525</v>
      </c>
      <c r="J87" s="70">
        <v>1363</v>
      </c>
      <c r="K87" s="70">
        <v>621</v>
      </c>
      <c r="L87" s="70">
        <v>540</v>
      </c>
      <c r="M87" s="50">
        <v>0.40758082497212933</v>
      </c>
      <c r="N87" s="50">
        <v>0.35843373493975905</v>
      </c>
      <c r="O87" s="50">
        <v>4.9147090032370278E-2</v>
      </c>
      <c r="P87" s="50">
        <v>0.40721311475409838</v>
      </c>
      <c r="Q87" s="50">
        <v>0.3961848862802641</v>
      </c>
      <c r="R87" s="50">
        <v>1.1028228473834278E-2</v>
      </c>
      <c r="S87" s="50">
        <v>0.12575301204819267</v>
      </c>
      <c r="T87" s="50">
        <v>0.28011204481792706</v>
      </c>
      <c r="U87" s="50">
        <v>0.11885546588407925</v>
      </c>
      <c r="V87" s="50">
        <v>0.14999999999999991</v>
      </c>
    </row>
    <row r="88" spans="1:22" ht="13.2">
      <c r="A88" s="135" t="s">
        <v>243</v>
      </c>
      <c r="B88" s="136">
        <v>55</v>
      </c>
      <c r="C88" s="94">
        <v>363261.2992508001</v>
      </c>
      <c r="D88" s="50">
        <v>1.0000000000000002</v>
      </c>
      <c r="E88" s="70">
        <v>105870</v>
      </c>
      <c r="F88" s="70">
        <v>87535</v>
      </c>
      <c r="G88" s="70">
        <v>11137</v>
      </c>
      <c r="H88" s="70">
        <v>9601</v>
      </c>
      <c r="I88" s="70">
        <v>37906</v>
      </c>
      <c r="J88" s="70">
        <v>29397</v>
      </c>
      <c r="K88" s="70">
        <v>3608</v>
      </c>
      <c r="L88" s="70">
        <v>2754</v>
      </c>
      <c r="M88" s="50">
        <v>0.10519505053367337</v>
      </c>
      <c r="N88" s="50">
        <v>0.10968184154909465</v>
      </c>
      <c r="O88" s="50">
        <v>-4.4867910154212792E-3</v>
      </c>
      <c r="P88" s="50">
        <v>9.5182820661636677E-2</v>
      </c>
      <c r="Q88" s="50">
        <v>9.3683028880498009E-2</v>
      </c>
      <c r="R88" s="50">
        <v>1.499791781138668E-3</v>
      </c>
      <c r="S88" s="50">
        <v>0.20945907351345183</v>
      </c>
      <c r="T88" s="50">
        <v>0.15998333506926365</v>
      </c>
      <c r="U88" s="50">
        <v>0.28945130455488655</v>
      </c>
      <c r="V88" s="50">
        <v>0.31009440813362388</v>
      </c>
    </row>
    <row r="89" spans="1:22" ht="13.2">
      <c r="A89" s="135" t="s">
        <v>211</v>
      </c>
      <c r="B89" s="136">
        <v>13</v>
      </c>
      <c r="C89" s="94">
        <v>807719.72819489997</v>
      </c>
      <c r="D89" s="50">
        <v>1</v>
      </c>
      <c r="E89" s="70">
        <v>472578</v>
      </c>
      <c r="F89" s="70">
        <v>442186</v>
      </c>
      <c r="G89" s="70">
        <v>21329</v>
      </c>
      <c r="H89" s="70">
        <v>9576</v>
      </c>
      <c r="I89" s="70">
        <v>160318</v>
      </c>
      <c r="J89" s="70">
        <v>147024</v>
      </c>
      <c r="K89" s="70">
        <v>6568</v>
      </c>
      <c r="L89" s="70">
        <v>2394</v>
      </c>
      <c r="M89" s="50">
        <v>4.5133290165856217E-2</v>
      </c>
      <c r="N89" s="50">
        <v>2.1656045193651541E-2</v>
      </c>
      <c r="O89" s="50">
        <v>2.3477244972204676E-2</v>
      </c>
      <c r="P89" s="50">
        <v>4.0968574957272422E-2</v>
      </c>
      <c r="Q89" s="50">
        <v>1.6283055827619981E-2</v>
      </c>
      <c r="R89" s="50">
        <v>2.4685519129652441E-2</v>
      </c>
      <c r="S89" s="50">
        <v>6.8731257886952557E-2</v>
      </c>
      <c r="T89" s="50">
        <v>1.2273391812865495</v>
      </c>
      <c r="U89" s="50">
        <v>9.0420611600827039E-2</v>
      </c>
      <c r="V89" s="50">
        <v>1.7435254803675857</v>
      </c>
    </row>
    <row r="90" spans="1:22" ht="13.2">
      <c r="A90" s="135" t="s">
        <v>384</v>
      </c>
      <c r="B90" s="136">
        <v>96</v>
      </c>
      <c r="C90" s="94">
        <v>260291.05323600001</v>
      </c>
      <c r="D90" s="50">
        <v>0.99999999999999989</v>
      </c>
      <c r="E90" s="70">
        <v>108184</v>
      </c>
      <c r="F90" s="70">
        <v>103633</v>
      </c>
      <c r="G90" s="70">
        <v>7841</v>
      </c>
      <c r="H90" s="70">
        <v>7710</v>
      </c>
      <c r="I90" s="70">
        <v>37448</v>
      </c>
      <c r="J90" s="70">
        <v>35885</v>
      </c>
      <c r="K90" s="70">
        <v>2499</v>
      </c>
      <c r="L90" s="70">
        <v>2886</v>
      </c>
      <c r="M90" s="50">
        <v>7.2478370184130739E-2</v>
      </c>
      <c r="N90" s="50">
        <v>7.4397151486495616E-2</v>
      </c>
      <c r="O90" s="50">
        <v>-1.9187813023648775E-3</v>
      </c>
      <c r="P90" s="50">
        <v>6.6732535782952365E-2</v>
      </c>
      <c r="Q90" s="50">
        <v>8.0423575310018119E-2</v>
      </c>
      <c r="R90" s="50">
        <v>-1.3691039527065754E-2</v>
      </c>
      <c r="S90" s="50">
        <v>4.3914583192612433E-2</v>
      </c>
      <c r="T90" s="50">
        <v>1.6990920881971405E-2</v>
      </c>
      <c r="U90" s="50">
        <v>4.3555803260415304E-2</v>
      </c>
      <c r="V90" s="50">
        <v>-0.13409563409563408</v>
      </c>
    </row>
    <row r="91" spans="1:22" ht="13.2">
      <c r="A91" s="135" t="s">
        <v>455</v>
      </c>
      <c r="B91" s="136">
        <v>79</v>
      </c>
      <c r="C91" s="94">
        <v>205087.03286769995</v>
      </c>
      <c r="D91" s="50">
        <v>1.0000000000000002</v>
      </c>
      <c r="E91" s="70">
        <v>42082</v>
      </c>
      <c r="F91" s="70">
        <v>36667</v>
      </c>
      <c r="G91" s="70">
        <v>4361</v>
      </c>
      <c r="H91" s="70">
        <v>3735</v>
      </c>
      <c r="I91" s="70">
        <v>14992</v>
      </c>
      <c r="J91" s="70">
        <v>12700</v>
      </c>
      <c r="K91" s="70">
        <v>1358</v>
      </c>
      <c r="L91" s="70">
        <v>1398</v>
      </c>
      <c r="M91" s="50">
        <v>0.10363100613088731</v>
      </c>
      <c r="N91" s="50">
        <v>0.10186271033899692</v>
      </c>
      <c r="O91" s="50">
        <v>1.7682957918903897E-3</v>
      </c>
      <c r="P91" s="50">
        <v>9.0581643543223053E-2</v>
      </c>
      <c r="Q91" s="50">
        <v>0.11007874015748031</v>
      </c>
      <c r="R91" s="50">
        <v>-1.9497096614257262E-2</v>
      </c>
      <c r="S91" s="50">
        <v>0.14768047563203979</v>
      </c>
      <c r="T91" s="50">
        <v>0.16760374832663993</v>
      </c>
      <c r="U91" s="50">
        <v>0.18047244094488191</v>
      </c>
      <c r="V91" s="50">
        <v>-2.8612303290414864E-2</v>
      </c>
    </row>
    <row r="92" spans="1:22" ht="13.2">
      <c r="A92" s="135" t="s">
        <v>1370</v>
      </c>
      <c r="B92" s="136">
        <v>4</v>
      </c>
    </row>
    <row r="93" spans="1:22" ht="13.2">
      <c r="A93" s="135" t="s">
        <v>1371</v>
      </c>
      <c r="B93" s="136">
        <v>8</v>
      </c>
    </row>
    <row r="94" spans="1:22" ht="13.2">
      <c r="A94" s="135" t="s">
        <v>1372</v>
      </c>
      <c r="B94" s="136">
        <v>3</v>
      </c>
    </row>
    <row r="95" spans="1:22" ht="13.2">
      <c r="A95" s="135" t="s">
        <v>137</v>
      </c>
      <c r="B95" s="136">
        <v>6</v>
      </c>
      <c r="C95" s="94">
        <v>917567.96520780004</v>
      </c>
      <c r="D95" s="50">
        <v>0.99999999999999989</v>
      </c>
      <c r="E95" s="70">
        <v>980103</v>
      </c>
      <c r="F95" s="70">
        <v>899319</v>
      </c>
      <c r="G95" s="70">
        <v>38185</v>
      </c>
      <c r="H95" s="70">
        <v>33381</v>
      </c>
      <c r="I95" s="70">
        <v>345995</v>
      </c>
      <c r="J95" s="70">
        <v>251890</v>
      </c>
      <c r="K95" s="70">
        <v>14356</v>
      </c>
      <c r="L95" s="70">
        <v>12374</v>
      </c>
      <c r="M95" s="50">
        <v>3.8960190918709565E-2</v>
      </c>
      <c r="N95" s="50">
        <v>3.7118086018420607E-2</v>
      </c>
      <c r="O95" s="50">
        <v>1.8421049002889586E-3</v>
      </c>
      <c r="P95" s="50">
        <v>4.1491929074119568E-2</v>
      </c>
      <c r="Q95" s="50">
        <v>4.912461788876097E-2</v>
      </c>
      <c r="R95" s="50">
        <v>-7.6326888146414015E-3</v>
      </c>
      <c r="S95" s="50">
        <v>8.9827969830505117E-2</v>
      </c>
      <c r="T95" s="50">
        <v>0.14391420269015298</v>
      </c>
      <c r="U95" s="50">
        <v>0.37359561713446343</v>
      </c>
      <c r="V95" s="50">
        <v>0.16017455956036852</v>
      </c>
    </row>
    <row r="96" spans="1:22" ht="13.2">
      <c r="A96" s="135" t="s">
        <v>476</v>
      </c>
      <c r="B96" s="136">
        <v>45</v>
      </c>
      <c r="C96" s="94">
        <v>127312.6419359</v>
      </c>
      <c r="D96" s="50">
        <v>1</v>
      </c>
      <c r="E96" s="70">
        <v>41164</v>
      </c>
      <c r="F96" s="70">
        <v>37762</v>
      </c>
      <c r="G96" s="70">
        <v>1820</v>
      </c>
      <c r="H96" s="70">
        <v>2061</v>
      </c>
      <c r="I96" s="70">
        <v>14397</v>
      </c>
      <c r="J96" s="70">
        <v>12925</v>
      </c>
      <c r="K96" s="70">
        <v>801</v>
      </c>
      <c r="L96" s="70">
        <v>1095</v>
      </c>
      <c r="M96" s="50">
        <v>4.4213390341074722E-2</v>
      </c>
      <c r="N96" s="50">
        <v>5.4578676976855041E-2</v>
      </c>
      <c r="O96" s="50">
        <v>-1.0365286635780319E-2</v>
      </c>
      <c r="P96" s="50">
        <v>5.563659095644926E-2</v>
      </c>
      <c r="Q96" s="50">
        <v>8.4719535783365565E-2</v>
      </c>
      <c r="R96" s="50">
        <v>-2.9082944826916306E-2</v>
      </c>
      <c r="S96" s="50">
        <v>9.0090567236904784E-2</v>
      </c>
      <c r="T96" s="50">
        <v>-0.11693352741387675</v>
      </c>
      <c r="U96" s="50">
        <v>0.11388781431334616</v>
      </c>
      <c r="V96" s="50">
        <v>-0.26849315068493151</v>
      </c>
    </row>
    <row r="97" spans="1:22" ht="13.2">
      <c r="A97" s="135" t="s">
        <v>410</v>
      </c>
      <c r="B97" s="136">
        <v>7</v>
      </c>
      <c r="C97" s="94">
        <v>150099.12811499994</v>
      </c>
      <c r="D97" s="50">
        <v>1.0000000000000004</v>
      </c>
      <c r="E97" s="70">
        <v>70769</v>
      </c>
      <c r="F97" s="70">
        <v>73481</v>
      </c>
      <c r="G97" s="70">
        <v>5749</v>
      </c>
      <c r="H97" s="70">
        <v>6234</v>
      </c>
      <c r="I97" s="70">
        <v>23434</v>
      </c>
      <c r="J97" s="70">
        <v>24139</v>
      </c>
      <c r="K97" s="70">
        <v>1863</v>
      </c>
      <c r="L97" s="70">
        <v>1778</v>
      </c>
      <c r="M97" s="50">
        <v>8.1236134465655863E-2</v>
      </c>
      <c r="N97" s="50">
        <v>8.4838257508743756E-2</v>
      </c>
      <c r="O97" s="50">
        <v>-3.6021230430878931E-3</v>
      </c>
      <c r="P97" s="50">
        <v>7.9499871980882472E-2</v>
      </c>
      <c r="Q97" s="50">
        <v>7.3656738058743107E-2</v>
      </c>
      <c r="R97" s="50">
        <v>5.8431339221393652E-3</v>
      </c>
      <c r="S97" s="50">
        <v>-3.6907499897932849E-2</v>
      </c>
      <c r="T97" s="50">
        <v>-7.779916586461344E-2</v>
      </c>
      <c r="U97" s="50">
        <v>-2.9205849455238408E-2</v>
      </c>
      <c r="V97" s="50">
        <v>4.7806524184476951E-2</v>
      </c>
    </row>
    <row r="98" spans="1:22" ht="13.2">
      <c r="A98" s="135" t="s">
        <v>589</v>
      </c>
      <c r="B98" s="136">
        <v>7</v>
      </c>
      <c r="C98" s="94">
        <v>29030.6176256</v>
      </c>
      <c r="D98" s="50">
        <v>0.99999999999999989</v>
      </c>
      <c r="E98" s="70">
        <v>11833</v>
      </c>
      <c r="F98" s="70">
        <v>10830</v>
      </c>
      <c r="G98" s="70">
        <v>1339</v>
      </c>
      <c r="H98" s="70">
        <v>1274</v>
      </c>
      <c r="I98" s="70">
        <v>3520</v>
      </c>
      <c r="J98" s="70">
        <v>3213</v>
      </c>
      <c r="K98" s="70">
        <v>358</v>
      </c>
      <c r="L98" s="70">
        <v>380</v>
      </c>
      <c r="M98" s="50">
        <v>0.11315811713006001</v>
      </c>
      <c r="N98" s="50">
        <v>0.11763619575253924</v>
      </c>
      <c r="O98" s="50">
        <v>-4.4780786224792313E-3</v>
      </c>
      <c r="P98" s="50">
        <v>0.10170454545454545</v>
      </c>
      <c r="Q98" s="50">
        <v>0.11826953003423592</v>
      </c>
      <c r="R98" s="50">
        <v>-1.6564984579690467E-2</v>
      </c>
      <c r="S98" s="50">
        <v>9.2613111726685071E-2</v>
      </c>
      <c r="T98" s="50">
        <v>5.1020408163265252E-2</v>
      </c>
      <c r="U98" s="50">
        <v>9.5549330843448521E-2</v>
      </c>
      <c r="V98" s="50">
        <v>-5.7894736842105221E-2</v>
      </c>
    </row>
    <row r="99" spans="1:22" ht="13.2">
      <c r="A99" s="135" t="s">
        <v>1302</v>
      </c>
      <c r="B99" s="136">
        <v>6</v>
      </c>
      <c r="C99" s="94">
        <v>4052.2802316000002</v>
      </c>
      <c r="D99" s="50">
        <v>1</v>
      </c>
      <c r="E99" s="70">
        <v>8544</v>
      </c>
      <c r="F99" s="70">
        <v>6476</v>
      </c>
      <c r="G99" s="70">
        <v>265</v>
      </c>
      <c r="H99" s="70">
        <v>206</v>
      </c>
      <c r="I99" s="70">
        <v>3223</v>
      </c>
      <c r="J99" s="70">
        <v>2471</v>
      </c>
      <c r="K99" s="70">
        <v>145</v>
      </c>
      <c r="L99" s="70">
        <v>49</v>
      </c>
      <c r="M99" s="50">
        <v>3.1015917602996254E-2</v>
      </c>
      <c r="N99" s="50">
        <v>3.1809759110562073E-2</v>
      </c>
      <c r="O99" s="50">
        <v>-7.9384150756581923E-4</v>
      </c>
      <c r="P99" s="50">
        <v>4.4989140552280482E-2</v>
      </c>
      <c r="Q99" s="50">
        <v>1.9830028328611898E-2</v>
      </c>
      <c r="R99" s="50">
        <v>2.5159112223668584E-2</v>
      </c>
      <c r="S99" s="50">
        <v>0.31933292155651638</v>
      </c>
      <c r="T99" s="50">
        <v>0.28640776699029136</v>
      </c>
      <c r="U99" s="50">
        <v>0.30433023067583975</v>
      </c>
      <c r="V99" s="50">
        <v>1.9591836734693877</v>
      </c>
    </row>
    <row r="100" spans="1:22" ht="13.2">
      <c r="A100" s="135" t="s">
        <v>558</v>
      </c>
      <c r="B100" s="136">
        <v>13</v>
      </c>
      <c r="C100" s="94">
        <v>46298.1037641</v>
      </c>
      <c r="D100" s="50">
        <v>1</v>
      </c>
      <c r="E100" s="70">
        <v>5684</v>
      </c>
      <c r="F100" s="70">
        <v>10058</v>
      </c>
      <c r="G100" s="70">
        <v>655</v>
      </c>
      <c r="H100" s="70">
        <v>-1674</v>
      </c>
      <c r="I100" s="70">
        <v>2085</v>
      </c>
      <c r="J100" s="70">
        <v>2809</v>
      </c>
      <c r="K100" s="70">
        <v>173</v>
      </c>
      <c r="L100" s="70">
        <v>-1391</v>
      </c>
      <c r="M100" s="50">
        <v>0.11523574947220268</v>
      </c>
      <c r="N100" s="50">
        <v>-0.16643467886259694</v>
      </c>
      <c r="O100" s="50">
        <v>0.28167042833479961</v>
      </c>
      <c r="P100" s="50">
        <v>8.2973621103117512E-2</v>
      </c>
      <c r="Q100" s="50">
        <v>-0.49519401922392309</v>
      </c>
      <c r="R100" s="50">
        <v>0.5781676403270406</v>
      </c>
      <c r="S100" s="50">
        <v>-0.43487770928614033</v>
      </c>
      <c r="T100" s="50">
        <v>-1.3912783751493429</v>
      </c>
      <c r="U100" s="50">
        <v>-0.25774296902812388</v>
      </c>
      <c r="V100" s="50">
        <v>-1.1243709561466571</v>
      </c>
    </row>
    <row r="101" spans="1:22" ht="13.2">
      <c r="A101" s="135" t="s">
        <v>688</v>
      </c>
      <c r="B101" s="136">
        <v>12</v>
      </c>
      <c r="C101" s="94">
        <v>19470.631929099989</v>
      </c>
      <c r="D101" s="50">
        <v>1.0000000000000007</v>
      </c>
      <c r="E101" s="70">
        <v>1550</v>
      </c>
      <c r="F101" s="70">
        <v>1290</v>
      </c>
      <c r="G101" s="70">
        <v>293</v>
      </c>
      <c r="H101" s="70">
        <v>245.58</v>
      </c>
      <c r="I101" s="70">
        <v>594</v>
      </c>
      <c r="J101" s="70">
        <v>435</v>
      </c>
      <c r="K101" s="70">
        <v>89</v>
      </c>
      <c r="L101" s="70">
        <v>84.61</v>
      </c>
      <c r="M101" s="50">
        <v>0.18903225806451612</v>
      </c>
      <c r="N101" s="50">
        <v>0.19037209302325583</v>
      </c>
      <c r="O101" s="50">
        <v>-1.3398349587397107E-3</v>
      </c>
      <c r="P101" s="50">
        <v>0.14983164983164984</v>
      </c>
      <c r="Q101" s="50">
        <v>0.19450574712643678</v>
      </c>
      <c r="R101" s="50">
        <v>-4.4674097294786941E-2</v>
      </c>
      <c r="S101" s="50">
        <v>0.20155038759689914</v>
      </c>
      <c r="T101" s="50">
        <v>0.1930939001547356</v>
      </c>
      <c r="U101" s="50">
        <v>0.36551724137931041</v>
      </c>
      <c r="V101" s="50">
        <v>5.1885119962179482E-2</v>
      </c>
    </row>
    <row r="102" spans="1:22" ht="13.2">
      <c r="A102" s="135" t="s">
        <v>579</v>
      </c>
      <c r="B102" s="136">
        <v>5</v>
      </c>
      <c r="C102" s="94">
        <v>26948.750983500002</v>
      </c>
      <c r="D102" s="50">
        <v>0.99999999999999989</v>
      </c>
      <c r="E102" s="70">
        <v>7476</v>
      </c>
      <c r="F102" s="70">
        <v>8224</v>
      </c>
      <c r="G102" s="70">
        <v>437</v>
      </c>
      <c r="H102" s="70">
        <v>-398</v>
      </c>
      <c r="I102" s="70">
        <v>2512</v>
      </c>
      <c r="J102" s="70">
        <v>2543</v>
      </c>
      <c r="K102" s="70">
        <v>328</v>
      </c>
      <c r="L102" s="70">
        <v>-815</v>
      </c>
      <c r="M102" s="50">
        <v>5.8453718566078117E-2</v>
      </c>
      <c r="N102" s="50">
        <v>-4.8394941634241247E-2</v>
      </c>
      <c r="O102" s="50">
        <v>0.10684866020031936</v>
      </c>
      <c r="P102" s="50">
        <v>0.13057324840764331</v>
      </c>
      <c r="Q102" s="50">
        <v>-0.32048761305544632</v>
      </c>
      <c r="R102" s="50">
        <v>0.45106086146308966</v>
      </c>
      <c r="S102" s="50">
        <v>-9.0953307392996119E-2</v>
      </c>
      <c r="T102" s="50">
        <v>-2.0979899497487438</v>
      </c>
      <c r="U102" s="50">
        <v>-1.2190326386158135E-2</v>
      </c>
      <c r="V102" s="50">
        <v>-1.4024539877300612</v>
      </c>
    </row>
    <row r="103" spans="1:22" ht="13.2">
      <c r="A103" s="135" t="s">
        <v>1373</v>
      </c>
      <c r="B103" s="136">
        <v>14</v>
      </c>
    </row>
    <row r="104" spans="1:22" ht="13.2">
      <c r="A104" s="135" t="s">
        <v>178</v>
      </c>
      <c r="B104" s="136">
        <v>234</v>
      </c>
      <c r="C104" s="94">
        <v>1109178.4431360988</v>
      </c>
      <c r="D104" s="50">
        <v>1</v>
      </c>
      <c r="E104" s="70">
        <v>279156</v>
      </c>
      <c r="F104" s="70">
        <v>236049</v>
      </c>
      <c r="G104" s="70">
        <v>52250</v>
      </c>
      <c r="H104" s="70">
        <v>45189</v>
      </c>
      <c r="I104" s="70">
        <v>96796</v>
      </c>
      <c r="J104" s="70">
        <v>82200</v>
      </c>
      <c r="K104" s="70">
        <v>17406</v>
      </c>
      <c r="L104" s="70">
        <v>15916</v>
      </c>
      <c r="M104" s="50">
        <v>0.18717133072547248</v>
      </c>
      <c r="N104" s="50">
        <v>0.19143906561773191</v>
      </c>
      <c r="O104" s="50">
        <v>-4.2677348922594283E-3</v>
      </c>
      <c r="P104" s="50">
        <v>0.17982148022645564</v>
      </c>
      <c r="Q104" s="50">
        <v>0.19362530413625303</v>
      </c>
      <c r="R104" s="50">
        <v>-1.3803823909797397E-2</v>
      </c>
      <c r="S104" s="50">
        <v>0.18261886303267549</v>
      </c>
      <c r="T104" s="50">
        <v>0.15625484077983587</v>
      </c>
      <c r="U104" s="50">
        <v>0.17756690997566915</v>
      </c>
      <c r="V104" s="50">
        <v>9.3616486554410683E-2</v>
      </c>
    </row>
    <row r="105" spans="1:22" ht="13.2">
      <c r="A105" s="135" t="s">
        <v>1374</v>
      </c>
      <c r="B105" s="136">
        <v>4</v>
      </c>
    </row>
    <row r="106" spans="1:22" ht="13.2">
      <c r="A106" s="135" t="s">
        <v>1239</v>
      </c>
      <c r="B106" s="136">
        <v>5</v>
      </c>
      <c r="C106" s="94">
        <v>4384.7728625</v>
      </c>
      <c r="D106" s="50">
        <v>0.99999999999999989</v>
      </c>
      <c r="E106" s="70">
        <v>642</v>
      </c>
      <c r="F106" s="70">
        <v>408</v>
      </c>
      <c r="G106" s="70">
        <v>204</v>
      </c>
      <c r="H106" s="70">
        <v>127</v>
      </c>
      <c r="I106" s="70">
        <v>221</v>
      </c>
      <c r="J106" s="70">
        <v>154</v>
      </c>
      <c r="K106" s="70">
        <v>71</v>
      </c>
      <c r="L106" s="70">
        <v>47</v>
      </c>
      <c r="M106" s="50">
        <v>0.31775700934579437</v>
      </c>
      <c r="N106" s="50">
        <v>0.31127450980392157</v>
      </c>
      <c r="O106" s="50">
        <v>6.4824995418727993E-3</v>
      </c>
      <c r="P106" s="50">
        <v>0.32126696832579188</v>
      </c>
      <c r="Q106" s="50">
        <v>0.30519480519480519</v>
      </c>
      <c r="R106" s="50">
        <v>1.6072163130986694E-2</v>
      </c>
      <c r="S106" s="50">
        <v>0.57352941176470584</v>
      </c>
      <c r="T106" s="50">
        <v>0.60629921259842523</v>
      </c>
      <c r="U106" s="50">
        <v>0.43506493506493515</v>
      </c>
      <c r="V106" s="50">
        <v>0.5106382978723405</v>
      </c>
    </row>
    <row r="107" spans="1:22" ht="13.2">
      <c r="A107" s="135" t="s">
        <v>202</v>
      </c>
      <c r="B107" s="136">
        <v>6</v>
      </c>
      <c r="C107" s="94">
        <v>447266.66888060002</v>
      </c>
      <c r="D107" s="50">
        <v>1</v>
      </c>
      <c r="E107" s="70">
        <v>515483</v>
      </c>
      <c r="F107" s="70">
        <v>522089</v>
      </c>
      <c r="G107" s="70">
        <v>41241.49</v>
      </c>
      <c r="H107" s="70">
        <v>34906.07</v>
      </c>
      <c r="I107" s="70">
        <v>176534</v>
      </c>
      <c r="J107" s="70">
        <v>176302</v>
      </c>
      <c r="K107" s="70">
        <v>13382.22</v>
      </c>
      <c r="L107" s="70">
        <v>11202.91</v>
      </c>
      <c r="M107" s="50">
        <v>8.0005528795323994E-2</v>
      </c>
      <c r="N107" s="50">
        <v>6.6858466659898988E-2</v>
      </c>
      <c r="O107" s="50">
        <v>1.3147062135425006E-2</v>
      </c>
      <c r="P107" s="50">
        <v>7.5805340614272604E-2</v>
      </c>
      <c r="Q107" s="50">
        <v>6.3543862236389831E-2</v>
      </c>
      <c r="R107" s="50">
        <v>1.2261478377882773E-2</v>
      </c>
      <c r="S107" s="50">
        <v>-1.265301509895822E-2</v>
      </c>
      <c r="T107" s="50">
        <v>0.18149909170525347</v>
      </c>
      <c r="U107" s="50">
        <v>1.3159238125488582E-3</v>
      </c>
      <c r="V107" s="50">
        <v>0.19453070675387019</v>
      </c>
    </row>
    <row r="108" spans="1:22" ht="13.2">
      <c r="A108" s="135" t="s">
        <v>537</v>
      </c>
      <c r="B108" s="136">
        <v>2</v>
      </c>
      <c r="C108" s="94">
        <v>19107.5240906</v>
      </c>
      <c r="D108" s="50">
        <v>1</v>
      </c>
      <c r="E108" s="70">
        <v>562</v>
      </c>
      <c r="F108" s="70">
        <v>476</v>
      </c>
      <c r="G108" s="70">
        <v>467</v>
      </c>
      <c r="H108" s="70">
        <v>85</v>
      </c>
      <c r="I108" s="70">
        <v>200</v>
      </c>
      <c r="J108" s="70">
        <v>169</v>
      </c>
      <c r="K108" s="70">
        <v>61</v>
      </c>
      <c r="L108" s="70">
        <v>37</v>
      </c>
      <c r="M108" s="50">
        <v>0.83096085409252674</v>
      </c>
      <c r="N108" s="50">
        <v>0.17857142857142858</v>
      </c>
      <c r="O108" s="50">
        <v>0.65238942552109813</v>
      </c>
      <c r="P108" s="50">
        <v>0.30499999999999999</v>
      </c>
      <c r="Q108" s="50">
        <v>0.21893491124260356</v>
      </c>
      <c r="R108" s="50">
        <v>8.6065088757396435E-2</v>
      </c>
      <c r="S108" s="50">
        <v>0.18067226890756305</v>
      </c>
      <c r="T108" s="50">
        <v>4.4941176470588236</v>
      </c>
      <c r="U108" s="50">
        <v>0.18343195266272194</v>
      </c>
      <c r="V108" s="50">
        <v>0.64864864864864868</v>
      </c>
    </row>
    <row r="109" spans="1:22" ht="13.2">
      <c r="A109" s="135" t="s">
        <v>664</v>
      </c>
      <c r="B109" s="136">
        <v>48</v>
      </c>
      <c r="C109" s="94">
        <v>47029.454679999988</v>
      </c>
      <c r="D109" s="50">
        <v>1.0000000000000002</v>
      </c>
      <c r="E109" s="70">
        <v>19330</v>
      </c>
      <c r="F109" s="70">
        <v>16120</v>
      </c>
      <c r="G109" s="70">
        <v>1525</v>
      </c>
      <c r="H109" s="70">
        <v>1334</v>
      </c>
      <c r="I109" s="70">
        <v>6458</v>
      </c>
      <c r="J109" s="70">
        <v>5631</v>
      </c>
      <c r="K109" s="70">
        <v>423</v>
      </c>
      <c r="L109" s="70">
        <v>375</v>
      </c>
      <c r="M109" s="50">
        <v>7.8892912571132956E-2</v>
      </c>
      <c r="N109" s="50">
        <v>8.2754342431761788E-2</v>
      </c>
      <c r="O109" s="50">
        <v>-3.8614298606288316E-3</v>
      </c>
      <c r="P109" s="50">
        <v>6.5500154846701769E-2</v>
      </c>
      <c r="Q109" s="50">
        <v>6.659563132658497E-2</v>
      </c>
      <c r="R109" s="50">
        <v>-1.0954764798832006E-3</v>
      </c>
      <c r="S109" s="50">
        <v>0.19913151364764259</v>
      </c>
      <c r="T109" s="50">
        <v>0.14317841079460281</v>
      </c>
      <c r="U109" s="50">
        <v>0.1468655656188953</v>
      </c>
      <c r="V109" s="50">
        <v>0.12799999999999989</v>
      </c>
    </row>
    <row r="110" spans="1:22" ht="13.2">
      <c r="A110" s="135" t="s">
        <v>355</v>
      </c>
      <c r="B110" s="136">
        <v>9</v>
      </c>
      <c r="C110" s="94">
        <v>91486.149345600003</v>
      </c>
      <c r="D110" s="50">
        <v>1</v>
      </c>
      <c r="E110" s="70">
        <v>77313</v>
      </c>
      <c r="F110" s="70">
        <v>67990</v>
      </c>
      <c r="G110" s="70">
        <v>3014</v>
      </c>
      <c r="H110" s="70">
        <v>6147</v>
      </c>
      <c r="I110" s="70">
        <v>24221</v>
      </c>
      <c r="J110" s="70">
        <v>21155</v>
      </c>
      <c r="K110" s="70">
        <v>663</v>
      </c>
      <c r="L110" s="70">
        <v>1640</v>
      </c>
      <c r="M110" s="50">
        <v>3.8984388136535902E-2</v>
      </c>
      <c r="N110" s="50">
        <v>9.0410354463891743E-2</v>
      </c>
      <c r="O110" s="50">
        <v>-5.142596632735584E-2</v>
      </c>
      <c r="P110" s="50">
        <v>2.7372940836464226E-2</v>
      </c>
      <c r="Q110" s="50">
        <v>7.7523044197589222E-2</v>
      </c>
      <c r="R110" s="50">
        <v>-5.0150103361124992E-2</v>
      </c>
      <c r="S110" s="50">
        <v>0.13712310633916758</v>
      </c>
      <c r="T110" s="50">
        <v>-0.50967951846429149</v>
      </c>
      <c r="U110" s="50">
        <v>0.14493027653037105</v>
      </c>
      <c r="V110" s="50">
        <v>-0.59573170731707314</v>
      </c>
    </row>
    <row r="111" spans="1:22" ht="13.2">
      <c r="A111" s="135" t="s">
        <v>249</v>
      </c>
      <c r="B111" s="136">
        <v>4</v>
      </c>
      <c r="C111" s="94">
        <v>133329.64818409999</v>
      </c>
      <c r="D111" s="50">
        <v>1</v>
      </c>
      <c r="E111" s="70">
        <v>22225</v>
      </c>
      <c r="F111" s="70">
        <v>20481</v>
      </c>
      <c r="G111" s="70">
        <v>195</v>
      </c>
      <c r="H111" s="70">
        <v>3062</v>
      </c>
      <c r="I111" s="70">
        <v>4334</v>
      </c>
      <c r="J111" s="70">
        <v>3817</v>
      </c>
      <c r="K111" s="70">
        <v>260</v>
      </c>
      <c r="L111" s="70">
        <v>195</v>
      </c>
      <c r="M111" s="50">
        <v>8.7739032620922381E-3</v>
      </c>
      <c r="N111" s="50">
        <v>0.14950441872955422</v>
      </c>
      <c r="O111" s="50">
        <v>-0.14073051546746199</v>
      </c>
      <c r="P111" s="50">
        <v>5.9990770650669129E-2</v>
      </c>
      <c r="Q111" s="50">
        <v>5.1087241288970395E-2</v>
      </c>
      <c r="R111" s="50">
        <v>8.9035293616987338E-3</v>
      </c>
      <c r="S111" s="50">
        <v>8.5152092182998906E-2</v>
      </c>
      <c r="T111" s="50">
        <v>-0.9363161332462443</v>
      </c>
      <c r="U111" s="50">
        <v>0.13544668587896247</v>
      </c>
      <c r="V111" s="50">
        <v>0.33333333333333326</v>
      </c>
    </row>
    <row r="112" spans="1:22" ht="13.2">
      <c r="A112" s="135" t="s">
        <v>1375</v>
      </c>
      <c r="B112" s="136">
        <v>3</v>
      </c>
    </row>
    <row r="113" spans="1:22" ht="13.2">
      <c r="A113" s="135" t="s">
        <v>1226</v>
      </c>
      <c r="B113" s="136">
        <v>16</v>
      </c>
      <c r="C113" s="94">
        <v>10671.2851885</v>
      </c>
      <c r="D113" s="50">
        <v>0.99999999999999989</v>
      </c>
      <c r="E113" s="70">
        <v>1037</v>
      </c>
      <c r="F113" s="70">
        <v>1046</v>
      </c>
      <c r="G113" s="70">
        <v>85</v>
      </c>
      <c r="H113" s="70">
        <v>75</v>
      </c>
      <c r="I113" s="70">
        <v>305</v>
      </c>
      <c r="J113" s="70">
        <v>273</v>
      </c>
      <c r="K113" s="70">
        <v>17</v>
      </c>
      <c r="L113" s="70">
        <v>13</v>
      </c>
      <c r="M113" s="50">
        <v>8.1967213114754092E-2</v>
      </c>
      <c r="N113" s="50">
        <v>7.1701720841300193E-2</v>
      </c>
      <c r="O113" s="50">
        <v>1.0265492273453899E-2</v>
      </c>
      <c r="P113" s="50">
        <v>5.5737704918032788E-2</v>
      </c>
      <c r="Q113" s="50">
        <v>4.7619047619047616E-2</v>
      </c>
      <c r="R113" s="50">
        <v>8.1186572989851713E-3</v>
      </c>
      <c r="S113" s="50">
        <v>-8.6042065009560575E-3</v>
      </c>
      <c r="T113" s="50">
        <v>0.1333333333333333</v>
      </c>
      <c r="U113" s="50">
        <v>0.11721611721611724</v>
      </c>
      <c r="V113" s="50">
        <v>0.30769230769230771</v>
      </c>
    </row>
    <row r="114" spans="1:22" ht="13.2">
      <c r="A114" s="135" t="s">
        <v>1026</v>
      </c>
      <c r="B114" s="136">
        <v>3</v>
      </c>
      <c r="C114" s="94">
        <v>4940.9707713000007</v>
      </c>
      <c r="D114" s="50">
        <v>0.99999999999999978</v>
      </c>
      <c r="E114" s="70">
        <v>11492</v>
      </c>
      <c r="F114" s="70">
        <v>9761</v>
      </c>
      <c r="G114" s="70">
        <v>35</v>
      </c>
      <c r="H114" s="70">
        <v>235</v>
      </c>
      <c r="I114" s="70">
        <v>4185</v>
      </c>
      <c r="J114" s="70">
        <v>3362</v>
      </c>
      <c r="K114" s="70">
        <v>-138</v>
      </c>
      <c r="L114" s="70">
        <v>102</v>
      </c>
      <c r="M114" s="50">
        <v>3.0455969369996517E-3</v>
      </c>
      <c r="N114" s="50">
        <v>2.4075402110439504E-2</v>
      </c>
      <c r="O114" s="50">
        <v>-2.1029805173439851E-2</v>
      </c>
      <c r="P114" s="50">
        <v>-3.2974910394265235E-2</v>
      </c>
      <c r="Q114" s="50">
        <v>3.0339083878643664E-2</v>
      </c>
      <c r="R114" s="50">
        <v>-6.3313994272908902E-2</v>
      </c>
      <c r="S114" s="50">
        <v>0.17733838746030117</v>
      </c>
      <c r="T114" s="50">
        <v>-0.85106382978723405</v>
      </c>
      <c r="U114" s="50">
        <v>0.24479476502082087</v>
      </c>
      <c r="V114" s="50">
        <v>-2.3529411764705883</v>
      </c>
    </row>
    <row r="115" spans="1:22" ht="13.2">
      <c r="A115" s="135" t="s">
        <v>344</v>
      </c>
      <c r="B115" s="136">
        <v>50</v>
      </c>
      <c r="C115" s="94">
        <v>261083.22070750003</v>
      </c>
      <c r="D115" s="50">
        <v>1</v>
      </c>
      <c r="E115" s="70">
        <v>53884</v>
      </c>
      <c r="F115" s="70">
        <v>37489</v>
      </c>
      <c r="G115" s="70">
        <v>5863</v>
      </c>
      <c r="H115" s="70">
        <v>3168</v>
      </c>
      <c r="I115" s="70">
        <v>20127</v>
      </c>
      <c r="J115" s="70">
        <v>13152</v>
      </c>
      <c r="K115" s="70">
        <v>2188</v>
      </c>
      <c r="L115" s="70">
        <v>1212</v>
      </c>
      <c r="M115" s="50">
        <v>0.10880780936827258</v>
      </c>
      <c r="N115" s="50">
        <v>8.4504788071167541E-2</v>
      </c>
      <c r="O115" s="50">
        <v>2.4303021297105043E-2</v>
      </c>
      <c r="P115" s="50">
        <v>0.10870969344661401</v>
      </c>
      <c r="Q115" s="50">
        <v>9.2153284671532845E-2</v>
      </c>
      <c r="R115" s="50">
        <v>1.6556408775081161E-2</v>
      </c>
      <c r="S115" s="50">
        <v>0.43732828296300252</v>
      </c>
      <c r="T115" s="50">
        <v>0.85069444444444442</v>
      </c>
      <c r="U115" s="50">
        <v>0.53033759124087587</v>
      </c>
      <c r="V115" s="50">
        <v>0.80528052805280526</v>
      </c>
    </row>
    <row r="116" spans="1:22" ht="13.2">
      <c r="A116" s="135" t="s">
        <v>482</v>
      </c>
      <c r="B116" s="136">
        <v>80</v>
      </c>
      <c r="C116" s="94">
        <v>57146.281564899953</v>
      </c>
      <c r="D116" s="50">
        <v>1</v>
      </c>
      <c r="E116" s="70">
        <v>3756</v>
      </c>
      <c r="F116" s="70">
        <v>3349</v>
      </c>
      <c r="G116" s="70">
        <v>766</v>
      </c>
      <c r="H116" s="70">
        <v>684</v>
      </c>
      <c r="I116" s="70">
        <v>1109</v>
      </c>
      <c r="J116" s="70">
        <v>943</v>
      </c>
      <c r="K116" s="70">
        <v>241</v>
      </c>
      <c r="L116" s="70">
        <v>225</v>
      </c>
      <c r="M116" s="50">
        <v>0.20394036208732694</v>
      </c>
      <c r="N116" s="50">
        <v>0.20424007166318303</v>
      </c>
      <c r="O116" s="50">
        <v>-2.9970957585609415E-4</v>
      </c>
      <c r="P116" s="50">
        <v>0.21731289449954913</v>
      </c>
      <c r="Q116" s="50">
        <v>0.23860021208907742</v>
      </c>
      <c r="R116" s="50">
        <v>-2.1287317589528287E-2</v>
      </c>
      <c r="S116" s="50">
        <v>0.12152881457151388</v>
      </c>
      <c r="T116" s="50">
        <v>0.11988304093567259</v>
      </c>
      <c r="U116" s="50">
        <v>0.176033934252386</v>
      </c>
      <c r="V116" s="50">
        <v>7.1111111111111125E-2</v>
      </c>
    </row>
    <row r="117" spans="1:22" ht="13.2">
      <c r="A117" s="135" t="s">
        <v>638</v>
      </c>
      <c r="B117" s="136">
        <v>24</v>
      </c>
      <c r="C117" s="94">
        <v>34303.857632799998</v>
      </c>
      <c r="D117" s="50">
        <v>1</v>
      </c>
      <c r="E117" s="70">
        <v>31655</v>
      </c>
      <c r="F117" s="70">
        <v>25346</v>
      </c>
      <c r="G117" s="70">
        <v>1839</v>
      </c>
      <c r="H117" s="70">
        <v>1302</v>
      </c>
      <c r="I117" s="70">
        <v>10689</v>
      </c>
      <c r="J117" s="70">
        <v>8933</v>
      </c>
      <c r="K117" s="70">
        <v>509</v>
      </c>
      <c r="L117" s="70">
        <v>445</v>
      </c>
      <c r="M117" s="50">
        <v>5.8095087663876166E-2</v>
      </c>
      <c r="N117" s="50">
        <v>5.1369052315947288E-2</v>
      </c>
      <c r="O117" s="50">
        <v>6.7260353479288784E-3</v>
      </c>
      <c r="P117" s="50">
        <v>4.7619047619047616E-2</v>
      </c>
      <c r="Q117" s="50">
        <v>4.9815291615358782E-2</v>
      </c>
      <c r="R117" s="50">
        <v>-2.196243996311166E-3</v>
      </c>
      <c r="S117" s="50">
        <v>0.24891501617612244</v>
      </c>
      <c r="T117" s="50">
        <v>0.4124423963133641</v>
      </c>
      <c r="U117" s="50">
        <v>0.19657449904847191</v>
      </c>
      <c r="V117" s="50">
        <v>0.14382022471910116</v>
      </c>
    </row>
    <row r="118" spans="1:22" ht="13.2">
      <c r="A118" s="135" t="s">
        <v>512</v>
      </c>
      <c r="B118" s="136">
        <v>28</v>
      </c>
      <c r="C118" s="94">
        <v>81644.946310799991</v>
      </c>
      <c r="D118" s="50">
        <v>1</v>
      </c>
      <c r="E118" s="70">
        <v>14702</v>
      </c>
      <c r="F118" s="70">
        <v>12270</v>
      </c>
      <c r="G118" s="70">
        <v>1513</v>
      </c>
      <c r="H118" s="70">
        <v>859</v>
      </c>
      <c r="I118" s="70">
        <v>4968</v>
      </c>
      <c r="J118" s="70">
        <v>4069</v>
      </c>
      <c r="K118" s="70">
        <v>453</v>
      </c>
      <c r="L118" s="70">
        <v>267</v>
      </c>
      <c r="M118" s="50">
        <v>0.1029111685484968</v>
      </c>
      <c r="N118" s="50">
        <v>7.0008149959250199E-2</v>
      </c>
      <c r="O118" s="50">
        <v>3.2903018589246602E-2</v>
      </c>
      <c r="P118" s="50">
        <v>9.1183574879227056E-2</v>
      </c>
      <c r="Q118" s="50">
        <v>6.5618087982305229E-2</v>
      </c>
      <c r="R118" s="50">
        <v>2.5565486896921827E-2</v>
      </c>
      <c r="S118" s="50">
        <v>0.19820700896495524</v>
      </c>
      <c r="T118" s="50">
        <v>0.76135040745052396</v>
      </c>
      <c r="U118" s="50">
        <v>0.22093880560334234</v>
      </c>
      <c r="V118" s="50">
        <v>0.69662921348314599</v>
      </c>
    </row>
    <row r="119" spans="1:22" ht="13.2">
      <c r="A119" s="135" t="s">
        <v>790</v>
      </c>
      <c r="B119" s="136">
        <v>6</v>
      </c>
      <c r="C119" s="94">
        <v>14924.792383</v>
      </c>
      <c r="D119" s="9">
        <v>1</v>
      </c>
      <c r="E119" s="70">
        <v>5924</v>
      </c>
      <c r="F119" s="70">
        <v>5623</v>
      </c>
      <c r="G119" s="70">
        <v>347</v>
      </c>
      <c r="H119" s="70">
        <v>460</v>
      </c>
      <c r="I119" s="70">
        <v>2020</v>
      </c>
      <c r="J119" s="70">
        <v>1951</v>
      </c>
      <c r="K119" s="70">
        <v>165</v>
      </c>
      <c r="L119" s="70">
        <v>150</v>
      </c>
      <c r="M119" s="50">
        <v>5.8575286968264688E-2</v>
      </c>
      <c r="N119" s="50">
        <v>8.180686466299128E-2</v>
      </c>
      <c r="O119" s="50">
        <v>-2.3231577694726592E-2</v>
      </c>
      <c r="P119" s="50">
        <v>8.1683168316831686E-2</v>
      </c>
      <c r="Q119" s="50">
        <v>7.6883649410558683E-2</v>
      </c>
      <c r="R119" s="50">
        <v>4.7995189062730037E-3</v>
      </c>
      <c r="S119" s="50">
        <v>5.3530144051218143E-2</v>
      </c>
      <c r="T119" s="50">
        <v>-0.2456521739130435</v>
      </c>
      <c r="U119" s="50">
        <v>3.5366478728857009E-2</v>
      </c>
      <c r="V119" s="50">
        <v>0.10000000000000009</v>
      </c>
    </row>
    <row r="120" spans="1:22" ht="13.2">
      <c r="A120" s="135" t="s">
        <v>492</v>
      </c>
      <c r="B120" s="136">
        <v>191</v>
      </c>
      <c r="C120" s="94">
        <v>145881.64019579999</v>
      </c>
      <c r="D120" s="50">
        <v>1</v>
      </c>
      <c r="E120" s="70">
        <v>46568</v>
      </c>
      <c r="F120" s="70">
        <v>46325</v>
      </c>
      <c r="G120" s="70">
        <v>1676</v>
      </c>
      <c r="H120" s="70">
        <v>2611</v>
      </c>
      <c r="I120" s="70">
        <v>15592</v>
      </c>
      <c r="J120" s="70">
        <v>15708</v>
      </c>
      <c r="K120" s="70">
        <v>396</v>
      </c>
      <c r="L120" s="70">
        <v>723</v>
      </c>
      <c r="M120" s="50">
        <v>3.5990379659852259E-2</v>
      </c>
      <c r="N120" s="50">
        <v>5.636265515380464E-2</v>
      </c>
      <c r="O120" s="50">
        <v>-2.0372275493952381E-2</v>
      </c>
      <c r="P120" s="50">
        <v>2.5397639815289891E-2</v>
      </c>
      <c r="Q120" s="50">
        <v>4.602750190985485E-2</v>
      </c>
      <c r="R120" s="50">
        <v>-2.0629862094564959E-2</v>
      </c>
      <c r="S120" s="50">
        <v>5.245547760388547E-3</v>
      </c>
      <c r="T120" s="50">
        <v>-0.35810034469551899</v>
      </c>
      <c r="U120" s="50">
        <v>-7.3847720906544678E-3</v>
      </c>
      <c r="V120" s="50">
        <v>-0.4522821576763485</v>
      </c>
    </row>
    <row r="121" spans="1:22" ht="13.2">
      <c r="A121" s="135" t="s">
        <v>1376</v>
      </c>
      <c r="B121" s="136">
        <v>0</v>
      </c>
    </row>
    <row r="122" spans="1:22" ht="13.2">
      <c r="A122" s="135" t="s">
        <v>105</v>
      </c>
      <c r="B122" s="136">
        <v>38</v>
      </c>
      <c r="C122" s="94">
        <v>292279.09109600016</v>
      </c>
      <c r="D122" s="50">
        <v>1</v>
      </c>
      <c r="E122" s="70">
        <v>48123</v>
      </c>
      <c r="F122" s="70">
        <v>45982</v>
      </c>
      <c r="G122" s="70">
        <v>5657</v>
      </c>
      <c r="H122" s="70">
        <v>5357</v>
      </c>
      <c r="I122" s="70">
        <v>21991</v>
      </c>
      <c r="J122" s="70">
        <v>19831</v>
      </c>
      <c r="K122" s="70">
        <v>2309</v>
      </c>
      <c r="L122" s="70">
        <v>1805</v>
      </c>
      <c r="M122" s="50">
        <v>0.1175529372649253</v>
      </c>
      <c r="N122" s="50">
        <v>0.11650210952111696</v>
      </c>
      <c r="O122" s="50">
        <v>1.0508277438083385E-3</v>
      </c>
      <c r="P122" s="50">
        <v>0.10499749897685416</v>
      </c>
      <c r="Q122" s="50">
        <v>9.1019111492108312E-2</v>
      </c>
      <c r="R122" s="50">
        <v>1.3978387484745849E-2</v>
      </c>
      <c r="S122" s="50">
        <v>4.6561698055761047E-2</v>
      </c>
      <c r="T122" s="50">
        <v>5.6001493373156519E-2</v>
      </c>
      <c r="U122" s="50">
        <v>0.10892037718723202</v>
      </c>
      <c r="V122" s="50">
        <v>0.27922437673130185</v>
      </c>
    </row>
    <row r="123" spans="1:22" ht="13.2">
      <c r="A123" s="135" t="s">
        <v>895</v>
      </c>
      <c r="B123" s="136">
        <v>55</v>
      </c>
      <c r="C123" s="94">
        <v>38674.522850800015</v>
      </c>
      <c r="D123" s="50">
        <v>1</v>
      </c>
      <c r="E123" s="70">
        <v>23320</v>
      </c>
      <c r="F123" s="70">
        <v>22660</v>
      </c>
      <c r="G123" s="70">
        <v>736</v>
      </c>
      <c r="H123" s="70">
        <v>930</v>
      </c>
      <c r="I123" s="70">
        <v>7543</v>
      </c>
      <c r="J123" s="70">
        <v>7614</v>
      </c>
      <c r="K123" s="70">
        <v>246</v>
      </c>
      <c r="L123" s="70">
        <v>466</v>
      </c>
      <c r="M123" s="50">
        <v>3.1560891938250429E-2</v>
      </c>
      <c r="N123" s="50">
        <v>4.1041482789055603E-2</v>
      </c>
      <c r="O123" s="50">
        <v>-9.4805908508051734E-3</v>
      </c>
      <c r="P123" s="50">
        <v>3.2613018692827789E-2</v>
      </c>
      <c r="Q123" s="50">
        <v>6.1203047018649856E-2</v>
      </c>
      <c r="R123" s="50">
        <v>-2.8590028325822067E-2</v>
      </c>
      <c r="S123" s="50">
        <v>2.9126213592232997E-2</v>
      </c>
      <c r="T123" s="50">
        <v>-0.20860215053763442</v>
      </c>
      <c r="U123" s="50">
        <v>-9.3249277646441087E-3</v>
      </c>
      <c r="V123" s="50">
        <v>-0.47210300429184548</v>
      </c>
    </row>
    <row r="124" spans="1:22" ht="13.2">
      <c r="A124" s="135" t="s">
        <v>102</v>
      </c>
      <c r="B124" s="136">
        <v>9</v>
      </c>
      <c r="C124" s="94">
        <v>294183.19710550003</v>
      </c>
      <c r="D124" s="50">
        <v>1</v>
      </c>
      <c r="E124" s="70">
        <v>45472</v>
      </c>
      <c r="F124" s="70">
        <v>44609</v>
      </c>
      <c r="G124" s="70">
        <v>6451</v>
      </c>
      <c r="H124" s="70">
        <v>5375</v>
      </c>
      <c r="I124" s="70">
        <v>15193</v>
      </c>
      <c r="J124" s="70">
        <v>14898</v>
      </c>
      <c r="K124" s="70">
        <v>1588</v>
      </c>
      <c r="L124" s="70">
        <v>2240</v>
      </c>
      <c r="M124" s="50">
        <v>0.14186752287121746</v>
      </c>
      <c r="N124" s="50">
        <v>0.12049138066309489</v>
      </c>
      <c r="O124" s="50">
        <v>2.1376142208122562E-2</v>
      </c>
      <c r="P124" s="50">
        <v>0.10452181925886922</v>
      </c>
      <c r="Q124" s="50">
        <v>0.15035575244999327</v>
      </c>
      <c r="R124" s="50">
        <v>-4.5833933191124054E-2</v>
      </c>
      <c r="S124" s="50">
        <v>1.9345871909256074E-2</v>
      </c>
      <c r="T124" s="50">
        <v>0.20018604651162786</v>
      </c>
      <c r="U124" s="50">
        <v>1.9801315612834047E-2</v>
      </c>
      <c r="V124" s="50">
        <v>-0.29107142857142854</v>
      </c>
    </row>
    <row r="125" spans="1:22" ht="13.2">
      <c r="A125" s="135" t="s">
        <v>672</v>
      </c>
      <c r="B125" s="136">
        <v>37</v>
      </c>
      <c r="C125" s="94">
        <v>34829.672413599976</v>
      </c>
      <c r="D125" s="50">
        <v>1</v>
      </c>
      <c r="E125" s="70">
        <v>8940</v>
      </c>
      <c r="F125" s="70">
        <v>9185</v>
      </c>
      <c r="G125" s="70">
        <v>65</v>
      </c>
      <c r="H125" s="70">
        <v>603</v>
      </c>
      <c r="I125" s="70">
        <v>3017</v>
      </c>
      <c r="J125" s="70">
        <v>2956</v>
      </c>
      <c r="K125" s="70">
        <v>-50</v>
      </c>
      <c r="L125" s="70">
        <v>102</v>
      </c>
      <c r="M125" s="50">
        <v>7.2706935123042502E-3</v>
      </c>
      <c r="N125" s="50">
        <v>6.5650517147523138E-2</v>
      </c>
      <c r="O125" s="50">
        <v>-5.8379823635218889E-2</v>
      </c>
      <c r="P125" s="50">
        <v>-1.6572754391779913E-2</v>
      </c>
      <c r="Q125" s="50">
        <v>3.4506089309878217E-2</v>
      </c>
      <c r="R125" s="50">
        <v>-5.1078843701658133E-2</v>
      </c>
      <c r="S125" s="50">
        <v>-2.6673924877517741E-2</v>
      </c>
      <c r="T125" s="50">
        <v>-0.89220563847429524</v>
      </c>
      <c r="U125" s="50">
        <v>2.0635994587280049E-2</v>
      </c>
      <c r="V125" s="50">
        <v>-1.4901960784313726</v>
      </c>
    </row>
    <row r="126" spans="1:22" ht="13.2">
      <c r="A126" s="135" t="s">
        <v>76</v>
      </c>
      <c r="B126" s="136">
        <v>8</v>
      </c>
      <c r="C126" s="94">
        <v>1044446.7473567</v>
      </c>
      <c r="D126" s="50">
        <v>1</v>
      </c>
      <c r="E126" s="70">
        <v>564673</v>
      </c>
      <c r="F126" s="70">
        <v>554639</v>
      </c>
      <c r="G126" s="70">
        <v>106379</v>
      </c>
      <c r="H126" s="70">
        <v>45221</v>
      </c>
      <c r="I126" s="70">
        <v>192876</v>
      </c>
      <c r="J126" s="70">
        <v>193755</v>
      </c>
      <c r="K126" s="70">
        <v>7100</v>
      </c>
      <c r="L126" s="70">
        <v>14156</v>
      </c>
      <c r="M126" s="50">
        <v>0.18839044898551904</v>
      </c>
      <c r="N126" s="50">
        <v>8.1532312008351385E-2</v>
      </c>
      <c r="O126" s="50">
        <v>0.10685813697716766</v>
      </c>
      <c r="P126" s="50">
        <v>3.6811215495966318E-2</v>
      </c>
      <c r="Q126" s="50">
        <v>7.3061340352507026E-2</v>
      </c>
      <c r="R126" s="50">
        <v>-3.6250124856540708E-2</v>
      </c>
      <c r="S126" s="50">
        <v>1.8091046608694983E-2</v>
      </c>
      <c r="T126" s="50">
        <v>1.3524247584087039</v>
      </c>
      <c r="U126" s="50">
        <v>-4.5366571185260218E-3</v>
      </c>
      <c r="V126" s="50">
        <v>-0.49844588866911554</v>
      </c>
    </row>
    <row r="127" spans="1:22" ht="13.2">
      <c r="A127" s="135" t="s">
        <v>282</v>
      </c>
      <c r="B127" s="136">
        <v>13</v>
      </c>
      <c r="C127" s="94">
        <v>324314.48289680004</v>
      </c>
      <c r="D127" s="50">
        <v>1</v>
      </c>
      <c r="E127" s="70">
        <v>37571</v>
      </c>
      <c r="F127" s="70">
        <v>35842</v>
      </c>
      <c r="G127" s="70">
        <v>6011</v>
      </c>
      <c r="H127" s="70">
        <v>5694</v>
      </c>
      <c r="I127" s="70">
        <v>13375</v>
      </c>
      <c r="J127" s="70">
        <v>12383</v>
      </c>
      <c r="K127" s="70">
        <v>2294</v>
      </c>
      <c r="L127" s="70">
        <v>2069</v>
      </c>
      <c r="M127" s="50">
        <v>0.1599904181416518</v>
      </c>
      <c r="N127" s="50">
        <v>0.158863902684002</v>
      </c>
      <c r="O127" s="50">
        <v>1.1265154576498015E-3</v>
      </c>
      <c r="P127" s="50">
        <v>0.17151401869158878</v>
      </c>
      <c r="Q127" s="50">
        <v>0.16708390535411452</v>
      </c>
      <c r="R127" s="50">
        <v>4.4301133374742563E-3</v>
      </c>
      <c r="S127" s="50">
        <v>4.8239495563863644E-2</v>
      </c>
      <c r="T127" s="50">
        <v>5.5672637864418784E-2</v>
      </c>
      <c r="U127" s="50">
        <v>8.0109827989986337E-2</v>
      </c>
      <c r="V127" s="50">
        <v>0.10874818753020787</v>
      </c>
    </row>
    <row r="128" spans="1:22" ht="13.2">
      <c r="A128" s="135" t="s">
        <v>414</v>
      </c>
      <c r="B128" s="136">
        <v>28</v>
      </c>
      <c r="C128" s="94">
        <v>166804.87867920002</v>
      </c>
      <c r="D128" s="50">
        <v>1</v>
      </c>
      <c r="E128" s="70">
        <v>54562</v>
      </c>
      <c r="F128" s="70">
        <v>51817</v>
      </c>
      <c r="G128" s="70">
        <v>3773</v>
      </c>
      <c r="H128" s="70">
        <v>2350</v>
      </c>
      <c r="I128" s="70">
        <v>18068</v>
      </c>
      <c r="J128" s="70">
        <v>16770</v>
      </c>
      <c r="K128" s="70">
        <v>1151</v>
      </c>
      <c r="L128" s="70">
        <v>1410</v>
      </c>
      <c r="M128" s="50">
        <v>6.9150690957076349E-2</v>
      </c>
      <c r="N128" s="50">
        <v>4.5351911534824478E-2</v>
      </c>
      <c r="O128" s="50">
        <v>2.3798779422251871E-2</v>
      </c>
      <c r="P128" s="50">
        <v>6.3703785698472432E-2</v>
      </c>
      <c r="Q128" s="50">
        <v>8.4078711985688726E-2</v>
      </c>
      <c r="R128" s="50">
        <v>-2.0374926287216294E-2</v>
      </c>
      <c r="S128" s="50">
        <v>5.2974892409827001E-2</v>
      </c>
      <c r="T128" s="50">
        <v>0.60553191489361713</v>
      </c>
      <c r="U128" s="50">
        <v>7.7400119260584432E-2</v>
      </c>
      <c r="V128" s="50">
        <v>-0.18368794326241134</v>
      </c>
    </row>
    <row r="129" spans="1:22" ht="13.2">
      <c r="A129" s="135" t="s">
        <v>695</v>
      </c>
      <c r="B129" s="136">
        <v>12</v>
      </c>
      <c r="C129" s="94">
        <v>31731.514269299998</v>
      </c>
      <c r="D129" s="50">
        <v>1</v>
      </c>
      <c r="E129" s="70">
        <v>24247</v>
      </c>
      <c r="F129" s="70">
        <v>23940</v>
      </c>
      <c r="G129" s="70">
        <v>316</v>
      </c>
      <c r="H129" s="70">
        <v>729</v>
      </c>
      <c r="I129" s="70">
        <v>6731</v>
      </c>
      <c r="J129" s="70">
        <v>6989</v>
      </c>
      <c r="K129" s="70">
        <v>67</v>
      </c>
      <c r="L129" s="70">
        <v>499</v>
      </c>
      <c r="M129" s="50">
        <v>1.3032540108054604E-2</v>
      </c>
      <c r="N129" s="50">
        <v>3.0451127819548871E-2</v>
      </c>
      <c r="O129" s="50">
        <v>-1.7418587711494266E-2</v>
      </c>
      <c r="P129" s="50">
        <v>9.9539444361907599E-3</v>
      </c>
      <c r="Q129" s="50">
        <v>7.1397911003004716E-2</v>
      </c>
      <c r="R129" s="50">
        <v>-6.144396656681396E-2</v>
      </c>
      <c r="S129" s="50">
        <v>1.2823725981620626E-2</v>
      </c>
      <c r="T129" s="50">
        <v>-0.56652949245541839</v>
      </c>
      <c r="U129" s="50">
        <v>-3.691515238231502E-2</v>
      </c>
      <c r="V129" s="50">
        <v>-0.86573146292585168</v>
      </c>
    </row>
    <row r="130" spans="1:22" ht="13.2">
      <c r="A130" s="135" t="s">
        <v>100</v>
      </c>
      <c r="B130" s="136">
        <v>176</v>
      </c>
      <c r="C130" s="94">
        <v>2252833.5208641021</v>
      </c>
      <c r="D130" s="50">
        <v>1</v>
      </c>
      <c r="E130" s="70">
        <v>319534</v>
      </c>
      <c r="F130" s="70">
        <v>287060</v>
      </c>
      <c r="G130" s="70">
        <v>44722</v>
      </c>
      <c r="H130" s="70">
        <v>46618</v>
      </c>
      <c r="I130" s="70">
        <v>108900</v>
      </c>
      <c r="J130" s="70">
        <v>97562</v>
      </c>
      <c r="K130" s="70">
        <v>14517</v>
      </c>
      <c r="L130" s="70">
        <v>14865</v>
      </c>
      <c r="M130" s="50">
        <v>0.13996006684734644</v>
      </c>
      <c r="N130" s="50">
        <v>0.16239810492579948</v>
      </c>
      <c r="O130" s="50">
        <v>-2.2438038078453043E-2</v>
      </c>
      <c r="P130" s="50">
        <v>0.13330578512396693</v>
      </c>
      <c r="Q130" s="50">
        <v>0.1523646501711732</v>
      </c>
      <c r="R130" s="50">
        <v>-1.9058865047206275E-2</v>
      </c>
      <c r="S130" s="50">
        <v>0.11312617571239469</v>
      </c>
      <c r="T130" s="50">
        <v>-4.0670985456261577E-2</v>
      </c>
      <c r="U130" s="50">
        <v>0.11621327976056262</v>
      </c>
      <c r="V130" s="50">
        <v>-2.3410696266397579E-2</v>
      </c>
    </row>
    <row r="131" spans="1:22" ht="13.2">
      <c r="A131" s="135" t="s">
        <v>769</v>
      </c>
      <c r="B131" s="136">
        <v>2</v>
      </c>
      <c r="C131" s="94">
        <v>15350.1517824</v>
      </c>
      <c r="D131" s="50">
        <v>1</v>
      </c>
      <c r="E131" s="70">
        <v>9709</v>
      </c>
      <c r="F131" s="70">
        <v>8382</v>
      </c>
      <c r="G131" s="70">
        <v>255</v>
      </c>
      <c r="H131" s="70">
        <v>174</v>
      </c>
      <c r="I131" s="70">
        <v>3512</v>
      </c>
      <c r="J131" s="70">
        <v>2919</v>
      </c>
      <c r="K131" s="70">
        <v>90</v>
      </c>
      <c r="L131" s="70">
        <v>74</v>
      </c>
      <c r="M131" s="50">
        <v>2.6264290864146667E-2</v>
      </c>
      <c r="N131" s="50">
        <v>2.0758768790264854E-2</v>
      </c>
      <c r="O131" s="50">
        <v>5.5055220738818127E-3</v>
      </c>
      <c r="P131" s="50">
        <v>2.562642369020501E-2</v>
      </c>
      <c r="Q131" s="50">
        <v>2.5351147653305928E-2</v>
      </c>
      <c r="R131" s="50">
        <v>2.7527603689908239E-4</v>
      </c>
      <c r="S131" s="50">
        <v>0.15831543784299695</v>
      </c>
      <c r="T131" s="50">
        <v>0.46551724137931028</v>
      </c>
      <c r="U131" s="50">
        <v>0.20315176430284354</v>
      </c>
      <c r="V131" s="50">
        <v>0.21621621621621623</v>
      </c>
    </row>
    <row r="132" spans="1:22" ht="13.2">
      <c r="A132" s="135" t="s">
        <v>922</v>
      </c>
      <c r="B132" s="136">
        <v>1</v>
      </c>
      <c r="C132" s="94">
        <v>5956.1434833000003</v>
      </c>
      <c r="D132" s="50">
        <v>1</v>
      </c>
      <c r="E132" s="70">
        <v>5003</v>
      </c>
      <c r="F132" s="70">
        <v>4830</v>
      </c>
      <c r="G132" s="70">
        <v>246</v>
      </c>
      <c r="H132" s="70">
        <v>222</v>
      </c>
      <c r="I132" s="70">
        <v>1590</v>
      </c>
      <c r="J132" s="70">
        <v>1609</v>
      </c>
      <c r="K132" s="70">
        <v>57</v>
      </c>
      <c r="L132" s="70">
        <v>61</v>
      </c>
      <c r="M132" s="50">
        <v>4.9170497701379171E-2</v>
      </c>
      <c r="N132" s="50">
        <v>4.5962732919254658E-2</v>
      </c>
      <c r="O132" s="50">
        <v>3.2077647821245128E-3</v>
      </c>
      <c r="P132" s="50">
        <v>3.5849056603773584E-2</v>
      </c>
      <c r="Q132" s="50">
        <v>3.791174642635177E-2</v>
      </c>
      <c r="R132" s="50">
        <v>-2.0626898225781856E-3</v>
      </c>
      <c r="S132" s="50">
        <v>3.5817805383022705E-2</v>
      </c>
      <c r="T132" s="50">
        <v>0.10810810810810811</v>
      </c>
      <c r="U132" s="50">
        <v>-1.1808576755748867E-2</v>
      </c>
      <c r="V132" s="50">
        <v>-6.557377049180324E-2</v>
      </c>
    </row>
    <row r="133" spans="1:22" ht="13.2">
      <c r="A133" s="135" t="s">
        <v>827</v>
      </c>
      <c r="B133" s="136">
        <v>10</v>
      </c>
      <c r="C133" s="94">
        <v>15142.463127199999</v>
      </c>
      <c r="D133" s="50">
        <v>1</v>
      </c>
      <c r="E133" s="70">
        <v>2996</v>
      </c>
      <c r="F133" s="70">
        <v>3034</v>
      </c>
      <c r="G133" s="70">
        <v>-79</v>
      </c>
      <c r="H133" s="70">
        <v>64</v>
      </c>
      <c r="I133" s="70">
        <v>966</v>
      </c>
      <c r="J133" s="70">
        <v>944</v>
      </c>
      <c r="K133" s="70">
        <v>-20</v>
      </c>
      <c r="L133" s="70">
        <v>19</v>
      </c>
      <c r="M133" s="50">
        <v>-2.636849132176235E-2</v>
      </c>
      <c r="N133" s="50">
        <v>2.1094264996704019E-2</v>
      </c>
      <c r="O133" s="50">
        <v>-4.7462756318466373E-2</v>
      </c>
      <c r="P133" s="50">
        <v>-2.0703933747412008E-2</v>
      </c>
      <c r="Q133" s="50">
        <v>2.0127118644067795E-2</v>
      </c>
      <c r="R133" s="50">
        <v>-4.08310523914798E-2</v>
      </c>
      <c r="S133" s="50">
        <v>-1.2524719841793042E-2</v>
      </c>
      <c r="T133" s="50">
        <v>-2.234375</v>
      </c>
      <c r="U133" s="50">
        <v>2.3305084745762761E-2</v>
      </c>
      <c r="V133" s="50">
        <v>-2.0526315789473681</v>
      </c>
    </row>
    <row r="134" spans="1:22" ht="13.2">
      <c r="A134" s="135" t="s">
        <v>420</v>
      </c>
      <c r="B134" s="136">
        <v>52</v>
      </c>
      <c r="C134" s="94">
        <v>148711.59953389998</v>
      </c>
      <c r="D134" s="50">
        <v>1</v>
      </c>
      <c r="E134" s="70">
        <v>29807</v>
      </c>
      <c r="F134" s="70">
        <v>28148</v>
      </c>
      <c r="G134" s="70">
        <v>2148</v>
      </c>
      <c r="H134" s="70">
        <v>2409</v>
      </c>
      <c r="I134" s="70">
        <v>10173</v>
      </c>
      <c r="J134" s="70">
        <v>9460</v>
      </c>
      <c r="K134" s="70">
        <v>610</v>
      </c>
      <c r="L134" s="70">
        <v>605</v>
      </c>
      <c r="M134" s="50">
        <v>7.2063609219310903E-2</v>
      </c>
      <c r="N134" s="50">
        <v>8.5583345175500924E-2</v>
      </c>
      <c r="O134" s="50">
        <v>-1.3519735956190021E-2</v>
      </c>
      <c r="P134" s="50">
        <v>5.99626462203873E-2</v>
      </c>
      <c r="Q134" s="50">
        <v>6.3953488372093026E-2</v>
      </c>
      <c r="R134" s="50">
        <v>-3.9908421517057258E-3</v>
      </c>
      <c r="S134" s="50">
        <v>5.8938468097200492E-2</v>
      </c>
      <c r="T134" s="50">
        <v>-0.1083437110834371</v>
      </c>
      <c r="U134" s="50">
        <v>7.5369978858351061E-2</v>
      </c>
      <c r="V134" s="50">
        <v>8.2644628099173278E-3</v>
      </c>
    </row>
    <row r="135" spans="1:22" ht="13.2">
      <c r="A135" s="135" t="s">
        <v>624</v>
      </c>
      <c r="B135" s="136">
        <v>8</v>
      </c>
      <c r="C135" s="94">
        <v>30097.238584900002</v>
      </c>
      <c r="D135" s="50">
        <v>1</v>
      </c>
      <c r="E135" s="70">
        <v>10043</v>
      </c>
      <c r="F135" s="70">
        <v>8882</v>
      </c>
      <c r="G135" s="70">
        <v>342</v>
      </c>
      <c r="H135" s="70">
        <v>408</v>
      </c>
      <c r="I135" s="70">
        <v>3417</v>
      </c>
      <c r="J135" s="70">
        <v>2971</v>
      </c>
      <c r="K135" s="70">
        <v>134.41</v>
      </c>
      <c r="L135" s="70">
        <v>132</v>
      </c>
      <c r="M135" s="50">
        <v>3.4053569650502838E-2</v>
      </c>
      <c r="N135" s="50">
        <v>4.5935600090069806E-2</v>
      </c>
      <c r="O135" s="50">
        <v>-1.1882030439566968E-2</v>
      </c>
      <c r="P135" s="50">
        <v>3.9335674568334797E-2</v>
      </c>
      <c r="Q135" s="50">
        <v>4.4429485021878157E-2</v>
      </c>
      <c r="R135" s="50">
        <v>-5.0938104535433598E-3</v>
      </c>
      <c r="S135" s="50">
        <v>0.13071380319747794</v>
      </c>
      <c r="T135" s="50">
        <v>-0.16176470588235292</v>
      </c>
      <c r="U135" s="50">
        <v>0.15011780545270947</v>
      </c>
      <c r="V135" s="50">
        <v>1.8257575757575806E-2</v>
      </c>
    </row>
    <row r="136" spans="1:22" ht="13.2">
      <c r="A136" s="135" t="s">
        <v>207</v>
      </c>
      <c r="B136" s="136">
        <v>6</v>
      </c>
      <c r="C136" s="94">
        <v>376877.67630610004</v>
      </c>
      <c r="D136" s="50">
        <v>1</v>
      </c>
      <c r="E136" s="70">
        <v>32679</v>
      </c>
      <c r="F136" s="70">
        <v>25914</v>
      </c>
      <c r="G136" s="70">
        <v>10969</v>
      </c>
      <c r="H136" s="70">
        <v>9327</v>
      </c>
      <c r="I136" s="70">
        <v>11346</v>
      </c>
      <c r="J136" s="70">
        <v>9407</v>
      </c>
      <c r="K136" s="70">
        <v>3515</v>
      </c>
      <c r="L136" s="70">
        <v>2953</v>
      </c>
      <c r="M136" s="50">
        <v>0.33565898589308119</v>
      </c>
      <c r="N136" s="50">
        <v>0.35992127807362817</v>
      </c>
      <c r="O136" s="50">
        <v>-2.4262292180546985E-2</v>
      </c>
      <c r="P136" s="50">
        <v>0.30980081085845229</v>
      </c>
      <c r="Q136" s="50">
        <v>0.31391516955458704</v>
      </c>
      <c r="R136" s="50">
        <v>-4.1143586961347456E-3</v>
      </c>
      <c r="S136" s="50">
        <v>0.26105579995369288</v>
      </c>
      <c r="T136" s="50">
        <v>0.17604803259354562</v>
      </c>
      <c r="U136" s="50">
        <v>0.20612309981928356</v>
      </c>
      <c r="V136" s="50">
        <v>0.19031493396545884</v>
      </c>
    </row>
    <row r="137" spans="1:22" ht="13.2">
      <c r="A137" s="135" t="s">
        <v>213</v>
      </c>
      <c r="B137" s="136">
        <v>3</v>
      </c>
      <c r="C137" s="94">
        <v>301709.21076310001</v>
      </c>
      <c r="D137" s="50">
        <v>1</v>
      </c>
      <c r="E137" s="70">
        <v>35067</v>
      </c>
      <c r="F137" s="70">
        <v>33517</v>
      </c>
      <c r="G137" s="70">
        <v>11382</v>
      </c>
      <c r="H137" s="70">
        <v>11379</v>
      </c>
      <c r="I137" s="70">
        <v>12395</v>
      </c>
      <c r="J137" s="70">
        <v>11233</v>
      </c>
      <c r="K137" s="70">
        <v>4185</v>
      </c>
      <c r="L137" s="70">
        <v>3861</v>
      </c>
      <c r="M137" s="50">
        <v>0.32457866370091537</v>
      </c>
      <c r="N137" s="50">
        <v>0.33949935853447505</v>
      </c>
      <c r="O137" s="50">
        <v>-1.4920694833559678E-2</v>
      </c>
      <c r="P137" s="50">
        <v>0.33763614360629285</v>
      </c>
      <c r="Q137" s="50">
        <v>0.34371939820172703</v>
      </c>
      <c r="R137" s="50">
        <v>-6.0832545954341843E-3</v>
      </c>
      <c r="S137" s="50">
        <v>4.6245189008562892E-2</v>
      </c>
      <c r="T137" s="50">
        <v>2.6364355391517158E-4</v>
      </c>
      <c r="U137" s="50">
        <v>0.10344520608920149</v>
      </c>
      <c r="V137" s="50">
        <v>8.3916083916083961E-2</v>
      </c>
    </row>
    <row r="138" spans="1:22" ht="13.2">
      <c r="A138" s="135" t="s">
        <v>290</v>
      </c>
      <c r="B138" s="136">
        <v>2</v>
      </c>
      <c r="C138" s="94">
        <v>282621.31306219997</v>
      </c>
      <c r="D138" s="50">
        <v>1.0000000000000002</v>
      </c>
      <c r="E138" s="70">
        <v>20144</v>
      </c>
      <c r="F138" s="70">
        <v>17392</v>
      </c>
      <c r="G138" s="70">
        <v>1670</v>
      </c>
      <c r="H138" s="70">
        <v>208</v>
      </c>
      <c r="I138" s="70">
        <v>6729</v>
      </c>
      <c r="J138" s="70">
        <v>5830</v>
      </c>
      <c r="K138" s="70">
        <v>574</v>
      </c>
      <c r="L138" s="70">
        <v>625</v>
      </c>
      <c r="M138" s="50">
        <v>8.2903097696584591E-2</v>
      </c>
      <c r="N138" s="50">
        <v>1.1959521619135235E-2</v>
      </c>
      <c r="O138" s="50">
        <v>7.0943576077449361E-2</v>
      </c>
      <c r="P138" s="50">
        <v>8.5302422351017981E-2</v>
      </c>
      <c r="Q138" s="50">
        <v>0.1072041166380789</v>
      </c>
      <c r="R138" s="50">
        <v>-2.1901694287060916E-2</v>
      </c>
      <c r="S138" s="50">
        <v>0.15823367065317395</v>
      </c>
      <c r="T138" s="50">
        <v>7.0288461538461533</v>
      </c>
      <c r="U138" s="50">
        <v>0.15420240137221275</v>
      </c>
      <c r="V138" s="50">
        <v>-8.1600000000000006E-2</v>
      </c>
    </row>
    <row r="139" spans="1:22" ht="13.2">
      <c r="A139" s="135" t="s">
        <v>199</v>
      </c>
      <c r="B139" s="136">
        <v>30</v>
      </c>
      <c r="C139" s="94">
        <v>902459.07198420027</v>
      </c>
      <c r="D139" s="50">
        <v>0.99999999999999978</v>
      </c>
      <c r="E139" s="70">
        <v>215154</v>
      </c>
      <c r="F139" s="70">
        <v>203575</v>
      </c>
      <c r="G139" s="70">
        <v>29832</v>
      </c>
      <c r="H139" s="70">
        <v>32006</v>
      </c>
      <c r="I139" s="70">
        <v>69903</v>
      </c>
      <c r="J139" s="70">
        <v>65787</v>
      </c>
      <c r="K139" s="70">
        <v>7963</v>
      </c>
      <c r="L139" s="70">
        <v>7743</v>
      </c>
      <c r="M139" s="50">
        <v>0.13865417328982962</v>
      </c>
      <c r="N139" s="50">
        <v>0.15721969790003684</v>
      </c>
      <c r="O139" s="50">
        <v>-1.8565524610207218E-2</v>
      </c>
      <c r="P139" s="50">
        <v>0.11391499649514326</v>
      </c>
      <c r="Q139" s="50">
        <v>0.11769802544575676</v>
      </c>
      <c r="R139" s="50">
        <v>-3.7830289506134984E-3</v>
      </c>
      <c r="S139" s="50">
        <v>5.6878300380694968E-2</v>
      </c>
      <c r="T139" s="50">
        <v>-6.7924764106729985E-2</v>
      </c>
      <c r="U139" s="50">
        <v>6.2565552464772578E-2</v>
      </c>
      <c r="V139" s="50">
        <v>2.8412759912178842E-2</v>
      </c>
    </row>
    <row r="140" spans="1:22" ht="13.2">
      <c r="A140" s="135" t="s">
        <v>999</v>
      </c>
      <c r="B140" s="136">
        <v>1</v>
      </c>
      <c r="C140" s="94">
        <v>4893.6094323999996</v>
      </c>
      <c r="D140" s="18">
        <v>1</v>
      </c>
      <c r="E140" s="70">
        <v>12873</v>
      </c>
      <c r="F140" s="70">
        <v>12755</v>
      </c>
      <c r="G140" s="70">
        <v>596</v>
      </c>
      <c r="H140" s="70">
        <v>489</v>
      </c>
      <c r="I140" s="70">
        <v>3405</v>
      </c>
      <c r="J140" s="70">
        <v>3315</v>
      </c>
      <c r="K140" s="70">
        <v>131</v>
      </c>
      <c r="L140" s="70">
        <v>176</v>
      </c>
      <c r="M140" s="50">
        <v>4.6298454128796705E-2</v>
      </c>
      <c r="N140" s="50">
        <v>3.8337906703253627E-2</v>
      </c>
      <c r="O140" s="50">
        <v>7.9605474255430783E-3</v>
      </c>
      <c r="P140" s="50">
        <v>3.8472834067547722E-2</v>
      </c>
      <c r="Q140" s="50">
        <v>5.3092006033182503E-2</v>
      </c>
      <c r="R140" s="50">
        <v>-1.4619171965634781E-2</v>
      </c>
      <c r="S140" s="50">
        <v>9.2512740101919899E-3</v>
      </c>
      <c r="T140" s="50">
        <v>0.21881390593047034</v>
      </c>
      <c r="U140" s="50">
        <v>2.7149321266968229E-2</v>
      </c>
      <c r="V140" s="50">
        <v>-0.25568181818181823</v>
      </c>
    </row>
    <row r="141" spans="1:22" ht="13.2">
      <c r="A141" s="135" t="s">
        <v>1377</v>
      </c>
      <c r="B141" s="136">
        <v>2</v>
      </c>
    </row>
    <row r="142" spans="1:22" ht="13.2">
      <c r="A142" s="135" t="s">
        <v>1055</v>
      </c>
      <c r="B142" s="136">
        <v>5</v>
      </c>
      <c r="C142" s="94">
        <v>6401.0888268999997</v>
      </c>
      <c r="D142" s="50">
        <v>1</v>
      </c>
      <c r="E142" s="70">
        <v>1779</v>
      </c>
      <c r="F142" s="70">
        <v>1791</v>
      </c>
      <c r="G142" s="70">
        <v>269</v>
      </c>
      <c r="H142" s="70">
        <v>318</v>
      </c>
      <c r="I142" s="70">
        <v>605</v>
      </c>
      <c r="J142" s="70">
        <v>642</v>
      </c>
      <c r="K142" s="70">
        <v>95</v>
      </c>
      <c r="L142" s="70">
        <v>118</v>
      </c>
      <c r="M142" s="50">
        <v>0.15120854412591345</v>
      </c>
      <c r="N142" s="50">
        <v>0.17755443886097153</v>
      </c>
      <c r="O142" s="50">
        <v>-2.6345894735058079E-2</v>
      </c>
      <c r="P142" s="50">
        <v>0.15702479338842976</v>
      </c>
      <c r="Q142" s="50">
        <v>0.18380062305295949</v>
      </c>
      <c r="R142" s="50">
        <v>-2.6775829664529738E-2</v>
      </c>
      <c r="S142" s="50">
        <v>-6.7001675041875597E-3</v>
      </c>
      <c r="T142" s="50">
        <v>-0.15408805031446537</v>
      </c>
      <c r="U142" s="50">
        <v>-5.7632398753894032E-2</v>
      </c>
      <c r="V142" s="50">
        <v>-0.19491525423728817</v>
      </c>
    </row>
    <row r="143" spans="1:22" ht="13.2">
      <c r="A143" s="135" t="s">
        <v>1133</v>
      </c>
      <c r="B143" s="136">
        <v>7</v>
      </c>
      <c r="C143" s="94">
        <v>4052.6565142999998</v>
      </c>
      <c r="D143" s="50">
        <v>1</v>
      </c>
      <c r="E143" s="70">
        <v>1291</v>
      </c>
      <c r="F143" s="70">
        <v>1352</v>
      </c>
      <c r="G143" s="70">
        <v>330</v>
      </c>
      <c r="H143" s="70">
        <v>757</v>
      </c>
      <c r="I143" s="70">
        <v>250</v>
      </c>
      <c r="J143" s="70">
        <v>247</v>
      </c>
      <c r="K143" s="70">
        <v>188</v>
      </c>
      <c r="L143" s="70">
        <v>-15</v>
      </c>
      <c r="M143" s="50">
        <v>0.25561580170410536</v>
      </c>
      <c r="N143" s="50">
        <v>0.5599112426035503</v>
      </c>
      <c r="O143" s="50">
        <v>-0.30429544089944494</v>
      </c>
      <c r="P143" s="50">
        <v>0.752</v>
      </c>
      <c r="Q143" s="50">
        <v>-6.0728744939271252E-2</v>
      </c>
      <c r="R143" s="50">
        <v>0.81272874493927127</v>
      </c>
      <c r="S143" s="50">
        <v>-4.5118343195266308E-2</v>
      </c>
      <c r="T143" s="50">
        <v>-0.56406869220607669</v>
      </c>
      <c r="U143" s="50">
        <v>1.2145748987854255E-2</v>
      </c>
      <c r="V143" s="50">
        <v>-13.533333333333333</v>
      </c>
    </row>
    <row r="144" spans="1:22" ht="13.2">
      <c r="A144" s="135" t="s">
        <v>72</v>
      </c>
      <c r="B144" s="136">
        <v>20</v>
      </c>
      <c r="C144" s="94">
        <v>2601764.2325857002</v>
      </c>
      <c r="D144" s="50">
        <v>1</v>
      </c>
      <c r="E144" s="94">
        <v>1053251</v>
      </c>
      <c r="F144" s="94">
        <v>996604</v>
      </c>
      <c r="G144" s="94">
        <v>151674</v>
      </c>
      <c r="H144" s="94">
        <v>154237</v>
      </c>
      <c r="I144" s="94">
        <v>354712</v>
      </c>
      <c r="J144" s="94">
        <v>331576</v>
      </c>
      <c r="K144" s="94">
        <v>52333</v>
      </c>
      <c r="L144" s="94">
        <v>50252</v>
      </c>
      <c r="M144" s="50">
        <v>0.14400555992826022</v>
      </c>
      <c r="N144" s="50">
        <v>0.15476257370028618</v>
      </c>
      <c r="O144" s="50">
        <v>-1.0757013772025953E-2</v>
      </c>
      <c r="P144" s="50">
        <v>0.14753659306705158</v>
      </c>
      <c r="Q144" s="50">
        <v>0.15155499794918811</v>
      </c>
      <c r="R144" s="50">
        <v>-4.0184048821365337E-3</v>
      </c>
      <c r="S144" s="50">
        <v>5.6840028737592974E-2</v>
      </c>
      <c r="T144" s="50">
        <v>-1.661728379053018E-2</v>
      </c>
      <c r="U144" s="50">
        <v>6.9775858325089812E-2</v>
      </c>
      <c r="V144" s="50">
        <v>4.1411287112950834E-2</v>
      </c>
    </row>
    <row r="145" spans="1:22" ht="13.2">
      <c r="A145" s="135" t="s">
        <v>107</v>
      </c>
      <c r="B145" s="136">
        <v>12</v>
      </c>
      <c r="C145" s="94">
        <v>1782618.7406691001</v>
      </c>
      <c r="D145" s="50">
        <v>1</v>
      </c>
      <c r="E145" s="94">
        <v>1207353</v>
      </c>
      <c r="F145" s="94">
        <v>1123536</v>
      </c>
      <c r="G145" s="94">
        <v>148179</v>
      </c>
      <c r="H145" s="94">
        <v>138958</v>
      </c>
      <c r="I145" s="94">
        <v>409936</v>
      </c>
      <c r="J145" s="94">
        <v>384514</v>
      </c>
      <c r="K145" s="94">
        <v>53846</v>
      </c>
      <c r="L145" s="94">
        <v>47469</v>
      </c>
      <c r="M145" s="50">
        <v>0.12273046905089066</v>
      </c>
      <c r="N145" s="50">
        <v>0.12367917004884579</v>
      </c>
      <c r="O145" s="50">
        <v>-9.4870099795513196E-4</v>
      </c>
      <c r="P145" s="50">
        <v>0.13135221107685102</v>
      </c>
      <c r="Q145" s="50">
        <v>0.12345194193189325</v>
      </c>
      <c r="R145" s="50">
        <v>7.9002691449577694E-3</v>
      </c>
      <c r="S145" s="50">
        <v>7.4601080873243131E-2</v>
      </c>
      <c r="T145" s="50">
        <v>6.6358180169547643E-2</v>
      </c>
      <c r="U145" s="50">
        <v>6.6114627815892169E-2</v>
      </c>
      <c r="V145" s="50">
        <v>0.13434030630516758</v>
      </c>
    </row>
    <row r="146" spans="1:22" ht="13.2">
      <c r="A146" s="135" t="s">
        <v>737</v>
      </c>
      <c r="B146" s="136">
        <v>3</v>
      </c>
      <c r="C146" s="94">
        <v>19136.770035700003</v>
      </c>
      <c r="D146" s="50">
        <v>0.99999999999999978</v>
      </c>
      <c r="E146" s="70">
        <v>4445</v>
      </c>
      <c r="F146" s="70">
        <v>5780</v>
      </c>
      <c r="G146" s="70">
        <v>254</v>
      </c>
      <c r="H146" s="70">
        <v>487</v>
      </c>
      <c r="I146" s="70">
        <v>1722</v>
      </c>
      <c r="J146" s="70">
        <v>1931</v>
      </c>
      <c r="K146" s="70">
        <v>110</v>
      </c>
      <c r="L146" s="70">
        <v>159</v>
      </c>
      <c r="M146" s="50">
        <v>5.7142857142857141E-2</v>
      </c>
      <c r="N146" s="50">
        <v>8.42560553633218E-2</v>
      </c>
      <c r="O146" s="50">
        <v>-2.7113198220464658E-2</v>
      </c>
      <c r="P146" s="50">
        <v>6.3879210220673638E-2</v>
      </c>
      <c r="Q146" s="50">
        <v>8.2340756084930092E-2</v>
      </c>
      <c r="R146" s="50">
        <v>-1.8461545864256454E-2</v>
      </c>
      <c r="S146" s="50">
        <v>-0.23096885813148793</v>
      </c>
      <c r="T146" s="50">
        <v>-0.47843942505133474</v>
      </c>
      <c r="U146" s="50">
        <v>-0.10823407560849296</v>
      </c>
      <c r="V146" s="50">
        <v>-0.30817610062893086</v>
      </c>
    </row>
    <row r="147" spans="1:22" ht="13.2">
      <c r="A147" s="135" t="s">
        <v>966</v>
      </c>
      <c r="B147" s="136">
        <v>2</v>
      </c>
      <c r="C147" s="94">
        <v>9417.4172465000011</v>
      </c>
      <c r="D147" s="50">
        <v>0.99999999999999989</v>
      </c>
      <c r="E147" s="70">
        <v>827</v>
      </c>
      <c r="F147" s="70">
        <v>710</v>
      </c>
      <c r="G147" s="70">
        <v>249</v>
      </c>
      <c r="H147" s="70">
        <v>211</v>
      </c>
      <c r="I147" s="70">
        <v>291</v>
      </c>
      <c r="J147" s="70">
        <v>235</v>
      </c>
      <c r="K147" s="70">
        <v>75</v>
      </c>
      <c r="L147" s="70">
        <v>70</v>
      </c>
      <c r="M147" s="50">
        <v>0.3010882708585248</v>
      </c>
      <c r="N147" s="50">
        <v>0.29718309859154929</v>
      </c>
      <c r="O147" s="50">
        <v>3.9051722669755096E-3</v>
      </c>
      <c r="P147" s="50">
        <v>0.25773195876288657</v>
      </c>
      <c r="Q147" s="50">
        <v>0.2978723404255319</v>
      </c>
      <c r="R147" s="50">
        <v>-4.014038166264533E-2</v>
      </c>
      <c r="S147" s="50">
        <v>0.1647887323943662</v>
      </c>
      <c r="T147" s="50">
        <v>0.1800947867298579</v>
      </c>
      <c r="U147" s="50">
        <v>0.23829787234042543</v>
      </c>
      <c r="V147" s="50">
        <v>7.1428571428571397E-2</v>
      </c>
    </row>
    <row r="148" spans="1:22" ht="13.2">
      <c r="A148" s="135" t="s">
        <v>1378</v>
      </c>
      <c r="B148" s="136">
        <v>5</v>
      </c>
    </row>
    <row r="149" spans="1:22" ht="13.2">
      <c r="A149" s="135" t="s">
        <v>1379</v>
      </c>
      <c r="B149" s="136">
        <v>4</v>
      </c>
    </row>
    <row r="150" spans="1:22" ht="13.2">
      <c r="A150" s="135" t="s">
        <v>168</v>
      </c>
      <c r="B150" s="136">
        <v>12</v>
      </c>
      <c r="C150" s="94">
        <v>2230369.4154522005</v>
      </c>
      <c r="D150" s="50">
        <v>1</v>
      </c>
      <c r="E150" s="70">
        <v>2323496</v>
      </c>
      <c r="F150" s="70">
        <v>2210960</v>
      </c>
      <c r="G150" s="70">
        <v>134996</v>
      </c>
      <c r="H150" s="70">
        <v>72685</v>
      </c>
      <c r="I150" s="70">
        <v>817427</v>
      </c>
      <c r="J150" s="70">
        <v>752325</v>
      </c>
      <c r="K150" s="70">
        <v>48875</v>
      </c>
      <c r="L150" s="70">
        <v>28834</v>
      </c>
      <c r="M150" s="50">
        <v>5.8100379772549643E-2</v>
      </c>
      <c r="N150" s="50">
        <v>3.2874859789412743E-2</v>
      </c>
      <c r="O150" s="50">
        <v>2.52255199831369E-2</v>
      </c>
      <c r="P150" s="50">
        <v>5.9791271881158806E-2</v>
      </c>
      <c r="Q150" s="50">
        <v>3.832652111786794E-2</v>
      </c>
      <c r="R150" s="50">
        <v>2.1464750763290866E-2</v>
      </c>
      <c r="S150" s="50">
        <v>5.0899156927307621E-2</v>
      </c>
      <c r="T150" s="50">
        <v>0.85727454082685561</v>
      </c>
      <c r="U150" s="50">
        <v>8.6534409995679962E-2</v>
      </c>
      <c r="V150" s="50">
        <v>0.69504751335229242</v>
      </c>
    </row>
    <row r="151" spans="1:22" ht="13.2">
      <c r="A151" s="135" t="s">
        <v>131</v>
      </c>
      <c r="B151" s="136">
        <v>125</v>
      </c>
      <c r="C151" s="94">
        <v>562184.27295150026</v>
      </c>
      <c r="D151" s="50">
        <v>1</v>
      </c>
      <c r="E151" s="70">
        <v>57136</v>
      </c>
      <c r="F151" s="70">
        <v>49948</v>
      </c>
      <c r="G151" s="70">
        <v>12623</v>
      </c>
      <c r="H151" s="70">
        <v>11324</v>
      </c>
      <c r="I151" s="70">
        <v>20661</v>
      </c>
      <c r="J151" s="70">
        <v>18058</v>
      </c>
      <c r="K151" s="70">
        <v>4153</v>
      </c>
      <c r="L151" s="70">
        <v>3926</v>
      </c>
      <c r="M151" s="50">
        <v>0.22092901148137775</v>
      </c>
      <c r="N151" s="50">
        <v>0.22671578441579243</v>
      </c>
      <c r="O151" s="50">
        <v>-5.7867729344146801E-3</v>
      </c>
      <c r="P151" s="50">
        <v>0.20100672765113015</v>
      </c>
      <c r="Q151" s="50">
        <v>0.21741056595414773</v>
      </c>
      <c r="R151" s="50">
        <v>-1.6403838303017587E-2</v>
      </c>
      <c r="S151" s="50">
        <v>0.14390966605269484</v>
      </c>
      <c r="T151" s="50">
        <v>0.11471211586012009</v>
      </c>
      <c r="U151" s="50">
        <v>0.14414663860892674</v>
      </c>
      <c r="V151" s="50">
        <v>5.7819663779928643E-2</v>
      </c>
    </row>
    <row r="152" spans="1:22" ht="13.2">
      <c r="A152" s="135" t="s">
        <v>124</v>
      </c>
      <c r="B152" s="136">
        <v>12</v>
      </c>
      <c r="C152" s="94">
        <v>76953.85228159999</v>
      </c>
      <c r="D152" s="50">
        <v>1</v>
      </c>
      <c r="E152" s="70">
        <v>17655</v>
      </c>
      <c r="F152" s="70">
        <v>15766</v>
      </c>
      <c r="G152" s="70">
        <v>183</v>
      </c>
      <c r="H152" s="70">
        <v>28</v>
      </c>
      <c r="I152" s="70">
        <v>6082</v>
      </c>
      <c r="J152" s="70">
        <v>5495</v>
      </c>
      <c r="K152" s="70">
        <v>21</v>
      </c>
      <c r="L152" s="70">
        <v>64</v>
      </c>
      <c r="M152" s="50">
        <v>1.0365335598980459E-2</v>
      </c>
      <c r="N152" s="50">
        <v>1.7759736141063048E-3</v>
      </c>
      <c r="O152" s="50">
        <v>8.5893619848741547E-3</v>
      </c>
      <c r="P152" s="50">
        <v>3.4528115751397566E-3</v>
      </c>
      <c r="Q152" s="50">
        <v>1.164695177434031E-2</v>
      </c>
      <c r="R152" s="50">
        <v>-8.1941401992005527E-3</v>
      </c>
      <c r="S152" s="50">
        <v>0.11981479132310024</v>
      </c>
      <c r="T152" s="50">
        <v>5.5357142857142856</v>
      </c>
      <c r="U152" s="50">
        <v>0.10682438580527753</v>
      </c>
      <c r="V152" s="50">
        <v>-0.671875</v>
      </c>
    </row>
    <row r="153" spans="1:22" ht="13.2">
      <c r="A153" s="135" t="s">
        <v>1298</v>
      </c>
      <c r="B153" s="136">
        <v>9</v>
      </c>
    </row>
    <row r="154" spans="1:22" ht="13.2">
      <c r="A154" s="135" t="s">
        <v>1380</v>
      </c>
      <c r="B154" s="136">
        <v>7</v>
      </c>
    </row>
    <row r="155" spans="1:22" ht="13.2">
      <c r="A155" s="135" t="s">
        <v>1381</v>
      </c>
      <c r="B155" s="136">
        <v>8</v>
      </c>
    </row>
    <row r="156" spans="1:22" ht="13.2">
      <c r="A156" s="135" t="s">
        <v>926</v>
      </c>
      <c r="B156" s="136">
        <v>2</v>
      </c>
      <c r="C156" s="94">
        <v>7519.2070674000006</v>
      </c>
      <c r="D156" s="50">
        <v>1</v>
      </c>
      <c r="E156" s="70">
        <v>3255</v>
      </c>
      <c r="F156" s="70">
        <v>3161</v>
      </c>
      <c r="G156" s="70">
        <v>114</v>
      </c>
      <c r="H156" s="70">
        <v>138</v>
      </c>
      <c r="I156" s="70">
        <v>1138</v>
      </c>
      <c r="J156" s="70">
        <v>1043</v>
      </c>
      <c r="K156" s="70">
        <v>28</v>
      </c>
      <c r="L156" s="70">
        <v>33</v>
      </c>
      <c r="M156" s="50">
        <v>3.5023041474654376E-2</v>
      </c>
      <c r="N156" s="50">
        <v>4.365707054729516E-2</v>
      </c>
      <c r="O156" s="50">
        <v>-8.6340290726407837E-3</v>
      </c>
      <c r="P156" s="50">
        <v>2.4604569420035149E-2</v>
      </c>
      <c r="Q156" s="50">
        <v>3.1639501438159155E-2</v>
      </c>
      <c r="R156" s="50">
        <v>-7.0349320181240065E-3</v>
      </c>
      <c r="S156" s="50">
        <v>2.9737424865548867E-2</v>
      </c>
      <c r="T156" s="50">
        <v>-0.17391304347826086</v>
      </c>
      <c r="U156" s="50">
        <v>9.1083413231064281E-2</v>
      </c>
      <c r="V156" s="50">
        <v>-0.15151515151515149</v>
      </c>
    </row>
    <row r="157" spans="1:22" ht="13.2">
      <c r="A157" s="135" t="s">
        <v>1382</v>
      </c>
      <c r="B157" s="136">
        <v>9</v>
      </c>
    </row>
    <row r="158" spans="1:22" ht="13.2">
      <c r="A158" s="135" t="s">
        <v>331</v>
      </c>
      <c r="B158" s="136">
        <v>4</v>
      </c>
      <c r="C158" s="94">
        <v>135887.29916549998</v>
      </c>
      <c r="D158" s="50">
        <v>1</v>
      </c>
      <c r="E158" s="70">
        <v>12692</v>
      </c>
      <c r="F158" s="70">
        <v>11319</v>
      </c>
      <c r="G158" s="70">
        <v>2521</v>
      </c>
      <c r="H158" s="70">
        <v>2628</v>
      </c>
      <c r="I158" s="70">
        <v>4951</v>
      </c>
      <c r="J158" s="70">
        <v>4290</v>
      </c>
      <c r="K158" s="70">
        <v>1023</v>
      </c>
      <c r="L158" s="70">
        <v>983</v>
      </c>
      <c r="M158" s="50">
        <v>0.19862905767412542</v>
      </c>
      <c r="N158" s="50">
        <v>0.2321759872780281</v>
      </c>
      <c r="O158" s="50">
        <v>-3.3546929603902681E-2</v>
      </c>
      <c r="P158" s="50">
        <v>0.20662492425772572</v>
      </c>
      <c r="Q158" s="50">
        <v>0.22913752913752913</v>
      </c>
      <c r="R158" s="50">
        <v>-2.2512604879803416E-2</v>
      </c>
      <c r="S158" s="50">
        <v>0.12130046823924379</v>
      </c>
      <c r="T158" s="50">
        <v>-4.0715372907153768E-2</v>
      </c>
      <c r="U158" s="50">
        <v>0.15407925407925416</v>
      </c>
      <c r="V158" s="50">
        <v>4.069175991861651E-2</v>
      </c>
    </row>
    <row r="159" spans="1:22" ht="13.2">
      <c r="A159" s="135" t="s">
        <v>585</v>
      </c>
      <c r="B159" s="136">
        <v>9</v>
      </c>
      <c r="C159" s="94">
        <v>41662.906452999989</v>
      </c>
      <c r="D159" s="50">
        <v>1</v>
      </c>
      <c r="E159" s="70">
        <v>8789</v>
      </c>
      <c r="F159" s="70">
        <v>8831</v>
      </c>
      <c r="G159" s="70">
        <v>2995</v>
      </c>
      <c r="H159" s="70">
        <v>2685</v>
      </c>
      <c r="I159" s="70">
        <v>3382</v>
      </c>
      <c r="J159" s="70">
        <v>2701</v>
      </c>
      <c r="K159" s="70">
        <v>1322</v>
      </c>
      <c r="L159" s="70">
        <v>606</v>
      </c>
      <c r="M159" s="50">
        <v>0.34076686767550346</v>
      </c>
      <c r="N159" s="50">
        <v>0.30404257728456574</v>
      </c>
      <c r="O159" s="50">
        <v>3.6724290390937719E-2</v>
      </c>
      <c r="P159" s="50">
        <v>0.39089296274393848</v>
      </c>
      <c r="Q159" s="50">
        <v>0.22436134764901888</v>
      </c>
      <c r="R159" s="50">
        <v>0.16653161509491959</v>
      </c>
      <c r="S159" s="50">
        <v>-4.7559732759596685E-3</v>
      </c>
      <c r="T159" s="50">
        <v>0.11545623836126628</v>
      </c>
      <c r="U159" s="50">
        <v>0.25212884116993717</v>
      </c>
      <c r="V159" s="50">
        <v>1.1815181518151814</v>
      </c>
    </row>
    <row r="160" spans="1:22" ht="13.2">
      <c r="A160" s="135" t="s">
        <v>389</v>
      </c>
      <c r="B160" s="136">
        <v>49</v>
      </c>
      <c r="C160" s="94">
        <v>89302.287443800014</v>
      </c>
      <c r="D160" s="50">
        <v>1</v>
      </c>
      <c r="E160" s="70">
        <v>9826</v>
      </c>
      <c r="F160" s="70">
        <v>9055</v>
      </c>
      <c r="G160" s="70">
        <v>2336</v>
      </c>
      <c r="H160" s="70">
        <v>2320</v>
      </c>
      <c r="I160" s="70">
        <v>3399</v>
      </c>
      <c r="J160" s="70">
        <v>3034</v>
      </c>
      <c r="K160" s="70">
        <v>778</v>
      </c>
      <c r="L160" s="70">
        <v>725</v>
      </c>
      <c r="M160" s="50">
        <v>0.23773661713820476</v>
      </c>
      <c r="N160" s="50">
        <v>0.25621203754831584</v>
      </c>
      <c r="O160" s="50">
        <v>-1.8475420410111076E-2</v>
      </c>
      <c r="P160" s="50">
        <v>0.22889085025007355</v>
      </c>
      <c r="Q160" s="50">
        <v>0.23895847066578774</v>
      </c>
      <c r="R160" s="50">
        <v>-1.0067620415714185E-2</v>
      </c>
      <c r="S160" s="50">
        <v>8.5146327995582638E-2</v>
      </c>
      <c r="T160" s="50">
        <v>6.8965517241379448E-3</v>
      </c>
      <c r="U160" s="50">
        <v>0.12030323005932764</v>
      </c>
      <c r="V160" s="50">
        <v>7.3103448275862126E-2</v>
      </c>
    </row>
    <row r="161" spans="1:22" ht="13.2">
      <c r="A161" s="135" t="s">
        <v>90</v>
      </c>
      <c r="B161" s="136">
        <v>21</v>
      </c>
      <c r="C161" s="94">
        <v>267469.15099849983</v>
      </c>
      <c r="D161" s="50">
        <v>1</v>
      </c>
      <c r="E161" s="70">
        <v>46365</v>
      </c>
      <c r="F161" s="70">
        <v>39763</v>
      </c>
      <c r="G161" s="70">
        <v>1905</v>
      </c>
      <c r="H161" s="70">
        <v>1582</v>
      </c>
      <c r="I161" s="70">
        <v>16915</v>
      </c>
      <c r="J161" s="70">
        <v>14483</v>
      </c>
      <c r="K161" s="70">
        <v>938.67</v>
      </c>
      <c r="L161" s="70">
        <v>835.88</v>
      </c>
      <c r="M161" s="50">
        <v>4.1087026852151411E-2</v>
      </c>
      <c r="N161" s="50">
        <v>3.9785730452933633E-2</v>
      </c>
      <c r="O161" s="50">
        <v>1.3012963992177773E-3</v>
      </c>
      <c r="P161" s="50">
        <v>5.5493349098433342E-2</v>
      </c>
      <c r="Q161" s="50">
        <v>5.7714561900158806E-2</v>
      </c>
      <c r="R161" s="50">
        <v>-2.221212801725464E-3</v>
      </c>
      <c r="S161" s="50">
        <v>0.16603374996856379</v>
      </c>
      <c r="T161" s="50">
        <v>0.20417193426042979</v>
      </c>
      <c r="U161" s="50">
        <v>0.16792101084029554</v>
      </c>
      <c r="V161" s="50">
        <v>0.12297219696607153</v>
      </c>
    </row>
    <row r="162" spans="1:22" ht="13.2">
      <c r="A162" s="135" t="s">
        <v>251</v>
      </c>
      <c r="B162" s="136">
        <v>92</v>
      </c>
      <c r="C162" s="94">
        <v>447622.61561189999</v>
      </c>
      <c r="D162" s="50">
        <v>1</v>
      </c>
      <c r="E162" s="70">
        <v>84921</v>
      </c>
      <c r="F162" s="70">
        <v>78111</v>
      </c>
      <c r="G162" s="70">
        <v>7834</v>
      </c>
      <c r="H162" s="70">
        <v>7056</v>
      </c>
      <c r="I162" s="70">
        <v>28633</v>
      </c>
      <c r="J162" s="70">
        <v>25824</v>
      </c>
      <c r="K162" s="70">
        <v>2440</v>
      </c>
      <c r="L162" s="70">
        <v>2285.38</v>
      </c>
      <c r="M162" s="50">
        <v>9.2250444530799211E-2</v>
      </c>
      <c r="N162" s="50">
        <v>9.033298767139071E-2</v>
      </c>
      <c r="O162" s="50">
        <v>1.9174568594085006E-3</v>
      </c>
      <c r="P162" s="50">
        <v>8.5216358746900436E-2</v>
      </c>
      <c r="Q162" s="50">
        <v>8.8498296158612141E-2</v>
      </c>
      <c r="R162" s="50">
        <v>-3.2819374117117051E-3</v>
      </c>
      <c r="S162" s="50">
        <v>8.7183623305296276E-2</v>
      </c>
      <c r="T162" s="50">
        <v>0.11026077097505671</v>
      </c>
      <c r="U162" s="50">
        <v>0.1087747831474597</v>
      </c>
      <c r="V162" s="50">
        <v>6.7656144711163879E-2</v>
      </c>
    </row>
    <row r="163" spans="1:22" ht="13.2">
      <c r="A163" s="135" t="s">
        <v>574</v>
      </c>
      <c r="B163" s="136">
        <v>5</v>
      </c>
      <c r="C163" s="94">
        <v>21755.370414799996</v>
      </c>
      <c r="D163" s="50">
        <v>1</v>
      </c>
      <c r="E163" s="70">
        <v>393</v>
      </c>
      <c r="F163" s="70">
        <v>344</v>
      </c>
      <c r="G163" s="70">
        <v>-36</v>
      </c>
      <c r="H163" s="70">
        <v>-167</v>
      </c>
      <c r="I163" s="70">
        <v>159</v>
      </c>
      <c r="J163" s="70">
        <v>180</v>
      </c>
      <c r="K163" s="70">
        <v>18</v>
      </c>
      <c r="L163" s="70">
        <v>-47</v>
      </c>
      <c r="M163" s="50">
        <v>-9.1603053435114504E-2</v>
      </c>
      <c r="N163" s="50">
        <v>-0.48546511627906974</v>
      </c>
      <c r="O163" s="50">
        <v>0.39386206284395525</v>
      </c>
      <c r="P163" s="50">
        <v>0.11320754716981132</v>
      </c>
      <c r="Q163" s="50">
        <v>-0.26111111111111113</v>
      </c>
      <c r="R163" s="50">
        <v>0.37431865828092248</v>
      </c>
      <c r="S163" s="50">
        <v>0.14244186046511631</v>
      </c>
      <c r="T163" s="50">
        <v>-0.78443113772455086</v>
      </c>
      <c r="U163" s="50">
        <v>-0.1166666666666667</v>
      </c>
      <c r="V163" s="50">
        <v>-1.3829787234042552</v>
      </c>
    </row>
    <row r="164" spans="1:22" ht="13.2">
      <c r="A164" s="135" t="s">
        <v>674</v>
      </c>
      <c r="B164" s="136">
        <v>6</v>
      </c>
      <c r="C164" s="94">
        <v>18525.571998700001</v>
      </c>
      <c r="D164" s="50">
        <v>1</v>
      </c>
      <c r="E164" s="70">
        <v>10993</v>
      </c>
      <c r="F164" s="70">
        <v>9221</v>
      </c>
      <c r="G164" s="70">
        <v>285</v>
      </c>
      <c r="H164" s="70">
        <v>250</v>
      </c>
      <c r="I164" s="70">
        <v>909</v>
      </c>
      <c r="J164" s="70">
        <v>765</v>
      </c>
      <c r="K164" s="70">
        <v>94</v>
      </c>
      <c r="L164" s="70">
        <v>83</v>
      </c>
      <c r="M164" s="50">
        <v>2.5925589011188938E-2</v>
      </c>
      <c r="N164" s="50">
        <v>2.7112026895130679E-2</v>
      </c>
      <c r="O164" s="50">
        <v>-1.1864378839417412E-3</v>
      </c>
      <c r="P164" s="50">
        <v>0.1034103410341034</v>
      </c>
      <c r="Q164" s="50">
        <v>0.10849673202614379</v>
      </c>
      <c r="R164" s="50">
        <v>-5.0863909920403905E-3</v>
      </c>
      <c r="S164" s="50">
        <v>0.19217004663268633</v>
      </c>
      <c r="T164" s="50">
        <v>0.1399999999999999</v>
      </c>
      <c r="U164" s="50">
        <v>0.18823529411764706</v>
      </c>
      <c r="V164" s="50">
        <v>0.1325301204819278</v>
      </c>
    </row>
    <row r="165" spans="1:22" ht="13.2">
      <c r="A165" s="135" t="s">
        <v>436</v>
      </c>
      <c r="B165" s="136">
        <v>36</v>
      </c>
      <c r="C165" s="94">
        <v>232096.76932789996</v>
      </c>
      <c r="D165" s="50">
        <v>1</v>
      </c>
      <c r="E165" s="70">
        <v>19861</v>
      </c>
      <c r="F165" s="70">
        <v>19612</v>
      </c>
      <c r="G165" s="70">
        <v>6067</v>
      </c>
      <c r="H165" s="70">
        <v>6608</v>
      </c>
      <c r="I165" s="70">
        <v>6787</v>
      </c>
      <c r="J165" s="70">
        <v>6003</v>
      </c>
      <c r="K165" s="70">
        <v>2030</v>
      </c>
      <c r="L165" s="70">
        <v>2169.5500000000002</v>
      </c>
      <c r="M165" s="50">
        <v>0.30547303761139921</v>
      </c>
      <c r="N165" s="50">
        <v>0.33693656944727718</v>
      </c>
      <c r="O165" s="50">
        <v>-3.1463531835877967E-2</v>
      </c>
      <c r="P165" s="50">
        <v>0.29910122292618241</v>
      </c>
      <c r="Q165" s="50">
        <v>0.36141096118607369</v>
      </c>
      <c r="R165" s="50">
        <v>-6.2309738259891279E-2</v>
      </c>
      <c r="S165" s="50">
        <v>1.2696308382622812E-2</v>
      </c>
      <c r="T165" s="50">
        <v>-8.187046004842613E-2</v>
      </c>
      <c r="U165" s="50">
        <v>0.13060136598367489</v>
      </c>
      <c r="V165" s="50">
        <v>-6.4322094443548306E-2</v>
      </c>
    </row>
    <row r="166" spans="1:22" ht="13.2">
      <c r="A166" s="135" t="s">
        <v>797</v>
      </c>
      <c r="B166" s="136">
        <v>34</v>
      </c>
      <c r="C166" s="94">
        <v>45421.459024899996</v>
      </c>
      <c r="D166" s="50">
        <v>1</v>
      </c>
      <c r="E166" s="70">
        <v>22654</v>
      </c>
      <c r="F166" s="70">
        <v>22402</v>
      </c>
      <c r="G166" s="70">
        <v>-509</v>
      </c>
      <c r="H166" s="70">
        <v>-299</v>
      </c>
      <c r="I166" s="70">
        <v>7596</v>
      </c>
      <c r="J166" s="70">
        <v>7324</v>
      </c>
      <c r="K166" s="70">
        <v>216</v>
      </c>
      <c r="L166" s="70">
        <v>-163</v>
      </c>
      <c r="M166" s="50">
        <v>-2.2468438244901561E-2</v>
      </c>
      <c r="N166" s="50">
        <v>-1.3347022587268994E-2</v>
      </c>
      <c r="O166" s="50">
        <v>-9.1214156576325672E-3</v>
      </c>
      <c r="P166" s="50">
        <v>2.843601895734597E-2</v>
      </c>
      <c r="Q166" s="50">
        <v>-2.2255598033861276E-2</v>
      </c>
      <c r="R166" s="50">
        <v>5.069161699120725E-2</v>
      </c>
      <c r="S166" s="50">
        <v>1.1248995625390501E-2</v>
      </c>
      <c r="T166" s="50">
        <v>0.7023411371237458</v>
      </c>
      <c r="U166" s="50">
        <v>3.713817586018564E-2</v>
      </c>
      <c r="V166" s="50">
        <v>-2.3251533742331287</v>
      </c>
    </row>
    <row r="167" spans="1:22" ht="13.2">
      <c r="A167" s="135" t="s">
        <v>126</v>
      </c>
      <c r="B167" s="136">
        <v>18</v>
      </c>
      <c r="C167" s="94">
        <v>118441.01764590002</v>
      </c>
      <c r="D167" s="50">
        <v>1</v>
      </c>
      <c r="E167" s="70">
        <v>18088</v>
      </c>
      <c r="F167" s="70">
        <v>15284</v>
      </c>
      <c r="G167" s="70">
        <v>1419</v>
      </c>
      <c r="H167" s="70">
        <v>1181</v>
      </c>
      <c r="I167" s="70">
        <v>6162</v>
      </c>
      <c r="J167" s="70">
        <v>5201</v>
      </c>
      <c r="K167" s="70">
        <v>503</v>
      </c>
      <c r="L167" s="70">
        <v>363</v>
      </c>
      <c r="M167" s="50">
        <v>7.8449800973020789E-2</v>
      </c>
      <c r="N167" s="50">
        <v>7.727034807641979E-2</v>
      </c>
      <c r="O167" s="50">
        <v>1.1794528966009993E-3</v>
      </c>
      <c r="P167" s="50">
        <v>8.1629341123012011E-2</v>
      </c>
      <c r="Q167" s="50">
        <v>6.9794270332628347E-2</v>
      </c>
      <c r="R167" s="50">
        <v>1.1835070790383664E-2</v>
      </c>
      <c r="S167" s="50">
        <v>0.18345982727034804</v>
      </c>
      <c r="T167" s="50">
        <v>0.20152413209144782</v>
      </c>
      <c r="U167" s="50">
        <v>0.18477215920015388</v>
      </c>
      <c r="V167" s="50">
        <v>0.38567493112947648</v>
      </c>
    </row>
    <row r="168" spans="1:22" ht="13.2">
      <c r="A168" s="135" t="s">
        <v>526</v>
      </c>
      <c r="B168" s="136">
        <v>13</v>
      </c>
      <c r="C168" s="94">
        <v>45998.635817100003</v>
      </c>
      <c r="D168" s="50">
        <v>1</v>
      </c>
      <c r="E168" s="70">
        <v>6949</v>
      </c>
      <c r="F168" s="70">
        <v>13985</v>
      </c>
      <c r="G168" s="70">
        <v>-800</v>
      </c>
      <c r="H168" s="70">
        <v>264</v>
      </c>
      <c r="I168" s="70">
        <v>2516</v>
      </c>
      <c r="J168" s="70">
        <v>5150</v>
      </c>
      <c r="K168" s="70">
        <v>-226</v>
      </c>
      <c r="L168" s="70">
        <v>108</v>
      </c>
      <c r="M168" s="50">
        <v>-0.11512447834220751</v>
      </c>
      <c r="N168" s="50">
        <v>1.887736860922417E-2</v>
      </c>
      <c r="O168" s="50">
        <v>-0.13400184695143169</v>
      </c>
      <c r="P168" s="50">
        <v>-8.9825119236883938E-2</v>
      </c>
      <c r="Q168" s="50">
        <v>2.0970873786407766E-2</v>
      </c>
      <c r="R168" s="50">
        <v>-0.11079599302329171</v>
      </c>
      <c r="S168" s="50">
        <v>-0.50311047550947441</v>
      </c>
      <c r="T168" s="50">
        <v>-4.0303030303030303</v>
      </c>
      <c r="U168" s="50">
        <v>-0.51145631067961173</v>
      </c>
      <c r="V168" s="50">
        <v>-3.0925925925925926</v>
      </c>
    </row>
    <row r="169" spans="1:22" ht="13.2">
      <c r="A169" s="135" t="s">
        <v>128</v>
      </c>
      <c r="B169" s="136">
        <v>9</v>
      </c>
      <c r="C169" s="94">
        <v>1312966.7430090001</v>
      </c>
      <c r="D169" s="50">
        <v>1</v>
      </c>
      <c r="E169" s="70">
        <v>215843</v>
      </c>
      <c r="F169" s="70">
        <v>182859</v>
      </c>
      <c r="G169" s="70">
        <v>5584</v>
      </c>
      <c r="H169" s="70">
        <v>3140</v>
      </c>
      <c r="I169" s="70">
        <v>74342</v>
      </c>
      <c r="J169" s="70">
        <v>64888</v>
      </c>
      <c r="K169" s="70">
        <v>3005</v>
      </c>
      <c r="L169" s="70">
        <v>8870</v>
      </c>
      <c r="M169" s="50">
        <v>2.5870655986063945E-2</v>
      </c>
      <c r="N169" s="50">
        <v>1.7171700599915782E-2</v>
      </c>
      <c r="O169" s="50">
        <v>8.6989553861481633E-3</v>
      </c>
      <c r="P169" s="50">
        <v>4.0421296171746793E-2</v>
      </c>
      <c r="Q169" s="50">
        <v>0.13669707804216497</v>
      </c>
      <c r="R169" s="50">
        <v>-9.6275781870418173E-2</v>
      </c>
      <c r="S169" s="50">
        <v>0.18037941802153568</v>
      </c>
      <c r="T169" s="50">
        <v>0.77834394904458604</v>
      </c>
      <c r="U169" s="50">
        <v>0.14569720133152519</v>
      </c>
      <c r="V169" s="50">
        <v>-0.66121758737316805</v>
      </c>
    </row>
    <row r="170" spans="1:22" ht="13.2">
      <c r="A170" s="135" t="s">
        <v>285</v>
      </c>
      <c r="B170" s="136">
        <v>7</v>
      </c>
      <c r="C170" s="94">
        <v>178472.66684789999</v>
      </c>
      <c r="D170" s="50">
        <v>1</v>
      </c>
      <c r="E170" s="70">
        <v>27517</v>
      </c>
      <c r="F170" s="70">
        <v>25659</v>
      </c>
      <c r="G170" s="70">
        <v>5497</v>
      </c>
      <c r="H170" s="70">
        <v>8409</v>
      </c>
      <c r="I170" s="70">
        <v>9357</v>
      </c>
      <c r="J170" s="70">
        <v>8559</v>
      </c>
      <c r="K170" s="70">
        <v>1877</v>
      </c>
      <c r="L170" s="70">
        <v>4076</v>
      </c>
      <c r="M170" s="50">
        <v>0.19976741650615984</v>
      </c>
      <c r="N170" s="50">
        <v>0.32772126739155849</v>
      </c>
      <c r="O170" s="50">
        <v>-0.12795385088539865</v>
      </c>
      <c r="P170" s="50">
        <v>0.20059848241957892</v>
      </c>
      <c r="Q170" s="50">
        <v>0.47622385792732796</v>
      </c>
      <c r="R170" s="50">
        <v>-0.27562537550774902</v>
      </c>
      <c r="S170" s="50">
        <v>7.2411239720955534E-2</v>
      </c>
      <c r="T170" s="50">
        <v>-0.3462956356284933</v>
      </c>
      <c r="U170" s="50">
        <v>9.3235191026989073E-2</v>
      </c>
      <c r="V170" s="50">
        <v>-0.53949950932286561</v>
      </c>
    </row>
    <row r="171" spans="1:22" ht="13.2">
      <c r="A171" s="135" t="s">
        <v>88</v>
      </c>
      <c r="B171" s="136">
        <v>12</v>
      </c>
      <c r="C171" s="94">
        <v>78880.543514400008</v>
      </c>
      <c r="D171" s="50">
        <v>1</v>
      </c>
      <c r="E171" s="70">
        <v>15342</v>
      </c>
      <c r="F171" s="70">
        <v>12997</v>
      </c>
      <c r="G171" s="70">
        <v>2020</v>
      </c>
      <c r="H171" s="70">
        <v>1754</v>
      </c>
      <c r="I171" s="70">
        <v>5431</v>
      </c>
      <c r="J171" s="70">
        <v>4460</v>
      </c>
      <c r="K171" s="70">
        <v>685</v>
      </c>
      <c r="L171" s="70">
        <v>579</v>
      </c>
      <c r="M171" s="50">
        <v>0.13166471125016296</v>
      </c>
      <c r="N171" s="50">
        <v>0.13495422020466261</v>
      </c>
      <c r="O171" s="50">
        <v>-3.2895089544996425E-3</v>
      </c>
      <c r="P171" s="50">
        <v>0.12612778493831706</v>
      </c>
      <c r="Q171" s="50">
        <v>0.12982062780269057</v>
      </c>
      <c r="R171" s="50">
        <v>-3.6928428643735189E-3</v>
      </c>
      <c r="S171" s="50">
        <v>0.180426252212049</v>
      </c>
      <c r="T171" s="50">
        <v>0.15165336374002281</v>
      </c>
      <c r="U171" s="50">
        <v>0.21771300448430497</v>
      </c>
      <c r="V171" s="50">
        <v>0.18307426597582044</v>
      </c>
    </row>
    <row r="172" spans="1:22" ht="13.2">
      <c r="A172" s="135" t="s">
        <v>450</v>
      </c>
      <c r="B172" s="136">
        <v>3</v>
      </c>
      <c r="C172" s="94">
        <v>35789.3212613</v>
      </c>
      <c r="D172" s="50">
        <v>1</v>
      </c>
      <c r="E172" s="70">
        <v>9483</v>
      </c>
      <c r="F172" s="70">
        <v>8492</v>
      </c>
      <c r="G172" s="70">
        <v>2172</v>
      </c>
      <c r="H172" s="70">
        <v>1014</v>
      </c>
      <c r="I172" s="70">
        <v>3594</v>
      </c>
      <c r="J172" s="70">
        <v>3167</v>
      </c>
      <c r="K172" s="70">
        <v>388</v>
      </c>
      <c r="L172" s="70">
        <v>322</v>
      </c>
      <c r="M172" s="50">
        <v>0.22904144258146156</v>
      </c>
      <c r="N172" s="50">
        <v>0.11940650023551579</v>
      </c>
      <c r="O172" s="50">
        <v>0.10963494234594577</v>
      </c>
      <c r="P172" s="50">
        <v>0.10795770728992765</v>
      </c>
      <c r="Q172" s="50">
        <v>0.10167350805178402</v>
      </c>
      <c r="R172" s="50">
        <v>6.284199238143634E-3</v>
      </c>
      <c r="S172" s="50">
        <v>0.11669806877060762</v>
      </c>
      <c r="T172" s="50">
        <v>1.1420118343195265</v>
      </c>
      <c r="U172" s="50">
        <v>0.13482791285127882</v>
      </c>
      <c r="V172" s="50">
        <v>0.20496894409937894</v>
      </c>
    </row>
    <row r="173" spans="1:22" ht="13.2">
      <c r="A173" s="135" t="s">
        <v>1383</v>
      </c>
      <c r="B173" s="136">
        <v>10</v>
      </c>
    </row>
    <row r="174" spans="1:22" ht="13.2">
      <c r="A174" s="135" t="s">
        <v>867</v>
      </c>
      <c r="B174" s="136">
        <v>9</v>
      </c>
      <c r="C174" s="94">
        <v>13796.614860900001</v>
      </c>
      <c r="D174" s="50">
        <v>1</v>
      </c>
      <c r="E174" s="70">
        <v>5586</v>
      </c>
      <c r="F174" s="70">
        <v>5322</v>
      </c>
      <c r="G174" s="70">
        <v>417</v>
      </c>
      <c r="H174" s="70">
        <v>169</v>
      </c>
      <c r="I174" s="70">
        <v>1961</v>
      </c>
      <c r="J174" s="70">
        <v>1650</v>
      </c>
      <c r="K174" s="70">
        <v>48</v>
      </c>
      <c r="L174" s="70">
        <v>69</v>
      </c>
      <c r="M174" s="50">
        <v>7.465091299677766E-2</v>
      </c>
      <c r="N174" s="50">
        <v>3.1754979331078542E-2</v>
      </c>
      <c r="O174" s="50">
        <v>4.2895933665699118E-2</v>
      </c>
      <c r="P174" s="50">
        <v>2.447730749617542E-2</v>
      </c>
      <c r="Q174" s="50">
        <v>4.1818181818181817E-2</v>
      </c>
      <c r="R174" s="50">
        <v>-1.7340874322006396E-2</v>
      </c>
      <c r="S174" s="50">
        <v>4.9605411499436203E-2</v>
      </c>
      <c r="T174" s="50">
        <v>1.4674556213017751</v>
      </c>
      <c r="U174" s="50">
        <v>0.18848484848484848</v>
      </c>
      <c r="V174" s="50">
        <v>-0.30434782608695654</v>
      </c>
    </row>
    <row r="175" spans="1:22" ht="13.2">
      <c r="A175" s="135" t="s">
        <v>218</v>
      </c>
      <c r="B175" s="136">
        <v>2</v>
      </c>
      <c r="C175" s="94">
        <v>238745.8684418</v>
      </c>
      <c r="D175" s="50">
        <v>1</v>
      </c>
      <c r="E175" s="70">
        <v>68029</v>
      </c>
      <c r="F175" s="70">
        <v>70929</v>
      </c>
      <c r="G175" s="70">
        <v>10117</v>
      </c>
      <c r="H175" s="70">
        <v>3990</v>
      </c>
      <c r="I175" s="70">
        <v>24820</v>
      </c>
      <c r="J175" s="70">
        <v>22848</v>
      </c>
      <c r="K175" s="70">
        <v>5727</v>
      </c>
      <c r="L175" s="70">
        <v>229</v>
      </c>
      <c r="M175" s="50">
        <v>0.14871598876949535</v>
      </c>
      <c r="N175" s="50">
        <v>5.6253436535126676E-2</v>
      </c>
      <c r="O175" s="50">
        <v>9.2462552234368667E-2</v>
      </c>
      <c r="P175" s="50">
        <v>0.23074133763094279</v>
      </c>
      <c r="Q175" s="50">
        <v>1.0022759103641457E-2</v>
      </c>
      <c r="R175" s="50">
        <v>0.22071857852730134</v>
      </c>
      <c r="S175" s="50">
        <v>-4.0885956378914123E-2</v>
      </c>
      <c r="T175" s="50">
        <v>1.5355889724310776</v>
      </c>
      <c r="U175" s="50">
        <v>8.6309523809523725E-2</v>
      </c>
      <c r="V175" s="50">
        <v>24.008733624454148</v>
      </c>
    </row>
    <row r="176" spans="1:22" ht="13.2">
      <c r="A176" s="135" t="s">
        <v>1033</v>
      </c>
      <c r="B176" s="136">
        <v>8</v>
      </c>
      <c r="C176" s="94">
        <v>4281.4434840000004</v>
      </c>
      <c r="D176" s="50">
        <v>1</v>
      </c>
      <c r="E176" s="70">
        <v>9591</v>
      </c>
      <c r="F176" s="70">
        <v>9052</v>
      </c>
      <c r="G176" s="70">
        <v>105</v>
      </c>
      <c r="H176" s="70">
        <v>161</v>
      </c>
      <c r="I176" s="70">
        <v>3172</v>
      </c>
      <c r="J176" s="70">
        <v>3124</v>
      </c>
      <c r="K176" s="70">
        <v>37</v>
      </c>
      <c r="L176" s="70">
        <v>45</v>
      </c>
      <c r="M176" s="50">
        <v>1.0947763528307789E-2</v>
      </c>
      <c r="N176" s="50">
        <v>1.7786124613345118E-2</v>
      </c>
      <c r="O176" s="50">
        <v>-6.838361085037329E-3</v>
      </c>
      <c r="P176" s="50">
        <v>1.1664564943253467E-2</v>
      </c>
      <c r="Q176" s="50">
        <v>1.4404609475032011E-2</v>
      </c>
      <c r="R176" s="50">
        <v>-2.7400445317785436E-3</v>
      </c>
      <c r="S176" s="50">
        <v>5.9544851966416346E-2</v>
      </c>
      <c r="T176" s="50">
        <v>-0.34782608695652173</v>
      </c>
      <c r="U176" s="50">
        <v>1.5364916773367376E-2</v>
      </c>
      <c r="V176" s="50">
        <v>-0.17777777777777781</v>
      </c>
    </row>
    <row r="177" spans="1:22" ht="13.2">
      <c r="A177" s="135" t="s">
        <v>563</v>
      </c>
      <c r="B177" s="136">
        <v>138</v>
      </c>
      <c r="C177" s="94">
        <v>43502.535035099929</v>
      </c>
      <c r="D177" s="50">
        <v>1.0000000000000024</v>
      </c>
      <c r="E177" s="70">
        <v>86589</v>
      </c>
      <c r="F177" s="70">
        <v>73321</v>
      </c>
      <c r="G177" s="70">
        <v>1450</v>
      </c>
      <c r="H177" s="70">
        <v>1342</v>
      </c>
      <c r="I177" s="70">
        <v>31160.34</v>
      </c>
      <c r="J177" s="70">
        <v>26885.25</v>
      </c>
      <c r="K177" s="70">
        <v>529</v>
      </c>
      <c r="L177" s="70">
        <v>466</v>
      </c>
      <c r="M177" s="50">
        <v>1.6745776022358497E-2</v>
      </c>
      <c r="N177" s="50">
        <v>1.8303078244977563E-2</v>
      </c>
      <c r="O177" s="50">
        <v>-1.5573022226190655E-3</v>
      </c>
      <c r="P177" s="50">
        <v>1.6976708213068278E-2</v>
      </c>
      <c r="Q177" s="50">
        <v>1.733292418705424E-2</v>
      </c>
      <c r="R177" s="50">
        <v>-3.5621597398596133E-4</v>
      </c>
      <c r="S177" s="50">
        <v>0.18095770652336984</v>
      </c>
      <c r="T177" s="50">
        <v>8.0476900149031305E-2</v>
      </c>
      <c r="U177" s="50">
        <v>0.1590124696627333</v>
      </c>
      <c r="V177" s="50">
        <v>0.13519313304721026</v>
      </c>
    </row>
    <row r="178" spans="1:22" ht="13.2">
      <c r="A178" s="135" t="s">
        <v>1384</v>
      </c>
      <c r="B178" s="136">
        <v>1</v>
      </c>
    </row>
    <row r="179" spans="1:22" ht="13.2">
      <c r="A179" s="135" t="s">
        <v>759</v>
      </c>
      <c r="B179" s="136">
        <v>2</v>
      </c>
      <c r="C179" s="94">
        <v>12033.578080699999</v>
      </c>
      <c r="D179" s="50">
        <v>1</v>
      </c>
      <c r="E179" s="70">
        <v>466</v>
      </c>
      <c r="F179" s="70">
        <v>304</v>
      </c>
      <c r="G179" s="70">
        <v>94</v>
      </c>
      <c r="H179" s="70">
        <v>-288</v>
      </c>
      <c r="I179" s="70">
        <v>171</v>
      </c>
      <c r="J179" s="70">
        <v>113</v>
      </c>
      <c r="K179" s="70">
        <v>31</v>
      </c>
      <c r="L179" s="70">
        <v>-48</v>
      </c>
      <c r="M179" s="50">
        <v>0.20171673819742489</v>
      </c>
      <c r="N179" s="50">
        <v>-0.94736842105263153</v>
      </c>
      <c r="O179" s="50">
        <v>1.1490851592500564</v>
      </c>
      <c r="P179" s="50">
        <v>0.18128654970760233</v>
      </c>
      <c r="Q179" s="50">
        <v>-0.4247787610619469</v>
      </c>
      <c r="R179" s="50">
        <v>0.60606531076954928</v>
      </c>
      <c r="S179" s="50">
        <v>0.53289473684210531</v>
      </c>
      <c r="T179" s="50">
        <v>-1.3263888888888888</v>
      </c>
      <c r="U179" s="50">
        <v>0.51327433628318575</v>
      </c>
      <c r="V179" s="50">
        <v>-1.6458333333333335</v>
      </c>
    </row>
    <row r="180" spans="1:22" ht="13.2">
      <c r="A180" s="135" t="s">
        <v>528</v>
      </c>
      <c r="B180" s="136">
        <v>18</v>
      </c>
      <c r="C180" s="94">
        <v>36845.045663300007</v>
      </c>
      <c r="D180" s="50">
        <v>1</v>
      </c>
      <c r="E180" s="70">
        <v>9604</v>
      </c>
      <c r="F180" s="70">
        <v>9279</v>
      </c>
      <c r="G180" s="70">
        <v>1596</v>
      </c>
      <c r="H180" s="70">
        <v>1809</v>
      </c>
      <c r="I180" s="70">
        <v>3164</v>
      </c>
      <c r="J180" s="70">
        <v>2844</v>
      </c>
      <c r="K180" s="70">
        <v>479</v>
      </c>
      <c r="L180" s="70">
        <v>504</v>
      </c>
      <c r="M180" s="50">
        <v>0.16618075801749271</v>
      </c>
      <c r="N180" s="50">
        <v>0.19495635305528614</v>
      </c>
      <c r="O180" s="50">
        <v>-2.8775595037793422E-2</v>
      </c>
      <c r="P180" s="50">
        <v>0.15139064475347661</v>
      </c>
      <c r="Q180" s="50">
        <v>0.17721518987341772</v>
      </c>
      <c r="R180" s="50">
        <v>-2.5824545119941117E-2</v>
      </c>
      <c r="S180" s="50">
        <v>3.5025326004957336E-2</v>
      </c>
      <c r="T180" s="50">
        <v>-0.11774461028192373</v>
      </c>
      <c r="U180" s="50">
        <v>0.11251758087201136</v>
      </c>
      <c r="V180" s="50">
        <v>-4.9603174603174649E-2</v>
      </c>
    </row>
    <row r="181" spans="1:22" ht="13.2">
      <c r="A181" s="135" t="s">
        <v>392</v>
      </c>
      <c r="B181" s="136">
        <v>17</v>
      </c>
      <c r="C181" s="94">
        <v>152778.25176090002</v>
      </c>
      <c r="D181" s="50">
        <v>1</v>
      </c>
      <c r="E181" s="70">
        <v>78356</v>
      </c>
      <c r="F181" s="70">
        <v>73637</v>
      </c>
      <c r="G181" s="70">
        <v>4489</v>
      </c>
      <c r="H181" s="70">
        <v>4373</v>
      </c>
      <c r="I181" s="70">
        <v>27826</v>
      </c>
      <c r="J181" s="70">
        <v>24264</v>
      </c>
      <c r="K181" s="70">
        <v>1918</v>
      </c>
      <c r="L181" s="70">
        <v>1245</v>
      </c>
      <c r="M181" s="50">
        <v>5.7289805503088466E-2</v>
      </c>
      <c r="N181" s="50">
        <v>5.9385906541548406E-2</v>
      </c>
      <c r="O181" s="50">
        <v>-2.0961010384599396E-3</v>
      </c>
      <c r="P181" s="50">
        <v>6.8928340401063756E-2</v>
      </c>
      <c r="Q181" s="50">
        <v>5.1310583580613252E-2</v>
      </c>
      <c r="R181" s="50">
        <v>1.7617756820450504E-2</v>
      </c>
      <c r="S181" s="50">
        <v>6.4084631367383293E-2</v>
      </c>
      <c r="T181" s="50">
        <v>2.6526412074091121E-2</v>
      </c>
      <c r="U181" s="50">
        <v>0.14680184635674243</v>
      </c>
      <c r="V181" s="50">
        <v>0.54056224899598404</v>
      </c>
    </row>
    <row r="182" spans="1:22" ht="13.2">
      <c r="A182" s="135" t="s">
        <v>1312</v>
      </c>
      <c r="B182" s="136">
        <v>7</v>
      </c>
      <c r="C182" s="94">
        <v>4620.3432714</v>
      </c>
      <c r="D182" s="50">
        <v>1</v>
      </c>
      <c r="E182" s="94">
        <v>612</v>
      </c>
      <c r="F182" s="94">
        <v>685</v>
      </c>
      <c r="G182" s="94">
        <v>85</v>
      </c>
      <c r="H182" s="94">
        <v>137</v>
      </c>
      <c r="I182" s="70">
        <v>200</v>
      </c>
      <c r="J182" s="70">
        <v>245</v>
      </c>
      <c r="K182" s="94">
        <v>19</v>
      </c>
      <c r="L182" s="94">
        <v>50</v>
      </c>
      <c r="M182" s="50">
        <v>0.1388888888888889</v>
      </c>
      <c r="N182" s="50">
        <v>0.2</v>
      </c>
      <c r="O182" s="50">
        <v>-6.1111111111111116E-2</v>
      </c>
      <c r="P182" s="50">
        <v>9.5000000000000001E-2</v>
      </c>
      <c r="Q182" s="50">
        <v>0.20408163265306123</v>
      </c>
      <c r="R182" s="50">
        <v>-0.10908163265306123</v>
      </c>
      <c r="S182" s="50">
        <v>-0.10656934306569343</v>
      </c>
      <c r="T182" s="50">
        <v>-0.37956204379562042</v>
      </c>
      <c r="U182" s="50">
        <v>-0.18367346938775508</v>
      </c>
      <c r="V182" s="50">
        <v>-0.62</v>
      </c>
    </row>
    <row r="183" spans="1:22" ht="13.2">
      <c r="A183" s="135" t="s">
        <v>856</v>
      </c>
      <c r="B183" s="136">
        <v>5</v>
      </c>
      <c r="C183" s="94">
        <v>15897.740358999998</v>
      </c>
      <c r="D183" s="50">
        <v>1</v>
      </c>
      <c r="E183" s="70">
        <v>5361</v>
      </c>
      <c r="F183" s="70">
        <v>4738</v>
      </c>
      <c r="G183" s="70">
        <v>493</v>
      </c>
      <c r="H183" s="70">
        <v>443</v>
      </c>
      <c r="I183" s="70">
        <v>1968</v>
      </c>
      <c r="J183" s="70">
        <v>1762</v>
      </c>
      <c r="K183" s="70">
        <v>153</v>
      </c>
      <c r="L183" s="70">
        <v>155</v>
      </c>
      <c r="M183" s="50">
        <v>9.1960455138966612E-2</v>
      </c>
      <c r="N183" s="50">
        <v>9.349936682144365E-2</v>
      </c>
      <c r="O183" s="50">
        <v>-1.5389116824770371E-3</v>
      </c>
      <c r="P183" s="50">
        <v>7.774390243902439E-2</v>
      </c>
      <c r="Q183" s="50">
        <v>8.7968217934165718E-2</v>
      </c>
      <c r="R183" s="50">
        <v>-1.0224315495141328E-2</v>
      </c>
      <c r="S183" s="50">
        <v>0.1314900802026171</v>
      </c>
      <c r="T183" s="50">
        <v>0.1128668171557563</v>
      </c>
      <c r="U183" s="50">
        <v>0.1169125993189557</v>
      </c>
      <c r="V183" s="50">
        <v>-1.2903225806451646E-2</v>
      </c>
    </row>
    <row r="184" spans="1:22" ht="13.2">
      <c r="A184" s="135" t="s">
        <v>1385</v>
      </c>
      <c r="B184" s="136">
        <v>2</v>
      </c>
    </row>
    <row r="185" spans="1:22" ht="13.2">
      <c r="A185" s="135" t="s">
        <v>1386</v>
      </c>
      <c r="B185" s="136">
        <v>1</v>
      </c>
    </row>
    <row r="186" spans="1:22" ht="13.2">
      <c r="A186" s="135" t="s">
        <v>224</v>
      </c>
      <c r="B186" s="136">
        <v>2</v>
      </c>
      <c r="C186" s="94">
        <v>222201.74479719999</v>
      </c>
      <c r="D186" s="50">
        <v>1</v>
      </c>
      <c r="E186" s="70">
        <v>27300</v>
      </c>
      <c r="F186" s="70">
        <v>24996</v>
      </c>
      <c r="G186" s="70">
        <v>8799</v>
      </c>
      <c r="H186" s="70">
        <v>7350</v>
      </c>
      <c r="I186" s="70">
        <v>10980</v>
      </c>
      <c r="J186" s="70">
        <v>8614</v>
      </c>
      <c r="K186" s="70">
        <v>3916</v>
      </c>
      <c r="L186" s="70">
        <v>2678</v>
      </c>
      <c r="M186" s="50">
        <v>0.3223076923076923</v>
      </c>
      <c r="N186" s="50">
        <v>0.29404704752760441</v>
      </c>
      <c r="O186" s="50">
        <v>2.8260644780087885E-2</v>
      </c>
      <c r="P186" s="50">
        <v>0.35664845173041893</v>
      </c>
      <c r="Q186" s="50">
        <v>0.31088925005804502</v>
      </c>
      <c r="R186" s="50">
        <v>4.5759201672373906E-2</v>
      </c>
      <c r="S186" s="50">
        <v>9.2174747959673509E-2</v>
      </c>
      <c r="T186" s="50">
        <v>0.19714285714285706</v>
      </c>
      <c r="U186" s="50">
        <v>0.274669143255166</v>
      </c>
      <c r="V186" s="50">
        <v>0.46228528752800591</v>
      </c>
    </row>
    <row r="187" spans="1:22" ht="13.2">
      <c r="A187" s="70"/>
    </row>
    <row r="188" spans="1:22" ht="13.2">
      <c r="A188" s="70"/>
    </row>
    <row r="189" spans="1:22" ht="13.2">
      <c r="A189" s="70"/>
    </row>
    <row r="190" spans="1:22" ht="13.2">
      <c r="A190" s="70"/>
    </row>
    <row r="191" spans="1:22" ht="13.2">
      <c r="A191" s="70"/>
    </row>
    <row r="192" spans="1:22" ht="13.2">
      <c r="A192" s="70"/>
    </row>
    <row r="193" spans="1:1" ht="13.2">
      <c r="A193" s="70"/>
    </row>
    <row r="194" spans="1:1" ht="13.2">
      <c r="A194" s="70"/>
    </row>
    <row r="195" spans="1:1" ht="13.2">
      <c r="A195" s="70"/>
    </row>
    <row r="196" spans="1:1" ht="13.2">
      <c r="A196" s="70"/>
    </row>
    <row r="197" spans="1:1" ht="13.2">
      <c r="A197" s="70"/>
    </row>
    <row r="198" spans="1:1" ht="13.2">
      <c r="A198" s="70"/>
    </row>
    <row r="199" spans="1:1" ht="13.2">
      <c r="A199" s="70"/>
    </row>
  </sheetData>
  <autoFilter ref="A1:V186" xr:uid="{00000000-0009-0000-0000-000003000000}"/>
  <hyperlinks>
    <hyperlink ref="A2" location="'23 Wheelers'!A1" display="2/3 Wheelers" xr:uid="{00000000-0004-0000-0300-000000000000}"/>
    <hyperlink ref="A3" location="'Abrasives &amp; Bearings'!A1" display="Abrasives &amp; Bearings" xr:uid="{00000000-0004-0000-0300-000001000000}"/>
    <hyperlink ref="A4" location="'Advertising &amp; Media Agencies'!A1" display="Advertising &amp; Media Agencies" xr:uid="{00000000-0004-0000-0300-000002000000}"/>
    <hyperlink ref="A5" location="'Aerospace &amp; Defense'!A1" display="Aerospace &amp; Defense" xr:uid="{00000000-0004-0000-0300-000003000000}"/>
    <hyperlink ref="A6" location="Airline!A1" display="Airline" xr:uid="{00000000-0004-0000-0300-000004000000}"/>
    <hyperlink ref="A7" location="'Airport &amp; Airport services'!A1" display="Airport &amp; Airport services" xr:uid="{00000000-0004-0000-0300-000005000000}"/>
    <hyperlink ref="A8" location="Aluminium!A1" display="Aluminium" xr:uid="{00000000-0004-0000-0300-000006000000}"/>
    <hyperlink ref="A9" location="'Aluminium, Copper &amp; Zinc Produc'!A1" display="Aluminium, Copper &amp; Zinc Products" xr:uid="{00000000-0004-0000-0300-000007000000}"/>
    <hyperlink ref="A10" location="'Amusement Parks Other Recreatio'!A1" display="Amusement Parks/ Other Recreation" xr:uid="{00000000-0004-0000-0300-000008000000}"/>
    <hyperlink ref="A11" location="'Animal Feed'!A1" display="Animal Feed" xr:uid="{00000000-0004-0000-0300-000009000000}"/>
    <hyperlink ref="A12" location="'Asset Management Company'!A1" display="Asset Management Company" xr:uid="{00000000-0004-0000-0300-00000A000000}"/>
    <hyperlink ref="A13" location="'Auto Components &amp; Equipments'!A1" display="Auto Components &amp; Equipments" xr:uid="{00000000-0004-0000-0300-00000B000000}"/>
    <hyperlink ref="A14" location="'Auto -Dealer'!A1" display="Auto -Dealer" xr:uid="{00000000-0004-0000-0300-00000C000000}"/>
    <hyperlink ref="A15" location="Biotechnology!A1" display="Biotechnology" xr:uid="{00000000-0004-0000-0300-00000D000000}"/>
    <hyperlink ref="A16" location="'Breweries &amp; Distilleries'!A1" display="Breweries &amp; Distilleries" xr:uid="{00000000-0004-0000-0300-00000E000000}"/>
    <hyperlink ref="A17" location="'Business Process Outsourcing (B'!A1" display="Business Process Outsourcing (BPO)/ Knowledge Process Outsourcing (KPO)" xr:uid="{00000000-0004-0000-0300-00000F000000}"/>
    <hyperlink ref="A18" location="'Cables - Electricals'!A1" display="Cables - Electricals" xr:uid="{00000000-0004-0000-0300-000010000000}"/>
    <hyperlink ref="A19" location="'Carbon Black'!A1" display="Carbon Black" xr:uid="{00000000-0004-0000-0300-000011000000}"/>
    <hyperlink ref="A20" location="'Castings &amp; Forgings'!A1" display="Castings &amp; Forgings" xr:uid="{00000000-0004-0000-0300-000012000000}"/>
    <hyperlink ref="A21" location="'Cement &amp; Cement Products'!A1" display="Cement &amp; Cement Products" xr:uid="{00000000-0004-0000-0300-000013000000}"/>
    <hyperlink ref="A22" location="Ceramics!A1" display="Ceramics" xr:uid="{00000000-0004-0000-0300-000014000000}"/>
    <hyperlink ref="A23" location="'Cigarettes &amp; Tobacco Products'!A1" display="Cigarettes &amp; Tobacco Products" xr:uid="{00000000-0004-0000-0300-000015000000}"/>
    <hyperlink ref="A24" location="'Civil Construction'!A1" display="Civil Construction" xr:uid="{00000000-0004-0000-0300-000016000000}"/>
    <hyperlink ref="A25" location="Coal!A1" display="Coal" xr:uid="{00000000-0004-0000-0300-000017000000}"/>
    <hyperlink ref="A26" location="'Commercial Vehicles'!A1" display="Commercial Vehicles" xr:uid="{00000000-0004-0000-0300-000018000000}"/>
    <hyperlink ref="A27" location="'Commodity Chemicals'!A1" display="Commodity Chemicals." xr:uid="{00000000-0004-0000-0300-000019000000}"/>
    <hyperlink ref="A28" location="'Compressors, Pumps &amp; Diesel Eng'!A1" display="Compressors, Pumps &amp; Diesel Engines" xr:uid="{00000000-0004-0000-0300-00001A000000}"/>
    <hyperlink ref="A29" location="'Computers - Software &amp; Consulti'!A1" display="Computers - Software &amp; Consulting" xr:uid="{00000000-0004-0000-0300-00001B000000}"/>
    <hyperlink ref="A30" location="'Computers Hardware &amp; Equipments'!A1" display="Computers Hardware &amp; Equipments" xr:uid="{00000000-0004-0000-0300-00001C000000}"/>
    <hyperlink ref="A31" location="'Construction Vehicles'!A1" display="Construction Vehicles" xr:uid="{00000000-0004-0000-0300-00001D000000}"/>
    <hyperlink ref="A32" location="'Consulting Services'!A1" display="Consulting Services" xr:uid="{00000000-0004-0000-0300-00001E000000}"/>
    <hyperlink ref="A33" location="'Consumer Electronics'!A1" display="Consumer Electronics" xr:uid="{00000000-0004-0000-0300-00001F000000}"/>
    <hyperlink ref="A34" location="Copper!A1" display="Copper" xr:uid="{00000000-0004-0000-0300-000020000000}"/>
    <hyperlink ref="A35" location="'Dairy Products'!A1" display="Dairy Products" xr:uid="{00000000-0004-0000-0300-000021000000}"/>
    <hyperlink ref="A36" location="'Data Processing Services'!A1" display="Data Processing Services" xr:uid="{00000000-0004-0000-0300-000022000000}"/>
    <hyperlink ref="A37" location="'Depositories, Clearing Houses a'!A1" display="Depositories, Clearing Houses and Other Intermediaries" xr:uid="{00000000-0004-0000-0300-000023000000}"/>
    <hyperlink ref="A38" location="'Digital Entertainment'!A1" display="Digital Entertainment" xr:uid="{00000000-0004-0000-0300-000024000000}"/>
    <hyperlink ref="A39" location="Distributors!A1" display="Distributors" xr:uid="{00000000-0004-0000-0300-000025000000}"/>
    <hyperlink ref="A40" location="Diversified!A1" display="Diversified" xr:uid="{00000000-0004-0000-0300-000026000000}"/>
    <hyperlink ref="A41" location="'Diversified Commercial Services'!A1" display="Diversified Commercial Services" xr:uid="{00000000-0004-0000-0300-000027000000}"/>
    <hyperlink ref="A42" location="'Diversified consumer products'!A1" display="Diversified consumer products" xr:uid="{00000000-0004-0000-0300-000028000000}"/>
    <hyperlink ref="A43" location="'Diversified FMCG'!A1" display="Diversified FMCG" xr:uid="{00000000-0004-0000-0300-000029000000}"/>
    <hyperlink ref="A44" location="'Diversified Metals'!A1" display="Diversified Metals" xr:uid="{00000000-0004-0000-0300-00002A000000}"/>
    <hyperlink ref="A45" location="'Diversified Retail'!A1" display="Diversified Retail" xr:uid="{00000000-0004-0000-0300-00002B000000}"/>
    <hyperlink ref="A46" location="Dredging!A1" display="Dredging" xr:uid="{00000000-0004-0000-0300-00002C000000}"/>
    <hyperlink ref="A47" location="'Dyes And Pigments'!A1" display="Dyes And Pigments" xr:uid="{00000000-0004-0000-0300-00002D000000}"/>
    <hyperlink ref="A48" location="'Edible Oil'!A1" display="Edible Oil" xr:uid="{00000000-0004-0000-0300-00002E000000}"/>
    <hyperlink ref="A49" location="Education!A1" display="Education" xr:uid="{00000000-0004-0000-0300-00002F000000}"/>
    <hyperlink ref="A50" location="'E-Learning'!A1" display="E-Learning" xr:uid="{00000000-0004-0000-0300-000030000000}"/>
    <hyperlink ref="A51" location="'Electrodes &amp; Refractories'!A1" display="Electrodes &amp; Refractories" xr:uid="{00000000-0004-0000-0300-000031000000}"/>
    <hyperlink ref="A52" location="'Electronic Media'!A1" display="Electronic Media" xr:uid="{00000000-0004-0000-0300-000032000000}"/>
    <hyperlink ref="A53" location="'E-Retail E-Commerce'!A1" display="E-Retail/ E-Commerce" xr:uid="{00000000-0004-0000-0300-000033000000}"/>
    <hyperlink ref="A54" location="'Exchange and Data Platform'!A1" display="Exchange and Data Platform" xr:uid="{00000000-0004-0000-0300-000034000000}"/>
    <hyperlink ref="A55" location="Explosives!A1" display="Explosives" xr:uid="{00000000-0004-0000-0300-000035000000}"/>
    <hyperlink ref="A56" location="'Ferro &amp; Silica Manganese'!A1" display="Ferro &amp; Silica Manganese" xr:uid="{00000000-0004-0000-0300-000036000000}"/>
    <hyperlink ref="A57" location="Fertilizers!A1" display="Fertilizers" xr:uid="{00000000-0004-0000-0300-000037000000}"/>
    <hyperlink ref="A58" location="'Film Production, Distribution &amp;'!A1" display="Film Production, Distribution &amp; Exhibition" xr:uid="{00000000-0004-0000-0300-000038000000}"/>
    <hyperlink ref="A59" location="'Financial Institution'!A1" display="Financial Institution" xr:uid="{00000000-0004-0000-0300-000039000000}"/>
    <hyperlink ref="A60" location="'Financial Products Distributor'!A1" display="Financial Products Distributor" xr:uid="{00000000-0004-0000-0300-00003A000000}"/>
    <hyperlink ref="A61" location="'Financial Technology (Fintech)'!A1" display="Financial Technology (Fintech)" xr:uid="{00000000-0004-0000-0300-00003B000000}"/>
    <hyperlink ref="A62" location="Footwear!A1" display="Footwear" xr:uid="{00000000-0004-0000-0300-00003C000000}"/>
    <hyperlink ref="A63" location="'Forest Products'!A1" display="Forest Products" xr:uid="{00000000-0004-0000-0300-00003D000000}"/>
    <hyperlink ref="A64" location="'Furniture, Home Furnishing'!A1" display="Furniture, Home Furnishing." xr:uid="{00000000-0004-0000-0300-00003E000000}"/>
    <hyperlink ref="A66" location="'Garments &amp; Apparels'!A1" display="Garments &amp; Apparels" xr:uid="{00000000-0004-0000-0300-00003F000000}"/>
    <hyperlink ref="A67" location="'Gas TransmissionMarketing'!A1" display="Gas Transmission/Marketing" xr:uid="{00000000-0004-0000-0300-000040000000}"/>
    <hyperlink ref="A68" location="'Gems, Jewellery And Watches'!A1" display="Gems, Jewellery And Watches" xr:uid="{00000000-0004-0000-0300-000041000000}"/>
    <hyperlink ref="A69" location="'General Insurance'!A1" display="General Insurance" xr:uid="{00000000-0004-0000-0300-000042000000}"/>
    <hyperlink ref="A70" location="'Glass - Industrial'!A1" display="Glass - Industrial" xr:uid="{00000000-0004-0000-0300-000043000000}"/>
    <hyperlink ref="A71" location="'Granites &amp; Marbles'!A1" display="Granites &amp; Marbles" xr:uid="{00000000-0004-0000-0300-000044000000}"/>
    <hyperlink ref="A72" location="'Healthcare Research, Analytics '!A1" display="Healthcare Research, Analytics &amp; Technology" xr:uid="{00000000-0004-0000-0300-000045000000}"/>
    <hyperlink ref="A73" location="'Healthcare Service Provider'!A1" display="Healthcare Service Provider" xr:uid="{00000000-0004-0000-0300-000046000000}"/>
    <hyperlink ref="A74" location="'Heavy Electrical Equipment'!A1" display="Heavy Electrical Equipment" xr:uid="{00000000-0004-0000-0300-000047000000}"/>
    <hyperlink ref="A75" location="'Holding Company'!A1" display="Holding Company" xr:uid="{00000000-0004-0000-0300-000048000000}"/>
    <hyperlink ref="A76" location="Hospital!A1" display="Hospital" xr:uid="{00000000-0004-0000-0300-000049000000}"/>
    <hyperlink ref="A77" location="'Hotels &amp; Resorts'!A1" display="Hotels &amp; Resorts" xr:uid="{00000000-0004-0000-0300-00004A000000}"/>
    <hyperlink ref="A78" location="'Household Appliances'!A1" display="Household Appliances" xr:uid="{00000000-0004-0000-0300-00004B000000}"/>
    <hyperlink ref="A79" location="'Household Products'!A1" display="Household Products" xr:uid="{00000000-0004-0000-0300-00004C000000}"/>
    <hyperlink ref="A80" location="Houseware!A1" display="Houseware" xr:uid="{00000000-0004-0000-0300-00004D000000}"/>
    <hyperlink ref="A81" location="'Housing Finance Company'!A1" display="Housing Finance Company" xr:uid="{00000000-0004-0000-0300-00004E000000}"/>
    <hyperlink ref="A82" location="'Industrial Gases'!A1" display="Industrial Gases" xr:uid="{00000000-0004-0000-0300-00004F000000}"/>
    <hyperlink ref="A84" location="'Industrial Minerals'!A1" display="Industrial Minerals" xr:uid="{00000000-0004-0000-0300-000050000000}"/>
    <hyperlink ref="A85" location="'Industrial Products'!A1" display="Industrial Products" xr:uid="{00000000-0004-0000-0300-000051000000}"/>
    <hyperlink ref="A86" location="'Integrated Power Utilities'!A1" display="Integrated Power Utilities" xr:uid="{00000000-0004-0000-0300-000052000000}"/>
    <hyperlink ref="A87" location="'Internet &amp; Catalogue Retail'!A1" display="Internet &amp; Catalogue Retail" xr:uid="{00000000-0004-0000-0300-000053000000}"/>
    <hyperlink ref="A88" location="'Investment Company'!A1" display="Investment Company" xr:uid="{00000000-0004-0000-0300-000054000000}"/>
    <hyperlink ref="A89" location="'Iron &amp; Steel'!A1" display="Iron &amp; Steel" xr:uid="{00000000-0004-0000-0300-000055000000}"/>
    <hyperlink ref="A90" location="'Iron &amp; Steel Products'!A1" display="Iron &amp; Steel Products" xr:uid="{00000000-0004-0000-0300-000056000000}"/>
    <hyperlink ref="A91" location="'IT Enabled Services'!A1" display="IT Enabled Services" xr:uid="{00000000-0004-0000-0300-000057000000}"/>
    <hyperlink ref="A92" location="'Jute &amp; Jute Products'!A1" display="Jute &amp; Jute Products" xr:uid="{00000000-0004-0000-0300-000058000000}"/>
    <hyperlink ref="A93" location="'Leather And Leather Products'!A1" display="Leather And Leather Products" xr:uid="{00000000-0004-0000-0300-000059000000}"/>
    <hyperlink ref="A94" location="'Leisure Products'!A1" display="Leisure Products" xr:uid="{00000000-0004-0000-0300-00005A000000}"/>
    <hyperlink ref="A95" location="'Life Insurance'!A1" display="Life Insurance" xr:uid="{00000000-0004-0000-0300-00005B000000}"/>
    <hyperlink ref="A96" location="'Logistics Solution Provider'!A1" display="Logistics Solution Provider" xr:uid="{00000000-0004-0000-0300-00005C000000}"/>
    <hyperlink ref="A97" location="'LPGCNGPNGLNG Supplier'!A1" display="LPG/CNG/PNG/LNG Supplier" xr:uid="{00000000-0004-0000-0300-00005D000000}"/>
    <hyperlink ref="A98" location="Lubricants!A1" display="Lubricants" xr:uid="{00000000-0004-0000-0300-00005E000000}"/>
    <hyperlink ref="A99" location="'Meat Products including Poultry'!A1" display="Meat Products including Poultry" xr:uid="{00000000-0004-0000-0300-00005F000000}"/>
    <hyperlink ref="A100" location="'Media &amp; Entertainment'!A1" display="Media &amp; Entertainment" xr:uid="{00000000-0004-0000-0300-000060000000}"/>
    <hyperlink ref="A101" location="'Medical Equipment &amp; Supplies'!A1" display="Medical Equipment &amp; Supplies" xr:uid="{00000000-0004-0000-0300-000061000000}"/>
    <hyperlink ref="A102" location="'Microfinance Institutions'!A1" display="Microfinance Institutions" xr:uid="{00000000-0004-0000-0300-000062000000}"/>
    <hyperlink ref="A103" location="'Mutual Fund Scheme - ETF'!A1" display="Mutual Fund Scheme - ETF" xr:uid="{00000000-0004-0000-0300-000063000000}"/>
    <hyperlink ref="A104" location="'Non Banking Financial Company ('!A1" display="Non Banking Financial Company (NBFC)" xr:uid="{00000000-0004-0000-0300-000064000000}"/>
    <hyperlink ref="A105" location="'Offshore Support Solution Drill'!A1" display="Offshore Support Solution Drilling" xr:uid="{00000000-0004-0000-0300-000065000000}"/>
    <hyperlink ref="A106" location="'Oil Equipment &amp; Services'!A1" display="Oil Equipment &amp; Services" xr:uid="{00000000-0004-0000-0300-000066000000}"/>
    <hyperlink ref="A107" location="'Oil Exploration &amp; Production'!A1" display="Oil Exploration &amp; Production" xr:uid="{00000000-0004-0000-0300-000067000000}"/>
    <hyperlink ref="A108" location="'Oil Storage &amp; Transportation'!A1" display="Oil Storage &amp; Transportation" xr:uid="{00000000-0004-0000-0300-000068000000}"/>
    <hyperlink ref="A109" location="'Other Agricultural Products'!A1" display="Other Agricultural Products" xr:uid="{00000000-0004-0000-0300-000069000000}"/>
    <hyperlink ref="A110" location="'Other Bank'!A1" display="Other Bank" xr:uid="{00000000-0004-0000-0300-00006A000000}"/>
    <hyperlink ref="A111" location="'Other Beverages'!A1" display="Other Beverages" xr:uid="{00000000-0004-0000-0300-00006B000000}"/>
    <hyperlink ref="A112" location="'Other Capital Market related Se'!A1" display="Other Capital Market related Services" xr:uid="{00000000-0004-0000-0300-00006C000000}"/>
    <hyperlink ref="A113" location="'Other Construction Materials'!A1" display="Other Construction Materials" xr:uid="{00000000-0004-0000-0300-00006D000000}"/>
    <hyperlink ref="A114" location="'Other Consumer Services'!A1" display="Other Consumer Services" xr:uid="{00000000-0004-0000-0300-00006E000000}"/>
    <hyperlink ref="A115" location="'Other Electrical Equipment'!A1" display="Other Electrical Equipment" xr:uid="{00000000-0004-0000-0300-00006F000000}"/>
    <hyperlink ref="A116" location="'Other Financial Services'!A1" display="Other Financial Services" xr:uid="{00000000-0004-0000-0300-000070000000}"/>
    <hyperlink ref="A117" location="'Other Food Products'!A1" display="Other Food Products" xr:uid="{00000000-0004-0000-0300-000071000000}"/>
    <hyperlink ref="A118" location="'Other Industrial Products'!A1" display="Other Industrial Products" xr:uid="{00000000-0004-0000-0300-000072000000}"/>
    <hyperlink ref="A119" location="'Other Telecom Services'!A1" display="Other Telecom Services" xr:uid="{00000000-0004-0000-0300-000073000000}"/>
    <hyperlink ref="A120" location="'Other Textile Products'!A1" display="Other Textile Products" xr:uid="{00000000-0004-0000-0300-000074000000}"/>
    <hyperlink ref="A121" location="'Other Utilities'!A1" display="Other Utilities" xr:uid="{00000000-0004-0000-0300-000075000000}"/>
    <hyperlink ref="A122" location="'Packaged Foods'!A1" display="Packaged Foods" xr:uid="{00000000-0004-0000-0300-000076000000}"/>
    <hyperlink ref="A123" location="Packaging!A1" display="Packaging" xr:uid="{00000000-0004-0000-0300-000077000000}"/>
    <hyperlink ref="A124" location="Paints!A1" display="Paints" xr:uid="{00000000-0004-0000-0300-000078000000}"/>
    <hyperlink ref="A125" location="'Paper &amp; Paper Products'!A1" display="Paper &amp; Paper Products" xr:uid="{00000000-0004-0000-0300-000079000000}"/>
    <hyperlink ref="A126" location="'Passenger Cars &amp; Utility Vehicl'!A1" display="Passenger Cars &amp; Utility Vehicles" xr:uid="{00000000-0004-0000-0300-00007A000000}"/>
    <hyperlink ref="A127" location="'Personal Care'!A1" display="Personal Care" xr:uid="{00000000-0004-0000-0300-00007B000000}"/>
    <hyperlink ref="A128" location="'Pesticides &amp; Agrochemicals'!A1" display="Pesticides &amp; Agrochemicals" xr:uid="{00000000-0004-0000-0300-00007C000000}"/>
    <hyperlink ref="A129" location="Petrochemicals!A1" display="Petrochemicals" xr:uid="{00000000-0004-0000-0300-00007D000000}"/>
    <hyperlink ref="A130" location="Pharmaceuticals!A1" display="Pharmaceuticals" xr:uid="{00000000-0004-0000-0300-00007E000000}"/>
    <hyperlink ref="A131" location="'Pharmacy Retail'!A1" display="Pharmacy Retail" xr:uid="{00000000-0004-0000-0300-00007F000000}"/>
    <hyperlink ref="A132" location="'Pig Iron'!A1" display="Pig Iron" xr:uid="{00000000-0004-0000-0300-000080000000}"/>
    <hyperlink ref="A133" location="'Plastic Products - Consumer'!A1" display="Plastic Products - Consumer" xr:uid="{00000000-0004-0000-0300-000081000000}"/>
    <hyperlink ref="A134" location="'Plastic Products - Industrial'!A1" display="Plastic Products - Industrial" xr:uid="{00000000-0004-0000-0300-000082000000}"/>
    <hyperlink ref="A135" location="'Plywood Boards Laminates'!A1" display="Plywood Boards/ Laminates" xr:uid="{00000000-0004-0000-0300-000083000000}"/>
    <hyperlink ref="A136" location="'Port &amp; Port services'!A1" display="Port &amp; Port services" xr:uid="{00000000-0004-0000-0300-000084000000}"/>
    <hyperlink ref="A137" location="'Power - Transmission'!A1" display="Power - Transmission" xr:uid="{00000000-0004-0000-0300-000085000000}"/>
    <hyperlink ref="A138" location="'Power Distribution'!A1" display="Power Distribution" xr:uid="{00000000-0004-0000-0300-000086000000}"/>
    <hyperlink ref="A139" location="'Power Generation'!A1" display="Power Generation" xr:uid="{00000000-0004-0000-0300-000087000000}"/>
    <hyperlink ref="A140" location="'Power Trading'!A1" display="Power Trading" xr:uid="{00000000-0004-0000-0300-000088000000}"/>
    <hyperlink ref="A141" location="'Precious Metals'!A1" display="Precious Metals" xr:uid="{00000000-0004-0000-0300-000089000000}"/>
    <hyperlink ref="A142" location="'Print Media'!A1" display="Print Media" xr:uid="{00000000-0004-0000-0300-00008A000000}"/>
    <hyperlink ref="A143" location="'Printing &amp; Publication'!A1" display="Printing &amp; Publication" xr:uid="{00000000-0004-0000-0300-00008B000000}"/>
    <hyperlink ref="A144" location="'Private Sector Bank'!A1" display="Private Sector Bank" xr:uid="{00000000-0004-0000-0300-00008C000000}"/>
    <hyperlink ref="A145" location="'Public Sector Bank'!A1" display="Public Sector Bank" xr:uid="{00000000-0004-0000-0300-00008D000000}"/>
    <hyperlink ref="A146" location="'Railway Wagons'!A1" display="Railway Wagons" xr:uid="{00000000-0004-0000-0300-00008E000000}"/>
    <hyperlink ref="A147" location="Ratings!A1" display="Ratings" xr:uid="{00000000-0004-0000-0300-00008F000000}"/>
    <hyperlink ref="A148" location="'Real Estate Investment Trusts ('!A1" display="Real Estate Investment Trusts (REITs)" xr:uid="{00000000-0004-0000-0300-000090000000}"/>
    <hyperlink ref="A149" location="'Real Estate related services'!A1" display="Real Estate related services" xr:uid="{00000000-0004-0000-0300-000091000000}"/>
    <hyperlink ref="A150" location="'Refineries &amp; Marketing'!A1" display="Refineries &amp; Marketing" xr:uid="{00000000-0004-0000-0300-000092000000}"/>
    <hyperlink ref="A151" location="'Residential, Commercial Project'!A1" display="Residential, Commercial Projects" xr:uid="{00000000-0004-0000-0300-000093000000}"/>
    <hyperlink ref="A152" location="Restaurants!A1" display="Restaurants" xr:uid="{00000000-0004-0000-0300-000094000000}"/>
    <hyperlink ref="A153" location="'Road Assets–Toll, Annuity, Hybr'!A1" display="Road Assets–Toll, Annuity, Hybrid-Annuity" xr:uid="{00000000-0004-0000-0300-000095000000}"/>
    <hyperlink ref="A154" location="'Road Transport'!A1" display="Road Transport" xr:uid="{00000000-0004-0000-0300-000096000000}"/>
    <hyperlink ref="A155" location="Rubber!A1" display="Rubber" xr:uid="{00000000-0004-0000-0300-000097000000}"/>
    <hyperlink ref="A156" location="'Sanitary Ware'!A1" display="Sanitary Ware" xr:uid="{00000000-0004-0000-0300-000098000000}"/>
    <hyperlink ref="A157" location="Seafood!A1" display="Seafood" xr:uid="{00000000-0004-0000-0300-000099000000}"/>
    <hyperlink ref="A158" location="'Ship Building &amp; Allied Services'!A1" display="Ship Building &amp; Allied Services" xr:uid="{00000000-0004-0000-0300-00009A000000}"/>
    <hyperlink ref="A159" location="Shipping!A1" display="Shipping" xr:uid="{00000000-0004-0000-0300-00009B000000}"/>
    <hyperlink ref="A160" location="'Software Products'!A1" display="Software Products" xr:uid="{00000000-0004-0000-0300-00009C000000}"/>
    <hyperlink ref="A161" location="'Speciality Retail'!A1" display="Speciality Retail" xr:uid="{00000000-0004-0000-0300-00009D000000}"/>
    <hyperlink ref="A162" location="'Specialty Chemicals'!A1" display="Specialty Chemicals" xr:uid="{00000000-0004-0000-0300-00009E000000}"/>
    <hyperlink ref="A163" location="'Sponge Iron'!A1" display="Sponge Iron" xr:uid="{00000000-0004-0000-0300-00009F000000}"/>
    <hyperlink ref="A164" location="Stationary!A1" display="Stationary" xr:uid="{00000000-0004-0000-0300-0000A0000000}"/>
    <hyperlink ref="A165" location="'Stockbroking &amp; Allied'!A1" display="Stockbroking &amp; Allied" xr:uid="{00000000-0004-0000-0300-0000A1000000}"/>
    <hyperlink ref="A166" location="Sugar!A1" display="Sugar" xr:uid="{00000000-0004-0000-0300-0000A2000000}"/>
    <hyperlink ref="A167" location="'Tea &amp; Coffee'!A1" display="Tea &amp; Coffee" xr:uid="{00000000-0004-0000-0300-0000A3000000}"/>
    <hyperlink ref="A168" location="'Telecom - Equipment &amp; Accessori'!A1" display="Telecom - Equipment &amp; Accessories" xr:uid="{00000000-0004-0000-0300-0000A4000000}"/>
    <hyperlink ref="A169" location="'Telecom - Cellular &amp; Fixed line'!A1" display="Telecom - Cellular &amp; Fixed line services" xr:uid="{00000000-0004-0000-0300-0000A5000000}"/>
    <hyperlink ref="A170" location="'Telecom - Infrastructure'!A1" display="Telecom - Infrastructure" xr:uid="{00000000-0004-0000-0300-0000A6000000}"/>
    <hyperlink ref="A171" location="'Tour, Travel Related Services'!A1" display="Tour, Travel Related Services" xr:uid="{00000000-0004-0000-0300-0000A7000000}"/>
    <hyperlink ref="A172" location="Tractors!A1" display="Tractors" xr:uid="{00000000-0004-0000-0300-0000A8000000}"/>
    <hyperlink ref="A173" location="'Trading - Chemicals'!A1" display="Trading - Chemicals" xr:uid="{00000000-0004-0000-0300-0000A9000000}"/>
    <hyperlink ref="A174" location="'Trading - Metals'!A1" display="Trading - Metals" xr:uid="{00000000-0004-0000-0300-0000AA000000}"/>
    <hyperlink ref="A175" location="'Trading - Minerals'!A1" display="Trading - Minerals" xr:uid="{00000000-0004-0000-0300-0000AB000000}"/>
    <hyperlink ref="A176" location="'Trading - Textile Products'!A1" display="Trading - Textile Products" xr:uid="{00000000-0004-0000-0300-0000AC000000}"/>
    <hyperlink ref="A177" location="'Trading &amp; Distributors'!A1" display="Trading &amp; Distributors" xr:uid="{00000000-0004-0000-0300-0000AD000000}"/>
    <hyperlink ref="A178" location="'Trading Coal'!A1" display="Trading Coal" xr:uid="{00000000-0004-0000-0300-0000AE000000}"/>
    <hyperlink ref="A179" location="'Transport Related Services'!A1" display="Transport Related Services" xr:uid="{00000000-0004-0000-0300-0000AF000000}"/>
    <hyperlink ref="A180" location="'TV Broadcasting &amp; Software Prod'!A1" display="TV Broadcasting &amp; Software Production" xr:uid="{00000000-0004-0000-0300-0000B0000000}"/>
    <hyperlink ref="A181" location="'Tyres &amp; Rubber Products'!A1" display="Tyres &amp; Rubber Products" xr:uid="{00000000-0004-0000-0300-0000B1000000}"/>
    <hyperlink ref="A182" location="'Waste Management'!A1" display="Waste Management" xr:uid="{00000000-0004-0000-0300-0000B2000000}"/>
    <hyperlink ref="A183" location="'Water Supply &amp; Management'!A1" display="Water Supply &amp; Management" xr:uid="{00000000-0004-0000-0300-0000B3000000}"/>
    <hyperlink ref="A184" location="'Web based media and service'!A1" display="Web based media and service" xr:uid="{00000000-0004-0000-0300-0000B4000000}"/>
    <hyperlink ref="A185" location="Wellness!A1" display="Wellness" xr:uid="{00000000-0004-0000-0300-0000B5000000}"/>
    <hyperlink ref="A186" location="Zinc!A1" display="Zinc" xr:uid="{00000000-0004-0000-0300-0000B6000000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532868</v>
      </c>
      <c r="B2" s="98" t="s">
        <v>2013</v>
      </c>
      <c r="C2" s="6" t="str">
        <f>VLOOKUP(A2,'BSE ALL CAP'!$B$4:$Y$1038,2,)</f>
        <v>Consumer Discretionary</v>
      </c>
      <c r="D2" s="6" t="str">
        <f>VLOOKUP(A2,'BSE ALL CAP'!$B$4:$Y$1038,3,)</f>
        <v>Residential, Commercial Projects</v>
      </c>
      <c r="E2" s="101">
        <f ca="1">IFERROR(__xludf.DUMMYFUNCTION("GOOGLEFINANCE(""BOM:""&amp;A2,""PRICE"")"),526.5)</f>
        <v>526.5</v>
      </c>
      <c r="F2" s="112">
        <f ca="1">IFERROR(__xludf.DUMMYFUNCTION("GOOGLEFINANCE(""BOM:""&amp;A2,""MARKETCAP"")/10000000"),130349.9238767)</f>
        <v>130349.92387670001</v>
      </c>
      <c r="G2" s="95">
        <f t="shared" ref="G2:G160" ca="1" si="0">F2/$F$162</f>
        <v>0.22458631479349794</v>
      </c>
      <c r="H2" s="101">
        <f>VLOOKUP(A2,'BSE ALL CAP'!$B$4:$Y$1038,7,)</f>
        <v>6380</v>
      </c>
      <c r="I2" s="101">
        <f>VLOOKUP(A2,'BSE ALL CAP'!$B$4:$Y$1038,8,)</f>
        <v>4866</v>
      </c>
      <c r="J2" s="101">
        <f>VLOOKUP(A2,'BSE ALL CAP'!$B$4:$Y$1038,9,)</f>
        <v>3146</v>
      </c>
      <c r="K2" s="101">
        <f>VLOOKUP(A2,'BSE ALL CAP'!$B$4:$Y$1038,10,)</f>
        <v>3084</v>
      </c>
      <c r="L2" s="101">
        <f>VLOOKUP(A2,'BSE ALL CAP'!$B$4:$Y$1038,11,)</f>
        <v>2020</v>
      </c>
      <c r="M2" s="101">
        <f>VLOOKUP(A2,'BSE ALL CAP'!$B$4:$Y$1038,12,)</f>
        <v>1529</v>
      </c>
      <c r="N2" s="101">
        <f>VLOOKUP(A2,'BSE ALL CAP'!$B$4:$Y$1038,13,)</f>
        <v>1203</v>
      </c>
      <c r="O2" s="101">
        <f>VLOOKUP(A2,'BSE ALL CAP'!$B$4:$Y$1038,14,)</f>
        <v>1058</v>
      </c>
      <c r="P2" s="95">
        <f>VLOOKUP(A2,'BSE ALL CAP'!$B$4:$Y$1038,15,)</f>
        <v>0.49310344827586206</v>
      </c>
      <c r="Q2" s="95">
        <f>VLOOKUP(A2,'BSE ALL CAP'!$B$4:$Y$1038,16,)</f>
        <v>0.63378545006165232</v>
      </c>
      <c r="R2" s="95">
        <f>VLOOKUP(A2,'BSE ALL CAP'!$B$4:$Y$1038,17,)</f>
        <v>-0.14068200178579027</v>
      </c>
      <c r="S2" s="95">
        <f>VLOOKUP(A2,'BSE ALL CAP'!$B$4:$Y$1038,18,)</f>
        <v>0.59554455445544552</v>
      </c>
      <c r="T2" s="95">
        <f>VLOOKUP(A2,'BSE ALL CAP'!$B$4:$Y$1038,19,)</f>
        <v>0.6919555264879006</v>
      </c>
      <c r="U2" s="95">
        <f>VLOOKUP(A2,'BSE ALL CAP'!$B$4:$Y$1038,20,)</f>
        <v>-9.6410972032455078E-2</v>
      </c>
      <c r="V2" s="95">
        <f>VLOOKUP(A2,'BSE ALL CAP'!$B$4:$Y$1038,21,)</f>
        <v>0.31113851212494859</v>
      </c>
      <c r="W2" s="95">
        <f>VLOOKUP(A2,'BSE ALL CAP'!$B$4:$Y$1038,22,)</f>
        <v>2.0103761348897464E-2</v>
      </c>
      <c r="X2" s="95">
        <f>VLOOKUP(A2,'BSE ALL CAP'!$B$4:$Y$1038,23,)</f>
        <v>0.32112491824722045</v>
      </c>
      <c r="Y2" s="95">
        <f>VLOOKUP(A2,'BSE ALL CAP'!$B$4:$Y$1038,24,)</f>
        <v>0.13705103969754262</v>
      </c>
    </row>
    <row r="3" spans="1:25" ht="15.75" customHeight="1">
      <c r="A3" s="99">
        <v>543287</v>
      </c>
      <c r="B3" s="98" t="s">
        <v>2014</v>
      </c>
      <c r="C3" s="6" t="str">
        <f>VLOOKUP(A3,'BSE ALL CAP'!$B$4:$Y$1038,2,)</f>
        <v>Consumer Discretionary</v>
      </c>
      <c r="D3" s="6" t="str">
        <f>VLOOKUP(A3,'BSE ALL CAP'!$B$4:$Y$1038,3,)</f>
        <v>Residential, Commercial Projects</v>
      </c>
      <c r="E3" s="101">
        <f ca="1">IFERROR(__xludf.DUMMYFUNCTION("GOOGLEFINANCE(""BOM:""&amp;A3,""PRICE"")"),703.05)</f>
        <v>703.05</v>
      </c>
      <c r="F3" s="112">
        <f ca="1">IFERROR(__xludf.DUMMYFUNCTION("GOOGLEFINANCE(""BOM:""&amp;A3,""MARKETCAP"")/10000000"),70203.7520086)</f>
        <v>70203.7520086</v>
      </c>
      <c r="G3" s="95">
        <f t="shared" ca="1" si="0"/>
        <v>0.12095750790926554</v>
      </c>
      <c r="H3" s="101">
        <f>VLOOKUP(A3,'BSE ALL CAP'!$B$4:$Y$1038,7,)</f>
        <v>11962</v>
      </c>
      <c r="I3" s="101">
        <f>VLOOKUP(A3,'BSE ALL CAP'!$B$4:$Y$1038,8,)</f>
        <v>9555</v>
      </c>
      <c r="J3" s="101">
        <f>VLOOKUP(A3,'BSE ALL CAP'!$B$4:$Y$1038,9,)</f>
        <v>2422</v>
      </c>
      <c r="K3" s="101">
        <f>VLOOKUP(A3,'BSE ALL CAP'!$B$4:$Y$1038,10,)</f>
        <v>1843</v>
      </c>
      <c r="L3" s="101">
        <f>VLOOKUP(A3,'BSE ALL CAP'!$B$4:$Y$1038,11,)</f>
        <v>4672</v>
      </c>
      <c r="M3" s="101">
        <f>VLOOKUP(A3,'BSE ALL CAP'!$B$4:$Y$1038,12,)</f>
        <v>4083</v>
      </c>
      <c r="N3" s="101">
        <f>VLOOKUP(A3,'BSE ALL CAP'!$B$4:$Y$1038,13,)</f>
        <v>957</v>
      </c>
      <c r="O3" s="101">
        <f>VLOOKUP(A3,'BSE ALL CAP'!$B$4:$Y$1038,14,)</f>
        <v>944</v>
      </c>
      <c r="P3" s="95">
        <f>VLOOKUP(A3,'BSE ALL CAP'!$B$4:$Y$1038,15,)</f>
        <v>0.20247450259153987</v>
      </c>
      <c r="Q3" s="95">
        <f>VLOOKUP(A3,'BSE ALL CAP'!$B$4:$Y$1038,16,)</f>
        <v>0.19288330716902147</v>
      </c>
      <c r="R3" s="95">
        <f>VLOOKUP(A3,'BSE ALL CAP'!$B$4:$Y$1038,17,)</f>
        <v>9.591195422518406E-3</v>
      </c>
      <c r="S3" s="95">
        <f>VLOOKUP(A3,'BSE ALL CAP'!$B$4:$Y$1038,18,)</f>
        <v>0.20483732876712329</v>
      </c>
      <c r="T3" s="95">
        <f>VLOOKUP(A3,'BSE ALL CAP'!$B$4:$Y$1038,19,)</f>
        <v>0.23120254714670585</v>
      </c>
      <c r="U3" s="95">
        <f>VLOOKUP(A3,'BSE ALL CAP'!$B$4:$Y$1038,20,)</f>
        <v>-2.6365218379582556E-2</v>
      </c>
      <c r="V3" s="95">
        <f>VLOOKUP(A3,'BSE ALL CAP'!$B$4:$Y$1038,21,)</f>
        <v>0.25190999476713771</v>
      </c>
      <c r="W3" s="95">
        <f>VLOOKUP(A3,'BSE ALL CAP'!$B$4:$Y$1038,22,)</f>
        <v>0.31416169289202389</v>
      </c>
      <c r="X3" s="95">
        <f>VLOOKUP(A3,'BSE ALL CAP'!$B$4:$Y$1038,23,)</f>
        <v>0.14425667401420528</v>
      </c>
      <c r="Y3" s="95">
        <f>VLOOKUP(A3,'BSE ALL CAP'!$B$4:$Y$1038,24,)</f>
        <v>1.3771186440677985E-2</v>
      </c>
    </row>
    <row r="4" spans="1:25" ht="15.75" customHeight="1">
      <c r="A4" s="99">
        <v>503100</v>
      </c>
      <c r="B4" s="98" t="s">
        <v>2015</v>
      </c>
      <c r="C4" s="6" t="str">
        <f>VLOOKUP(A4,'BSE ALL CAP'!$B$4:$Y$1038,2,)</f>
        <v>Consumer Discretionary</v>
      </c>
      <c r="D4" s="6" t="str">
        <f>VLOOKUP(A4,'BSE ALL CAP'!$B$4:$Y$1038,3,)</f>
        <v>Residential, Commercial Projects</v>
      </c>
      <c r="E4" s="101">
        <f ca="1">IFERROR(__xludf.DUMMYFUNCTION("GOOGLEFINANCE(""BOM:""&amp;A4,""PRICE"")"),1551.7)</f>
        <v>1551.7</v>
      </c>
      <c r="F4" s="112">
        <f ca="1">IFERROR(__xludf.DUMMYFUNCTION("GOOGLEFINANCE(""BOM:""&amp;A4,""MARKETCAP"")/10000000"),55533.5024342)</f>
        <v>55533.502434200003</v>
      </c>
      <c r="G4" s="95">
        <f t="shared" ca="1" si="0"/>
        <v>9.5681411145818879E-2</v>
      </c>
      <c r="H4" s="101">
        <f>VLOOKUP(A4,'BSE ALL CAP'!$B$4:$Y$1038,7,)</f>
        <v>3189</v>
      </c>
      <c r="I4" s="101">
        <f>VLOOKUP(A4,'BSE ALL CAP'!$B$4:$Y$1038,8,)</f>
        <v>2797</v>
      </c>
      <c r="J4" s="101">
        <f>VLOOKUP(A4,'BSE ALL CAP'!$B$4:$Y$1038,9,)</f>
        <v>1070</v>
      </c>
      <c r="K4" s="101">
        <f>VLOOKUP(A4,'BSE ALL CAP'!$B$4:$Y$1038,10,)</f>
        <v>1015</v>
      </c>
      <c r="L4" s="101">
        <f>VLOOKUP(A4,'BSE ALL CAP'!$B$4:$Y$1038,11,)</f>
        <v>1121</v>
      </c>
      <c r="M4" s="101">
        <f>VLOOKUP(A4,'BSE ALL CAP'!$B$4:$Y$1038,12,)</f>
        <v>975</v>
      </c>
      <c r="N4" s="101">
        <f>VLOOKUP(A4,'BSE ALL CAP'!$B$4:$Y$1038,13,)</f>
        <v>368</v>
      </c>
      <c r="O4" s="101">
        <f>VLOOKUP(A4,'BSE ALL CAP'!$B$4:$Y$1038,14,)</f>
        <v>350</v>
      </c>
      <c r="P4" s="95">
        <f>VLOOKUP(A4,'BSE ALL CAP'!$B$4:$Y$1038,15,)</f>
        <v>0.33552837880213232</v>
      </c>
      <c r="Q4" s="95">
        <f>VLOOKUP(A4,'BSE ALL CAP'!$B$4:$Y$1038,16,)</f>
        <v>0.36288880943868429</v>
      </c>
      <c r="R4" s="95">
        <f>VLOOKUP(A4,'BSE ALL CAP'!$B$4:$Y$1038,17,)</f>
        <v>-2.7360430636551969E-2</v>
      </c>
      <c r="S4" s="95">
        <f>VLOOKUP(A4,'BSE ALL CAP'!$B$4:$Y$1038,18,)</f>
        <v>0.32827832292595899</v>
      </c>
      <c r="T4" s="95">
        <f>VLOOKUP(A4,'BSE ALL CAP'!$B$4:$Y$1038,19,)</f>
        <v>0.35897435897435898</v>
      </c>
      <c r="U4" s="95">
        <f>VLOOKUP(A4,'BSE ALL CAP'!$B$4:$Y$1038,20,)</f>
        <v>-3.0696036048399988E-2</v>
      </c>
      <c r="V4" s="95">
        <f>VLOOKUP(A4,'BSE ALL CAP'!$B$4:$Y$1038,21,)</f>
        <v>0.14015016088666421</v>
      </c>
      <c r="W4" s="95">
        <f>VLOOKUP(A4,'BSE ALL CAP'!$B$4:$Y$1038,22,)</f>
        <v>5.4187192118226646E-2</v>
      </c>
      <c r="X4" s="95">
        <f>VLOOKUP(A4,'BSE ALL CAP'!$B$4:$Y$1038,23,)</f>
        <v>0.1497435897435897</v>
      </c>
      <c r="Y4" s="95">
        <f>VLOOKUP(A4,'BSE ALL CAP'!$B$4:$Y$1038,24,)</f>
        <v>5.1428571428571379E-2</v>
      </c>
    </row>
    <row r="5" spans="1:25" ht="15.75" customHeight="1">
      <c r="A5" s="99">
        <v>533273</v>
      </c>
      <c r="B5" s="98" t="s">
        <v>2016</v>
      </c>
      <c r="C5" s="6" t="str">
        <f>VLOOKUP(A5,'BSE ALL CAP'!$B$4:$Y$1038,2,)</f>
        <v>Consumer Discretionary</v>
      </c>
      <c r="D5" s="6" t="str">
        <f>VLOOKUP(A5,'BSE ALL CAP'!$B$4:$Y$1038,3,)</f>
        <v>Residential, Commercial Projects</v>
      </c>
      <c r="E5" s="101">
        <f ca="1">IFERROR(__xludf.DUMMYFUNCTION("GOOGLEFINANCE(""BOM:""&amp;A5,""PRICE"")"),1519.95)</f>
        <v>1519.95</v>
      </c>
      <c r="F5" s="112">
        <f ca="1">IFERROR(__xludf.DUMMYFUNCTION("GOOGLEFINANCE(""BOM:""&amp;A5,""MARKETCAP"")/10000000"),55311.1648885)</f>
        <v>55311.164888500003</v>
      </c>
      <c r="G5" s="95">
        <f t="shared" ca="1" si="0"/>
        <v>9.5298334819082953E-2</v>
      </c>
      <c r="H5" s="101">
        <f>VLOOKUP(A5,'BSE ALL CAP'!$B$4:$Y$1038,7,)</f>
        <v>4259</v>
      </c>
      <c r="I5" s="101">
        <f>VLOOKUP(A5,'BSE ALL CAP'!$B$4:$Y$1038,8,)</f>
        <v>4136</v>
      </c>
      <c r="J5" s="101">
        <f>VLOOKUP(A5,'BSE ALL CAP'!$B$4:$Y$1038,9,)</f>
        <v>1804</v>
      </c>
      <c r="K5" s="101">
        <f>VLOOKUP(A5,'BSE ALL CAP'!$B$4:$Y$1038,10,)</f>
        <v>1792</v>
      </c>
      <c r="L5" s="101">
        <f>VLOOKUP(A5,'BSE ALL CAP'!$B$4:$Y$1038,11,)</f>
        <v>1492</v>
      </c>
      <c r="M5" s="101">
        <f>VLOOKUP(A5,'BSE ALL CAP'!$B$4:$Y$1038,12,)</f>
        <v>1411</v>
      </c>
      <c r="N5" s="101">
        <f>VLOOKUP(A5,'BSE ALL CAP'!$B$4:$Y$1038,13,)</f>
        <v>622</v>
      </c>
      <c r="O5" s="101">
        <f>VLOOKUP(A5,'BSE ALL CAP'!$B$4:$Y$1038,14,)</f>
        <v>618</v>
      </c>
      <c r="P5" s="95">
        <f>VLOOKUP(A5,'BSE ALL CAP'!$B$4:$Y$1038,15,)</f>
        <v>0.42357360882836348</v>
      </c>
      <c r="Q5" s="95">
        <f>VLOOKUP(A5,'BSE ALL CAP'!$B$4:$Y$1038,16,)</f>
        <v>0.4332688588007737</v>
      </c>
      <c r="R5" s="95">
        <f>VLOOKUP(A5,'BSE ALL CAP'!$B$4:$Y$1038,17,)</f>
        <v>-9.6952499724102248E-3</v>
      </c>
      <c r="S5" s="95">
        <f>VLOOKUP(A5,'BSE ALL CAP'!$B$4:$Y$1038,18,)</f>
        <v>0.41689008042895442</v>
      </c>
      <c r="T5" s="95">
        <f>VLOOKUP(A5,'BSE ALL CAP'!$B$4:$Y$1038,19,)</f>
        <v>0.43798724309000708</v>
      </c>
      <c r="U5" s="95">
        <f>VLOOKUP(A5,'BSE ALL CAP'!$B$4:$Y$1038,20,)</f>
        <v>-2.109716266105266E-2</v>
      </c>
      <c r="V5" s="95">
        <f>VLOOKUP(A5,'BSE ALL CAP'!$B$4:$Y$1038,21,)</f>
        <v>2.9738878143133363E-2</v>
      </c>
      <c r="W5" s="95">
        <f>VLOOKUP(A5,'BSE ALL CAP'!$B$4:$Y$1038,22,)</f>
        <v>6.6964285714286031E-3</v>
      </c>
      <c r="X5" s="95">
        <f>VLOOKUP(A5,'BSE ALL CAP'!$B$4:$Y$1038,23,)</f>
        <v>5.7406094968107668E-2</v>
      </c>
      <c r="Y5" s="95">
        <f>VLOOKUP(A5,'BSE ALL CAP'!$B$4:$Y$1038,24,)</f>
        <v>6.4724919093850364E-3</v>
      </c>
    </row>
    <row r="6" spans="1:25" ht="15.75" customHeight="1">
      <c r="A6" s="99">
        <v>533274</v>
      </c>
      <c r="B6" s="98" t="s">
        <v>2017</v>
      </c>
      <c r="C6" s="6" t="str">
        <f>VLOOKUP(A6,'BSE ALL CAP'!$B$4:$Y$1038,2,)</f>
        <v>Consumer Discretionary</v>
      </c>
      <c r="D6" s="6" t="str">
        <f>VLOOKUP(A6,'BSE ALL CAP'!$B$4:$Y$1038,3,)</f>
        <v>Residential, Commercial Projects</v>
      </c>
      <c r="E6" s="101">
        <f ca="1">IFERROR(__xludf.DUMMYFUNCTION("GOOGLEFINANCE(""BOM:""&amp;A6,""PRICE"")"),1193.3)</f>
        <v>1193.3</v>
      </c>
      <c r="F6" s="112">
        <f ca="1">IFERROR(__xludf.DUMMYFUNCTION("GOOGLEFINANCE(""BOM:""&amp;A6,""MARKETCAP"")/10000000"),51386.11286)</f>
        <v>51386.112860000001</v>
      </c>
      <c r="G6" s="95">
        <f t="shared" ca="1" si="0"/>
        <v>8.8535669032738532E-2</v>
      </c>
      <c r="H6" s="101">
        <f>VLOOKUP(A6,'BSE ALL CAP'!$B$4:$Y$1038,7,)</f>
        <v>8611</v>
      </c>
      <c r="I6" s="101">
        <f>VLOOKUP(A6,'BSE ALL CAP'!$B$4:$Y$1038,8,)</f>
        <v>5821</v>
      </c>
      <c r="J6" s="101">
        <f>VLOOKUP(A6,'BSE ALL CAP'!$B$4:$Y$1038,9,)</f>
        <v>1013</v>
      </c>
      <c r="K6" s="101">
        <f>VLOOKUP(A6,'BSE ALL CAP'!$B$4:$Y$1038,10,)</f>
        <v>573</v>
      </c>
      <c r="L6" s="101">
        <f>VLOOKUP(A6,'BSE ALL CAP'!$B$4:$Y$1038,11,)</f>
        <v>3872</v>
      </c>
      <c r="M6" s="101">
        <f>VLOOKUP(A6,'BSE ALL CAP'!$B$4:$Y$1038,12,)</f>
        <v>1654</v>
      </c>
      <c r="N6" s="101">
        <f>VLOOKUP(A6,'BSE ALL CAP'!$B$4:$Y$1038,13,)</f>
        <v>244</v>
      </c>
      <c r="O6" s="101">
        <f>VLOOKUP(A6,'BSE ALL CAP'!$B$4:$Y$1038,14,)</f>
        <v>32</v>
      </c>
      <c r="P6" s="95">
        <f>VLOOKUP(A6,'BSE ALL CAP'!$B$4:$Y$1038,15,)</f>
        <v>0.1176402276158402</v>
      </c>
      <c r="Q6" s="95">
        <f>VLOOKUP(A6,'BSE ALL CAP'!$B$4:$Y$1038,16,)</f>
        <v>9.8436694725992091E-2</v>
      </c>
      <c r="R6" s="95">
        <f>VLOOKUP(A6,'BSE ALL CAP'!$B$4:$Y$1038,17,)</f>
        <v>1.9203532889848107E-2</v>
      </c>
      <c r="S6" s="95">
        <f>VLOOKUP(A6,'BSE ALL CAP'!$B$4:$Y$1038,18,)</f>
        <v>6.3016528925619833E-2</v>
      </c>
      <c r="T6" s="95">
        <f>VLOOKUP(A6,'BSE ALL CAP'!$B$4:$Y$1038,19,)</f>
        <v>1.9347037484885126E-2</v>
      </c>
      <c r="U6" s="95">
        <f>VLOOKUP(A6,'BSE ALL CAP'!$B$4:$Y$1038,20,)</f>
        <v>4.3669491440734703E-2</v>
      </c>
      <c r="V6" s="95">
        <f>VLOOKUP(A6,'BSE ALL CAP'!$B$4:$Y$1038,21,)</f>
        <v>0.47929908950352162</v>
      </c>
      <c r="W6" s="95">
        <f>VLOOKUP(A6,'BSE ALL CAP'!$B$4:$Y$1038,22,)</f>
        <v>0.76788830715532286</v>
      </c>
      <c r="X6" s="95">
        <f>VLOOKUP(A6,'BSE ALL CAP'!$B$4:$Y$1038,23,)</f>
        <v>1.3409915356711002</v>
      </c>
      <c r="Y6" s="95">
        <f>VLOOKUP(A6,'BSE ALL CAP'!$B$4:$Y$1038,24,)</f>
        <v>6.625</v>
      </c>
    </row>
    <row r="7" spans="1:25" ht="15.75" customHeight="1">
      <c r="A7" s="99">
        <v>533150</v>
      </c>
      <c r="B7" s="98" t="s">
        <v>132</v>
      </c>
      <c r="C7" s="6" t="str">
        <f>VLOOKUP(A7,'BSE ALL CAP'!$B$4:$Y$1038,2,)</f>
        <v>Consumer Discretionary</v>
      </c>
      <c r="D7" s="6" t="str">
        <f>VLOOKUP(A7,'BSE ALL CAP'!$B$4:$Y$1038,3,)</f>
        <v>Residential, Commercial Projects</v>
      </c>
      <c r="E7" s="101">
        <f ca="1">IFERROR(__xludf.DUMMYFUNCTION("GOOGLEFINANCE(""BOM:""&amp;A7,""PRICE"")"),1576)</f>
        <v>1576</v>
      </c>
      <c r="F7" s="112">
        <f ca="1">IFERROR(__xludf.DUMMYFUNCTION("GOOGLEFINANCE(""BOM:""&amp;A7,""MARKETCAP"")/10000000"),47548.6467866)</f>
        <v>47548.646786600002</v>
      </c>
      <c r="G7" s="95">
        <f t="shared" ca="1" si="0"/>
        <v>8.1923909409578249E-2</v>
      </c>
      <c r="H7" s="101">
        <f>VLOOKUP(A7,'BSE ALL CAP'!$B$4:$Y$1038,7,)</f>
        <v>1673</v>
      </c>
      <c r="I7" s="101">
        <f>VLOOKUP(A7,'BSE ALL CAP'!$B$4:$Y$1038,8,)</f>
        <v>2801</v>
      </c>
      <c r="J7" s="101">
        <f>VLOOKUP(A7,'BSE ALL CAP'!$B$4:$Y$1038,9,)</f>
        <v>1195</v>
      </c>
      <c r="K7" s="101">
        <f>VLOOKUP(A7,'BSE ALL CAP'!$B$4:$Y$1038,10,)</f>
        <v>1010</v>
      </c>
      <c r="L7" s="101">
        <f>VLOOKUP(A7,'BSE ALL CAP'!$B$4:$Y$1038,11,)</f>
        <v>498</v>
      </c>
      <c r="M7" s="101">
        <f>VLOOKUP(A7,'BSE ALL CAP'!$B$4:$Y$1038,12,)</f>
        <v>969</v>
      </c>
      <c r="N7" s="101">
        <f>VLOOKUP(A7,'BSE ALL CAP'!$B$4:$Y$1038,13,)</f>
        <v>194</v>
      </c>
      <c r="O7" s="101">
        <f>VLOOKUP(A7,'BSE ALL CAP'!$B$4:$Y$1038,14,)</f>
        <v>158</v>
      </c>
      <c r="P7" s="95">
        <f>VLOOKUP(A7,'BSE ALL CAP'!$B$4:$Y$1038,15,)</f>
        <v>0.7142857142857143</v>
      </c>
      <c r="Q7" s="95">
        <f>VLOOKUP(A7,'BSE ALL CAP'!$B$4:$Y$1038,16,)</f>
        <v>0.36058550517672261</v>
      </c>
      <c r="R7" s="95">
        <f>VLOOKUP(A7,'BSE ALL CAP'!$B$4:$Y$1038,17,)</f>
        <v>0.35370020910899169</v>
      </c>
      <c r="S7" s="95">
        <f>VLOOKUP(A7,'BSE ALL CAP'!$B$4:$Y$1038,18,)</f>
        <v>0.38955823293172692</v>
      </c>
      <c r="T7" s="95">
        <f>VLOOKUP(A7,'BSE ALL CAP'!$B$4:$Y$1038,19,)</f>
        <v>0.16305469556243551</v>
      </c>
      <c r="U7" s="95">
        <f>VLOOKUP(A7,'BSE ALL CAP'!$B$4:$Y$1038,20,)</f>
        <v>0.22650353736929141</v>
      </c>
      <c r="V7" s="95">
        <f>VLOOKUP(A7,'BSE ALL CAP'!$B$4:$Y$1038,21,)</f>
        <v>-0.40271331667261689</v>
      </c>
      <c r="W7" s="95">
        <f>VLOOKUP(A7,'BSE ALL CAP'!$B$4:$Y$1038,22,)</f>
        <v>0.18316831683168311</v>
      </c>
      <c r="X7" s="95">
        <f>VLOOKUP(A7,'BSE ALL CAP'!$B$4:$Y$1038,23,)</f>
        <v>-0.48606811145510831</v>
      </c>
      <c r="Y7" s="95">
        <f>VLOOKUP(A7,'BSE ALL CAP'!$B$4:$Y$1038,24,)</f>
        <v>0.22784810126582289</v>
      </c>
    </row>
    <row r="8" spans="1:25" ht="15.75" customHeight="1">
      <c r="A8" s="99">
        <v>532929</v>
      </c>
      <c r="B8" s="98" t="s">
        <v>2018</v>
      </c>
      <c r="C8" s="6" t="str">
        <f>VLOOKUP(A8,'BSE ALL CAP'!$B$4:$Y$1038,2,)</f>
        <v>Consumer Discretionary</v>
      </c>
      <c r="D8" s="6" t="str">
        <f>VLOOKUP(A8,'BSE ALL CAP'!$B$4:$Y$1038,3,)</f>
        <v>Residential, Commercial Projects</v>
      </c>
      <c r="E8" s="101">
        <f ca="1">IFERROR(__xludf.DUMMYFUNCTION("GOOGLEFINANCE(""BOM:""&amp;A8,""PRICE"")"),690.1)</f>
        <v>690.1</v>
      </c>
      <c r="F8" s="112">
        <f ca="1">IFERROR(__xludf.DUMMYFUNCTION("GOOGLEFINANCE(""BOM:""&amp;A8,""MARKETCAP"")/10000000"),16842.7009268)</f>
        <v>16842.7009268</v>
      </c>
      <c r="G8" s="95">
        <f t="shared" ca="1" si="0"/>
        <v>2.901912037859801E-2</v>
      </c>
      <c r="H8" s="101">
        <f>VLOOKUP(A8,'BSE ALL CAP'!$B$4:$Y$1038,7,)</f>
        <v>4239</v>
      </c>
      <c r="I8" s="101">
        <f>VLOOKUP(A8,'BSE ALL CAP'!$B$4:$Y$1038,8,)</f>
        <v>3613</v>
      </c>
      <c r="J8" s="101">
        <f>VLOOKUP(A8,'BSE ALL CAP'!$B$4:$Y$1038,9,)</f>
        <v>534</v>
      </c>
      <c r="K8" s="101">
        <f>VLOOKUP(A8,'BSE ALL CAP'!$B$4:$Y$1038,10,)</f>
        <v>431</v>
      </c>
      <c r="L8" s="101">
        <f>VLOOKUP(A8,'BSE ALL CAP'!$B$4:$Y$1038,11,)</f>
        <v>1575</v>
      </c>
      <c r="M8" s="101">
        <f>VLOOKUP(A8,'BSE ALL CAP'!$B$4:$Y$1038,12,)</f>
        <v>1463</v>
      </c>
      <c r="N8" s="101">
        <f>VLOOKUP(A8,'BSE ALL CAP'!$B$4:$Y$1038,13,)</f>
        <v>205</v>
      </c>
      <c r="O8" s="101">
        <f>VLOOKUP(A8,'BSE ALL CAP'!$B$4:$Y$1038,14,)</f>
        <v>235</v>
      </c>
      <c r="P8" s="95">
        <f>VLOOKUP(A8,'BSE ALL CAP'!$B$4:$Y$1038,15,)</f>
        <v>0.1259731068648266</v>
      </c>
      <c r="Q8" s="95">
        <f>VLOOKUP(A8,'BSE ALL CAP'!$B$4:$Y$1038,16,)</f>
        <v>0.11929144755051203</v>
      </c>
      <c r="R8" s="95">
        <f>VLOOKUP(A8,'BSE ALL CAP'!$B$4:$Y$1038,17,)</f>
        <v>6.6816593143145669E-3</v>
      </c>
      <c r="S8" s="95">
        <f>VLOOKUP(A8,'BSE ALL CAP'!$B$4:$Y$1038,18,)</f>
        <v>0.13015873015873017</v>
      </c>
      <c r="T8" s="95">
        <f>VLOOKUP(A8,'BSE ALL CAP'!$B$4:$Y$1038,19,)</f>
        <v>0.16062884483937115</v>
      </c>
      <c r="U8" s="95">
        <f>VLOOKUP(A8,'BSE ALL CAP'!$B$4:$Y$1038,20,)</f>
        <v>-3.0470114680640981E-2</v>
      </c>
      <c r="V8" s="95">
        <f>VLOOKUP(A8,'BSE ALL CAP'!$B$4:$Y$1038,21,)</f>
        <v>0.17326321616385276</v>
      </c>
      <c r="W8" s="95">
        <f>VLOOKUP(A8,'BSE ALL CAP'!$B$4:$Y$1038,22,)</f>
        <v>0.23897911832946628</v>
      </c>
      <c r="X8" s="95">
        <f>VLOOKUP(A8,'BSE ALL CAP'!$B$4:$Y$1038,23,)</f>
        <v>7.6555023923444931E-2</v>
      </c>
      <c r="Y8" s="95">
        <f>VLOOKUP(A8,'BSE ALL CAP'!$B$4:$Y$1038,24,)</f>
        <v>-0.12765957446808507</v>
      </c>
    </row>
    <row r="9" spans="1:25" ht="15.75" customHeight="1">
      <c r="A9" s="99">
        <v>515055</v>
      </c>
      <c r="B9" s="98" t="s">
        <v>2019</v>
      </c>
      <c r="C9" s="6" t="str">
        <f>VLOOKUP(A9,'BSE ALL CAP'!$B$4:$Y$1038,2,)</f>
        <v>Consumer Discretionary</v>
      </c>
      <c r="D9" s="6" t="str">
        <f>VLOOKUP(A9,'BSE ALL CAP'!$B$4:$Y$1038,3,)</f>
        <v>Residential, Commercial Projects</v>
      </c>
      <c r="E9" s="101">
        <f ca="1">IFERROR(__xludf.DUMMYFUNCTION("GOOGLEFINANCE(""BOM:""&amp;A9,""PRICE"")"),453.85)</f>
        <v>453.85</v>
      </c>
      <c r="F9" s="112">
        <f ca="1">IFERROR(__xludf.DUMMYFUNCTION("GOOGLEFINANCE(""BOM:""&amp;A9,""MARKETCAP"")/10000000"),15627.0010262)</f>
        <v>15627.0010262</v>
      </c>
      <c r="G9" s="95">
        <f t="shared" ca="1" si="0"/>
        <v>2.6924531042060777E-2</v>
      </c>
      <c r="H9" s="101">
        <f>VLOOKUP(A9,'BSE ALL CAP'!$B$4:$Y$1038,7,)</f>
        <v>1864</v>
      </c>
      <c r="I9" s="101">
        <f>VLOOKUP(A9,'BSE ALL CAP'!$B$4:$Y$1038,8,)</f>
        <v>1519</v>
      </c>
      <c r="J9" s="101">
        <f>VLOOKUP(A9,'BSE ALL CAP'!$B$4:$Y$1038,9,)</f>
        <v>408</v>
      </c>
      <c r="K9" s="101">
        <f>VLOOKUP(A9,'BSE ALL CAP'!$B$4:$Y$1038,10,)</f>
        <v>307</v>
      </c>
      <c r="L9" s="101">
        <f>VLOOKUP(A9,'BSE ALL CAP'!$B$4:$Y$1038,11,)</f>
        <v>641</v>
      </c>
      <c r="M9" s="101">
        <f>VLOOKUP(A9,'BSE ALL CAP'!$B$4:$Y$1038,12,)</f>
        <v>534</v>
      </c>
      <c r="N9" s="101">
        <f>VLOOKUP(A9,'BSE ALL CAP'!$B$4:$Y$1038,13,)</f>
        <v>144</v>
      </c>
      <c r="O9" s="101">
        <f>VLOOKUP(A9,'BSE ALL CAP'!$B$4:$Y$1038,14,)</f>
        <v>108</v>
      </c>
      <c r="P9" s="95">
        <f>VLOOKUP(A9,'BSE ALL CAP'!$B$4:$Y$1038,15,)</f>
        <v>0.21888412017167383</v>
      </c>
      <c r="Q9" s="95">
        <f>VLOOKUP(A9,'BSE ALL CAP'!$B$4:$Y$1038,16,)</f>
        <v>0.20210664911125742</v>
      </c>
      <c r="R9" s="95">
        <f>VLOOKUP(A9,'BSE ALL CAP'!$B$4:$Y$1038,17,)</f>
        <v>1.677747106041641E-2</v>
      </c>
      <c r="S9" s="95">
        <f>VLOOKUP(A9,'BSE ALL CAP'!$B$4:$Y$1038,18,)</f>
        <v>0.22464898595943839</v>
      </c>
      <c r="T9" s="95">
        <f>VLOOKUP(A9,'BSE ALL CAP'!$B$4:$Y$1038,19,)</f>
        <v>0.20224719101123595</v>
      </c>
      <c r="U9" s="95">
        <f>VLOOKUP(A9,'BSE ALL CAP'!$B$4:$Y$1038,20,)</f>
        <v>2.2401794948202436E-2</v>
      </c>
      <c r="V9" s="95">
        <f>VLOOKUP(A9,'BSE ALL CAP'!$B$4:$Y$1038,21,)</f>
        <v>0.22712310730743912</v>
      </c>
      <c r="W9" s="95">
        <f>VLOOKUP(A9,'BSE ALL CAP'!$B$4:$Y$1038,22,)</f>
        <v>0.32899022801302924</v>
      </c>
      <c r="X9" s="95">
        <f>VLOOKUP(A9,'BSE ALL CAP'!$B$4:$Y$1038,23,)</f>
        <v>0.20037453183520593</v>
      </c>
      <c r="Y9" s="95">
        <f>VLOOKUP(A9,'BSE ALL CAP'!$B$4:$Y$1038,24,)</f>
        <v>0.33333333333333326</v>
      </c>
    </row>
    <row r="10" spans="1:25" ht="15.75" customHeight="1">
      <c r="A10" s="99">
        <v>532784</v>
      </c>
      <c r="B10" s="98" t="s">
        <v>652</v>
      </c>
      <c r="C10" s="6" t="str">
        <f>VLOOKUP(A10,'BSE ALL CAP'!$B$4:$Y$1038,2,)</f>
        <v>Consumer Discretionary</v>
      </c>
      <c r="D10" s="6" t="str">
        <f>VLOOKUP(A10,'BSE ALL CAP'!$B$4:$Y$1038,3,)</f>
        <v>Residential, Commercial Projects</v>
      </c>
      <c r="E10" s="101">
        <f ca="1">IFERROR(__xludf.DUMMYFUNCTION("GOOGLEFINANCE(""BOM:""&amp;A10,""PRICE"")"),1203.1)</f>
        <v>1203.0999999999999</v>
      </c>
      <c r="F10" s="112">
        <f ca="1">IFERROR(__xludf.DUMMYFUNCTION("GOOGLEFINANCE(""BOM:""&amp;A10,""MARKETCAP"")/10000000"),12811.4461272)</f>
        <v>12811.446127200001</v>
      </c>
      <c r="G10" s="95">
        <f t="shared" ca="1" si="0"/>
        <v>2.2073472598303459E-2</v>
      </c>
      <c r="H10" s="101">
        <f>VLOOKUP(A10,'BSE ALL CAP'!$B$4:$Y$1038,7,)</f>
        <v>3202</v>
      </c>
      <c r="I10" s="101">
        <f>VLOOKUP(A10,'BSE ALL CAP'!$B$4:$Y$1038,8,)</f>
        <v>2798</v>
      </c>
      <c r="J10" s="101">
        <f>VLOOKUP(A10,'BSE ALL CAP'!$B$4:$Y$1038,9,)</f>
        <v>101</v>
      </c>
      <c r="K10" s="101">
        <f>VLOOKUP(A10,'BSE ALL CAP'!$B$4:$Y$1038,10,)</f>
        <v>53</v>
      </c>
      <c r="L10" s="101">
        <f>VLOOKUP(A10,'BSE ALL CAP'!$B$4:$Y$1038,11,)</f>
        <v>943</v>
      </c>
      <c r="M10" s="101">
        <f>VLOOKUP(A10,'BSE ALL CAP'!$B$4:$Y$1038,12,)</f>
        <v>1224</v>
      </c>
      <c r="N10" s="101">
        <f>VLOOKUP(A10,'BSE ALL CAP'!$B$4:$Y$1038,13,)</f>
        <v>15</v>
      </c>
      <c r="O10" s="101">
        <f>VLOOKUP(A10,'BSE ALL CAP'!$B$4:$Y$1038,14,)</f>
        <v>21</v>
      </c>
      <c r="P10" s="95">
        <f>VLOOKUP(A10,'BSE ALL CAP'!$B$4:$Y$1038,15,)</f>
        <v>3.1542785758900689E-2</v>
      </c>
      <c r="Q10" s="95">
        <f>VLOOKUP(A10,'BSE ALL CAP'!$B$4:$Y$1038,16,)</f>
        <v>1.8942101501072194E-2</v>
      </c>
      <c r="R10" s="95">
        <f>VLOOKUP(A10,'BSE ALL CAP'!$B$4:$Y$1038,17,)</f>
        <v>1.2600684257828496E-2</v>
      </c>
      <c r="S10" s="95">
        <f>VLOOKUP(A10,'BSE ALL CAP'!$B$4:$Y$1038,18,)</f>
        <v>1.5906680805938492E-2</v>
      </c>
      <c r="T10" s="95">
        <f>VLOOKUP(A10,'BSE ALL CAP'!$B$4:$Y$1038,19,)</f>
        <v>1.7156862745098041E-2</v>
      </c>
      <c r="U10" s="95">
        <f>VLOOKUP(A10,'BSE ALL CAP'!$B$4:$Y$1038,20,)</f>
        <v>-1.2501819391595483E-3</v>
      </c>
      <c r="V10" s="95">
        <f>VLOOKUP(A10,'BSE ALL CAP'!$B$4:$Y$1038,21,)</f>
        <v>0.14438884917798434</v>
      </c>
      <c r="W10" s="95">
        <f>VLOOKUP(A10,'BSE ALL CAP'!$B$4:$Y$1038,22,)</f>
        <v>0.90566037735849059</v>
      </c>
      <c r="X10" s="95">
        <f>VLOOKUP(A10,'BSE ALL CAP'!$B$4:$Y$1038,23,)</f>
        <v>-0.22957516339869277</v>
      </c>
      <c r="Y10" s="95">
        <f>VLOOKUP(A10,'BSE ALL CAP'!$B$4:$Y$1038,24,)</f>
        <v>-0.2857142857142857</v>
      </c>
    </row>
    <row r="11" spans="1:25" ht="15.75" customHeight="1">
      <c r="A11" s="99">
        <v>543990</v>
      </c>
      <c r="B11" s="98" t="s">
        <v>2020</v>
      </c>
      <c r="C11" s="6" t="str">
        <f>VLOOKUP(A11,'BSE ALL CAP'!$B$4:$Y$1038,2,)</f>
        <v>Consumer Discretionary</v>
      </c>
      <c r="D11" s="6" t="str">
        <f>VLOOKUP(A11,'BSE ALL CAP'!$B$4:$Y$1038,3,)</f>
        <v>Residential, Commercial Projects</v>
      </c>
      <c r="E11" s="101">
        <f ca="1">IFERROR(__xludf.DUMMYFUNCTION("GOOGLEFINANCE(""BOM:""&amp;A11,""PRICE"")"),764.1)</f>
        <v>764.1</v>
      </c>
      <c r="F11" s="112">
        <f ca="1">IFERROR(__xludf.DUMMYFUNCTION("GOOGLEFINANCE(""BOM:""&amp;A11,""MARKETCAP"")/10000000"),10727.991945)</f>
        <v>10727.991945</v>
      </c>
      <c r="G11" s="95">
        <f t="shared" ca="1" si="0"/>
        <v>1.848378659845579E-2</v>
      </c>
      <c r="H11" s="101">
        <f>VLOOKUP(A11,'BSE ALL CAP'!$B$4:$Y$1038,7,)</f>
        <v>1488</v>
      </c>
      <c r="I11" s="101">
        <f>VLOOKUP(A11,'BSE ALL CAP'!$B$4:$Y$1038,8,)</f>
        <v>1977</v>
      </c>
      <c r="J11" s="101">
        <f>VLOOKUP(A11,'BSE ALL CAP'!$B$4:$Y$1038,9,)</f>
        <v>-57</v>
      </c>
      <c r="K11" s="101">
        <f>VLOOKUP(A11,'BSE ALL CAP'!$B$4:$Y$1038,10,)</f>
        <v>40</v>
      </c>
      <c r="L11" s="101">
        <f>VLOOKUP(A11,'BSE ALL CAP'!$B$4:$Y$1038,11,)</f>
        <v>284</v>
      </c>
      <c r="M11" s="101">
        <f>VLOOKUP(A11,'BSE ALL CAP'!$B$4:$Y$1038,12,)</f>
        <v>827</v>
      </c>
      <c r="N11" s="101">
        <f>VLOOKUP(A11,'BSE ALL CAP'!$B$4:$Y$1038,13,)</f>
        <v>-45</v>
      </c>
      <c r="O11" s="101">
        <f>VLOOKUP(A11,'BSE ALL CAP'!$B$4:$Y$1038,14,)</f>
        <v>29</v>
      </c>
      <c r="P11" s="95">
        <f>VLOOKUP(A11,'BSE ALL CAP'!$B$4:$Y$1038,15,)</f>
        <v>-3.8306451612903226E-2</v>
      </c>
      <c r="Q11" s="95">
        <f>VLOOKUP(A11,'BSE ALL CAP'!$B$4:$Y$1038,16,)</f>
        <v>2.0232675771370764E-2</v>
      </c>
      <c r="R11" s="95">
        <f>VLOOKUP(A11,'BSE ALL CAP'!$B$4:$Y$1038,17,)</f>
        <v>-5.8539127384273991E-2</v>
      </c>
      <c r="S11" s="95">
        <f>VLOOKUP(A11,'BSE ALL CAP'!$B$4:$Y$1038,18,)</f>
        <v>-0.15845070422535212</v>
      </c>
      <c r="T11" s="95">
        <f>VLOOKUP(A11,'BSE ALL CAP'!$B$4:$Y$1038,19,)</f>
        <v>3.5066505441354291E-2</v>
      </c>
      <c r="U11" s="95">
        <f>VLOOKUP(A11,'BSE ALL CAP'!$B$4:$Y$1038,20,)</f>
        <v>-0.19351720966670641</v>
      </c>
      <c r="V11" s="95">
        <f>VLOOKUP(A11,'BSE ALL CAP'!$B$4:$Y$1038,21,)</f>
        <v>-0.24734446130500753</v>
      </c>
      <c r="W11" s="95">
        <f>VLOOKUP(A11,'BSE ALL CAP'!$B$4:$Y$1038,22,)</f>
        <v>-2.4249999999999998</v>
      </c>
      <c r="X11" s="95">
        <f>VLOOKUP(A11,'BSE ALL CAP'!$B$4:$Y$1038,23,)</f>
        <v>-0.65659008464328905</v>
      </c>
      <c r="Y11" s="95">
        <f>VLOOKUP(A11,'BSE ALL CAP'!$B$4:$Y$1038,24,)</f>
        <v>-2.5517241379310347</v>
      </c>
    </row>
    <row r="12" spans="1:25" ht="15.75" customHeight="1">
      <c r="A12" s="99">
        <v>532313</v>
      </c>
      <c r="B12" s="98" t="s">
        <v>2021</v>
      </c>
      <c r="C12" s="6" t="str">
        <f>VLOOKUP(A12,'BSE ALL CAP'!$B$4:$Y$1038,2,)</f>
        <v>Consumer Discretionary</v>
      </c>
      <c r="D12" s="6" t="str">
        <f>VLOOKUP(A12,'BSE ALL CAP'!$B$4:$Y$1038,3,)</f>
        <v>Residential, Commercial Projects</v>
      </c>
      <c r="E12" s="101">
        <f ca="1">IFERROR(__xludf.DUMMYFUNCTION("GOOGLEFINANCE(""BOM:""&amp;A12,""PRICE"")"),326.45)</f>
        <v>326.45</v>
      </c>
      <c r="F12" s="112">
        <f ca="1">IFERROR(__xludf.DUMMYFUNCTION("GOOGLEFINANCE(""BOM:""&amp;A12,""MARKETCAP"")/10000000"),6966.705608)</f>
        <v>6966.7056080000002</v>
      </c>
      <c r="G12" s="95">
        <f t="shared" ca="1" si="0"/>
        <v>1.2003280801544003E-2</v>
      </c>
      <c r="H12" s="101">
        <f>VLOOKUP(A12,'BSE ALL CAP'!$B$4:$Y$1038,7,)</f>
        <v>508</v>
      </c>
      <c r="I12" s="101">
        <f>VLOOKUP(A12,'BSE ALL CAP'!$B$4:$Y$1038,8,)</f>
        <v>363</v>
      </c>
      <c r="J12" s="101">
        <f>VLOOKUP(A12,'BSE ALL CAP'!$B$4:$Y$1038,9,)</f>
        <v>208</v>
      </c>
      <c r="K12" s="101">
        <f>VLOOKUP(A12,'BSE ALL CAP'!$B$4:$Y$1038,10,)</f>
        <v>-23</v>
      </c>
      <c r="L12" s="101">
        <f>VLOOKUP(A12,'BSE ALL CAP'!$B$4:$Y$1038,11,)</f>
        <v>459</v>
      </c>
      <c r="M12" s="101">
        <f>VLOOKUP(A12,'BSE ALL CAP'!$B$4:$Y$1038,12,)</f>
        <v>167</v>
      </c>
      <c r="N12" s="101">
        <f>VLOOKUP(A12,'BSE ALL CAP'!$B$4:$Y$1038,13,)</f>
        <v>108</v>
      </c>
      <c r="O12" s="101">
        <f>VLOOKUP(A12,'BSE ALL CAP'!$B$4:$Y$1038,14,)</f>
        <v>-22</v>
      </c>
      <c r="P12" s="95">
        <f>VLOOKUP(A12,'BSE ALL CAP'!$B$4:$Y$1038,15,)</f>
        <v>0.40944881889763779</v>
      </c>
      <c r="Q12" s="95">
        <f>VLOOKUP(A12,'BSE ALL CAP'!$B$4:$Y$1038,16,)</f>
        <v>-6.3360881542699726E-2</v>
      </c>
      <c r="R12" s="95">
        <f>VLOOKUP(A12,'BSE ALL CAP'!$B$4:$Y$1038,17,)</f>
        <v>0.47280970044033754</v>
      </c>
      <c r="S12" s="95">
        <f>VLOOKUP(A12,'BSE ALL CAP'!$B$4:$Y$1038,18,)</f>
        <v>0.23529411764705882</v>
      </c>
      <c r="T12" s="95">
        <f>VLOOKUP(A12,'BSE ALL CAP'!$B$4:$Y$1038,19,)</f>
        <v>-0.1317365269461078</v>
      </c>
      <c r="U12" s="95">
        <f>VLOOKUP(A12,'BSE ALL CAP'!$B$4:$Y$1038,20,)</f>
        <v>0.36703064459316659</v>
      </c>
      <c r="V12" s="95">
        <f>VLOOKUP(A12,'BSE ALL CAP'!$B$4:$Y$1038,21,)</f>
        <v>0.3994490358126721</v>
      </c>
      <c r="W12" s="95">
        <f>VLOOKUP(A12,'BSE ALL CAP'!$B$4:$Y$1038,22,)</f>
        <v>-10.043478260869565</v>
      </c>
      <c r="X12" s="95">
        <f>VLOOKUP(A12,'BSE ALL CAP'!$B$4:$Y$1038,23,)</f>
        <v>1.7485029940119761</v>
      </c>
      <c r="Y12" s="95">
        <f>VLOOKUP(A12,'BSE ALL CAP'!$B$4:$Y$1038,24,)</f>
        <v>-5.9090909090909092</v>
      </c>
    </row>
    <row r="13" spans="1:25" ht="15.75" customHeight="1">
      <c r="A13" s="99">
        <v>532832</v>
      </c>
      <c r="B13" s="98" t="s">
        <v>2022</v>
      </c>
      <c r="C13" s="6" t="str">
        <f>VLOOKUP(A13,'BSE ALL CAP'!$B$4:$Y$1038,2,)</f>
        <v>Consumer Discretionary</v>
      </c>
      <c r="D13" s="6" t="str">
        <f>VLOOKUP(A13,'BSE ALL CAP'!$B$4:$Y$1038,3,)</f>
        <v>Residential, Commercial Projects</v>
      </c>
      <c r="E13" s="101">
        <f ca="1">IFERROR(__xludf.DUMMYFUNCTION("GOOGLEFINANCE(""BOM:""&amp;A13,""PRICE"")"),45.54)</f>
        <v>45.54</v>
      </c>
      <c r="F13" s="112">
        <f ca="1">IFERROR(__xludf.DUMMYFUNCTION("GOOGLEFINANCE(""BOM:""&amp;A13,""MARKETCAP"")/10000000"),6348.2804564)</f>
        <v>6348.2804563999998</v>
      </c>
      <c r="G13" s="95">
        <f t="shared" ca="1" si="0"/>
        <v>1.0937765597217283E-2</v>
      </c>
      <c r="H13" s="101">
        <f>VLOOKUP(A13,'BSE ALL CAP'!$B$4:$Y$1038,7,)</f>
        <v>1386</v>
      </c>
      <c r="I13" s="101">
        <f>VLOOKUP(A13,'BSE ALL CAP'!$B$4:$Y$1038,8,)</f>
        <v>1290</v>
      </c>
      <c r="J13" s="101">
        <f>VLOOKUP(A13,'BSE ALL CAP'!$B$4:$Y$1038,9,)</f>
        <v>-557</v>
      </c>
      <c r="K13" s="101">
        <f>VLOOKUP(A13,'BSE ALL CAP'!$B$4:$Y$1038,10,)</f>
        <v>-70</v>
      </c>
      <c r="L13" s="101">
        <f>VLOOKUP(A13,'BSE ALL CAP'!$B$4:$Y$1038,11,)</f>
        <v>212</v>
      </c>
      <c r="M13" s="101">
        <f>VLOOKUP(A13,'BSE ALL CAP'!$B$4:$Y$1038,12,)</f>
        <v>325</v>
      </c>
      <c r="N13" s="101">
        <f>VLOOKUP(A13,'BSE ALL CAP'!$B$4:$Y$1038,13,)</f>
        <v>-240</v>
      </c>
      <c r="O13" s="101">
        <f>VLOOKUP(A13,'BSE ALL CAP'!$B$4:$Y$1038,14,)</f>
        <v>-98</v>
      </c>
      <c r="P13" s="95">
        <f>VLOOKUP(A13,'BSE ALL CAP'!$B$4:$Y$1038,15,)</f>
        <v>-0.40187590187590189</v>
      </c>
      <c r="Q13" s="95">
        <f>VLOOKUP(A13,'BSE ALL CAP'!$B$4:$Y$1038,16,)</f>
        <v>-5.4263565891472867E-2</v>
      </c>
      <c r="R13" s="95">
        <f>VLOOKUP(A13,'BSE ALL CAP'!$B$4:$Y$1038,17,)</f>
        <v>-0.34761233598442903</v>
      </c>
      <c r="S13" s="95">
        <f>VLOOKUP(A13,'BSE ALL CAP'!$B$4:$Y$1038,18,)</f>
        <v>-1.1320754716981132</v>
      </c>
      <c r="T13" s="95">
        <f>VLOOKUP(A13,'BSE ALL CAP'!$B$4:$Y$1038,19,)</f>
        <v>-0.30153846153846153</v>
      </c>
      <c r="U13" s="95">
        <f>VLOOKUP(A13,'BSE ALL CAP'!$B$4:$Y$1038,20,)</f>
        <v>-0.83053701015965165</v>
      </c>
      <c r="V13" s="95">
        <f>VLOOKUP(A13,'BSE ALL CAP'!$B$4:$Y$1038,21,)</f>
        <v>7.441860465116279E-2</v>
      </c>
      <c r="W13" s="95">
        <f>VLOOKUP(A13,'BSE ALL CAP'!$B$4:$Y$1038,22,)</f>
        <v>6.9571428571428573</v>
      </c>
      <c r="X13" s="95">
        <f>VLOOKUP(A13,'BSE ALL CAP'!$B$4:$Y$1038,23,)</f>
        <v>-0.34769230769230774</v>
      </c>
      <c r="Y13" s="95">
        <f>VLOOKUP(A13,'BSE ALL CAP'!$B$4:$Y$1038,24,)</f>
        <v>1.4489795918367347</v>
      </c>
    </row>
    <row r="14" spans="1:25" ht="15.75" customHeight="1">
      <c r="A14" s="99">
        <v>544423</v>
      </c>
      <c r="B14" s="98" t="s">
        <v>2023</v>
      </c>
      <c r="C14" s="6" t="e">
        <f>VLOOKUP(A14,'BSE ALL CAP'!$B$4:$Y$1038,2,)</f>
        <v>#N/A</v>
      </c>
      <c r="D14" s="6" t="e">
        <f>VLOOKUP(A14,'BSE ALL CAP'!$B$4:$Y$1038,3,)</f>
        <v>#N/A</v>
      </c>
      <c r="E14" s="101">
        <f ca="1">IFERROR(__xludf.DUMMYFUNCTION("GOOGLEFINANCE(""BOM:""&amp;A14,""PRICE"")"),288.4)</f>
        <v>288.39999999999998</v>
      </c>
      <c r="F14" s="112">
        <f ca="1">IFERROR(__xludf.DUMMYFUNCTION("GOOGLEFINANCE(""BOM:""&amp;A14,""MARKETCAP"")/10000000"),5949.8823918)</f>
        <v>5949.8823917999998</v>
      </c>
      <c r="G14" s="95">
        <f t="shared" ca="1" si="0"/>
        <v>1.0251345916343427E-2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544469</v>
      </c>
      <c r="B15" s="98" t="s">
        <v>2024</v>
      </c>
      <c r="C15" s="6" t="e">
        <f>VLOOKUP(A15,'BSE ALL CAP'!$B$4:$Y$1038,2,)</f>
        <v>#N/A</v>
      </c>
      <c r="D15" s="6" t="e">
        <f>VLOOKUP(A15,'BSE ALL CAP'!$B$4:$Y$1038,3,)</f>
        <v>#N/A</v>
      </c>
      <c r="E15" s="101">
        <f ca="1">IFERROR(__xludf.DUMMYFUNCTION("GOOGLEFINANCE(""BOM:""&amp;A15,""PRICE"")"),113.65)</f>
        <v>113.65</v>
      </c>
      <c r="F15" s="112">
        <f ca="1">IFERROR(__xludf.DUMMYFUNCTION("GOOGLEFINANCE(""BOM:""&amp;A15,""MARKETCAP"")/10000000"),5550.9374375)</f>
        <v>5550.9374374999998</v>
      </c>
      <c r="G15" s="95">
        <f t="shared" ca="1" si="0"/>
        <v>9.5639839722240789E-3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544008</v>
      </c>
      <c r="B16" s="98" t="s">
        <v>2025</v>
      </c>
      <c r="C16" s="6" t="str">
        <f>VLOOKUP(A16,'BSE ALL CAP'!$B$4:$Y$1038,2,)</f>
        <v>Consumer Discretionary</v>
      </c>
      <c r="D16" s="6" t="str">
        <f>VLOOKUP(A16,'BSE ALL CAP'!$B$4:$Y$1038,3,)</f>
        <v>Residential, Commercial Projects</v>
      </c>
      <c r="E16" s="101">
        <f ca="1">IFERROR(__xludf.DUMMYFUNCTION("GOOGLEFINANCE(""BOM:""&amp;A16,""PRICE"")"),356.05)</f>
        <v>356.05</v>
      </c>
      <c r="F16" s="112">
        <f ca="1">IFERROR(__xludf.DUMMYFUNCTION("GOOGLEFINANCE(""BOM:""&amp;A16,""MARKETCAP"")/10000000"),5818.83068)</f>
        <v>5818.83068</v>
      </c>
      <c r="G16" s="95">
        <f t="shared" ca="1" si="0"/>
        <v>1.0025550456513453E-2</v>
      </c>
      <c r="H16" s="101">
        <f>VLOOKUP(A16,'BSE ALL CAP'!$B$4:$Y$1038,7,)</f>
        <v>150</v>
      </c>
      <c r="I16" s="101">
        <f>VLOOKUP(A16,'BSE ALL CAP'!$B$4:$Y$1038,8,)</f>
        <v>120</v>
      </c>
      <c r="J16" s="101">
        <f>VLOOKUP(A16,'BSE ALL CAP'!$B$4:$Y$1038,9,)</f>
        <v>19</v>
      </c>
      <c r="K16" s="101">
        <f>VLOOKUP(A16,'BSE ALL CAP'!$B$4:$Y$1038,10,)</f>
        <v>12</v>
      </c>
      <c r="L16" s="101">
        <f>VLOOKUP(A16,'BSE ALL CAP'!$B$4:$Y$1038,11,)</f>
        <v>49</v>
      </c>
      <c r="M16" s="101">
        <f>VLOOKUP(A16,'BSE ALL CAP'!$B$4:$Y$1038,12,)</f>
        <v>40</v>
      </c>
      <c r="N16" s="101">
        <f>VLOOKUP(A16,'BSE ALL CAP'!$B$4:$Y$1038,13,)</f>
        <v>3</v>
      </c>
      <c r="O16" s="101">
        <f>VLOOKUP(A16,'BSE ALL CAP'!$B$4:$Y$1038,14,)</f>
        <v>15</v>
      </c>
      <c r="P16" s="95">
        <f>VLOOKUP(A16,'BSE ALL CAP'!$B$4:$Y$1038,15,)</f>
        <v>0.12666666666666668</v>
      </c>
      <c r="Q16" s="95">
        <f>VLOOKUP(A16,'BSE ALL CAP'!$B$4:$Y$1038,16,)</f>
        <v>0.1</v>
      </c>
      <c r="R16" s="95">
        <f>VLOOKUP(A16,'BSE ALL CAP'!$B$4:$Y$1038,17,)</f>
        <v>2.6666666666666672E-2</v>
      </c>
      <c r="S16" s="95">
        <f>VLOOKUP(A16,'BSE ALL CAP'!$B$4:$Y$1038,18,)</f>
        <v>6.1224489795918366E-2</v>
      </c>
      <c r="T16" s="95">
        <f>VLOOKUP(A16,'BSE ALL CAP'!$B$4:$Y$1038,19,)</f>
        <v>0.375</v>
      </c>
      <c r="U16" s="95">
        <f>VLOOKUP(A16,'BSE ALL CAP'!$B$4:$Y$1038,20,)</f>
        <v>-0.31377551020408162</v>
      </c>
      <c r="V16" s="95">
        <f>VLOOKUP(A16,'BSE ALL CAP'!$B$4:$Y$1038,21,)</f>
        <v>0.25</v>
      </c>
      <c r="W16" s="95">
        <f>VLOOKUP(A16,'BSE ALL CAP'!$B$4:$Y$1038,22,)</f>
        <v>0.58333333333333326</v>
      </c>
      <c r="X16" s="95">
        <f>VLOOKUP(A16,'BSE ALL CAP'!$B$4:$Y$1038,23,)</f>
        <v>0.22500000000000009</v>
      </c>
      <c r="Y16" s="95">
        <f>VLOOKUP(A16,'BSE ALL CAP'!$B$4:$Y$1038,24,)</f>
        <v>-0.8</v>
      </c>
    </row>
    <row r="17" spans="1:25" ht="15.75" customHeight="1">
      <c r="A17" s="99">
        <v>543669</v>
      </c>
      <c r="B17" s="98" t="s">
        <v>2026</v>
      </c>
      <c r="C17" s="6" t="str">
        <f>VLOOKUP(A17,'BSE ALL CAP'!$B$4:$Y$1038,2,)</f>
        <v>Consumer Discretionary</v>
      </c>
      <c r="D17" s="6" t="str">
        <f>VLOOKUP(A17,'BSE ALL CAP'!$B$4:$Y$1038,3,)</f>
        <v>Residential, Commercial Projects</v>
      </c>
      <c r="E17" s="101">
        <f ca="1">IFERROR(__xludf.DUMMYFUNCTION("GOOGLEFINANCE(""BOM:""&amp;A17,""PRICE"")"),388.25)</f>
        <v>388.25</v>
      </c>
      <c r="F17" s="112">
        <f ca="1">IFERROR(__xludf.DUMMYFUNCTION("GOOGLEFINANCE(""BOM:""&amp;A17,""MARKETCAP"")/10000000"),4898.6305114)</f>
        <v>4898.6305113999997</v>
      </c>
      <c r="G17" s="95">
        <f t="shared" ca="1" si="0"/>
        <v>8.4400921870194379E-3</v>
      </c>
      <c r="H17" s="101">
        <f>VLOOKUP(A17,'BSE ALL CAP'!$B$4:$Y$1038,7,)</f>
        <v>1038</v>
      </c>
      <c r="I17" s="101">
        <f>VLOOKUP(A17,'BSE ALL CAP'!$B$4:$Y$1038,8,)</f>
        <v>1419</v>
      </c>
      <c r="J17" s="101">
        <f>VLOOKUP(A17,'BSE ALL CAP'!$B$4:$Y$1038,9,)</f>
        <v>31</v>
      </c>
      <c r="K17" s="101">
        <f>VLOOKUP(A17,'BSE ALL CAP'!$B$4:$Y$1038,10,)</f>
        <v>121</v>
      </c>
      <c r="L17" s="101">
        <f>VLOOKUP(A17,'BSE ALL CAP'!$B$4:$Y$1038,11,)</f>
        <v>266</v>
      </c>
      <c r="M17" s="101">
        <f>VLOOKUP(A17,'BSE ALL CAP'!$B$4:$Y$1038,12,)</f>
        <v>464</v>
      </c>
      <c r="N17" s="101">
        <f>VLOOKUP(A17,'BSE ALL CAP'!$B$4:$Y$1038,13,)</f>
        <v>5</v>
      </c>
      <c r="O17" s="101">
        <f>VLOOKUP(A17,'BSE ALL CAP'!$B$4:$Y$1038,14,)</f>
        <v>29</v>
      </c>
      <c r="P17" s="95">
        <f>VLOOKUP(A17,'BSE ALL CAP'!$B$4:$Y$1038,15,)</f>
        <v>2.9865125240847785E-2</v>
      </c>
      <c r="Q17" s="95">
        <f>VLOOKUP(A17,'BSE ALL CAP'!$B$4:$Y$1038,16,)</f>
        <v>8.5271317829457363E-2</v>
      </c>
      <c r="R17" s="95">
        <f>VLOOKUP(A17,'BSE ALL CAP'!$B$4:$Y$1038,17,)</f>
        <v>-5.5406192588609578E-2</v>
      </c>
      <c r="S17" s="95">
        <f>VLOOKUP(A17,'BSE ALL CAP'!$B$4:$Y$1038,18,)</f>
        <v>1.8796992481203006E-2</v>
      </c>
      <c r="T17" s="95">
        <f>VLOOKUP(A17,'BSE ALL CAP'!$B$4:$Y$1038,19,)</f>
        <v>6.25E-2</v>
      </c>
      <c r="U17" s="95">
        <f>VLOOKUP(A17,'BSE ALL CAP'!$B$4:$Y$1038,20,)</f>
        <v>-4.3703007518796994E-2</v>
      </c>
      <c r="V17" s="95">
        <f>VLOOKUP(A17,'BSE ALL CAP'!$B$4:$Y$1038,21,)</f>
        <v>-0.26849894291754761</v>
      </c>
      <c r="W17" s="95">
        <f>VLOOKUP(A17,'BSE ALL CAP'!$B$4:$Y$1038,22,)</f>
        <v>-0.74380165289256195</v>
      </c>
      <c r="X17" s="95">
        <f>VLOOKUP(A17,'BSE ALL CAP'!$B$4:$Y$1038,23,)</f>
        <v>-0.42672413793103448</v>
      </c>
      <c r="Y17" s="95">
        <f>VLOOKUP(A17,'BSE ALL CAP'!$B$4:$Y$1038,24,)</f>
        <v>-0.82758620689655171</v>
      </c>
    </row>
    <row r="18" spans="1:25" ht="15.75" customHeight="1">
      <c r="A18" s="99">
        <v>526367</v>
      </c>
      <c r="B18" s="98" t="s">
        <v>2027</v>
      </c>
      <c r="C18" s="6" t="str">
        <f>VLOOKUP(A18,'BSE ALL CAP'!$B$4:$Y$1038,2,)</f>
        <v>Consumer Discretionary</v>
      </c>
      <c r="D18" s="6" t="str">
        <f>VLOOKUP(A18,'BSE ALL CAP'!$B$4:$Y$1038,3,)</f>
        <v>Residential, Commercial Projects</v>
      </c>
      <c r="E18" s="101">
        <f ca="1">IFERROR(__xludf.DUMMYFUNCTION("GOOGLEFINANCE(""BOM:""&amp;A18,""PRICE"")"),566.05)</f>
        <v>566.04999999999995</v>
      </c>
      <c r="F18" s="112">
        <f ca="1">IFERROR(__xludf.DUMMYFUNCTION("GOOGLEFINANCE(""BOM:""&amp;A18,""MARKETCAP"")/10000000"),4719.709294)</f>
        <v>4719.7092940000002</v>
      </c>
      <c r="G18" s="95">
        <f t="shared" ca="1" si="0"/>
        <v>8.1318199943003818E-3</v>
      </c>
      <c r="H18" s="101">
        <f>VLOOKUP(A18,'BSE ALL CAP'!$B$4:$Y$1038,7,)</f>
        <v>416</v>
      </c>
      <c r="I18" s="101">
        <f>VLOOKUP(A18,'BSE ALL CAP'!$B$4:$Y$1038,8,)</f>
        <v>708</v>
      </c>
      <c r="J18" s="101">
        <f>VLOOKUP(A18,'BSE ALL CAP'!$B$4:$Y$1038,9,)</f>
        <v>254</v>
      </c>
      <c r="K18" s="101">
        <f>VLOOKUP(A18,'BSE ALL CAP'!$B$4:$Y$1038,10,)</f>
        <v>433</v>
      </c>
      <c r="L18" s="101">
        <f>VLOOKUP(A18,'BSE ALL CAP'!$B$4:$Y$1038,11,)</f>
        <v>91</v>
      </c>
      <c r="M18" s="101">
        <f>VLOOKUP(A18,'BSE ALL CAP'!$B$4:$Y$1038,12,)</f>
        <v>257</v>
      </c>
      <c r="N18" s="101">
        <f>VLOOKUP(A18,'BSE ALL CAP'!$B$4:$Y$1038,13,)</f>
        <v>63</v>
      </c>
      <c r="O18" s="101">
        <f>VLOOKUP(A18,'BSE ALL CAP'!$B$4:$Y$1038,14,)</f>
        <v>160</v>
      </c>
      <c r="P18" s="95">
        <f>VLOOKUP(A18,'BSE ALL CAP'!$B$4:$Y$1038,15,)</f>
        <v>0.61057692307692313</v>
      </c>
      <c r="Q18" s="95">
        <f>VLOOKUP(A18,'BSE ALL CAP'!$B$4:$Y$1038,16,)</f>
        <v>0.6115819209039548</v>
      </c>
      <c r="R18" s="95">
        <f>VLOOKUP(A18,'BSE ALL CAP'!$B$4:$Y$1038,17,)</f>
        <v>-1.0049978270316728E-3</v>
      </c>
      <c r="S18" s="95">
        <f>VLOOKUP(A18,'BSE ALL CAP'!$B$4:$Y$1038,18,)</f>
        <v>0.69230769230769229</v>
      </c>
      <c r="T18" s="95">
        <f>VLOOKUP(A18,'BSE ALL CAP'!$B$4:$Y$1038,19,)</f>
        <v>0.62256809338521402</v>
      </c>
      <c r="U18" s="95">
        <f>VLOOKUP(A18,'BSE ALL CAP'!$B$4:$Y$1038,20,)</f>
        <v>6.9739598922478274E-2</v>
      </c>
      <c r="V18" s="95">
        <f>VLOOKUP(A18,'BSE ALL CAP'!$B$4:$Y$1038,21,)</f>
        <v>-0.41242937853107342</v>
      </c>
      <c r="W18" s="95">
        <f>VLOOKUP(A18,'BSE ALL CAP'!$B$4:$Y$1038,22,)</f>
        <v>-0.41339491916859128</v>
      </c>
      <c r="X18" s="95">
        <f>VLOOKUP(A18,'BSE ALL CAP'!$B$4:$Y$1038,23,)</f>
        <v>-0.64591439688715946</v>
      </c>
      <c r="Y18" s="95">
        <f>VLOOKUP(A18,'BSE ALL CAP'!$B$4:$Y$1038,24,)</f>
        <v>-0.60624999999999996</v>
      </c>
    </row>
    <row r="19" spans="1:25" ht="15.75" customHeight="1">
      <c r="A19" s="99">
        <v>512179</v>
      </c>
      <c r="B19" s="98" t="s">
        <v>2028</v>
      </c>
      <c r="C19" s="6" t="str">
        <f>VLOOKUP(A19,'BSE ALL CAP'!$B$4:$Y$1038,2,)</f>
        <v>Consumer Discretionary</v>
      </c>
      <c r="D19" s="6" t="str">
        <f>VLOOKUP(A19,'BSE ALL CAP'!$B$4:$Y$1038,3,)</f>
        <v>Residential, Commercial Projects</v>
      </c>
      <c r="E19" s="101">
        <f ca="1">IFERROR(__xludf.DUMMYFUNCTION("GOOGLEFINANCE(""BOM:""&amp;A19,""PRICE"")"),303)</f>
        <v>303</v>
      </c>
      <c r="F19" s="112">
        <f ca="1">IFERROR(__xludf.DUMMYFUNCTION("GOOGLEFINANCE(""BOM:""&amp;A19,""MARKETCAP"")/10000000"),4442.7045307)</f>
        <v>4442.7045306999999</v>
      </c>
      <c r="G19" s="95">
        <f t="shared" ca="1" si="0"/>
        <v>7.654554821298524E-3</v>
      </c>
      <c r="H19" s="101">
        <f>VLOOKUP(A19,'BSE ALL CAP'!$B$4:$Y$1038,7,)</f>
        <v>784</v>
      </c>
      <c r="I19" s="101">
        <f>VLOOKUP(A19,'BSE ALL CAP'!$B$4:$Y$1038,8,)</f>
        <v>647</v>
      </c>
      <c r="J19" s="101">
        <f>VLOOKUP(A19,'BSE ALL CAP'!$B$4:$Y$1038,9,)</f>
        <v>163</v>
      </c>
      <c r="K19" s="101">
        <f>VLOOKUP(A19,'BSE ALL CAP'!$B$4:$Y$1038,10,)</f>
        <v>105</v>
      </c>
      <c r="L19" s="101">
        <f>VLOOKUP(A19,'BSE ALL CAP'!$B$4:$Y$1038,11,)</f>
        <v>344</v>
      </c>
      <c r="M19" s="101">
        <f>VLOOKUP(A19,'BSE ALL CAP'!$B$4:$Y$1038,12,)</f>
        <v>161</v>
      </c>
      <c r="N19" s="101">
        <f>VLOOKUP(A19,'BSE ALL CAP'!$B$4:$Y$1038,13,)</f>
        <v>68</v>
      </c>
      <c r="O19" s="101">
        <f>VLOOKUP(A19,'BSE ALL CAP'!$B$4:$Y$1038,14,)</f>
        <v>47</v>
      </c>
      <c r="P19" s="95">
        <f>VLOOKUP(A19,'BSE ALL CAP'!$B$4:$Y$1038,15,)</f>
        <v>0.20790816326530612</v>
      </c>
      <c r="Q19" s="95">
        <f>VLOOKUP(A19,'BSE ALL CAP'!$B$4:$Y$1038,16,)</f>
        <v>0.16228748068006182</v>
      </c>
      <c r="R19" s="95">
        <f>VLOOKUP(A19,'BSE ALL CAP'!$B$4:$Y$1038,17,)</f>
        <v>4.5620682585244293E-2</v>
      </c>
      <c r="S19" s="95">
        <f>VLOOKUP(A19,'BSE ALL CAP'!$B$4:$Y$1038,18,)</f>
        <v>0.19767441860465115</v>
      </c>
      <c r="T19" s="95">
        <f>VLOOKUP(A19,'BSE ALL CAP'!$B$4:$Y$1038,19,)</f>
        <v>0.29192546583850931</v>
      </c>
      <c r="U19" s="95">
        <f>VLOOKUP(A19,'BSE ALL CAP'!$B$4:$Y$1038,20,)</f>
        <v>-9.425104723385816E-2</v>
      </c>
      <c r="V19" s="95">
        <f>VLOOKUP(A19,'BSE ALL CAP'!$B$4:$Y$1038,21,)</f>
        <v>0.21174652241112835</v>
      </c>
      <c r="W19" s="95">
        <f>VLOOKUP(A19,'BSE ALL CAP'!$B$4:$Y$1038,22,)</f>
        <v>0.55238095238095242</v>
      </c>
      <c r="X19" s="95">
        <f>VLOOKUP(A19,'BSE ALL CAP'!$B$4:$Y$1038,23,)</f>
        <v>1.1366459627329193</v>
      </c>
      <c r="Y19" s="95">
        <f>VLOOKUP(A19,'BSE ALL CAP'!$B$4:$Y$1038,24,)</f>
        <v>0.44680851063829796</v>
      </c>
    </row>
    <row r="20" spans="1:25" ht="15.75" customHeight="1">
      <c r="A20" s="99">
        <v>532891</v>
      </c>
      <c r="B20" s="98" t="s">
        <v>2029</v>
      </c>
      <c r="C20" s="6" t="e">
        <f>VLOOKUP(A20,'BSE ALL CAP'!$B$4:$Y$1038,2,)</f>
        <v>#N/A</v>
      </c>
      <c r="D20" s="6" t="e">
        <f>VLOOKUP(A20,'BSE ALL CAP'!$B$4:$Y$1038,3,)</f>
        <v>#N/A</v>
      </c>
      <c r="E20" s="101">
        <f ca="1">IFERROR(__xludf.DUMMYFUNCTION("GOOGLEFINANCE(""BOM:""&amp;A20,""PRICE"")"),176.3)</f>
        <v>176.3</v>
      </c>
      <c r="F20" s="112">
        <f ca="1">IFERROR(__xludf.DUMMYFUNCTION("GOOGLEFINANCE(""BOM:""&amp;A20,""MARKETCAP"")/10000000"),4174.3073605)</f>
        <v>4174.3073605</v>
      </c>
      <c r="G20" s="95">
        <f t="shared" ca="1" si="0"/>
        <v>7.1921200951130344E-3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539042</v>
      </c>
      <c r="B21" s="98" t="s">
        <v>2030</v>
      </c>
      <c r="C21" s="6" t="str">
        <f>VLOOKUP(A21,'BSE ALL CAP'!$B$4:$Y$1038,2,)</f>
        <v>Consumer Discretionary</v>
      </c>
      <c r="D21" s="6" t="str">
        <f>VLOOKUP(A21,'BSE ALL CAP'!$B$4:$Y$1038,3,)</f>
        <v>Residential, Commercial Projects</v>
      </c>
      <c r="E21" s="101">
        <f ca="1">IFERROR(__xludf.DUMMYFUNCTION("GOOGLEFINANCE(""BOM:""&amp;A21,""PRICE"")"),312.35)</f>
        <v>312.35000000000002</v>
      </c>
      <c r="F21" s="112">
        <f ca="1">IFERROR(__xludf.DUMMYFUNCTION("GOOGLEFINANCE(""BOM:""&amp;A21,""MARKETCAP"")/10000000"),3906.165625)</f>
        <v>3906.1656250000001</v>
      </c>
      <c r="G21" s="95">
        <f t="shared" ca="1" si="0"/>
        <v>6.730125469974306E-3</v>
      </c>
      <c r="H21" s="101">
        <f>VLOOKUP(A21,'BSE ALL CAP'!$B$4:$Y$1038,7,)</f>
        <v>264</v>
      </c>
      <c r="I21" s="101">
        <f>VLOOKUP(A21,'BSE ALL CAP'!$B$4:$Y$1038,8,)</f>
        <v>241</v>
      </c>
      <c r="J21" s="101">
        <f>VLOOKUP(A21,'BSE ALL CAP'!$B$4:$Y$1038,9,)</f>
        <v>68</v>
      </c>
      <c r="K21" s="101">
        <f>VLOOKUP(A21,'BSE ALL CAP'!$B$4:$Y$1038,10,)</f>
        <v>50</v>
      </c>
      <c r="L21" s="101">
        <f>VLOOKUP(A21,'BSE ALL CAP'!$B$4:$Y$1038,11,)</f>
        <v>87</v>
      </c>
      <c r="M21" s="101">
        <f>VLOOKUP(A21,'BSE ALL CAP'!$B$4:$Y$1038,12,)</f>
        <v>91</v>
      </c>
      <c r="N21" s="101">
        <f>VLOOKUP(A21,'BSE ALL CAP'!$B$4:$Y$1038,13,)</f>
        <v>26</v>
      </c>
      <c r="O21" s="101">
        <f>VLOOKUP(A21,'BSE ALL CAP'!$B$4:$Y$1038,14,)</f>
        <v>19</v>
      </c>
      <c r="P21" s="95">
        <f>VLOOKUP(A21,'BSE ALL CAP'!$B$4:$Y$1038,15,)</f>
        <v>0.25757575757575757</v>
      </c>
      <c r="Q21" s="95">
        <f>VLOOKUP(A21,'BSE ALL CAP'!$B$4:$Y$1038,16,)</f>
        <v>0.2074688796680498</v>
      </c>
      <c r="R21" s="95">
        <f>VLOOKUP(A21,'BSE ALL CAP'!$B$4:$Y$1038,17,)</f>
        <v>5.0106877907707764E-2</v>
      </c>
      <c r="S21" s="95">
        <f>VLOOKUP(A21,'BSE ALL CAP'!$B$4:$Y$1038,18,)</f>
        <v>0.2988505747126437</v>
      </c>
      <c r="T21" s="95">
        <f>VLOOKUP(A21,'BSE ALL CAP'!$B$4:$Y$1038,19,)</f>
        <v>0.2087912087912088</v>
      </c>
      <c r="U21" s="95">
        <f>VLOOKUP(A21,'BSE ALL CAP'!$B$4:$Y$1038,20,)</f>
        <v>9.0059365921434903E-2</v>
      </c>
      <c r="V21" s="95">
        <f>VLOOKUP(A21,'BSE ALL CAP'!$B$4:$Y$1038,21,)</f>
        <v>9.543568464730301E-2</v>
      </c>
      <c r="W21" s="95">
        <f>VLOOKUP(A21,'BSE ALL CAP'!$B$4:$Y$1038,22,)</f>
        <v>0.3600000000000001</v>
      </c>
      <c r="X21" s="95">
        <f>VLOOKUP(A21,'BSE ALL CAP'!$B$4:$Y$1038,23,)</f>
        <v>-4.3956043956043911E-2</v>
      </c>
      <c r="Y21" s="95">
        <f>VLOOKUP(A21,'BSE ALL CAP'!$B$4:$Y$1038,24,)</f>
        <v>0.36842105263157898</v>
      </c>
    </row>
    <row r="22" spans="1:25" ht="15.75" customHeight="1">
      <c r="A22" s="99">
        <v>543249</v>
      </c>
      <c r="B22" s="98" t="s">
        <v>2031</v>
      </c>
      <c r="C22" s="6" t="str">
        <f>VLOOKUP(A22,'BSE ALL CAP'!$B$4:$Y$1038,2,)</f>
        <v>Consumer Discretionary</v>
      </c>
      <c r="D22" s="6" t="str">
        <f>VLOOKUP(A22,'BSE ALL CAP'!$B$4:$Y$1038,3,)</f>
        <v>Residential, Commercial Projects</v>
      </c>
      <c r="E22" s="101">
        <f ca="1">IFERROR(__xludf.DUMMYFUNCTION("GOOGLEFINANCE(""BOM:""&amp;A22,""PRICE"")"),116.85)</f>
        <v>116.85</v>
      </c>
      <c r="F22" s="112">
        <f ca="1">IFERROR(__xludf.DUMMYFUNCTION("GOOGLEFINANCE(""BOM:""&amp;A22,""MARKETCAP"")/10000000"),3438.1670543)</f>
        <v>3438.1670543</v>
      </c>
      <c r="G22" s="95">
        <f t="shared" ca="1" si="0"/>
        <v>5.9237876433288622E-3</v>
      </c>
      <c r="H22" s="101">
        <f>VLOOKUP(A22,'BSE ALL CAP'!$B$4:$Y$1038,7,)</f>
        <v>121</v>
      </c>
      <c r="I22" s="101">
        <f>VLOOKUP(A22,'BSE ALL CAP'!$B$4:$Y$1038,8,)</f>
        <v>21</v>
      </c>
      <c r="J22" s="101">
        <f>VLOOKUP(A22,'BSE ALL CAP'!$B$4:$Y$1038,9,)</f>
        <v>17</v>
      </c>
      <c r="K22" s="101">
        <f>VLOOKUP(A22,'BSE ALL CAP'!$B$4:$Y$1038,10,)</f>
        <v>-126</v>
      </c>
      <c r="L22" s="101">
        <f>VLOOKUP(A22,'BSE ALL CAP'!$B$4:$Y$1038,11,)</f>
        <v>38</v>
      </c>
      <c r="M22" s="101">
        <f>VLOOKUP(A22,'BSE ALL CAP'!$B$4:$Y$1038,12,)</f>
        <v>9</v>
      </c>
      <c r="N22" s="101">
        <f>VLOOKUP(A22,'BSE ALL CAP'!$B$4:$Y$1038,13,)</f>
        <v>-21</v>
      </c>
      <c r="O22" s="101">
        <f>VLOOKUP(A22,'BSE ALL CAP'!$B$4:$Y$1038,14,)</f>
        <v>-28</v>
      </c>
      <c r="P22" s="95">
        <f>VLOOKUP(A22,'BSE ALL CAP'!$B$4:$Y$1038,15,)</f>
        <v>0.14049586776859505</v>
      </c>
      <c r="Q22" s="95">
        <f>VLOOKUP(A22,'BSE ALL CAP'!$B$4:$Y$1038,16,)</f>
        <v>-6</v>
      </c>
      <c r="R22" s="95">
        <f>VLOOKUP(A22,'BSE ALL CAP'!$B$4:$Y$1038,17,)</f>
        <v>6.1404958677685952</v>
      </c>
      <c r="S22" s="95">
        <f>VLOOKUP(A22,'BSE ALL CAP'!$B$4:$Y$1038,18,)</f>
        <v>-0.55263157894736847</v>
      </c>
      <c r="T22" s="95">
        <f>VLOOKUP(A22,'BSE ALL CAP'!$B$4:$Y$1038,19,)</f>
        <v>-3.1111111111111112</v>
      </c>
      <c r="U22" s="95">
        <f>VLOOKUP(A22,'BSE ALL CAP'!$B$4:$Y$1038,20,)</f>
        <v>2.5584795321637426</v>
      </c>
      <c r="V22" s="95">
        <f>VLOOKUP(A22,'BSE ALL CAP'!$B$4:$Y$1038,21,)</f>
        <v>4.7619047619047619</v>
      </c>
      <c r="W22" s="95">
        <f>VLOOKUP(A22,'BSE ALL CAP'!$B$4:$Y$1038,22,)</f>
        <v>-1.1349206349206349</v>
      </c>
      <c r="X22" s="95">
        <f>VLOOKUP(A22,'BSE ALL CAP'!$B$4:$Y$1038,23,)</f>
        <v>3.2222222222222223</v>
      </c>
      <c r="Y22" s="95">
        <f>VLOOKUP(A22,'BSE ALL CAP'!$B$4:$Y$1038,24,)</f>
        <v>-0.25</v>
      </c>
    </row>
    <row r="23" spans="1:25" ht="15.75" customHeight="1">
      <c r="A23" s="99">
        <v>543542</v>
      </c>
      <c r="B23" s="98" t="s">
        <v>2032</v>
      </c>
      <c r="C23" s="6" t="e">
        <f>VLOOKUP(A23,'BSE ALL CAP'!$B$4:$Y$1038,2,)</f>
        <v>#N/A</v>
      </c>
      <c r="D23" s="6" t="e">
        <f>VLOOKUP(A23,'BSE ALL CAP'!$B$4:$Y$1038,3,)</f>
        <v>#N/A</v>
      </c>
      <c r="E23" s="101">
        <f ca="1">IFERROR(__xludf.DUMMYFUNCTION("GOOGLEFINANCE(""BOM:""&amp;A23,""PRICE"")"),1199.85)</f>
        <v>1199.8499999999999</v>
      </c>
      <c r="F23" s="112">
        <f ca="1">IFERROR(__xludf.DUMMYFUNCTION("GOOGLEFINANCE(""BOM:""&amp;A23,""MARKETCAP"")/10000000"),3428.3577319)</f>
        <v>3428.3577319000001</v>
      </c>
      <c r="G23" s="95">
        <f t="shared" ca="1" si="0"/>
        <v>5.9068866778129855E-3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523716</v>
      </c>
      <c r="B24" s="98" t="s">
        <v>2033</v>
      </c>
      <c r="C24" s="6" t="str">
        <f>VLOOKUP(A24,'BSE ALL CAP'!$B$4:$Y$1038,2,)</f>
        <v>Consumer Discretionary</v>
      </c>
      <c r="D24" s="6" t="str">
        <f>VLOOKUP(A24,'BSE ALL CAP'!$B$4:$Y$1038,3,)</f>
        <v>Residential, Commercial Projects</v>
      </c>
      <c r="E24" s="101">
        <f ca="1">IFERROR(__xludf.DUMMYFUNCTION("GOOGLEFINANCE(""BOM:""&amp;A24,""PRICE"")"),308.4)</f>
        <v>308.39999999999998</v>
      </c>
      <c r="F24" s="112">
        <f ca="1">IFERROR(__xludf.DUMMYFUNCTION("GOOGLEFINANCE(""BOM:""&amp;A24,""MARKETCAP"")/10000000"),3089.1269812)</f>
        <v>3089.1269812</v>
      </c>
      <c r="G24" s="95">
        <f t="shared" ca="1" si="0"/>
        <v>5.3224092811371658E-3</v>
      </c>
      <c r="H24" s="101">
        <f>VLOOKUP(A24,'BSE ALL CAP'!$B$4:$Y$1038,7,)</f>
        <v>762</v>
      </c>
      <c r="I24" s="101">
        <f>VLOOKUP(A24,'BSE ALL CAP'!$B$4:$Y$1038,8,)</f>
        <v>257</v>
      </c>
      <c r="J24" s="101">
        <f>VLOOKUP(A24,'BSE ALL CAP'!$B$4:$Y$1038,9,)</f>
        <v>101</v>
      </c>
      <c r="K24" s="101">
        <f>VLOOKUP(A24,'BSE ALL CAP'!$B$4:$Y$1038,10,)</f>
        <v>-1</v>
      </c>
      <c r="L24" s="101">
        <f>VLOOKUP(A24,'BSE ALL CAP'!$B$4:$Y$1038,11,)</f>
        <v>342</v>
      </c>
      <c r="M24" s="101">
        <f>VLOOKUP(A24,'BSE ALL CAP'!$B$4:$Y$1038,12,)</f>
        <v>115</v>
      </c>
      <c r="N24" s="101">
        <f>VLOOKUP(A24,'BSE ALL CAP'!$B$4:$Y$1038,13,)</f>
        <v>56</v>
      </c>
      <c r="O24" s="101">
        <f>VLOOKUP(A24,'BSE ALL CAP'!$B$4:$Y$1038,14,)</f>
        <v>11</v>
      </c>
      <c r="P24" s="95">
        <f>VLOOKUP(A24,'BSE ALL CAP'!$B$4:$Y$1038,15,)</f>
        <v>0.13254593175853019</v>
      </c>
      <c r="Q24" s="95">
        <f>VLOOKUP(A24,'BSE ALL CAP'!$B$4:$Y$1038,16,)</f>
        <v>-3.8910505836575876E-3</v>
      </c>
      <c r="R24" s="95">
        <f>VLOOKUP(A24,'BSE ALL CAP'!$B$4:$Y$1038,17,)</f>
        <v>0.13643698234218776</v>
      </c>
      <c r="S24" s="95">
        <f>VLOOKUP(A24,'BSE ALL CAP'!$B$4:$Y$1038,18,)</f>
        <v>0.16374269005847952</v>
      </c>
      <c r="T24" s="95">
        <f>VLOOKUP(A24,'BSE ALL CAP'!$B$4:$Y$1038,19,)</f>
        <v>9.5652173913043481E-2</v>
      </c>
      <c r="U24" s="95">
        <f>VLOOKUP(A24,'BSE ALL CAP'!$B$4:$Y$1038,20,)</f>
        <v>6.8090516145436042E-2</v>
      </c>
      <c r="V24" s="95">
        <f>VLOOKUP(A24,'BSE ALL CAP'!$B$4:$Y$1038,21,)</f>
        <v>1.9649805447470818</v>
      </c>
      <c r="W24" s="95">
        <f>VLOOKUP(A24,'BSE ALL CAP'!$B$4:$Y$1038,22,)</f>
        <v>-102</v>
      </c>
      <c r="X24" s="95">
        <f>VLOOKUP(A24,'BSE ALL CAP'!$B$4:$Y$1038,23,)</f>
        <v>1.973913043478261</v>
      </c>
      <c r="Y24" s="95">
        <f>VLOOKUP(A24,'BSE ALL CAP'!$B$4:$Y$1038,24,)</f>
        <v>4.0909090909090908</v>
      </c>
    </row>
    <row r="25" spans="1:25" ht="14.4">
      <c r="A25" s="99">
        <v>503101</v>
      </c>
      <c r="B25" s="98" t="s">
        <v>2034</v>
      </c>
      <c r="C25" s="6" t="str">
        <f>VLOOKUP(A25,'BSE ALL CAP'!$B$4:$Y$1038,2,)</f>
        <v>Consumer Discretionary</v>
      </c>
      <c r="D25" s="6" t="str">
        <f>VLOOKUP(A25,'BSE ALL CAP'!$B$4:$Y$1038,3,)</f>
        <v>Residential, Commercial Projects</v>
      </c>
      <c r="E25" s="101">
        <f ca="1">IFERROR(__xludf.DUMMYFUNCTION("GOOGLEFINANCE(""BOM:""&amp;A25,""PRICE"")"),415.9)</f>
        <v>415.9</v>
      </c>
      <c r="F25" s="112">
        <f ca="1">IFERROR(__xludf.DUMMYFUNCTION("GOOGLEFINANCE(""BOM:""&amp;A25,""MARKETCAP"")/10000000"),2804.694464)</f>
        <v>2804.6944640000002</v>
      </c>
      <c r="G25" s="95">
        <f t="shared" ca="1" si="0"/>
        <v>4.8323464644851903E-3</v>
      </c>
      <c r="H25" s="101">
        <f>VLOOKUP(A25,'BSE ALL CAP'!$B$4:$Y$1038,7,)</f>
        <v>382</v>
      </c>
      <c r="I25" s="101">
        <f>VLOOKUP(A25,'BSE ALL CAP'!$B$4:$Y$1038,8,)</f>
        <v>431</v>
      </c>
      <c r="J25" s="101">
        <f>VLOOKUP(A25,'BSE ALL CAP'!$B$4:$Y$1038,9,)</f>
        <v>144</v>
      </c>
      <c r="K25" s="101">
        <f>VLOOKUP(A25,'BSE ALL CAP'!$B$4:$Y$1038,10,)</f>
        <v>114</v>
      </c>
      <c r="L25" s="101">
        <f>VLOOKUP(A25,'BSE ALL CAP'!$B$4:$Y$1038,11,)</f>
        <v>124</v>
      </c>
      <c r="M25" s="101">
        <f>VLOOKUP(A25,'BSE ALL CAP'!$B$4:$Y$1038,12,)</f>
        <v>123</v>
      </c>
      <c r="N25" s="101">
        <f>VLOOKUP(A25,'BSE ALL CAP'!$B$4:$Y$1038,13,)</f>
        <v>27</v>
      </c>
      <c r="O25" s="101">
        <f>VLOOKUP(A25,'BSE ALL CAP'!$B$4:$Y$1038,14,)</f>
        <v>42</v>
      </c>
      <c r="P25" s="95">
        <f>VLOOKUP(A25,'BSE ALL CAP'!$B$4:$Y$1038,15,)</f>
        <v>0.37696335078534032</v>
      </c>
      <c r="Q25" s="95">
        <f>VLOOKUP(A25,'BSE ALL CAP'!$B$4:$Y$1038,16,)</f>
        <v>0.26450116009280744</v>
      </c>
      <c r="R25" s="95">
        <f>VLOOKUP(A25,'BSE ALL CAP'!$B$4:$Y$1038,17,)</f>
        <v>0.11246219069253288</v>
      </c>
      <c r="S25" s="95">
        <f>VLOOKUP(A25,'BSE ALL CAP'!$B$4:$Y$1038,18,)</f>
        <v>0.21774193548387097</v>
      </c>
      <c r="T25" s="95">
        <f>VLOOKUP(A25,'BSE ALL CAP'!$B$4:$Y$1038,19,)</f>
        <v>0.34146341463414637</v>
      </c>
      <c r="U25" s="95">
        <f>VLOOKUP(A25,'BSE ALL CAP'!$B$4:$Y$1038,20,)</f>
        <v>-0.1237214791502754</v>
      </c>
      <c r="V25" s="95">
        <f>VLOOKUP(A25,'BSE ALL CAP'!$B$4:$Y$1038,21,)</f>
        <v>-0.11368909512761016</v>
      </c>
      <c r="W25" s="95">
        <f>VLOOKUP(A25,'BSE ALL CAP'!$B$4:$Y$1038,22,)</f>
        <v>0.26315789473684204</v>
      </c>
      <c r="X25" s="95">
        <f>VLOOKUP(A25,'BSE ALL CAP'!$B$4:$Y$1038,23,)</f>
        <v>8.1300813008129413E-3</v>
      </c>
      <c r="Y25" s="95">
        <f>VLOOKUP(A25,'BSE ALL CAP'!$B$4:$Y$1038,24,)</f>
        <v>-0.3571428571428571</v>
      </c>
    </row>
    <row r="26" spans="1:25" ht="14.4">
      <c r="A26" s="99">
        <v>532924</v>
      </c>
      <c r="B26" s="98" t="s">
        <v>2035</v>
      </c>
      <c r="C26" s="6" t="str">
        <f>VLOOKUP(A26,'BSE ALL CAP'!$B$4:$Y$1038,2,)</f>
        <v>Consumer Discretionary</v>
      </c>
      <c r="D26" s="6" t="str">
        <f>VLOOKUP(A26,'BSE ALL CAP'!$B$4:$Y$1038,3,)</f>
        <v>Residential, Commercial Projects</v>
      </c>
      <c r="E26" s="101">
        <f ca="1">IFERROR(__xludf.DUMMYFUNCTION("GOOGLEFINANCE(""BOM:""&amp;A26,""PRICE"")"),309.5)</f>
        <v>309.5</v>
      </c>
      <c r="F26" s="112">
        <f ca="1">IFERROR(__xludf.DUMMYFUNCTION("GOOGLEFINANCE(""BOM:""&amp;A26,""MARKETCAP"")/10000000"),2736.6682487)</f>
        <v>2736.6682486999998</v>
      </c>
      <c r="G26" s="95">
        <f t="shared" ca="1" si="0"/>
        <v>4.7151407420021642E-3</v>
      </c>
      <c r="H26" s="101">
        <f>VLOOKUP(A26,'BSE ALL CAP'!$B$4:$Y$1038,7,)</f>
        <v>486</v>
      </c>
      <c r="I26" s="101">
        <f>VLOOKUP(A26,'BSE ALL CAP'!$B$4:$Y$1038,8,)</f>
        <v>998</v>
      </c>
      <c r="J26" s="101">
        <f>VLOOKUP(A26,'BSE ALL CAP'!$B$4:$Y$1038,9,)</f>
        <v>-23</v>
      </c>
      <c r="K26" s="101">
        <f>VLOOKUP(A26,'BSE ALL CAP'!$B$4:$Y$1038,10,)</f>
        <v>43</v>
      </c>
      <c r="L26" s="101">
        <f>VLOOKUP(A26,'BSE ALL CAP'!$B$4:$Y$1038,11,)</f>
        <v>265</v>
      </c>
      <c r="M26" s="101">
        <f>VLOOKUP(A26,'BSE ALL CAP'!$B$4:$Y$1038,12,)</f>
        <v>349</v>
      </c>
      <c r="N26" s="101">
        <f>VLOOKUP(A26,'BSE ALL CAP'!$B$4:$Y$1038,13,)</f>
        <v>4</v>
      </c>
      <c r="O26" s="101">
        <f>VLOOKUP(A26,'BSE ALL CAP'!$B$4:$Y$1038,14,)</f>
        <v>26</v>
      </c>
      <c r="P26" s="95">
        <f>VLOOKUP(A26,'BSE ALL CAP'!$B$4:$Y$1038,15,)</f>
        <v>-4.7325102880658436E-2</v>
      </c>
      <c r="Q26" s="95">
        <f>VLOOKUP(A26,'BSE ALL CAP'!$B$4:$Y$1038,16,)</f>
        <v>4.308617234468938E-2</v>
      </c>
      <c r="R26" s="95">
        <f>VLOOKUP(A26,'BSE ALL CAP'!$B$4:$Y$1038,17,)</f>
        <v>-9.0411275225347809E-2</v>
      </c>
      <c r="S26" s="95">
        <f>VLOOKUP(A26,'BSE ALL CAP'!$B$4:$Y$1038,18,)</f>
        <v>1.509433962264151E-2</v>
      </c>
      <c r="T26" s="95">
        <f>VLOOKUP(A26,'BSE ALL CAP'!$B$4:$Y$1038,19,)</f>
        <v>7.4498567335243557E-2</v>
      </c>
      <c r="U26" s="95">
        <f>VLOOKUP(A26,'BSE ALL CAP'!$B$4:$Y$1038,20,)</f>
        <v>-5.9404227712602051E-2</v>
      </c>
      <c r="V26" s="95">
        <f>VLOOKUP(A26,'BSE ALL CAP'!$B$4:$Y$1038,21,)</f>
        <v>-0.51302605210420849</v>
      </c>
      <c r="W26" s="95">
        <f>VLOOKUP(A26,'BSE ALL CAP'!$B$4:$Y$1038,22,)</f>
        <v>-1.5348837209302326</v>
      </c>
      <c r="X26" s="95">
        <f>VLOOKUP(A26,'BSE ALL CAP'!$B$4:$Y$1038,23,)</f>
        <v>-0.24068767908309452</v>
      </c>
      <c r="Y26" s="95">
        <f>VLOOKUP(A26,'BSE ALL CAP'!$B$4:$Y$1038,24,)</f>
        <v>-0.84615384615384615</v>
      </c>
    </row>
    <row r="27" spans="1:25" ht="14.4">
      <c r="A27" s="99">
        <v>544420</v>
      </c>
      <c r="B27" s="98" t="s">
        <v>2036</v>
      </c>
      <c r="C27" s="6" t="e">
        <f>VLOOKUP(A27,'BSE ALL CAP'!$B$4:$Y$1038,2,)</f>
        <v>#N/A</v>
      </c>
      <c r="D27" s="6" t="e">
        <f>VLOOKUP(A27,'BSE ALL CAP'!$B$4:$Y$1038,3,)</f>
        <v>#N/A</v>
      </c>
      <c r="E27" s="101">
        <f ca="1">IFERROR(__xludf.DUMMYFUNCTION("GOOGLEFINANCE(""BOM:""&amp;A27,""PRICE"")"),417.8)</f>
        <v>417.8</v>
      </c>
      <c r="F27" s="112">
        <f ca="1">IFERROR(__xludf.DUMMYFUNCTION("GOOGLEFINANCE(""BOM:""&amp;A27,""MARKETCAP"")/10000000"),2782.1824499)</f>
        <v>2782.1824498999999</v>
      </c>
      <c r="G27" s="95">
        <f t="shared" ca="1" si="0"/>
        <v>4.7935594047391434E-3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504882</v>
      </c>
      <c r="B28" s="98" t="s">
        <v>2037</v>
      </c>
      <c r="C28" s="6" t="e">
        <f>VLOOKUP(A28,'BSE ALL CAP'!$B$4:$Y$1038,2,)</f>
        <v>#N/A</v>
      </c>
      <c r="D28" s="6" t="e">
        <f>VLOOKUP(A28,'BSE ALL CAP'!$B$4:$Y$1038,3,)</f>
        <v>#N/A</v>
      </c>
      <c r="E28" s="101">
        <f ca="1">IFERROR(__xludf.DUMMYFUNCTION("GOOGLEFINANCE(""BOM:""&amp;A28,""PRICE"")"),1293.2)</f>
        <v>1293.2</v>
      </c>
      <c r="F28" s="112">
        <f ca="1">IFERROR(__xludf.DUMMYFUNCTION("GOOGLEFINANCE(""BOM:""&amp;A28,""MARKETCAP"")/10000000"),2586.3999023)</f>
        <v>2586.3999023000001</v>
      </c>
      <c r="G28" s="95">
        <f t="shared" ca="1" si="0"/>
        <v>4.4562359943475993E-3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532799</v>
      </c>
      <c r="B29" s="98" t="s">
        <v>2038</v>
      </c>
      <c r="C29" s="6" t="str">
        <f>VLOOKUP(A29,'BSE ALL CAP'!$B$4:$Y$1038,2,)</f>
        <v>Consumer Discretionary</v>
      </c>
      <c r="D29" s="6" t="str">
        <f>VLOOKUP(A29,'BSE ALL CAP'!$B$4:$Y$1038,3,)</f>
        <v>Residential, Commercial Projects</v>
      </c>
      <c r="E29" s="101">
        <f ca="1">IFERROR(__xludf.DUMMYFUNCTION("GOOGLEFINANCE(""BOM:""&amp;A29,""PRICE"")"),190.8)</f>
        <v>190.8</v>
      </c>
      <c r="F29" s="112">
        <f ca="1">IFERROR(__xludf.DUMMYFUNCTION("GOOGLEFINANCE(""BOM:""&amp;A29,""MARKETCAP"")/10000000"),2716.2528822)</f>
        <v>2716.2528821999999</v>
      </c>
      <c r="G29" s="95">
        <f t="shared" ca="1" si="0"/>
        <v>4.6799660998464027E-3</v>
      </c>
      <c r="H29" s="101">
        <f>VLOOKUP(A29,'BSE ALL CAP'!$B$4:$Y$1038,7,)</f>
        <v>483</v>
      </c>
      <c r="I29" s="101">
        <f>VLOOKUP(A29,'BSE ALL CAP'!$B$4:$Y$1038,8,)</f>
        <v>311</v>
      </c>
      <c r="J29" s="101">
        <f>VLOOKUP(A29,'BSE ALL CAP'!$B$4:$Y$1038,9,)</f>
        <v>138</v>
      </c>
      <c r="K29" s="101">
        <f>VLOOKUP(A29,'BSE ALL CAP'!$B$4:$Y$1038,10,)</f>
        <v>51</v>
      </c>
      <c r="L29" s="101">
        <f>VLOOKUP(A29,'BSE ALL CAP'!$B$4:$Y$1038,11,)</f>
        <v>87</v>
      </c>
      <c r="M29" s="101">
        <f>VLOOKUP(A29,'BSE ALL CAP'!$B$4:$Y$1038,12,)</f>
        <v>92</v>
      </c>
      <c r="N29" s="101">
        <f>VLOOKUP(A29,'BSE ALL CAP'!$B$4:$Y$1038,13,)</f>
        <v>24</v>
      </c>
      <c r="O29" s="101">
        <f>VLOOKUP(A29,'BSE ALL CAP'!$B$4:$Y$1038,14,)</f>
        <v>15</v>
      </c>
      <c r="P29" s="95">
        <f>VLOOKUP(A29,'BSE ALL CAP'!$B$4:$Y$1038,15,)</f>
        <v>0.2857142857142857</v>
      </c>
      <c r="Q29" s="95">
        <f>VLOOKUP(A29,'BSE ALL CAP'!$B$4:$Y$1038,16,)</f>
        <v>0.16398713826366559</v>
      </c>
      <c r="R29" s="95">
        <f>VLOOKUP(A29,'BSE ALL CAP'!$B$4:$Y$1038,17,)</f>
        <v>0.1217271474506201</v>
      </c>
      <c r="S29" s="95">
        <f>VLOOKUP(A29,'BSE ALL CAP'!$B$4:$Y$1038,18,)</f>
        <v>0.27586206896551724</v>
      </c>
      <c r="T29" s="95">
        <f>VLOOKUP(A29,'BSE ALL CAP'!$B$4:$Y$1038,19,)</f>
        <v>0.16304347826086957</v>
      </c>
      <c r="U29" s="95">
        <f>VLOOKUP(A29,'BSE ALL CAP'!$B$4:$Y$1038,20,)</f>
        <v>0.11281859070464767</v>
      </c>
      <c r="V29" s="95">
        <f>VLOOKUP(A29,'BSE ALL CAP'!$B$4:$Y$1038,21,)</f>
        <v>0.55305466237942125</v>
      </c>
      <c r="W29" s="95">
        <f>VLOOKUP(A29,'BSE ALL CAP'!$B$4:$Y$1038,22,)</f>
        <v>1.7058823529411766</v>
      </c>
      <c r="X29" s="95">
        <f>VLOOKUP(A29,'BSE ALL CAP'!$B$4:$Y$1038,23,)</f>
        <v>-5.4347826086956541E-2</v>
      </c>
      <c r="Y29" s="95">
        <f>VLOOKUP(A29,'BSE ALL CAP'!$B$4:$Y$1038,24,)</f>
        <v>0.60000000000000009</v>
      </c>
    </row>
    <row r="30" spans="1:25" ht="14.4">
      <c r="A30" s="99">
        <v>539301</v>
      </c>
      <c r="B30" s="98" t="s">
        <v>2039</v>
      </c>
      <c r="C30" s="6" t="str">
        <f>VLOOKUP(A30,'BSE ALL CAP'!$B$4:$Y$1038,2,)</f>
        <v>Consumer Discretionary</v>
      </c>
      <c r="D30" s="6" t="str">
        <f>VLOOKUP(A30,'BSE ALL CAP'!$B$4:$Y$1038,3,)</f>
        <v>Residential, Commercial Projects</v>
      </c>
      <c r="E30" s="101">
        <f ca="1">IFERROR(__xludf.DUMMYFUNCTION("GOOGLEFINANCE(""BOM:""&amp;A30,""PRICE"")"),530.5)</f>
        <v>530.5</v>
      </c>
      <c r="F30" s="112">
        <f ca="1">IFERROR(__xludf.DUMMYFUNCTION("GOOGLEFINANCE(""BOM:""&amp;A30,""MARKETCAP"")/10000000"),2432.5551723)</f>
        <v>2432.5551722999999</v>
      </c>
      <c r="G30" s="95">
        <f t="shared" ca="1" si="0"/>
        <v>4.1911693189440645E-3</v>
      </c>
      <c r="H30" s="101">
        <f>VLOOKUP(A30,'BSE ALL CAP'!$B$4:$Y$1038,7,)</f>
        <v>408</v>
      </c>
      <c r="I30" s="101">
        <f>VLOOKUP(A30,'BSE ALL CAP'!$B$4:$Y$1038,8,)</f>
        <v>550</v>
      </c>
      <c r="J30" s="101">
        <f>VLOOKUP(A30,'BSE ALL CAP'!$B$4:$Y$1038,9,)</f>
        <v>59</v>
      </c>
      <c r="K30" s="101">
        <f>VLOOKUP(A30,'BSE ALL CAP'!$B$4:$Y$1038,10,)</f>
        <v>97</v>
      </c>
      <c r="L30" s="101">
        <f>VLOOKUP(A30,'BSE ALL CAP'!$B$4:$Y$1038,11,)</f>
        <v>166</v>
      </c>
      <c r="M30" s="101">
        <f>VLOOKUP(A30,'BSE ALL CAP'!$B$4:$Y$1038,12,)</f>
        <v>210</v>
      </c>
      <c r="N30" s="101">
        <f>VLOOKUP(A30,'BSE ALL CAP'!$B$4:$Y$1038,13,)</f>
        <v>29</v>
      </c>
      <c r="O30" s="101">
        <f>VLOOKUP(A30,'BSE ALL CAP'!$B$4:$Y$1038,14,)</f>
        <v>50</v>
      </c>
      <c r="P30" s="95">
        <f>VLOOKUP(A30,'BSE ALL CAP'!$B$4:$Y$1038,15,)</f>
        <v>0.14460784313725492</v>
      </c>
      <c r="Q30" s="95">
        <f>VLOOKUP(A30,'BSE ALL CAP'!$B$4:$Y$1038,16,)</f>
        <v>0.17636363636363636</v>
      </c>
      <c r="R30" s="95">
        <f>VLOOKUP(A30,'BSE ALL CAP'!$B$4:$Y$1038,17,)</f>
        <v>-3.1755793226381446E-2</v>
      </c>
      <c r="S30" s="95">
        <f>VLOOKUP(A30,'BSE ALL CAP'!$B$4:$Y$1038,18,)</f>
        <v>0.1746987951807229</v>
      </c>
      <c r="T30" s="95">
        <f>VLOOKUP(A30,'BSE ALL CAP'!$B$4:$Y$1038,19,)</f>
        <v>0.23809523809523808</v>
      </c>
      <c r="U30" s="95">
        <f>VLOOKUP(A30,'BSE ALL CAP'!$B$4:$Y$1038,20,)</f>
        <v>-6.3396442914515183E-2</v>
      </c>
      <c r="V30" s="95">
        <f>VLOOKUP(A30,'BSE ALL CAP'!$B$4:$Y$1038,21,)</f>
        <v>-0.25818181818181818</v>
      </c>
      <c r="W30" s="95">
        <f>VLOOKUP(A30,'BSE ALL CAP'!$B$4:$Y$1038,22,)</f>
        <v>-0.39175257731958768</v>
      </c>
      <c r="X30" s="95">
        <f>VLOOKUP(A30,'BSE ALL CAP'!$B$4:$Y$1038,23,)</f>
        <v>-0.20952380952380956</v>
      </c>
      <c r="Y30" s="95">
        <f>VLOOKUP(A30,'BSE ALL CAP'!$B$4:$Y$1038,24,)</f>
        <v>-0.42000000000000004</v>
      </c>
    </row>
    <row r="31" spans="1:25" ht="14.4">
      <c r="A31" s="99">
        <v>500330</v>
      </c>
      <c r="B31" s="98" t="s">
        <v>2040</v>
      </c>
      <c r="C31" s="6" t="str">
        <f>VLOOKUP(A31,'BSE ALL CAP'!$B$4:$Y$1038,2,)</f>
        <v>Consumer Discretionary</v>
      </c>
      <c r="D31" s="6" t="str">
        <f>VLOOKUP(A31,'BSE ALL CAP'!$B$4:$Y$1038,3,)</f>
        <v>Residential, Commercial Projects</v>
      </c>
      <c r="E31" s="101">
        <f ca="1">IFERROR(__xludf.DUMMYFUNCTION("GOOGLEFINANCE(""BOM:""&amp;A31,""PRICE"")"),349.8)</f>
        <v>349.8</v>
      </c>
      <c r="F31" s="112">
        <f ca="1">IFERROR(__xludf.DUMMYFUNCTION("GOOGLEFINANCE(""BOM:""&amp;A31,""MARKETCAP"")/10000000"),2326.3577614)</f>
        <v>2326.3577614000001</v>
      </c>
      <c r="G31" s="95">
        <f t="shared" ca="1" si="0"/>
        <v>4.0081965603469645E-3</v>
      </c>
      <c r="H31" s="101">
        <f>VLOOKUP(A31,'BSE ALL CAP'!$B$4:$Y$1038,7,)</f>
        <v>1609</v>
      </c>
      <c r="I31" s="101">
        <f>VLOOKUP(A31,'BSE ALL CAP'!$B$4:$Y$1038,8,)</f>
        <v>1389</v>
      </c>
      <c r="J31" s="101">
        <f>VLOOKUP(A31,'BSE ALL CAP'!$B$4:$Y$1038,9,)</f>
        <v>41</v>
      </c>
      <c r="K31" s="101">
        <f>VLOOKUP(A31,'BSE ALL CAP'!$B$4:$Y$1038,10,)</f>
        <v>27</v>
      </c>
      <c r="L31" s="101">
        <f>VLOOKUP(A31,'BSE ALL CAP'!$B$4:$Y$1038,11,)</f>
        <v>557</v>
      </c>
      <c r="M31" s="101">
        <f>VLOOKUP(A31,'BSE ALL CAP'!$B$4:$Y$1038,12,)</f>
        <v>466</v>
      </c>
      <c r="N31" s="101">
        <f>VLOOKUP(A31,'BSE ALL CAP'!$B$4:$Y$1038,13,)</f>
        <v>7</v>
      </c>
      <c r="O31" s="101">
        <f>VLOOKUP(A31,'BSE ALL CAP'!$B$4:$Y$1038,14,)</f>
        <v>3</v>
      </c>
      <c r="P31" s="95">
        <f>VLOOKUP(A31,'BSE ALL CAP'!$B$4:$Y$1038,15,)</f>
        <v>2.54816656308266E-2</v>
      </c>
      <c r="Q31" s="95">
        <f>VLOOKUP(A31,'BSE ALL CAP'!$B$4:$Y$1038,16,)</f>
        <v>1.9438444924406047E-2</v>
      </c>
      <c r="R31" s="95">
        <f>VLOOKUP(A31,'BSE ALL CAP'!$B$4:$Y$1038,17,)</f>
        <v>6.0432207064205525E-3</v>
      </c>
      <c r="S31" s="95">
        <f>VLOOKUP(A31,'BSE ALL CAP'!$B$4:$Y$1038,18,)</f>
        <v>1.2567324955116697E-2</v>
      </c>
      <c r="T31" s="95">
        <f>VLOOKUP(A31,'BSE ALL CAP'!$B$4:$Y$1038,19,)</f>
        <v>6.4377682403433476E-3</v>
      </c>
      <c r="U31" s="95">
        <f>VLOOKUP(A31,'BSE ALL CAP'!$B$4:$Y$1038,20,)</f>
        <v>6.1295567147733494E-3</v>
      </c>
      <c r="V31" s="95">
        <f>VLOOKUP(A31,'BSE ALL CAP'!$B$4:$Y$1038,21,)</f>
        <v>0.1583873290136788</v>
      </c>
      <c r="W31" s="95">
        <f>VLOOKUP(A31,'BSE ALL CAP'!$B$4:$Y$1038,22,)</f>
        <v>0.5185185185185186</v>
      </c>
      <c r="X31" s="95">
        <f>VLOOKUP(A31,'BSE ALL CAP'!$B$4:$Y$1038,23,)</f>
        <v>0.19527896995708161</v>
      </c>
      <c r="Y31" s="95">
        <f>VLOOKUP(A31,'BSE ALL CAP'!$B$4:$Y$1038,24,)</f>
        <v>1.3333333333333335</v>
      </c>
    </row>
    <row r="32" spans="1:25" ht="14.4">
      <c r="A32" s="99">
        <v>513349</v>
      </c>
      <c r="B32" s="98" t="s">
        <v>2041</v>
      </c>
      <c r="C32" s="6" t="str">
        <f>VLOOKUP(A32,'BSE ALL CAP'!$B$4:$Y$1038,2,)</f>
        <v>Consumer Discretionary</v>
      </c>
      <c r="D32" s="6" t="str">
        <f>VLOOKUP(A32,'BSE ALL CAP'!$B$4:$Y$1038,3,)</f>
        <v>Residential, Commercial Projects</v>
      </c>
      <c r="E32" s="101">
        <f ca="1">IFERROR(__xludf.DUMMYFUNCTION("GOOGLEFINANCE(""BOM:""&amp;A32,""PRICE"")"),114.81)</f>
        <v>114.81</v>
      </c>
      <c r="F32" s="112">
        <f ca="1">IFERROR(__xludf.DUMMYFUNCTION("GOOGLEFINANCE(""BOM:""&amp;A32,""MARKETCAP"")/10000000"),2260.0005983)</f>
        <v>2260.0005983000001</v>
      </c>
      <c r="G32" s="95">
        <f t="shared" ca="1" si="0"/>
        <v>3.8938665302437094E-3</v>
      </c>
      <c r="H32" s="101">
        <f>VLOOKUP(A32,'BSE ALL CAP'!$B$4:$Y$1038,7,)</f>
        <v>664</v>
      </c>
      <c r="I32" s="101">
        <f>VLOOKUP(A32,'BSE ALL CAP'!$B$4:$Y$1038,8,)</f>
        <v>599</v>
      </c>
      <c r="J32" s="101">
        <f>VLOOKUP(A32,'BSE ALL CAP'!$B$4:$Y$1038,9,)</f>
        <v>94</v>
      </c>
      <c r="K32" s="101">
        <f>VLOOKUP(A32,'BSE ALL CAP'!$B$4:$Y$1038,10,)</f>
        <v>100</v>
      </c>
      <c r="L32" s="101">
        <f>VLOOKUP(A32,'BSE ALL CAP'!$B$4:$Y$1038,11,)</f>
        <v>183</v>
      </c>
      <c r="M32" s="101">
        <f>VLOOKUP(A32,'BSE ALL CAP'!$B$4:$Y$1038,12,)</f>
        <v>199</v>
      </c>
      <c r="N32" s="101">
        <f>VLOOKUP(A32,'BSE ALL CAP'!$B$4:$Y$1038,13,)</f>
        <v>25</v>
      </c>
      <c r="O32" s="101">
        <f>VLOOKUP(A32,'BSE ALL CAP'!$B$4:$Y$1038,14,)</f>
        <v>33</v>
      </c>
      <c r="P32" s="95">
        <f>VLOOKUP(A32,'BSE ALL CAP'!$B$4:$Y$1038,15,)</f>
        <v>0.14156626506024098</v>
      </c>
      <c r="Q32" s="95">
        <f>VLOOKUP(A32,'BSE ALL CAP'!$B$4:$Y$1038,16,)</f>
        <v>0.1669449081803005</v>
      </c>
      <c r="R32" s="95">
        <f>VLOOKUP(A32,'BSE ALL CAP'!$B$4:$Y$1038,17,)</f>
        <v>-2.5378643120059524E-2</v>
      </c>
      <c r="S32" s="95">
        <f>VLOOKUP(A32,'BSE ALL CAP'!$B$4:$Y$1038,18,)</f>
        <v>0.13661202185792351</v>
      </c>
      <c r="T32" s="95">
        <f>VLOOKUP(A32,'BSE ALL CAP'!$B$4:$Y$1038,19,)</f>
        <v>0.16582914572864321</v>
      </c>
      <c r="U32" s="95">
        <f>VLOOKUP(A32,'BSE ALL CAP'!$B$4:$Y$1038,20,)</f>
        <v>-2.9217123870719702E-2</v>
      </c>
      <c r="V32" s="95">
        <f>VLOOKUP(A32,'BSE ALL CAP'!$B$4:$Y$1038,21,)</f>
        <v>0.10851419031719534</v>
      </c>
      <c r="W32" s="95">
        <f>VLOOKUP(A32,'BSE ALL CAP'!$B$4:$Y$1038,22,)</f>
        <v>-6.0000000000000053E-2</v>
      </c>
      <c r="X32" s="95">
        <f>VLOOKUP(A32,'BSE ALL CAP'!$B$4:$Y$1038,23,)</f>
        <v>-8.0402010050251271E-2</v>
      </c>
      <c r="Y32" s="95">
        <f>VLOOKUP(A32,'BSE ALL CAP'!$B$4:$Y$1038,24,)</f>
        <v>-0.24242424242424243</v>
      </c>
    </row>
    <row r="33" spans="1:25" ht="14.4">
      <c r="A33" s="99">
        <v>506235</v>
      </c>
      <c r="B33" s="98" t="s">
        <v>2042</v>
      </c>
      <c r="C33" s="6" t="str">
        <f>VLOOKUP(A33,'BSE ALL CAP'!$B$4:$Y$1038,2,)</f>
        <v>Consumer Discretionary</v>
      </c>
      <c r="D33" s="6" t="str">
        <f>VLOOKUP(A33,'BSE ALL CAP'!$B$4:$Y$1038,3,)</f>
        <v>Residential, Commercial Projects</v>
      </c>
      <c r="E33" s="101">
        <f ca="1">IFERROR(__xludf.DUMMYFUNCTION("GOOGLEFINANCE(""BOM:""&amp;A33,""PRICE"")"),79.53)</f>
        <v>79.53</v>
      </c>
      <c r="F33" s="112">
        <f ca="1">IFERROR(__xludf.DUMMYFUNCTION("GOOGLEFINANCE(""BOM:""&amp;A33,""MARKETCAP"")/10000000"),2043.9830888)</f>
        <v>2043.9830887999999</v>
      </c>
      <c r="G33" s="95">
        <f t="shared" ca="1" si="0"/>
        <v>3.5216793056821885E-3</v>
      </c>
      <c r="H33" s="101">
        <f>VLOOKUP(A33,'BSE ALL CAP'!$B$4:$Y$1038,7,)</f>
        <v>179</v>
      </c>
      <c r="I33" s="101">
        <f>VLOOKUP(A33,'BSE ALL CAP'!$B$4:$Y$1038,8,)</f>
        <v>161</v>
      </c>
      <c r="J33" s="101">
        <f>VLOOKUP(A33,'BSE ALL CAP'!$B$4:$Y$1038,9,)</f>
        <v>116</v>
      </c>
      <c r="K33" s="101">
        <f>VLOOKUP(A33,'BSE ALL CAP'!$B$4:$Y$1038,10,)</f>
        <v>120</v>
      </c>
      <c r="L33" s="101">
        <f>VLOOKUP(A33,'BSE ALL CAP'!$B$4:$Y$1038,11,)</f>
        <v>74</v>
      </c>
      <c r="M33" s="101">
        <f>VLOOKUP(A33,'BSE ALL CAP'!$B$4:$Y$1038,12,)</f>
        <v>57</v>
      </c>
      <c r="N33" s="101">
        <f>VLOOKUP(A33,'BSE ALL CAP'!$B$4:$Y$1038,13,)</f>
        <v>22</v>
      </c>
      <c r="O33" s="101">
        <f>VLOOKUP(A33,'BSE ALL CAP'!$B$4:$Y$1038,14,)</f>
        <v>26</v>
      </c>
      <c r="P33" s="95">
        <f>VLOOKUP(A33,'BSE ALL CAP'!$B$4:$Y$1038,15,)</f>
        <v>0.64804469273743015</v>
      </c>
      <c r="Q33" s="95">
        <f>VLOOKUP(A33,'BSE ALL CAP'!$B$4:$Y$1038,16,)</f>
        <v>0.74534161490683226</v>
      </c>
      <c r="R33" s="95">
        <f>VLOOKUP(A33,'BSE ALL CAP'!$B$4:$Y$1038,17,)</f>
        <v>-9.7296922169402111E-2</v>
      </c>
      <c r="S33" s="95">
        <f>VLOOKUP(A33,'BSE ALL CAP'!$B$4:$Y$1038,18,)</f>
        <v>0.29729729729729731</v>
      </c>
      <c r="T33" s="95">
        <f>VLOOKUP(A33,'BSE ALL CAP'!$B$4:$Y$1038,19,)</f>
        <v>0.45614035087719296</v>
      </c>
      <c r="U33" s="95">
        <f>VLOOKUP(A33,'BSE ALL CAP'!$B$4:$Y$1038,20,)</f>
        <v>-0.15884305357989564</v>
      </c>
      <c r="V33" s="95">
        <f>VLOOKUP(A33,'BSE ALL CAP'!$B$4:$Y$1038,21,)</f>
        <v>0.11180124223602483</v>
      </c>
      <c r="W33" s="95">
        <f>VLOOKUP(A33,'BSE ALL CAP'!$B$4:$Y$1038,22,)</f>
        <v>-3.3333333333333326E-2</v>
      </c>
      <c r="X33" s="95">
        <f>VLOOKUP(A33,'BSE ALL CAP'!$B$4:$Y$1038,23,)</f>
        <v>0.29824561403508776</v>
      </c>
      <c r="Y33" s="95">
        <f>VLOOKUP(A33,'BSE ALL CAP'!$B$4:$Y$1038,24,)</f>
        <v>-0.15384615384615385</v>
      </c>
    </row>
    <row r="34" spans="1:25" ht="14.4">
      <c r="A34" s="99">
        <v>544261</v>
      </c>
      <c r="B34" s="98" t="s">
        <v>2043</v>
      </c>
      <c r="C34" s="6" t="str">
        <f>VLOOKUP(A34,'BSE ALL CAP'!$B$4:$Y$1038,2,)</f>
        <v>Consumer Discretionary</v>
      </c>
      <c r="D34" s="6" t="str">
        <f>VLOOKUP(A34,'BSE ALL CAP'!$B$4:$Y$1038,3,)</f>
        <v>Residential, Commercial Projects</v>
      </c>
      <c r="E34" s="101">
        <f ca="1">IFERROR(__xludf.DUMMYFUNCTION("GOOGLEFINANCE(""BOM:""&amp;A34,""PRICE"")"),104.11)</f>
        <v>104.11</v>
      </c>
      <c r="F34" s="112">
        <f ca="1">IFERROR(__xludf.DUMMYFUNCTION("GOOGLEFINANCE(""BOM:""&amp;A34,""MARKETCAP"")/10000000"),1939.0696393)</f>
        <v>1939.0696393000001</v>
      </c>
      <c r="G34" s="95">
        <f t="shared" ca="1" si="0"/>
        <v>3.3409187475266925E-3</v>
      </c>
      <c r="H34" s="101">
        <f>VLOOKUP(A34,'BSE ALL CAP'!$B$4:$Y$1038,7,)</f>
        <v>629</v>
      </c>
      <c r="I34" s="101">
        <f>VLOOKUP(A34,'BSE ALL CAP'!$B$4:$Y$1038,8,)</f>
        <v>560</v>
      </c>
      <c r="J34" s="101">
        <f>VLOOKUP(A34,'BSE ALL CAP'!$B$4:$Y$1038,9,)</f>
        <v>114</v>
      </c>
      <c r="K34" s="101">
        <f>VLOOKUP(A34,'BSE ALL CAP'!$B$4:$Y$1038,10,)</f>
        <v>123</v>
      </c>
      <c r="L34" s="101">
        <f>VLOOKUP(A34,'BSE ALL CAP'!$B$4:$Y$1038,11,)</f>
        <v>199</v>
      </c>
      <c r="M34" s="101">
        <f>VLOOKUP(A34,'BSE ALL CAP'!$B$4:$Y$1038,12,)</f>
        <v>264</v>
      </c>
      <c r="N34" s="101">
        <f>VLOOKUP(A34,'BSE ALL CAP'!$B$4:$Y$1038,13,)</f>
        <v>40</v>
      </c>
      <c r="O34" s="101">
        <f>VLOOKUP(A34,'BSE ALL CAP'!$B$4:$Y$1038,14,)</f>
        <v>45</v>
      </c>
      <c r="P34" s="95">
        <f>VLOOKUP(A34,'BSE ALL CAP'!$B$4:$Y$1038,15,)</f>
        <v>0.18124006359300476</v>
      </c>
      <c r="Q34" s="95">
        <f>VLOOKUP(A34,'BSE ALL CAP'!$B$4:$Y$1038,16,)</f>
        <v>0.21964285714285714</v>
      </c>
      <c r="R34" s="95">
        <f>VLOOKUP(A34,'BSE ALL CAP'!$B$4:$Y$1038,17,)</f>
        <v>-3.8402793549852376E-2</v>
      </c>
      <c r="S34" s="95">
        <f>VLOOKUP(A34,'BSE ALL CAP'!$B$4:$Y$1038,18,)</f>
        <v>0.20100502512562815</v>
      </c>
      <c r="T34" s="95">
        <f>VLOOKUP(A34,'BSE ALL CAP'!$B$4:$Y$1038,19,)</f>
        <v>0.17045454545454544</v>
      </c>
      <c r="U34" s="95">
        <f>VLOOKUP(A34,'BSE ALL CAP'!$B$4:$Y$1038,20,)</f>
        <v>3.0550479671082709E-2</v>
      </c>
      <c r="V34" s="95">
        <f>VLOOKUP(A34,'BSE ALL CAP'!$B$4:$Y$1038,21,)</f>
        <v>0.12321428571428572</v>
      </c>
      <c r="W34" s="95">
        <f>VLOOKUP(A34,'BSE ALL CAP'!$B$4:$Y$1038,22,)</f>
        <v>-7.3170731707317027E-2</v>
      </c>
      <c r="X34" s="95">
        <f>VLOOKUP(A34,'BSE ALL CAP'!$B$4:$Y$1038,23,)</f>
        <v>-0.24621212121212122</v>
      </c>
      <c r="Y34" s="95">
        <f>VLOOKUP(A34,'BSE ALL CAP'!$B$4:$Y$1038,24,)</f>
        <v>-0.11111111111111116</v>
      </c>
    </row>
    <row r="35" spans="1:25" ht="14.4">
      <c r="A35" s="99">
        <v>504000</v>
      </c>
      <c r="B35" s="98" t="s">
        <v>2044</v>
      </c>
      <c r="C35" s="6"/>
      <c r="D35" s="6"/>
      <c r="E35" s="101">
        <f ca="1">IFERROR(__xludf.DUMMYFUNCTION("GOOGLEFINANCE(""BOM:""&amp;A35,""PRICE"")"),89.39)</f>
        <v>89.39</v>
      </c>
      <c r="F35" s="112">
        <f ca="1">IFERROR(__xludf.DUMMYFUNCTION("GOOGLEFINANCE(""BOM:""&amp;A35,""MARKETCAP"")/10000000"),1514.9736645)</f>
        <v>1514.9736645</v>
      </c>
      <c r="G35" s="95">
        <f t="shared" ca="1" si="0"/>
        <v>2.6102228693366679E-3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532880</v>
      </c>
      <c r="B36" s="98" t="s">
        <v>2045</v>
      </c>
      <c r="C36" s="6"/>
      <c r="D36" s="6"/>
      <c r="E36" s="101">
        <f ca="1">IFERROR(__xludf.DUMMYFUNCTION("GOOGLEFINANCE(""BOM:""&amp;A36,""PRICE"")"),72)</f>
        <v>72</v>
      </c>
      <c r="F36" s="112">
        <f ca="1">IFERROR(__xludf.DUMMYFUNCTION("GOOGLEFINANCE(""BOM:""&amp;A36,""MARKETCAP"")/10000000"),1316.3356405)</f>
        <v>1316.3356405</v>
      </c>
      <c r="G36" s="95">
        <f t="shared" ca="1" si="0"/>
        <v>2.2679796177777255E-3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538668</v>
      </c>
      <c r="B37" s="98" t="s">
        <v>2046</v>
      </c>
      <c r="C37" s="6"/>
      <c r="D37" s="6"/>
      <c r="E37" s="101">
        <f ca="1">IFERROR(__xludf.DUMMYFUNCTION("GOOGLEFINANCE(""BOM:""&amp;A37,""PRICE"")"),535)</f>
        <v>535</v>
      </c>
      <c r="F37" s="112">
        <f ca="1">IFERROR(__xludf.DUMMYFUNCTION("GOOGLEFINANCE(""BOM:""&amp;A37,""MARKETCAP"")/10000000"),1162.220625)</f>
        <v>1162.2206249999999</v>
      </c>
      <c r="G37" s="95">
        <f t="shared" ca="1" si="0"/>
        <v>2.0024472541514305E-3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543419</v>
      </c>
      <c r="B38" s="98" t="s">
        <v>2047</v>
      </c>
      <c r="C38" s="6"/>
      <c r="D38" s="6"/>
      <c r="E38" s="101">
        <f ca="1">IFERROR(__xludf.DUMMYFUNCTION("GOOGLEFINANCE(""BOM:""&amp;A38,""PRICE"")"),68.81)</f>
        <v>68.81</v>
      </c>
      <c r="F38" s="112">
        <f ca="1">IFERROR(__xludf.DUMMYFUNCTION("GOOGLEFINANCE(""BOM:""&amp;A38,""MARKETCAP"")/10000000"),1175.4667715)</f>
        <v>1175.4667715</v>
      </c>
      <c r="G38" s="95">
        <f t="shared" ca="1" si="0"/>
        <v>2.0252696934684169E-3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543543</v>
      </c>
      <c r="B39" s="98" t="s">
        <v>2048</v>
      </c>
      <c r="C39" s="6"/>
      <c r="D39" s="6"/>
      <c r="E39" s="101">
        <f ca="1">IFERROR(__xludf.DUMMYFUNCTION("GOOGLEFINANCE(""BOM:""&amp;A39,""PRICE"")"),1007.9)</f>
        <v>1007.9</v>
      </c>
      <c r="F39" s="112">
        <f ca="1">IFERROR(__xludf.DUMMYFUNCTION("GOOGLEFINANCE(""BOM:""&amp;A39,""MARKETCAP"")/10000000"),1041.282)</f>
        <v>1041.2819999999999</v>
      </c>
      <c r="G39" s="95">
        <f t="shared" ca="1" si="0"/>
        <v>1.7940761305086199E-3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507878</v>
      </c>
      <c r="B40" s="98" t="s">
        <v>2049</v>
      </c>
      <c r="C40" s="6"/>
      <c r="D40" s="6"/>
      <c r="E40" s="101">
        <f ca="1">IFERROR(__xludf.DUMMYFUNCTION("GOOGLEFINANCE(""BOM:""&amp;A40,""PRICE"")"),4.65)</f>
        <v>4.6500000000000004</v>
      </c>
      <c r="F40" s="112">
        <f ca="1">IFERROR(__xludf.DUMMYFUNCTION("GOOGLEFINANCE(""BOM:""&amp;A40,""MARKETCAP"")/10000000"),1221.8121199)</f>
        <v>1221.8121199</v>
      </c>
      <c r="G40" s="95">
        <f t="shared" ca="1" si="0"/>
        <v>2.1051203807217699E-3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531381</v>
      </c>
      <c r="B41" s="98" t="s">
        <v>2050</v>
      </c>
      <c r="C41" s="6"/>
      <c r="D41" s="6"/>
      <c r="E41" s="101">
        <f ca="1">IFERROR(__xludf.DUMMYFUNCTION("GOOGLEFINANCE(""BOM:""&amp;A41,""PRICE"")"),917.35)</f>
        <v>917.35</v>
      </c>
      <c r="F41" s="112">
        <f ca="1">IFERROR(__xludf.DUMMYFUNCTION("GOOGLEFINANCE(""BOM:""&amp;A41,""MARKETCAP"")/10000000"),914.1964933)</f>
        <v>914.19649330000004</v>
      </c>
      <c r="G41" s="95">
        <f t="shared" ca="1" si="0"/>
        <v>1.5751142411222067E-3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544054</v>
      </c>
      <c r="B42" s="98" t="s">
        <v>2051</v>
      </c>
      <c r="C42" s="6"/>
      <c r="D42" s="6"/>
      <c r="E42" s="101">
        <f ca="1">IFERROR(__xludf.DUMMYFUNCTION("GOOGLEFINANCE(""BOM:""&amp;A42,""PRICE"")"),191.8)</f>
        <v>191.8</v>
      </c>
      <c r="F42" s="112">
        <f ca="1">IFERROR(__xludf.DUMMYFUNCTION("GOOGLEFINANCE(""BOM:""&amp;A42,""MARKETCAP"")/10000000"),922.026427)</f>
        <v>922.02642700000001</v>
      </c>
      <c r="G42" s="95">
        <f t="shared" ca="1" si="0"/>
        <v>1.5886048201916951E-3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4.4">
      <c r="A43" s="99">
        <v>506194</v>
      </c>
      <c r="B43" s="98" t="s">
        <v>2052</v>
      </c>
      <c r="C43" s="6"/>
      <c r="D43" s="6"/>
      <c r="E43" s="101">
        <f ca="1">IFERROR(__xludf.DUMMYFUNCTION("GOOGLEFINANCE(""BOM:""&amp;A43,""PRICE"")"),211.25)</f>
        <v>211.25</v>
      </c>
      <c r="F43" s="112">
        <f ca="1">IFERROR(__xludf.DUMMYFUNCTION("GOOGLEFINANCE(""BOM:""&amp;A43,""MARKETCAP"")/10000000"),912.4450443)</f>
        <v>912.44504429999995</v>
      </c>
      <c r="G43" s="95">
        <f t="shared" ca="1" si="0"/>
        <v>1.5720965832305852E-3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4.4">
      <c r="A44" s="99">
        <v>523329</v>
      </c>
      <c r="B44" s="98" t="s">
        <v>2053</v>
      </c>
      <c r="C44" s="6"/>
      <c r="D44" s="6"/>
      <c r="E44" s="101">
        <f ca="1">IFERROR(__xludf.DUMMYFUNCTION("GOOGLEFINANCE(""BOM:""&amp;A44,""PRICE"")"),759.8)</f>
        <v>759.8</v>
      </c>
      <c r="F44" s="112">
        <f ca="1">IFERROR(__xludf.DUMMYFUNCTION("GOOGLEFINANCE(""BOM:""&amp;A44,""MARKETCAP"")/10000000"),765.9907)</f>
        <v>765.99069999999995</v>
      </c>
      <c r="G44" s="95">
        <f t="shared" ca="1" si="0"/>
        <v>1.3197631679617904E-3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4.4">
      <c r="A45" s="99">
        <v>533285</v>
      </c>
      <c r="B45" s="98" t="s">
        <v>2054</v>
      </c>
      <c r="C45" s="6"/>
      <c r="D45" s="6"/>
      <c r="E45" s="101">
        <f ca="1">IFERROR(__xludf.DUMMYFUNCTION("GOOGLEFINANCE(""BOM:""&amp;A45,""PRICE"")"),31.14)</f>
        <v>31.14</v>
      </c>
      <c r="F45" s="112">
        <f ca="1">IFERROR(__xludf.DUMMYFUNCTION("GOOGLEFINANCE(""BOM:""&amp;A45,""MARKETCAP"")/10000000"),653.9680131)</f>
        <v>653.96801310000001</v>
      </c>
      <c r="G45" s="95">
        <f t="shared" ca="1" si="0"/>
        <v>1.1267537539483622E-3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533156</v>
      </c>
      <c r="B46" s="98" t="s">
        <v>2055</v>
      </c>
      <c r="C46" s="6"/>
      <c r="D46" s="6"/>
      <c r="E46" s="101">
        <f ca="1">IFERROR(__xludf.DUMMYFUNCTION("GOOGLEFINANCE(""BOM:""&amp;A46,""PRICE"")"),32.66)</f>
        <v>32.659999999999997</v>
      </c>
      <c r="F46" s="112">
        <f ca="1">IFERROR(__xludf.DUMMYFUNCTION("GOOGLEFINANCE(""BOM:""&amp;A46,""MARKETCAP"")/10000000"),754.8691942)</f>
        <v>754.86919420000004</v>
      </c>
      <c r="G46" s="95">
        <f t="shared" ca="1" si="0"/>
        <v>1.3006013769281482E-3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4.4">
      <c r="A47" s="99">
        <v>532467</v>
      </c>
      <c r="B47" s="98" t="s">
        <v>2056</v>
      </c>
      <c r="C47" s="6"/>
      <c r="D47" s="6"/>
      <c r="E47" s="101">
        <f ca="1">IFERROR(__xludf.DUMMYFUNCTION("GOOGLEFINANCE(""BOM:""&amp;A47,""PRICE"")"),25.5)</f>
        <v>25.5</v>
      </c>
      <c r="F47" s="112">
        <f ca="1">IFERROR(__xludf.DUMMYFUNCTION("GOOGLEFINANCE(""BOM:""&amp;A47,""MARKETCAP"")/10000000"),690.10905)</f>
        <v>690.10905000000002</v>
      </c>
      <c r="G47" s="95">
        <f t="shared" ca="1" si="0"/>
        <v>1.1890229294782583E-3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4.4">
      <c r="A48" s="99">
        <v>534675</v>
      </c>
      <c r="B48" s="98" t="s">
        <v>2057</v>
      </c>
      <c r="C48" s="6"/>
      <c r="D48" s="6"/>
      <c r="E48" s="101">
        <f ca="1">IFERROR(__xludf.DUMMYFUNCTION("GOOGLEFINANCE(""BOM:""&amp;A48,""PRICE"")"),49.15)</f>
        <v>49.15</v>
      </c>
      <c r="F48" s="112">
        <f ca="1">IFERROR(__xludf.DUMMYFUNCTION("GOOGLEFINANCE(""BOM:""&amp;A48,""MARKETCAP"")/10000000"),753.8578552)</f>
        <v>753.85785520000002</v>
      </c>
      <c r="G48" s="95">
        <f t="shared" ca="1" si="0"/>
        <v>1.298858891069608E-3</v>
      </c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ht="14.4">
      <c r="A49" s="99">
        <v>517556</v>
      </c>
      <c r="B49" s="98" t="s">
        <v>2058</v>
      </c>
      <c r="C49" s="6"/>
      <c r="D49" s="6"/>
      <c r="E49" s="101">
        <f ca="1">IFERROR(__xludf.DUMMYFUNCTION("GOOGLEFINANCE(""BOM:""&amp;A49,""PRICE"")"),24.5)</f>
        <v>24.5</v>
      </c>
      <c r="F49" s="112">
        <f ca="1">IFERROR(__xludf.DUMMYFUNCTION("GOOGLEFINANCE(""BOM:""&amp;A49,""MARKETCAP"")/10000000"),637.4680008)</f>
        <v>637.46800080000003</v>
      </c>
      <c r="G49" s="95">
        <f t="shared" ca="1" si="0"/>
        <v>1.0983250687117707E-3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4.4">
      <c r="A50" s="99">
        <v>532902</v>
      </c>
      <c r="B50" s="98" t="s">
        <v>2059</v>
      </c>
      <c r="C50" s="6"/>
      <c r="D50" s="6"/>
      <c r="E50" s="101">
        <f ca="1">IFERROR(__xludf.DUMMYFUNCTION("GOOGLEFINANCE(""BOM:""&amp;A50,""PRICE"")"),15.05)</f>
        <v>15.05</v>
      </c>
      <c r="F50" s="112">
        <f ca="1">IFERROR(__xludf.DUMMYFUNCTION("GOOGLEFINANCE(""BOM:""&amp;A50,""MARKETCAP"")/10000000"),671.9261358)</f>
        <v>671.9261358</v>
      </c>
      <c r="G50" s="95">
        <f t="shared" ca="1" si="0"/>
        <v>1.1576946895304765E-3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4.4">
      <c r="A51" s="99">
        <v>531771</v>
      </c>
      <c r="B51" s="98" t="s">
        <v>2060</v>
      </c>
      <c r="C51" s="6"/>
      <c r="D51" s="6"/>
      <c r="E51" s="101">
        <f ca="1">IFERROR(__xludf.DUMMYFUNCTION("GOOGLEFINANCE(""BOM:""&amp;A51,""PRICE"")"),166.95)</f>
        <v>166.95</v>
      </c>
      <c r="F51" s="112">
        <f ca="1">IFERROR(__xludf.DUMMYFUNCTION("GOOGLEFINANCE(""BOM:""&amp;A51,""MARKETCAP"")/10000000"),674.4945157)</f>
        <v>674.49451569999997</v>
      </c>
      <c r="G51" s="95">
        <f t="shared" ca="1" si="0"/>
        <v>1.1621198779738261E-3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4.4">
      <c r="A52" s="99">
        <v>543539</v>
      </c>
      <c r="B52" s="98" t="s">
        <v>2061</v>
      </c>
      <c r="C52" s="6"/>
      <c r="D52" s="6"/>
      <c r="E52" s="101">
        <f ca="1">IFERROR(__xludf.DUMMYFUNCTION("GOOGLEFINANCE(""BOM:""&amp;A52,""PRICE"")"),299.45)</f>
        <v>299.45</v>
      </c>
      <c r="F52" s="112">
        <f ca="1">IFERROR(__xludf.DUMMYFUNCTION("GOOGLEFINANCE(""BOM:""&amp;A52,""MARKETCAP"")/10000000"),585.1888692)</f>
        <v>585.1888692</v>
      </c>
      <c r="G52" s="95">
        <f t="shared" ca="1" si="0"/>
        <v>1.0082507736338963E-3</v>
      </c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ht="14.4">
      <c r="A53" s="99">
        <v>513361</v>
      </c>
      <c r="B53" s="98" t="s">
        <v>2062</v>
      </c>
      <c r="C53" s="6"/>
      <c r="D53" s="6"/>
      <c r="E53" s="101">
        <f ca="1">IFERROR(__xludf.DUMMYFUNCTION("GOOGLEFINANCE(""BOM:""&amp;A53,""PRICE"")"),14.15)</f>
        <v>14.15</v>
      </c>
      <c r="F53" s="112">
        <f ca="1">IFERROR(__xludf.DUMMYFUNCTION("GOOGLEFINANCE(""BOM:""&amp;A53,""MARKETCAP"")/10000000"),563.2844583)</f>
        <v>563.28445829999998</v>
      </c>
      <c r="G53" s="95">
        <f t="shared" ca="1" si="0"/>
        <v>9.7051058341785228E-4</v>
      </c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ht="14.4">
      <c r="A54" s="99">
        <v>503031</v>
      </c>
      <c r="B54" s="98" t="s">
        <v>2063</v>
      </c>
      <c r="C54" s="6"/>
      <c r="D54" s="6"/>
      <c r="E54" s="101">
        <f ca="1">IFERROR(__xludf.DUMMYFUNCTION("GOOGLEFINANCE(""BOM:""&amp;A54,""PRICE"")"),16.75)</f>
        <v>16.75</v>
      </c>
      <c r="F54" s="112">
        <f ca="1">IFERROR(__xludf.DUMMYFUNCTION("GOOGLEFINANCE(""BOM:""&amp;A54,""MARKETCAP"")/10000000"),554.3176247)</f>
        <v>554.31762470000001</v>
      </c>
      <c r="G54" s="95">
        <f t="shared" ca="1" si="0"/>
        <v>9.5506118342053874E-4</v>
      </c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ht="14.4">
      <c r="A55" s="99">
        <v>542231</v>
      </c>
      <c r="B55" s="98" t="s">
        <v>2064</v>
      </c>
      <c r="C55" s="6"/>
      <c r="D55" s="6"/>
      <c r="E55" s="101">
        <f ca="1">IFERROR(__xludf.DUMMYFUNCTION("GOOGLEFINANCE(""BOM:""&amp;A55,""PRICE"")"),13.18)</f>
        <v>13.18</v>
      </c>
      <c r="F55" s="112">
        <f ca="1">IFERROR(__xludf.DUMMYFUNCTION("GOOGLEFINANCE(""BOM:""&amp;A55,""MARKETCAP"")/10000000"),519.9337364)</f>
        <v>519.93373640000004</v>
      </c>
      <c r="G55" s="95">
        <f t="shared" ca="1" si="0"/>
        <v>8.9581948590429961E-4</v>
      </c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ht="14.4">
      <c r="A56" s="99">
        <v>532764</v>
      </c>
      <c r="B56" s="98" t="s">
        <v>2065</v>
      </c>
      <c r="C56" s="6"/>
      <c r="D56" s="6"/>
      <c r="E56" s="101">
        <f ca="1">IFERROR(__xludf.DUMMYFUNCTION("GOOGLEFINANCE(""BOM:""&amp;A56,""PRICE"")"),239.5)</f>
        <v>239.5</v>
      </c>
      <c r="F56" s="112">
        <f ca="1">IFERROR(__xludf.DUMMYFUNCTION("GOOGLEFINANCE(""BOM:""&amp;A56,""MARKETCAP"")/10000000"),497.6782737)</f>
        <v>497.67827369999998</v>
      </c>
      <c r="G56" s="95">
        <f t="shared" ca="1" si="0"/>
        <v>8.5747445122253709E-4</v>
      </c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ht="14.4">
      <c r="A57" s="99">
        <v>543218</v>
      </c>
      <c r="B57" s="98" t="s">
        <v>2066</v>
      </c>
      <c r="C57" s="6"/>
      <c r="D57" s="6"/>
      <c r="E57" s="101">
        <f ca="1">IFERROR(__xludf.DUMMYFUNCTION("GOOGLEFINANCE(""BOM:""&amp;A57,""PRICE"")"),23.06)</f>
        <v>23.06</v>
      </c>
      <c r="F57" s="112">
        <f ca="1">IFERROR(__xludf.DUMMYFUNCTION("GOOGLEFINANCE(""BOM:""&amp;A57,""MARKETCAP"")/10000000"),392.614719)</f>
        <v>392.61471899999998</v>
      </c>
      <c r="G57" s="95">
        <f t="shared" ca="1" si="0"/>
        <v>6.764552694123677E-4</v>
      </c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ht="14.4">
      <c r="A58" s="99">
        <v>544346</v>
      </c>
      <c r="B58" s="98" t="s">
        <v>2067</v>
      </c>
      <c r="C58" s="6"/>
      <c r="D58" s="6"/>
      <c r="E58" s="101">
        <f ca="1">IFERROR(__xludf.DUMMYFUNCTION("GOOGLEFINANCE(""BOM:""&amp;A58,""PRICE"")"),130)</f>
        <v>130</v>
      </c>
      <c r="F58" s="112">
        <f ca="1">IFERROR(__xludf.DUMMYFUNCTION("GOOGLEFINANCE(""BOM:""&amp;A58,""MARKETCAP"")/10000000"),342.0092)</f>
        <v>342.00920000000002</v>
      </c>
      <c r="G58" s="95">
        <f t="shared" ca="1" si="0"/>
        <v>5.8926452405241685E-4</v>
      </c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ht="14.4">
      <c r="A59" s="99">
        <v>511714</v>
      </c>
      <c r="B59" s="98" t="s">
        <v>2068</v>
      </c>
      <c r="C59" s="6"/>
      <c r="D59" s="6"/>
      <c r="E59" s="101" t="str">
        <f ca="1">IFERROR(__xludf.DUMMYFUNCTION("GOOGLEFINANCE(""BOM:""&amp;A59,""PRICE"")"),"#N/A")</f>
        <v>#N/A</v>
      </c>
      <c r="F59" s="112"/>
      <c r="G59" s="95">
        <f t="shared" ca="1" si="0"/>
        <v>0</v>
      </c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ht="14.4">
      <c r="A60" s="99">
        <v>540796</v>
      </c>
      <c r="B60" s="98" t="s">
        <v>2069</v>
      </c>
      <c r="C60" s="6"/>
      <c r="D60" s="6"/>
      <c r="E60" s="101">
        <f ca="1">IFERROR(__xludf.DUMMYFUNCTION("GOOGLEFINANCE(""BOM:""&amp;A60,""PRICE"")"),240)</f>
        <v>240</v>
      </c>
      <c r="F60" s="112">
        <f ca="1">IFERROR(__xludf.DUMMYFUNCTION("GOOGLEFINANCE(""BOM:""&amp;A60,""MARKETCAP"")/10000000"),328.8)</f>
        <v>328.8</v>
      </c>
      <c r="G60" s="95">
        <f t="shared" ca="1" si="0"/>
        <v>5.665057416830736E-4</v>
      </c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ht="14.4">
      <c r="A61" s="99">
        <v>533167</v>
      </c>
      <c r="B61" s="98" t="s">
        <v>2070</v>
      </c>
      <c r="C61" s="6"/>
      <c r="D61" s="6"/>
      <c r="E61" s="101">
        <f ca="1">IFERROR(__xludf.DUMMYFUNCTION("GOOGLEFINANCE(""BOM:""&amp;A61,""PRICE"")"),98.31)</f>
        <v>98.31</v>
      </c>
      <c r="F61" s="112">
        <f ca="1">IFERROR(__xludf.DUMMYFUNCTION("GOOGLEFINANCE(""BOM:""&amp;A61,""MARKETCAP"")/10000000"),342.9390901)</f>
        <v>342.93909009999999</v>
      </c>
      <c r="G61" s="95">
        <f t="shared" ca="1" si="0"/>
        <v>5.9086667758278253E-4</v>
      </c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</row>
    <row r="62" spans="1:25" ht="14.4">
      <c r="A62" s="99">
        <v>532780</v>
      </c>
      <c r="B62" s="98" t="s">
        <v>2071</v>
      </c>
      <c r="C62" s="6"/>
      <c r="D62" s="6"/>
      <c r="E62" s="101">
        <f ca="1">IFERROR(__xludf.DUMMYFUNCTION("GOOGLEFINANCE(""BOM:""&amp;A62,""PRICE"")"),6.06)</f>
        <v>6.06</v>
      </c>
      <c r="F62" s="112">
        <f ca="1">IFERROR(__xludf.DUMMYFUNCTION("GOOGLEFINANCE(""BOM:""&amp;A62,""MARKETCAP"")/10000000"),263.2845738)</f>
        <v>263.28457379999998</v>
      </c>
      <c r="G62" s="95">
        <f t="shared" ca="1" si="0"/>
        <v>4.536259816127765E-4</v>
      </c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</row>
    <row r="63" spans="1:25" ht="14.4">
      <c r="A63" s="99">
        <v>543911</v>
      </c>
      <c r="B63" s="98" t="s">
        <v>2072</v>
      </c>
      <c r="C63" s="6"/>
      <c r="D63" s="6"/>
      <c r="E63" s="101">
        <f ca="1">IFERROR(__xludf.DUMMYFUNCTION("GOOGLEFINANCE(""BOM:""&amp;A63,""PRICE"")"),24.55)</f>
        <v>24.55</v>
      </c>
      <c r="F63" s="112">
        <f ca="1">IFERROR(__xludf.DUMMYFUNCTION("GOOGLEFINANCE(""BOM:""&amp;A63,""MARKETCAP"")/10000000"),303.9173871)</f>
        <v>303.91738709999998</v>
      </c>
      <c r="G63" s="95">
        <f t="shared" ca="1" si="0"/>
        <v>5.2363426030859882E-4</v>
      </c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</row>
    <row r="64" spans="1:25" ht="14.4">
      <c r="A64" s="99">
        <v>535621</v>
      </c>
      <c r="B64" s="98" t="s">
        <v>2073</v>
      </c>
      <c r="C64" s="6"/>
      <c r="D64" s="6"/>
      <c r="E64" s="101">
        <f ca="1">IFERROR(__xludf.DUMMYFUNCTION("GOOGLEFINANCE(""BOM:""&amp;A64,""PRICE"")"),141.95)</f>
        <v>141.94999999999999</v>
      </c>
      <c r="F64" s="112">
        <f ca="1">IFERROR(__xludf.DUMMYFUNCTION("GOOGLEFINANCE(""BOM:""&amp;A64,""MARKETCAP"")/10000000"),256.6877536)</f>
        <v>256.68775360000001</v>
      </c>
      <c r="G64" s="95">
        <f t="shared" ca="1" si="0"/>
        <v>4.4225999462934928E-4</v>
      </c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</row>
    <row r="65" spans="1:25" ht="14.4">
      <c r="A65" s="99">
        <v>530377</v>
      </c>
      <c r="B65" s="98" t="s">
        <v>2074</v>
      </c>
      <c r="C65" s="6"/>
      <c r="D65" s="6"/>
      <c r="E65" s="101">
        <f ca="1">IFERROR(__xludf.DUMMYFUNCTION("GOOGLEFINANCE(""BOM:""&amp;A65,""PRICE"")"),7.1)</f>
        <v>7.1</v>
      </c>
      <c r="F65" s="112">
        <f ca="1">IFERROR(__xludf.DUMMYFUNCTION("GOOGLEFINANCE(""BOM:""&amp;A65,""MARKETCAP"")/10000000"),282.812367)</f>
        <v>282.81236699999999</v>
      </c>
      <c r="G65" s="95">
        <f t="shared" ca="1" si="0"/>
        <v>4.8727137994063446E-4</v>
      </c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</row>
    <row r="66" spans="1:25" ht="14.4">
      <c r="A66" s="99">
        <v>500270</v>
      </c>
      <c r="B66" s="98" t="s">
        <v>2075</v>
      </c>
      <c r="C66" s="6"/>
      <c r="D66" s="6"/>
      <c r="E66" s="101">
        <f ca="1">IFERROR(__xludf.DUMMYFUNCTION("GOOGLEFINANCE(""BOM:""&amp;A66,""PRICE"")"),107.85)</f>
        <v>107.85</v>
      </c>
      <c r="F66" s="112">
        <f ca="1">IFERROR(__xludf.DUMMYFUNCTION("GOOGLEFINANCE(""BOM:""&amp;A66,""MARKETCAP"")/10000000"),247.0990141)</f>
        <v>247.09901410000001</v>
      </c>
      <c r="G66" s="95">
        <f t="shared" ca="1" si="0"/>
        <v>4.2573908227456434E-4</v>
      </c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</row>
    <row r="67" spans="1:25" ht="14.4">
      <c r="A67" s="99">
        <v>539407</v>
      </c>
      <c r="B67" s="98" t="s">
        <v>2076</v>
      </c>
      <c r="C67" s="6"/>
      <c r="D67" s="6"/>
      <c r="E67" s="101">
        <f ca="1">IFERROR(__xludf.DUMMYFUNCTION("GOOGLEFINANCE(""BOM:""&amp;A67,""PRICE"")"),43.43)</f>
        <v>43.43</v>
      </c>
      <c r="F67" s="112">
        <f ca="1">IFERROR(__xludf.DUMMYFUNCTION("GOOGLEFINANCE(""BOM:""&amp;A67,""MARKETCAP"")/10000000"),247.2062284)</f>
        <v>247.20622839999999</v>
      </c>
      <c r="G67" s="95">
        <f t="shared" ca="1" si="0"/>
        <v>4.2592380708156107E-4</v>
      </c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</row>
    <row r="68" spans="1:25" ht="14.4">
      <c r="A68" s="99">
        <v>533218</v>
      </c>
      <c r="B68" s="98" t="s">
        <v>2077</v>
      </c>
      <c r="C68" s="6"/>
      <c r="D68" s="6"/>
      <c r="E68" s="101">
        <f ca="1">IFERROR(__xludf.DUMMYFUNCTION("GOOGLEFINANCE(""BOM:""&amp;A68,""PRICE"")"),62.33)</f>
        <v>62.33</v>
      </c>
      <c r="F68" s="112">
        <f ca="1">IFERROR(__xludf.DUMMYFUNCTION("GOOGLEFINANCE(""BOM:""&amp;A68,""MARKETCAP"")/10000000"),264.9759)</f>
        <v>264.97590000000002</v>
      </c>
      <c r="G68" s="95">
        <f t="shared" ca="1" si="0"/>
        <v>4.5654005096605827E-4</v>
      </c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</row>
    <row r="69" spans="1:25" ht="14.4">
      <c r="A69" s="99">
        <v>526407</v>
      </c>
      <c r="B69" s="98" t="s">
        <v>2078</v>
      </c>
      <c r="C69" s="6"/>
      <c r="D69" s="6"/>
      <c r="E69" s="101">
        <f ca="1">IFERROR(__xludf.DUMMYFUNCTION("GOOGLEFINANCE(""BOM:""&amp;A69,""PRICE"")"),9.99)</f>
        <v>9.99</v>
      </c>
      <c r="F69" s="112">
        <f ca="1">IFERROR(__xludf.DUMMYFUNCTION("GOOGLEFINANCE(""BOM:""&amp;A69,""MARKETCAP"")/10000000"),273.933486)</f>
        <v>273.93348600000002</v>
      </c>
      <c r="G69" s="95">
        <f t="shared" ca="1" si="0"/>
        <v>4.7197351781709204E-4</v>
      </c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</row>
    <row r="70" spans="1:25" ht="14.4">
      <c r="A70" s="99">
        <v>530677</v>
      </c>
      <c r="B70" s="98" t="s">
        <v>2079</v>
      </c>
      <c r="C70" s="6"/>
      <c r="D70" s="6"/>
      <c r="E70" s="101">
        <f ca="1">IFERROR(__xludf.DUMMYFUNCTION("GOOGLEFINANCE(""BOM:""&amp;A70,""PRICE"")"),50.27)</f>
        <v>50.27</v>
      </c>
      <c r="F70" s="112">
        <f ca="1">IFERROR(__xludf.DUMMYFUNCTION("GOOGLEFINANCE(""BOM:""&amp;A70,""MARKETCAP"")/10000000"),192.6544915)</f>
        <v>192.65449150000001</v>
      </c>
      <c r="G70" s="95">
        <f t="shared" ca="1" si="0"/>
        <v>3.3193392821101854E-4</v>
      </c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</row>
    <row r="71" spans="1:25" ht="14.4">
      <c r="A71" s="99">
        <v>531694</v>
      </c>
      <c r="B71" s="98" t="s">
        <v>2080</v>
      </c>
      <c r="C71" s="6"/>
      <c r="D71" s="6"/>
      <c r="E71" s="101">
        <f ca="1">IFERROR(__xludf.DUMMYFUNCTION("GOOGLEFINANCE(""BOM:""&amp;A71,""PRICE"")"),45.79)</f>
        <v>45.79</v>
      </c>
      <c r="F71" s="112">
        <f ca="1">IFERROR(__xludf.DUMMYFUNCTION("GOOGLEFINANCE(""BOM:""&amp;A71,""MARKETCAP"")/10000000"),227.2003686)</f>
        <v>227.20036859999999</v>
      </c>
      <c r="G71" s="95">
        <f t="shared" ca="1" si="0"/>
        <v>3.9145472422266026E-4</v>
      </c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</row>
    <row r="72" spans="1:25" ht="14.4">
      <c r="A72" s="99">
        <v>543251</v>
      </c>
      <c r="B72" s="98" t="s">
        <v>2081</v>
      </c>
      <c r="C72" s="6"/>
      <c r="D72" s="6"/>
      <c r="E72" s="101">
        <f ca="1">IFERROR(__xludf.DUMMYFUNCTION("GOOGLEFINANCE(""BOM:""&amp;A72,""PRICE"")"),38.52)</f>
        <v>38.520000000000003</v>
      </c>
      <c r="F72" s="112">
        <f ca="1">IFERROR(__xludf.DUMMYFUNCTION("GOOGLEFINANCE(""BOM:""&amp;A72,""MARKETCAP"")/10000000"),237.6372425)</f>
        <v>237.63724250000001</v>
      </c>
      <c r="G72" s="95">
        <f t="shared" ca="1" si="0"/>
        <v>4.094369291787802E-4</v>
      </c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</row>
    <row r="73" spans="1:25" ht="14.4">
      <c r="A73" s="99">
        <v>543376</v>
      </c>
      <c r="B73" s="98" t="s">
        <v>2082</v>
      </c>
      <c r="C73" s="6"/>
      <c r="D73" s="6"/>
      <c r="E73" s="101">
        <f ca="1">IFERROR(__xludf.DUMMYFUNCTION("GOOGLEFINANCE(""BOM:""&amp;A73,""PRICE"")"),83)</f>
        <v>83</v>
      </c>
      <c r="F73" s="112">
        <f ca="1">IFERROR(__xludf.DUMMYFUNCTION("GOOGLEFINANCE(""BOM:""&amp;A73,""MARKETCAP"")/10000000"),187.58)</f>
        <v>187.58</v>
      </c>
      <c r="G73" s="95">
        <f t="shared" ca="1" si="0"/>
        <v>3.2319083645045908E-4</v>
      </c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</row>
    <row r="74" spans="1:25" ht="14.4">
      <c r="A74" s="99">
        <v>540402</v>
      </c>
      <c r="B74" s="98" t="s">
        <v>2083</v>
      </c>
      <c r="C74" s="6"/>
      <c r="D74" s="6"/>
      <c r="E74" s="101">
        <f ca="1">IFERROR(__xludf.DUMMYFUNCTION("GOOGLEFINANCE(""BOM:""&amp;A74,""PRICE"")"),390)</f>
        <v>390</v>
      </c>
      <c r="F74" s="112">
        <f ca="1">IFERROR(__xludf.DUMMYFUNCTION("GOOGLEFINANCE(""BOM:""&amp;A74,""MARKETCAP"")/10000000"),162.24)</f>
        <v>162.24</v>
      </c>
      <c r="G74" s="95">
        <f t="shared" ca="1" si="0"/>
        <v>2.7953130027573561E-4</v>
      </c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</row>
    <row r="75" spans="1:25" ht="14.4">
      <c r="A75" s="99">
        <v>509048</v>
      </c>
      <c r="B75" s="98" t="s">
        <v>2084</v>
      </c>
      <c r="C75" s="6"/>
      <c r="D75" s="6"/>
      <c r="E75" s="101">
        <f ca="1">IFERROR(__xludf.DUMMYFUNCTION("GOOGLEFINANCE(""BOM:""&amp;A75,""PRICE"")"),21.02)</f>
        <v>21.02</v>
      </c>
      <c r="F75" s="112">
        <f ca="1">IFERROR(__xludf.DUMMYFUNCTION("GOOGLEFINANCE(""BOM:""&amp;A75,""MARKETCAP"")/10000000"),154.98122)</f>
        <v>154.98122000000001</v>
      </c>
      <c r="G75" s="95">
        <f t="shared" ca="1" si="0"/>
        <v>2.6702479009442704E-4</v>
      </c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</row>
    <row r="76" spans="1:25" ht="14.4">
      <c r="A76" s="99">
        <v>531746</v>
      </c>
      <c r="B76" s="98" t="s">
        <v>2085</v>
      </c>
      <c r="C76" s="6"/>
      <c r="D76" s="6"/>
      <c r="E76" s="101">
        <f ca="1">IFERROR(__xludf.DUMMYFUNCTION("GOOGLEFINANCE(""BOM:""&amp;A76,""PRICE"")"),20.51)</f>
        <v>20.51</v>
      </c>
      <c r="F76" s="112">
        <f ca="1">IFERROR(__xludf.DUMMYFUNCTION("GOOGLEFINANCE(""BOM:""&amp;A76,""MARKETCAP"")/10000000"),153.98992)</f>
        <v>153.98992000000001</v>
      </c>
      <c r="G76" s="95">
        <f t="shared" ca="1" si="0"/>
        <v>2.6531683041763134E-4</v>
      </c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</row>
    <row r="77" spans="1:25" ht="14.4">
      <c r="A77" s="99">
        <v>500343</v>
      </c>
      <c r="B77" s="98" t="s">
        <v>2086</v>
      </c>
      <c r="C77" s="6"/>
      <c r="D77" s="6"/>
      <c r="E77" s="101">
        <f ca="1">IFERROR(__xludf.DUMMYFUNCTION("GOOGLEFINANCE(""BOM:""&amp;A77,""PRICE"")"),37.5)</f>
        <v>37.5</v>
      </c>
      <c r="F77" s="112">
        <f ca="1">IFERROR(__xludf.DUMMYFUNCTION("GOOGLEFINANCE(""BOM:""&amp;A77,""MARKETCAP"")/10000000"),154.0369987)</f>
        <v>154.0369987</v>
      </c>
      <c r="G77" s="95">
        <f t="shared" ca="1" si="0"/>
        <v>2.6539794463253691E-4</v>
      </c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ht="14.4">
      <c r="A78" s="99">
        <v>511726</v>
      </c>
      <c r="B78" s="98" t="s">
        <v>2087</v>
      </c>
      <c r="C78" s="6"/>
      <c r="D78" s="6"/>
      <c r="E78" s="101">
        <f ca="1">IFERROR(__xludf.DUMMYFUNCTION("GOOGLEFINANCE(""BOM:""&amp;A78,""PRICE"")"),10.35)</f>
        <v>10.35</v>
      </c>
      <c r="F78" s="112">
        <f ca="1">IFERROR(__xludf.DUMMYFUNCTION("GOOGLEFINANCE(""BOM:""&amp;A78,""MARKETCAP"")/10000000"),145.8930878)</f>
        <v>145.89308779999999</v>
      </c>
      <c r="G78" s="95">
        <f t="shared" ca="1" si="0"/>
        <v>2.5136639875478336E-4</v>
      </c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ht="14.4">
      <c r="A79" s="99">
        <v>532334</v>
      </c>
      <c r="B79" s="98" t="s">
        <v>2088</v>
      </c>
      <c r="C79" s="6"/>
      <c r="D79" s="6"/>
      <c r="E79" s="101">
        <f ca="1">IFERROR(__xludf.DUMMYFUNCTION("GOOGLEFINANCE(""BOM:""&amp;A79,""PRICE"")"),62.9)</f>
        <v>62.9</v>
      </c>
      <c r="F79" s="112">
        <f ca="1">IFERROR(__xludf.DUMMYFUNCTION("GOOGLEFINANCE(""BOM:""&amp;A79,""MARKETCAP"")/10000000"),144.4180261)</f>
        <v>144.41802609999999</v>
      </c>
      <c r="G79" s="95">
        <f t="shared" ca="1" si="0"/>
        <v>2.4882494217818121E-4</v>
      </c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</row>
    <row r="80" spans="1:25" ht="14.4">
      <c r="A80" s="99">
        <v>526519</v>
      </c>
      <c r="B80" s="98" t="s">
        <v>2089</v>
      </c>
      <c r="C80" s="6"/>
      <c r="D80" s="6"/>
      <c r="E80" s="101">
        <f ca="1">IFERROR(__xludf.DUMMYFUNCTION("GOOGLEFINANCE(""BOM:""&amp;A80,""PRICE"")"),84.87)</f>
        <v>84.87</v>
      </c>
      <c r="F80" s="112">
        <f ca="1">IFERROR(__xludf.DUMMYFUNCTION("GOOGLEFINANCE(""BOM:""&amp;A80,""MARKETCAP"")/10000000"),147.0075752)</f>
        <v>147.00757519999999</v>
      </c>
      <c r="G80" s="95">
        <f t="shared" ca="1" si="0"/>
        <v>2.5328660408061498E-4</v>
      </c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5" ht="14.4">
      <c r="A81" s="99">
        <v>543241</v>
      </c>
      <c r="B81" s="98" t="s">
        <v>2090</v>
      </c>
      <c r="C81" s="6"/>
      <c r="D81" s="6"/>
      <c r="E81" s="101">
        <f ca="1">IFERROR(__xludf.DUMMYFUNCTION("GOOGLEFINANCE(""BOM:""&amp;A81,""PRICE"")"),82.7)</f>
        <v>82.7</v>
      </c>
      <c r="F81" s="112">
        <f ca="1">IFERROR(__xludf.DUMMYFUNCTION("GOOGLEFINANCE(""BOM:""&amp;A81,""MARKETCAP"")/10000000"),134.3329957)</f>
        <v>134.3329957</v>
      </c>
      <c r="G81" s="95">
        <f t="shared" ca="1" si="0"/>
        <v>2.3144894574676897E-4</v>
      </c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5" ht="14.4">
      <c r="A82" s="99">
        <v>526727</v>
      </c>
      <c r="B82" s="98" t="s">
        <v>2091</v>
      </c>
      <c r="C82" s="6"/>
      <c r="D82" s="6"/>
      <c r="E82" s="101">
        <f ca="1">IFERROR(__xludf.DUMMYFUNCTION("GOOGLEFINANCE(""BOM:""&amp;A82,""PRICE"")"),78.6)</f>
        <v>78.599999999999994</v>
      </c>
      <c r="F82" s="112">
        <f ca="1">IFERROR(__xludf.DUMMYFUNCTION("GOOGLEFINANCE(""BOM:""&amp;A82,""MARKETCAP"")/10000000"),109.2712112)</f>
        <v>109.2712112</v>
      </c>
      <c r="G82" s="95">
        <f t="shared" ca="1" si="0"/>
        <v>1.8826876078304069E-4</v>
      </c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</row>
    <row r="83" spans="1:25" ht="14.4">
      <c r="A83" s="99">
        <v>526488</v>
      </c>
      <c r="B83" s="98" t="s">
        <v>2092</v>
      </c>
      <c r="C83" s="6"/>
      <c r="D83" s="6"/>
      <c r="E83" s="101">
        <f ca="1">IFERROR(__xludf.DUMMYFUNCTION("GOOGLEFINANCE(""BOM:""&amp;A83,""PRICE"")"),237.1)</f>
        <v>237.1</v>
      </c>
      <c r="F83" s="112">
        <f ca="1">IFERROR(__xludf.DUMMYFUNCTION("GOOGLEFINANCE(""BOM:""&amp;A83,""MARKETCAP"")/10000000"),108.8108)</f>
        <v>108.8108</v>
      </c>
      <c r="G83" s="95">
        <f t="shared" ca="1" si="0"/>
        <v>1.8747549561170493E-4</v>
      </c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5" ht="14.4">
      <c r="A84" s="99">
        <v>503127</v>
      </c>
      <c r="B84" s="98" t="s">
        <v>2093</v>
      </c>
      <c r="C84" s="6"/>
      <c r="D84" s="6"/>
      <c r="E84" s="101">
        <f ca="1">IFERROR(__xludf.DUMMYFUNCTION("GOOGLEFINANCE(""BOM:""&amp;A84,""PRICE"")"),4492)</f>
        <v>4492</v>
      </c>
      <c r="F84" s="112">
        <f ca="1">IFERROR(__xludf.DUMMYFUNCTION("GOOGLEFINANCE(""BOM:""&amp;A84,""MARKETCAP"")/10000000"),112.3)</f>
        <v>112.3</v>
      </c>
      <c r="G84" s="95">
        <f t="shared" ca="1" si="0"/>
        <v>1.9348721043494272E-4</v>
      </c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</row>
    <row r="85" spans="1:25" ht="14.4">
      <c r="A85" s="99">
        <v>539767</v>
      </c>
      <c r="B85" s="98" t="s">
        <v>2094</v>
      </c>
      <c r="C85" s="6"/>
      <c r="D85" s="6"/>
      <c r="E85" s="101">
        <f ca="1">IFERROR(__xludf.DUMMYFUNCTION("GOOGLEFINANCE(""BOM:""&amp;A85,""PRICE"")"),38.8)</f>
        <v>38.799999999999997</v>
      </c>
      <c r="F85" s="112">
        <f ca="1">IFERROR(__xludf.DUMMYFUNCTION("GOOGLEFINANCE(""BOM:""&amp;A85,""MARKETCAP"")/10000000"),99.512298)</f>
        <v>99.512298000000001</v>
      </c>
      <c r="G85" s="95">
        <f t="shared" ca="1" si="0"/>
        <v>1.7145464776483285E-4</v>
      </c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</row>
    <row r="86" spans="1:25" ht="14.4">
      <c r="A86" s="99">
        <v>531080</v>
      </c>
      <c r="B86" s="98" t="s">
        <v>2095</v>
      </c>
      <c r="C86" s="6"/>
      <c r="D86" s="6"/>
      <c r="E86" s="101">
        <f ca="1">IFERROR(__xludf.DUMMYFUNCTION("GOOGLEFINANCE(""BOM:""&amp;A86,""PRICE"")"),34.2)</f>
        <v>34.200000000000003</v>
      </c>
      <c r="F86" s="112">
        <f ca="1">IFERROR(__xludf.DUMMYFUNCTION("GOOGLEFINANCE(""BOM:""&amp;A86,""MARKETCAP"")/10000000"),95.7600021)</f>
        <v>95.760002099999994</v>
      </c>
      <c r="G86" s="95">
        <f t="shared" ca="1" si="0"/>
        <v>1.6498963203538073E-4</v>
      </c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</row>
    <row r="87" spans="1:25" ht="14.4">
      <c r="A87" s="99">
        <v>512479</v>
      </c>
      <c r="B87" s="98" t="s">
        <v>2096</v>
      </c>
      <c r="C87" s="6"/>
      <c r="D87" s="6"/>
      <c r="E87" s="101">
        <f ca="1">IFERROR(__xludf.DUMMYFUNCTION("GOOGLEFINANCE(""BOM:""&amp;A87,""PRICE"")"),630)</f>
        <v>630</v>
      </c>
      <c r="F87" s="112">
        <f ca="1">IFERROR(__xludf.DUMMYFUNCTION("GOOGLEFINANCE(""BOM:""&amp;A87,""MARKETCAP"")/10000000"),94.5)</f>
        <v>94.5</v>
      </c>
      <c r="G87" s="95">
        <f t="shared" ca="1" si="0"/>
        <v>1.628187122538031E-4</v>
      </c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</row>
    <row r="88" spans="1:25" ht="14.4">
      <c r="A88" s="99">
        <v>526117</v>
      </c>
      <c r="B88" s="98" t="s">
        <v>2097</v>
      </c>
      <c r="C88" s="6"/>
      <c r="D88" s="6"/>
      <c r="E88" s="101">
        <f ca="1">IFERROR(__xludf.DUMMYFUNCTION("GOOGLEFINANCE(""BOM:""&amp;A88,""PRICE"")"),320)</f>
        <v>320</v>
      </c>
      <c r="F88" s="112">
        <f ca="1">IFERROR(__xludf.DUMMYFUNCTION("GOOGLEFINANCE(""BOM:""&amp;A88,""MARKETCAP"")/10000000"),82.335136)</f>
        <v>82.335136000000006</v>
      </c>
      <c r="G88" s="95">
        <f t="shared" ca="1" si="0"/>
        <v>1.4185926790224069E-4</v>
      </c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</row>
    <row r="89" spans="1:25" ht="14.4">
      <c r="A89" s="99">
        <v>531802</v>
      </c>
      <c r="B89" s="98" t="s">
        <v>2098</v>
      </c>
      <c r="C89" s="6"/>
      <c r="D89" s="6"/>
      <c r="E89" s="101">
        <f ca="1">IFERROR(__xludf.DUMMYFUNCTION("GOOGLEFINANCE(""BOM:""&amp;A89,""PRICE"")"),22.24)</f>
        <v>22.24</v>
      </c>
      <c r="F89" s="112">
        <f ca="1">IFERROR(__xludf.DUMMYFUNCTION("GOOGLEFINANCE(""BOM:""&amp;A89,""MARKETCAP"")/10000000"),80.3476036)</f>
        <v>80.347603599999999</v>
      </c>
      <c r="G89" s="95">
        <f t="shared" ca="1" si="0"/>
        <v>1.3843485027334427E-4</v>
      </c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</row>
    <row r="90" spans="1:25" ht="14.4">
      <c r="A90" s="99">
        <v>542046</v>
      </c>
      <c r="B90" s="98" t="s">
        <v>2099</v>
      </c>
      <c r="C90" s="6"/>
      <c r="D90" s="6"/>
      <c r="E90" s="101">
        <f ca="1">IFERROR(__xludf.DUMMYFUNCTION("GOOGLEFINANCE(""BOM:""&amp;A90,""PRICE"")"),7.75)</f>
        <v>7.75</v>
      </c>
      <c r="F90" s="112">
        <f ca="1">IFERROR(__xludf.DUMMYFUNCTION("GOOGLEFINANCE(""BOM:""&amp;A90,""MARKETCAP"")/10000000"),75.5933252)</f>
        <v>75.593325199999995</v>
      </c>
      <c r="G90" s="95">
        <f t="shared" ca="1" si="0"/>
        <v>1.302434694608144E-4</v>
      </c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</row>
    <row r="91" spans="1:25" ht="14.4">
      <c r="A91" s="99">
        <v>526654</v>
      </c>
      <c r="B91" s="98" t="s">
        <v>2100</v>
      </c>
      <c r="C91" s="6"/>
      <c r="D91" s="6"/>
      <c r="E91" s="101">
        <f ca="1">IFERROR(__xludf.DUMMYFUNCTION("GOOGLEFINANCE(""BOM:""&amp;A91,""PRICE"")"),95.44)</f>
        <v>95.44</v>
      </c>
      <c r="F91" s="112">
        <f ca="1">IFERROR(__xludf.DUMMYFUNCTION("GOOGLEFINANCE(""BOM:""&amp;A91,""MARKETCAP"")/10000000"),85.8960021)</f>
        <v>85.896002100000004</v>
      </c>
      <c r="G91" s="95">
        <f t="shared" ca="1" si="0"/>
        <v>1.4799445978488853E-4</v>
      </c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</row>
    <row r="92" spans="1:25" ht="14.4">
      <c r="A92" s="99">
        <v>531273</v>
      </c>
      <c r="B92" s="98" t="s">
        <v>2101</v>
      </c>
      <c r="C92" s="6"/>
      <c r="D92" s="6"/>
      <c r="E92" s="101">
        <f ca="1">IFERROR(__xludf.DUMMYFUNCTION("GOOGLEFINANCE(""BOM:""&amp;A92,""PRICE"")"),1.5)</f>
        <v>1.5</v>
      </c>
      <c r="F92" s="112">
        <f ca="1">IFERROR(__xludf.DUMMYFUNCTION("GOOGLEFINANCE(""BOM:""&amp;A92,""MARKETCAP"")/10000000"),82.332225)</f>
        <v>82.332224999999994</v>
      </c>
      <c r="G92" s="95">
        <f t="shared" ca="1" si="0"/>
        <v>1.4185425239672352E-4</v>
      </c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</row>
    <row r="93" spans="1:25" ht="14.4">
      <c r="A93" s="99">
        <v>505650</v>
      </c>
      <c r="B93" s="98" t="s">
        <v>2102</v>
      </c>
      <c r="C93" s="6"/>
      <c r="D93" s="6"/>
      <c r="E93" s="101">
        <f ca="1">IFERROR(__xludf.DUMMYFUNCTION("GOOGLEFINANCE(""BOM:""&amp;A93,""PRICE"")"),17.3)</f>
        <v>17.3</v>
      </c>
      <c r="F93" s="112">
        <f ca="1">IFERROR(__xludf.DUMMYFUNCTION("GOOGLEFINANCE(""BOM:""&amp;A93,""MARKETCAP"")/10000000"),69.5879494)</f>
        <v>69.587949399999999</v>
      </c>
      <c r="G93" s="95">
        <f t="shared" ca="1" si="0"/>
        <v>1.1989651121365935E-4</v>
      </c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</row>
    <row r="94" spans="1:25" ht="14.4">
      <c r="A94" s="99">
        <v>541161</v>
      </c>
      <c r="B94" s="98" t="s">
        <v>2103</v>
      </c>
      <c r="C94" s="6"/>
      <c r="D94" s="6"/>
      <c r="E94" s="101">
        <f ca="1">IFERROR(__xludf.DUMMYFUNCTION("GOOGLEFINANCE(""BOM:""&amp;A94,""PRICE"")"),0.19)</f>
        <v>0.19</v>
      </c>
      <c r="F94" s="112">
        <f ca="1">IFERROR(__xludf.DUMMYFUNCTION("GOOGLEFINANCE(""BOM:""&amp;A94,""MARKETCAP"")/10000000"),73.2026123)</f>
        <v>73.202612299999998</v>
      </c>
      <c r="G94" s="95">
        <f t="shared" ca="1" si="0"/>
        <v>1.2612439225714715E-4</v>
      </c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</row>
    <row r="95" spans="1:25" ht="14.4">
      <c r="A95" s="99">
        <v>511411</v>
      </c>
      <c r="B95" s="98" t="s">
        <v>2104</v>
      </c>
      <c r="C95" s="6"/>
      <c r="D95" s="6"/>
      <c r="E95" s="101">
        <f ca="1">IFERROR(__xludf.DUMMYFUNCTION("GOOGLEFINANCE(""BOM:""&amp;A95,""PRICE"")"),28)</f>
        <v>28</v>
      </c>
      <c r="F95" s="112">
        <f ca="1">IFERROR(__xludf.DUMMYFUNCTION("GOOGLEFINANCE(""BOM:""&amp;A95,""MARKETCAP"")/10000000"),62.16)</f>
        <v>62.16</v>
      </c>
      <c r="G95" s="95">
        <f t="shared" ca="1" si="0"/>
        <v>1.0709853072694603E-4</v>
      </c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</row>
    <row r="96" spans="1:25" ht="14.4">
      <c r="A96" s="99">
        <v>523007</v>
      </c>
      <c r="B96" s="98" t="s">
        <v>2105</v>
      </c>
      <c r="C96" s="6"/>
      <c r="D96" s="6"/>
      <c r="E96" s="101">
        <f ca="1">IFERROR(__xludf.DUMMYFUNCTION("GOOGLEFINANCE(""BOM:""&amp;A96,""PRICE"")"),102.25)</f>
        <v>102.25</v>
      </c>
      <c r="F96" s="112">
        <f ca="1">IFERROR(__xludf.DUMMYFUNCTION("GOOGLEFINANCE(""BOM:""&amp;A96,""MARKETCAP"")/10000000"),75.4997844)</f>
        <v>75.499784399999996</v>
      </c>
      <c r="G96" s="95">
        <f t="shared" ca="1" si="0"/>
        <v>1.300823034015637E-4</v>
      </c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</row>
    <row r="97" spans="1:25" ht="14.4">
      <c r="A97" s="99">
        <v>532159</v>
      </c>
      <c r="B97" s="98" t="s">
        <v>2106</v>
      </c>
      <c r="C97" s="6"/>
      <c r="D97" s="6"/>
      <c r="E97" s="101">
        <f ca="1">IFERROR(__xludf.DUMMYFUNCTION("GOOGLEFINANCE(""BOM:""&amp;A97,""PRICE"")"),9.07)</f>
        <v>9.07</v>
      </c>
      <c r="F97" s="112">
        <f ca="1">IFERROR(__xludf.DUMMYFUNCTION("GOOGLEFINANCE(""BOM:""&amp;A97,""MARKETCAP"")/10000000"),62.62842)</f>
        <v>62.628419999999998</v>
      </c>
      <c r="G97" s="95">
        <f t="shared" ca="1" si="0"/>
        <v>1.0790559465492409E-4</v>
      </c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</row>
    <row r="98" spans="1:25" ht="14.4">
      <c r="A98" s="99">
        <v>502901</v>
      </c>
      <c r="B98" s="98" t="s">
        <v>2107</v>
      </c>
      <c r="C98" s="6"/>
      <c r="D98" s="6"/>
      <c r="E98" s="101">
        <f ca="1">IFERROR(__xludf.DUMMYFUNCTION("GOOGLEFINANCE(""BOM:""&amp;A98,""PRICE"")"),79.84)</f>
        <v>79.84</v>
      </c>
      <c r="F98" s="112">
        <f ca="1">IFERROR(__xludf.DUMMYFUNCTION("GOOGLEFINANCE(""BOM:""&amp;A98,""MARKETCAP"")/10000000"),55.7802134)</f>
        <v>55.780213400000001</v>
      </c>
      <c r="G98" s="95">
        <f t="shared" ca="1" si="0"/>
        <v>9.610648164053261E-5</v>
      </c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</row>
    <row r="99" spans="1:25" ht="14.4">
      <c r="A99" s="99">
        <v>503349</v>
      </c>
      <c r="B99" s="98" t="s">
        <v>2108</v>
      </c>
      <c r="C99" s="6"/>
      <c r="D99" s="6"/>
      <c r="E99" s="101">
        <f ca="1">IFERROR(__xludf.DUMMYFUNCTION("GOOGLEFINANCE(""BOM:""&amp;A99,""PRICE"")"),5300)</f>
        <v>5300</v>
      </c>
      <c r="F99" s="112">
        <f ca="1">IFERROR(__xludf.DUMMYFUNCTION("GOOGLEFINANCE(""BOM:""&amp;A99,""MARKETCAP"")/10000000"),52.2368)</f>
        <v>52.236800000000002</v>
      </c>
      <c r="G99" s="95">
        <f t="shared" ca="1" si="0"/>
        <v>9.0001359875761496E-5</v>
      </c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</row>
    <row r="100" spans="1:25" ht="14.4">
      <c r="A100" s="99">
        <v>539522</v>
      </c>
      <c r="B100" s="98" t="s">
        <v>2109</v>
      </c>
      <c r="C100" s="6"/>
      <c r="D100" s="6"/>
      <c r="E100" s="101">
        <f ca="1">IFERROR(__xludf.DUMMYFUNCTION("GOOGLEFINANCE(""BOM:""&amp;A100,""PRICE"")"),38.75)</f>
        <v>38.75</v>
      </c>
      <c r="F100" s="112">
        <f ca="1">IFERROR(__xludf.DUMMYFUNCTION("GOOGLEFINANCE(""BOM:""&amp;A100,""MARKETCAP"")/10000000"),51.6780462)</f>
        <v>51.678046199999997</v>
      </c>
      <c r="G100" s="95">
        <f t="shared" ca="1" si="0"/>
        <v>8.9038655387053354E-5</v>
      </c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</row>
    <row r="101" spans="1:25" ht="14.4">
      <c r="A101" s="99">
        <v>531822</v>
      </c>
      <c r="B101" s="98" t="s">
        <v>2110</v>
      </c>
      <c r="C101" s="6"/>
      <c r="D101" s="6"/>
      <c r="E101" s="101">
        <f ca="1">IFERROR(__xludf.DUMMYFUNCTION("GOOGLEFINANCE(""BOM:""&amp;A101,""PRICE"")"),164)</f>
        <v>164</v>
      </c>
      <c r="F101" s="112">
        <f ca="1">IFERROR(__xludf.DUMMYFUNCTION("GOOGLEFINANCE(""BOM:""&amp;A101,""MARKETCAP"")/10000000"),53.2655436)</f>
        <v>53.265543600000001</v>
      </c>
      <c r="G101" s="95">
        <f t="shared" ca="1" si="0"/>
        <v>9.1773832978315369E-5</v>
      </c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</row>
    <row r="102" spans="1:25" ht="14.4">
      <c r="A102" s="99">
        <v>500013</v>
      </c>
      <c r="B102" s="98" t="s">
        <v>2111</v>
      </c>
      <c r="C102" s="6"/>
      <c r="D102" s="6"/>
      <c r="E102" s="101">
        <f ca="1">IFERROR(__xludf.DUMMYFUNCTION("GOOGLEFINANCE(""BOM:""&amp;A102,""PRICE"")"),3.09)</f>
        <v>3.09</v>
      </c>
      <c r="F102" s="112">
        <f ca="1">IFERROR(__xludf.DUMMYFUNCTION("GOOGLEFINANCE(""BOM:""&amp;A102,""MARKETCAP"")/10000000"),48.3232725)</f>
        <v>48.323272500000002</v>
      </c>
      <c r="G102" s="95">
        <f t="shared" ca="1" si="0"/>
        <v>8.3258550268144088E-5</v>
      </c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</row>
    <row r="103" spans="1:25" ht="14.4">
      <c r="A103" s="99">
        <v>507828</v>
      </c>
      <c r="B103" s="98" t="s">
        <v>2112</v>
      </c>
      <c r="C103" s="6"/>
      <c r="D103" s="6"/>
      <c r="E103" s="101">
        <f ca="1">IFERROR(__xludf.DUMMYFUNCTION("GOOGLEFINANCE(""BOM:""&amp;A103,""PRICE"")"),6.85)</f>
        <v>6.85</v>
      </c>
      <c r="F103" s="112">
        <f ca="1">IFERROR(__xludf.DUMMYFUNCTION("GOOGLEFINANCE(""BOM:""&amp;A103,""MARKETCAP"")/10000000"),47.700536)</f>
        <v>47.700536</v>
      </c>
      <c r="G103" s="95">
        <f t="shared" ca="1" si="0"/>
        <v>8.2185606828954233E-5</v>
      </c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</row>
    <row r="104" spans="1:25" ht="14.4">
      <c r="A104" s="99">
        <v>532005</v>
      </c>
      <c r="B104" s="98" t="s">
        <v>2113</v>
      </c>
      <c r="C104" s="6"/>
      <c r="D104" s="6"/>
      <c r="E104" s="101">
        <f ca="1">IFERROR(__xludf.DUMMYFUNCTION("GOOGLEFINANCE(""BOM:""&amp;A104,""PRICE"")"),38.01)</f>
        <v>38.01</v>
      </c>
      <c r="F104" s="112">
        <f ca="1">IFERROR(__xludf.DUMMYFUNCTION("GOOGLEFINANCE(""BOM:""&amp;A104,""MARKETCAP"")/10000000"),42.1472726)</f>
        <v>42.147272600000001</v>
      </c>
      <c r="G104" s="95">
        <f t="shared" ca="1" si="0"/>
        <v>7.2617615341185178E-5</v>
      </c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</row>
    <row r="105" spans="1:25" ht="14.4">
      <c r="A105" s="99">
        <v>503229</v>
      </c>
      <c r="B105" s="98" t="s">
        <v>2114</v>
      </c>
      <c r="C105" s="6"/>
      <c r="D105" s="6"/>
      <c r="E105" s="101">
        <f ca="1">IFERROR(__xludf.DUMMYFUNCTION("GOOGLEFINANCE(""BOM:""&amp;A105,""PRICE"")"),131.55)</f>
        <v>131.55000000000001</v>
      </c>
      <c r="F105" s="112">
        <f ca="1">IFERROR(__xludf.DUMMYFUNCTION("GOOGLEFINANCE(""BOM:""&amp;A105,""MARKETCAP"")/10000000"),39.44137)</f>
        <v>39.441369999999999</v>
      </c>
      <c r="G105" s="95">
        <f t="shared" ca="1" si="0"/>
        <v>6.7955482253182872E-5</v>
      </c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</row>
    <row r="106" spans="1:25" ht="14.4">
      <c r="A106" s="99">
        <v>503776</v>
      </c>
      <c r="B106" s="98" t="s">
        <v>2115</v>
      </c>
      <c r="C106" s="6"/>
      <c r="D106" s="6"/>
      <c r="E106" s="101">
        <f ca="1">IFERROR(__xludf.DUMMYFUNCTION("GOOGLEFINANCE(""BOM:""&amp;A106,""PRICE"")"),31.02)</f>
        <v>31.02</v>
      </c>
      <c r="F106" s="112">
        <f ca="1">IFERROR(__xludf.DUMMYFUNCTION("GOOGLEFINANCE(""BOM:""&amp;A106,""MARKETCAP"")/10000000"),35.9108618)</f>
        <v>35.910861799999999</v>
      </c>
      <c r="G106" s="95">
        <f t="shared" ca="1" si="0"/>
        <v>6.1872595494182956E-5</v>
      </c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</row>
    <row r="107" spans="1:25" ht="14.4">
      <c r="A107" s="99">
        <v>531328</v>
      </c>
      <c r="B107" s="98" t="s">
        <v>2116</v>
      </c>
      <c r="C107" s="6"/>
      <c r="D107" s="6"/>
      <c r="E107" s="101">
        <f ca="1">IFERROR(__xludf.DUMMYFUNCTION("GOOGLEFINANCE(""BOM:""&amp;A107,""PRICE"")"),0.59)</f>
        <v>0.59</v>
      </c>
      <c r="F107" s="112">
        <f ca="1">IFERROR(__xludf.DUMMYFUNCTION("GOOGLEFINANCE(""BOM:""&amp;A107,""MARKETCAP"")/10000000"),39.9633355)</f>
        <v>39.963335499999999</v>
      </c>
      <c r="G107" s="95">
        <f t="shared" ca="1" si="0"/>
        <v>6.8854802364832739E-5</v>
      </c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</row>
    <row r="108" spans="1:25" ht="14.4">
      <c r="A108" s="99">
        <v>538576</v>
      </c>
      <c r="B108" s="98" t="s">
        <v>2117</v>
      </c>
      <c r="C108" s="6"/>
      <c r="D108" s="6"/>
      <c r="E108" s="101">
        <f ca="1">IFERROR(__xludf.DUMMYFUNCTION("GOOGLEFINANCE(""BOM:""&amp;A108,""PRICE"")"),140)</f>
        <v>140</v>
      </c>
      <c r="F108" s="112">
        <f ca="1">IFERROR(__xludf.DUMMYFUNCTION("GOOGLEFINANCE(""BOM:""&amp;A108,""MARKETCAP"")/10000000"),36.3524)</f>
        <v>36.352400000000003</v>
      </c>
      <c r="G108" s="95">
        <f t="shared" ca="1" si="0"/>
        <v>6.2633343442700015E-5</v>
      </c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</row>
    <row r="109" spans="1:25" ht="14.4">
      <c r="A109" s="99">
        <v>500151</v>
      </c>
      <c r="B109" s="98" t="s">
        <v>2118</v>
      </c>
      <c r="C109" s="6"/>
      <c r="D109" s="6"/>
      <c r="E109" s="101">
        <f ca="1">IFERROR(__xludf.DUMMYFUNCTION("GOOGLEFINANCE(""BOM:""&amp;A109,""PRICE"")"),21.94)</f>
        <v>21.94</v>
      </c>
      <c r="F109" s="112">
        <f ca="1">IFERROR(__xludf.DUMMYFUNCTION("GOOGLEFINANCE(""BOM:""&amp;A109,""MARKETCAP"")/10000000"),38.4400102)</f>
        <v>38.440010200000003</v>
      </c>
      <c r="G109" s="95">
        <f t="shared" ca="1" si="0"/>
        <v>6.6230190050656684E-5</v>
      </c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</row>
    <row r="110" spans="1:25" ht="14.4">
      <c r="A110" s="99">
        <v>531624</v>
      </c>
      <c r="B110" s="98" t="s">
        <v>2119</v>
      </c>
      <c r="C110" s="6"/>
      <c r="D110" s="6"/>
      <c r="E110" s="101">
        <f ca="1">IFERROR(__xludf.DUMMYFUNCTION("GOOGLEFINANCE(""BOM:""&amp;A110,""PRICE"")"),4.27)</f>
        <v>4.2699999999999996</v>
      </c>
      <c r="F110" s="112">
        <f ca="1">IFERROR(__xludf.DUMMYFUNCTION("GOOGLEFINANCE(""BOM:""&amp;A110,""MARKETCAP"")/10000000"),32.6618276)</f>
        <v>32.661827600000002</v>
      </c>
      <c r="G110" s="95">
        <f t="shared" ca="1" si="0"/>
        <v>5.6274674176589673E-5</v>
      </c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</row>
    <row r="111" spans="1:25" ht="14.4">
      <c r="A111" s="99">
        <v>521228</v>
      </c>
      <c r="B111" s="98" t="s">
        <v>2120</v>
      </c>
      <c r="C111" s="6"/>
      <c r="D111" s="6"/>
      <c r="E111" s="101">
        <f ca="1">IFERROR(__xludf.DUMMYFUNCTION("GOOGLEFINANCE(""BOM:""&amp;A111,""PRICE"")"),2.22)</f>
        <v>2.2200000000000002</v>
      </c>
      <c r="F111" s="112">
        <f ca="1">IFERROR(__xludf.DUMMYFUNCTION("GOOGLEFINANCE(""BOM:""&amp;A111,""MARKETCAP"")/10000000"),33.6596404)</f>
        <v>33.659640400000001</v>
      </c>
      <c r="G111" s="95">
        <f t="shared" ca="1" si="0"/>
        <v>5.7993855077821014E-5</v>
      </c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ht="14.4">
      <c r="A112" s="99">
        <v>530695</v>
      </c>
      <c r="B112" s="98" t="s">
        <v>2121</v>
      </c>
      <c r="C112" s="6"/>
      <c r="D112" s="6"/>
      <c r="E112" s="101">
        <f ca="1">IFERROR(__xludf.DUMMYFUNCTION("GOOGLEFINANCE(""BOM:""&amp;A112,""PRICE"")"),18.19)</f>
        <v>18.190000000000001</v>
      </c>
      <c r="F112" s="112">
        <f ca="1">IFERROR(__xludf.DUMMYFUNCTION("GOOGLEFINANCE(""BOM:""&amp;A112,""MARKETCAP"")/10000000"),30.8703772)</f>
        <v>30.8703772</v>
      </c>
      <c r="G112" s="95">
        <f t="shared" ca="1" si="0"/>
        <v>5.3188095899398556E-5</v>
      </c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</row>
    <row r="113" spans="1:25" ht="14.4">
      <c r="A113" s="99">
        <v>511176</v>
      </c>
      <c r="B113" s="98" t="s">
        <v>2122</v>
      </c>
      <c r="C113" s="6"/>
      <c r="D113" s="6"/>
      <c r="E113" s="101">
        <f ca="1">IFERROR(__xludf.DUMMYFUNCTION("GOOGLEFINANCE(""BOM:""&amp;A113,""PRICE"")"),97.38)</f>
        <v>97.38</v>
      </c>
      <c r="F113" s="112">
        <f ca="1">IFERROR(__xludf.DUMMYFUNCTION("GOOGLEFINANCE(""BOM:""&amp;A113,""MARKETCAP"")/10000000"),30.4978278)</f>
        <v>30.4978278</v>
      </c>
      <c r="G113" s="95">
        <f t="shared" ca="1" si="0"/>
        <v>5.2546212158034245E-5</v>
      </c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</row>
    <row r="114" spans="1:25" ht="14.4">
      <c r="A114" s="99">
        <v>502445</v>
      </c>
      <c r="B114" s="98" t="s">
        <v>2123</v>
      </c>
      <c r="C114" s="6"/>
      <c r="D114" s="6"/>
      <c r="E114" s="101">
        <f ca="1">IFERROR(__xludf.DUMMYFUNCTION("GOOGLEFINANCE(""BOM:""&amp;A114,""PRICE"")"),35.85)</f>
        <v>35.85</v>
      </c>
      <c r="F114" s="112">
        <f ca="1">IFERROR(__xludf.DUMMYFUNCTION("GOOGLEFINANCE(""BOM:""&amp;A114,""MARKETCAP"")/10000000"),29.7734237)</f>
        <v>29.773423699999999</v>
      </c>
      <c r="G114" s="95">
        <f t="shared" ca="1" si="0"/>
        <v>5.1298100594929748E-5</v>
      </c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</row>
    <row r="115" spans="1:25" ht="14.4">
      <c r="A115" s="99">
        <v>531416</v>
      </c>
      <c r="B115" s="98" t="s">
        <v>2124</v>
      </c>
      <c r="C115" s="6"/>
      <c r="D115" s="6"/>
      <c r="E115" s="101">
        <f ca="1">IFERROR(__xludf.DUMMYFUNCTION("GOOGLEFINANCE(""BOM:""&amp;A115,""PRICE"")"),35.4)</f>
        <v>35.4</v>
      </c>
      <c r="F115" s="112">
        <f ca="1">IFERROR(__xludf.DUMMYFUNCTION("GOOGLEFINANCE(""BOM:""&amp;A115,""MARKETCAP"")/10000000"),25.156657)</f>
        <v>25.156656999999999</v>
      </c>
      <c r="G115" s="95">
        <f t="shared" ca="1" si="0"/>
        <v>4.3343645474609744E-5</v>
      </c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</row>
    <row r="116" spans="1:25" ht="14.4">
      <c r="A116" s="99">
        <v>532723</v>
      </c>
      <c r="B116" s="98" t="s">
        <v>2125</v>
      </c>
      <c r="C116" s="6"/>
      <c r="D116" s="6"/>
      <c r="E116" s="101">
        <f ca="1">IFERROR(__xludf.DUMMYFUNCTION("GOOGLEFINANCE(""BOM:""&amp;A116,""PRICE"")"),36.66)</f>
        <v>36.659999999999997</v>
      </c>
      <c r="F116" s="112">
        <f ca="1">IFERROR(__xludf.DUMMYFUNCTION("GOOGLEFINANCE(""BOM:""&amp;A116,""MARKETCAP"")/10000000"),26.78145)</f>
        <v>26.78145</v>
      </c>
      <c r="G116" s="95">
        <f t="shared" ca="1" si="0"/>
        <v>4.61430814951282E-5</v>
      </c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</row>
    <row r="117" spans="1:25" ht="14.4">
      <c r="A117" s="99">
        <v>543745</v>
      </c>
      <c r="B117" s="98" t="s">
        <v>2126</v>
      </c>
      <c r="C117" s="6"/>
      <c r="D117" s="6"/>
      <c r="E117" s="101">
        <f ca="1">IFERROR(__xludf.DUMMYFUNCTION("GOOGLEFINANCE(""BOM:""&amp;A117,""PRICE"")"),10.5)</f>
        <v>10.5</v>
      </c>
      <c r="F117" s="112">
        <f ca="1">IFERROR(__xludf.DUMMYFUNCTION("GOOGLEFINANCE(""BOM:""&amp;A117,""MARKETCAP"")/10000000"),22.417101)</f>
        <v>22.417100999999999</v>
      </c>
      <c r="G117" s="95">
        <f t="shared" ca="1" si="0"/>
        <v>3.8623529283422658E-5</v>
      </c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</row>
    <row r="118" spans="1:25" ht="14.4">
      <c r="A118" s="99">
        <v>531814</v>
      </c>
      <c r="B118" s="98" t="s">
        <v>2127</v>
      </c>
      <c r="C118" s="6"/>
      <c r="D118" s="6"/>
      <c r="E118" s="101">
        <f ca="1">IFERROR(__xludf.DUMMYFUNCTION("GOOGLEFINANCE(""BOM:""&amp;A118,""PRICE"")"),7.95)</f>
        <v>7.95</v>
      </c>
      <c r="F118" s="112">
        <f ca="1">IFERROR(__xludf.DUMMYFUNCTION("GOOGLEFINANCE(""BOM:""&amp;A118,""MARKETCAP"")/10000000"),26.2334252)</f>
        <v>26.233425199999999</v>
      </c>
      <c r="G118" s="95">
        <f t="shared" ca="1" si="0"/>
        <v>4.5198862529846208E-5</v>
      </c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</row>
    <row r="119" spans="1:25" ht="14.4">
      <c r="A119" s="99">
        <v>511131</v>
      </c>
      <c r="B119" s="98" t="s">
        <v>2128</v>
      </c>
      <c r="C119" s="6"/>
      <c r="D119" s="6"/>
      <c r="E119" s="101">
        <f ca="1">IFERROR(__xludf.DUMMYFUNCTION("GOOGLEFINANCE(""BOM:""&amp;A119,""PRICE"")"),15.66)</f>
        <v>15.66</v>
      </c>
      <c r="F119" s="112">
        <f ca="1">IFERROR(__xludf.DUMMYFUNCTION("GOOGLEFINANCE(""BOM:""&amp;A119,""MARKETCAP"")/10000000"),22.0698883)</f>
        <v>22.069888299999999</v>
      </c>
      <c r="G119" s="95">
        <f t="shared" ca="1" si="0"/>
        <v>3.8025299392500269E-5</v>
      </c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</row>
    <row r="120" spans="1:25" ht="14.4">
      <c r="A120" s="99">
        <v>523566</v>
      </c>
      <c r="B120" s="98" t="s">
        <v>2129</v>
      </c>
      <c r="C120" s="6"/>
      <c r="D120" s="6"/>
      <c r="E120" s="101">
        <f ca="1">IFERROR(__xludf.DUMMYFUNCTION("GOOGLEFINANCE(""BOM:""&amp;A120,""PRICE"")"),40.01)</f>
        <v>40.01</v>
      </c>
      <c r="F120" s="112">
        <f ca="1">IFERROR(__xludf.DUMMYFUNCTION("GOOGLEFINANCE(""BOM:""&amp;A120,""MARKETCAP"")/10000000"),20.6205849)</f>
        <v>20.620584900000001</v>
      </c>
      <c r="G120" s="95">
        <f t="shared" ca="1" si="0"/>
        <v>3.5528223061780075E-5</v>
      </c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</row>
    <row r="121" spans="1:25" ht="14.4">
      <c r="A121" s="99">
        <v>514332</v>
      </c>
      <c r="B121" s="98" t="s">
        <v>2130</v>
      </c>
      <c r="C121" s="6"/>
      <c r="D121" s="6"/>
      <c r="E121" s="101">
        <f ca="1">IFERROR(__xludf.DUMMYFUNCTION("GOOGLEFINANCE(""BOM:""&amp;A121,""PRICE"")"),44.79)</f>
        <v>44.79</v>
      </c>
      <c r="F121" s="112">
        <f ca="1">IFERROR(__xludf.DUMMYFUNCTION("GOOGLEFINANCE(""BOM:""&amp;A121,""MARKETCAP"")/10000000"),23.7691532)</f>
        <v>23.769153200000002</v>
      </c>
      <c r="G121" s="95">
        <f t="shared" ca="1" si="0"/>
        <v>4.0953046723675804E-5</v>
      </c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</row>
    <row r="122" spans="1:25" ht="14.4">
      <c r="A122" s="99">
        <v>531968</v>
      </c>
      <c r="B122" s="98" t="s">
        <v>2131</v>
      </c>
      <c r="C122" s="6"/>
      <c r="D122" s="6"/>
      <c r="E122" s="101">
        <f ca="1">IFERROR(__xludf.DUMMYFUNCTION("GOOGLEFINANCE(""BOM:""&amp;A122,""PRICE"")"),39)</f>
        <v>39</v>
      </c>
      <c r="F122" s="112">
        <f ca="1">IFERROR(__xludf.DUMMYFUNCTION("GOOGLEFINANCE(""BOM:""&amp;A122,""MARKETCAP"")/10000000"),19.46451)</f>
        <v>19.464510000000001</v>
      </c>
      <c r="G122" s="95">
        <f t="shared" ca="1" si="0"/>
        <v>3.3536364580436748E-5</v>
      </c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</row>
    <row r="123" spans="1:25" ht="14.4">
      <c r="A123" s="99">
        <v>504392</v>
      </c>
      <c r="B123" s="98" t="s">
        <v>2132</v>
      </c>
      <c r="C123" s="6"/>
      <c r="D123" s="6"/>
      <c r="E123" s="101">
        <f ca="1">IFERROR(__xludf.DUMMYFUNCTION("GOOGLEFINANCE(""BOM:""&amp;A123,""PRICE"")"),18.9)</f>
        <v>18.899999999999999</v>
      </c>
      <c r="F123" s="112">
        <f ca="1">IFERROR(__xludf.DUMMYFUNCTION("GOOGLEFINANCE(""BOM:""&amp;A123,""MARKETCAP"")/10000000"),20.4119995)</f>
        <v>20.4119995</v>
      </c>
      <c r="G123" s="95">
        <f t="shared" ca="1" si="0"/>
        <v>3.5168840985346798E-5</v>
      </c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</row>
    <row r="124" spans="1:25" ht="14.4">
      <c r="A124" s="99">
        <v>521149</v>
      </c>
      <c r="B124" s="98" t="s">
        <v>2133</v>
      </c>
      <c r="C124" s="6"/>
      <c r="D124" s="6"/>
      <c r="E124" s="101">
        <f ca="1">IFERROR(__xludf.DUMMYFUNCTION("GOOGLEFINANCE(""BOM:""&amp;A124,""PRICE"")"),7.76)</f>
        <v>7.76</v>
      </c>
      <c r="F124" s="112">
        <f ca="1">IFERROR(__xludf.DUMMYFUNCTION("GOOGLEFINANCE(""BOM:""&amp;A124,""MARKETCAP"")/10000000"),20.6754342)</f>
        <v>20.675434200000002</v>
      </c>
      <c r="G124" s="95">
        <f t="shared" ca="1" si="0"/>
        <v>3.5622725626796191E-5</v>
      </c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</row>
    <row r="125" spans="1:25" ht="14.4">
      <c r="A125" s="99">
        <v>534338</v>
      </c>
      <c r="B125" s="98" t="s">
        <v>2134</v>
      </c>
      <c r="C125" s="6"/>
      <c r="D125" s="6"/>
      <c r="E125" s="101">
        <f ca="1">IFERROR(__xludf.DUMMYFUNCTION("GOOGLEFINANCE(""BOM:""&amp;A125,""PRICE"")"),12.06)</f>
        <v>12.06</v>
      </c>
      <c r="F125" s="112">
        <f ca="1">IFERROR(__xludf.DUMMYFUNCTION("GOOGLEFINANCE(""BOM:""&amp;A125,""MARKETCAP"")/10000000"),18.8247199)</f>
        <v>18.824719900000002</v>
      </c>
      <c r="G125" s="95">
        <f t="shared" ca="1" si="0"/>
        <v>3.2434038652450172E-5</v>
      </c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</row>
    <row r="126" spans="1:25" ht="14.4">
      <c r="A126" s="99">
        <v>531909</v>
      </c>
      <c r="B126" s="98" t="s">
        <v>2135</v>
      </c>
      <c r="C126" s="6"/>
      <c r="D126" s="6"/>
      <c r="E126" s="101">
        <f ca="1">IFERROR(__xludf.DUMMYFUNCTION("GOOGLEFINANCE(""BOM:""&amp;A126,""PRICE"")"),2.43)</f>
        <v>2.4300000000000002</v>
      </c>
      <c r="F126" s="112">
        <f ca="1">IFERROR(__xludf.DUMMYFUNCTION("GOOGLEFINANCE(""BOM:""&amp;A126,""MARKETCAP"")/10000000"),16.6571668)</f>
        <v>16.657166799999999</v>
      </c>
      <c r="G126" s="95">
        <f t="shared" ca="1" si="0"/>
        <v>2.8699454478019066E-5</v>
      </c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</row>
    <row r="127" spans="1:25" ht="14.4">
      <c r="A127" s="99">
        <v>538794</v>
      </c>
      <c r="B127" s="98" t="s">
        <v>2136</v>
      </c>
      <c r="C127" s="6"/>
      <c r="D127" s="6"/>
      <c r="E127" s="101">
        <f ca="1">IFERROR(__xludf.DUMMYFUNCTION("GOOGLEFINANCE(""BOM:""&amp;A127,""PRICE"")"),14.03)</f>
        <v>14.03</v>
      </c>
      <c r="F127" s="112">
        <f ca="1">IFERROR(__xludf.DUMMYFUNCTION("GOOGLEFINANCE(""BOM:""&amp;A127,""MARKETCAP"")/10000000"),16.66203)</f>
        <v>16.662030000000001</v>
      </c>
      <c r="G127" s="95">
        <f t="shared" ca="1" si="0"/>
        <v>2.8707833525229999E-5</v>
      </c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</row>
    <row r="128" spans="1:25" ht="14.4">
      <c r="A128" s="99">
        <v>513173</v>
      </c>
      <c r="B128" s="98" t="s">
        <v>2137</v>
      </c>
      <c r="C128" s="6"/>
      <c r="D128" s="6"/>
      <c r="E128" s="101">
        <f ca="1">IFERROR(__xludf.DUMMYFUNCTION("GOOGLEFINANCE(""BOM:""&amp;A128,""PRICE"")"),19.65)</f>
        <v>19.649999999999999</v>
      </c>
      <c r="F128" s="112">
        <f ca="1">IFERROR(__xludf.DUMMYFUNCTION("GOOGLEFINANCE(""BOM:""&amp;A128,""MARKETCAP"")/10000000"),16.9834887)</f>
        <v>16.983488699999999</v>
      </c>
      <c r="G128" s="95">
        <f t="shared" ca="1" si="0"/>
        <v>2.926169057895255E-5</v>
      </c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</row>
    <row r="129" spans="1:25" ht="14.4">
      <c r="A129" s="99">
        <v>531552</v>
      </c>
      <c r="B129" s="98" t="s">
        <v>2138</v>
      </c>
      <c r="C129" s="6"/>
      <c r="D129" s="6"/>
      <c r="E129" s="101">
        <f ca="1">IFERROR(__xludf.DUMMYFUNCTION("GOOGLEFINANCE(""BOM:""&amp;A129,""PRICE"")"),13.6)</f>
        <v>13.6</v>
      </c>
      <c r="F129" s="112">
        <f ca="1">IFERROR(__xludf.DUMMYFUNCTION("GOOGLEFINANCE(""BOM:""&amp;A129,""MARKETCAP"")/10000000"),16.3215916)</f>
        <v>16.321591600000001</v>
      </c>
      <c r="G129" s="95">
        <f t="shared" ca="1" si="0"/>
        <v>2.8121275409994602E-5</v>
      </c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</row>
    <row r="130" spans="1:25" ht="14.4">
      <c r="A130" s="99">
        <v>530821</v>
      </c>
      <c r="B130" s="98" t="s">
        <v>2139</v>
      </c>
      <c r="C130" s="6"/>
      <c r="D130" s="6"/>
      <c r="E130" s="101">
        <f ca="1">IFERROR(__xludf.DUMMYFUNCTION("GOOGLEFINANCE(""BOM:""&amp;A130,""PRICE"")"),12.05)</f>
        <v>12.05</v>
      </c>
      <c r="F130" s="112">
        <f ca="1">IFERROR(__xludf.DUMMYFUNCTION("GOOGLEFINANCE(""BOM:""&amp;A130,""MARKETCAP"")/10000000"),15.5797464)</f>
        <v>15.579746399999999</v>
      </c>
      <c r="G130" s="95">
        <f t="shared" ca="1" si="0"/>
        <v>2.6843113715225655E-5</v>
      </c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</row>
    <row r="131" spans="1:25" ht="14.4">
      <c r="A131" s="99">
        <v>509845</v>
      </c>
      <c r="B131" s="98" t="s">
        <v>2140</v>
      </c>
      <c r="C131" s="6"/>
      <c r="D131" s="6"/>
      <c r="E131" s="101">
        <f ca="1">IFERROR(__xludf.DUMMYFUNCTION("GOOGLEFINANCE(""BOM:""&amp;A131,""PRICE"")"),501.65)</f>
        <v>501.65</v>
      </c>
      <c r="F131" s="112">
        <f ca="1">IFERROR(__xludf.DUMMYFUNCTION("GOOGLEFINANCE(""BOM:""&amp;A131,""MARKETCAP"")/10000000"),14.05122)</f>
        <v>14.051220000000001</v>
      </c>
      <c r="G131" s="95">
        <f t="shared" ca="1" si="0"/>
        <v>2.4209540169258022E-5</v>
      </c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</row>
    <row r="132" spans="1:25" ht="14.4">
      <c r="A132" s="99">
        <v>531574</v>
      </c>
      <c r="B132" s="98" t="s">
        <v>2141</v>
      </c>
      <c r="C132" s="6"/>
      <c r="D132" s="6"/>
      <c r="E132" s="101">
        <f ca="1">IFERROR(__xludf.DUMMYFUNCTION("GOOGLEFINANCE(""BOM:""&amp;A132,""PRICE"")"),9.33)</f>
        <v>9.33</v>
      </c>
      <c r="F132" s="112">
        <f ca="1">IFERROR(__xludf.DUMMYFUNCTION("GOOGLEFINANCE(""BOM:""&amp;A132,""MARKETCAP"")/10000000"),14.11573)</f>
        <v>14.115729999999999</v>
      </c>
      <c r="G132" s="95">
        <f t="shared" ca="1" si="0"/>
        <v>2.432068763092461E-5</v>
      </c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</row>
    <row r="133" spans="1:25" ht="14.4">
      <c r="A133" s="99">
        <v>539189</v>
      </c>
      <c r="B133" s="98" t="s">
        <v>2142</v>
      </c>
      <c r="C133" s="6"/>
      <c r="D133" s="6"/>
      <c r="E133" s="101">
        <f ca="1">IFERROR(__xludf.DUMMYFUNCTION("GOOGLEFINANCE(""BOM:""&amp;A133,""PRICE"")"),13.88)</f>
        <v>13.88</v>
      </c>
      <c r="F133" s="112">
        <f ca="1">IFERROR(__xludf.DUMMYFUNCTION("GOOGLEFINANCE(""BOM:""&amp;A133,""MARKETCAP"")/10000000"),15.2680001)</f>
        <v>15.2680001</v>
      </c>
      <c r="G133" s="95">
        <f t="shared" ca="1" si="0"/>
        <v>2.6305990634634253E-5</v>
      </c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</row>
    <row r="134" spans="1:25" ht="14.4">
      <c r="A134" s="99">
        <v>530141</v>
      </c>
      <c r="B134" s="98" t="s">
        <v>2143</v>
      </c>
      <c r="C134" s="6"/>
      <c r="D134" s="6"/>
      <c r="E134" s="101">
        <f ca="1">IFERROR(__xludf.DUMMYFUNCTION("GOOGLEFINANCE(""BOM:""&amp;A134,""PRICE"")"),41)</f>
        <v>41</v>
      </c>
      <c r="F134" s="112">
        <f ca="1">IFERROR(__xludf.DUMMYFUNCTION("GOOGLEFINANCE(""BOM:""&amp;A134,""MARKETCAP"")/10000000"),12.3)</f>
        <v>12.3</v>
      </c>
      <c r="G134" s="95">
        <f t="shared" ca="1" si="0"/>
        <v>2.1192276833034689E-5</v>
      </c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</row>
    <row r="135" spans="1:25" ht="14.4">
      <c r="A135" s="99">
        <v>540026</v>
      </c>
      <c r="B135" s="98" t="s">
        <v>2144</v>
      </c>
      <c r="C135" s="6"/>
      <c r="D135" s="6"/>
      <c r="E135" s="101">
        <f ca="1">IFERROR(__xludf.DUMMYFUNCTION("GOOGLEFINANCE(""BOM:""&amp;A135,""PRICE"")"),7.09)</f>
        <v>7.09</v>
      </c>
      <c r="F135" s="112">
        <f ca="1">IFERROR(__xludf.DUMMYFUNCTION("GOOGLEFINANCE(""BOM:""&amp;A135,""MARKETCAP"")/10000000"),12.9779616)</f>
        <v>12.9779616</v>
      </c>
      <c r="G135" s="95">
        <f t="shared" ca="1" si="0"/>
        <v>2.2360370321601122E-5</v>
      </c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</row>
    <row r="136" spans="1:25" ht="14.4">
      <c r="A136" s="99">
        <v>531902</v>
      </c>
      <c r="B136" s="98" t="s">
        <v>2145</v>
      </c>
      <c r="C136" s="6"/>
      <c r="D136" s="6"/>
      <c r="E136" s="101">
        <f ca="1">IFERROR(__xludf.DUMMYFUNCTION("GOOGLEFINANCE(""BOM:""&amp;A136,""PRICE"")"),25.88)</f>
        <v>25.88</v>
      </c>
      <c r="F136" s="112">
        <f ca="1">IFERROR(__xludf.DUMMYFUNCTION("GOOGLEFINANCE(""BOM:""&amp;A136,""MARKETCAP"")/10000000"),12.9695027)</f>
        <v>12.9695027</v>
      </c>
      <c r="G136" s="95">
        <f t="shared" ca="1" si="0"/>
        <v>2.2345796065462668E-5</v>
      </c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</row>
    <row r="137" spans="1:25" ht="14.4">
      <c r="A137" s="99">
        <v>538596</v>
      </c>
      <c r="B137" s="98" t="s">
        <v>2146</v>
      </c>
      <c r="C137" s="6"/>
      <c r="D137" s="6"/>
      <c r="E137" s="101">
        <f ca="1">IFERROR(__xludf.DUMMYFUNCTION("GOOGLEFINANCE(""BOM:""&amp;A137,""PRICE"")"),4.59)</f>
        <v>4.59</v>
      </c>
      <c r="F137" s="112">
        <f ca="1">IFERROR(__xludf.DUMMYFUNCTION("GOOGLEFINANCE(""BOM:""&amp;A137,""MARKETCAP"")/10000000"),11.5051291)</f>
        <v>11.5051291</v>
      </c>
      <c r="G137" s="95">
        <f t="shared" ca="1" si="0"/>
        <v>1.9822754543658797E-5</v>
      </c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</row>
    <row r="138" spans="1:25" ht="14.4">
      <c r="A138" s="99">
        <v>537707</v>
      </c>
      <c r="B138" s="98" t="s">
        <v>2147</v>
      </c>
      <c r="C138" s="6"/>
      <c r="D138" s="6"/>
      <c r="E138" s="101">
        <f ca="1">IFERROR(__xludf.DUMMYFUNCTION("GOOGLEFINANCE(""BOM:""&amp;A138,""PRICE"")"),0.81)</f>
        <v>0.81</v>
      </c>
      <c r="F138" s="112">
        <f ca="1">IFERROR(__xludf.DUMMYFUNCTION("GOOGLEFINANCE(""BOM:""&amp;A138,""MARKETCAP"")/10000000"),11.45737)</f>
        <v>11.457369999999999</v>
      </c>
      <c r="G138" s="95">
        <f t="shared" ca="1" si="0"/>
        <v>1.9740468034024928E-5</v>
      </c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</row>
    <row r="139" spans="1:25" ht="14.4">
      <c r="A139" s="99">
        <v>542146</v>
      </c>
      <c r="B139" s="98" t="s">
        <v>2148</v>
      </c>
      <c r="C139" s="6"/>
      <c r="D139" s="6"/>
      <c r="E139" s="101">
        <f ca="1">IFERROR(__xludf.DUMMYFUNCTION("GOOGLEFINANCE(""BOM:""&amp;A139,""PRICE"")"),9.05)</f>
        <v>9.0500000000000007</v>
      </c>
      <c r="F139" s="112">
        <f ca="1">IFERROR(__xludf.DUMMYFUNCTION("GOOGLEFINANCE(""BOM:""&amp;A139,""MARKETCAP"")/10000000"),9.9550002)</f>
        <v>9.9550002000000006</v>
      </c>
      <c r="G139" s="95">
        <f t="shared" ca="1" si="0"/>
        <v>1.7151960984659811E-5</v>
      </c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</row>
    <row r="140" spans="1:25" ht="14.4">
      <c r="A140" s="99">
        <v>509423</v>
      </c>
      <c r="B140" s="98" t="s">
        <v>2149</v>
      </c>
      <c r="C140" s="6"/>
      <c r="D140" s="6"/>
      <c r="E140" s="101">
        <f ca="1">IFERROR(__xludf.DUMMYFUNCTION("GOOGLEFINANCE(""BOM:""&amp;A140,""PRICE"")"),31.28)</f>
        <v>31.28</v>
      </c>
      <c r="F140" s="112">
        <f ca="1">IFERROR(__xludf.DUMMYFUNCTION("GOOGLEFINANCE(""BOM:""&amp;A140,""MARKETCAP"")/10000000"),9.8532002)</f>
        <v>9.8532001999999999</v>
      </c>
      <c r="G140" s="95">
        <f t="shared" ca="1" si="0"/>
        <v>1.6976564742253068E-5</v>
      </c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</row>
    <row r="141" spans="1:25" ht="14.4">
      <c r="A141" s="99">
        <v>538919</v>
      </c>
      <c r="B141" s="98" t="s">
        <v>2150</v>
      </c>
      <c r="C141" s="6"/>
      <c r="D141" s="6"/>
      <c r="E141" s="101">
        <f ca="1">IFERROR(__xludf.DUMMYFUNCTION("GOOGLEFINANCE(""BOM:""&amp;A141,""PRICE"")"),22.8)</f>
        <v>22.8</v>
      </c>
      <c r="F141" s="112">
        <f ca="1">IFERROR(__xludf.DUMMYFUNCTION("GOOGLEFINANCE(""BOM:""&amp;A141,""MARKETCAP"")/10000000"),9.044003)</f>
        <v>9.044003</v>
      </c>
      <c r="G141" s="95">
        <f t="shared" ca="1" si="0"/>
        <v>1.5582358963804571E-5</v>
      </c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</row>
    <row r="142" spans="1:25" ht="14.4">
      <c r="A142" s="99">
        <v>531640</v>
      </c>
      <c r="B142" s="98" t="s">
        <v>2151</v>
      </c>
      <c r="C142" s="6"/>
      <c r="D142" s="6"/>
      <c r="E142" s="101">
        <f ca="1">IFERROR(__xludf.DUMMYFUNCTION("GOOGLEFINANCE(""BOM:""&amp;A142,""PRICE"")"),11.41)</f>
        <v>11.41</v>
      </c>
      <c r="F142" s="112">
        <f ca="1">IFERROR(__xludf.DUMMYFUNCTION("GOOGLEFINANCE(""BOM:""&amp;A142,""MARKETCAP"")/10000000"),10.1503358)</f>
        <v>10.150335800000001</v>
      </c>
      <c r="G142" s="95">
        <f t="shared" ca="1" si="0"/>
        <v>1.74885143269807E-5</v>
      </c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</row>
    <row r="143" spans="1:25" ht="14.4">
      <c r="A143" s="99">
        <v>531578</v>
      </c>
      <c r="B143" s="98" t="s">
        <v>2152</v>
      </c>
      <c r="C143" s="6"/>
      <c r="D143" s="6"/>
      <c r="E143" s="101">
        <f ca="1">IFERROR(__xludf.DUMMYFUNCTION("GOOGLEFINANCE(""BOM:""&amp;A143,""PRICE"")"),7.25)</f>
        <v>7.25</v>
      </c>
      <c r="F143" s="112">
        <f ca="1">IFERROR(__xludf.DUMMYFUNCTION("GOOGLEFINANCE(""BOM:""&amp;A143,""MARKETCAP"")/10000000"),8.83195)</f>
        <v>8.8319500000000009</v>
      </c>
      <c r="G143" s="95">
        <f t="shared" ca="1" si="0"/>
        <v>1.5217002388253718E-5</v>
      </c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</row>
    <row r="144" spans="1:25" ht="14.4">
      <c r="A144" s="99">
        <v>538770</v>
      </c>
      <c r="B144" s="98" t="s">
        <v>2153</v>
      </c>
      <c r="C144" s="6"/>
      <c r="D144" s="6"/>
      <c r="E144" s="101">
        <f ca="1">IFERROR(__xludf.DUMMYFUNCTION("GOOGLEFINANCE(""BOM:""&amp;A144,""PRICE"")"),13.27)</f>
        <v>13.27</v>
      </c>
      <c r="F144" s="112">
        <f ca="1">IFERROR(__xludf.DUMMYFUNCTION("GOOGLEFINANCE(""BOM:""&amp;A144,""MARKETCAP"")/10000000"),9.6101343)</f>
        <v>9.6101343000000004</v>
      </c>
      <c r="G144" s="95">
        <f t="shared" ca="1" si="0"/>
        <v>1.6557774511239188E-5</v>
      </c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</row>
    <row r="145" spans="1:25" ht="14.4">
      <c r="A145" s="99">
        <v>507917</v>
      </c>
      <c r="B145" s="98" t="s">
        <v>2154</v>
      </c>
      <c r="C145" s="6"/>
      <c r="D145" s="6"/>
      <c r="E145" s="101">
        <f ca="1">IFERROR(__xludf.DUMMYFUNCTION("GOOGLEFINANCE(""BOM:""&amp;A145,""PRICE"")"),51.3)</f>
        <v>51.3</v>
      </c>
      <c r="F145" s="112">
        <f ca="1">IFERROR(__xludf.DUMMYFUNCTION("GOOGLEFINANCE(""BOM:""&amp;A145,""MARKETCAP"")/10000000"),9.6279838)</f>
        <v>9.6279838000000009</v>
      </c>
      <c r="G145" s="95">
        <f t="shared" ca="1" si="0"/>
        <v>1.6588528295412463E-5</v>
      </c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</row>
    <row r="146" spans="1:25" ht="14.4">
      <c r="A146" s="99">
        <v>524642</v>
      </c>
      <c r="B146" s="98" t="s">
        <v>2155</v>
      </c>
      <c r="C146" s="6"/>
      <c r="D146" s="6"/>
      <c r="E146" s="101">
        <f ca="1">IFERROR(__xludf.DUMMYFUNCTION("GOOGLEFINANCE(""BOM:""&amp;A146,""PRICE"")"),1.61)</f>
        <v>1.61</v>
      </c>
      <c r="F146" s="112">
        <f ca="1">IFERROR(__xludf.DUMMYFUNCTION("GOOGLEFINANCE(""BOM:""&amp;A146,""MARKETCAP"")/10000000"),7.177863)</f>
        <v>7.1778630000000003</v>
      </c>
      <c r="G146" s="95">
        <f t="shared" ca="1" si="0"/>
        <v>1.2367094289885924E-5</v>
      </c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</row>
    <row r="147" spans="1:25" ht="14.4">
      <c r="A147" s="99">
        <v>531155</v>
      </c>
      <c r="B147" s="98" t="s">
        <v>2156</v>
      </c>
      <c r="C147" s="6"/>
      <c r="D147" s="6"/>
      <c r="E147" s="101">
        <f ca="1">IFERROR(__xludf.DUMMYFUNCTION("GOOGLEFINANCE(""BOM:""&amp;A147,""PRICE"")"),7.37)</f>
        <v>7.37</v>
      </c>
      <c r="F147" s="112">
        <f ca="1">IFERROR(__xludf.DUMMYFUNCTION("GOOGLEFINANCE(""BOM:""&amp;A147,""MARKETCAP"")/10000000"),5.4927127)</f>
        <v>5.4927127000000002</v>
      </c>
      <c r="G147" s="95">
        <f t="shared" ca="1" si="0"/>
        <v>9.4636656994085705E-6</v>
      </c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</row>
    <row r="148" spans="1:25" ht="14.4">
      <c r="A148" s="99">
        <v>500426</v>
      </c>
      <c r="B148" s="98" t="s">
        <v>2157</v>
      </c>
      <c r="C148" s="6"/>
      <c r="D148" s="6"/>
      <c r="E148" s="101">
        <f ca="1">IFERROR(__xludf.DUMMYFUNCTION("GOOGLEFINANCE(""BOM:""&amp;A148,""PRICE"")"),1.42)</f>
        <v>1.42</v>
      </c>
      <c r="F148" s="112">
        <f ca="1">IFERROR(__xludf.DUMMYFUNCTION("GOOGLEFINANCE(""BOM:""&amp;A148,""MARKETCAP"")/10000000"),4.6796098)</f>
        <v>4.6796097999999997</v>
      </c>
      <c r="G148" s="95">
        <f t="shared" ca="1" si="0"/>
        <v>8.0627305977383813E-6</v>
      </c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</row>
    <row r="149" spans="1:25" ht="14.4">
      <c r="A149" s="99">
        <v>524031</v>
      </c>
      <c r="B149" s="98" t="s">
        <v>2158</v>
      </c>
      <c r="C149" s="6"/>
      <c r="D149" s="6"/>
      <c r="E149" s="101">
        <f ca="1">IFERROR(__xludf.DUMMYFUNCTION("GOOGLEFINANCE(""BOM:""&amp;A149,""PRICE"")"),8.48)</f>
        <v>8.48</v>
      </c>
      <c r="F149" s="112">
        <f ca="1">IFERROR(__xludf.DUMMYFUNCTION("GOOGLEFINANCE(""BOM:""&amp;A149,""MARKETCAP"")/10000000"),4.6644831)</f>
        <v>4.6644831</v>
      </c>
      <c r="G149" s="95">
        <f t="shared" ca="1" si="0"/>
        <v>8.0366680600172221E-6</v>
      </c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</row>
    <row r="150" spans="1:25" ht="14.4">
      <c r="A150" s="99">
        <v>539544</v>
      </c>
      <c r="B150" s="98" t="s">
        <v>2159</v>
      </c>
      <c r="C150" s="6"/>
      <c r="D150" s="6"/>
      <c r="E150" s="101">
        <f ca="1">IFERROR(__xludf.DUMMYFUNCTION("GOOGLEFINANCE(""BOM:""&amp;A150,""PRICE"")"),6.43)</f>
        <v>6.43</v>
      </c>
      <c r="F150" s="112">
        <f ca="1">IFERROR(__xludf.DUMMYFUNCTION("GOOGLEFINANCE(""BOM:""&amp;A150,""MARKETCAP"")/10000000"),3.2465069)</f>
        <v>3.2465069</v>
      </c>
      <c r="G150" s="95">
        <f t="shared" ca="1" si="0"/>
        <v>5.5935669077363626E-6</v>
      </c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</row>
    <row r="151" spans="1:25" ht="14.4">
      <c r="A151" s="99">
        <v>537582</v>
      </c>
      <c r="B151" s="98" t="s">
        <v>2160</v>
      </c>
      <c r="C151" s="6"/>
      <c r="D151" s="6"/>
      <c r="E151" s="101">
        <f ca="1">IFERROR(__xludf.DUMMYFUNCTION("GOOGLEFINANCE(""BOM:""&amp;A151,""PRICE"")"),1.3)</f>
        <v>1.3</v>
      </c>
      <c r="F151" s="112">
        <f ca="1">IFERROR(__xludf.DUMMYFUNCTION("GOOGLEFINANCE(""BOM:""&amp;A151,""MARKETCAP"")/10000000"),3.166605)</f>
        <v>3.1666050000000001</v>
      </c>
      <c r="G151" s="95">
        <f t="shared" ca="1" si="0"/>
        <v>5.4558999821846996E-6</v>
      </c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</row>
    <row r="152" spans="1:25" ht="14.4">
      <c r="A152" s="99">
        <v>543366</v>
      </c>
      <c r="B152" s="98" t="s">
        <v>2161</v>
      </c>
      <c r="C152" s="6"/>
      <c r="D152" s="6"/>
      <c r="E152" s="101">
        <f ca="1">IFERROR(__xludf.DUMMYFUNCTION("GOOGLEFINANCE(""BOM:""&amp;A152,""PRICE"")"),39.25)</f>
        <v>39.25</v>
      </c>
      <c r="F152" s="112">
        <f ca="1">IFERROR(__xludf.DUMMYFUNCTION("GOOGLEFINANCE(""BOM:""&amp;A152,""MARKETCAP"")/10000000"),3.1842351)</f>
        <v>3.1842351</v>
      </c>
      <c r="G152" s="95">
        <f t="shared" ca="1" si="0"/>
        <v>5.4862757512736494E-6</v>
      </c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</row>
    <row r="153" spans="1:25" ht="14.4">
      <c r="A153" s="99">
        <v>526823</v>
      </c>
      <c r="B153" s="98" t="s">
        <v>2162</v>
      </c>
      <c r="C153" s="6"/>
      <c r="D153" s="6"/>
      <c r="E153" s="101">
        <f ca="1">IFERROR(__xludf.DUMMYFUNCTION("GOOGLEFINANCE(""BOM:""&amp;A153,""PRICE"")"),5.01)</f>
        <v>5.01</v>
      </c>
      <c r="F153" s="112">
        <f ca="1">IFERROR(__xludf.DUMMYFUNCTION("GOOGLEFINANCE(""BOM:""&amp;A153,""MARKETCAP"")/10000000"),2.7709805)</f>
        <v>2.7709804999999998</v>
      </c>
      <c r="G153" s="95">
        <f t="shared" ca="1" si="0"/>
        <v>4.7742590125968187E-6</v>
      </c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</row>
    <row r="154" spans="1:25" ht="14.4">
      <c r="A154" s="99">
        <v>539099</v>
      </c>
      <c r="B154" s="98" t="s">
        <v>2163</v>
      </c>
      <c r="C154" s="6"/>
      <c r="D154" s="6"/>
      <c r="E154" s="101">
        <f ca="1">IFERROR(__xludf.DUMMYFUNCTION("GOOGLEFINANCE(""BOM:""&amp;A154,""PRICE"")"),3.52)</f>
        <v>3.52</v>
      </c>
      <c r="F154" s="112">
        <f ca="1">IFERROR(__xludf.DUMMYFUNCTION("GOOGLEFINANCE(""BOM:""&amp;A154,""MARKETCAP"")/10000000"),2.64)</f>
        <v>2.64</v>
      </c>
      <c r="G154" s="95">
        <f t="shared" ca="1" si="0"/>
        <v>4.5485862470903722E-6</v>
      </c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</row>
    <row r="155" spans="1:25" ht="14.4">
      <c r="A155" s="99">
        <v>543598</v>
      </c>
      <c r="B155" s="98" t="s">
        <v>2164</v>
      </c>
      <c r="C155" s="6"/>
      <c r="D155" s="6"/>
      <c r="E155" s="101">
        <f ca="1">IFERROR(__xludf.DUMMYFUNCTION("GOOGLEFINANCE(""BOM:""&amp;A155,""PRICE"")"),231.1)</f>
        <v>231.1</v>
      </c>
      <c r="F155" s="112"/>
      <c r="G155" s="95">
        <f t="shared" ca="1" si="0"/>
        <v>0</v>
      </c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</row>
    <row r="156" spans="1:25" ht="14.4">
      <c r="A156" s="99">
        <v>509870</v>
      </c>
      <c r="B156" s="98" t="s">
        <v>2165</v>
      </c>
      <c r="C156" s="6"/>
      <c r="D156" s="6"/>
      <c r="E156" s="101">
        <f ca="1">IFERROR(__xludf.DUMMYFUNCTION("GOOGLEFINANCE(""BOM:""&amp;A156,""PRICE"")"),60.74)</f>
        <v>60.74</v>
      </c>
      <c r="F156" s="112"/>
      <c r="G156" s="95">
        <f t="shared" ca="1" si="0"/>
        <v>0</v>
      </c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</row>
    <row r="157" spans="1:25" ht="14.4">
      <c r="A157" s="99">
        <v>501270</v>
      </c>
      <c r="B157" s="98" t="s">
        <v>2166</v>
      </c>
      <c r="C157" s="6"/>
      <c r="D157" s="6"/>
      <c r="E157" s="101">
        <f ca="1">IFERROR(__xludf.DUMMYFUNCTION("GOOGLEFINANCE(""BOM:""&amp;A157,""PRICE"")"),1.34)</f>
        <v>1.34</v>
      </c>
      <c r="F157" s="112"/>
      <c r="G157" s="95">
        <f t="shared" ca="1" si="0"/>
        <v>0</v>
      </c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</row>
    <row r="158" spans="1:25" ht="14.4">
      <c r="A158" s="99">
        <v>508993</v>
      </c>
      <c r="B158" s="98" t="s">
        <v>2167</v>
      </c>
      <c r="C158" s="6"/>
      <c r="D158" s="6"/>
      <c r="E158" s="101">
        <f ca="1">IFERROR(__xludf.DUMMYFUNCTION("GOOGLEFINANCE(""BOM:""&amp;A158,""PRICE"")"),4.89)</f>
        <v>4.8899999999999997</v>
      </c>
      <c r="F158" s="112"/>
      <c r="G158" s="95">
        <f t="shared" ca="1" si="0"/>
        <v>0</v>
      </c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</row>
    <row r="159" spans="1:25" ht="14.4">
      <c r="A159" s="99">
        <v>542864</v>
      </c>
      <c r="B159" s="98" t="s">
        <v>2168</v>
      </c>
      <c r="C159" s="6"/>
      <c r="D159" s="6"/>
      <c r="E159" s="101">
        <f ca="1">IFERROR(__xludf.DUMMYFUNCTION("GOOGLEFINANCE(""BOM:""&amp;A159,""PRICE"")"),31.47)</f>
        <v>31.47</v>
      </c>
      <c r="F159" s="112"/>
      <c r="G159" s="95">
        <f t="shared" ca="1" si="0"/>
        <v>0</v>
      </c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</row>
    <row r="160" spans="1:25" ht="14.4">
      <c r="A160" s="99">
        <v>511096</v>
      </c>
      <c r="B160" s="98" t="s">
        <v>2169</v>
      </c>
      <c r="C160" s="6"/>
      <c r="D160" s="6"/>
      <c r="E160" s="101">
        <f ca="1">IFERROR(__xludf.DUMMYFUNCTION("GOOGLEFINANCE(""BOM:""&amp;A160,""PRICE"")"),0)</f>
        <v>0</v>
      </c>
      <c r="F160" s="112"/>
      <c r="G160" s="95">
        <f t="shared" ca="1" si="0"/>
        <v>0</v>
      </c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</row>
    <row r="161" spans="1:25" ht="13.2">
      <c r="A161" s="101"/>
      <c r="B161" s="101"/>
      <c r="C161" s="101"/>
      <c r="D161" s="101"/>
      <c r="E161" s="101"/>
      <c r="F161" s="101"/>
      <c r="G161" s="95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</row>
    <row r="162" spans="1:25" ht="13.2">
      <c r="A162" s="101"/>
      <c r="B162" s="101"/>
      <c r="C162" s="101"/>
      <c r="D162" s="101"/>
      <c r="E162" s="101"/>
      <c r="F162" s="112">
        <f ca="1">SUM(F2:F160)</f>
        <v>580400.11919939925</v>
      </c>
      <c r="G162" s="95">
        <f ca="1">F162/$F$162</f>
        <v>1</v>
      </c>
      <c r="H162" s="101">
        <f t="shared" ref="H162:O162" si="1">SUM(H2:H160)</f>
        <v>57136</v>
      </c>
      <c r="I162" s="101">
        <f t="shared" si="1"/>
        <v>49948</v>
      </c>
      <c r="J162" s="101">
        <f t="shared" si="1"/>
        <v>12623</v>
      </c>
      <c r="K162" s="101">
        <f t="shared" si="1"/>
        <v>11324</v>
      </c>
      <c r="L162" s="101">
        <f t="shared" si="1"/>
        <v>20661</v>
      </c>
      <c r="M162" s="101">
        <f t="shared" si="1"/>
        <v>18058</v>
      </c>
      <c r="N162" s="101">
        <f t="shared" si="1"/>
        <v>4153</v>
      </c>
      <c r="O162" s="101">
        <f t="shared" si="1"/>
        <v>3926</v>
      </c>
      <c r="P162" s="95">
        <f t="shared" ref="P162:Q162" si="2">J162/H162</f>
        <v>0.22092901148137775</v>
      </c>
      <c r="Q162" s="95">
        <f t="shared" si="2"/>
        <v>0.22671578441579243</v>
      </c>
      <c r="R162" s="95">
        <f>P162-Q162</f>
        <v>-5.7867729344146801E-3</v>
      </c>
      <c r="S162" s="95">
        <f t="shared" ref="S162:T162" si="3">N162/L162</f>
        <v>0.20100672765113015</v>
      </c>
      <c r="T162" s="95">
        <f t="shared" si="3"/>
        <v>0.21741056595414773</v>
      </c>
      <c r="U162" s="95">
        <f>S162-T162</f>
        <v>-1.6403838303017587E-2</v>
      </c>
      <c r="V162" s="95">
        <f>(H162/I162)-1</f>
        <v>0.14390966605269484</v>
      </c>
      <c r="W162" s="95">
        <f>(J162/K162)-1</f>
        <v>0.11471211586012009</v>
      </c>
      <c r="X162" s="95">
        <f>(L162/M162)-1</f>
        <v>0.14414663860892674</v>
      </c>
      <c r="Y162" s="95">
        <f>(N162/O162)-1</f>
        <v>5.7819663779928643E-2</v>
      </c>
    </row>
    <row r="163" spans="1:25" ht="13.2">
      <c r="G163" s="50"/>
    </row>
    <row r="164" spans="1:25" ht="13.2">
      <c r="G164" s="50"/>
    </row>
    <row r="165" spans="1:25" ht="13.2">
      <c r="G165" s="50"/>
    </row>
    <row r="166" spans="1:25" ht="13.2">
      <c r="G166" s="50"/>
    </row>
    <row r="167" spans="1:25" ht="13.2">
      <c r="G167" s="50"/>
    </row>
    <row r="168" spans="1:25" ht="13.2">
      <c r="G168" s="50"/>
    </row>
    <row r="169" spans="1:25" ht="13.2">
      <c r="G169" s="50"/>
    </row>
    <row r="170" spans="1:25" ht="13.2">
      <c r="G170" s="50"/>
    </row>
    <row r="171" spans="1:25" ht="13.2">
      <c r="G171" s="50"/>
    </row>
    <row r="172" spans="1:25" ht="13.2">
      <c r="G172" s="50"/>
    </row>
    <row r="173" spans="1:25" ht="13.2">
      <c r="G173" s="50"/>
    </row>
    <row r="174" spans="1:25" ht="13.2">
      <c r="G174" s="50"/>
    </row>
    <row r="175" spans="1:25" ht="13.2">
      <c r="G175" s="50"/>
    </row>
    <row r="176" spans="1:25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160" xr:uid="{00000000-0009-0000-0000-000030000000}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500325</v>
      </c>
      <c r="B2" s="98" t="s">
        <v>92</v>
      </c>
      <c r="C2" s="6" t="str">
        <f>VLOOKUP(A2,'BSE ALL CAP'!$B$4:$Y$1038,2,)</f>
        <v>Energy</v>
      </c>
      <c r="D2" s="6" t="str">
        <f>VLOOKUP(A2,'BSE ALL CAP'!$B$4:$Y$1038,3,)</f>
        <v>Refineries &amp; Marketing</v>
      </c>
      <c r="E2" s="101">
        <f ca="1">IFERROR(__xludf.DUMMYFUNCTION("GOOGLEFINANCE(""BOM:""&amp;A2,""PRICE"")"),1303.6)</f>
        <v>1303.5999999999999</v>
      </c>
      <c r="F2" s="112">
        <f ca="1">IFERROR(__xludf.DUMMYFUNCTION("GOOGLEFINANCE(""BOM:""&amp;A2,""MARKETCAP"")/10000000"),1763144.2464382)</f>
        <v>1763144.2464381999</v>
      </c>
      <c r="G2" s="95">
        <f t="shared" ref="G2:G13" ca="1" si="0">F2/$F$15</f>
        <v>0.80547060686964056</v>
      </c>
      <c r="H2" s="101">
        <f>VLOOKUP(A2,'BSE ALL CAP'!$B$4:$Y$1038,7,)</f>
        <v>777054</v>
      </c>
      <c r="I2" s="101">
        <f>VLOOKUP(A2,'BSE ALL CAP'!$B$4:$Y$1038,8,)</f>
        <v>715563</v>
      </c>
      <c r="J2" s="101">
        <f>VLOOKUP(A2,'BSE ALL CAP'!$B$4:$Y$1038,9,)</f>
        <v>70809</v>
      </c>
      <c r="K2" s="101">
        <f>VLOOKUP(A2,'BSE ALL CAP'!$B$4:$Y$1038,10,)</f>
        <v>55569</v>
      </c>
      <c r="L2" s="101">
        <f>VLOOKUP(A2,'BSE ALL CAP'!$B$4:$Y$1038,11,)</f>
        <v>269496</v>
      </c>
      <c r="M2" s="101">
        <f>VLOOKUP(A2,'BSE ALL CAP'!$B$4:$Y$1038,12,)</f>
        <v>243865</v>
      </c>
      <c r="N2" s="101">
        <f>VLOOKUP(A2,'BSE ALL CAP'!$B$4:$Y$1038,13,)</f>
        <v>21723</v>
      </c>
      <c r="O2" s="101">
        <f>VLOOKUP(A2,'BSE ALL CAP'!$B$4:$Y$1038,14,)</f>
        <v>20010</v>
      </c>
      <c r="P2" s="95">
        <f>VLOOKUP(A2,'BSE ALL CAP'!$B$4:$Y$1038,15,)</f>
        <v>9.1124941123782902E-2</v>
      </c>
      <c r="Q2" s="95">
        <f>VLOOKUP(A2,'BSE ALL CAP'!$B$4:$Y$1038,16,)</f>
        <v>7.7657732442845698E-2</v>
      </c>
      <c r="R2" s="95">
        <f>VLOOKUP(A2,'BSE ALL CAP'!$B$4:$Y$1038,17,)</f>
        <v>1.3467208680937204E-2</v>
      </c>
      <c r="S2" s="95">
        <f>VLOOKUP(A2,'BSE ALL CAP'!$B$4:$Y$1038,18,)</f>
        <v>8.0606020126458275E-2</v>
      </c>
      <c r="T2" s="95">
        <f>VLOOKUP(A2,'BSE ALL CAP'!$B$4:$Y$1038,19,)</f>
        <v>8.2053595226867324E-2</v>
      </c>
      <c r="U2" s="95">
        <f>VLOOKUP(A2,'BSE ALL CAP'!$B$4:$Y$1038,20,)</f>
        <v>-1.4475751004090487E-3</v>
      </c>
      <c r="V2" s="95">
        <f>VLOOKUP(A2,'BSE ALL CAP'!$B$4:$Y$1038,21,)</f>
        <v>8.5933733298116266E-2</v>
      </c>
      <c r="W2" s="95">
        <f>VLOOKUP(A2,'BSE ALL CAP'!$B$4:$Y$1038,22,)</f>
        <v>0.27425363062138963</v>
      </c>
      <c r="X2" s="95">
        <f>VLOOKUP(A2,'BSE ALL CAP'!$B$4:$Y$1038,23,)</f>
        <v>0.10510323334631866</v>
      </c>
      <c r="Y2" s="95">
        <f>VLOOKUP(A2,'BSE ALL CAP'!$B$4:$Y$1038,24,)</f>
        <v>8.5607196401799035E-2</v>
      </c>
    </row>
    <row r="3" spans="1:25" ht="15.75" customHeight="1">
      <c r="A3" s="99">
        <v>530965</v>
      </c>
      <c r="B3" s="98" t="s">
        <v>2170</v>
      </c>
      <c r="C3" s="6" t="str">
        <f>VLOOKUP(A3,'BSE ALL CAP'!$B$4:$Y$1038,2,)</f>
        <v>Energy</v>
      </c>
      <c r="D3" s="6" t="str">
        <f>VLOOKUP(A3,'BSE ALL CAP'!$B$4:$Y$1038,3,)</f>
        <v>Refineries &amp; Marketing</v>
      </c>
      <c r="E3" s="101">
        <f ca="1">IFERROR(__xludf.DUMMYFUNCTION("GOOGLEFINANCE(""BOM:""&amp;A3,""PRICE"")"),133.4)</f>
        <v>133.4</v>
      </c>
      <c r="F3" s="112">
        <f ca="1">IFERROR(__xludf.DUMMYFUNCTION("GOOGLEFINANCE(""BOM:""&amp;A3,""MARKETCAP"")/10000000"),188405.5814943)</f>
        <v>188405.58149429999</v>
      </c>
      <c r="G3" s="95">
        <f t="shared" ca="1" si="0"/>
        <v>8.6070755906902205E-2</v>
      </c>
      <c r="H3" s="101">
        <f>VLOOKUP(A3,'BSE ALL CAP'!$B$4:$Y$1038,7,)</f>
        <v>664553</v>
      </c>
      <c r="I3" s="101">
        <f>VLOOKUP(A3,'BSE ALL CAP'!$B$4:$Y$1038,8,)</f>
        <v>638002</v>
      </c>
      <c r="J3" s="101">
        <f>VLOOKUP(A3,'BSE ALL CAP'!$B$4:$Y$1038,9,)</f>
        <v>28501</v>
      </c>
      <c r="K3" s="101">
        <f>VLOOKUP(A3,'BSE ALL CAP'!$B$4:$Y$1038,10,)</f>
        <v>5421</v>
      </c>
      <c r="L3" s="101">
        <f>VLOOKUP(A3,'BSE ALL CAP'!$B$4:$Y$1038,11,)</f>
        <v>236257</v>
      </c>
      <c r="M3" s="101">
        <f>VLOOKUP(A3,'BSE ALL CAP'!$B$4:$Y$1038,12,)</f>
        <v>219522</v>
      </c>
      <c r="N3" s="101">
        <f>VLOOKUP(A3,'BSE ALL CAP'!$B$4:$Y$1038,13,)</f>
        <v>13502</v>
      </c>
      <c r="O3" s="101">
        <f>VLOOKUP(A3,'BSE ALL CAP'!$B$4:$Y$1038,14,)</f>
        <v>2147</v>
      </c>
      <c r="P3" s="95">
        <f>VLOOKUP(A3,'BSE ALL CAP'!$B$4:$Y$1038,15,)</f>
        <v>4.2887474738658921E-2</v>
      </c>
      <c r="Q3" s="95">
        <f>VLOOKUP(A3,'BSE ALL CAP'!$B$4:$Y$1038,16,)</f>
        <v>8.4968385679041764E-3</v>
      </c>
      <c r="R3" s="95">
        <f>VLOOKUP(A3,'BSE ALL CAP'!$B$4:$Y$1038,17,)</f>
        <v>3.4390636170754746E-2</v>
      </c>
      <c r="S3" s="95">
        <f>VLOOKUP(A3,'BSE ALL CAP'!$B$4:$Y$1038,18,)</f>
        <v>5.7149629428969298E-2</v>
      </c>
      <c r="T3" s="95">
        <f>VLOOKUP(A3,'BSE ALL CAP'!$B$4:$Y$1038,19,)</f>
        <v>9.7803409225499047E-3</v>
      </c>
      <c r="U3" s="95">
        <f>VLOOKUP(A3,'BSE ALL CAP'!$B$4:$Y$1038,20,)</f>
        <v>4.7369288506419395E-2</v>
      </c>
      <c r="V3" s="95">
        <f>VLOOKUP(A3,'BSE ALL CAP'!$B$4:$Y$1038,21,)</f>
        <v>4.1615857003583168E-2</v>
      </c>
      <c r="W3" s="95">
        <f>VLOOKUP(A3,'BSE ALL CAP'!$B$4:$Y$1038,22,)</f>
        <v>4.2575170632724593</v>
      </c>
      <c r="X3" s="95">
        <f>VLOOKUP(A3,'BSE ALL CAP'!$B$4:$Y$1038,23,)</f>
        <v>7.62338171117245E-2</v>
      </c>
      <c r="Y3" s="95">
        <f>VLOOKUP(A3,'BSE ALL CAP'!$B$4:$Y$1038,24,)</f>
        <v>5.2887750349324643</v>
      </c>
    </row>
    <row r="4" spans="1:25" ht="15.75" customHeight="1">
      <c r="A4" s="99">
        <v>500547</v>
      </c>
      <c r="B4" s="98" t="s">
        <v>2171</v>
      </c>
      <c r="C4" s="6" t="str">
        <f>VLOOKUP(A4,'BSE ALL CAP'!$B$4:$Y$1038,2,)</f>
        <v>Energy</v>
      </c>
      <c r="D4" s="6" t="str">
        <f>VLOOKUP(A4,'BSE ALL CAP'!$B$4:$Y$1038,3,)</f>
        <v>Refineries &amp; Marketing</v>
      </c>
      <c r="E4" s="101">
        <f ca="1">IFERROR(__xludf.DUMMYFUNCTION("GOOGLEFINANCE(""BOM:""&amp;A4,""PRICE"")"),278.1)</f>
        <v>278.10000000000002</v>
      </c>
      <c r="F4" s="112">
        <f ca="1">IFERROR(__xludf.DUMMYFUNCTION("GOOGLEFINANCE(""BOM:""&amp;A4,""MARKETCAP"")/10000000"),120653.798888)</f>
        <v>120653.798888</v>
      </c>
      <c r="G4" s="95">
        <f t="shared" ca="1" si="0"/>
        <v>5.5119193343238074E-2</v>
      </c>
      <c r="H4" s="101">
        <f>VLOOKUP(A4,'BSE ALL CAP'!$B$4:$Y$1038,7,)</f>
        <v>390220</v>
      </c>
      <c r="I4" s="101">
        <f>VLOOKUP(A4,'BSE ALL CAP'!$B$4:$Y$1038,8,)</f>
        <v>375481</v>
      </c>
      <c r="J4" s="101">
        <f>VLOOKUP(A4,'BSE ALL CAP'!$B$4:$Y$1038,9,)</f>
        <v>20218</v>
      </c>
      <c r="K4" s="101">
        <f>VLOOKUP(A4,'BSE ALL CAP'!$B$4:$Y$1038,10,)</f>
        <v>8944</v>
      </c>
      <c r="L4" s="101">
        <f>VLOOKUP(A4,'BSE ALL CAP'!$B$4:$Y$1038,11,)</f>
        <v>137298</v>
      </c>
      <c r="M4" s="101">
        <f>VLOOKUP(A4,'BSE ALL CAP'!$B$4:$Y$1038,12,)</f>
        <v>128158</v>
      </c>
      <c r="N4" s="101">
        <f>VLOOKUP(A4,'BSE ALL CAP'!$B$4:$Y$1038,13,)</f>
        <v>7188</v>
      </c>
      <c r="O4" s="101">
        <f>VLOOKUP(A4,'BSE ALL CAP'!$B$4:$Y$1038,14,)</f>
        <v>3805</v>
      </c>
      <c r="P4" s="95">
        <f>VLOOKUP(A4,'BSE ALL CAP'!$B$4:$Y$1038,15,)</f>
        <v>5.1811798472656448E-2</v>
      </c>
      <c r="Q4" s="95">
        <f>VLOOKUP(A4,'BSE ALL CAP'!$B$4:$Y$1038,16,)</f>
        <v>2.3820113401210714E-2</v>
      </c>
      <c r="R4" s="95">
        <f>VLOOKUP(A4,'BSE ALL CAP'!$B$4:$Y$1038,17,)</f>
        <v>2.7991685071445734E-2</v>
      </c>
      <c r="S4" s="95">
        <f>VLOOKUP(A4,'BSE ALL CAP'!$B$4:$Y$1038,18,)</f>
        <v>5.2353275357252108E-2</v>
      </c>
      <c r="T4" s="95">
        <f>VLOOKUP(A4,'BSE ALL CAP'!$B$4:$Y$1038,19,)</f>
        <v>2.9689914012390954E-2</v>
      </c>
      <c r="U4" s="95">
        <f>VLOOKUP(A4,'BSE ALL CAP'!$B$4:$Y$1038,20,)</f>
        <v>2.2663361344861153E-2</v>
      </c>
      <c r="V4" s="95">
        <f>VLOOKUP(A4,'BSE ALL CAP'!$B$4:$Y$1038,21,)</f>
        <v>3.9253650650765248E-2</v>
      </c>
      <c r="W4" s="95">
        <f>VLOOKUP(A4,'BSE ALL CAP'!$B$4:$Y$1038,22,)</f>
        <v>1.2605098389982112</v>
      </c>
      <c r="X4" s="95">
        <f>VLOOKUP(A4,'BSE ALL CAP'!$B$4:$Y$1038,23,)</f>
        <v>7.1318216576413462E-2</v>
      </c>
      <c r="Y4" s="95">
        <f>VLOOKUP(A4,'BSE ALL CAP'!$B$4:$Y$1038,24,)</f>
        <v>0.88909329829172146</v>
      </c>
    </row>
    <row r="5" spans="1:25" ht="15.75" customHeight="1">
      <c r="A5" s="99">
        <v>500104</v>
      </c>
      <c r="B5" s="98" t="s">
        <v>2172</v>
      </c>
      <c r="C5" s="6" t="str">
        <f>VLOOKUP(A5,'BSE ALL CAP'!$B$4:$Y$1038,2,)</f>
        <v>Energy</v>
      </c>
      <c r="D5" s="6" t="str">
        <f>VLOOKUP(A5,'BSE ALL CAP'!$B$4:$Y$1038,3,)</f>
        <v>Refineries &amp; Marketing</v>
      </c>
      <c r="E5" s="101">
        <f ca="1">IFERROR(__xludf.DUMMYFUNCTION("GOOGLEFINANCE(""BOM:""&amp;A5,""PRICE"")"),327.75)</f>
        <v>327.75</v>
      </c>
      <c r="F5" s="112">
        <f ca="1">IFERROR(__xludf.DUMMYFUNCTION("GOOGLEFINANCE(""BOM:""&amp;A5,""MARKETCAP"")/10000000"),69813.8411187)</f>
        <v>69813.841118700002</v>
      </c>
      <c r="G5" s="95">
        <f t="shared" ca="1" si="0"/>
        <v>3.1893588449940238E-2</v>
      </c>
      <c r="H5" s="101">
        <f>VLOOKUP(A5,'BSE ALL CAP'!$B$4:$Y$1038,7,)</f>
        <v>356808</v>
      </c>
      <c r="I5" s="101">
        <f>VLOOKUP(A5,'BSE ALL CAP'!$B$4:$Y$1038,8,)</f>
        <v>349756</v>
      </c>
      <c r="J5" s="101">
        <f>VLOOKUP(A5,'BSE ALL CAP'!$B$4:$Y$1038,9,)</f>
        <v>11981</v>
      </c>
      <c r="K5" s="101">
        <f>VLOOKUP(A5,'BSE ALL CAP'!$B$4:$Y$1038,10,)</f>
        <v>3320</v>
      </c>
      <c r="L5" s="101">
        <f>VLOOKUP(A5,'BSE ALL CAP'!$B$4:$Y$1038,11,)</f>
        <v>125189</v>
      </c>
      <c r="M5" s="101">
        <f>VLOOKUP(A5,'BSE ALL CAP'!$B$4:$Y$1038,12,)</f>
        <v>119493</v>
      </c>
      <c r="N5" s="101">
        <f>VLOOKUP(A5,'BSE ALL CAP'!$B$4:$Y$1038,13,)</f>
        <v>4011</v>
      </c>
      <c r="O5" s="101">
        <f>VLOOKUP(A5,'BSE ALL CAP'!$B$4:$Y$1038,14,)</f>
        <v>2543</v>
      </c>
      <c r="P5" s="95">
        <f>VLOOKUP(A5,'BSE ALL CAP'!$B$4:$Y$1038,15,)</f>
        <v>3.3578282998139058E-2</v>
      </c>
      <c r="Q5" s="95">
        <f>VLOOKUP(A5,'BSE ALL CAP'!$B$4:$Y$1038,16,)</f>
        <v>9.4923317970242119E-3</v>
      </c>
      <c r="R5" s="95">
        <f>VLOOKUP(A5,'BSE ALL CAP'!$B$4:$Y$1038,17,)</f>
        <v>2.4085951201114848E-2</v>
      </c>
      <c r="S5" s="95">
        <f>VLOOKUP(A5,'BSE ALL CAP'!$B$4:$Y$1038,18,)</f>
        <v>3.2039556191039147E-2</v>
      </c>
      <c r="T5" s="95">
        <f>VLOOKUP(A5,'BSE ALL CAP'!$B$4:$Y$1038,19,)</f>
        <v>2.1281581347861379E-2</v>
      </c>
      <c r="U5" s="95">
        <f>VLOOKUP(A5,'BSE ALL CAP'!$B$4:$Y$1038,20,)</f>
        <v>1.0757974843177767E-2</v>
      </c>
      <c r="V5" s="95">
        <f>VLOOKUP(A5,'BSE ALL CAP'!$B$4:$Y$1038,21,)</f>
        <v>2.0162627660426091E-2</v>
      </c>
      <c r="W5" s="95">
        <f>VLOOKUP(A5,'BSE ALL CAP'!$B$4:$Y$1038,22,)</f>
        <v>2.608734939759036</v>
      </c>
      <c r="X5" s="95">
        <f>VLOOKUP(A5,'BSE ALL CAP'!$B$4:$Y$1038,23,)</f>
        <v>4.7668064238072461E-2</v>
      </c>
      <c r="Y5" s="95">
        <f>VLOOKUP(A5,'BSE ALL CAP'!$B$4:$Y$1038,24,)</f>
        <v>0.57727093983484079</v>
      </c>
    </row>
    <row r="6" spans="1:25" ht="15.75" customHeight="1">
      <c r="A6" s="99">
        <v>500109</v>
      </c>
      <c r="B6" s="98" t="s">
        <v>2173</v>
      </c>
      <c r="C6" s="6" t="str">
        <f>VLOOKUP(A6,'BSE ALL CAP'!$B$4:$Y$1038,2,)</f>
        <v>Energy</v>
      </c>
      <c r="D6" s="6" t="str">
        <f>VLOOKUP(A6,'BSE ALL CAP'!$B$4:$Y$1038,3,)</f>
        <v>Refineries &amp; Marketing</v>
      </c>
      <c r="E6" s="101">
        <f ca="1">IFERROR(__xludf.DUMMYFUNCTION("GOOGLEFINANCE(""BOM:""&amp;A6,""PRICE"")"),179.8)</f>
        <v>179.8</v>
      </c>
      <c r="F6" s="112">
        <f ca="1">IFERROR(__xludf.DUMMYFUNCTION("GOOGLEFINANCE(""BOM:""&amp;A6,""MARKETCAP"")/10000000"),31498.785845)</f>
        <v>31498.785844999999</v>
      </c>
      <c r="G6" s="95">
        <f t="shared" ca="1" si="0"/>
        <v>1.4389830101242534E-2</v>
      </c>
      <c r="H6" s="101">
        <f>VLOOKUP(A6,'BSE ALL CAP'!$B$4:$Y$1038,7,)</f>
        <v>76661</v>
      </c>
      <c r="I6" s="101">
        <f>VLOOKUP(A6,'BSE ALL CAP'!$B$4:$Y$1038,8,)</f>
        <v>81676</v>
      </c>
      <c r="J6" s="101">
        <f>VLOOKUP(A6,'BSE ALL CAP'!$B$4:$Y$1038,9,)</f>
        <v>1807</v>
      </c>
      <c r="K6" s="101">
        <f>VLOOKUP(A6,'BSE ALL CAP'!$B$4:$Y$1038,10,)</f>
        <v>-314</v>
      </c>
      <c r="L6" s="101">
        <f>VLOOKUP(A6,'BSE ALL CAP'!$B$4:$Y$1038,11,)</f>
        <v>29720</v>
      </c>
      <c r="M6" s="101">
        <f>VLOOKUP(A6,'BSE ALL CAP'!$B$4:$Y$1038,12,)</f>
        <v>25600</v>
      </c>
      <c r="N6" s="101">
        <f>VLOOKUP(A6,'BSE ALL CAP'!$B$4:$Y$1038,13,)</f>
        <v>1450</v>
      </c>
      <c r="O6" s="101">
        <f>VLOOKUP(A6,'BSE ALL CAP'!$B$4:$Y$1038,14,)</f>
        <v>309</v>
      </c>
      <c r="P6" s="95">
        <f>VLOOKUP(A6,'BSE ALL CAP'!$B$4:$Y$1038,15,)</f>
        <v>2.3571307444463285E-2</v>
      </c>
      <c r="Q6" s="95">
        <f>VLOOKUP(A6,'BSE ALL CAP'!$B$4:$Y$1038,16,)</f>
        <v>-3.8444585924873893E-3</v>
      </c>
      <c r="R6" s="95">
        <f>VLOOKUP(A6,'BSE ALL CAP'!$B$4:$Y$1038,17,)</f>
        <v>2.7415766036950673E-2</v>
      </c>
      <c r="S6" s="95">
        <f>VLOOKUP(A6,'BSE ALL CAP'!$B$4:$Y$1038,18,)</f>
        <v>4.8788694481830416E-2</v>
      </c>
      <c r="T6" s="95">
        <f>VLOOKUP(A6,'BSE ALL CAP'!$B$4:$Y$1038,19,)</f>
        <v>1.2070312499999999E-2</v>
      </c>
      <c r="U6" s="95">
        <f>VLOOKUP(A6,'BSE ALL CAP'!$B$4:$Y$1038,20,)</f>
        <v>3.6718381981830417E-2</v>
      </c>
      <c r="V6" s="95">
        <f>VLOOKUP(A6,'BSE ALL CAP'!$B$4:$Y$1038,21,)</f>
        <v>-6.1401145991478501E-2</v>
      </c>
      <c r="W6" s="95">
        <f>VLOOKUP(A6,'BSE ALL CAP'!$B$4:$Y$1038,22,)</f>
        <v>-6.7547770700636942</v>
      </c>
      <c r="X6" s="95">
        <f>VLOOKUP(A6,'BSE ALL CAP'!$B$4:$Y$1038,23,)</f>
        <v>0.16093749999999996</v>
      </c>
      <c r="Y6" s="95">
        <f>VLOOKUP(A6,'BSE ALL CAP'!$B$4:$Y$1038,24,)</f>
        <v>3.6925566343042071</v>
      </c>
    </row>
    <row r="7" spans="1:25" ht="15.75" customHeight="1">
      <c r="A7" s="99">
        <v>500110</v>
      </c>
      <c r="B7" s="98" t="s">
        <v>2174</v>
      </c>
      <c r="C7" s="6" t="str">
        <f>VLOOKUP(A7,'BSE ALL CAP'!$B$4:$Y$1038,2,)</f>
        <v>Energy</v>
      </c>
      <c r="D7" s="6" t="str">
        <f>VLOOKUP(A7,'BSE ALL CAP'!$B$4:$Y$1038,3,)</f>
        <v>Refineries &amp; Marketing</v>
      </c>
      <c r="E7" s="101">
        <f ca="1">IFERROR(__xludf.DUMMYFUNCTION("GOOGLEFINANCE(""BOM:""&amp;A7,""PRICE"")"),990.35)</f>
        <v>990.35</v>
      </c>
      <c r="F7" s="112">
        <f ca="1">IFERROR(__xludf.DUMMYFUNCTION("GOOGLEFINANCE(""BOM:""&amp;A7,""MARKETCAP"")/10000000"),14748.9297947)</f>
        <v>14748.9297947</v>
      </c>
      <c r="G7" s="95">
        <f t="shared" ca="1" si="0"/>
        <v>6.737865864584627E-3</v>
      </c>
      <c r="H7" s="101">
        <f>VLOOKUP(A7,'BSE ALL CAP'!$B$4:$Y$1038,7,)</f>
        <v>58200</v>
      </c>
      <c r="I7" s="101">
        <f>VLOOKUP(A7,'BSE ALL CAP'!$B$4:$Y$1038,8,)</f>
        <v>50482</v>
      </c>
      <c r="J7" s="101">
        <f>VLOOKUP(A7,'BSE ALL CAP'!$B$4:$Y$1038,9,)</f>
        <v>1680</v>
      </c>
      <c r="K7" s="101">
        <f>VLOOKUP(A7,'BSE ALL CAP'!$B$4:$Y$1038,10,)</f>
        <v>-255</v>
      </c>
      <c r="L7" s="101">
        <f>VLOOKUP(A7,'BSE ALL CAP'!$B$4:$Y$1038,11,)</f>
        <v>19467</v>
      </c>
      <c r="M7" s="101">
        <f>VLOOKUP(A7,'BSE ALL CAP'!$B$4:$Y$1038,12,)</f>
        <v>15687</v>
      </c>
      <c r="N7" s="101">
        <f>VLOOKUP(A7,'BSE ALL CAP'!$B$4:$Y$1038,13,)</f>
        <v>1001</v>
      </c>
      <c r="O7" s="101">
        <f>VLOOKUP(A7,'BSE ALL CAP'!$B$4:$Y$1038,14,)</f>
        <v>20</v>
      </c>
      <c r="P7" s="95">
        <f>VLOOKUP(A7,'BSE ALL CAP'!$B$4:$Y$1038,15,)</f>
        <v>2.88659793814433E-2</v>
      </c>
      <c r="Q7" s="95">
        <f>VLOOKUP(A7,'BSE ALL CAP'!$B$4:$Y$1038,16,)</f>
        <v>-5.0513054157917672E-3</v>
      </c>
      <c r="R7" s="95">
        <f>VLOOKUP(A7,'BSE ALL CAP'!$B$4:$Y$1038,17,)</f>
        <v>3.3917284797235069E-2</v>
      </c>
      <c r="S7" s="95">
        <f>VLOOKUP(A7,'BSE ALL CAP'!$B$4:$Y$1038,18,)</f>
        <v>5.1420352391226179E-2</v>
      </c>
      <c r="T7" s="95">
        <f>VLOOKUP(A7,'BSE ALL CAP'!$B$4:$Y$1038,19,)</f>
        <v>1.2749410339771786E-3</v>
      </c>
      <c r="U7" s="95">
        <f>VLOOKUP(A7,'BSE ALL CAP'!$B$4:$Y$1038,20,)</f>
        <v>5.0145411357249002E-2</v>
      </c>
      <c r="V7" s="95">
        <f>VLOOKUP(A7,'BSE ALL CAP'!$B$4:$Y$1038,21,)</f>
        <v>0.15288617725129749</v>
      </c>
      <c r="W7" s="95">
        <f>VLOOKUP(A7,'BSE ALL CAP'!$B$4:$Y$1038,22,)</f>
        <v>-7.5882352941176467</v>
      </c>
      <c r="X7" s="95">
        <f>VLOOKUP(A7,'BSE ALL CAP'!$B$4:$Y$1038,23,)</f>
        <v>0.24096385542168686</v>
      </c>
      <c r="Y7" s="95">
        <f>VLOOKUP(A7,'BSE ALL CAP'!$B$4:$Y$1038,24,)</f>
        <v>49.05</v>
      </c>
    </row>
    <row r="8" spans="1:25" ht="15.75" customHeight="1">
      <c r="A8" s="99">
        <v>526873</v>
      </c>
      <c r="B8" s="98" t="s">
        <v>2175</v>
      </c>
      <c r="C8" s="6"/>
      <c r="D8" s="6"/>
      <c r="E8" s="101">
        <f ca="1">IFERROR(__xludf.DUMMYFUNCTION("GOOGLEFINANCE(""BOM:""&amp;A8,""PRICE"")"),46.05)</f>
        <v>46.05</v>
      </c>
      <c r="F8" s="112">
        <f ca="1">IFERROR(__xludf.DUMMYFUNCTION("GOOGLEFINANCE(""BOM:""&amp;A8,""MARKETCAP"")/10000000"),354.8495)</f>
        <v>354.84949999999998</v>
      </c>
      <c r="G8" s="95">
        <f t="shared" ca="1" si="0"/>
        <v>1.6210859814209017E-4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543805</v>
      </c>
      <c r="B9" s="98" t="s">
        <v>2176</v>
      </c>
      <c r="C9" s="6"/>
      <c r="D9" s="6"/>
      <c r="E9" s="101">
        <f ca="1">IFERROR(__xludf.DUMMYFUNCTION("GOOGLEFINANCE(""BOM:""&amp;A9,""PRICE"")"),59.39)</f>
        <v>59.39</v>
      </c>
      <c r="F9" s="112">
        <f ca="1">IFERROR(__xludf.DUMMYFUNCTION("GOOGLEFINANCE(""BOM:""&amp;A9,""MARKETCAP"")/10000000"),124.5705237)</f>
        <v>124.5705237</v>
      </c>
      <c r="G9" s="95">
        <f t="shared" ca="1" si="0"/>
        <v>5.6908500552580794E-5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532435</v>
      </c>
      <c r="B10" s="98" t="s">
        <v>2177</v>
      </c>
      <c r="C10" s="6"/>
      <c r="D10" s="6"/>
      <c r="E10" s="101">
        <f ca="1">IFERROR(__xludf.DUMMYFUNCTION("GOOGLEFINANCE(""BOM:""&amp;A10,""PRICE"")"),6.1)</f>
        <v>6.1</v>
      </c>
      <c r="F10" s="112">
        <f ca="1">IFERROR(__xludf.DUMMYFUNCTION("GOOGLEFINANCE(""BOM:""&amp;A10,""MARKETCAP"")/10000000"),96.3845124)</f>
        <v>96.384512400000006</v>
      </c>
      <c r="G10" s="95">
        <f t="shared" ca="1" si="0"/>
        <v>4.403207046303548E-5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523232</v>
      </c>
      <c r="B11" s="98" t="s">
        <v>2178</v>
      </c>
      <c r="C11" s="6"/>
      <c r="D11" s="6"/>
      <c r="E11" s="101">
        <f ca="1">IFERROR(__xludf.DUMMYFUNCTION("GOOGLEFINANCE(""BOM:""&amp;A11,""PRICE"")"),81)</f>
        <v>81</v>
      </c>
      <c r="F11" s="112">
        <f ca="1">IFERROR(__xludf.DUMMYFUNCTION("GOOGLEFINANCE(""BOM:""&amp;A11,""MARKETCAP"")/10000000"),68.5897713)</f>
        <v>68.589771299999995</v>
      </c>
      <c r="G11" s="95">
        <f t="shared" ca="1" si="0"/>
        <v>3.133438731724173E-5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530053</v>
      </c>
      <c r="B12" s="98" t="s">
        <v>2179</v>
      </c>
      <c r="C12" s="6"/>
      <c r="D12" s="6"/>
      <c r="E12" s="101">
        <f ca="1">IFERROR(__xludf.DUMMYFUNCTION("GOOGLEFINANCE(""BOM:""&amp;A12,""PRICE"")"),4.98)</f>
        <v>4.9800000000000004</v>
      </c>
      <c r="F12" s="112">
        <f ca="1">IFERROR(__xludf.DUMMYFUNCTION("GOOGLEFINANCE(""BOM:""&amp;A12,""MARKETCAP"")/10000000"),49.8000001)</f>
        <v>49.800000099999998</v>
      </c>
      <c r="G12" s="95">
        <f t="shared" ca="1" si="0"/>
        <v>2.2750513115241672E-5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543400</v>
      </c>
      <c r="B13" s="98" t="s">
        <v>2180</v>
      </c>
      <c r="C13" s="6"/>
      <c r="D13" s="6"/>
      <c r="E13" s="101">
        <f ca="1">IFERROR(__xludf.DUMMYFUNCTION("GOOGLEFINANCE(""BOM:""&amp;A13,""PRICE"")"),3.71)</f>
        <v>3.71</v>
      </c>
      <c r="F13" s="112">
        <f ca="1">IFERROR(__xludf.DUMMYFUNCTION("GOOGLEFINANCE(""BOM:""&amp;A13,""MARKETCAP"")/10000000"),2.24455)</f>
        <v>2.2445499999999998</v>
      </c>
      <c r="G13" s="95">
        <f t="shared" ca="1" si="0"/>
        <v>1.0253948616521326E-6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>
      <c r="A14" s="101"/>
      <c r="B14" s="101"/>
      <c r="C14" s="101"/>
      <c r="D14" s="101"/>
      <c r="E14" s="101"/>
      <c r="F14" s="101"/>
      <c r="G14" s="95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>
      <c r="A15" s="101"/>
      <c r="B15" s="101"/>
      <c r="C15" s="101"/>
      <c r="D15" s="101"/>
      <c r="E15" s="101"/>
      <c r="F15" s="112">
        <f ca="1">SUM(F2:F13)</f>
        <v>2188961.6224363996</v>
      </c>
      <c r="G15" s="95">
        <f ca="1">F15/$F$15</f>
        <v>1</v>
      </c>
      <c r="H15" s="101">
        <f t="shared" ref="H15:O15" si="1">SUM(H2:H13)</f>
        <v>2323496</v>
      </c>
      <c r="I15" s="101">
        <f t="shared" si="1"/>
        <v>2210960</v>
      </c>
      <c r="J15" s="101">
        <f t="shared" si="1"/>
        <v>134996</v>
      </c>
      <c r="K15" s="101">
        <f t="shared" si="1"/>
        <v>72685</v>
      </c>
      <c r="L15" s="101">
        <f t="shared" si="1"/>
        <v>817427</v>
      </c>
      <c r="M15" s="101">
        <f t="shared" si="1"/>
        <v>752325</v>
      </c>
      <c r="N15" s="101">
        <f t="shared" si="1"/>
        <v>48875</v>
      </c>
      <c r="O15" s="101">
        <f t="shared" si="1"/>
        <v>28834</v>
      </c>
      <c r="P15" s="95">
        <f t="shared" ref="P15:Q15" si="2">J15/H15</f>
        <v>5.8100379772549643E-2</v>
      </c>
      <c r="Q15" s="95">
        <f t="shared" si="2"/>
        <v>3.2874859789412743E-2</v>
      </c>
      <c r="R15" s="95">
        <f>P15-Q15</f>
        <v>2.52255199831369E-2</v>
      </c>
      <c r="S15" s="95">
        <f t="shared" ref="S15:T15" si="3">N15/L15</f>
        <v>5.9791271881158806E-2</v>
      </c>
      <c r="T15" s="95">
        <f t="shared" si="3"/>
        <v>3.832652111786794E-2</v>
      </c>
      <c r="U15" s="95">
        <f>S15-T15</f>
        <v>2.1464750763290866E-2</v>
      </c>
      <c r="V15" s="95">
        <f>(H15/I15)-1</f>
        <v>5.0899156927307621E-2</v>
      </c>
      <c r="W15" s="95">
        <f>(J15/K15)-1</f>
        <v>0.85727454082685561</v>
      </c>
      <c r="X15" s="95">
        <f>(L15/M15)-1</f>
        <v>8.6534409995679962E-2</v>
      </c>
      <c r="Y15" s="95">
        <f>(N15/O15)-1</f>
        <v>0.69504751335229242</v>
      </c>
    </row>
    <row r="16" spans="1:25">
      <c r="G16" s="50"/>
    </row>
    <row r="17" spans="7:7">
      <c r="G17" s="50"/>
    </row>
    <row r="18" spans="7:7">
      <c r="G18" s="50"/>
    </row>
    <row r="19" spans="7:7">
      <c r="G19" s="50"/>
    </row>
    <row r="20" spans="7:7">
      <c r="G20" s="50"/>
    </row>
    <row r="21" spans="7:7">
      <c r="G21" s="50"/>
    </row>
    <row r="22" spans="7:7">
      <c r="G22" s="50"/>
    </row>
    <row r="23" spans="7:7">
      <c r="G23" s="50"/>
    </row>
    <row r="24" spans="7:7">
      <c r="G24" s="50"/>
    </row>
    <row r="25" spans="7:7" ht="13.2">
      <c r="G25" s="50"/>
    </row>
    <row r="26" spans="7:7" ht="13.2">
      <c r="G26" s="50"/>
    </row>
    <row r="27" spans="7:7" ht="13.2">
      <c r="G27" s="50"/>
    </row>
    <row r="28" spans="7:7" ht="13.2">
      <c r="G28" s="50"/>
    </row>
    <row r="29" spans="7:7" ht="13.2">
      <c r="G29" s="50"/>
    </row>
    <row r="30" spans="7:7" ht="13.2">
      <c r="G30" s="50"/>
    </row>
    <row r="31" spans="7:7" ht="13.2">
      <c r="G31" s="50"/>
    </row>
    <row r="32" spans="7:7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13" xr:uid="{00000000-0009-0000-0000-000031000000}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outlinePr summaryBelow="0" summaryRight="0"/>
  </sheetPr>
  <dimension ref="A1:Y9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532344</v>
      </c>
      <c r="B2" s="98" t="s">
        <v>2181</v>
      </c>
      <c r="C2" s="6" t="e">
        <f>VLOOKUP(A2,'BSE ALL CAP'!$B$4:$Y$1038,2,)</f>
        <v>#N/A</v>
      </c>
      <c r="D2" s="6" t="e">
        <f>VLOOKUP(A2,'BSE ALL CAP'!$B$4:$Y$1038,3,)</f>
        <v>#N/A</v>
      </c>
      <c r="E2" s="101">
        <f ca="1">IFERROR(__xludf.DUMMYFUNCTION("GOOGLEFINANCE(""BOM:""&amp;A2,""PRICE"")"),195.7)</f>
        <v>195.7</v>
      </c>
      <c r="F2" s="112">
        <f ca="1">IFERROR(__xludf.DUMMYFUNCTION("GOOGLEFINANCE(""BOM:""&amp;A2,""MARKETCAP"")/10000000"),288.925213)</f>
        <v>288.92521299999999</v>
      </c>
      <c r="G2" s="95">
        <f t="shared" ref="G2:G7" ca="1" si="0">F2/$F$9</f>
        <v>0.4264067490527515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.75" customHeight="1">
      <c r="A3" s="99">
        <v>544542</v>
      </c>
      <c r="B3" s="98" t="s">
        <v>2182</v>
      </c>
      <c r="C3" s="6" t="e">
        <f>VLOOKUP(A3,'BSE ALL CAP'!$B$4:$Y$1038,2,)</f>
        <v>#N/A</v>
      </c>
      <c r="D3" s="6" t="e">
        <f>VLOOKUP(A3,'BSE ALL CAP'!$B$4:$Y$1038,3,)</f>
        <v>#N/A</v>
      </c>
      <c r="E3" s="101">
        <f ca="1">IFERROR(__xludf.DUMMYFUNCTION("GOOGLEFINANCE(""BOM:""&amp;A3,""PRICE"")"),98.1)</f>
        <v>98.1</v>
      </c>
      <c r="F3" s="112">
        <f ca="1">IFERROR(__xludf.DUMMYFUNCTION("GOOGLEFINANCE(""BOM:""&amp;A3,""MARKETCAP"")/10000000"),184.4097505)</f>
        <v>184.4097505</v>
      </c>
      <c r="G3" s="95">
        <f t="shared" ca="1" si="0"/>
        <v>0.27215887941331729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530017</v>
      </c>
      <c r="B4" s="98" t="s">
        <v>2183</v>
      </c>
      <c r="C4" s="6" t="e">
        <f>VLOOKUP(A4,'BSE ALL CAP'!$B$4:$Y$1038,2,)</f>
        <v>#N/A</v>
      </c>
      <c r="D4" s="6" t="e">
        <f>VLOOKUP(A4,'BSE ALL CAP'!$B$4:$Y$1038,3,)</f>
        <v>#N/A</v>
      </c>
      <c r="E4" s="101">
        <f ca="1">IFERROR(__xludf.DUMMYFUNCTION("GOOGLEFINANCE(""BOM:""&amp;A4,""PRICE"")"),13.49)</f>
        <v>13.49</v>
      </c>
      <c r="F4" s="112">
        <f ca="1">IFERROR(__xludf.DUMMYFUNCTION("GOOGLEFINANCE(""BOM:""&amp;A4,""MARKETCAP"")/10000000"),86.779725)</f>
        <v>86.779724999999999</v>
      </c>
      <c r="G4" s="95">
        <f t="shared" ca="1" si="0"/>
        <v>0.12807279792830606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533012</v>
      </c>
      <c r="B5" s="98" t="s">
        <v>2184</v>
      </c>
      <c r="C5" s="6" t="e">
        <f>VLOOKUP(A5,'BSE ALL CAP'!$B$4:$Y$1038,2,)</f>
        <v>#N/A</v>
      </c>
      <c r="D5" s="6" t="e">
        <f>VLOOKUP(A5,'BSE ALL CAP'!$B$4:$Y$1038,3,)</f>
        <v>#N/A</v>
      </c>
      <c r="E5" s="101">
        <f ca="1">IFERROR(__xludf.DUMMYFUNCTION("GOOGLEFINANCE(""BOM:""&amp;A5,""PRICE"")"),5.89)</f>
        <v>5.89</v>
      </c>
      <c r="F5" s="112">
        <f ca="1">IFERROR(__xludf.DUMMYFUNCTION("GOOGLEFINANCE(""BOM:""&amp;A5,""MARKETCAP"")/10000000"),78.8761443)</f>
        <v>78.876144300000007</v>
      </c>
      <c r="G5" s="95">
        <f t="shared" ca="1" si="0"/>
        <v>0.11640839482146101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508961</v>
      </c>
      <c r="B6" s="98" t="s">
        <v>2185</v>
      </c>
      <c r="C6" s="6" t="e">
        <f>VLOOKUP(A6,'BSE ALL CAP'!$B$4:$Y$1038,2,)</f>
        <v>#N/A</v>
      </c>
      <c r="D6" s="6" t="e">
        <f>VLOOKUP(A6,'BSE ALL CAP'!$B$4:$Y$1038,3,)</f>
        <v>#N/A</v>
      </c>
      <c r="E6" s="101">
        <f ca="1">IFERROR(__xludf.DUMMYFUNCTION("GOOGLEFINANCE(""BOM:""&amp;A6,""PRICE"")"),140)</f>
        <v>140</v>
      </c>
      <c r="F6" s="112">
        <f ca="1">IFERROR(__xludf.DUMMYFUNCTION("GOOGLEFINANCE(""BOM:""&amp;A6,""MARKETCAP"")/10000000"),17.36)</f>
        <v>17.36</v>
      </c>
      <c r="G6" s="95">
        <f t="shared" ca="1" si="0"/>
        <v>2.5620544107916834E-2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531583</v>
      </c>
      <c r="B7" s="98" t="s">
        <v>2186</v>
      </c>
      <c r="C7" s="6" t="e">
        <f>VLOOKUP(A7,'BSE ALL CAP'!$B$4:$Y$1038,2,)</f>
        <v>#N/A</v>
      </c>
      <c r="D7" s="6" t="e">
        <f>VLOOKUP(A7,'BSE ALL CAP'!$B$4:$Y$1038,3,)</f>
        <v>#N/A</v>
      </c>
      <c r="E7" s="101">
        <f ca="1">IFERROR(__xludf.DUMMYFUNCTION("GOOGLEFINANCE(""BOM:""&amp;A7,""PRICE"")"),36.1)</f>
        <v>36.1</v>
      </c>
      <c r="F7" s="112">
        <f ca="1">IFERROR(__xludf.DUMMYFUNCTION("GOOGLEFINANCE(""BOM:""&amp;A7,""MARKETCAP"")/10000000"),21.2304054)</f>
        <v>21.230405399999999</v>
      </c>
      <c r="G7" s="95">
        <f t="shared" ca="1" si="0"/>
        <v>3.1332634676247445E-2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A9" s="101"/>
      <c r="B9" s="101"/>
      <c r="C9" s="101"/>
      <c r="D9" s="101"/>
      <c r="E9" s="101"/>
      <c r="F9" s="112">
        <f ca="1">SUM(F2:F7)</f>
        <v>677.58123819999992</v>
      </c>
      <c r="G9" s="95">
        <f ca="1">F9/$F$9</f>
        <v>1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</sheetData>
  <autoFilter ref="A1:Y7" xr:uid="{00000000-0009-0000-0000-000032000000}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508989</v>
      </c>
      <c r="B2" s="98" t="s">
        <v>2187</v>
      </c>
      <c r="C2" s="6" t="str">
        <f>VLOOKUP(A2,'BSE ALL CAP'!$B$4:$Y$1038,2,)</f>
        <v>Consumer Discretionary</v>
      </c>
      <c r="D2" s="6" t="str">
        <f>VLOOKUP(A2,'BSE ALL CAP'!$B$4:$Y$1038,3,)</f>
        <v>Printing &amp; Publication</v>
      </c>
      <c r="E2" s="101">
        <f ca="1">IFERROR(__xludf.DUMMYFUNCTION("GOOGLEFINANCE(""BOM:""&amp;A2,""PRICE"")"),133.45)</f>
        <v>133.44999999999999</v>
      </c>
      <c r="F2" s="112">
        <f ca="1">IFERROR(__xludf.DUMMYFUNCTION("GOOGLEFINANCE(""BOM:""&amp;A2,""MARKETCAP"")/10000000"),2950.5404358)</f>
        <v>2950.5404358000001</v>
      </c>
      <c r="G2" s="95">
        <f t="shared" ref="G2:G9" ca="1" si="0">F2/$F$11</f>
        <v>0.71745135020660122</v>
      </c>
      <c r="H2" s="101">
        <f>VLOOKUP(A2,'BSE ALL CAP'!$B$4:$Y$1038,7,)</f>
        <v>1291</v>
      </c>
      <c r="I2" s="101">
        <f>VLOOKUP(A2,'BSE ALL CAP'!$B$4:$Y$1038,8,)</f>
        <v>1352</v>
      </c>
      <c r="J2" s="101">
        <f>VLOOKUP(A2,'BSE ALL CAP'!$B$4:$Y$1038,9,)</f>
        <v>330</v>
      </c>
      <c r="K2" s="101">
        <f>VLOOKUP(A2,'BSE ALL CAP'!$B$4:$Y$1038,10,)</f>
        <v>757</v>
      </c>
      <c r="L2" s="101">
        <f>VLOOKUP(A2,'BSE ALL CAP'!$B$4:$Y$1038,11,)</f>
        <v>250</v>
      </c>
      <c r="M2" s="101">
        <f>VLOOKUP(A2,'BSE ALL CAP'!$B$4:$Y$1038,12,)</f>
        <v>247</v>
      </c>
      <c r="N2" s="101">
        <f>VLOOKUP(A2,'BSE ALL CAP'!$B$4:$Y$1038,13,)</f>
        <v>188</v>
      </c>
      <c r="O2" s="101">
        <f>VLOOKUP(A2,'BSE ALL CAP'!$B$4:$Y$1038,14,)</f>
        <v>-15</v>
      </c>
      <c r="P2" s="95">
        <f>VLOOKUP(A2,'BSE ALL CAP'!$B$4:$Y$1038,15,)</f>
        <v>0.25561580170410536</v>
      </c>
      <c r="Q2" s="95">
        <f>VLOOKUP(A2,'BSE ALL CAP'!$B$4:$Y$1038,16,)</f>
        <v>0.5599112426035503</v>
      </c>
      <c r="R2" s="95">
        <f>VLOOKUP(A2,'BSE ALL CAP'!$B$4:$Y$1038,17,)</f>
        <v>-0.30429544089944494</v>
      </c>
      <c r="S2" s="95">
        <f>VLOOKUP(A2,'BSE ALL CAP'!$B$4:$Y$1038,18,)</f>
        <v>0.752</v>
      </c>
      <c r="T2" s="95">
        <f>VLOOKUP(A2,'BSE ALL CAP'!$B$4:$Y$1038,19,)</f>
        <v>-6.0728744939271252E-2</v>
      </c>
      <c r="U2" s="95">
        <f>VLOOKUP(A2,'BSE ALL CAP'!$B$4:$Y$1038,20,)</f>
        <v>0.81272874493927127</v>
      </c>
      <c r="V2" s="95">
        <f>VLOOKUP(A2,'BSE ALL CAP'!$B$4:$Y$1038,21,)</f>
        <v>-4.5118343195266308E-2</v>
      </c>
      <c r="W2" s="95">
        <f>VLOOKUP(A2,'BSE ALL CAP'!$B$4:$Y$1038,22,)</f>
        <v>-0.56406869220607669</v>
      </c>
      <c r="X2" s="95">
        <f>VLOOKUP(A2,'BSE ALL CAP'!$B$4:$Y$1038,23,)</f>
        <v>1.2145748987854255E-2</v>
      </c>
      <c r="Y2" s="95">
        <f>VLOOKUP(A2,'BSE ALL CAP'!$B$4:$Y$1038,24,)</f>
        <v>-13.533333333333333</v>
      </c>
    </row>
    <row r="3" spans="1:25" ht="15.75" customHeight="1">
      <c r="A3" s="99">
        <v>532687</v>
      </c>
      <c r="B3" s="98" t="s">
        <v>2188</v>
      </c>
      <c r="C3" s="6"/>
      <c r="D3" s="6"/>
      <c r="E3" s="101">
        <f ca="1">IFERROR(__xludf.DUMMYFUNCTION("GOOGLEFINANCE(""BOM:""&amp;A3,""PRICE"")"),351.9)</f>
        <v>351.9</v>
      </c>
      <c r="F3" s="112">
        <f ca="1">IFERROR(__xludf.DUMMYFUNCTION("GOOGLEFINANCE(""BOM:""&amp;A3,""MARKETCAP"")/10000000"),502.5886453)</f>
        <v>502.5886453</v>
      </c>
      <c r="G3" s="95">
        <f t="shared" ca="1" si="0"/>
        <v>0.12220910372686498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540497</v>
      </c>
      <c r="B4" s="98" t="s">
        <v>2189</v>
      </c>
      <c r="C4" s="6"/>
      <c r="D4" s="6"/>
      <c r="E4" s="101">
        <f ca="1">IFERROR(__xludf.DUMMYFUNCTION("GOOGLEFINANCE(""BOM:""&amp;A4,""PRICE"")"),140.4)</f>
        <v>140.4</v>
      </c>
      <c r="F4" s="112">
        <f ca="1">IFERROR(__xludf.DUMMYFUNCTION("GOOGLEFINANCE(""BOM:""&amp;A4,""MARKETCAP"")/10000000"),498.7134922)</f>
        <v>498.71349220000002</v>
      </c>
      <c r="G4" s="95">
        <f t="shared" ca="1" si="0"/>
        <v>0.12126682420745265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544667</v>
      </c>
      <c r="B5" s="98" t="s">
        <v>2190</v>
      </c>
      <c r="C5" s="6"/>
      <c r="D5" s="6"/>
      <c r="E5" s="101">
        <f ca="1">IFERROR(__xludf.DUMMYFUNCTION("GOOGLEFINANCE(""BOM:""&amp;A5,""PRICE"")"),53)</f>
        <v>53</v>
      </c>
      <c r="F5" s="112">
        <f ca="1">IFERROR(__xludf.DUMMYFUNCTION("GOOGLEFINANCE(""BOM:""&amp;A5,""MARKETCAP"")/10000000"),79.3728)</f>
        <v>79.372799999999998</v>
      </c>
      <c r="G5" s="95">
        <f t="shared" ca="1" si="0"/>
        <v>1.9300234573547993E-2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509069</v>
      </c>
      <c r="B6" s="98" t="s">
        <v>2191</v>
      </c>
      <c r="C6" s="6"/>
      <c r="D6" s="6"/>
      <c r="E6" s="101">
        <f ca="1">IFERROR(__xludf.DUMMYFUNCTION("GOOGLEFINANCE(""BOM:""&amp;A6,""PRICE"")"),5.08)</f>
        <v>5.08</v>
      </c>
      <c r="F6" s="112">
        <f ca="1">IFERROR(__xludf.DUMMYFUNCTION("GOOGLEFINANCE(""BOM:""&amp;A6,""MARKETCAP"")/10000000"),26.0005791)</f>
        <v>26.000579099999999</v>
      </c>
      <c r="G6" s="95">
        <f t="shared" ca="1" si="0"/>
        <v>6.3222826418885226E-3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541503</v>
      </c>
      <c r="B7" s="98" t="s">
        <v>2192</v>
      </c>
      <c r="C7" s="6"/>
      <c r="D7" s="6"/>
      <c r="E7" s="101">
        <f ca="1">IFERROR(__xludf.DUMMYFUNCTION("GOOGLEFINANCE(""BOM:""&amp;A7,""PRICE"")"),42.75)</f>
        <v>42.75</v>
      </c>
      <c r="F7" s="112">
        <f ca="1">IFERROR(__xludf.DUMMYFUNCTION("GOOGLEFINANCE(""BOM:""&amp;A7,""MARKETCAP"")/10000000"),23.4483664)</f>
        <v>23.448366400000001</v>
      </c>
      <c r="G7" s="95">
        <f t="shared" ca="1" si="0"/>
        <v>5.7016883855237699E-3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530787</v>
      </c>
      <c r="B8" s="98" t="s">
        <v>2193</v>
      </c>
      <c r="C8" s="101"/>
      <c r="D8" s="101"/>
      <c r="E8" s="101">
        <f ca="1">IFERROR(__xludf.DUMMYFUNCTION("GOOGLEFINANCE(""BOM:""&amp;A8,""PRICE"")"),48.5)</f>
        <v>48.5</v>
      </c>
      <c r="F8" s="112">
        <f ca="1">IFERROR(__xludf.DUMMYFUNCTION("GOOGLEFINANCE(""BOM:""&amp;A8,""MARKETCAP"")/10000000"),23.97724)</f>
        <v>23.977239999999998</v>
      </c>
      <c r="G8" s="95">
        <f t="shared" ca="1" si="0"/>
        <v>5.8302889204646657E-3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526841</v>
      </c>
      <c r="B9" s="98" t="s">
        <v>2194</v>
      </c>
      <c r="C9" s="101"/>
      <c r="D9" s="101"/>
      <c r="E9" s="101">
        <f ca="1">IFERROR(__xludf.DUMMYFUNCTION("GOOGLEFINANCE(""BOM:""&amp;A9,""PRICE"")"),22.41)</f>
        <v>22.41</v>
      </c>
      <c r="F9" s="112">
        <f ca="1">IFERROR(__xludf.DUMMYFUNCTION("GOOGLEFINANCE(""BOM:""&amp;A9,""MARKETCAP"")/10000000"),7.8887681)</f>
        <v>7.8887681000000001</v>
      </c>
      <c r="G9" s="95">
        <f t="shared" ca="1" si="0"/>
        <v>1.9182273376562565E-3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>
      <c r="A10" s="101"/>
      <c r="B10" s="101"/>
      <c r="C10" s="101"/>
      <c r="D10" s="101"/>
      <c r="E10" s="101"/>
      <c r="F10" s="112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>
      <c r="A11" s="101"/>
      <c r="B11" s="101"/>
      <c r="C11" s="101"/>
      <c r="D11" s="101"/>
      <c r="E11" s="101"/>
      <c r="F11" s="112">
        <f t="shared" ref="F11:O11" ca="1" si="1">SUM(F2:F9)</f>
        <v>4112.5303268999996</v>
      </c>
      <c r="G11" s="95">
        <f t="shared" ca="1" si="1"/>
        <v>1</v>
      </c>
      <c r="H11" s="101">
        <f t="shared" si="1"/>
        <v>1291</v>
      </c>
      <c r="I11" s="101">
        <f t="shared" si="1"/>
        <v>1352</v>
      </c>
      <c r="J11" s="101">
        <f t="shared" si="1"/>
        <v>330</v>
      </c>
      <c r="K11" s="101">
        <f t="shared" si="1"/>
        <v>757</v>
      </c>
      <c r="L11" s="101">
        <f t="shared" si="1"/>
        <v>250</v>
      </c>
      <c r="M11" s="101">
        <f t="shared" si="1"/>
        <v>247</v>
      </c>
      <c r="N11" s="101">
        <f t="shared" si="1"/>
        <v>188</v>
      </c>
      <c r="O11" s="101">
        <f t="shared" si="1"/>
        <v>-15</v>
      </c>
      <c r="P11" s="95">
        <f t="shared" ref="P11:Q11" si="2">J11/H11</f>
        <v>0.25561580170410536</v>
      </c>
      <c r="Q11" s="95">
        <f t="shared" si="2"/>
        <v>0.5599112426035503</v>
      </c>
      <c r="R11" s="95">
        <f>P11-Q11</f>
        <v>-0.30429544089944494</v>
      </c>
      <c r="S11" s="95">
        <f t="shared" ref="S11:T11" si="3">N11/L11</f>
        <v>0.752</v>
      </c>
      <c r="T11" s="95">
        <f t="shared" si="3"/>
        <v>-6.0728744939271252E-2</v>
      </c>
      <c r="U11" s="95">
        <f>S11-T11</f>
        <v>0.81272874493927127</v>
      </c>
      <c r="V11" s="95">
        <f>(H11/I11)-1</f>
        <v>-4.5118343195266308E-2</v>
      </c>
      <c r="W11" s="95">
        <f>(J11/K11)-1</f>
        <v>-0.56406869220607669</v>
      </c>
      <c r="X11" s="95">
        <f>(L11/M11)-1</f>
        <v>1.2145748987854255E-2</v>
      </c>
      <c r="Y11" s="95">
        <f>(N11/O11)-1</f>
        <v>-13.533333333333333</v>
      </c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9" xr:uid="{00000000-0009-0000-0000-000033000000}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533151</v>
      </c>
      <c r="B2" s="98" t="s">
        <v>2195</v>
      </c>
      <c r="C2" s="6" t="str">
        <f>VLOOKUP(A2,'BSE ALL CAP'!$B$4:$Y$1038,2,)</f>
        <v>Consumer Discretionary</v>
      </c>
      <c r="D2" s="6" t="str">
        <f>VLOOKUP(A2,'BSE ALL CAP'!$B$4:$Y$1038,3,)</f>
        <v>Print Media</v>
      </c>
      <c r="E2" s="101">
        <f ca="1">IFERROR(__xludf.DUMMYFUNCTION("GOOGLEFINANCE(""BOM:""&amp;A2,""PRICE"")"),198.25)</f>
        <v>198.25</v>
      </c>
      <c r="F2" s="112">
        <f ca="1">IFERROR(__xludf.DUMMYFUNCTION("GOOGLEFINANCE(""BOM:""&amp;A2,""MARKETCAP"")/10000000"),3545.1326942)</f>
        <v>3545.1326942000001</v>
      </c>
      <c r="G2" s="95">
        <f t="shared" ref="G2:G7" ca="1" si="0">F2/$F$9</f>
        <v>0.54002615357623662</v>
      </c>
      <c r="H2" s="101">
        <f>VLOOKUP(A2,'BSE ALL CAP'!$B$4:$Y$1038,7,)</f>
        <v>1779</v>
      </c>
      <c r="I2" s="101">
        <f>VLOOKUP(A2,'BSE ALL CAP'!$B$4:$Y$1038,8,)</f>
        <v>1791</v>
      </c>
      <c r="J2" s="101">
        <f>VLOOKUP(A2,'BSE ALL CAP'!$B$4:$Y$1038,9,)</f>
        <v>269</v>
      </c>
      <c r="K2" s="101">
        <f>VLOOKUP(A2,'BSE ALL CAP'!$B$4:$Y$1038,10,)</f>
        <v>318</v>
      </c>
      <c r="L2" s="101">
        <f>VLOOKUP(A2,'BSE ALL CAP'!$B$4:$Y$1038,11,)</f>
        <v>605</v>
      </c>
      <c r="M2" s="101">
        <f>VLOOKUP(A2,'BSE ALL CAP'!$B$4:$Y$1038,12,)</f>
        <v>642</v>
      </c>
      <c r="N2" s="101">
        <f>VLOOKUP(A2,'BSE ALL CAP'!$B$4:$Y$1038,13,)</f>
        <v>95</v>
      </c>
      <c r="O2" s="101">
        <f>VLOOKUP(A2,'BSE ALL CAP'!$B$4:$Y$1038,14,)</f>
        <v>118</v>
      </c>
      <c r="P2" s="95">
        <f>VLOOKUP(A2,'BSE ALL CAP'!$B$4:$Y$1038,15,)</f>
        <v>0.15120854412591345</v>
      </c>
      <c r="Q2" s="95">
        <f>VLOOKUP(A2,'BSE ALL CAP'!$B$4:$Y$1038,16,)</f>
        <v>0.17755443886097153</v>
      </c>
      <c r="R2" s="95">
        <f>VLOOKUP(A2,'BSE ALL CAP'!$B$4:$Y$1038,17,)</f>
        <v>-2.6345894735058079E-2</v>
      </c>
      <c r="S2" s="95">
        <f>VLOOKUP(A2,'BSE ALL CAP'!$B$4:$Y$1038,18,)</f>
        <v>0.15702479338842976</v>
      </c>
      <c r="T2" s="95">
        <f>VLOOKUP(A2,'BSE ALL CAP'!$B$4:$Y$1038,19,)</f>
        <v>0.18380062305295949</v>
      </c>
      <c r="U2" s="95">
        <f>VLOOKUP(A2,'BSE ALL CAP'!$B$4:$Y$1038,20,)</f>
        <v>-2.6775829664529738E-2</v>
      </c>
      <c r="V2" s="95">
        <f>VLOOKUP(A2,'BSE ALL CAP'!$B$4:$Y$1038,21,)</f>
        <v>-6.7001675041875597E-3</v>
      </c>
      <c r="W2" s="95">
        <f>VLOOKUP(A2,'BSE ALL CAP'!$B$4:$Y$1038,22,)</f>
        <v>-0.15408805031446537</v>
      </c>
      <c r="X2" s="95">
        <f>VLOOKUP(A2,'BSE ALL CAP'!$B$4:$Y$1038,23,)</f>
        <v>-5.7632398753894032E-2</v>
      </c>
      <c r="Y2" s="95">
        <f>VLOOKUP(A2,'BSE ALL CAP'!$B$4:$Y$1038,24,)</f>
        <v>-0.19491525423728817</v>
      </c>
    </row>
    <row r="3" spans="1:25" ht="15.75" customHeight="1">
      <c r="A3" s="99">
        <v>532705</v>
      </c>
      <c r="B3" s="98" t="s">
        <v>2196</v>
      </c>
      <c r="C3" s="6"/>
      <c r="D3" s="6"/>
      <c r="E3" s="101">
        <f ca="1">IFERROR(__xludf.DUMMYFUNCTION("GOOGLEFINANCE(""BOM:""&amp;A3,""PRICE"")"),63.29)</f>
        <v>63.29</v>
      </c>
      <c r="F3" s="112">
        <f ca="1">IFERROR(__xludf.DUMMYFUNCTION("GOOGLEFINANCE(""BOM:""&amp;A3,""MARKETCAP"")/10000000"),1372.527415)</f>
        <v>1372.527415</v>
      </c>
      <c r="G3" s="95">
        <f t="shared" ca="1" si="0"/>
        <v>0.20907558744219179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526725</v>
      </c>
      <c r="B4" s="98" t="s">
        <v>2197</v>
      </c>
      <c r="C4" s="6"/>
      <c r="D4" s="6"/>
      <c r="E4" s="101">
        <f ca="1">IFERROR(__xludf.DUMMYFUNCTION("GOOGLEFINANCE(""BOM:""&amp;A4,""PRICE"")"),886)</f>
        <v>886</v>
      </c>
      <c r="F4" s="112">
        <f ca="1">IFERROR(__xludf.DUMMYFUNCTION("GOOGLEFINANCE(""BOM:""&amp;A4,""MARKETCAP"")/10000000"),674.4731598)</f>
        <v>674.47315979999996</v>
      </c>
      <c r="G4" s="95">
        <f t="shared" ca="1" si="0"/>
        <v>0.10274175259309942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533217</v>
      </c>
      <c r="B5" s="98" t="s">
        <v>2198</v>
      </c>
      <c r="C5" s="101"/>
      <c r="D5" s="101"/>
      <c r="E5" s="101">
        <f ca="1">IFERROR(__xludf.DUMMYFUNCTION("GOOGLEFINANCE(""BOM:""&amp;A5,""PRICE"")"),62.35)</f>
        <v>62.35</v>
      </c>
      <c r="F5" s="112">
        <f ca="1">IFERROR(__xludf.DUMMYFUNCTION("GOOGLEFINANCE(""BOM:""&amp;A5,""MARKETCAP"")/10000000"),463.0698635)</f>
        <v>463.0698635</v>
      </c>
      <c r="G5" s="95">
        <f t="shared" ca="1" si="0"/>
        <v>7.0538921612751951E-2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532662</v>
      </c>
      <c r="B6" s="98" t="s">
        <v>2199</v>
      </c>
      <c r="C6" s="101"/>
      <c r="D6" s="101"/>
      <c r="E6" s="101">
        <f ca="1">IFERROR(__xludf.DUMMYFUNCTION("GOOGLEFINANCE(""BOM:""&amp;A6,""PRICE"")"),21.82)</f>
        <v>21.82</v>
      </c>
      <c r="F6" s="112">
        <f ca="1">IFERROR(__xludf.DUMMYFUNCTION("GOOGLEFINANCE(""BOM:""&amp;A6,""MARKETCAP"")/10000000"),505.6655341)</f>
        <v>505.6655341</v>
      </c>
      <c r="G6" s="95">
        <f t="shared" ca="1" si="0"/>
        <v>7.7027473138835026E-2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530733</v>
      </c>
      <c r="B7" s="98" t="s">
        <v>2200</v>
      </c>
      <c r="C7" s="101"/>
      <c r="D7" s="101"/>
      <c r="E7" s="101">
        <f ca="1">IFERROR(__xludf.DUMMYFUNCTION("GOOGLEFINANCE(""BOM:""&amp;A7,""PRICE"")"),12.29)</f>
        <v>12.29</v>
      </c>
      <c r="F7" s="112">
        <f ca="1">IFERROR(__xludf.DUMMYFUNCTION("GOOGLEFINANCE(""BOM:""&amp;A7,""MARKETCAP"")/10000000"),3.873931)</f>
        <v>3.8739309999999998</v>
      </c>
      <c r="G7" s="95">
        <f t="shared" ca="1" si="0"/>
        <v>5.9011163688524023E-4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12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A9" s="101"/>
      <c r="B9" s="101"/>
      <c r="C9" s="101"/>
      <c r="D9" s="101"/>
      <c r="E9" s="101"/>
      <c r="F9" s="112">
        <f t="shared" ref="F9:O9" ca="1" si="1">SUM(F2:F7)</f>
        <v>6564.7425975999995</v>
      </c>
      <c r="G9" s="95">
        <f t="shared" ca="1" si="1"/>
        <v>1</v>
      </c>
      <c r="H9" s="101">
        <f t="shared" si="1"/>
        <v>1779</v>
      </c>
      <c r="I9" s="101">
        <f t="shared" si="1"/>
        <v>1791</v>
      </c>
      <c r="J9" s="101">
        <f t="shared" si="1"/>
        <v>269</v>
      </c>
      <c r="K9" s="101">
        <f t="shared" si="1"/>
        <v>318</v>
      </c>
      <c r="L9" s="101">
        <f t="shared" si="1"/>
        <v>605</v>
      </c>
      <c r="M9" s="101">
        <f t="shared" si="1"/>
        <v>642</v>
      </c>
      <c r="N9" s="101">
        <f t="shared" si="1"/>
        <v>95</v>
      </c>
      <c r="O9" s="101">
        <f t="shared" si="1"/>
        <v>118</v>
      </c>
      <c r="P9" s="95">
        <f t="shared" ref="P9:Q9" si="2">J9/H9</f>
        <v>0.15120854412591345</v>
      </c>
      <c r="Q9" s="95">
        <f t="shared" si="2"/>
        <v>0.17755443886097153</v>
      </c>
      <c r="R9" s="95">
        <f>P9-Q9</f>
        <v>-2.6345894735058079E-2</v>
      </c>
      <c r="S9" s="95">
        <f t="shared" ref="S9:T9" si="3">N9/L9</f>
        <v>0.15702479338842976</v>
      </c>
      <c r="T9" s="95">
        <f t="shared" si="3"/>
        <v>0.18380062305295949</v>
      </c>
      <c r="U9" s="95">
        <f>S9-T9</f>
        <v>-2.6775829664529738E-2</v>
      </c>
      <c r="V9" s="95">
        <f>(H9/I9)-1</f>
        <v>-6.7001675041875597E-3</v>
      </c>
      <c r="W9" s="95">
        <f>(J9/K9)-1</f>
        <v>-0.15408805031446537</v>
      </c>
      <c r="X9" s="95">
        <f>(L9/M9)-1</f>
        <v>-5.7632398753894032E-2</v>
      </c>
      <c r="Y9" s="95">
        <f>(N9/O9)-1</f>
        <v>-0.19491525423728817</v>
      </c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7" xr:uid="{00000000-0009-0000-0000-000034000000}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512068</v>
      </c>
      <c r="B2" s="98" t="s">
        <v>2201</v>
      </c>
      <c r="C2" s="6" t="e">
        <f>VLOOKUP(A2,'BSE ALL CAP'!$B$4:$Y$1038,2,)</f>
        <v>#N/A</v>
      </c>
      <c r="D2" s="6" t="e">
        <f>VLOOKUP(A2,'BSE ALL CAP'!$B$4:$Y$1038,3,)</f>
        <v>#N/A</v>
      </c>
      <c r="E2" s="101">
        <f ca="1">IFERROR(__xludf.DUMMYFUNCTION("GOOGLEFINANCE(""BOM:""&amp;A2,""PRICE"")"),96.65)</f>
        <v>96.65</v>
      </c>
      <c r="F2" s="112">
        <f ca="1">IFERROR(__xludf.DUMMYFUNCTION("GOOGLEFINANCE(""BOM:""&amp;A2,""MARKETCAP"")/10000000"),1916.2821973)</f>
        <v>1916.2821973</v>
      </c>
      <c r="G2" s="95">
        <f t="shared" ref="G2:G5" ca="1" si="0">F2/$F$7</f>
        <v>0.96108037204929697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.75" customHeight="1">
      <c r="A3" s="99">
        <v>543522</v>
      </c>
      <c r="B3" s="98" t="s">
        <v>2202</v>
      </c>
      <c r="C3" s="6" t="e">
        <f>VLOOKUP(A3,'BSE ALL CAP'!$B$4:$Y$1038,2,)</f>
        <v>#N/A</v>
      </c>
      <c r="D3" s="6" t="e">
        <f>VLOOKUP(A3,'BSE ALL CAP'!$B$4:$Y$1038,3,)</f>
        <v>#N/A</v>
      </c>
      <c r="E3" s="101">
        <f ca="1">IFERROR(__xludf.DUMMYFUNCTION("GOOGLEFINANCE(""BOM:""&amp;A3,""PRICE"")"),107.25)</f>
        <v>107.25</v>
      </c>
      <c r="F3" s="112">
        <f ca="1">IFERROR(__xludf.DUMMYFUNCTION("GOOGLEFINANCE(""BOM:""&amp;A3,""MARKETCAP"")/10000000"),50.08575)</f>
        <v>50.085749999999997</v>
      </c>
      <c r="G3" s="95">
        <f t="shared" ca="1" si="0"/>
        <v>2.5119698608164945E-2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500014</v>
      </c>
      <c r="B4" s="98" t="s">
        <v>2203</v>
      </c>
      <c r="C4" s="6" t="e">
        <f>VLOOKUP(A4,'BSE ALL CAP'!$B$4:$Y$1038,2,)</f>
        <v>#N/A</v>
      </c>
      <c r="D4" s="6" t="e">
        <f>VLOOKUP(A4,'BSE ALL CAP'!$B$4:$Y$1038,3,)</f>
        <v>#N/A</v>
      </c>
      <c r="E4" s="101">
        <f ca="1">IFERROR(__xludf.DUMMYFUNCTION("GOOGLEFINANCE(""BOM:""&amp;A4,""PRICE"")"),3.99)</f>
        <v>3.99</v>
      </c>
      <c r="F4" s="112">
        <f ca="1">IFERROR(__xludf.DUMMYFUNCTION("GOOGLEFINANCE(""BOM:""&amp;A4,""MARKETCAP"")/10000000"),19.4766)</f>
        <v>19.476600000000001</v>
      </c>
      <c r="G4" s="95">
        <f t="shared" ca="1" si="0"/>
        <v>9.7681740197917647E-3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543804</v>
      </c>
      <c r="B5" s="98" t="s">
        <v>2204</v>
      </c>
      <c r="C5" s="6" t="e">
        <f>VLOOKUP(A5,'BSE ALL CAP'!$B$4:$Y$1038,2,)</f>
        <v>#N/A</v>
      </c>
      <c r="D5" s="6" t="e">
        <f>VLOOKUP(A5,'BSE ALL CAP'!$B$4:$Y$1038,3,)</f>
        <v>#N/A</v>
      </c>
      <c r="E5" s="101">
        <f ca="1">IFERROR(__xludf.DUMMYFUNCTION("GOOGLEFINANCE(""BOM:""&amp;A5,""PRICE"")"),21.5)</f>
        <v>21.5</v>
      </c>
      <c r="F5" s="112">
        <f ca="1">IFERROR(__xludf.DUMMYFUNCTION("GOOGLEFINANCE(""BOM:""&amp;A5,""MARKETCAP"")/10000000"),8.03885)</f>
        <v>8.0388500000000001</v>
      </c>
      <c r="G5" s="95">
        <f t="shared" ca="1" si="0"/>
        <v>4.0317553227464257E-3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>
      <c r="A6" s="101"/>
      <c r="B6" s="101"/>
      <c r="C6" s="101"/>
      <c r="D6" s="101"/>
      <c r="E6" s="101"/>
      <c r="F6" s="112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101"/>
      <c r="B7" s="101"/>
      <c r="C7" s="101"/>
      <c r="D7" s="101"/>
      <c r="E7" s="101"/>
      <c r="F7" s="112">
        <f t="shared" ref="F7:G7" ca="1" si="1">SUM(F2:F5)</f>
        <v>1993.8833972999998</v>
      </c>
      <c r="G7" s="95">
        <f t="shared" ca="1" si="1"/>
        <v>1.0000000000000002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F8" s="94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5" xr:uid="{00000000-0009-0000-0000-000035000000}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>
      <c r="A2" s="101">
        <v>532524</v>
      </c>
      <c r="B2" s="101" t="s">
        <v>2205</v>
      </c>
      <c r="C2" s="6" t="str">
        <f>VLOOKUP(A2,'BSE ALL CAP'!$B$4:$Y$1038,2,)</f>
        <v>Utilities</v>
      </c>
      <c r="D2" s="6" t="str">
        <f>VLOOKUP(A2,'BSE ALL CAP'!$B$4:$Y$1038,3,)</f>
        <v>Power Trading</v>
      </c>
      <c r="E2" s="101">
        <f ca="1">IFERROR(__xludf.DUMMYFUNCTION("GOOGLEFINANCE(""BOM:""&amp;A2,""PRICE"")"),164.8)</f>
        <v>164.8</v>
      </c>
      <c r="F2" s="112">
        <f ca="1">IFERROR(__xludf.DUMMYFUNCTION("GOOGLEFINANCE(""BOM:""&amp;A2,""MARKETCAP"")/10000000"),4878.2152263)</f>
        <v>4878.2152262999998</v>
      </c>
      <c r="G2" s="335">
        <v>1</v>
      </c>
      <c r="H2" s="101">
        <f>VLOOKUP(A2,'BSE ALL CAP'!$B$4:$Y$1038,7,)</f>
        <v>12873</v>
      </c>
      <c r="I2" s="101">
        <f>VLOOKUP(A2,'BSE ALL CAP'!$B$4:$Y$1038,8,)</f>
        <v>12755</v>
      </c>
      <c r="J2" s="101">
        <f>VLOOKUP(A2,'BSE ALL CAP'!$B$4:$Y$1038,9,)</f>
        <v>596</v>
      </c>
      <c r="K2" s="101">
        <f>VLOOKUP(A2,'BSE ALL CAP'!$B$4:$Y$1038,10,)</f>
        <v>489</v>
      </c>
      <c r="L2" s="101">
        <f>VLOOKUP(A2,'BSE ALL CAP'!$B$4:$Y$1038,11,)</f>
        <v>3405</v>
      </c>
      <c r="M2" s="101">
        <f>VLOOKUP(A2,'BSE ALL CAP'!$B$4:$Y$1038,12,)</f>
        <v>3315</v>
      </c>
      <c r="N2" s="101">
        <f>VLOOKUP(A2,'BSE ALL CAP'!$B$4:$Y$1038,13,)</f>
        <v>131</v>
      </c>
      <c r="O2" s="101">
        <f>VLOOKUP(A2,'BSE ALL CAP'!$B$4:$Y$1038,14,)</f>
        <v>176</v>
      </c>
      <c r="P2" s="95">
        <f>VLOOKUP(A2,'BSE ALL CAP'!$B$4:$Y$1038,15,)</f>
        <v>4.6298454128796705E-2</v>
      </c>
      <c r="Q2" s="95">
        <f>VLOOKUP(A2,'BSE ALL CAP'!$B$4:$Y$1038,16,)</f>
        <v>3.8337906703253627E-2</v>
      </c>
      <c r="R2" s="95">
        <f>VLOOKUP(A2,'BSE ALL CAP'!$B$4:$Y$1038,17,)</f>
        <v>7.9605474255430783E-3</v>
      </c>
      <c r="S2" s="95">
        <f>VLOOKUP(A2,'BSE ALL CAP'!$B$4:$Y$1038,18,)</f>
        <v>3.8472834067547722E-2</v>
      </c>
      <c r="T2" s="95">
        <f>VLOOKUP(A2,'BSE ALL CAP'!$B$4:$Y$1038,19,)</f>
        <v>5.3092006033182503E-2</v>
      </c>
      <c r="U2" s="95">
        <f>VLOOKUP(A2,'BSE ALL CAP'!$B$4:$Y$1038,20,)</f>
        <v>-1.4619171965634781E-2</v>
      </c>
      <c r="V2" s="95">
        <f>VLOOKUP(A2,'BSE ALL CAP'!$B$4:$Y$1038,21,)</f>
        <v>9.2512740101919899E-3</v>
      </c>
      <c r="W2" s="95">
        <f>VLOOKUP(A2,'BSE ALL CAP'!$B$4:$Y$1038,22,)</f>
        <v>0.21881390593047034</v>
      </c>
      <c r="X2" s="95">
        <f>VLOOKUP(A2,'BSE ALL CAP'!$B$4:$Y$1038,23,)</f>
        <v>2.7149321266968229E-2</v>
      </c>
      <c r="Y2" s="95">
        <f>VLOOKUP(A2,'BSE ALL CAP'!$B$4:$Y$1038,24,)</f>
        <v>-0.25568181818181823</v>
      </c>
    </row>
    <row r="3" spans="1:25">
      <c r="F3" s="94"/>
    </row>
    <row r="4" spans="1:25">
      <c r="F4" s="94"/>
    </row>
    <row r="5" spans="1:25">
      <c r="F5" s="94"/>
    </row>
    <row r="6" spans="1:25">
      <c r="F6" s="94"/>
    </row>
    <row r="7" spans="1:25">
      <c r="F7" s="94"/>
    </row>
    <row r="8" spans="1:25">
      <c r="F8" s="94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532555</v>
      </c>
      <c r="B2" s="98" t="s">
        <v>1417</v>
      </c>
      <c r="C2" s="6" t="str">
        <f>VLOOKUP(A2,'BSE ALL CAP'!$B$4:$Y$1038,2,)</f>
        <v>Utilities</v>
      </c>
      <c r="D2" s="6" t="str">
        <f>VLOOKUP(A2,'BSE ALL CAP'!$B$4:$Y$1038,3,)</f>
        <v>Power Generation</v>
      </c>
      <c r="E2" s="101">
        <f ca="1">IFERROR(__xludf.DUMMYFUNCTION("GOOGLEFINANCE(""BOM:""&amp;A2,""PRICE"")"),365.45)</f>
        <v>365.45</v>
      </c>
      <c r="F2" s="112">
        <f ca="1">IFERROR(__xludf.DUMMYFUNCTION("GOOGLEFINANCE(""BOM:""&amp;A2,""MARKETCAP"")/10000000"),353993.6294093)</f>
        <v>353993.62940929999</v>
      </c>
      <c r="G2" s="95">
        <f t="shared" ref="G2:G34" ca="1" si="0">F2/$F$36</f>
        <v>0.38591257807841373</v>
      </c>
      <c r="H2" s="101">
        <f>VLOOKUP(A2,'BSE ALL CAP'!$B$4:$Y$1038,7,)</f>
        <v>137697</v>
      </c>
      <c r="I2" s="101">
        <f>VLOOKUP(A2,'BSE ALL CAP'!$B$4:$Y$1038,8,)</f>
        <v>138303</v>
      </c>
      <c r="J2" s="101">
        <f>VLOOKUP(A2,'BSE ALL CAP'!$B$4:$Y$1038,9,)</f>
        <v>16931</v>
      </c>
      <c r="K2" s="101">
        <f>VLOOKUP(A2,'BSE ALL CAP'!$B$4:$Y$1038,10,)</f>
        <v>16056</v>
      </c>
      <c r="L2" s="101">
        <f>VLOOKUP(A2,'BSE ALL CAP'!$B$4:$Y$1038,11,)</f>
        <v>45846</v>
      </c>
      <c r="M2" s="101">
        <f>VLOOKUP(A2,'BSE ALL CAP'!$B$4:$Y$1038,12,)</f>
        <v>45059</v>
      </c>
      <c r="N2" s="101">
        <f>VLOOKUP(A2,'BSE ALL CAP'!$B$4:$Y$1038,13,)</f>
        <v>5597</v>
      </c>
      <c r="O2" s="101">
        <f>VLOOKUP(A2,'BSE ALL CAP'!$B$4:$Y$1038,14,)</f>
        <v>5170</v>
      </c>
      <c r="P2" s="95">
        <f>VLOOKUP(A2,'BSE ALL CAP'!$B$4:$Y$1038,15,)</f>
        <v>0.12295837963063828</v>
      </c>
      <c r="Q2" s="95">
        <f>VLOOKUP(A2,'BSE ALL CAP'!$B$4:$Y$1038,16,)</f>
        <v>0.11609292640072884</v>
      </c>
      <c r="R2" s="95">
        <f>VLOOKUP(A2,'BSE ALL CAP'!$B$4:$Y$1038,17,)</f>
        <v>6.8654532299094462E-3</v>
      </c>
      <c r="S2" s="95">
        <f>VLOOKUP(A2,'BSE ALL CAP'!$B$4:$Y$1038,18,)</f>
        <v>0.12208262443833705</v>
      </c>
      <c r="T2" s="95">
        <f>VLOOKUP(A2,'BSE ALL CAP'!$B$4:$Y$1038,19,)</f>
        <v>0.11473845402694245</v>
      </c>
      <c r="U2" s="95">
        <f>VLOOKUP(A2,'BSE ALL CAP'!$B$4:$Y$1038,20,)</f>
        <v>7.344170411394596E-3</v>
      </c>
      <c r="V2" s="95">
        <f>VLOOKUP(A2,'BSE ALL CAP'!$B$4:$Y$1038,21,)</f>
        <v>-4.381683694496874E-3</v>
      </c>
      <c r="W2" s="95">
        <f>VLOOKUP(A2,'BSE ALL CAP'!$B$4:$Y$1038,22,)</f>
        <v>5.4496761335326438E-2</v>
      </c>
      <c r="X2" s="95">
        <f>VLOOKUP(A2,'BSE ALL CAP'!$B$4:$Y$1038,23,)</f>
        <v>1.7465989036596463E-2</v>
      </c>
      <c r="Y2" s="95">
        <f>VLOOKUP(A2,'BSE ALL CAP'!$B$4:$Y$1038,24,)</f>
        <v>8.2591876208897519E-2</v>
      </c>
    </row>
    <row r="3" spans="1:25" ht="15.75" customHeight="1">
      <c r="A3" s="99">
        <v>541450</v>
      </c>
      <c r="B3" s="98" t="s">
        <v>2206</v>
      </c>
      <c r="C3" s="6" t="str">
        <f>VLOOKUP(A3,'BSE ALL CAP'!$B$4:$Y$1038,2,)</f>
        <v>Utilities</v>
      </c>
      <c r="D3" s="6" t="str">
        <f>VLOOKUP(A3,'BSE ALL CAP'!$B$4:$Y$1038,3,)</f>
        <v>Power Generation</v>
      </c>
      <c r="E3" s="101">
        <f ca="1">IFERROR(__xludf.DUMMYFUNCTION("GOOGLEFINANCE(""BOM:""&amp;A3,""PRICE"")"),925.05)</f>
        <v>925.05</v>
      </c>
      <c r="F3" s="112">
        <f ca="1">IFERROR(__xludf.DUMMYFUNCTION("GOOGLEFINANCE(""BOM:""&amp;A3,""MARKETCAP"")/10000000"),150157.2501545)</f>
        <v>150157.25015450001</v>
      </c>
      <c r="G3" s="95">
        <f t="shared" ca="1" si="0"/>
        <v>0.16369665075889642</v>
      </c>
      <c r="H3" s="101">
        <f>VLOOKUP(A3,'BSE ALL CAP'!$B$4:$Y$1038,7,)</f>
        <v>10092</v>
      </c>
      <c r="I3" s="101">
        <f>VLOOKUP(A3,'BSE ALL CAP'!$B$4:$Y$1038,8,)</f>
        <v>9144</v>
      </c>
      <c r="J3" s="101">
        <f>VLOOKUP(A3,'BSE ALL CAP'!$B$4:$Y$1038,9,)</f>
        <v>1473</v>
      </c>
      <c r="K3" s="101">
        <f>VLOOKUP(A3,'BSE ALL CAP'!$B$4:$Y$1038,10,)</f>
        <v>1618</v>
      </c>
      <c r="L3" s="101">
        <f>VLOOKUP(A3,'BSE ALL CAP'!$B$4:$Y$1038,11,)</f>
        <v>2837</v>
      </c>
      <c r="M3" s="101">
        <f>VLOOKUP(A3,'BSE ALL CAP'!$B$4:$Y$1038,12,)</f>
        <v>2636</v>
      </c>
      <c r="N3" s="101">
        <f>VLOOKUP(A3,'BSE ALL CAP'!$B$4:$Y$1038,13,)</f>
        <v>5</v>
      </c>
      <c r="O3" s="101">
        <f>VLOOKUP(A3,'BSE ALL CAP'!$B$4:$Y$1038,14,)</f>
        <v>475</v>
      </c>
      <c r="P3" s="95">
        <f>VLOOKUP(A3,'BSE ALL CAP'!$B$4:$Y$1038,15,)</f>
        <v>0.14595719381688466</v>
      </c>
      <c r="Q3" s="95">
        <f>VLOOKUP(A3,'BSE ALL CAP'!$B$4:$Y$1038,16,)</f>
        <v>0.17694663167104113</v>
      </c>
      <c r="R3" s="95">
        <f>VLOOKUP(A3,'BSE ALL CAP'!$B$4:$Y$1038,17,)</f>
        <v>-3.0989437854156476E-2</v>
      </c>
      <c r="S3" s="95">
        <f>VLOOKUP(A3,'BSE ALL CAP'!$B$4:$Y$1038,18,)</f>
        <v>1.7624250969333803E-3</v>
      </c>
      <c r="T3" s="95">
        <f>VLOOKUP(A3,'BSE ALL CAP'!$B$4:$Y$1038,19,)</f>
        <v>0.18019726858877086</v>
      </c>
      <c r="U3" s="95">
        <f>VLOOKUP(A3,'BSE ALL CAP'!$B$4:$Y$1038,20,)</f>
        <v>-0.17843484349183747</v>
      </c>
      <c r="V3" s="95">
        <f>VLOOKUP(A3,'BSE ALL CAP'!$B$4:$Y$1038,21,)</f>
        <v>0.10367454068241466</v>
      </c>
      <c r="W3" s="95">
        <f>VLOOKUP(A3,'BSE ALL CAP'!$B$4:$Y$1038,22,)</f>
        <v>-8.961681087762674E-2</v>
      </c>
      <c r="X3" s="95">
        <f>VLOOKUP(A3,'BSE ALL CAP'!$B$4:$Y$1038,23,)</f>
        <v>7.6251896813353648E-2</v>
      </c>
      <c r="Y3" s="95">
        <f>VLOOKUP(A3,'BSE ALL CAP'!$B$4:$Y$1038,24,)</f>
        <v>-0.98947368421052628</v>
      </c>
    </row>
    <row r="4" spans="1:25" ht="15.75" customHeight="1">
      <c r="A4" s="99">
        <v>533148</v>
      </c>
      <c r="B4" s="98" t="s">
        <v>2207</v>
      </c>
      <c r="C4" s="6" t="str">
        <f>VLOOKUP(A4,'BSE ALL CAP'!$B$4:$Y$1038,2,)</f>
        <v>Utilities</v>
      </c>
      <c r="D4" s="6" t="str">
        <f>VLOOKUP(A4,'BSE ALL CAP'!$B$4:$Y$1038,3,)</f>
        <v>Power Generation</v>
      </c>
      <c r="E4" s="101">
        <f ca="1">IFERROR(__xludf.DUMMYFUNCTION("GOOGLEFINANCE(""BOM:""&amp;A4,""PRICE"")"),497.15)</f>
        <v>497.15</v>
      </c>
      <c r="F4" s="112">
        <f ca="1">IFERROR(__xludf.DUMMYFUNCTION("GOOGLEFINANCE(""BOM:""&amp;A4,""MARKETCAP"")/10000000"),89727.2972268)</f>
        <v>89727.297226800001</v>
      </c>
      <c r="G4" s="95">
        <f t="shared" ca="1" si="0"/>
        <v>9.7817841113647969E-2</v>
      </c>
      <c r="H4" s="101">
        <f>VLOOKUP(A4,'BSE ALL CAP'!$B$4:$Y$1038,7,)</f>
        <v>15026</v>
      </c>
      <c r="I4" s="101">
        <f>VLOOKUP(A4,'BSE ALL CAP'!$B$4:$Y$1038,8,)</f>
        <v>9142</v>
      </c>
      <c r="J4" s="101">
        <f>VLOOKUP(A4,'BSE ALL CAP'!$B$4:$Y$1038,9,)</f>
        <v>2188</v>
      </c>
      <c r="K4" s="101">
        <f>VLOOKUP(A4,'BSE ALL CAP'!$B$4:$Y$1038,10,)</f>
        <v>1568</v>
      </c>
      <c r="L4" s="101">
        <f>VLOOKUP(A4,'BSE ALL CAP'!$B$4:$Y$1038,11,)</f>
        <v>4254</v>
      </c>
      <c r="M4" s="101">
        <f>VLOOKUP(A4,'BSE ALL CAP'!$B$4:$Y$1038,12,)</f>
        <v>2640</v>
      </c>
      <c r="N4" s="101">
        <f>VLOOKUP(A4,'BSE ALL CAP'!$B$4:$Y$1038,13,)</f>
        <v>528</v>
      </c>
      <c r="O4" s="101">
        <f>VLOOKUP(A4,'BSE ALL CAP'!$B$4:$Y$1038,14,)</f>
        <v>157</v>
      </c>
      <c r="P4" s="95">
        <f>VLOOKUP(A4,'BSE ALL CAP'!$B$4:$Y$1038,15,)</f>
        <v>0.14561426860109145</v>
      </c>
      <c r="Q4" s="95">
        <f>VLOOKUP(A4,'BSE ALL CAP'!$B$4:$Y$1038,16,)</f>
        <v>0.17151607963246554</v>
      </c>
      <c r="R4" s="95">
        <f>VLOOKUP(A4,'BSE ALL CAP'!$B$4:$Y$1038,17,)</f>
        <v>-2.5901811031374095E-2</v>
      </c>
      <c r="S4" s="95">
        <f>VLOOKUP(A4,'BSE ALL CAP'!$B$4:$Y$1038,18,)</f>
        <v>0.12411847672778561</v>
      </c>
      <c r="T4" s="95">
        <f>VLOOKUP(A4,'BSE ALL CAP'!$B$4:$Y$1038,19,)</f>
        <v>5.9469696969696971E-2</v>
      </c>
      <c r="U4" s="95">
        <f>VLOOKUP(A4,'BSE ALL CAP'!$B$4:$Y$1038,20,)</f>
        <v>6.4648779758088637E-2</v>
      </c>
      <c r="V4" s="95">
        <f>VLOOKUP(A4,'BSE ALL CAP'!$B$4:$Y$1038,21,)</f>
        <v>0.64362283964121647</v>
      </c>
      <c r="W4" s="95">
        <f>VLOOKUP(A4,'BSE ALL CAP'!$B$4:$Y$1038,22,)</f>
        <v>0.39540816326530615</v>
      </c>
      <c r="X4" s="95">
        <f>VLOOKUP(A4,'BSE ALL CAP'!$B$4:$Y$1038,23,)</f>
        <v>0.61136363636363633</v>
      </c>
      <c r="Y4" s="95">
        <f>VLOOKUP(A4,'BSE ALL CAP'!$B$4:$Y$1038,24,)</f>
        <v>2.3630573248407645</v>
      </c>
    </row>
    <row r="5" spans="1:25" ht="15.75" customHeight="1">
      <c r="A5" s="99">
        <v>544289</v>
      </c>
      <c r="B5" s="98" t="s">
        <v>2208</v>
      </c>
      <c r="C5" s="6" t="str">
        <f>VLOOKUP(A5,'BSE ALL CAP'!$B$4:$Y$1038,2,)</f>
        <v>Utilities</v>
      </c>
      <c r="D5" s="6" t="str">
        <f>VLOOKUP(A5,'BSE ALL CAP'!$B$4:$Y$1038,3,)</f>
        <v>Power Generation</v>
      </c>
      <c r="E5" s="101">
        <f ca="1">IFERROR(__xludf.DUMMYFUNCTION("GOOGLEFINANCE(""BOM:""&amp;A5,""PRICE"")"),98.58)</f>
        <v>98.58</v>
      </c>
      <c r="F5" s="112">
        <f ca="1">IFERROR(__xludf.DUMMYFUNCTION("GOOGLEFINANCE(""BOM:""&amp;A5,""MARKETCAP"")/10000000"),83134.1649998)</f>
        <v>83134.164999800007</v>
      </c>
      <c r="G5" s="95">
        <f t="shared" ca="1" si="0"/>
        <v>9.0630218388405237E-2</v>
      </c>
      <c r="H5" s="101">
        <f>VLOOKUP(A5,'BSE ALL CAP'!$B$4:$Y$1038,7,)</f>
        <v>1946</v>
      </c>
      <c r="I5" s="101">
        <f>VLOOKUP(A5,'BSE ALL CAP'!$B$4:$Y$1038,8,)</f>
        <v>1587</v>
      </c>
      <c r="J5" s="101">
        <f>VLOOKUP(A5,'BSE ALL CAP'!$B$4:$Y$1038,9,)</f>
        <v>324</v>
      </c>
      <c r="K5" s="101">
        <f>VLOOKUP(A5,'BSE ALL CAP'!$B$4:$Y$1038,10,)</f>
        <v>241</v>
      </c>
      <c r="L5" s="101">
        <f>VLOOKUP(A5,'BSE ALL CAP'!$B$4:$Y$1038,11,)</f>
        <v>653</v>
      </c>
      <c r="M5" s="101">
        <f>VLOOKUP(A5,'BSE ALL CAP'!$B$4:$Y$1038,12,)</f>
        <v>505</v>
      </c>
      <c r="N5" s="101">
        <f>VLOOKUP(A5,'BSE ALL CAP'!$B$4:$Y$1038,13,)</f>
        <v>17</v>
      </c>
      <c r="O5" s="101">
        <f>VLOOKUP(A5,'BSE ALL CAP'!$B$4:$Y$1038,14,)</f>
        <v>66</v>
      </c>
      <c r="P5" s="95">
        <f>VLOOKUP(A5,'BSE ALL CAP'!$B$4:$Y$1038,15,)</f>
        <v>0.16649537512846865</v>
      </c>
      <c r="Q5" s="95">
        <f>VLOOKUP(A5,'BSE ALL CAP'!$B$4:$Y$1038,16,)</f>
        <v>0.1518588531821046</v>
      </c>
      <c r="R5" s="95">
        <f>VLOOKUP(A5,'BSE ALL CAP'!$B$4:$Y$1038,17,)</f>
        <v>1.4636521946364056E-2</v>
      </c>
      <c r="S5" s="95">
        <f>VLOOKUP(A5,'BSE ALL CAP'!$B$4:$Y$1038,18,)</f>
        <v>2.6033690658499236E-2</v>
      </c>
      <c r="T5" s="95">
        <f>VLOOKUP(A5,'BSE ALL CAP'!$B$4:$Y$1038,19,)</f>
        <v>0.1306930693069307</v>
      </c>
      <c r="U5" s="95">
        <f>VLOOKUP(A5,'BSE ALL CAP'!$B$4:$Y$1038,20,)</f>
        <v>-0.10465937864843146</v>
      </c>
      <c r="V5" s="95">
        <f>VLOOKUP(A5,'BSE ALL CAP'!$B$4:$Y$1038,21,)</f>
        <v>0.22621298046628868</v>
      </c>
      <c r="W5" s="95">
        <f>VLOOKUP(A5,'BSE ALL CAP'!$B$4:$Y$1038,22,)</f>
        <v>0.34439834024896276</v>
      </c>
      <c r="X5" s="95">
        <f>VLOOKUP(A5,'BSE ALL CAP'!$B$4:$Y$1038,23,)</f>
        <v>0.29306930693069311</v>
      </c>
      <c r="Y5" s="95">
        <f>VLOOKUP(A5,'BSE ALL CAP'!$B$4:$Y$1038,24,)</f>
        <v>-0.74242424242424243</v>
      </c>
    </row>
    <row r="6" spans="1:25" ht="15.75" customHeight="1">
      <c r="A6" s="99">
        <v>533098</v>
      </c>
      <c r="B6" s="98" t="s">
        <v>2209</v>
      </c>
      <c r="C6" s="6" t="str">
        <f>VLOOKUP(A6,'BSE ALL CAP'!$B$4:$Y$1038,2,)</f>
        <v>Utilities</v>
      </c>
      <c r="D6" s="6" t="str">
        <f>VLOOKUP(A6,'BSE ALL CAP'!$B$4:$Y$1038,3,)</f>
        <v>Power Generation</v>
      </c>
      <c r="E6" s="101">
        <f ca="1">IFERROR(__xludf.DUMMYFUNCTION("GOOGLEFINANCE(""BOM:""&amp;A6,""PRICE"")"),76.02)</f>
        <v>76.02</v>
      </c>
      <c r="F6" s="112">
        <f ca="1">IFERROR(__xludf.DUMMYFUNCTION("GOOGLEFINANCE(""BOM:""&amp;A6,""MARKETCAP"")/10000000"),76382.4090396)</f>
        <v>76382.409039599996</v>
      </c>
      <c r="G6" s="95">
        <f t="shared" ca="1" si="0"/>
        <v>8.3269669122292847E-2</v>
      </c>
      <c r="H6" s="101">
        <f>VLOOKUP(A6,'BSE ALL CAP'!$B$4:$Y$1038,7,)</f>
        <v>8800</v>
      </c>
      <c r="I6" s="101">
        <f>VLOOKUP(A6,'BSE ALL CAP'!$B$4:$Y$1038,8,)</f>
        <v>8033</v>
      </c>
      <c r="J6" s="101">
        <f>VLOOKUP(A6,'BSE ALL CAP'!$B$4:$Y$1038,9,)</f>
        <v>2671</v>
      </c>
      <c r="K6" s="101">
        <f>VLOOKUP(A6,'BSE ALL CAP'!$B$4:$Y$1038,10,)</f>
        <v>2492</v>
      </c>
      <c r="L6" s="101">
        <f>VLOOKUP(A6,'BSE ALL CAP'!$B$4:$Y$1038,11,)</f>
        <v>2221</v>
      </c>
      <c r="M6" s="101">
        <f>VLOOKUP(A6,'BSE ALL CAP'!$B$4:$Y$1038,12,)</f>
        <v>2287</v>
      </c>
      <c r="N6" s="101">
        <f>VLOOKUP(A6,'BSE ALL CAP'!$B$4:$Y$1038,13,)</f>
        <v>321</v>
      </c>
      <c r="O6" s="101">
        <f>VLOOKUP(A6,'BSE ALL CAP'!$B$4:$Y$1038,14,)</f>
        <v>330</v>
      </c>
      <c r="P6" s="95">
        <f>VLOOKUP(A6,'BSE ALL CAP'!$B$4:$Y$1038,15,)</f>
        <v>0.30352272727272728</v>
      </c>
      <c r="Q6" s="95">
        <f>VLOOKUP(A6,'BSE ALL CAP'!$B$4:$Y$1038,16,)</f>
        <v>0.3102203410929914</v>
      </c>
      <c r="R6" s="95">
        <f>VLOOKUP(A6,'BSE ALL CAP'!$B$4:$Y$1038,17,)</f>
        <v>-6.6976138202641256E-3</v>
      </c>
      <c r="S6" s="95">
        <f>VLOOKUP(A6,'BSE ALL CAP'!$B$4:$Y$1038,18,)</f>
        <v>0.14452949122017109</v>
      </c>
      <c r="T6" s="95">
        <f>VLOOKUP(A6,'BSE ALL CAP'!$B$4:$Y$1038,19,)</f>
        <v>0.14429383471797114</v>
      </c>
      <c r="U6" s="95">
        <f>VLOOKUP(A6,'BSE ALL CAP'!$B$4:$Y$1038,20,)</f>
        <v>2.3565650219994905E-4</v>
      </c>
      <c r="V6" s="95">
        <f>VLOOKUP(A6,'BSE ALL CAP'!$B$4:$Y$1038,21,)</f>
        <v>9.5481140296277855E-2</v>
      </c>
      <c r="W6" s="95">
        <f>VLOOKUP(A6,'BSE ALL CAP'!$B$4:$Y$1038,22,)</f>
        <v>7.182985553772081E-2</v>
      </c>
      <c r="X6" s="95">
        <f>VLOOKUP(A6,'BSE ALL CAP'!$B$4:$Y$1038,23,)</f>
        <v>-2.8858766943594238E-2</v>
      </c>
      <c r="Y6" s="95">
        <f>VLOOKUP(A6,'BSE ALL CAP'!$B$4:$Y$1038,24,)</f>
        <v>-2.7272727272727226E-2</v>
      </c>
    </row>
    <row r="7" spans="1:25" ht="15.75" customHeight="1">
      <c r="A7" s="99">
        <v>513683</v>
      </c>
      <c r="B7" s="98" t="s">
        <v>2210</v>
      </c>
      <c r="C7" s="6" t="str">
        <f>VLOOKUP(A7,'BSE ALL CAP'!$B$4:$Y$1038,2,)</f>
        <v>Utilities</v>
      </c>
      <c r="D7" s="6" t="str">
        <f>VLOOKUP(A7,'BSE ALL CAP'!$B$4:$Y$1038,3,)</f>
        <v>Power Generation</v>
      </c>
      <c r="E7" s="101">
        <f ca="1">IFERROR(__xludf.DUMMYFUNCTION("GOOGLEFINANCE(""BOM:""&amp;A7,""PRICE"")"),276.15)</f>
        <v>276.14999999999998</v>
      </c>
      <c r="F7" s="112">
        <f ca="1">IFERROR(__xludf.DUMMYFUNCTION("GOOGLEFINANCE(""BOM:""&amp;A7,""MARKETCAP"")/10000000"),38257.2863936)</f>
        <v>38257.286393599999</v>
      </c>
      <c r="G7" s="95">
        <f t="shared" ca="1" si="0"/>
        <v>4.170687491488094E-2</v>
      </c>
      <c r="H7" s="101">
        <f>VLOOKUP(A7,'BSE ALL CAP'!$B$4:$Y$1038,7,)</f>
        <v>12447</v>
      </c>
      <c r="I7" s="101">
        <f>VLOOKUP(A7,'BSE ALL CAP'!$B$4:$Y$1038,8,)</f>
        <v>11447</v>
      </c>
      <c r="J7" s="101">
        <f>VLOOKUP(A7,'BSE ALL CAP'!$B$4:$Y$1038,9,)</f>
        <v>2288</v>
      </c>
      <c r="K7" s="101">
        <f>VLOOKUP(A7,'BSE ALL CAP'!$B$4:$Y$1038,10,)</f>
        <v>2245</v>
      </c>
      <c r="L7" s="101">
        <f>VLOOKUP(A7,'BSE ALL CAP'!$B$4:$Y$1038,11,)</f>
        <v>4443</v>
      </c>
      <c r="M7" s="101">
        <f>VLOOKUP(A7,'BSE ALL CAP'!$B$4:$Y$1038,12,)</f>
        <v>4411</v>
      </c>
      <c r="N7" s="101">
        <f>VLOOKUP(A7,'BSE ALL CAP'!$B$4:$Y$1038,13,)</f>
        <v>724</v>
      </c>
      <c r="O7" s="101">
        <f>VLOOKUP(A7,'BSE ALL CAP'!$B$4:$Y$1038,14,)</f>
        <v>696</v>
      </c>
      <c r="P7" s="95">
        <f>VLOOKUP(A7,'BSE ALL CAP'!$B$4:$Y$1038,15,)</f>
        <v>0.18381939423154173</v>
      </c>
      <c r="Q7" s="95">
        <f>VLOOKUP(A7,'BSE ALL CAP'!$B$4:$Y$1038,16,)</f>
        <v>0.19612125447715559</v>
      </c>
      <c r="R7" s="95">
        <f>VLOOKUP(A7,'BSE ALL CAP'!$B$4:$Y$1038,17,)</f>
        <v>-1.230186024561386E-2</v>
      </c>
      <c r="S7" s="95">
        <f>VLOOKUP(A7,'BSE ALL CAP'!$B$4:$Y$1038,18,)</f>
        <v>0.16295295971190638</v>
      </c>
      <c r="T7" s="95">
        <f>VLOOKUP(A7,'BSE ALL CAP'!$B$4:$Y$1038,19,)</f>
        <v>0.15778734980729994</v>
      </c>
      <c r="U7" s="95">
        <f>VLOOKUP(A7,'BSE ALL CAP'!$B$4:$Y$1038,20,)</f>
        <v>5.165609904606433E-3</v>
      </c>
      <c r="V7" s="95">
        <f>VLOOKUP(A7,'BSE ALL CAP'!$B$4:$Y$1038,21,)</f>
        <v>8.7359133397396649E-2</v>
      </c>
      <c r="W7" s="95">
        <f>VLOOKUP(A7,'BSE ALL CAP'!$B$4:$Y$1038,22,)</f>
        <v>1.9153674832962153E-2</v>
      </c>
      <c r="X7" s="95">
        <f>VLOOKUP(A7,'BSE ALL CAP'!$B$4:$Y$1038,23,)</f>
        <v>7.2545907957379807E-3</v>
      </c>
      <c r="Y7" s="95">
        <f>VLOOKUP(A7,'BSE ALL CAP'!$B$4:$Y$1038,24,)</f>
        <v>4.022988505747116E-2</v>
      </c>
    </row>
    <row r="8" spans="1:25" ht="15.75" customHeight="1">
      <c r="A8" s="99">
        <v>533206</v>
      </c>
      <c r="B8" s="98" t="s">
        <v>2211</v>
      </c>
      <c r="C8" s="6" t="str">
        <f>VLOOKUP(A8,'BSE ALL CAP'!$B$4:$Y$1038,2,)</f>
        <v>Utilities</v>
      </c>
      <c r="D8" s="6" t="str">
        <f>VLOOKUP(A8,'BSE ALL CAP'!$B$4:$Y$1038,3,)</f>
        <v>Power Generation</v>
      </c>
      <c r="E8" s="101">
        <f ca="1">IFERROR(__xludf.DUMMYFUNCTION("GOOGLEFINANCE(""BOM:""&amp;A8,""PRICE"")"),67.54)</f>
        <v>67.540000000000006</v>
      </c>
      <c r="F8" s="112">
        <f ca="1">IFERROR(__xludf.DUMMYFUNCTION("GOOGLEFINANCE(""BOM:""&amp;A8,""MARKETCAP"")/10000000"),26545.7664242)</f>
        <v>26545.766424199999</v>
      </c>
      <c r="G8" s="95">
        <f t="shared" ca="1" si="0"/>
        <v>2.8939348922535382E-2</v>
      </c>
      <c r="H8" s="101">
        <f>VLOOKUP(A8,'BSE ALL CAP'!$B$4:$Y$1038,7,)</f>
        <v>3032</v>
      </c>
      <c r="I8" s="101">
        <f>VLOOKUP(A8,'BSE ALL CAP'!$B$4:$Y$1038,8,)</f>
        <v>2568</v>
      </c>
      <c r="J8" s="101">
        <f>VLOOKUP(A8,'BSE ALL CAP'!$B$4:$Y$1038,9,)</f>
        <v>760</v>
      </c>
      <c r="K8" s="101">
        <f>VLOOKUP(A8,'BSE ALL CAP'!$B$4:$Y$1038,10,)</f>
        <v>946</v>
      </c>
      <c r="L8" s="101">
        <f>VLOOKUP(A8,'BSE ALL CAP'!$B$4:$Y$1038,11,)</f>
        <v>1082</v>
      </c>
      <c r="M8" s="101">
        <f>VLOOKUP(A8,'BSE ALL CAP'!$B$4:$Y$1038,12,)</f>
        <v>671</v>
      </c>
      <c r="N8" s="101">
        <f>VLOOKUP(A8,'BSE ALL CAP'!$B$4:$Y$1038,13,)</f>
        <v>224</v>
      </c>
      <c r="O8" s="101">
        <f>VLOOKUP(A8,'BSE ALL CAP'!$B$4:$Y$1038,14,)</f>
        <v>149</v>
      </c>
      <c r="P8" s="95">
        <f>VLOOKUP(A8,'BSE ALL CAP'!$B$4:$Y$1038,15,)</f>
        <v>0.25065963060686014</v>
      </c>
      <c r="Q8" s="95">
        <f>VLOOKUP(A8,'BSE ALL CAP'!$B$4:$Y$1038,16,)</f>
        <v>0.36838006230529596</v>
      </c>
      <c r="R8" s="95">
        <f>VLOOKUP(A8,'BSE ALL CAP'!$B$4:$Y$1038,17,)</f>
        <v>-0.11772043169843582</v>
      </c>
      <c r="S8" s="95">
        <f>VLOOKUP(A8,'BSE ALL CAP'!$B$4:$Y$1038,18,)</f>
        <v>0.20702402957486138</v>
      </c>
      <c r="T8" s="95">
        <f>VLOOKUP(A8,'BSE ALL CAP'!$B$4:$Y$1038,19,)</f>
        <v>0.22205663189269748</v>
      </c>
      <c r="U8" s="95">
        <f>VLOOKUP(A8,'BSE ALL CAP'!$B$4:$Y$1038,20,)</f>
        <v>-1.5032602317836097E-2</v>
      </c>
      <c r="V8" s="95">
        <f>VLOOKUP(A8,'BSE ALL CAP'!$B$4:$Y$1038,21,)</f>
        <v>0.18068535825545173</v>
      </c>
      <c r="W8" s="95">
        <f>VLOOKUP(A8,'BSE ALL CAP'!$B$4:$Y$1038,22,)</f>
        <v>-0.19661733615221988</v>
      </c>
      <c r="X8" s="95">
        <f>VLOOKUP(A8,'BSE ALL CAP'!$B$4:$Y$1038,23,)</f>
        <v>0.61251862891207143</v>
      </c>
      <c r="Y8" s="95">
        <f>VLOOKUP(A8,'BSE ALL CAP'!$B$4:$Y$1038,24,)</f>
        <v>0.50335570469798663</v>
      </c>
    </row>
    <row r="9" spans="1:25" ht="15.75" customHeight="1">
      <c r="A9" s="99">
        <v>513023</v>
      </c>
      <c r="B9" s="98" t="s">
        <v>2212</v>
      </c>
      <c r="C9" s="6" t="str">
        <f>VLOOKUP(A9,'BSE ALL CAP'!$B$4:$Y$1038,2,)</f>
        <v>Utilities</v>
      </c>
      <c r="D9" s="6" t="str">
        <f>VLOOKUP(A9,'BSE ALL CAP'!$B$4:$Y$1038,3,)</f>
        <v>Power Generation</v>
      </c>
      <c r="E9" s="101">
        <f ca="1">IFERROR(__xludf.DUMMYFUNCTION("GOOGLEFINANCE(""BOM:""&amp;A9,""PRICE"")"),561.25)</f>
        <v>561.25</v>
      </c>
      <c r="F9" s="112">
        <f ca="1">IFERROR(__xludf.DUMMYFUNCTION("GOOGLEFINANCE(""BOM:""&amp;A9,""MARKETCAP"")/10000000"),15900.421731)</f>
        <v>15900.421731</v>
      </c>
      <c r="G9" s="95">
        <f t="shared" ca="1" si="0"/>
        <v>1.7334133252577218E-2</v>
      </c>
      <c r="H9" s="101">
        <f>VLOOKUP(A9,'BSE ALL CAP'!$B$4:$Y$1038,7,)</f>
        <v>3148</v>
      </c>
      <c r="I9" s="101">
        <f>VLOOKUP(A9,'BSE ALL CAP'!$B$4:$Y$1038,8,)</f>
        <v>2965</v>
      </c>
      <c r="J9" s="101">
        <f>VLOOKUP(A9,'BSE ALL CAP'!$B$4:$Y$1038,9,)</f>
        <v>902</v>
      </c>
      <c r="K9" s="101">
        <f>VLOOKUP(A9,'BSE ALL CAP'!$B$4:$Y$1038,10,)</f>
        <v>1131</v>
      </c>
      <c r="L9" s="101">
        <f>VLOOKUP(A9,'BSE ALL CAP'!$B$4:$Y$1038,11,)</f>
        <v>991</v>
      </c>
      <c r="M9" s="101">
        <f>VLOOKUP(A9,'BSE ALL CAP'!$B$4:$Y$1038,12,)</f>
        <v>842</v>
      </c>
      <c r="N9" s="101">
        <f>VLOOKUP(A9,'BSE ALL CAP'!$B$4:$Y$1038,13,)</f>
        <v>325</v>
      </c>
      <c r="O9" s="101">
        <f>VLOOKUP(A9,'BSE ALL CAP'!$B$4:$Y$1038,14,)</f>
        <v>352</v>
      </c>
      <c r="P9" s="95">
        <f>VLOOKUP(A9,'BSE ALL CAP'!$B$4:$Y$1038,15,)</f>
        <v>0.28653113087674714</v>
      </c>
      <c r="Q9" s="95">
        <f>VLOOKUP(A9,'BSE ALL CAP'!$B$4:$Y$1038,16,)</f>
        <v>0.38145025295109614</v>
      </c>
      <c r="R9" s="95">
        <f>VLOOKUP(A9,'BSE ALL CAP'!$B$4:$Y$1038,17,)</f>
        <v>-9.4919122074348994E-2</v>
      </c>
      <c r="S9" s="95">
        <f>VLOOKUP(A9,'BSE ALL CAP'!$B$4:$Y$1038,18,)</f>
        <v>0.32795156407669024</v>
      </c>
      <c r="T9" s="95">
        <f>VLOOKUP(A9,'BSE ALL CAP'!$B$4:$Y$1038,19,)</f>
        <v>0.41805225653206651</v>
      </c>
      <c r="U9" s="95">
        <f>VLOOKUP(A9,'BSE ALL CAP'!$B$4:$Y$1038,20,)</f>
        <v>-9.0100692455376274E-2</v>
      </c>
      <c r="V9" s="95">
        <f>VLOOKUP(A9,'BSE ALL CAP'!$B$4:$Y$1038,21,)</f>
        <v>6.1720067453625571E-2</v>
      </c>
      <c r="W9" s="95">
        <f>VLOOKUP(A9,'BSE ALL CAP'!$B$4:$Y$1038,22,)</f>
        <v>-0.20247568523430592</v>
      </c>
      <c r="X9" s="95">
        <f>VLOOKUP(A9,'BSE ALL CAP'!$B$4:$Y$1038,23,)</f>
        <v>0.1769596199524941</v>
      </c>
      <c r="Y9" s="95">
        <f>VLOOKUP(A9,'BSE ALL CAP'!$B$4:$Y$1038,24,)</f>
        <v>-7.6704545454545414E-2</v>
      </c>
    </row>
    <row r="10" spans="1:25" ht="15.75" customHeight="1">
      <c r="A10" s="99">
        <v>544283</v>
      </c>
      <c r="B10" s="98" t="s">
        <v>2213</v>
      </c>
      <c r="C10" s="6" t="str">
        <f>VLOOKUP(A10,'BSE ALL CAP'!$B$4:$Y$1038,2,)</f>
        <v>Utilities</v>
      </c>
      <c r="D10" s="6" t="str">
        <f>VLOOKUP(A10,'BSE ALL CAP'!$B$4:$Y$1038,3,)</f>
        <v>Power Generation</v>
      </c>
      <c r="E10" s="101">
        <f ca="1">IFERROR(__xludf.DUMMYFUNCTION("GOOGLEFINANCE(""BOM:""&amp;A10,""PRICE"")"),280.5)</f>
        <v>280.5</v>
      </c>
      <c r="F10" s="112">
        <f ca="1">IFERROR(__xludf.DUMMYFUNCTION("GOOGLEFINANCE(""BOM:""&amp;A10,""MARKETCAP"")/10000000"),16990.6847218)</f>
        <v>16990.6847218</v>
      </c>
      <c r="G10" s="95">
        <f t="shared" ca="1" si="0"/>
        <v>1.8522703234091286E-2</v>
      </c>
      <c r="H10" s="101">
        <f>VLOOKUP(A10,'BSE ALL CAP'!$B$4:$Y$1038,7,)</f>
        <v>1475</v>
      </c>
      <c r="I10" s="101">
        <f>VLOOKUP(A10,'BSE ALL CAP'!$B$4:$Y$1038,8,)</f>
        <v>918</v>
      </c>
      <c r="J10" s="101">
        <f>VLOOKUP(A10,'BSE ALL CAP'!$B$4:$Y$1038,9,)</f>
        <v>359</v>
      </c>
      <c r="K10" s="101">
        <f>VLOOKUP(A10,'BSE ALL CAP'!$B$4:$Y$1038,10,)</f>
        <v>128</v>
      </c>
      <c r="L10" s="101">
        <f>VLOOKUP(A10,'BSE ALL CAP'!$B$4:$Y$1038,11,)</f>
        <v>496</v>
      </c>
      <c r="M10" s="101">
        <f>VLOOKUP(A10,'BSE ALL CAP'!$B$4:$Y$1038,12,)</f>
        <v>349</v>
      </c>
      <c r="N10" s="101">
        <f>VLOOKUP(A10,'BSE ALL CAP'!$B$4:$Y$1038,13,)</f>
        <v>113</v>
      </c>
      <c r="O10" s="101">
        <f>VLOOKUP(A10,'BSE ALL CAP'!$B$4:$Y$1038,14,)</f>
        <v>112</v>
      </c>
      <c r="P10" s="95">
        <f>VLOOKUP(A10,'BSE ALL CAP'!$B$4:$Y$1038,15,)</f>
        <v>0.24338983050847457</v>
      </c>
      <c r="Q10" s="95">
        <f>VLOOKUP(A10,'BSE ALL CAP'!$B$4:$Y$1038,16,)</f>
        <v>0.13943355119825709</v>
      </c>
      <c r="R10" s="95">
        <f>VLOOKUP(A10,'BSE ALL CAP'!$B$4:$Y$1038,17,)</f>
        <v>0.10395627931021748</v>
      </c>
      <c r="S10" s="95">
        <f>VLOOKUP(A10,'BSE ALL CAP'!$B$4:$Y$1038,18,)</f>
        <v>0.22782258064516128</v>
      </c>
      <c r="T10" s="95">
        <f>VLOOKUP(A10,'BSE ALL CAP'!$B$4:$Y$1038,19,)</f>
        <v>0.3209169054441261</v>
      </c>
      <c r="U10" s="95">
        <f>VLOOKUP(A10,'BSE ALL CAP'!$B$4:$Y$1038,20,)</f>
        <v>-9.3094324798964817E-2</v>
      </c>
      <c r="V10" s="95">
        <f>VLOOKUP(A10,'BSE ALL CAP'!$B$4:$Y$1038,21,)</f>
        <v>0.60675381263616557</v>
      </c>
      <c r="W10" s="95">
        <f>VLOOKUP(A10,'BSE ALL CAP'!$B$4:$Y$1038,22,)</f>
        <v>1.8046875</v>
      </c>
      <c r="X10" s="95">
        <f>VLOOKUP(A10,'BSE ALL CAP'!$B$4:$Y$1038,23,)</f>
        <v>0.42120343839541552</v>
      </c>
      <c r="Y10" s="95">
        <f>VLOOKUP(A10,'BSE ALL CAP'!$B$4:$Y$1038,24,)</f>
        <v>8.9285714285713969E-3</v>
      </c>
    </row>
    <row r="11" spans="1:25" ht="15.75" customHeight="1">
      <c r="A11" s="99">
        <v>532627</v>
      </c>
      <c r="B11" s="98" t="s">
        <v>2214</v>
      </c>
      <c r="C11" s="6" t="str">
        <f>VLOOKUP(A11,'BSE ALL CAP'!$B$4:$Y$1038,2,)</f>
        <v>Utilities</v>
      </c>
      <c r="D11" s="6" t="str">
        <f>VLOOKUP(A11,'BSE ALL CAP'!$B$4:$Y$1038,3,)</f>
        <v>Power Generation</v>
      </c>
      <c r="E11" s="101">
        <f ca="1">IFERROR(__xludf.DUMMYFUNCTION("GOOGLEFINANCE(""BOM:""&amp;A11,""PRICE"")"),15.21)</f>
        <v>15.21</v>
      </c>
      <c r="F11" s="112">
        <f ca="1">IFERROR(__xludf.DUMMYFUNCTION("GOOGLEFINANCE(""BOM:""&amp;A11,""MARKETCAP"")/10000000"),10437.8146972)</f>
        <v>10437.8146972</v>
      </c>
      <c r="G11" s="95">
        <f t="shared" ca="1" si="0"/>
        <v>1.1378973079325661E-2</v>
      </c>
      <c r="H11" s="101">
        <f>VLOOKUP(A11,'BSE ALL CAP'!$B$4:$Y$1038,7,)</f>
        <v>4177</v>
      </c>
      <c r="I11" s="101">
        <f>VLOOKUP(A11,'BSE ALL CAP'!$B$4:$Y$1038,8,)</f>
        <v>4121</v>
      </c>
      <c r="J11" s="101">
        <f>VLOOKUP(A11,'BSE ALL CAP'!$B$4:$Y$1038,9,)</f>
        <v>464</v>
      </c>
      <c r="K11" s="101">
        <f>VLOOKUP(A11,'BSE ALL CAP'!$B$4:$Y$1038,10,)</f>
        <v>657</v>
      </c>
      <c r="L11" s="101">
        <f>VLOOKUP(A11,'BSE ALL CAP'!$B$4:$Y$1038,11,)</f>
        <v>1155</v>
      </c>
      <c r="M11" s="101">
        <f>VLOOKUP(A11,'BSE ALL CAP'!$B$4:$Y$1038,12,)</f>
        <v>1140</v>
      </c>
      <c r="N11" s="101">
        <f>VLOOKUP(A11,'BSE ALL CAP'!$B$4:$Y$1038,13,)</f>
        <v>3</v>
      </c>
      <c r="O11" s="101">
        <f>VLOOKUP(A11,'BSE ALL CAP'!$B$4:$Y$1038,14,)</f>
        <v>126</v>
      </c>
      <c r="P11" s="95">
        <f>VLOOKUP(A11,'BSE ALL CAP'!$B$4:$Y$1038,15,)</f>
        <v>0.11108451041417285</v>
      </c>
      <c r="Q11" s="95">
        <f>VLOOKUP(A11,'BSE ALL CAP'!$B$4:$Y$1038,16,)</f>
        <v>0.15942732346517835</v>
      </c>
      <c r="R11" s="95">
        <f>VLOOKUP(A11,'BSE ALL CAP'!$B$4:$Y$1038,17,)</f>
        <v>-4.8342813051005504E-2</v>
      </c>
      <c r="S11" s="95">
        <f>VLOOKUP(A11,'BSE ALL CAP'!$B$4:$Y$1038,18,)</f>
        <v>2.5974025974025974E-3</v>
      </c>
      <c r="T11" s="95">
        <f>VLOOKUP(A11,'BSE ALL CAP'!$B$4:$Y$1038,19,)</f>
        <v>0.11052631578947368</v>
      </c>
      <c r="U11" s="95">
        <f>VLOOKUP(A11,'BSE ALL CAP'!$B$4:$Y$1038,20,)</f>
        <v>-0.10792891319207108</v>
      </c>
      <c r="V11" s="95">
        <f>VLOOKUP(A11,'BSE ALL CAP'!$B$4:$Y$1038,21,)</f>
        <v>1.3588934724581447E-2</v>
      </c>
      <c r="W11" s="95">
        <f>VLOOKUP(A11,'BSE ALL CAP'!$B$4:$Y$1038,22,)</f>
        <v>-0.29375951293759517</v>
      </c>
      <c r="X11" s="95">
        <f>VLOOKUP(A11,'BSE ALL CAP'!$B$4:$Y$1038,23,)</f>
        <v>1.3157894736842035E-2</v>
      </c>
      <c r="Y11" s="95">
        <f>VLOOKUP(A11,'BSE ALL CAP'!$B$4:$Y$1038,24,)</f>
        <v>-0.97619047619047616</v>
      </c>
    </row>
    <row r="12" spans="1:25" ht="15.75" customHeight="1">
      <c r="A12" s="99">
        <v>544717</v>
      </c>
      <c r="B12" s="98" t="s">
        <v>2215</v>
      </c>
      <c r="C12" s="6"/>
      <c r="D12" s="6"/>
      <c r="E12" s="101">
        <f ca="1">IFERROR(__xludf.DUMMYFUNCTION("GOOGLEFINANCE(""BOM:""&amp;A12,""PRICE"")"),838.25)</f>
        <v>838.25</v>
      </c>
      <c r="F12" s="112">
        <f ca="1">IFERROR(__xludf.DUMMYFUNCTION("GOOGLEFINANCE(""BOM:""&amp;A12,""MARKETCAP"")/10000000"),9851.6210124)</f>
        <v>9851.6210124000008</v>
      </c>
      <c r="G12" s="95">
        <f t="shared" ca="1" si="0"/>
        <v>1.0739923397748229E-2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532939</v>
      </c>
      <c r="B13" s="98" t="s">
        <v>2216</v>
      </c>
      <c r="C13" s="6" t="str">
        <f>VLOOKUP(A13,'BSE ALL CAP'!$B$4:$Y$1038,2,)</f>
        <v>Utilities</v>
      </c>
      <c r="D13" s="6" t="str">
        <f>VLOOKUP(A13,'BSE ALL CAP'!$B$4:$Y$1038,3,)</f>
        <v>Power Generation</v>
      </c>
      <c r="E13" s="101">
        <f ca="1">IFERROR(__xludf.DUMMYFUNCTION("GOOGLEFINANCE(""BOM:""&amp;A13,""PRICE"")"),23.36)</f>
        <v>23.36</v>
      </c>
      <c r="F13" s="112">
        <f ca="1">IFERROR(__xludf.DUMMYFUNCTION("GOOGLEFINANCE(""BOM:""&amp;A13,""MARKETCAP"")/10000000"),9661.1589724)</f>
        <v>9661.1589724000005</v>
      </c>
      <c r="G13" s="95">
        <f t="shared" ca="1" si="0"/>
        <v>1.0532287749035781E-2</v>
      </c>
      <c r="H13" s="101">
        <f>VLOOKUP(A13,'BSE ALL CAP'!$B$4:$Y$1038,7,)</f>
        <v>5732</v>
      </c>
      <c r="I13" s="101">
        <f>VLOOKUP(A13,'BSE ALL CAP'!$B$4:$Y$1038,8,)</f>
        <v>5604</v>
      </c>
      <c r="J13" s="101">
        <f>VLOOKUP(A13,'BSE ALL CAP'!$B$4:$Y$1038,9,)</f>
        <v>157</v>
      </c>
      <c r="K13" s="101">
        <f>VLOOKUP(A13,'BSE ALL CAP'!$B$4:$Y$1038,10,)</f>
        <v>2822</v>
      </c>
      <c r="L13" s="101">
        <f>VLOOKUP(A13,'BSE ALL CAP'!$B$4:$Y$1038,11,)</f>
        <v>1872</v>
      </c>
      <c r="M13" s="101">
        <f>VLOOKUP(A13,'BSE ALL CAP'!$B$4:$Y$1038,12,)</f>
        <v>1852</v>
      </c>
      <c r="N13" s="101">
        <f>VLOOKUP(A13,'BSE ALL CAP'!$B$4:$Y$1038,13,)</f>
        <v>25</v>
      </c>
      <c r="O13" s="101">
        <f>VLOOKUP(A13,'BSE ALL CAP'!$B$4:$Y$1038,14,)</f>
        <v>41</v>
      </c>
      <c r="P13" s="95">
        <f>VLOOKUP(A13,'BSE ALL CAP'!$B$4:$Y$1038,15,)</f>
        <v>2.7390090718771808E-2</v>
      </c>
      <c r="Q13" s="95">
        <f>VLOOKUP(A13,'BSE ALL CAP'!$B$4:$Y$1038,16,)</f>
        <v>0.50356887937187722</v>
      </c>
      <c r="R13" s="95">
        <f>VLOOKUP(A13,'BSE ALL CAP'!$B$4:$Y$1038,17,)</f>
        <v>-0.47617878865310542</v>
      </c>
      <c r="S13" s="95">
        <f>VLOOKUP(A13,'BSE ALL CAP'!$B$4:$Y$1038,18,)</f>
        <v>1.3354700854700854E-2</v>
      </c>
      <c r="T13" s="95">
        <f>VLOOKUP(A13,'BSE ALL CAP'!$B$4:$Y$1038,19,)</f>
        <v>2.2138228941684664E-2</v>
      </c>
      <c r="U13" s="95">
        <f>VLOOKUP(A13,'BSE ALL CAP'!$B$4:$Y$1038,20,)</f>
        <v>-8.7835280869838096E-3</v>
      </c>
      <c r="V13" s="95">
        <f>VLOOKUP(A13,'BSE ALL CAP'!$B$4:$Y$1038,21,)</f>
        <v>2.28408279800143E-2</v>
      </c>
      <c r="W13" s="95">
        <f>VLOOKUP(A13,'BSE ALL CAP'!$B$4:$Y$1038,22,)</f>
        <v>-0.94436569808646353</v>
      </c>
      <c r="X13" s="95">
        <f>VLOOKUP(A13,'BSE ALL CAP'!$B$4:$Y$1038,23,)</f>
        <v>1.0799136069114423E-2</v>
      </c>
      <c r="Y13" s="95">
        <f>VLOOKUP(A13,'BSE ALL CAP'!$B$4:$Y$1038,24,)</f>
        <v>-0.3902439024390244</v>
      </c>
    </row>
    <row r="14" spans="1:25" ht="15.75" customHeight="1">
      <c r="A14" s="99">
        <v>542323</v>
      </c>
      <c r="B14" s="98" t="s">
        <v>2217</v>
      </c>
      <c r="C14" s="6" t="str">
        <f>VLOOKUP(A14,'BSE ALL CAP'!$B$4:$Y$1038,2,)</f>
        <v>Utilities</v>
      </c>
      <c r="D14" s="6" t="str">
        <f>VLOOKUP(A14,'BSE ALL CAP'!$B$4:$Y$1038,3,)</f>
        <v>Power Generation</v>
      </c>
      <c r="E14" s="101">
        <f ca="1">IFERROR(__xludf.DUMMYFUNCTION("GOOGLEFINANCE(""BOM:""&amp;A14,""PRICE"")"),392.05)</f>
        <v>392.05</v>
      </c>
      <c r="F14" s="112">
        <f ca="1">IFERROR(__xludf.DUMMYFUNCTION("GOOGLEFINANCE(""BOM:""&amp;A14,""MARKETCAP"")/10000000"),8124.4266383)</f>
        <v>8124.4266383000004</v>
      </c>
      <c r="G14" s="95">
        <f t="shared" ca="1" si="0"/>
        <v>8.8569911120353149E-3</v>
      </c>
      <c r="H14" s="101">
        <f>VLOOKUP(A14,'BSE ALL CAP'!$B$4:$Y$1038,7,)</f>
        <v>1900</v>
      </c>
      <c r="I14" s="101">
        <f>VLOOKUP(A14,'BSE ALL CAP'!$B$4:$Y$1038,8,)</f>
        <v>1166</v>
      </c>
      <c r="J14" s="101">
        <f>VLOOKUP(A14,'BSE ALL CAP'!$B$4:$Y$1038,9,)</f>
        <v>353</v>
      </c>
      <c r="K14" s="101">
        <f>VLOOKUP(A14,'BSE ALL CAP'!$B$4:$Y$1038,10,)</f>
        <v>221</v>
      </c>
      <c r="L14" s="101">
        <f>VLOOKUP(A14,'BSE ALL CAP'!$B$4:$Y$1038,11,)</f>
        <v>662</v>
      </c>
      <c r="M14" s="101">
        <f>VLOOKUP(A14,'BSE ALL CAP'!$B$4:$Y$1038,12,)</f>
        <v>458</v>
      </c>
      <c r="N14" s="101">
        <f>VLOOKUP(A14,'BSE ALL CAP'!$B$4:$Y$1038,13,)</f>
        <v>125</v>
      </c>
      <c r="O14" s="101">
        <f>VLOOKUP(A14,'BSE ALL CAP'!$B$4:$Y$1038,14,)</f>
        <v>85</v>
      </c>
      <c r="P14" s="95">
        <f>VLOOKUP(A14,'BSE ALL CAP'!$B$4:$Y$1038,15,)</f>
        <v>0.18578947368421053</v>
      </c>
      <c r="Q14" s="95">
        <f>VLOOKUP(A14,'BSE ALL CAP'!$B$4:$Y$1038,16,)</f>
        <v>0.1895368782161235</v>
      </c>
      <c r="R14" s="95">
        <f>VLOOKUP(A14,'BSE ALL CAP'!$B$4:$Y$1038,17,)</f>
        <v>-3.7474045319129679E-3</v>
      </c>
      <c r="S14" s="95">
        <f>VLOOKUP(A14,'BSE ALL CAP'!$B$4:$Y$1038,18,)</f>
        <v>0.18882175226586104</v>
      </c>
      <c r="T14" s="95">
        <f>VLOOKUP(A14,'BSE ALL CAP'!$B$4:$Y$1038,19,)</f>
        <v>0.18558951965065501</v>
      </c>
      <c r="U14" s="95">
        <f>VLOOKUP(A14,'BSE ALL CAP'!$B$4:$Y$1038,20,)</f>
        <v>3.2322326152060266E-3</v>
      </c>
      <c r="V14" s="95">
        <f>VLOOKUP(A14,'BSE ALL CAP'!$B$4:$Y$1038,21,)</f>
        <v>0.6295025728987993</v>
      </c>
      <c r="W14" s="95">
        <f>VLOOKUP(A14,'BSE ALL CAP'!$B$4:$Y$1038,22,)</f>
        <v>0.59728506787330327</v>
      </c>
      <c r="X14" s="95">
        <f>VLOOKUP(A14,'BSE ALL CAP'!$B$4:$Y$1038,23,)</f>
        <v>0.44541484716157198</v>
      </c>
      <c r="Y14" s="95">
        <f>VLOOKUP(A14,'BSE ALL CAP'!$B$4:$Y$1038,24,)</f>
        <v>0.47058823529411775</v>
      </c>
    </row>
    <row r="15" spans="1:25" ht="15.75" customHeight="1">
      <c r="A15" s="99">
        <v>543490</v>
      </c>
      <c r="B15" s="98" t="s">
        <v>2218</v>
      </c>
      <c r="C15" s="6" t="str">
        <f>VLOOKUP(A15,'BSE ALL CAP'!$B$4:$Y$1038,2,)</f>
        <v>Utilities</v>
      </c>
      <c r="D15" s="6" t="str">
        <f>VLOOKUP(A15,'BSE ALL CAP'!$B$4:$Y$1038,3,)</f>
        <v>Power Generation</v>
      </c>
      <c r="E15" s="101">
        <f ca="1">IFERROR(__xludf.DUMMYFUNCTION("GOOGLEFINANCE(""BOM:""&amp;A15,""PRICE"")"),98.78)</f>
        <v>98.78</v>
      </c>
      <c r="F15" s="112">
        <f ca="1">IFERROR(__xludf.DUMMYFUNCTION("GOOGLEFINANCE(""BOM:""&amp;A15,""MARKETCAP"")/10000000"),7719.5766839)</f>
        <v>7719.5766838999998</v>
      </c>
      <c r="G15" s="95">
        <f t="shared" ca="1" si="0"/>
        <v>8.4156365885142553E-3</v>
      </c>
      <c r="H15" s="101">
        <f>VLOOKUP(A15,'BSE ALL CAP'!$B$4:$Y$1038,7,)</f>
        <v>5328</v>
      </c>
      <c r="I15" s="101">
        <f>VLOOKUP(A15,'BSE ALL CAP'!$B$4:$Y$1038,8,)</f>
        <v>4607</v>
      </c>
      <c r="J15" s="101">
        <f>VLOOKUP(A15,'BSE ALL CAP'!$B$4:$Y$1038,9,)</f>
        <v>700</v>
      </c>
      <c r="K15" s="101">
        <f>VLOOKUP(A15,'BSE ALL CAP'!$B$4:$Y$1038,10,)</f>
        <v>1560</v>
      </c>
      <c r="L15" s="101">
        <f>VLOOKUP(A15,'BSE ALL CAP'!$B$4:$Y$1038,11,)</f>
        <v>1869</v>
      </c>
      <c r="M15" s="101">
        <f>VLOOKUP(A15,'BSE ALL CAP'!$B$4:$Y$1038,12,)</f>
        <v>1611</v>
      </c>
      <c r="N15" s="101">
        <f>VLOOKUP(A15,'BSE ALL CAP'!$B$4:$Y$1038,13,)</f>
        <v>-160</v>
      </c>
      <c r="O15" s="101">
        <f>VLOOKUP(A15,'BSE ALL CAP'!$B$4:$Y$1038,14,)</f>
        <v>-90</v>
      </c>
      <c r="P15" s="95">
        <f>VLOOKUP(A15,'BSE ALL CAP'!$B$4:$Y$1038,15,)</f>
        <v>0.13138138138138139</v>
      </c>
      <c r="Q15" s="95">
        <f>VLOOKUP(A15,'BSE ALL CAP'!$B$4:$Y$1038,16,)</f>
        <v>0.33861515085739091</v>
      </c>
      <c r="R15" s="95">
        <f>VLOOKUP(A15,'BSE ALL CAP'!$B$4:$Y$1038,17,)</f>
        <v>-0.20723376947600952</v>
      </c>
      <c r="S15" s="95">
        <f>VLOOKUP(A15,'BSE ALL CAP'!$B$4:$Y$1038,18,)</f>
        <v>-8.5607276618512571E-2</v>
      </c>
      <c r="T15" s="95">
        <f>VLOOKUP(A15,'BSE ALL CAP'!$B$4:$Y$1038,19,)</f>
        <v>-5.5865921787709494E-2</v>
      </c>
      <c r="U15" s="95">
        <f>VLOOKUP(A15,'BSE ALL CAP'!$B$4:$Y$1038,20,)</f>
        <v>-2.9741354830803077E-2</v>
      </c>
      <c r="V15" s="95">
        <f>VLOOKUP(A15,'BSE ALL CAP'!$B$4:$Y$1038,21,)</f>
        <v>0.15650097677447361</v>
      </c>
      <c r="W15" s="95">
        <f>VLOOKUP(A15,'BSE ALL CAP'!$B$4:$Y$1038,22,)</f>
        <v>-0.55128205128205132</v>
      </c>
      <c r="X15" s="95">
        <f>VLOOKUP(A15,'BSE ALL CAP'!$B$4:$Y$1038,23,)</f>
        <v>0.16014897579143383</v>
      </c>
      <c r="Y15" s="95">
        <f>VLOOKUP(A15,'BSE ALL CAP'!$B$4:$Y$1038,24,)</f>
        <v>0.77777777777777768</v>
      </c>
    </row>
    <row r="16" spans="1:25" ht="15.75" customHeight="1">
      <c r="A16" s="99">
        <v>543667</v>
      </c>
      <c r="B16" s="98" t="s">
        <v>2219</v>
      </c>
      <c r="C16" s="6" t="str">
        <f>VLOOKUP(A16,'BSE ALL CAP'!$B$4:$Y$1038,2,)</f>
        <v>Utilities</v>
      </c>
      <c r="D16" s="6" t="str">
        <f>VLOOKUP(A16,'BSE ALL CAP'!$B$4:$Y$1038,3,)</f>
        <v>Power Generation</v>
      </c>
      <c r="E16" s="101">
        <f ca="1">IFERROR(__xludf.DUMMYFUNCTION("GOOGLEFINANCE(""BOM:""&amp;A16,""PRICE"")"),145.85)</f>
        <v>145.85</v>
      </c>
      <c r="F16" s="112">
        <f ca="1">IFERROR(__xludf.DUMMYFUNCTION("GOOGLEFINANCE(""BOM:""&amp;A16,""MARKETCAP"")/10000000"),5850.1402015)</f>
        <v>5850.1402015000003</v>
      </c>
      <c r="G16" s="95">
        <f t="shared" ca="1" si="0"/>
        <v>6.3776364875500887E-3</v>
      </c>
      <c r="H16" s="101">
        <f>VLOOKUP(A16,'BSE ALL CAP'!$B$4:$Y$1038,7,)</f>
        <v>223</v>
      </c>
      <c r="I16" s="101">
        <f>VLOOKUP(A16,'BSE ALL CAP'!$B$4:$Y$1038,8,)</f>
        <v>167</v>
      </c>
      <c r="J16" s="101">
        <f>VLOOKUP(A16,'BSE ALL CAP'!$B$4:$Y$1038,9,)</f>
        <v>75</v>
      </c>
      <c r="K16" s="101">
        <f>VLOOKUP(A16,'BSE ALL CAP'!$B$4:$Y$1038,10,)</f>
        <v>15</v>
      </c>
      <c r="L16" s="101">
        <f>VLOOKUP(A16,'BSE ALL CAP'!$B$4:$Y$1038,11,)</f>
        <v>81</v>
      </c>
      <c r="M16" s="101">
        <f>VLOOKUP(A16,'BSE ALL CAP'!$B$4:$Y$1038,12,)</f>
        <v>61</v>
      </c>
      <c r="N16" s="101">
        <f>VLOOKUP(A16,'BSE ALL CAP'!$B$4:$Y$1038,13,)</f>
        <v>24</v>
      </c>
      <c r="O16" s="101">
        <f>VLOOKUP(A16,'BSE ALL CAP'!$B$4:$Y$1038,14,)</f>
        <v>5</v>
      </c>
      <c r="P16" s="95">
        <f>VLOOKUP(A16,'BSE ALL CAP'!$B$4:$Y$1038,15,)</f>
        <v>0.33632286995515698</v>
      </c>
      <c r="Q16" s="95">
        <f>VLOOKUP(A16,'BSE ALL CAP'!$B$4:$Y$1038,16,)</f>
        <v>8.9820359281437126E-2</v>
      </c>
      <c r="R16" s="95">
        <f>VLOOKUP(A16,'BSE ALL CAP'!$B$4:$Y$1038,17,)</f>
        <v>0.24650251067371987</v>
      </c>
      <c r="S16" s="95">
        <f>VLOOKUP(A16,'BSE ALL CAP'!$B$4:$Y$1038,18,)</f>
        <v>0.29629629629629628</v>
      </c>
      <c r="T16" s="95">
        <f>VLOOKUP(A16,'BSE ALL CAP'!$B$4:$Y$1038,19,)</f>
        <v>8.1967213114754092E-2</v>
      </c>
      <c r="U16" s="95">
        <f>VLOOKUP(A16,'BSE ALL CAP'!$B$4:$Y$1038,20,)</f>
        <v>0.2143290831815422</v>
      </c>
      <c r="V16" s="95">
        <f>VLOOKUP(A16,'BSE ALL CAP'!$B$4:$Y$1038,21,)</f>
        <v>0.33532934131736525</v>
      </c>
      <c r="W16" s="95">
        <f>VLOOKUP(A16,'BSE ALL CAP'!$B$4:$Y$1038,22,)</f>
        <v>4</v>
      </c>
      <c r="X16" s="95">
        <f>VLOOKUP(A16,'BSE ALL CAP'!$B$4:$Y$1038,23,)</f>
        <v>0.32786885245901631</v>
      </c>
      <c r="Y16" s="95">
        <f>VLOOKUP(A16,'BSE ALL CAP'!$B$4:$Y$1038,24,)</f>
        <v>3.8</v>
      </c>
    </row>
    <row r="17" spans="1:25" ht="15.75" customHeight="1">
      <c r="A17" s="99">
        <v>533122</v>
      </c>
      <c r="B17" s="98" t="s">
        <v>2220</v>
      </c>
      <c r="C17" s="6" t="str">
        <f>VLOOKUP(A17,'BSE ALL CAP'!$B$4:$Y$1038,2,)</f>
        <v>Utilities</v>
      </c>
      <c r="D17" s="6" t="str">
        <f>VLOOKUP(A17,'BSE ALL CAP'!$B$4:$Y$1038,3,)</f>
        <v>Power Generation</v>
      </c>
      <c r="E17" s="101">
        <f ca="1">IFERROR(__xludf.DUMMYFUNCTION("GOOGLEFINANCE(""BOM:""&amp;A17,""PRICE"")"),8.29)</f>
        <v>8.2899999999999991</v>
      </c>
      <c r="F17" s="112">
        <f ca="1">IFERROR(__xludf.DUMMYFUNCTION("GOOGLEFINANCE(""BOM:""&amp;A17,""MARKETCAP"")/10000000"),4441.0640655)</f>
        <v>4441.0640654999997</v>
      </c>
      <c r="G17" s="95">
        <f t="shared" ca="1" si="0"/>
        <v>4.8415065711447519E-3</v>
      </c>
      <c r="H17" s="101">
        <f>VLOOKUP(A17,'BSE ALL CAP'!$B$4:$Y$1038,7,)</f>
        <v>2204</v>
      </c>
      <c r="I17" s="101">
        <f>VLOOKUP(A17,'BSE ALL CAP'!$B$4:$Y$1038,8,)</f>
        <v>2348</v>
      </c>
      <c r="J17" s="101">
        <f>VLOOKUP(A17,'BSE ALL CAP'!$B$4:$Y$1038,9,)</f>
        <v>10</v>
      </c>
      <c r="K17" s="101">
        <f>VLOOKUP(A17,'BSE ALL CAP'!$B$4:$Y$1038,10,)</f>
        <v>96</v>
      </c>
      <c r="L17" s="101">
        <f>VLOOKUP(A17,'BSE ALL CAP'!$B$4:$Y$1038,11,)</f>
        <v>728</v>
      </c>
      <c r="M17" s="101">
        <f>VLOOKUP(A17,'BSE ALL CAP'!$B$4:$Y$1038,12,)</f>
        <v>733</v>
      </c>
      <c r="N17" s="101">
        <f>VLOOKUP(A17,'BSE ALL CAP'!$B$4:$Y$1038,13,)</f>
        <v>54</v>
      </c>
      <c r="O17" s="101">
        <f>VLOOKUP(A17,'BSE ALL CAP'!$B$4:$Y$1038,14,)</f>
        <v>4</v>
      </c>
      <c r="P17" s="95">
        <f>VLOOKUP(A17,'BSE ALL CAP'!$B$4:$Y$1038,15,)</f>
        <v>4.5372050816696917E-3</v>
      </c>
      <c r="Q17" s="95">
        <f>VLOOKUP(A17,'BSE ALL CAP'!$B$4:$Y$1038,16,)</f>
        <v>4.0885860306643949E-2</v>
      </c>
      <c r="R17" s="95">
        <f>VLOOKUP(A17,'BSE ALL CAP'!$B$4:$Y$1038,17,)</f>
        <v>-3.6348655224974255E-2</v>
      </c>
      <c r="S17" s="95">
        <f>VLOOKUP(A17,'BSE ALL CAP'!$B$4:$Y$1038,18,)</f>
        <v>7.4175824175824176E-2</v>
      </c>
      <c r="T17" s="95">
        <f>VLOOKUP(A17,'BSE ALL CAP'!$B$4:$Y$1038,19,)</f>
        <v>5.4570259208731242E-3</v>
      </c>
      <c r="U17" s="95">
        <f>VLOOKUP(A17,'BSE ALL CAP'!$B$4:$Y$1038,20,)</f>
        <v>6.8718798254951058E-2</v>
      </c>
      <c r="V17" s="95">
        <f>VLOOKUP(A17,'BSE ALL CAP'!$B$4:$Y$1038,21,)</f>
        <v>-6.1328790459965976E-2</v>
      </c>
      <c r="W17" s="95">
        <f>VLOOKUP(A17,'BSE ALL CAP'!$B$4:$Y$1038,22,)</f>
        <v>-0.89583333333333337</v>
      </c>
      <c r="X17" s="95">
        <f>VLOOKUP(A17,'BSE ALL CAP'!$B$4:$Y$1038,23,)</f>
        <v>-6.8212824010913664E-3</v>
      </c>
      <c r="Y17" s="95">
        <f>VLOOKUP(A17,'BSE ALL CAP'!$B$4:$Y$1038,24,)</f>
        <v>12.5</v>
      </c>
    </row>
    <row r="18" spans="1:25" ht="15.75" customHeight="1">
      <c r="A18" s="99">
        <v>517300</v>
      </c>
      <c r="B18" s="98" t="s">
        <v>2221</v>
      </c>
      <c r="C18" s="6" t="str">
        <f>VLOOKUP(A18,'BSE ALL CAP'!$B$4:$Y$1038,2,)</f>
        <v>Utilities</v>
      </c>
      <c r="D18" s="6" t="str">
        <f>VLOOKUP(A18,'BSE ALL CAP'!$B$4:$Y$1038,3,)</f>
        <v>Power Generation</v>
      </c>
      <c r="E18" s="101">
        <f ca="1">IFERROR(__xludf.DUMMYFUNCTION("GOOGLEFINANCE(""BOM:""&amp;A18,""PRICE"")"),131.65)</f>
        <v>131.65</v>
      </c>
      <c r="F18" s="112">
        <f ca="1">IFERROR(__xludf.DUMMYFUNCTION("GOOGLEFINANCE(""BOM:""&amp;A18,""MARKETCAP"")/10000000"),2044.8143518)</f>
        <v>2044.8143517999999</v>
      </c>
      <c r="G18" s="95">
        <f t="shared" ca="1" si="0"/>
        <v>2.2291914674048281E-3</v>
      </c>
      <c r="H18" s="101">
        <f>VLOOKUP(A18,'BSE ALL CAP'!$B$4:$Y$1038,7,)</f>
        <v>1062</v>
      </c>
      <c r="I18" s="101">
        <f>VLOOKUP(A18,'BSE ALL CAP'!$B$4:$Y$1038,8,)</f>
        <v>918</v>
      </c>
      <c r="J18" s="101">
        <f>VLOOKUP(A18,'BSE ALL CAP'!$B$4:$Y$1038,9,)</f>
        <v>75</v>
      </c>
      <c r="K18" s="101">
        <f>VLOOKUP(A18,'BSE ALL CAP'!$B$4:$Y$1038,10,)</f>
        <v>141</v>
      </c>
      <c r="L18" s="101">
        <f>VLOOKUP(A18,'BSE ALL CAP'!$B$4:$Y$1038,11,)</f>
        <v>369</v>
      </c>
      <c r="M18" s="101">
        <f>VLOOKUP(A18,'BSE ALL CAP'!$B$4:$Y$1038,12,)</f>
        <v>321</v>
      </c>
      <c r="N18" s="101">
        <f>VLOOKUP(A18,'BSE ALL CAP'!$B$4:$Y$1038,13,)</f>
        <v>-3</v>
      </c>
      <c r="O18" s="101">
        <f>VLOOKUP(A18,'BSE ALL CAP'!$B$4:$Y$1038,14,)</f>
        <v>39</v>
      </c>
      <c r="P18" s="95">
        <f>VLOOKUP(A18,'BSE ALL CAP'!$B$4:$Y$1038,15,)</f>
        <v>7.0621468926553674E-2</v>
      </c>
      <c r="Q18" s="95">
        <f>VLOOKUP(A18,'BSE ALL CAP'!$B$4:$Y$1038,16,)</f>
        <v>0.15359477124183007</v>
      </c>
      <c r="R18" s="95">
        <f>VLOOKUP(A18,'BSE ALL CAP'!$B$4:$Y$1038,17,)</f>
        <v>-8.2973302315276401E-2</v>
      </c>
      <c r="S18" s="95">
        <f>VLOOKUP(A18,'BSE ALL CAP'!$B$4:$Y$1038,18,)</f>
        <v>-8.130081300813009E-3</v>
      </c>
      <c r="T18" s="95">
        <f>VLOOKUP(A18,'BSE ALL CAP'!$B$4:$Y$1038,19,)</f>
        <v>0.12149532710280374</v>
      </c>
      <c r="U18" s="95">
        <f>VLOOKUP(A18,'BSE ALL CAP'!$B$4:$Y$1038,20,)</f>
        <v>-0.12962540840361675</v>
      </c>
      <c r="V18" s="95">
        <f>VLOOKUP(A18,'BSE ALL CAP'!$B$4:$Y$1038,21,)</f>
        <v>0.15686274509803932</v>
      </c>
      <c r="W18" s="95">
        <f>VLOOKUP(A18,'BSE ALL CAP'!$B$4:$Y$1038,22,)</f>
        <v>-0.46808510638297873</v>
      </c>
      <c r="X18" s="95">
        <f>VLOOKUP(A18,'BSE ALL CAP'!$B$4:$Y$1038,23,)</f>
        <v>0.14953271028037385</v>
      </c>
      <c r="Y18" s="95">
        <f>VLOOKUP(A18,'BSE ALL CAP'!$B$4:$Y$1038,24,)</f>
        <v>-1.0769230769230769</v>
      </c>
    </row>
    <row r="19" spans="1:25" ht="15.75" customHeight="1">
      <c r="A19" s="99">
        <v>543620</v>
      </c>
      <c r="B19" s="98" t="s">
        <v>2222</v>
      </c>
      <c r="C19" s="6"/>
      <c r="D19" s="6"/>
      <c r="E19" s="101">
        <f ca="1">IFERROR(__xludf.DUMMYFUNCTION("GOOGLEFINANCE(""BOM:""&amp;A19,""PRICE"")"),94.3)</f>
        <v>94.3</v>
      </c>
      <c r="F19" s="112">
        <f ca="1">IFERROR(__xludf.DUMMYFUNCTION("GOOGLEFINANCE(""BOM:""&amp;A19,""MARKETCAP"")/10000000"),2079.4518022)</f>
        <v>2079.4518022000002</v>
      </c>
      <c r="G19" s="95">
        <f t="shared" ca="1" si="0"/>
        <v>2.2669521124317809E-3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533644</v>
      </c>
      <c r="B20" s="98" t="s">
        <v>2223</v>
      </c>
      <c r="C20" s="6"/>
      <c r="D20" s="6"/>
      <c r="E20" s="101">
        <f ca="1">IFERROR(__xludf.DUMMYFUNCTION("GOOGLEFINANCE(""BOM:""&amp;A20,""PRICE"")"),148.95)</f>
        <v>148.94999999999999</v>
      </c>
      <c r="F20" s="112">
        <f ca="1">IFERROR(__xludf.DUMMYFUNCTION("GOOGLEFINANCE(""BOM:""&amp;A20,""MARKETCAP"")/10000000"),1995.6311694)</f>
        <v>1995.6311694000001</v>
      </c>
      <c r="G20" s="95">
        <f t="shared" ca="1" si="0"/>
        <v>2.1755735287154881E-3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539686</v>
      </c>
      <c r="B21" s="98" t="s">
        <v>2224</v>
      </c>
      <c r="C21" s="6" t="str">
        <f>VLOOKUP(A21,'BSE ALL CAP'!$B$4:$Y$1038,2,)</f>
        <v>Utilities</v>
      </c>
      <c r="D21" s="6" t="str">
        <f>VLOOKUP(A21,'BSE ALL CAP'!$B$4:$Y$1038,3,)</f>
        <v>Power Generation</v>
      </c>
      <c r="E21" s="101">
        <f ca="1">IFERROR(__xludf.DUMMYFUNCTION("GOOGLEFINANCE(""BOM:""&amp;A21,""PRICE"")"),287.5)</f>
        <v>287.5</v>
      </c>
      <c r="F21" s="112">
        <f ca="1">IFERROR(__xludf.DUMMYFUNCTION("GOOGLEFINANCE(""BOM:""&amp;A21,""MARKETCAP"")/10000000"),1937.9493258)</f>
        <v>1937.9493258</v>
      </c>
      <c r="G21" s="95">
        <f t="shared" ca="1" si="0"/>
        <v>2.1126906203164392E-3</v>
      </c>
      <c r="H21" s="101">
        <f>VLOOKUP(A21,'BSE ALL CAP'!$B$4:$Y$1038,7,)</f>
        <v>865</v>
      </c>
      <c r="I21" s="101">
        <f>VLOOKUP(A21,'BSE ALL CAP'!$B$4:$Y$1038,8,)</f>
        <v>537</v>
      </c>
      <c r="J21" s="101">
        <f>VLOOKUP(A21,'BSE ALL CAP'!$B$4:$Y$1038,9,)</f>
        <v>102</v>
      </c>
      <c r="K21" s="101">
        <f>VLOOKUP(A21,'BSE ALL CAP'!$B$4:$Y$1038,10,)</f>
        <v>69</v>
      </c>
      <c r="L21" s="101">
        <f>VLOOKUP(A21,'BSE ALL CAP'!$B$4:$Y$1038,11,)</f>
        <v>344</v>
      </c>
      <c r="M21" s="101">
        <f>VLOOKUP(A21,'BSE ALL CAP'!$B$4:$Y$1038,12,)</f>
        <v>211</v>
      </c>
      <c r="N21" s="101">
        <f>VLOOKUP(A21,'BSE ALL CAP'!$B$4:$Y$1038,13,)</f>
        <v>41</v>
      </c>
      <c r="O21" s="101">
        <f>VLOOKUP(A21,'BSE ALL CAP'!$B$4:$Y$1038,14,)</f>
        <v>26</v>
      </c>
      <c r="P21" s="95">
        <f>VLOOKUP(A21,'BSE ALL CAP'!$B$4:$Y$1038,15,)</f>
        <v>0.11791907514450867</v>
      </c>
      <c r="Q21" s="95">
        <f>VLOOKUP(A21,'BSE ALL CAP'!$B$4:$Y$1038,16,)</f>
        <v>0.12849162011173185</v>
      </c>
      <c r="R21" s="95">
        <f>VLOOKUP(A21,'BSE ALL CAP'!$B$4:$Y$1038,17,)</f>
        <v>-1.057254496722318E-2</v>
      </c>
      <c r="S21" s="95">
        <f>VLOOKUP(A21,'BSE ALL CAP'!$B$4:$Y$1038,18,)</f>
        <v>0.11918604651162791</v>
      </c>
      <c r="T21" s="95">
        <f>VLOOKUP(A21,'BSE ALL CAP'!$B$4:$Y$1038,19,)</f>
        <v>0.12322274881516587</v>
      </c>
      <c r="U21" s="95">
        <f>VLOOKUP(A21,'BSE ALL CAP'!$B$4:$Y$1038,20,)</f>
        <v>-4.0367023035379618E-3</v>
      </c>
      <c r="V21" s="95">
        <f>VLOOKUP(A21,'BSE ALL CAP'!$B$4:$Y$1038,21,)</f>
        <v>0.61080074487895719</v>
      </c>
      <c r="W21" s="95">
        <f>VLOOKUP(A21,'BSE ALL CAP'!$B$4:$Y$1038,22,)</f>
        <v>0.47826086956521729</v>
      </c>
      <c r="X21" s="95">
        <f>VLOOKUP(A21,'BSE ALL CAP'!$B$4:$Y$1038,23,)</f>
        <v>0.63033175355450233</v>
      </c>
      <c r="Y21" s="95">
        <f>VLOOKUP(A21,'BSE ALL CAP'!$B$4:$Y$1038,24,)</f>
        <v>0.57692307692307687</v>
      </c>
    </row>
    <row r="22" spans="1:25" ht="15.75" customHeight="1">
      <c r="A22" s="99">
        <v>533263</v>
      </c>
      <c r="B22" s="98" t="s">
        <v>2225</v>
      </c>
      <c r="C22" s="6"/>
      <c r="D22" s="6"/>
      <c r="E22" s="101">
        <f ca="1">IFERROR(__xludf.DUMMYFUNCTION("GOOGLEFINANCE(""BOM:""&amp;A22,""PRICE"")"),9.36)</f>
        <v>9.36</v>
      </c>
      <c r="F22" s="112">
        <f ca="1">IFERROR(__xludf.DUMMYFUNCTION("GOOGLEFINANCE(""BOM:""&amp;A22,""MARKETCAP"")/10000000"),1094.437914)</f>
        <v>1094.4379140000001</v>
      </c>
      <c r="G22" s="95">
        <f t="shared" ca="1" si="0"/>
        <v>1.1931213497917408E-3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517530</v>
      </c>
      <c r="B23" s="98" t="s">
        <v>2226</v>
      </c>
      <c r="C23" s="6"/>
      <c r="D23" s="6"/>
      <c r="E23" s="101">
        <f ca="1">IFERROR(__xludf.DUMMYFUNCTION("GOOGLEFINANCE(""BOM:""&amp;A23,""PRICE"")"),18.3)</f>
        <v>18.3</v>
      </c>
      <c r="F23" s="112">
        <f ca="1">IFERROR(__xludf.DUMMYFUNCTION("GOOGLEFINANCE(""BOM:""&amp;A23,""MARKETCAP"")/10000000"),247.8612286)</f>
        <v>247.8612286</v>
      </c>
      <c r="G23" s="95">
        <f t="shared" ca="1" si="0"/>
        <v>2.7021041563466086E-4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539337</v>
      </c>
      <c r="B24" s="98" t="s">
        <v>2227</v>
      </c>
      <c r="C24" s="6"/>
      <c r="D24" s="6"/>
      <c r="E24" s="101">
        <f ca="1">IFERROR(__xludf.DUMMYFUNCTION("GOOGLEFINANCE(""BOM:""&amp;A24,""PRICE"")"),158.95)</f>
        <v>158.94999999999999</v>
      </c>
      <c r="F24" s="112">
        <f ca="1">IFERROR(__xludf.DUMMYFUNCTION("GOOGLEFINANCE(""BOM:""&amp;A24,""MARKETCAP"")/10000000"),167.8753)</f>
        <v>167.87530000000001</v>
      </c>
      <c r="G24" s="95">
        <f t="shared" ca="1" si="0"/>
        <v>1.830123042801434E-4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532894</v>
      </c>
      <c r="B25" s="98" t="s">
        <v>2228</v>
      </c>
      <c r="C25" s="6"/>
      <c r="D25" s="6"/>
      <c r="E25" s="101">
        <f ca="1">IFERROR(__xludf.DUMMYFUNCTION("GOOGLEFINANCE(""BOM:""&amp;A25,""PRICE"")"),7.95)</f>
        <v>7.95</v>
      </c>
      <c r="F25" s="112">
        <f ca="1">IFERROR(__xludf.DUMMYFUNCTION("GOOGLEFINANCE(""BOM:""&amp;A25,""MARKETCAP"")/10000000"),128.1576722)</f>
        <v>128.15767220000001</v>
      </c>
      <c r="G25" s="95">
        <f t="shared" ca="1" si="0"/>
        <v>1.3971341168415649E-4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526025</v>
      </c>
      <c r="B26" s="98" t="s">
        <v>2229</v>
      </c>
      <c r="C26" s="6"/>
      <c r="D26" s="6"/>
      <c r="E26" s="101">
        <f ca="1">IFERROR(__xludf.DUMMYFUNCTION("GOOGLEFINANCE(""BOM:""&amp;A26,""PRICE"")"),13.23)</f>
        <v>13.23</v>
      </c>
      <c r="F26" s="112">
        <f ca="1">IFERROR(__xludf.DUMMYFUNCTION("GOOGLEFINANCE(""BOM:""&amp;A26,""MARKETCAP"")/10000000"),130.9088609)</f>
        <v>130.90886090000001</v>
      </c>
      <c r="G26" s="95">
        <f t="shared" ca="1" si="0"/>
        <v>1.427126699639421E-4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532219</v>
      </c>
      <c r="B27" s="98" t="s">
        <v>2230</v>
      </c>
      <c r="C27" s="6"/>
      <c r="D27" s="6"/>
      <c r="E27" s="101">
        <f ca="1">IFERROR(__xludf.DUMMYFUNCTION("GOOGLEFINANCE(""BOM:""&amp;A27,""PRICE"")"),13.9)</f>
        <v>13.9</v>
      </c>
      <c r="F27" s="112">
        <f ca="1">IFERROR(__xludf.DUMMYFUNCTION("GOOGLEFINANCE(""BOM:""&amp;A27,""MARKETCAP"")/10000000"),65.698362)</f>
        <v>65.698362000000003</v>
      </c>
      <c r="G27" s="95">
        <f t="shared" ca="1" si="0"/>
        <v>7.1622261387178517E-5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541445</v>
      </c>
      <c r="B28" s="98" t="s">
        <v>2231</v>
      </c>
      <c r="C28" s="6"/>
      <c r="D28" s="6"/>
      <c r="E28" s="101">
        <f ca="1">IFERROR(__xludf.DUMMYFUNCTION("GOOGLEFINANCE(""BOM:""&amp;A28,""PRICE"")"),49)</f>
        <v>49</v>
      </c>
      <c r="F28" s="112">
        <f ca="1">IFERROR(__xludf.DUMMYFUNCTION("GOOGLEFINANCE(""BOM:""&amp;A28,""MARKETCAP"")/10000000"),65.007124)</f>
        <v>65.007124000000005</v>
      </c>
      <c r="G28" s="95">
        <f t="shared" ca="1" si="0"/>
        <v>7.0868695739426899E-5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533451</v>
      </c>
      <c r="B29" s="98" t="s">
        <v>2232</v>
      </c>
      <c r="C29" s="6"/>
      <c r="D29" s="6"/>
      <c r="E29" s="101">
        <f ca="1">IFERROR(__xludf.DUMMYFUNCTION("GOOGLEFINANCE(""BOM:""&amp;A29,""PRICE"")"),37.51)</f>
        <v>37.51</v>
      </c>
      <c r="F29" s="112">
        <f ca="1">IFERROR(__xludf.DUMMYFUNCTION("GOOGLEFINANCE(""BOM:""&amp;A29,""MARKETCAP"")/10000000"),45.0648003)</f>
        <v>45.064800300000002</v>
      </c>
      <c r="G29" s="95">
        <f t="shared" ca="1" si="0"/>
        <v>4.9128209717733923E-5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539013</v>
      </c>
      <c r="B30" s="98" t="s">
        <v>2233</v>
      </c>
      <c r="C30" s="6"/>
      <c r="D30" s="6"/>
      <c r="E30" s="101">
        <f ca="1">IFERROR(__xludf.DUMMYFUNCTION("GOOGLEFINANCE(""BOM:""&amp;A30,""PRICE"")"),74.1)</f>
        <v>74.099999999999994</v>
      </c>
      <c r="F30" s="112">
        <f ca="1">IFERROR(__xludf.DUMMYFUNCTION("GOOGLEFINANCE(""BOM:""&amp;A30,""MARKETCAP"")/10000000"),30.4721053)</f>
        <v>30.472105299999999</v>
      </c>
      <c r="G30" s="95">
        <f t="shared" ca="1" si="0"/>
        <v>3.3219718488784054E-5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534612</v>
      </c>
      <c r="B31" s="98" t="s">
        <v>2234</v>
      </c>
      <c r="C31" s="6"/>
      <c r="D31" s="6"/>
      <c r="E31" s="101">
        <f ca="1">IFERROR(__xludf.DUMMYFUNCTION("GOOGLEFINANCE(""BOM:""&amp;A31,""PRICE"")"),20.51)</f>
        <v>20.51</v>
      </c>
      <c r="F31" s="112">
        <f ca="1">IFERROR(__xludf.DUMMYFUNCTION("GOOGLEFINANCE(""BOM:""&amp;A31,""MARKETCAP"")/10000000"),32.9338508)</f>
        <v>32.933850800000002</v>
      </c>
      <c r="G31" s="95">
        <f t="shared" ca="1" si="0"/>
        <v>3.5903435012336203E-5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503657</v>
      </c>
      <c r="B32" s="98" t="s">
        <v>2235</v>
      </c>
      <c r="C32" s="6"/>
      <c r="D32" s="6"/>
      <c r="E32" s="101">
        <f ca="1">IFERROR(__xludf.DUMMYFUNCTION("GOOGLEFINANCE(""BOM:""&amp;A32,""PRICE"")"),11.56)</f>
        <v>11.56</v>
      </c>
      <c r="F32" s="112">
        <f ca="1">IFERROR(__xludf.DUMMYFUNCTION("GOOGLEFINANCE(""BOM:""&amp;A32,""MARKETCAP"")/10000000"),17.2971477)</f>
        <v>17.2971477</v>
      </c>
      <c r="G32" s="95">
        <f t="shared" ca="1" si="0"/>
        <v>1.8856799410341977E-5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536709</v>
      </c>
      <c r="B33" s="98" t="s">
        <v>2236</v>
      </c>
      <c r="C33" s="6"/>
      <c r="D33" s="6"/>
      <c r="E33" s="101">
        <f ca="1">IFERROR(__xludf.DUMMYFUNCTION("GOOGLEFINANCE(""BOM:""&amp;A33,""PRICE"")"),10.98)</f>
        <v>10.98</v>
      </c>
      <c r="F33" s="112">
        <f ca="1">IFERROR(__xludf.DUMMYFUNCTION("GOOGLEFINANCE(""BOM:""&amp;A33,""MARKETCAP"")/10000000"),15.2905826)</f>
        <v>15.2905826</v>
      </c>
      <c r="G33" s="95">
        <f t="shared" ca="1" si="0"/>
        <v>1.6669306058794034E-5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523222</v>
      </c>
      <c r="B34" s="98" t="s">
        <v>2237</v>
      </c>
      <c r="C34" s="6"/>
      <c r="D34" s="6"/>
      <c r="E34" s="101">
        <f ca="1">IFERROR(__xludf.DUMMYFUNCTION("GOOGLEFINANCE(""BOM:""&amp;A34,""PRICE"")"),17.8)</f>
        <v>17.8</v>
      </c>
      <c r="F34" s="112">
        <f ca="1">IFERROR(__xludf.DUMMYFUNCTION("GOOGLEFINANCE(""BOM:""&amp;A34,""MARKETCAP"")/10000000"),16.1267993)</f>
        <v>16.126799299999998</v>
      </c>
      <c r="G34" s="95">
        <f t="shared" ca="1" si="0"/>
        <v>1.7580922866892288E-5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3.2">
      <c r="A35" s="101"/>
      <c r="B35" s="101"/>
      <c r="C35" s="101"/>
      <c r="D35" s="101"/>
      <c r="E35" s="101"/>
      <c r="F35" s="112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3.2">
      <c r="A36" s="101"/>
      <c r="B36" s="101"/>
      <c r="C36" s="101"/>
      <c r="D36" s="101"/>
      <c r="E36" s="101"/>
      <c r="F36" s="112">
        <f t="shared" ref="F36:O36" ca="1" si="1">SUM(F2:F34)</f>
        <v>917289.69076870021</v>
      </c>
      <c r="G36" s="95">
        <f t="shared" ca="1" si="1"/>
        <v>1</v>
      </c>
      <c r="H36" s="101">
        <f t="shared" si="1"/>
        <v>215154</v>
      </c>
      <c r="I36" s="101">
        <f t="shared" si="1"/>
        <v>203575</v>
      </c>
      <c r="J36" s="101">
        <f t="shared" si="1"/>
        <v>29832</v>
      </c>
      <c r="K36" s="101">
        <f t="shared" si="1"/>
        <v>32006</v>
      </c>
      <c r="L36" s="101">
        <f t="shared" si="1"/>
        <v>69903</v>
      </c>
      <c r="M36" s="101">
        <f t="shared" si="1"/>
        <v>65787</v>
      </c>
      <c r="N36" s="101">
        <f t="shared" si="1"/>
        <v>7963</v>
      </c>
      <c r="O36" s="101">
        <f t="shared" si="1"/>
        <v>7743</v>
      </c>
      <c r="P36" s="95">
        <f t="shared" ref="P36:Q36" si="2">J36/H36</f>
        <v>0.13865417328982962</v>
      </c>
      <c r="Q36" s="95">
        <f t="shared" si="2"/>
        <v>0.15721969790003684</v>
      </c>
      <c r="R36" s="95">
        <f>P36-Q36</f>
        <v>-1.8565524610207218E-2</v>
      </c>
      <c r="S36" s="95">
        <f t="shared" ref="S36:T36" si="3">N36/L36</f>
        <v>0.11391499649514326</v>
      </c>
      <c r="T36" s="95">
        <f t="shared" si="3"/>
        <v>0.11769802544575676</v>
      </c>
      <c r="U36" s="95">
        <f>S36-T36</f>
        <v>-3.7830289506134984E-3</v>
      </c>
      <c r="V36" s="95">
        <f>(H36/I36)-1</f>
        <v>5.6878300380694968E-2</v>
      </c>
      <c r="W36" s="95">
        <f>(J36/K36)-1</f>
        <v>-6.7924764106729985E-2</v>
      </c>
      <c r="X36" s="95">
        <f>(L36/M36)-1</f>
        <v>6.2565552464772578E-2</v>
      </c>
      <c r="Y36" s="95">
        <f>(N36/O36)-1</f>
        <v>2.8412759912178842E-2</v>
      </c>
    </row>
    <row r="37" spans="1:25" ht="13.2">
      <c r="F37" s="94"/>
    </row>
    <row r="38" spans="1:25" ht="13.2">
      <c r="F38" s="94"/>
    </row>
    <row r="39" spans="1:25" ht="13.2">
      <c r="F39" s="94"/>
    </row>
    <row r="40" spans="1:25" ht="13.2">
      <c r="F40" s="94"/>
    </row>
    <row r="41" spans="1:25" ht="13.2">
      <c r="F41" s="94"/>
    </row>
    <row r="42" spans="1:25" ht="13.2">
      <c r="F42" s="94"/>
    </row>
    <row r="43" spans="1:25" ht="13.2">
      <c r="F43" s="94"/>
    </row>
    <row r="44" spans="1:25" ht="13.2">
      <c r="F44" s="94"/>
    </row>
    <row r="45" spans="1:25" ht="13.2">
      <c r="F45" s="94"/>
    </row>
    <row r="46" spans="1:25" ht="13.2">
      <c r="F46" s="94"/>
    </row>
    <row r="47" spans="1:25" ht="13.2">
      <c r="F47" s="94"/>
    </row>
    <row r="48" spans="1:25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34" xr:uid="{00000000-0009-0000-0000-000037000000}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>
      <c r="A2" s="336">
        <v>539254</v>
      </c>
      <c r="B2" s="336" t="s">
        <v>2238</v>
      </c>
      <c r="C2" s="6" t="str">
        <f>VLOOKUP(A2,'BSE ALL CAP'!$B$4:$Y$1038,2,)</f>
        <v>Utilities</v>
      </c>
      <c r="D2" s="6" t="str">
        <f>VLOOKUP(A2,'BSE ALL CAP'!$B$4:$Y$1038,3,)</f>
        <v>Power Distribution</v>
      </c>
      <c r="E2" s="336">
        <f ca="1">IFERROR(__xludf.DUMMYFUNCTION("GOOGLEFINANCE(""BOM:""&amp;A2,""PRICE"")"),997.9)</f>
        <v>997.9</v>
      </c>
      <c r="F2" s="112">
        <f ca="1">IFERROR(__xludf.DUMMYFUNCTION("GOOGLEFINANCE(""BOM:""&amp;A2,""MARKETCAP"")/10000000"),119735.4687523)</f>
        <v>119735.4687523</v>
      </c>
      <c r="G2" s="95">
        <f t="shared" ref="G2:G10" ca="1" si="0">F2/$F$12</f>
        <v>0.41387500579846465</v>
      </c>
      <c r="H2" s="101">
        <f>VLOOKUP(A2,'BSE ALL CAP'!$B$4:$Y$1038,7,)</f>
        <v>20144</v>
      </c>
      <c r="I2" s="101">
        <f>VLOOKUP(A2,'BSE ALL CAP'!$B$4:$Y$1038,8,)</f>
        <v>17392</v>
      </c>
      <c r="J2" s="101">
        <f>VLOOKUP(A2,'BSE ALL CAP'!$B$4:$Y$1038,9,)</f>
        <v>1670</v>
      </c>
      <c r="K2" s="101">
        <f>VLOOKUP(A2,'BSE ALL CAP'!$B$4:$Y$1038,10,)</f>
        <v>208</v>
      </c>
      <c r="L2" s="101">
        <f>VLOOKUP(A2,'BSE ALL CAP'!$B$4:$Y$1038,11,)</f>
        <v>6729</v>
      </c>
      <c r="M2" s="101">
        <f>VLOOKUP(A2,'BSE ALL CAP'!$B$4:$Y$1038,12,)</f>
        <v>5830</v>
      </c>
      <c r="N2" s="101">
        <f>VLOOKUP(A2,'BSE ALL CAP'!$B$4:$Y$1038,13,)</f>
        <v>574</v>
      </c>
      <c r="O2" s="101">
        <f>VLOOKUP(A2,'BSE ALL CAP'!$B$4:$Y$1038,14,)</f>
        <v>625</v>
      </c>
      <c r="P2" s="95">
        <f>VLOOKUP(A2,'BSE ALL CAP'!$B$4:$Y$1038,15,)</f>
        <v>8.2903097696584591E-2</v>
      </c>
      <c r="Q2" s="95">
        <f>VLOOKUP(A2,'BSE ALL CAP'!$B$4:$Y$1038,16,)</f>
        <v>1.1959521619135235E-2</v>
      </c>
      <c r="R2" s="95">
        <f>VLOOKUP(A2,'BSE ALL CAP'!$B$4:$Y$1038,17,)</f>
        <v>7.0943576077449361E-2</v>
      </c>
      <c r="S2" s="95">
        <f>VLOOKUP(A2,'BSE ALL CAP'!$B$4:$Y$1038,18,)</f>
        <v>8.5302422351017981E-2</v>
      </c>
      <c r="T2" s="95">
        <f>VLOOKUP(A2,'BSE ALL CAP'!$B$4:$Y$1038,19,)</f>
        <v>0.1072041166380789</v>
      </c>
      <c r="U2" s="95">
        <f>VLOOKUP(A2,'BSE ALL CAP'!$B$4:$Y$1038,20,)</f>
        <v>-2.1901694287060916E-2</v>
      </c>
      <c r="V2" s="95">
        <f>VLOOKUP(A2,'BSE ALL CAP'!$B$4:$Y$1038,21,)</f>
        <v>0.15823367065317395</v>
      </c>
      <c r="W2" s="95">
        <f>VLOOKUP(A2,'BSE ALL CAP'!$B$4:$Y$1038,22,)</f>
        <v>7.0288461538461533</v>
      </c>
      <c r="X2" s="95">
        <f>VLOOKUP(A2,'BSE ALL CAP'!$B$4:$Y$1038,23,)</f>
        <v>0.15420240137221275</v>
      </c>
      <c r="Y2" s="95">
        <f>VLOOKUP(A2,'BSE ALL CAP'!$B$4:$Y$1038,24,)</f>
        <v>-8.1600000000000006E-2</v>
      </c>
    </row>
    <row r="3" spans="1:25">
      <c r="A3" s="336">
        <v>544481</v>
      </c>
      <c r="B3" s="336" t="s">
        <v>2239</v>
      </c>
      <c r="C3" s="336"/>
      <c r="D3" s="336"/>
      <c r="E3" s="336">
        <f ca="1">IFERROR(__xludf.DUMMYFUNCTION("GOOGLEFINANCE(""BOM:""&amp;A3,""PRICE"")"),114.5)</f>
        <v>114.5</v>
      </c>
      <c r="F3" s="112">
        <f ca="1">IFERROR(__xludf.DUMMYFUNCTION("GOOGLEFINANCE(""BOM:""&amp;A3,""MARKETCAP"")/10000000"),50760.38045)</f>
        <v>50760.380449999997</v>
      </c>
      <c r="G3" s="95">
        <f t="shared" ca="1" si="0"/>
        <v>0.17545722225831659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>
      <c r="A4" s="336">
        <v>542602</v>
      </c>
      <c r="B4" s="336" t="s">
        <v>2240</v>
      </c>
      <c r="C4" s="336"/>
      <c r="D4" s="336"/>
      <c r="E4" s="336">
        <f ca="1">IFERROR(__xludf.DUMMYFUNCTION("GOOGLEFINANCE(""BOM:""&amp;A4,""PRICE"")"),430.54)</f>
        <v>430.54</v>
      </c>
      <c r="F4" s="112">
        <f ca="1">IFERROR(__xludf.DUMMYFUNCTION("GOOGLEFINANCE(""BOM:""&amp;A4,""MARKETCAP"")/10000000"),40815.365026)</f>
        <v>40815.365025999999</v>
      </c>
      <c r="G4" s="95">
        <f t="shared" ca="1" si="0"/>
        <v>0.14108149918173443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336">
        <v>543217</v>
      </c>
      <c r="B5" s="336" t="s">
        <v>2241</v>
      </c>
      <c r="C5" s="336"/>
      <c r="D5" s="336"/>
      <c r="E5" s="336">
        <f ca="1">IFERROR(__xludf.DUMMYFUNCTION("GOOGLEFINANCE(""BOM:""&amp;A5,""PRICE"")"),462)</f>
        <v>462</v>
      </c>
      <c r="F5" s="112">
        <f ca="1">IFERROR(__xludf.DUMMYFUNCTION("GOOGLEFINANCE(""BOM:""&amp;A5,""MARKETCAP"")/10000000"),30043.4442)</f>
        <v>30043.444200000002</v>
      </c>
      <c r="G5" s="95">
        <f t="shared" ca="1" si="0"/>
        <v>0.10384751295544579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>
      <c r="A6" s="336">
        <v>543261</v>
      </c>
      <c r="B6" s="336" t="s">
        <v>2242</v>
      </c>
      <c r="C6" s="336"/>
      <c r="D6" s="336"/>
      <c r="E6" s="336">
        <f ca="1">IFERROR(__xludf.DUMMYFUNCTION("GOOGLEFINANCE(""BOM:""&amp;A6,""PRICE"")"),319.67)</f>
        <v>319.67</v>
      </c>
      <c r="F6" s="112">
        <f ca="1">IFERROR(__xludf.DUMMYFUNCTION("GOOGLEFINANCE(""BOM:""&amp;A6,""MARKETCAP"")/10000000"),23933.9240677)</f>
        <v>23933.924067700002</v>
      </c>
      <c r="G6" s="95">
        <f t="shared" ca="1" si="0"/>
        <v>8.2729479121942076E-2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336">
        <v>543913</v>
      </c>
      <c r="B7" s="336" t="s">
        <v>2243</v>
      </c>
      <c r="C7" s="336"/>
      <c r="D7" s="336"/>
      <c r="E7" s="336">
        <f ca="1">IFERROR(__xludf.DUMMYFUNCTION("GOOGLEFINANCE(""BOM:""&amp;A7,""PRICE"")"),152.78)</f>
        <v>152.78</v>
      </c>
      <c r="F7" s="112">
        <f ca="1">IFERROR(__xludf.DUMMYFUNCTION("GOOGLEFINANCE(""BOM:""&amp;A7,""MARKETCAP"")/10000000"),23126.2320252)</f>
        <v>23126.232025199999</v>
      </c>
      <c r="G7" s="95">
        <f t="shared" ca="1" si="0"/>
        <v>7.9937628450988396E-2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336">
        <v>544462</v>
      </c>
      <c r="B8" s="336" t="s">
        <v>2244</v>
      </c>
      <c r="C8" s="336"/>
      <c r="D8" s="336"/>
      <c r="E8" s="336">
        <f ca="1">IFERROR(__xludf.DUMMYFUNCTION("GOOGLEFINANCE(""BOM:""&amp;A8,""PRICE"")"),1055000)</f>
        <v>1055000</v>
      </c>
      <c r="F8" s="112">
        <f ca="1">IFERROR(__xludf.DUMMYFUNCTION("GOOGLEFINANCE(""BOM:""&amp;A8,""MARKETCAP"")/10000000"),470.741)</f>
        <v>470.74099999999999</v>
      </c>
      <c r="G8" s="95">
        <f t="shared" ca="1" si="0"/>
        <v>1.6271530577762288E-3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A9" s="336">
        <v>544295</v>
      </c>
      <c r="B9" s="336" t="s">
        <v>2245</v>
      </c>
      <c r="C9" s="336"/>
      <c r="D9" s="336"/>
      <c r="E9" s="336">
        <f ca="1">IFERROR(__xludf.DUMMYFUNCTION("GOOGLEFINANCE(""BOM:""&amp;A9,""PRICE"")"),1026000)</f>
        <v>1026000</v>
      </c>
      <c r="F9" s="112">
        <f ca="1">IFERROR(__xludf.DUMMYFUNCTION("GOOGLEFINANCE(""BOM:""&amp;A9,""MARKETCAP"")/10000000"),344.8386)</f>
        <v>344.83859999999999</v>
      </c>
      <c r="G9" s="95">
        <f t="shared" ca="1" si="0"/>
        <v>1.1919615721368521E-3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>
      <c r="A10" s="336">
        <v>535719</v>
      </c>
      <c r="B10" s="336" t="s">
        <v>2246</v>
      </c>
      <c r="C10" s="336"/>
      <c r="D10" s="336"/>
      <c r="E10" s="336">
        <f ca="1">IFERROR(__xludf.DUMMYFUNCTION("GOOGLEFINANCE(""BOM:""&amp;A10,""PRICE"")"),28.1)</f>
        <v>28.1</v>
      </c>
      <c r="F10" s="112">
        <f ca="1">IFERROR(__xludf.DUMMYFUNCTION("GOOGLEFINANCE(""BOM:""&amp;A10,""MARKETCAP"")/10000000"),73.0600009)</f>
        <v>73.060000900000006</v>
      </c>
      <c r="G10" s="95">
        <f t="shared" ca="1" si="0"/>
        <v>2.5253760319489708E-4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>
      <c r="A11" s="101"/>
      <c r="B11" s="101"/>
      <c r="C11" s="336"/>
      <c r="D11" s="336"/>
      <c r="E11" s="337"/>
      <c r="F11" s="112"/>
      <c r="G11" s="95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>
      <c r="A12" s="101"/>
      <c r="B12" s="101"/>
      <c r="C12" s="101"/>
      <c r="D12" s="101"/>
      <c r="E12" s="101"/>
      <c r="F12" s="112">
        <f t="shared" ref="F12:O12" ca="1" si="1">SUM(F2:F10)</f>
        <v>289303.45412210003</v>
      </c>
      <c r="G12" s="95">
        <f t="shared" ca="1" si="1"/>
        <v>0.99999999999999989</v>
      </c>
      <c r="H12" s="101">
        <f t="shared" si="1"/>
        <v>20144</v>
      </c>
      <c r="I12" s="101">
        <f t="shared" si="1"/>
        <v>17392</v>
      </c>
      <c r="J12" s="101">
        <f t="shared" si="1"/>
        <v>1670</v>
      </c>
      <c r="K12" s="101">
        <f t="shared" si="1"/>
        <v>208</v>
      </c>
      <c r="L12" s="101">
        <f t="shared" si="1"/>
        <v>6729</v>
      </c>
      <c r="M12" s="101">
        <f t="shared" si="1"/>
        <v>5830</v>
      </c>
      <c r="N12" s="101">
        <f t="shared" si="1"/>
        <v>574</v>
      </c>
      <c r="O12" s="101">
        <f t="shared" si="1"/>
        <v>625</v>
      </c>
      <c r="P12" s="95">
        <f t="shared" ref="P12:Q12" si="2">J12/H12</f>
        <v>8.2903097696584591E-2</v>
      </c>
      <c r="Q12" s="95">
        <f t="shared" si="2"/>
        <v>1.1959521619135235E-2</v>
      </c>
      <c r="R12" s="95">
        <f>P12-Q12</f>
        <v>7.0943576077449361E-2</v>
      </c>
      <c r="S12" s="95">
        <f t="shared" ref="S12:T12" si="3">N12/L12</f>
        <v>8.5302422351017981E-2</v>
      </c>
      <c r="T12" s="95">
        <f t="shared" si="3"/>
        <v>0.1072041166380789</v>
      </c>
      <c r="U12" s="95">
        <f>S12-T12</f>
        <v>-2.1901694287060916E-2</v>
      </c>
      <c r="V12" s="95">
        <f>(H12/I12)-1</f>
        <v>0.15823367065317395</v>
      </c>
      <c r="W12" s="95">
        <f>(J12/K12)-1</f>
        <v>7.0288461538461533</v>
      </c>
      <c r="X12" s="95">
        <f>(L12/M12)-1</f>
        <v>0.15420240137221275</v>
      </c>
      <c r="Y12" s="95">
        <f>(N12/O12)-1</f>
        <v>-8.1600000000000006E-2</v>
      </c>
    </row>
    <row r="13" spans="1:25">
      <c r="F13" s="94"/>
      <c r="G13" s="50"/>
    </row>
    <row r="14" spans="1:25">
      <c r="F14" s="94"/>
      <c r="G14" s="50"/>
    </row>
    <row r="15" spans="1:25">
      <c r="F15" s="94"/>
      <c r="G15" s="50"/>
    </row>
    <row r="16" spans="1:25">
      <c r="F16" s="94"/>
      <c r="G16" s="50"/>
    </row>
    <row r="17" spans="6:7">
      <c r="F17" s="94"/>
      <c r="G17" s="50"/>
    </row>
    <row r="18" spans="6:7">
      <c r="F18" s="94"/>
      <c r="G18" s="50"/>
    </row>
    <row r="19" spans="6:7">
      <c r="F19" s="94"/>
      <c r="G19" s="50"/>
    </row>
    <row r="20" spans="6:7">
      <c r="F20" s="94"/>
      <c r="G20" s="50"/>
    </row>
    <row r="21" spans="6:7">
      <c r="F21" s="94"/>
      <c r="G21" s="50"/>
    </row>
    <row r="22" spans="6:7">
      <c r="F22" s="94"/>
      <c r="G22" s="50"/>
    </row>
    <row r="23" spans="6:7">
      <c r="F23" s="94"/>
      <c r="G23" s="50"/>
    </row>
    <row r="24" spans="6:7">
      <c r="F24" s="94"/>
      <c r="G24" s="50"/>
    </row>
    <row r="25" spans="6:7" ht="13.2">
      <c r="F25" s="94"/>
      <c r="G25" s="50"/>
    </row>
    <row r="26" spans="6:7" ht="13.2">
      <c r="F26" s="94"/>
      <c r="G26" s="50"/>
    </row>
    <row r="27" spans="6:7" ht="13.2">
      <c r="F27" s="94"/>
      <c r="G27" s="50"/>
    </row>
    <row r="28" spans="6:7" ht="13.2">
      <c r="F28" s="94"/>
      <c r="G28" s="50"/>
    </row>
    <row r="29" spans="6:7" ht="13.2">
      <c r="F29" s="94"/>
      <c r="G29" s="50"/>
    </row>
    <row r="30" spans="6:7" ht="13.2">
      <c r="F30" s="94"/>
      <c r="G30" s="50"/>
    </row>
    <row r="31" spans="6:7" ht="13.2">
      <c r="F31" s="94"/>
      <c r="G31" s="50"/>
    </row>
    <row r="32" spans="6:7" ht="13.2">
      <c r="F32" s="94"/>
      <c r="G32" s="50"/>
    </row>
    <row r="33" spans="6:7" ht="13.2">
      <c r="F33" s="94"/>
      <c r="G33" s="50"/>
    </row>
    <row r="34" spans="6:7" ht="13.2">
      <c r="F34" s="94"/>
      <c r="G34" s="50"/>
    </row>
    <row r="35" spans="6:7" ht="13.2">
      <c r="F35" s="94"/>
      <c r="G35" s="50"/>
    </row>
    <row r="36" spans="6:7" ht="13.2">
      <c r="F36" s="94"/>
      <c r="G36" s="50"/>
    </row>
    <row r="37" spans="6:7" ht="13.2">
      <c r="F37" s="94"/>
      <c r="G37" s="50"/>
    </row>
    <row r="38" spans="6:7" ht="13.2">
      <c r="F38" s="94"/>
      <c r="G38" s="50"/>
    </row>
    <row r="39" spans="6:7" ht="13.2">
      <c r="F39" s="94"/>
      <c r="G39" s="50"/>
    </row>
    <row r="40" spans="6:7" ht="13.2">
      <c r="F40" s="94"/>
      <c r="G40" s="50"/>
    </row>
    <row r="41" spans="6:7" ht="13.2">
      <c r="F41" s="94"/>
      <c r="G41" s="50"/>
    </row>
    <row r="42" spans="6:7" ht="13.2">
      <c r="F42" s="94"/>
      <c r="G42" s="50"/>
    </row>
    <row r="43" spans="6:7" ht="13.2">
      <c r="F43" s="94"/>
      <c r="G43" s="50"/>
    </row>
    <row r="44" spans="6:7" ht="13.2">
      <c r="F44" s="94"/>
      <c r="G44" s="50"/>
    </row>
    <row r="45" spans="6:7" ht="13.2">
      <c r="F45" s="94"/>
      <c r="G45" s="50"/>
    </row>
    <row r="46" spans="6:7" ht="13.2">
      <c r="F46" s="94"/>
      <c r="G46" s="50"/>
    </row>
    <row r="47" spans="6:7" ht="13.2">
      <c r="F47" s="94"/>
      <c r="G47" s="50"/>
    </row>
    <row r="48" spans="6:7" ht="13.2">
      <c r="F48" s="94"/>
      <c r="G48" s="50"/>
    </row>
    <row r="49" spans="6:7" ht="13.2">
      <c r="F49" s="94"/>
      <c r="G49" s="50"/>
    </row>
    <row r="50" spans="6:7" ht="13.2">
      <c r="F50" s="94"/>
      <c r="G50" s="50"/>
    </row>
    <row r="51" spans="6:7" ht="13.2">
      <c r="F51" s="94"/>
      <c r="G51" s="50"/>
    </row>
    <row r="52" spans="6:7" ht="13.2">
      <c r="F52" s="94"/>
      <c r="G52" s="50"/>
    </row>
    <row r="53" spans="6:7" ht="13.2">
      <c r="F53" s="94"/>
      <c r="G53" s="50"/>
    </row>
    <row r="54" spans="6:7" ht="13.2">
      <c r="F54" s="94"/>
      <c r="G54" s="50"/>
    </row>
    <row r="55" spans="6:7" ht="13.2">
      <c r="F55" s="94"/>
      <c r="G55" s="50"/>
    </row>
    <row r="56" spans="6:7" ht="13.2">
      <c r="F56" s="94"/>
      <c r="G56" s="50"/>
    </row>
    <row r="57" spans="6:7" ht="13.2">
      <c r="F57" s="94"/>
      <c r="G57" s="50"/>
    </row>
    <row r="58" spans="6:7" ht="13.2">
      <c r="F58" s="94"/>
      <c r="G58" s="50"/>
    </row>
    <row r="59" spans="6:7" ht="13.2">
      <c r="F59" s="94"/>
      <c r="G59" s="50"/>
    </row>
    <row r="60" spans="6:7" ht="13.2">
      <c r="F60" s="94"/>
      <c r="G60" s="50"/>
    </row>
    <row r="61" spans="6:7" ht="13.2">
      <c r="F61" s="94"/>
      <c r="G61" s="50"/>
    </row>
    <row r="62" spans="6:7" ht="13.2">
      <c r="F62" s="94"/>
      <c r="G62" s="50"/>
    </row>
    <row r="63" spans="6:7" ht="13.2">
      <c r="F63" s="94"/>
      <c r="G63" s="50"/>
    </row>
    <row r="64" spans="6:7" ht="13.2">
      <c r="F64" s="94"/>
      <c r="G64" s="50"/>
    </row>
    <row r="65" spans="6:7" ht="13.2">
      <c r="F65" s="94"/>
      <c r="G65" s="50"/>
    </row>
    <row r="66" spans="6:7" ht="13.2">
      <c r="F66" s="94"/>
      <c r="G66" s="50"/>
    </row>
    <row r="67" spans="6:7" ht="13.2">
      <c r="F67" s="94"/>
      <c r="G67" s="50"/>
    </row>
    <row r="68" spans="6:7" ht="13.2">
      <c r="F68" s="94"/>
      <c r="G68" s="50"/>
    </row>
    <row r="69" spans="6:7" ht="13.2">
      <c r="F69" s="94"/>
      <c r="G69" s="50"/>
    </row>
    <row r="70" spans="6:7" ht="13.2">
      <c r="F70" s="94"/>
      <c r="G70" s="50"/>
    </row>
    <row r="71" spans="6:7" ht="13.2">
      <c r="F71" s="94"/>
      <c r="G71" s="50"/>
    </row>
    <row r="72" spans="6:7" ht="13.2">
      <c r="F72" s="94"/>
      <c r="G72" s="50"/>
    </row>
    <row r="73" spans="6:7" ht="13.2">
      <c r="F73" s="94"/>
      <c r="G73" s="50"/>
    </row>
    <row r="74" spans="6:7" ht="13.2">
      <c r="F74" s="94"/>
      <c r="G74" s="50"/>
    </row>
    <row r="75" spans="6:7" ht="13.2">
      <c r="F75" s="94"/>
      <c r="G75" s="50"/>
    </row>
    <row r="76" spans="6:7" ht="13.2">
      <c r="F76" s="94"/>
      <c r="G76" s="50"/>
    </row>
    <row r="77" spans="6:7" ht="13.2">
      <c r="F77" s="94"/>
      <c r="G77" s="50"/>
    </row>
    <row r="78" spans="6:7" ht="13.2">
      <c r="F78" s="94"/>
      <c r="G78" s="50"/>
    </row>
    <row r="79" spans="6:7" ht="13.2">
      <c r="F79" s="94"/>
      <c r="G79" s="50"/>
    </row>
    <row r="80" spans="6:7" ht="13.2">
      <c r="F80" s="94"/>
      <c r="G80" s="50"/>
    </row>
    <row r="81" spans="6:7" ht="13.2">
      <c r="F81" s="94"/>
      <c r="G81" s="50"/>
    </row>
    <row r="82" spans="6:7" ht="13.2">
      <c r="F82" s="94"/>
      <c r="G82" s="50"/>
    </row>
    <row r="83" spans="6:7" ht="13.2">
      <c r="F83" s="94"/>
      <c r="G83" s="50"/>
    </row>
    <row r="84" spans="6:7" ht="13.2">
      <c r="F84" s="94"/>
      <c r="G84" s="50"/>
    </row>
    <row r="85" spans="6:7" ht="13.2">
      <c r="F85" s="94"/>
      <c r="G85" s="50"/>
    </row>
    <row r="86" spans="6:7" ht="13.2">
      <c r="F86" s="94"/>
      <c r="G86" s="50"/>
    </row>
    <row r="87" spans="6:7" ht="13.2">
      <c r="F87" s="94"/>
      <c r="G87" s="50"/>
    </row>
    <row r="88" spans="6:7" ht="13.2">
      <c r="F88" s="94"/>
      <c r="G88" s="50"/>
    </row>
    <row r="89" spans="6:7" ht="13.2">
      <c r="F89" s="94"/>
      <c r="G89" s="50"/>
    </row>
    <row r="90" spans="6:7" ht="13.2">
      <c r="F90" s="94"/>
      <c r="G90" s="50"/>
    </row>
    <row r="91" spans="6:7" ht="13.2">
      <c r="F91" s="94"/>
      <c r="G91" s="50"/>
    </row>
    <row r="92" spans="6:7" ht="13.2">
      <c r="F92" s="94"/>
      <c r="G92" s="50"/>
    </row>
    <row r="93" spans="6:7" ht="13.2">
      <c r="F93" s="94"/>
      <c r="G93" s="50"/>
    </row>
    <row r="94" spans="6:7" ht="13.2">
      <c r="F94" s="94"/>
      <c r="G94" s="50"/>
    </row>
    <row r="95" spans="6:7" ht="13.2">
      <c r="F95" s="94"/>
      <c r="G95" s="50"/>
    </row>
    <row r="96" spans="6:7" ht="13.2">
      <c r="F96" s="94"/>
      <c r="G96" s="50"/>
    </row>
    <row r="97" spans="6:7" ht="13.2">
      <c r="F97" s="94"/>
      <c r="G97" s="50"/>
    </row>
    <row r="98" spans="6:7" ht="13.2">
      <c r="F98" s="94"/>
      <c r="G98" s="50"/>
    </row>
    <row r="99" spans="6:7" ht="13.2">
      <c r="F99" s="94"/>
      <c r="G99" s="50"/>
    </row>
    <row r="100" spans="6:7" ht="13.2">
      <c r="F100" s="94"/>
      <c r="G100" s="50"/>
    </row>
    <row r="101" spans="6:7" ht="13.2">
      <c r="F101" s="94"/>
      <c r="G101" s="50"/>
    </row>
    <row r="102" spans="6:7" ht="13.2">
      <c r="F102" s="94"/>
      <c r="G102" s="50"/>
    </row>
    <row r="103" spans="6:7" ht="13.2">
      <c r="F103" s="94"/>
      <c r="G103" s="50"/>
    </row>
    <row r="104" spans="6:7" ht="13.2">
      <c r="F104" s="94"/>
      <c r="G104" s="50"/>
    </row>
    <row r="105" spans="6:7" ht="13.2">
      <c r="F105" s="94"/>
      <c r="G105" s="50"/>
    </row>
    <row r="106" spans="6:7" ht="13.2">
      <c r="F106" s="94"/>
      <c r="G106" s="50"/>
    </row>
    <row r="107" spans="6:7" ht="13.2">
      <c r="F107" s="94"/>
      <c r="G107" s="50"/>
    </row>
    <row r="108" spans="6:7" ht="13.2">
      <c r="F108" s="94"/>
      <c r="G108" s="50"/>
    </row>
    <row r="109" spans="6:7" ht="13.2">
      <c r="F109" s="94"/>
      <c r="G109" s="50"/>
    </row>
    <row r="110" spans="6:7" ht="13.2">
      <c r="F110" s="94"/>
      <c r="G110" s="50"/>
    </row>
    <row r="111" spans="6:7" ht="13.2">
      <c r="F111" s="94"/>
      <c r="G111" s="50"/>
    </row>
    <row r="112" spans="6:7" ht="13.2">
      <c r="F112" s="94"/>
      <c r="G112" s="50"/>
    </row>
    <row r="113" spans="6:7" ht="13.2">
      <c r="F113" s="94"/>
      <c r="G113" s="50"/>
    </row>
    <row r="114" spans="6:7" ht="13.2">
      <c r="F114" s="94"/>
      <c r="G114" s="50"/>
    </row>
    <row r="115" spans="6:7" ht="13.2">
      <c r="F115" s="94"/>
      <c r="G115" s="50"/>
    </row>
    <row r="116" spans="6:7" ht="13.2">
      <c r="F116" s="94"/>
      <c r="G116" s="50"/>
    </row>
    <row r="117" spans="6:7" ht="13.2">
      <c r="F117" s="94"/>
      <c r="G117" s="50"/>
    </row>
    <row r="118" spans="6:7" ht="13.2">
      <c r="F118" s="94"/>
      <c r="G118" s="50"/>
    </row>
    <row r="119" spans="6:7" ht="13.2">
      <c r="F119" s="94"/>
      <c r="G119" s="50"/>
    </row>
    <row r="120" spans="6:7" ht="13.2">
      <c r="F120" s="94"/>
      <c r="G120" s="50"/>
    </row>
    <row r="121" spans="6:7" ht="13.2">
      <c r="F121" s="94"/>
      <c r="G121" s="50"/>
    </row>
    <row r="122" spans="6:7" ht="13.2">
      <c r="F122" s="94"/>
      <c r="G122" s="50"/>
    </row>
    <row r="123" spans="6:7" ht="13.2">
      <c r="F123" s="94"/>
      <c r="G123" s="50"/>
    </row>
    <row r="124" spans="6:7" ht="13.2">
      <c r="F124" s="94"/>
      <c r="G124" s="50"/>
    </row>
    <row r="125" spans="6:7" ht="13.2">
      <c r="F125" s="94"/>
      <c r="G125" s="50"/>
    </row>
    <row r="126" spans="6:7" ht="13.2">
      <c r="F126" s="94"/>
      <c r="G126" s="50"/>
    </row>
    <row r="127" spans="6:7" ht="13.2">
      <c r="F127" s="94"/>
      <c r="G127" s="50"/>
    </row>
    <row r="128" spans="6:7" ht="13.2">
      <c r="F128" s="94"/>
      <c r="G128" s="50"/>
    </row>
    <row r="129" spans="6:7" ht="13.2">
      <c r="F129" s="94"/>
      <c r="G129" s="50"/>
    </row>
    <row r="130" spans="6:7" ht="13.2">
      <c r="F130" s="94"/>
      <c r="G130" s="50"/>
    </row>
    <row r="131" spans="6:7" ht="13.2">
      <c r="F131" s="94"/>
      <c r="G131" s="50"/>
    </row>
    <row r="132" spans="6:7" ht="13.2">
      <c r="F132" s="94"/>
      <c r="G132" s="50"/>
    </row>
    <row r="133" spans="6:7" ht="13.2">
      <c r="F133" s="94"/>
      <c r="G133" s="50"/>
    </row>
    <row r="134" spans="6:7" ht="13.2">
      <c r="F134" s="94"/>
      <c r="G134" s="50"/>
    </row>
    <row r="135" spans="6:7" ht="13.2">
      <c r="F135" s="94"/>
      <c r="G135" s="50"/>
    </row>
    <row r="136" spans="6:7" ht="13.2">
      <c r="F136" s="94"/>
      <c r="G136" s="50"/>
    </row>
    <row r="137" spans="6:7" ht="13.2">
      <c r="F137" s="94"/>
      <c r="G137" s="50"/>
    </row>
    <row r="138" spans="6:7" ht="13.2">
      <c r="F138" s="94"/>
      <c r="G138" s="50"/>
    </row>
    <row r="139" spans="6:7" ht="13.2">
      <c r="F139" s="94"/>
      <c r="G139" s="50"/>
    </row>
    <row r="140" spans="6:7" ht="13.2">
      <c r="F140" s="94"/>
      <c r="G140" s="50"/>
    </row>
    <row r="141" spans="6:7" ht="13.2">
      <c r="F141" s="94"/>
      <c r="G141" s="50"/>
    </row>
    <row r="142" spans="6:7" ht="13.2">
      <c r="F142" s="94"/>
      <c r="G142" s="50"/>
    </row>
    <row r="143" spans="6:7" ht="13.2">
      <c r="F143" s="94"/>
      <c r="G143" s="50"/>
    </row>
    <row r="144" spans="6:7" ht="13.2">
      <c r="F144" s="94"/>
      <c r="G144" s="50"/>
    </row>
    <row r="145" spans="6:7" ht="13.2">
      <c r="F145" s="94"/>
      <c r="G145" s="50"/>
    </row>
    <row r="146" spans="6:7" ht="13.2">
      <c r="F146" s="94"/>
      <c r="G146" s="50"/>
    </row>
    <row r="147" spans="6:7" ht="13.2">
      <c r="F147" s="94"/>
      <c r="G147" s="50"/>
    </row>
    <row r="148" spans="6:7" ht="13.2">
      <c r="F148" s="94"/>
      <c r="G148" s="50"/>
    </row>
    <row r="149" spans="6:7" ht="13.2">
      <c r="F149" s="94"/>
      <c r="G149" s="50"/>
    </row>
    <row r="150" spans="6:7" ht="13.2">
      <c r="F150" s="94"/>
      <c r="G150" s="50"/>
    </row>
    <row r="151" spans="6:7" ht="13.2">
      <c r="F151" s="94"/>
      <c r="G151" s="50"/>
    </row>
    <row r="152" spans="6:7" ht="13.2">
      <c r="F152" s="94"/>
      <c r="G152" s="50"/>
    </row>
    <row r="153" spans="6:7" ht="13.2">
      <c r="F153" s="94"/>
      <c r="G153" s="50"/>
    </row>
    <row r="154" spans="6:7" ht="13.2">
      <c r="F154" s="94"/>
      <c r="G154" s="50"/>
    </row>
    <row r="155" spans="6:7" ht="13.2">
      <c r="F155" s="94"/>
      <c r="G155" s="50"/>
    </row>
    <row r="156" spans="6:7" ht="13.2">
      <c r="F156" s="94"/>
      <c r="G156" s="50"/>
    </row>
    <row r="157" spans="6:7" ht="13.2">
      <c r="F157" s="94"/>
      <c r="G157" s="50"/>
    </row>
    <row r="158" spans="6:7" ht="13.2">
      <c r="F158" s="94"/>
      <c r="G158" s="50"/>
    </row>
    <row r="159" spans="6:7" ht="13.2">
      <c r="F159" s="94"/>
      <c r="G159" s="50"/>
    </row>
    <row r="160" spans="6:7" ht="13.2">
      <c r="F160" s="94"/>
      <c r="G160" s="50"/>
    </row>
    <row r="161" spans="6:7" ht="13.2">
      <c r="F161" s="94"/>
      <c r="G161" s="50"/>
    </row>
    <row r="162" spans="6:7" ht="13.2">
      <c r="F162" s="94"/>
      <c r="G162" s="50"/>
    </row>
    <row r="163" spans="6:7" ht="13.2">
      <c r="F163" s="94"/>
      <c r="G163" s="50"/>
    </row>
    <row r="164" spans="6:7" ht="13.2">
      <c r="F164" s="94"/>
      <c r="G164" s="50"/>
    </row>
    <row r="165" spans="6:7" ht="13.2">
      <c r="F165" s="94"/>
      <c r="G165" s="50"/>
    </row>
    <row r="166" spans="6:7" ht="13.2">
      <c r="F166" s="94"/>
      <c r="G166" s="50"/>
    </row>
    <row r="167" spans="6:7" ht="13.2">
      <c r="F167" s="94"/>
      <c r="G167" s="50"/>
    </row>
    <row r="168" spans="6:7" ht="13.2">
      <c r="F168" s="94"/>
      <c r="G168" s="50"/>
    </row>
    <row r="169" spans="6:7" ht="13.2">
      <c r="F169" s="94"/>
      <c r="G169" s="50"/>
    </row>
    <row r="170" spans="6:7" ht="13.2">
      <c r="F170" s="94"/>
      <c r="G170" s="50"/>
    </row>
    <row r="171" spans="6:7" ht="13.2">
      <c r="F171" s="94"/>
      <c r="G171" s="50"/>
    </row>
    <row r="172" spans="6:7" ht="13.2">
      <c r="F172" s="94"/>
      <c r="G172" s="50"/>
    </row>
    <row r="173" spans="6:7" ht="13.2">
      <c r="F173" s="94"/>
      <c r="G173" s="50"/>
    </row>
    <row r="174" spans="6:7" ht="13.2">
      <c r="F174" s="94"/>
      <c r="G174" s="50"/>
    </row>
    <row r="175" spans="6:7" ht="13.2">
      <c r="F175" s="94"/>
      <c r="G175" s="50"/>
    </row>
    <row r="176" spans="6:7" ht="13.2">
      <c r="F176" s="94"/>
      <c r="G176" s="50"/>
    </row>
    <row r="177" spans="6:7" ht="13.2">
      <c r="F177" s="94"/>
      <c r="G177" s="50"/>
    </row>
    <row r="178" spans="6:7" ht="13.2">
      <c r="F178" s="94"/>
      <c r="G178" s="50"/>
    </row>
    <row r="179" spans="6:7" ht="13.2">
      <c r="F179" s="94"/>
      <c r="G179" s="50"/>
    </row>
    <row r="180" spans="6:7" ht="13.2">
      <c r="F180" s="94"/>
      <c r="G180" s="50"/>
    </row>
    <row r="181" spans="6:7" ht="13.2">
      <c r="F181" s="94"/>
      <c r="G181" s="50"/>
    </row>
    <row r="182" spans="6:7" ht="13.2">
      <c r="F182" s="94"/>
      <c r="G182" s="50"/>
    </row>
    <row r="183" spans="6:7" ht="13.2">
      <c r="F183" s="94"/>
      <c r="G183" s="50"/>
    </row>
    <row r="184" spans="6:7" ht="13.2">
      <c r="F184" s="94"/>
      <c r="G184" s="50"/>
    </row>
    <row r="185" spans="6:7" ht="13.2">
      <c r="F185" s="94"/>
      <c r="G185" s="50"/>
    </row>
    <row r="186" spans="6:7" ht="13.2">
      <c r="F186" s="94"/>
      <c r="G186" s="50"/>
    </row>
    <row r="187" spans="6:7" ht="13.2">
      <c r="F187" s="94"/>
      <c r="G187" s="50"/>
    </row>
    <row r="188" spans="6:7" ht="13.2">
      <c r="F188" s="94"/>
      <c r="G188" s="50"/>
    </row>
    <row r="189" spans="6:7" ht="13.2">
      <c r="F189" s="94"/>
      <c r="G189" s="50"/>
    </row>
    <row r="190" spans="6:7" ht="13.2">
      <c r="F190" s="94"/>
      <c r="G190" s="50"/>
    </row>
    <row r="191" spans="6:7" ht="13.2">
      <c r="F191" s="94"/>
      <c r="G191" s="50"/>
    </row>
    <row r="192" spans="6:7" ht="13.2">
      <c r="F192" s="94"/>
      <c r="G192" s="50"/>
    </row>
    <row r="193" spans="6:7" ht="13.2">
      <c r="F193" s="94"/>
      <c r="G193" s="50"/>
    </row>
    <row r="194" spans="6:7" ht="13.2">
      <c r="F194" s="94"/>
      <c r="G194" s="50"/>
    </row>
    <row r="195" spans="6:7" ht="13.2">
      <c r="F195" s="94"/>
      <c r="G195" s="50"/>
    </row>
    <row r="196" spans="6:7" ht="13.2">
      <c r="F196" s="94"/>
      <c r="G196" s="50"/>
    </row>
    <row r="197" spans="6:7" ht="13.2">
      <c r="F197" s="94"/>
      <c r="G197" s="50"/>
    </row>
    <row r="198" spans="6:7" ht="13.2">
      <c r="F198" s="94"/>
      <c r="G198" s="50"/>
    </row>
    <row r="199" spans="6:7" ht="13.2">
      <c r="F199" s="94"/>
      <c r="G199" s="50"/>
    </row>
    <row r="200" spans="6:7" ht="13.2">
      <c r="F200" s="94"/>
      <c r="G200" s="50"/>
    </row>
    <row r="201" spans="6:7" ht="13.2">
      <c r="F201" s="94"/>
      <c r="G201" s="50"/>
    </row>
    <row r="202" spans="6:7" ht="13.2">
      <c r="F202" s="94"/>
      <c r="G202" s="50"/>
    </row>
    <row r="203" spans="6:7" ht="13.2">
      <c r="F203" s="94"/>
      <c r="G203" s="50"/>
    </row>
    <row r="204" spans="6:7" ht="13.2">
      <c r="F204" s="94"/>
      <c r="G204" s="50"/>
    </row>
    <row r="205" spans="6:7" ht="13.2">
      <c r="F205" s="94"/>
      <c r="G205" s="50"/>
    </row>
    <row r="206" spans="6:7" ht="13.2">
      <c r="F206" s="94"/>
      <c r="G206" s="50"/>
    </row>
    <row r="207" spans="6:7" ht="13.2">
      <c r="F207" s="94"/>
      <c r="G207" s="50"/>
    </row>
    <row r="208" spans="6:7" ht="13.2">
      <c r="F208" s="94"/>
      <c r="G208" s="50"/>
    </row>
    <row r="209" spans="6:7" ht="13.2">
      <c r="F209" s="94"/>
      <c r="G209" s="50"/>
    </row>
    <row r="210" spans="6:7" ht="13.2">
      <c r="F210" s="94"/>
      <c r="G210" s="50"/>
    </row>
    <row r="211" spans="6:7" ht="13.2">
      <c r="F211" s="94"/>
      <c r="G211" s="50"/>
    </row>
    <row r="212" spans="6:7" ht="13.2">
      <c r="F212" s="94"/>
      <c r="G212" s="50"/>
    </row>
    <row r="213" spans="6:7" ht="13.2">
      <c r="F213" s="94"/>
      <c r="G213" s="50"/>
    </row>
    <row r="214" spans="6:7" ht="13.2">
      <c r="F214" s="94"/>
      <c r="G214" s="50"/>
    </row>
    <row r="215" spans="6:7" ht="13.2">
      <c r="F215" s="94"/>
      <c r="G215" s="50"/>
    </row>
    <row r="216" spans="6:7" ht="13.2">
      <c r="F216" s="94"/>
      <c r="G216" s="50"/>
    </row>
    <row r="217" spans="6:7" ht="13.2">
      <c r="F217" s="94"/>
      <c r="G217" s="50"/>
    </row>
    <row r="218" spans="6:7" ht="13.2">
      <c r="F218" s="94"/>
      <c r="G218" s="50"/>
    </row>
    <row r="219" spans="6:7" ht="13.2">
      <c r="F219" s="94"/>
      <c r="G219" s="50"/>
    </row>
    <row r="220" spans="6:7" ht="13.2">
      <c r="F220" s="94"/>
      <c r="G220" s="50"/>
    </row>
    <row r="221" spans="6:7" ht="13.2">
      <c r="F221" s="94"/>
      <c r="G221" s="50"/>
    </row>
    <row r="222" spans="6:7" ht="13.2">
      <c r="F222" s="94"/>
      <c r="G222" s="50"/>
    </row>
    <row r="223" spans="6:7" ht="13.2">
      <c r="F223" s="94"/>
      <c r="G223" s="50"/>
    </row>
    <row r="224" spans="6:7" ht="13.2">
      <c r="F224" s="94"/>
      <c r="G224" s="50"/>
    </row>
    <row r="225" spans="6:7" ht="13.2">
      <c r="F225" s="94"/>
      <c r="G225" s="50"/>
    </row>
    <row r="226" spans="6:7" ht="13.2">
      <c r="F226" s="94"/>
      <c r="G226" s="50"/>
    </row>
    <row r="227" spans="6:7" ht="13.2">
      <c r="F227" s="94"/>
      <c r="G227" s="50"/>
    </row>
    <row r="228" spans="6:7" ht="13.2">
      <c r="F228" s="94"/>
      <c r="G228" s="50"/>
    </row>
    <row r="229" spans="6:7" ht="13.2">
      <c r="F229" s="94"/>
      <c r="G229" s="50"/>
    </row>
    <row r="230" spans="6:7" ht="13.2">
      <c r="F230" s="94"/>
      <c r="G230" s="50"/>
    </row>
    <row r="231" spans="6:7" ht="13.2">
      <c r="F231" s="94"/>
      <c r="G231" s="50"/>
    </row>
    <row r="232" spans="6:7" ht="13.2">
      <c r="F232" s="94"/>
      <c r="G232" s="50"/>
    </row>
    <row r="233" spans="6:7" ht="13.2">
      <c r="F233" s="94"/>
      <c r="G233" s="50"/>
    </row>
    <row r="234" spans="6:7" ht="13.2">
      <c r="F234" s="94"/>
      <c r="G234" s="50"/>
    </row>
    <row r="235" spans="6:7" ht="13.2">
      <c r="F235" s="94"/>
      <c r="G235" s="50"/>
    </row>
    <row r="236" spans="6:7" ht="13.2">
      <c r="F236" s="94"/>
      <c r="G236" s="50"/>
    </row>
    <row r="237" spans="6:7" ht="13.2">
      <c r="F237" s="94"/>
      <c r="G237" s="50"/>
    </row>
    <row r="238" spans="6:7" ht="13.2">
      <c r="F238" s="94"/>
      <c r="G238" s="50"/>
    </row>
    <row r="239" spans="6:7" ht="13.2">
      <c r="F239" s="94"/>
      <c r="G239" s="50"/>
    </row>
    <row r="240" spans="6:7" ht="13.2">
      <c r="F240" s="94"/>
      <c r="G240" s="50"/>
    </row>
    <row r="241" spans="6:7" ht="13.2">
      <c r="F241" s="94"/>
      <c r="G241" s="50"/>
    </row>
    <row r="242" spans="6:7" ht="13.2">
      <c r="F242" s="94"/>
      <c r="G242" s="50"/>
    </row>
    <row r="243" spans="6:7" ht="13.2">
      <c r="F243" s="94"/>
      <c r="G243" s="50"/>
    </row>
    <row r="244" spans="6:7" ht="13.2">
      <c r="F244" s="94"/>
      <c r="G244" s="50"/>
    </row>
    <row r="245" spans="6:7" ht="13.2">
      <c r="F245" s="94"/>
      <c r="G245" s="50"/>
    </row>
    <row r="246" spans="6:7" ht="13.2">
      <c r="F246" s="94"/>
      <c r="G246" s="50"/>
    </row>
    <row r="247" spans="6:7" ht="13.2">
      <c r="F247" s="94"/>
      <c r="G247" s="50"/>
    </row>
    <row r="248" spans="6:7" ht="13.2">
      <c r="F248" s="94"/>
      <c r="G248" s="50"/>
    </row>
    <row r="249" spans="6:7" ht="13.2">
      <c r="F249" s="94"/>
      <c r="G249" s="50"/>
    </row>
    <row r="250" spans="6:7" ht="13.2">
      <c r="F250" s="94"/>
      <c r="G250" s="50"/>
    </row>
    <row r="251" spans="6:7" ht="13.2">
      <c r="F251" s="94"/>
      <c r="G251" s="50"/>
    </row>
    <row r="252" spans="6:7" ht="13.2">
      <c r="F252" s="94"/>
      <c r="G252" s="50"/>
    </row>
    <row r="253" spans="6:7" ht="13.2">
      <c r="F253" s="94"/>
      <c r="G253" s="50"/>
    </row>
    <row r="254" spans="6:7" ht="13.2">
      <c r="F254" s="94"/>
      <c r="G254" s="50"/>
    </row>
    <row r="255" spans="6:7" ht="13.2">
      <c r="F255" s="94"/>
      <c r="G255" s="50"/>
    </row>
    <row r="256" spans="6:7" ht="13.2">
      <c r="F256" s="94"/>
      <c r="G256" s="50"/>
    </row>
    <row r="257" spans="6:7" ht="13.2">
      <c r="F257" s="94"/>
      <c r="G257" s="50"/>
    </row>
    <row r="258" spans="6:7" ht="13.2">
      <c r="F258" s="94"/>
      <c r="G258" s="50"/>
    </row>
    <row r="259" spans="6:7" ht="13.2">
      <c r="F259" s="94"/>
      <c r="G259" s="50"/>
    </row>
    <row r="260" spans="6:7" ht="13.2">
      <c r="F260" s="94"/>
      <c r="G260" s="50"/>
    </row>
    <row r="261" spans="6:7" ht="13.2">
      <c r="F261" s="94"/>
      <c r="G261" s="50"/>
    </row>
    <row r="262" spans="6:7" ht="13.2">
      <c r="F262" s="94"/>
      <c r="G262" s="50"/>
    </row>
    <row r="263" spans="6:7" ht="13.2">
      <c r="F263" s="94"/>
      <c r="G263" s="50"/>
    </row>
    <row r="264" spans="6:7" ht="13.2">
      <c r="F264" s="94"/>
      <c r="G264" s="50"/>
    </row>
    <row r="265" spans="6:7" ht="13.2">
      <c r="F265" s="94"/>
      <c r="G265" s="50"/>
    </row>
    <row r="266" spans="6:7" ht="13.2">
      <c r="F266" s="94"/>
      <c r="G266" s="50"/>
    </row>
    <row r="267" spans="6:7" ht="13.2">
      <c r="F267" s="94"/>
      <c r="G267" s="50"/>
    </row>
    <row r="268" spans="6:7" ht="13.2">
      <c r="F268" s="94"/>
      <c r="G268" s="50"/>
    </row>
    <row r="269" spans="6:7" ht="13.2">
      <c r="F269" s="94"/>
      <c r="G269" s="50"/>
    </row>
    <row r="270" spans="6:7" ht="13.2">
      <c r="F270" s="94"/>
      <c r="G270" s="50"/>
    </row>
    <row r="271" spans="6:7" ht="13.2">
      <c r="F271" s="94"/>
      <c r="G271" s="50"/>
    </row>
    <row r="272" spans="6:7" ht="13.2">
      <c r="F272" s="94"/>
      <c r="G272" s="50"/>
    </row>
    <row r="273" spans="6:7" ht="13.2">
      <c r="F273" s="94"/>
      <c r="G273" s="50"/>
    </row>
    <row r="274" spans="6:7" ht="13.2">
      <c r="F274" s="94"/>
      <c r="G274" s="50"/>
    </row>
    <row r="275" spans="6:7" ht="13.2">
      <c r="F275" s="94"/>
      <c r="G275" s="50"/>
    </row>
    <row r="276" spans="6:7" ht="13.2">
      <c r="F276" s="94"/>
      <c r="G276" s="50"/>
    </row>
    <row r="277" spans="6:7" ht="13.2">
      <c r="F277" s="94"/>
      <c r="G277" s="50"/>
    </row>
    <row r="278" spans="6:7" ht="13.2">
      <c r="F278" s="94"/>
      <c r="G278" s="50"/>
    </row>
    <row r="279" spans="6:7" ht="13.2">
      <c r="F279" s="94"/>
      <c r="G279" s="50"/>
    </row>
    <row r="280" spans="6:7" ht="13.2">
      <c r="F280" s="94"/>
      <c r="G280" s="50"/>
    </row>
    <row r="281" spans="6:7" ht="13.2">
      <c r="F281" s="94"/>
      <c r="G281" s="50"/>
    </row>
    <row r="282" spans="6:7" ht="13.2">
      <c r="F282" s="94"/>
      <c r="G282" s="50"/>
    </row>
    <row r="283" spans="6:7" ht="13.2">
      <c r="F283" s="94"/>
      <c r="G283" s="50"/>
    </row>
    <row r="284" spans="6:7" ht="13.2">
      <c r="F284" s="94"/>
      <c r="G284" s="50"/>
    </row>
    <row r="285" spans="6:7" ht="13.2">
      <c r="F285" s="94"/>
      <c r="G285" s="50"/>
    </row>
    <row r="286" spans="6:7" ht="13.2">
      <c r="F286" s="94"/>
      <c r="G286" s="50"/>
    </row>
    <row r="287" spans="6:7" ht="13.2">
      <c r="F287" s="94"/>
      <c r="G287" s="50"/>
    </row>
    <row r="288" spans="6:7" ht="13.2">
      <c r="F288" s="94"/>
      <c r="G288" s="50"/>
    </row>
    <row r="289" spans="6:7" ht="13.2">
      <c r="F289" s="94"/>
      <c r="G289" s="50"/>
    </row>
    <row r="290" spans="6:7" ht="13.2">
      <c r="F290" s="94"/>
      <c r="G290" s="50"/>
    </row>
    <row r="291" spans="6:7" ht="13.2">
      <c r="F291" s="94"/>
      <c r="G291" s="50"/>
    </row>
    <row r="292" spans="6:7" ht="13.2">
      <c r="F292" s="94"/>
      <c r="G292" s="50"/>
    </row>
    <row r="293" spans="6:7" ht="13.2">
      <c r="F293" s="94"/>
      <c r="G293" s="50"/>
    </row>
    <row r="294" spans="6:7" ht="13.2">
      <c r="F294" s="94"/>
      <c r="G294" s="50"/>
    </row>
    <row r="295" spans="6:7" ht="13.2">
      <c r="F295" s="94"/>
      <c r="G295" s="50"/>
    </row>
    <row r="296" spans="6:7" ht="13.2">
      <c r="F296" s="94"/>
      <c r="G296" s="50"/>
    </row>
    <row r="297" spans="6:7" ht="13.2">
      <c r="F297" s="94"/>
      <c r="G297" s="50"/>
    </row>
    <row r="298" spans="6:7" ht="13.2">
      <c r="F298" s="94"/>
      <c r="G298" s="50"/>
    </row>
    <row r="299" spans="6:7" ht="13.2">
      <c r="F299" s="94"/>
      <c r="G299" s="50"/>
    </row>
    <row r="300" spans="6:7" ht="13.2">
      <c r="F300" s="94"/>
      <c r="G300" s="50"/>
    </row>
    <row r="301" spans="6:7" ht="13.2">
      <c r="F301" s="94"/>
      <c r="G301" s="50"/>
    </row>
    <row r="302" spans="6:7" ht="13.2">
      <c r="F302" s="94"/>
      <c r="G302" s="50"/>
    </row>
    <row r="303" spans="6:7" ht="13.2">
      <c r="F303" s="94"/>
      <c r="G303" s="50"/>
    </row>
    <row r="304" spans="6:7" ht="13.2">
      <c r="F304" s="94"/>
      <c r="G304" s="50"/>
    </row>
    <row r="305" spans="6:7" ht="13.2">
      <c r="F305" s="94"/>
      <c r="G305" s="50"/>
    </row>
    <row r="306" spans="6:7" ht="13.2">
      <c r="F306" s="94"/>
      <c r="G306" s="50"/>
    </row>
    <row r="307" spans="6:7" ht="13.2">
      <c r="F307" s="94"/>
      <c r="G307" s="50"/>
    </row>
    <row r="308" spans="6:7" ht="13.2">
      <c r="F308" s="94"/>
      <c r="G308" s="50"/>
    </row>
    <row r="309" spans="6:7" ht="13.2">
      <c r="F309" s="94"/>
      <c r="G309" s="50"/>
    </row>
    <row r="310" spans="6:7" ht="13.2">
      <c r="F310" s="94"/>
      <c r="G310" s="50"/>
    </row>
    <row r="311" spans="6:7" ht="13.2">
      <c r="F311" s="94"/>
      <c r="G311" s="50"/>
    </row>
    <row r="312" spans="6:7" ht="13.2">
      <c r="F312" s="94"/>
      <c r="G312" s="50"/>
    </row>
    <row r="313" spans="6:7" ht="13.2">
      <c r="F313" s="94"/>
      <c r="G313" s="50"/>
    </row>
    <row r="314" spans="6:7" ht="13.2">
      <c r="F314" s="94"/>
      <c r="G314" s="50"/>
    </row>
    <row r="315" spans="6:7" ht="13.2">
      <c r="F315" s="94"/>
      <c r="G315" s="50"/>
    </row>
    <row r="316" spans="6:7" ht="13.2">
      <c r="F316" s="94"/>
      <c r="G316" s="50"/>
    </row>
    <row r="317" spans="6:7" ht="13.2">
      <c r="F317" s="94"/>
      <c r="G317" s="50"/>
    </row>
    <row r="318" spans="6:7" ht="13.2">
      <c r="F318" s="94"/>
      <c r="G318" s="50"/>
    </row>
    <row r="319" spans="6:7" ht="13.2">
      <c r="F319" s="94"/>
      <c r="G319" s="50"/>
    </row>
    <row r="320" spans="6:7" ht="13.2">
      <c r="F320" s="94"/>
      <c r="G320" s="50"/>
    </row>
    <row r="321" spans="6:7" ht="13.2">
      <c r="F321" s="94"/>
      <c r="G321" s="50"/>
    </row>
    <row r="322" spans="6:7" ht="13.2">
      <c r="F322" s="94"/>
      <c r="G322" s="50"/>
    </row>
    <row r="323" spans="6:7" ht="13.2">
      <c r="F323" s="94"/>
      <c r="G323" s="50"/>
    </row>
    <row r="324" spans="6:7" ht="13.2">
      <c r="F324" s="94"/>
      <c r="G324" s="50"/>
    </row>
    <row r="325" spans="6:7" ht="13.2">
      <c r="F325" s="94"/>
      <c r="G325" s="50"/>
    </row>
    <row r="326" spans="6:7" ht="13.2">
      <c r="F326" s="94"/>
      <c r="G326" s="50"/>
    </row>
    <row r="327" spans="6:7" ht="13.2">
      <c r="F327" s="94"/>
      <c r="G327" s="50"/>
    </row>
    <row r="328" spans="6:7" ht="13.2">
      <c r="F328" s="94"/>
      <c r="G328" s="50"/>
    </row>
    <row r="329" spans="6:7" ht="13.2">
      <c r="F329" s="94"/>
      <c r="G329" s="50"/>
    </row>
    <row r="330" spans="6:7" ht="13.2">
      <c r="F330" s="94"/>
      <c r="G330" s="50"/>
    </row>
    <row r="331" spans="6:7" ht="13.2">
      <c r="F331" s="94"/>
      <c r="G331" s="50"/>
    </row>
    <row r="332" spans="6:7" ht="13.2">
      <c r="F332" s="94"/>
      <c r="G332" s="50"/>
    </row>
    <row r="333" spans="6:7" ht="13.2">
      <c r="F333" s="94"/>
      <c r="G333" s="50"/>
    </row>
    <row r="334" spans="6:7" ht="13.2">
      <c r="F334" s="94"/>
      <c r="G334" s="50"/>
    </row>
    <row r="335" spans="6:7" ht="13.2">
      <c r="F335" s="94"/>
      <c r="G335" s="50"/>
    </row>
    <row r="336" spans="6:7" ht="13.2">
      <c r="F336" s="94"/>
      <c r="G336" s="50"/>
    </row>
    <row r="337" spans="6:7" ht="13.2">
      <c r="F337" s="94"/>
      <c r="G337" s="50"/>
    </row>
    <row r="338" spans="6:7" ht="13.2">
      <c r="F338" s="94"/>
      <c r="G338" s="50"/>
    </row>
    <row r="339" spans="6:7" ht="13.2">
      <c r="F339" s="94"/>
      <c r="G339" s="50"/>
    </row>
    <row r="340" spans="6:7" ht="13.2">
      <c r="F340" s="94"/>
      <c r="G340" s="50"/>
    </row>
    <row r="341" spans="6:7" ht="13.2">
      <c r="F341" s="94"/>
      <c r="G341" s="50"/>
    </row>
    <row r="342" spans="6:7" ht="13.2">
      <c r="F342" s="94"/>
      <c r="G342" s="50"/>
    </row>
    <row r="343" spans="6:7" ht="13.2">
      <c r="F343" s="94"/>
      <c r="G343" s="50"/>
    </row>
    <row r="344" spans="6:7" ht="13.2">
      <c r="F344" s="94"/>
      <c r="G344" s="50"/>
    </row>
    <row r="345" spans="6:7" ht="13.2">
      <c r="F345" s="94"/>
      <c r="G345" s="50"/>
    </row>
    <row r="346" spans="6:7" ht="13.2">
      <c r="F346" s="94"/>
      <c r="G346" s="50"/>
    </row>
    <row r="347" spans="6:7" ht="13.2">
      <c r="F347" s="94"/>
      <c r="G347" s="50"/>
    </row>
    <row r="348" spans="6:7" ht="13.2">
      <c r="F348" s="94"/>
      <c r="G348" s="50"/>
    </row>
    <row r="349" spans="6:7" ht="13.2">
      <c r="F349" s="94"/>
      <c r="G349" s="50"/>
    </row>
    <row r="350" spans="6:7" ht="13.2">
      <c r="F350" s="94"/>
      <c r="G350" s="50"/>
    </row>
    <row r="351" spans="6:7" ht="13.2">
      <c r="F351" s="94"/>
      <c r="G351" s="50"/>
    </row>
    <row r="352" spans="6:7" ht="13.2">
      <c r="F352" s="94"/>
      <c r="G352" s="50"/>
    </row>
    <row r="353" spans="6:7" ht="13.2">
      <c r="F353" s="94"/>
      <c r="G353" s="50"/>
    </row>
    <row r="354" spans="6:7" ht="13.2">
      <c r="F354" s="94"/>
      <c r="G354" s="50"/>
    </row>
    <row r="355" spans="6:7" ht="13.2">
      <c r="F355" s="94"/>
      <c r="G355" s="50"/>
    </row>
    <row r="356" spans="6:7" ht="13.2">
      <c r="F356" s="94"/>
      <c r="G356" s="50"/>
    </row>
    <row r="357" spans="6:7" ht="13.2">
      <c r="F357" s="94"/>
      <c r="G357" s="50"/>
    </row>
    <row r="358" spans="6:7" ht="13.2">
      <c r="F358" s="94"/>
      <c r="G358" s="50"/>
    </row>
    <row r="359" spans="6:7" ht="13.2">
      <c r="F359" s="94"/>
      <c r="G359" s="50"/>
    </row>
    <row r="360" spans="6:7" ht="13.2">
      <c r="F360" s="94"/>
      <c r="G360" s="50"/>
    </row>
    <row r="361" spans="6:7" ht="13.2">
      <c r="F361" s="94"/>
      <c r="G361" s="50"/>
    </row>
    <row r="362" spans="6:7" ht="13.2">
      <c r="F362" s="94"/>
      <c r="G362" s="50"/>
    </row>
    <row r="363" spans="6:7" ht="13.2">
      <c r="F363" s="94"/>
      <c r="G363" s="50"/>
    </row>
    <row r="364" spans="6:7" ht="13.2">
      <c r="F364" s="94"/>
      <c r="G364" s="50"/>
    </row>
    <row r="365" spans="6:7" ht="13.2">
      <c r="F365" s="94"/>
      <c r="G365" s="50"/>
    </row>
    <row r="366" spans="6:7" ht="13.2">
      <c r="F366" s="94"/>
      <c r="G366" s="50"/>
    </row>
    <row r="367" spans="6:7" ht="13.2">
      <c r="F367" s="94"/>
      <c r="G367" s="50"/>
    </row>
    <row r="368" spans="6:7" ht="13.2">
      <c r="F368" s="94"/>
      <c r="G368" s="50"/>
    </row>
    <row r="369" spans="6:7" ht="13.2">
      <c r="F369" s="94"/>
      <c r="G369" s="50"/>
    </row>
    <row r="370" spans="6:7" ht="13.2">
      <c r="F370" s="94"/>
      <c r="G370" s="50"/>
    </row>
    <row r="371" spans="6:7" ht="13.2">
      <c r="F371" s="94"/>
      <c r="G371" s="50"/>
    </row>
    <row r="372" spans="6:7" ht="13.2">
      <c r="F372" s="94"/>
      <c r="G372" s="50"/>
    </row>
    <row r="373" spans="6:7" ht="13.2">
      <c r="F373" s="94"/>
      <c r="G373" s="50"/>
    </row>
    <row r="374" spans="6:7" ht="13.2">
      <c r="F374" s="94"/>
      <c r="G374" s="50"/>
    </row>
    <row r="375" spans="6:7" ht="13.2">
      <c r="F375" s="94"/>
      <c r="G375" s="50"/>
    </row>
    <row r="376" spans="6:7" ht="13.2">
      <c r="F376" s="94"/>
      <c r="G376" s="50"/>
    </row>
    <row r="377" spans="6:7" ht="13.2">
      <c r="F377" s="94"/>
      <c r="G377" s="50"/>
    </row>
    <row r="378" spans="6:7" ht="13.2">
      <c r="F378" s="94"/>
      <c r="G378" s="50"/>
    </row>
    <row r="379" spans="6:7" ht="13.2">
      <c r="F379" s="94"/>
      <c r="G379" s="50"/>
    </row>
    <row r="380" spans="6:7" ht="13.2">
      <c r="F380" s="94"/>
      <c r="G380" s="50"/>
    </row>
    <row r="381" spans="6:7" ht="13.2">
      <c r="F381" s="94"/>
      <c r="G381" s="50"/>
    </row>
    <row r="382" spans="6:7" ht="13.2">
      <c r="F382" s="94"/>
      <c r="G382" s="50"/>
    </row>
    <row r="383" spans="6:7" ht="13.2">
      <c r="F383" s="94"/>
      <c r="G383" s="50"/>
    </row>
    <row r="384" spans="6:7" ht="13.2">
      <c r="F384" s="94"/>
      <c r="G384" s="50"/>
    </row>
    <row r="385" spans="6:7" ht="13.2">
      <c r="F385" s="94"/>
      <c r="G385" s="50"/>
    </row>
    <row r="386" spans="6:7" ht="13.2">
      <c r="F386" s="94"/>
      <c r="G386" s="50"/>
    </row>
    <row r="387" spans="6:7" ht="13.2">
      <c r="F387" s="94"/>
      <c r="G387" s="50"/>
    </row>
    <row r="388" spans="6:7" ht="13.2">
      <c r="F388" s="94"/>
      <c r="G388" s="50"/>
    </row>
    <row r="389" spans="6:7" ht="13.2">
      <c r="F389" s="94"/>
      <c r="G389" s="50"/>
    </row>
    <row r="390" spans="6:7" ht="13.2">
      <c r="F390" s="94"/>
      <c r="G390" s="50"/>
    </row>
    <row r="391" spans="6:7" ht="13.2">
      <c r="F391" s="94"/>
      <c r="G391" s="50"/>
    </row>
    <row r="392" spans="6:7" ht="13.2">
      <c r="F392" s="94"/>
      <c r="G392" s="50"/>
    </row>
    <row r="393" spans="6:7" ht="13.2">
      <c r="F393" s="94"/>
      <c r="G393" s="50"/>
    </row>
    <row r="394" spans="6:7" ht="13.2">
      <c r="F394" s="94"/>
      <c r="G394" s="50"/>
    </row>
    <row r="395" spans="6:7" ht="13.2">
      <c r="F395" s="94"/>
      <c r="G395" s="50"/>
    </row>
    <row r="396" spans="6:7" ht="13.2">
      <c r="F396" s="94"/>
      <c r="G396" s="50"/>
    </row>
    <row r="397" spans="6:7" ht="13.2">
      <c r="F397" s="94"/>
      <c r="G397" s="50"/>
    </row>
    <row r="398" spans="6:7" ht="13.2">
      <c r="F398" s="94"/>
      <c r="G398" s="50"/>
    </row>
    <row r="399" spans="6:7" ht="13.2">
      <c r="F399" s="94"/>
      <c r="G399" s="50"/>
    </row>
    <row r="400" spans="6:7" ht="13.2">
      <c r="F400" s="94"/>
      <c r="G400" s="50"/>
    </row>
    <row r="401" spans="6:7" ht="13.2">
      <c r="F401" s="94"/>
      <c r="G401" s="50"/>
    </row>
    <row r="402" spans="6:7" ht="13.2">
      <c r="F402" s="94"/>
      <c r="G402" s="50"/>
    </row>
    <row r="403" spans="6:7" ht="13.2">
      <c r="F403" s="94"/>
      <c r="G403" s="50"/>
    </row>
    <row r="404" spans="6:7" ht="13.2">
      <c r="F404" s="94"/>
      <c r="G404" s="50"/>
    </row>
    <row r="405" spans="6:7" ht="13.2">
      <c r="F405" s="94"/>
      <c r="G405" s="50"/>
    </row>
    <row r="406" spans="6:7" ht="13.2">
      <c r="F406" s="94"/>
      <c r="G406" s="50"/>
    </row>
    <row r="407" spans="6:7" ht="13.2">
      <c r="F407" s="94"/>
      <c r="G407" s="50"/>
    </row>
    <row r="408" spans="6:7" ht="13.2">
      <c r="F408" s="94"/>
      <c r="G408" s="50"/>
    </row>
    <row r="409" spans="6:7" ht="13.2">
      <c r="F409" s="94"/>
      <c r="G409" s="50"/>
    </row>
    <row r="410" spans="6:7" ht="13.2">
      <c r="F410" s="94"/>
      <c r="G410" s="50"/>
    </row>
    <row r="411" spans="6:7" ht="13.2">
      <c r="F411" s="94"/>
      <c r="G411" s="50"/>
    </row>
    <row r="412" spans="6:7" ht="13.2">
      <c r="F412" s="94"/>
      <c r="G412" s="50"/>
    </row>
    <row r="413" spans="6:7" ht="13.2">
      <c r="F413" s="94"/>
      <c r="G413" s="50"/>
    </row>
    <row r="414" spans="6:7" ht="13.2">
      <c r="F414" s="94"/>
      <c r="G414" s="50"/>
    </row>
    <row r="415" spans="6:7" ht="13.2">
      <c r="F415" s="94"/>
      <c r="G415" s="50"/>
    </row>
    <row r="416" spans="6:7" ht="13.2">
      <c r="F416" s="94"/>
      <c r="G416" s="50"/>
    </row>
    <row r="417" spans="6:7" ht="13.2">
      <c r="F417" s="94"/>
      <c r="G417" s="50"/>
    </row>
    <row r="418" spans="6:7" ht="13.2">
      <c r="F418" s="94"/>
      <c r="G418" s="50"/>
    </row>
    <row r="419" spans="6:7" ht="13.2">
      <c r="F419" s="94"/>
      <c r="G419" s="50"/>
    </row>
    <row r="420" spans="6:7" ht="13.2">
      <c r="F420" s="94"/>
      <c r="G420" s="50"/>
    </row>
    <row r="421" spans="6:7" ht="13.2">
      <c r="F421" s="94"/>
      <c r="G421" s="50"/>
    </row>
    <row r="422" spans="6:7" ht="13.2">
      <c r="F422" s="94"/>
      <c r="G422" s="50"/>
    </row>
    <row r="423" spans="6:7" ht="13.2">
      <c r="F423" s="94"/>
      <c r="G423" s="50"/>
    </row>
    <row r="424" spans="6:7" ht="13.2">
      <c r="F424" s="94"/>
      <c r="G424" s="50"/>
    </row>
    <row r="425" spans="6:7" ht="13.2">
      <c r="F425" s="94"/>
      <c r="G425" s="50"/>
    </row>
    <row r="426" spans="6:7" ht="13.2">
      <c r="F426" s="94"/>
      <c r="G426" s="50"/>
    </row>
    <row r="427" spans="6:7" ht="13.2">
      <c r="F427" s="94"/>
      <c r="G427" s="50"/>
    </row>
    <row r="428" spans="6:7" ht="13.2">
      <c r="F428" s="94"/>
      <c r="G428" s="50"/>
    </row>
    <row r="429" spans="6:7" ht="13.2">
      <c r="F429" s="94"/>
      <c r="G429" s="50"/>
    </row>
    <row r="430" spans="6:7" ht="13.2">
      <c r="F430" s="94"/>
      <c r="G430" s="50"/>
    </row>
    <row r="431" spans="6:7" ht="13.2">
      <c r="F431" s="94"/>
      <c r="G431" s="50"/>
    </row>
    <row r="432" spans="6:7" ht="13.2">
      <c r="F432" s="94"/>
      <c r="G432" s="50"/>
    </row>
    <row r="433" spans="6:7" ht="13.2">
      <c r="F433" s="94"/>
      <c r="G433" s="50"/>
    </row>
    <row r="434" spans="6:7" ht="13.2">
      <c r="F434" s="94"/>
      <c r="G434" s="50"/>
    </row>
    <row r="435" spans="6:7" ht="13.2">
      <c r="F435" s="94"/>
      <c r="G435" s="50"/>
    </row>
    <row r="436" spans="6:7" ht="13.2">
      <c r="F436" s="94"/>
      <c r="G436" s="50"/>
    </row>
    <row r="437" spans="6:7" ht="13.2">
      <c r="F437" s="94"/>
      <c r="G437" s="50"/>
    </row>
    <row r="438" spans="6:7" ht="13.2">
      <c r="F438" s="94"/>
      <c r="G438" s="50"/>
    </row>
    <row r="439" spans="6:7" ht="13.2">
      <c r="F439" s="94"/>
      <c r="G439" s="50"/>
    </row>
    <row r="440" spans="6:7" ht="13.2">
      <c r="F440" s="94"/>
      <c r="G440" s="50"/>
    </row>
    <row r="441" spans="6:7" ht="13.2">
      <c r="F441" s="94"/>
      <c r="G441" s="50"/>
    </row>
    <row r="442" spans="6:7" ht="13.2">
      <c r="F442" s="94"/>
      <c r="G442" s="50"/>
    </row>
    <row r="443" spans="6:7" ht="13.2">
      <c r="F443" s="94"/>
      <c r="G443" s="50"/>
    </row>
    <row r="444" spans="6:7" ht="13.2">
      <c r="F444" s="94"/>
      <c r="G444" s="50"/>
    </row>
    <row r="445" spans="6:7" ht="13.2">
      <c r="F445" s="94"/>
      <c r="G445" s="50"/>
    </row>
    <row r="446" spans="6:7" ht="13.2">
      <c r="F446" s="94"/>
      <c r="G446" s="50"/>
    </row>
    <row r="447" spans="6:7" ht="13.2">
      <c r="F447" s="94"/>
      <c r="G447" s="50"/>
    </row>
    <row r="448" spans="6:7" ht="13.2">
      <c r="F448" s="94"/>
      <c r="G448" s="50"/>
    </row>
    <row r="449" spans="6:7" ht="13.2">
      <c r="F449" s="94"/>
      <c r="G449" s="50"/>
    </row>
    <row r="450" spans="6:7" ht="13.2">
      <c r="F450" s="94"/>
      <c r="G450" s="50"/>
    </row>
    <row r="451" spans="6:7" ht="13.2">
      <c r="F451" s="94"/>
      <c r="G451" s="50"/>
    </row>
    <row r="452" spans="6:7" ht="13.2">
      <c r="F452" s="94"/>
      <c r="G452" s="50"/>
    </row>
    <row r="453" spans="6:7" ht="13.2">
      <c r="F453" s="94"/>
      <c r="G453" s="50"/>
    </row>
    <row r="454" spans="6:7" ht="13.2">
      <c r="F454" s="94"/>
      <c r="G454" s="50"/>
    </row>
    <row r="455" spans="6:7" ht="13.2">
      <c r="F455" s="94"/>
      <c r="G455" s="50"/>
    </row>
    <row r="456" spans="6:7" ht="13.2">
      <c r="F456" s="94"/>
      <c r="G456" s="50"/>
    </row>
    <row r="457" spans="6:7" ht="13.2">
      <c r="F457" s="94"/>
      <c r="G457" s="50"/>
    </row>
    <row r="458" spans="6:7" ht="13.2">
      <c r="F458" s="94"/>
      <c r="G458" s="50"/>
    </row>
    <row r="459" spans="6:7" ht="13.2">
      <c r="F459" s="94"/>
      <c r="G459" s="50"/>
    </row>
    <row r="460" spans="6:7" ht="13.2">
      <c r="F460" s="94"/>
      <c r="G460" s="50"/>
    </row>
    <row r="461" spans="6:7" ht="13.2">
      <c r="F461" s="94"/>
      <c r="G461" s="50"/>
    </row>
    <row r="462" spans="6:7" ht="13.2">
      <c r="F462" s="94"/>
      <c r="G462" s="50"/>
    </row>
    <row r="463" spans="6:7" ht="13.2">
      <c r="F463" s="94"/>
      <c r="G463" s="50"/>
    </row>
    <row r="464" spans="6:7" ht="13.2">
      <c r="F464" s="94"/>
      <c r="G464" s="50"/>
    </row>
    <row r="465" spans="6:7" ht="13.2">
      <c r="F465" s="94"/>
      <c r="G465" s="50"/>
    </row>
    <row r="466" spans="6:7" ht="13.2">
      <c r="F466" s="94"/>
      <c r="G466" s="50"/>
    </row>
    <row r="467" spans="6:7" ht="13.2">
      <c r="F467" s="94"/>
      <c r="G467" s="50"/>
    </row>
    <row r="468" spans="6:7" ht="13.2">
      <c r="F468" s="94"/>
      <c r="G468" s="50"/>
    </row>
    <row r="469" spans="6:7" ht="13.2">
      <c r="F469" s="94"/>
      <c r="G469" s="50"/>
    </row>
    <row r="470" spans="6:7" ht="13.2">
      <c r="F470" s="94"/>
      <c r="G470" s="50"/>
    </row>
    <row r="471" spans="6:7" ht="13.2">
      <c r="F471" s="94"/>
      <c r="G471" s="50"/>
    </row>
    <row r="472" spans="6:7" ht="13.2">
      <c r="F472" s="94"/>
      <c r="G472" s="50"/>
    </row>
    <row r="473" spans="6:7" ht="13.2">
      <c r="F473" s="94"/>
      <c r="G473" s="50"/>
    </row>
    <row r="474" spans="6:7" ht="13.2">
      <c r="F474" s="94"/>
      <c r="G474" s="50"/>
    </row>
    <row r="475" spans="6:7" ht="13.2">
      <c r="F475" s="94"/>
      <c r="G475" s="50"/>
    </row>
    <row r="476" spans="6:7" ht="13.2">
      <c r="F476" s="94"/>
      <c r="G476" s="50"/>
    </row>
    <row r="477" spans="6:7" ht="13.2">
      <c r="F477" s="94"/>
      <c r="G477" s="50"/>
    </row>
    <row r="478" spans="6:7" ht="13.2">
      <c r="F478" s="94"/>
      <c r="G478" s="50"/>
    </row>
    <row r="479" spans="6:7" ht="13.2">
      <c r="F479" s="94"/>
      <c r="G479" s="50"/>
    </row>
    <row r="480" spans="6:7" ht="13.2">
      <c r="F480" s="94"/>
      <c r="G480" s="50"/>
    </row>
    <row r="481" spans="6:7" ht="13.2">
      <c r="F481" s="94"/>
      <c r="G481" s="50"/>
    </row>
    <row r="482" spans="6:7" ht="13.2">
      <c r="F482" s="94"/>
      <c r="G482" s="50"/>
    </row>
    <row r="483" spans="6:7" ht="13.2">
      <c r="F483" s="94"/>
      <c r="G483" s="50"/>
    </row>
    <row r="484" spans="6:7" ht="13.2">
      <c r="F484" s="94"/>
      <c r="G484" s="50"/>
    </row>
    <row r="485" spans="6:7" ht="13.2">
      <c r="F485" s="94"/>
      <c r="G485" s="50"/>
    </row>
    <row r="486" spans="6:7" ht="13.2">
      <c r="F486" s="94"/>
      <c r="G486" s="50"/>
    </row>
    <row r="487" spans="6:7" ht="13.2">
      <c r="F487" s="94"/>
      <c r="G487" s="50"/>
    </row>
    <row r="488" spans="6:7" ht="13.2">
      <c r="F488" s="94"/>
      <c r="G488" s="50"/>
    </row>
    <row r="489" spans="6:7" ht="13.2">
      <c r="F489" s="94"/>
      <c r="G489" s="50"/>
    </row>
    <row r="490" spans="6:7" ht="13.2">
      <c r="F490" s="94"/>
      <c r="G490" s="50"/>
    </row>
    <row r="491" spans="6:7" ht="13.2">
      <c r="F491" s="94"/>
      <c r="G491" s="50"/>
    </row>
    <row r="492" spans="6:7" ht="13.2">
      <c r="F492" s="94"/>
      <c r="G492" s="50"/>
    </row>
    <row r="493" spans="6:7" ht="13.2">
      <c r="F493" s="94"/>
      <c r="G493" s="50"/>
    </row>
    <row r="494" spans="6:7" ht="13.2">
      <c r="F494" s="94"/>
      <c r="G494" s="50"/>
    </row>
    <row r="495" spans="6:7" ht="13.2">
      <c r="F495" s="94"/>
      <c r="G495" s="50"/>
    </row>
    <row r="496" spans="6:7" ht="13.2">
      <c r="F496" s="94"/>
      <c r="G496" s="50"/>
    </row>
    <row r="497" spans="6:7" ht="13.2">
      <c r="F497" s="94"/>
      <c r="G497" s="50"/>
    </row>
    <row r="498" spans="6:7" ht="13.2">
      <c r="F498" s="94"/>
      <c r="G498" s="50"/>
    </row>
    <row r="499" spans="6:7" ht="13.2">
      <c r="F499" s="94"/>
      <c r="G499" s="50"/>
    </row>
    <row r="500" spans="6:7" ht="13.2">
      <c r="F500" s="94"/>
      <c r="G500" s="50"/>
    </row>
    <row r="501" spans="6:7" ht="13.2">
      <c r="F501" s="94"/>
      <c r="G501" s="50"/>
    </row>
    <row r="502" spans="6:7" ht="13.2">
      <c r="F502" s="94"/>
      <c r="G502" s="50"/>
    </row>
    <row r="503" spans="6:7" ht="13.2">
      <c r="F503" s="94"/>
      <c r="G503" s="50"/>
    </row>
    <row r="504" spans="6:7" ht="13.2">
      <c r="F504" s="94"/>
      <c r="G504" s="50"/>
    </row>
    <row r="505" spans="6:7" ht="13.2">
      <c r="F505" s="94"/>
      <c r="G505" s="50"/>
    </row>
    <row r="506" spans="6:7" ht="13.2">
      <c r="F506" s="94"/>
      <c r="G506" s="50"/>
    </row>
    <row r="507" spans="6:7" ht="13.2">
      <c r="F507" s="94"/>
      <c r="G507" s="50"/>
    </row>
    <row r="508" spans="6:7" ht="13.2">
      <c r="F508" s="94"/>
      <c r="G508" s="50"/>
    </row>
    <row r="509" spans="6:7" ht="13.2">
      <c r="F509" s="94"/>
      <c r="G509" s="50"/>
    </row>
    <row r="510" spans="6:7" ht="13.2">
      <c r="F510" s="94"/>
      <c r="G510" s="50"/>
    </row>
    <row r="511" spans="6:7" ht="13.2">
      <c r="F511" s="94"/>
      <c r="G511" s="50"/>
    </row>
    <row r="512" spans="6:7" ht="13.2">
      <c r="F512" s="94"/>
      <c r="G512" s="50"/>
    </row>
    <row r="513" spans="6:7" ht="13.2">
      <c r="F513" s="94"/>
      <c r="G513" s="50"/>
    </row>
    <row r="514" spans="6:7" ht="13.2">
      <c r="F514" s="94"/>
      <c r="G514" s="50"/>
    </row>
    <row r="515" spans="6:7" ht="13.2">
      <c r="F515" s="94"/>
      <c r="G515" s="50"/>
    </row>
    <row r="516" spans="6:7" ht="13.2">
      <c r="F516" s="94"/>
      <c r="G516" s="50"/>
    </row>
    <row r="517" spans="6:7" ht="13.2">
      <c r="F517" s="94"/>
      <c r="G517" s="50"/>
    </row>
    <row r="518" spans="6:7" ht="13.2">
      <c r="F518" s="94"/>
      <c r="G518" s="50"/>
    </row>
    <row r="519" spans="6:7" ht="13.2">
      <c r="F519" s="94"/>
      <c r="G519" s="50"/>
    </row>
    <row r="520" spans="6:7" ht="13.2">
      <c r="F520" s="94"/>
      <c r="G520" s="50"/>
    </row>
    <row r="521" spans="6:7" ht="13.2">
      <c r="F521" s="94"/>
      <c r="G521" s="50"/>
    </row>
    <row r="522" spans="6:7" ht="13.2">
      <c r="F522" s="94"/>
      <c r="G522" s="50"/>
    </row>
    <row r="523" spans="6:7" ht="13.2">
      <c r="F523" s="94"/>
      <c r="G523" s="50"/>
    </row>
    <row r="524" spans="6:7" ht="13.2">
      <c r="F524" s="94"/>
      <c r="G524" s="50"/>
    </row>
    <row r="525" spans="6:7" ht="13.2">
      <c r="F525" s="94"/>
      <c r="G525" s="50"/>
    </row>
    <row r="526" spans="6:7" ht="13.2">
      <c r="F526" s="94"/>
      <c r="G526" s="50"/>
    </row>
    <row r="527" spans="6:7" ht="13.2">
      <c r="F527" s="94"/>
      <c r="G527" s="50"/>
    </row>
    <row r="528" spans="6:7" ht="13.2">
      <c r="F528" s="94"/>
      <c r="G528" s="50"/>
    </row>
    <row r="529" spans="6:7" ht="13.2">
      <c r="F529" s="94"/>
      <c r="G529" s="50"/>
    </row>
    <row r="530" spans="6:7" ht="13.2">
      <c r="F530" s="94"/>
      <c r="G530" s="50"/>
    </row>
    <row r="531" spans="6:7" ht="13.2">
      <c r="F531" s="94"/>
      <c r="G531" s="50"/>
    </row>
    <row r="532" spans="6:7" ht="13.2">
      <c r="F532" s="94"/>
      <c r="G532" s="50"/>
    </row>
    <row r="533" spans="6:7" ht="13.2">
      <c r="F533" s="94"/>
      <c r="G533" s="50"/>
    </row>
    <row r="534" spans="6:7" ht="13.2">
      <c r="F534" s="94"/>
      <c r="G534" s="50"/>
    </row>
    <row r="535" spans="6:7" ht="13.2">
      <c r="F535" s="94"/>
      <c r="G535" s="50"/>
    </row>
    <row r="536" spans="6:7" ht="13.2">
      <c r="F536" s="94"/>
      <c r="G536" s="50"/>
    </row>
    <row r="537" spans="6:7" ht="13.2">
      <c r="F537" s="94"/>
      <c r="G537" s="50"/>
    </row>
    <row r="538" spans="6:7" ht="13.2">
      <c r="F538" s="94"/>
      <c r="G538" s="50"/>
    </row>
    <row r="539" spans="6:7" ht="13.2">
      <c r="F539" s="94"/>
      <c r="G539" s="50"/>
    </row>
    <row r="540" spans="6:7" ht="13.2">
      <c r="F540" s="94"/>
      <c r="G540" s="50"/>
    </row>
    <row r="541" spans="6:7" ht="13.2">
      <c r="F541" s="94"/>
      <c r="G541" s="50"/>
    </row>
    <row r="542" spans="6:7" ht="13.2">
      <c r="F542" s="94"/>
      <c r="G542" s="50"/>
    </row>
    <row r="543" spans="6:7" ht="13.2">
      <c r="F543" s="94"/>
      <c r="G543" s="50"/>
    </row>
    <row r="544" spans="6:7" ht="13.2">
      <c r="F544" s="94"/>
      <c r="G544" s="50"/>
    </row>
    <row r="545" spans="6:7" ht="13.2">
      <c r="F545" s="94"/>
      <c r="G545" s="50"/>
    </row>
    <row r="546" spans="6:7" ht="13.2">
      <c r="F546" s="94"/>
      <c r="G546" s="50"/>
    </row>
    <row r="547" spans="6:7" ht="13.2">
      <c r="F547" s="94"/>
      <c r="G547" s="50"/>
    </row>
    <row r="548" spans="6:7" ht="13.2">
      <c r="F548" s="94"/>
      <c r="G548" s="50"/>
    </row>
    <row r="549" spans="6:7" ht="13.2">
      <c r="F549" s="94"/>
      <c r="G549" s="50"/>
    </row>
    <row r="550" spans="6:7" ht="13.2">
      <c r="F550" s="94"/>
      <c r="G550" s="50"/>
    </row>
    <row r="551" spans="6:7" ht="13.2">
      <c r="F551" s="94"/>
      <c r="G551" s="50"/>
    </row>
    <row r="552" spans="6:7" ht="13.2">
      <c r="F552" s="94"/>
      <c r="G552" s="50"/>
    </row>
    <row r="553" spans="6:7" ht="13.2">
      <c r="F553" s="94"/>
      <c r="G553" s="50"/>
    </row>
    <row r="554" spans="6:7" ht="13.2">
      <c r="F554" s="94"/>
      <c r="G554" s="50"/>
    </row>
    <row r="555" spans="6:7" ht="13.2">
      <c r="F555" s="94"/>
      <c r="G555" s="50"/>
    </row>
    <row r="556" spans="6:7" ht="13.2">
      <c r="F556" s="94"/>
      <c r="G556" s="50"/>
    </row>
    <row r="557" spans="6:7" ht="13.2">
      <c r="F557" s="94"/>
      <c r="G557" s="50"/>
    </row>
    <row r="558" spans="6:7" ht="13.2">
      <c r="F558" s="94"/>
      <c r="G558" s="50"/>
    </row>
    <row r="559" spans="6:7" ht="13.2">
      <c r="F559" s="94"/>
      <c r="G559" s="50"/>
    </row>
    <row r="560" spans="6:7" ht="13.2">
      <c r="F560" s="94"/>
      <c r="G560" s="50"/>
    </row>
    <row r="561" spans="6:7" ht="13.2">
      <c r="F561" s="94"/>
      <c r="G561" s="50"/>
    </row>
    <row r="562" spans="6:7" ht="13.2">
      <c r="F562" s="94"/>
      <c r="G562" s="50"/>
    </row>
    <row r="563" spans="6:7" ht="13.2">
      <c r="F563" s="94"/>
      <c r="G563" s="50"/>
    </row>
    <row r="564" spans="6:7" ht="13.2">
      <c r="F564" s="94"/>
      <c r="G564" s="50"/>
    </row>
    <row r="565" spans="6:7" ht="13.2">
      <c r="F565" s="94"/>
      <c r="G565" s="50"/>
    </row>
    <row r="566" spans="6:7" ht="13.2">
      <c r="F566" s="94"/>
      <c r="G566" s="50"/>
    </row>
    <row r="567" spans="6:7" ht="13.2">
      <c r="F567" s="94"/>
      <c r="G567" s="50"/>
    </row>
    <row r="568" spans="6:7" ht="13.2">
      <c r="F568" s="94"/>
      <c r="G568" s="50"/>
    </row>
    <row r="569" spans="6:7" ht="13.2">
      <c r="F569" s="94"/>
      <c r="G569" s="50"/>
    </row>
    <row r="570" spans="6:7" ht="13.2">
      <c r="F570" s="94"/>
      <c r="G570" s="50"/>
    </row>
    <row r="571" spans="6:7" ht="13.2">
      <c r="F571" s="94"/>
      <c r="G571" s="50"/>
    </row>
    <row r="572" spans="6:7" ht="13.2">
      <c r="F572" s="94"/>
      <c r="G572" s="50"/>
    </row>
    <row r="573" spans="6:7" ht="13.2">
      <c r="F573" s="94"/>
      <c r="G573" s="50"/>
    </row>
    <row r="574" spans="6:7" ht="13.2">
      <c r="F574" s="94"/>
      <c r="G574" s="50"/>
    </row>
    <row r="575" spans="6:7" ht="13.2">
      <c r="F575" s="94"/>
      <c r="G575" s="50"/>
    </row>
    <row r="576" spans="6:7" ht="13.2">
      <c r="F576" s="94"/>
      <c r="G576" s="50"/>
    </row>
    <row r="577" spans="6:7" ht="13.2">
      <c r="F577" s="94"/>
      <c r="G577" s="50"/>
    </row>
    <row r="578" spans="6:7" ht="13.2">
      <c r="F578" s="94"/>
      <c r="G578" s="50"/>
    </row>
    <row r="579" spans="6:7" ht="13.2">
      <c r="F579" s="94"/>
      <c r="G579" s="50"/>
    </row>
    <row r="580" spans="6:7" ht="13.2">
      <c r="F580" s="94"/>
      <c r="G580" s="50"/>
    </row>
    <row r="581" spans="6:7" ht="13.2">
      <c r="F581" s="94"/>
      <c r="G581" s="50"/>
    </row>
    <row r="582" spans="6:7" ht="13.2">
      <c r="F582" s="94"/>
      <c r="G582" s="50"/>
    </row>
    <row r="583" spans="6:7" ht="13.2">
      <c r="F583" s="94"/>
      <c r="G583" s="50"/>
    </row>
    <row r="584" spans="6:7" ht="13.2">
      <c r="F584" s="94"/>
      <c r="G584" s="50"/>
    </row>
    <row r="585" spans="6:7" ht="13.2">
      <c r="F585" s="94"/>
      <c r="G585" s="50"/>
    </row>
    <row r="586" spans="6:7" ht="13.2">
      <c r="F586" s="94"/>
      <c r="G586" s="50"/>
    </row>
    <row r="587" spans="6:7" ht="13.2">
      <c r="F587" s="94"/>
      <c r="G587" s="50"/>
    </row>
    <row r="588" spans="6:7" ht="13.2">
      <c r="F588" s="94"/>
      <c r="G588" s="50"/>
    </row>
    <row r="589" spans="6:7" ht="13.2">
      <c r="F589" s="94"/>
      <c r="G589" s="50"/>
    </row>
    <row r="590" spans="6:7" ht="13.2">
      <c r="F590" s="94"/>
      <c r="G590" s="50"/>
    </row>
    <row r="591" spans="6:7" ht="13.2">
      <c r="F591" s="94"/>
      <c r="G591" s="50"/>
    </row>
    <row r="592" spans="6:7" ht="13.2">
      <c r="F592" s="94"/>
      <c r="G592" s="50"/>
    </row>
    <row r="593" spans="6:7" ht="13.2">
      <c r="F593" s="94"/>
      <c r="G593" s="50"/>
    </row>
    <row r="594" spans="6:7" ht="13.2">
      <c r="F594" s="94"/>
      <c r="G594" s="50"/>
    </row>
    <row r="595" spans="6:7" ht="13.2">
      <c r="F595" s="94"/>
      <c r="G595" s="50"/>
    </row>
    <row r="596" spans="6:7" ht="13.2">
      <c r="F596" s="94"/>
      <c r="G596" s="50"/>
    </row>
    <row r="597" spans="6:7" ht="13.2">
      <c r="F597" s="94"/>
      <c r="G597" s="50"/>
    </row>
    <row r="598" spans="6:7" ht="13.2">
      <c r="F598" s="94"/>
      <c r="G598" s="50"/>
    </row>
    <row r="599" spans="6:7" ht="13.2">
      <c r="F599" s="94"/>
      <c r="G599" s="50"/>
    </row>
    <row r="600" spans="6:7" ht="13.2">
      <c r="F600" s="94"/>
      <c r="G600" s="50"/>
    </row>
    <row r="601" spans="6:7" ht="13.2">
      <c r="F601" s="94"/>
      <c r="G601" s="50"/>
    </row>
    <row r="602" spans="6:7" ht="13.2">
      <c r="F602" s="94"/>
      <c r="G602" s="50"/>
    </row>
    <row r="603" spans="6:7" ht="13.2">
      <c r="F603" s="94"/>
      <c r="G603" s="50"/>
    </row>
    <row r="604" spans="6:7" ht="13.2">
      <c r="F604" s="94"/>
      <c r="G604" s="50"/>
    </row>
    <row r="605" spans="6:7" ht="13.2">
      <c r="F605" s="94"/>
      <c r="G605" s="50"/>
    </row>
    <row r="606" spans="6:7" ht="13.2">
      <c r="F606" s="94"/>
      <c r="G606" s="50"/>
    </row>
    <row r="607" spans="6:7" ht="13.2">
      <c r="F607" s="94"/>
      <c r="G607" s="50"/>
    </row>
    <row r="608" spans="6:7" ht="13.2">
      <c r="F608" s="94"/>
      <c r="G608" s="50"/>
    </row>
    <row r="609" spans="6:7" ht="13.2">
      <c r="F609" s="94"/>
      <c r="G609" s="50"/>
    </row>
    <row r="610" spans="6:7" ht="13.2">
      <c r="F610" s="94"/>
      <c r="G610" s="50"/>
    </row>
    <row r="611" spans="6:7" ht="13.2">
      <c r="F611" s="94"/>
      <c r="G611" s="50"/>
    </row>
    <row r="612" spans="6:7" ht="13.2">
      <c r="F612" s="94"/>
      <c r="G612" s="50"/>
    </row>
    <row r="613" spans="6:7" ht="13.2">
      <c r="F613" s="94"/>
      <c r="G613" s="50"/>
    </row>
    <row r="614" spans="6:7" ht="13.2">
      <c r="F614" s="94"/>
      <c r="G614" s="50"/>
    </row>
    <row r="615" spans="6:7" ht="13.2">
      <c r="F615" s="94"/>
      <c r="G615" s="50"/>
    </row>
    <row r="616" spans="6:7" ht="13.2">
      <c r="F616" s="94"/>
      <c r="G616" s="50"/>
    </row>
    <row r="617" spans="6:7" ht="13.2">
      <c r="F617" s="94"/>
      <c r="G617" s="50"/>
    </row>
    <row r="618" spans="6:7" ht="13.2">
      <c r="F618" s="94"/>
      <c r="G618" s="50"/>
    </row>
    <row r="619" spans="6:7" ht="13.2">
      <c r="F619" s="94"/>
      <c r="G619" s="50"/>
    </row>
    <row r="620" spans="6:7" ht="13.2">
      <c r="F620" s="94"/>
      <c r="G620" s="50"/>
    </row>
    <row r="621" spans="6:7" ht="13.2">
      <c r="F621" s="94"/>
      <c r="G621" s="50"/>
    </row>
    <row r="622" spans="6:7" ht="13.2">
      <c r="F622" s="94"/>
      <c r="G622" s="50"/>
    </row>
    <row r="623" spans="6:7" ht="13.2">
      <c r="F623" s="94"/>
      <c r="G623" s="50"/>
    </row>
    <row r="624" spans="6:7" ht="13.2">
      <c r="F624" s="94"/>
      <c r="G624" s="50"/>
    </row>
    <row r="625" spans="6:7" ht="13.2">
      <c r="F625" s="94"/>
      <c r="G625" s="50"/>
    </row>
    <row r="626" spans="6:7" ht="13.2">
      <c r="F626" s="94"/>
      <c r="G626" s="50"/>
    </row>
    <row r="627" spans="6:7" ht="13.2">
      <c r="F627" s="94"/>
      <c r="G627" s="50"/>
    </row>
    <row r="628" spans="6:7" ht="13.2">
      <c r="F628" s="94"/>
      <c r="G628" s="50"/>
    </row>
    <row r="629" spans="6:7" ht="13.2">
      <c r="F629" s="94"/>
      <c r="G629" s="50"/>
    </row>
    <row r="630" spans="6:7" ht="13.2">
      <c r="F630" s="94"/>
      <c r="G630" s="50"/>
    </row>
    <row r="631" spans="6:7" ht="13.2">
      <c r="F631" s="94"/>
      <c r="G631" s="50"/>
    </row>
    <row r="632" spans="6:7" ht="13.2">
      <c r="F632" s="94"/>
      <c r="G632" s="50"/>
    </row>
    <row r="633" spans="6:7" ht="13.2">
      <c r="F633" s="94"/>
      <c r="G633" s="50"/>
    </row>
    <row r="634" spans="6:7" ht="13.2">
      <c r="F634" s="94"/>
      <c r="G634" s="50"/>
    </row>
    <row r="635" spans="6:7" ht="13.2">
      <c r="F635" s="94"/>
      <c r="G635" s="50"/>
    </row>
    <row r="636" spans="6:7" ht="13.2">
      <c r="F636" s="94"/>
      <c r="G636" s="50"/>
    </row>
    <row r="637" spans="6:7" ht="13.2">
      <c r="F637" s="94"/>
      <c r="G637" s="50"/>
    </row>
    <row r="638" spans="6:7" ht="13.2">
      <c r="F638" s="94"/>
      <c r="G638" s="50"/>
    </row>
    <row r="639" spans="6:7" ht="13.2">
      <c r="F639" s="94"/>
      <c r="G639" s="50"/>
    </row>
    <row r="640" spans="6:7" ht="13.2">
      <c r="F640" s="94"/>
      <c r="G640" s="50"/>
    </row>
    <row r="641" spans="6:7" ht="13.2">
      <c r="F641" s="94"/>
      <c r="G641" s="50"/>
    </row>
    <row r="642" spans="6:7" ht="13.2">
      <c r="F642" s="94"/>
      <c r="G642" s="50"/>
    </row>
    <row r="643" spans="6:7" ht="13.2">
      <c r="F643" s="94"/>
      <c r="G643" s="50"/>
    </row>
    <row r="644" spans="6:7" ht="13.2">
      <c r="F644" s="94"/>
      <c r="G644" s="50"/>
    </row>
    <row r="645" spans="6:7" ht="13.2">
      <c r="F645" s="94"/>
      <c r="G645" s="50"/>
    </row>
    <row r="646" spans="6:7" ht="13.2">
      <c r="F646" s="94"/>
      <c r="G646" s="50"/>
    </row>
    <row r="647" spans="6:7" ht="13.2">
      <c r="F647" s="94"/>
      <c r="G647" s="50"/>
    </row>
    <row r="648" spans="6:7" ht="13.2">
      <c r="F648" s="94"/>
      <c r="G648" s="50"/>
    </row>
    <row r="649" spans="6:7" ht="13.2">
      <c r="F649" s="94"/>
      <c r="G649" s="50"/>
    </row>
    <row r="650" spans="6:7" ht="13.2">
      <c r="F650" s="94"/>
      <c r="G650" s="50"/>
    </row>
    <row r="651" spans="6:7" ht="13.2">
      <c r="F651" s="94"/>
      <c r="G651" s="50"/>
    </row>
    <row r="652" spans="6:7" ht="13.2">
      <c r="F652" s="94"/>
      <c r="G652" s="50"/>
    </row>
    <row r="653" spans="6:7" ht="13.2">
      <c r="F653" s="94"/>
      <c r="G653" s="50"/>
    </row>
    <row r="654" spans="6:7" ht="13.2">
      <c r="F654" s="94"/>
      <c r="G654" s="50"/>
    </row>
    <row r="655" spans="6:7" ht="13.2">
      <c r="F655" s="94"/>
      <c r="G655" s="50"/>
    </row>
    <row r="656" spans="6:7" ht="13.2">
      <c r="F656" s="94"/>
      <c r="G656" s="50"/>
    </row>
    <row r="657" spans="6:7" ht="13.2">
      <c r="F657" s="94"/>
      <c r="G657" s="50"/>
    </row>
    <row r="658" spans="6:7" ht="13.2">
      <c r="F658" s="94"/>
      <c r="G658" s="50"/>
    </row>
    <row r="659" spans="6:7" ht="13.2">
      <c r="F659" s="94"/>
      <c r="G659" s="50"/>
    </row>
    <row r="660" spans="6:7" ht="13.2">
      <c r="F660" s="94"/>
      <c r="G660" s="50"/>
    </row>
    <row r="661" spans="6:7" ht="13.2">
      <c r="F661" s="94"/>
      <c r="G661" s="50"/>
    </row>
    <row r="662" spans="6:7" ht="13.2">
      <c r="F662" s="94"/>
      <c r="G662" s="50"/>
    </row>
    <row r="663" spans="6:7" ht="13.2">
      <c r="F663" s="94"/>
      <c r="G663" s="50"/>
    </row>
    <row r="664" spans="6:7" ht="13.2">
      <c r="F664" s="94"/>
      <c r="G664" s="50"/>
    </row>
    <row r="665" spans="6:7" ht="13.2">
      <c r="F665" s="94"/>
      <c r="G665" s="50"/>
    </row>
    <row r="666" spans="6:7" ht="13.2">
      <c r="F666" s="94"/>
      <c r="G666" s="50"/>
    </row>
    <row r="667" spans="6:7" ht="13.2">
      <c r="F667" s="94"/>
      <c r="G667" s="50"/>
    </row>
    <row r="668" spans="6:7" ht="13.2">
      <c r="F668" s="94"/>
      <c r="G668" s="50"/>
    </row>
    <row r="669" spans="6:7" ht="13.2">
      <c r="F669" s="94"/>
      <c r="G669" s="50"/>
    </row>
    <row r="670" spans="6:7" ht="13.2">
      <c r="F670" s="94"/>
      <c r="G670" s="50"/>
    </row>
    <row r="671" spans="6:7" ht="13.2">
      <c r="F671" s="94"/>
      <c r="G671" s="50"/>
    </row>
    <row r="672" spans="6:7" ht="13.2">
      <c r="F672" s="94"/>
      <c r="G672" s="50"/>
    </row>
    <row r="673" spans="6:7" ht="13.2">
      <c r="F673" s="94"/>
      <c r="G673" s="50"/>
    </row>
    <row r="674" spans="6:7" ht="13.2">
      <c r="F674" s="94"/>
      <c r="G674" s="50"/>
    </row>
    <row r="675" spans="6:7" ht="13.2">
      <c r="F675" s="94"/>
      <c r="G675" s="50"/>
    </row>
    <row r="676" spans="6:7" ht="13.2">
      <c r="F676" s="94"/>
      <c r="G676" s="50"/>
    </row>
    <row r="677" spans="6:7" ht="13.2">
      <c r="F677" s="94"/>
      <c r="G677" s="50"/>
    </row>
    <row r="678" spans="6:7" ht="13.2">
      <c r="F678" s="94"/>
      <c r="G678" s="50"/>
    </row>
    <row r="679" spans="6:7" ht="13.2">
      <c r="F679" s="94"/>
      <c r="G679" s="50"/>
    </row>
    <row r="680" spans="6:7" ht="13.2">
      <c r="F680" s="94"/>
      <c r="G680" s="50"/>
    </row>
    <row r="681" spans="6:7" ht="13.2">
      <c r="F681" s="94"/>
      <c r="G681" s="50"/>
    </row>
    <row r="682" spans="6:7" ht="13.2">
      <c r="F682" s="94"/>
      <c r="G682" s="50"/>
    </row>
    <row r="683" spans="6:7" ht="13.2">
      <c r="F683" s="94"/>
      <c r="G683" s="50"/>
    </row>
    <row r="684" spans="6:7" ht="13.2">
      <c r="F684" s="94"/>
      <c r="G684" s="50"/>
    </row>
    <row r="685" spans="6:7" ht="13.2">
      <c r="F685" s="94"/>
      <c r="G685" s="50"/>
    </row>
    <row r="686" spans="6:7" ht="13.2">
      <c r="F686" s="94"/>
      <c r="G686" s="50"/>
    </row>
    <row r="687" spans="6:7" ht="13.2">
      <c r="F687" s="94"/>
      <c r="G687" s="50"/>
    </row>
    <row r="688" spans="6:7" ht="13.2">
      <c r="F688" s="94"/>
      <c r="G688" s="50"/>
    </row>
    <row r="689" spans="6:7" ht="13.2">
      <c r="F689" s="94"/>
      <c r="G689" s="50"/>
    </row>
    <row r="690" spans="6:7" ht="13.2">
      <c r="F690" s="94"/>
      <c r="G690" s="50"/>
    </row>
    <row r="691" spans="6:7" ht="13.2">
      <c r="F691" s="94"/>
      <c r="G691" s="50"/>
    </row>
    <row r="692" spans="6:7" ht="13.2">
      <c r="F692" s="94"/>
      <c r="G692" s="50"/>
    </row>
    <row r="693" spans="6:7" ht="13.2">
      <c r="F693" s="94"/>
      <c r="G693" s="50"/>
    </row>
    <row r="694" spans="6:7" ht="13.2">
      <c r="F694" s="94"/>
      <c r="G694" s="50"/>
    </row>
    <row r="695" spans="6:7" ht="13.2">
      <c r="F695" s="94"/>
      <c r="G695" s="50"/>
    </row>
    <row r="696" spans="6:7" ht="13.2">
      <c r="F696" s="94"/>
      <c r="G696" s="50"/>
    </row>
    <row r="697" spans="6:7" ht="13.2">
      <c r="F697" s="94"/>
      <c r="G697" s="50"/>
    </row>
    <row r="698" spans="6:7" ht="13.2">
      <c r="F698" s="94"/>
      <c r="G698" s="50"/>
    </row>
    <row r="699" spans="6:7" ht="13.2">
      <c r="F699" s="94"/>
      <c r="G699" s="50"/>
    </row>
    <row r="700" spans="6:7" ht="13.2">
      <c r="F700" s="94"/>
      <c r="G700" s="50"/>
    </row>
    <row r="701" spans="6:7" ht="13.2">
      <c r="F701" s="94"/>
      <c r="G701" s="50"/>
    </row>
    <row r="702" spans="6:7" ht="13.2">
      <c r="F702" s="94"/>
      <c r="G702" s="50"/>
    </row>
    <row r="703" spans="6:7" ht="13.2">
      <c r="F703" s="94"/>
      <c r="G703" s="50"/>
    </row>
    <row r="704" spans="6:7" ht="13.2">
      <c r="F704" s="94"/>
      <c r="G704" s="50"/>
    </row>
    <row r="705" spans="6:7" ht="13.2">
      <c r="F705" s="94"/>
      <c r="G705" s="50"/>
    </row>
    <row r="706" spans="6:7" ht="13.2">
      <c r="F706" s="94"/>
      <c r="G706" s="50"/>
    </row>
    <row r="707" spans="6:7" ht="13.2">
      <c r="F707" s="94"/>
      <c r="G707" s="50"/>
    </row>
    <row r="708" spans="6:7" ht="13.2">
      <c r="F708" s="94"/>
      <c r="G708" s="50"/>
    </row>
    <row r="709" spans="6:7" ht="13.2">
      <c r="F709" s="94"/>
      <c r="G709" s="50"/>
    </row>
    <row r="710" spans="6:7" ht="13.2">
      <c r="F710" s="94"/>
      <c r="G710" s="50"/>
    </row>
    <row r="711" spans="6:7" ht="13.2">
      <c r="F711" s="94"/>
      <c r="G711" s="50"/>
    </row>
    <row r="712" spans="6:7" ht="13.2">
      <c r="F712" s="94"/>
      <c r="G712" s="50"/>
    </row>
    <row r="713" spans="6:7" ht="13.2">
      <c r="F713" s="94"/>
      <c r="G713" s="50"/>
    </row>
    <row r="714" spans="6:7" ht="13.2">
      <c r="F714" s="94"/>
      <c r="G714" s="50"/>
    </row>
    <row r="715" spans="6:7" ht="13.2">
      <c r="F715" s="94"/>
      <c r="G715" s="50"/>
    </row>
    <row r="716" spans="6:7" ht="13.2">
      <c r="F716" s="94"/>
      <c r="G716" s="50"/>
    </row>
    <row r="717" spans="6:7" ht="13.2">
      <c r="F717" s="94"/>
      <c r="G717" s="50"/>
    </row>
    <row r="718" spans="6:7" ht="13.2">
      <c r="F718" s="94"/>
      <c r="G718" s="50"/>
    </row>
    <row r="719" spans="6:7" ht="13.2">
      <c r="F719" s="94"/>
      <c r="G719" s="50"/>
    </row>
    <row r="720" spans="6:7" ht="13.2">
      <c r="F720" s="94"/>
      <c r="G720" s="50"/>
    </row>
    <row r="721" spans="6:7" ht="13.2">
      <c r="F721" s="94"/>
      <c r="G721" s="50"/>
    </row>
    <row r="722" spans="6:7" ht="13.2">
      <c r="F722" s="94"/>
      <c r="G722" s="50"/>
    </row>
    <row r="723" spans="6:7" ht="13.2">
      <c r="F723" s="94"/>
      <c r="G723" s="50"/>
    </row>
    <row r="724" spans="6:7" ht="13.2">
      <c r="F724" s="94"/>
      <c r="G724" s="50"/>
    </row>
    <row r="725" spans="6:7" ht="13.2">
      <c r="F725" s="94"/>
      <c r="G725" s="50"/>
    </row>
    <row r="726" spans="6:7" ht="13.2">
      <c r="F726" s="94"/>
      <c r="G726" s="50"/>
    </row>
    <row r="727" spans="6:7" ht="13.2">
      <c r="F727" s="94"/>
      <c r="G727" s="50"/>
    </row>
    <row r="728" spans="6:7" ht="13.2">
      <c r="F728" s="94"/>
      <c r="G728" s="50"/>
    </row>
    <row r="729" spans="6:7" ht="13.2">
      <c r="F729" s="94"/>
      <c r="G729" s="50"/>
    </row>
    <row r="730" spans="6:7" ht="13.2">
      <c r="F730" s="94"/>
      <c r="G730" s="50"/>
    </row>
    <row r="731" spans="6:7" ht="13.2">
      <c r="F731" s="94"/>
      <c r="G731" s="50"/>
    </row>
    <row r="732" spans="6:7" ht="13.2">
      <c r="F732" s="94"/>
      <c r="G732" s="50"/>
    </row>
    <row r="733" spans="6:7" ht="13.2">
      <c r="F733" s="94"/>
      <c r="G733" s="50"/>
    </row>
    <row r="734" spans="6:7" ht="13.2">
      <c r="F734" s="94"/>
      <c r="G734" s="50"/>
    </row>
    <row r="735" spans="6:7" ht="13.2">
      <c r="F735" s="94"/>
      <c r="G735" s="50"/>
    </row>
    <row r="736" spans="6:7" ht="13.2">
      <c r="F736" s="94"/>
      <c r="G736" s="50"/>
    </row>
    <row r="737" spans="6:7" ht="13.2">
      <c r="F737" s="94"/>
      <c r="G737" s="50"/>
    </row>
    <row r="738" spans="6:7" ht="13.2">
      <c r="F738" s="94"/>
      <c r="G738" s="50"/>
    </row>
    <row r="739" spans="6:7" ht="13.2">
      <c r="F739" s="94"/>
      <c r="G739" s="50"/>
    </row>
    <row r="740" spans="6:7" ht="13.2">
      <c r="F740" s="94"/>
      <c r="G740" s="50"/>
    </row>
    <row r="741" spans="6:7" ht="13.2">
      <c r="F741" s="94"/>
      <c r="G741" s="50"/>
    </row>
    <row r="742" spans="6:7" ht="13.2">
      <c r="F742" s="94"/>
      <c r="G742" s="50"/>
    </row>
    <row r="743" spans="6:7" ht="13.2">
      <c r="F743" s="94"/>
      <c r="G743" s="50"/>
    </row>
    <row r="744" spans="6:7" ht="13.2">
      <c r="F744" s="94"/>
      <c r="G744" s="50"/>
    </row>
    <row r="745" spans="6:7" ht="13.2">
      <c r="F745" s="94"/>
      <c r="G745" s="50"/>
    </row>
    <row r="746" spans="6:7" ht="13.2">
      <c r="F746" s="94"/>
      <c r="G746" s="50"/>
    </row>
    <row r="747" spans="6:7" ht="13.2">
      <c r="F747" s="94"/>
      <c r="G747" s="50"/>
    </row>
    <row r="748" spans="6:7" ht="13.2">
      <c r="F748" s="94"/>
      <c r="G748" s="50"/>
    </row>
    <row r="749" spans="6:7" ht="13.2">
      <c r="F749" s="94"/>
      <c r="G749" s="50"/>
    </row>
    <row r="750" spans="6:7" ht="13.2">
      <c r="F750" s="94"/>
      <c r="G750" s="50"/>
    </row>
    <row r="751" spans="6:7" ht="13.2">
      <c r="F751" s="94"/>
      <c r="G751" s="50"/>
    </row>
    <row r="752" spans="6:7" ht="13.2">
      <c r="F752" s="94"/>
      <c r="G752" s="50"/>
    </row>
    <row r="753" spans="6:7" ht="13.2">
      <c r="F753" s="94"/>
      <c r="G753" s="50"/>
    </row>
    <row r="754" spans="6:7" ht="13.2">
      <c r="F754" s="94"/>
      <c r="G754" s="50"/>
    </row>
    <row r="755" spans="6:7" ht="13.2">
      <c r="F755" s="94"/>
      <c r="G755" s="50"/>
    </row>
    <row r="756" spans="6:7" ht="13.2">
      <c r="F756" s="94"/>
      <c r="G756" s="50"/>
    </row>
    <row r="757" spans="6:7" ht="13.2">
      <c r="F757" s="94"/>
      <c r="G757" s="50"/>
    </row>
    <row r="758" spans="6:7" ht="13.2">
      <c r="F758" s="94"/>
      <c r="G758" s="50"/>
    </row>
    <row r="759" spans="6:7" ht="13.2">
      <c r="F759" s="94"/>
      <c r="G759" s="50"/>
    </row>
    <row r="760" spans="6:7" ht="13.2">
      <c r="F760" s="94"/>
      <c r="G760" s="50"/>
    </row>
    <row r="761" spans="6:7" ht="13.2">
      <c r="F761" s="94"/>
      <c r="G761" s="50"/>
    </row>
    <row r="762" spans="6:7" ht="13.2">
      <c r="F762" s="94"/>
      <c r="G762" s="50"/>
    </row>
    <row r="763" spans="6:7" ht="13.2">
      <c r="F763" s="94"/>
      <c r="G763" s="50"/>
    </row>
    <row r="764" spans="6:7" ht="13.2">
      <c r="F764" s="94"/>
      <c r="G764" s="50"/>
    </row>
    <row r="765" spans="6:7" ht="13.2">
      <c r="F765" s="94"/>
      <c r="G765" s="50"/>
    </row>
    <row r="766" spans="6:7" ht="13.2">
      <c r="F766" s="94"/>
      <c r="G766" s="50"/>
    </row>
    <row r="767" spans="6:7" ht="13.2">
      <c r="F767" s="94"/>
      <c r="G767" s="50"/>
    </row>
    <row r="768" spans="6:7" ht="13.2">
      <c r="F768" s="94"/>
      <c r="G768" s="50"/>
    </row>
    <row r="769" spans="6:7" ht="13.2">
      <c r="F769" s="94"/>
      <c r="G769" s="50"/>
    </row>
    <row r="770" spans="6:7" ht="13.2">
      <c r="F770" s="94"/>
      <c r="G770" s="50"/>
    </row>
    <row r="771" spans="6:7" ht="13.2">
      <c r="F771" s="94"/>
      <c r="G771" s="50"/>
    </row>
    <row r="772" spans="6:7" ht="13.2">
      <c r="F772" s="94"/>
      <c r="G772" s="50"/>
    </row>
    <row r="773" spans="6:7" ht="13.2">
      <c r="F773" s="94"/>
      <c r="G773" s="50"/>
    </row>
    <row r="774" spans="6:7" ht="13.2">
      <c r="F774" s="94"/>
      <c r="G774" s="50"/>
    </row>
    <row r="775" spans="6:7" ht="13.2">
      <c r="F775" s="94"/>
      <c r="G775" s="50"/>
    </row>
    <row r="776" spans="6:7" ht="13.2">
      <c r="F776" s="94"/>
      <c r="G776" s="50"/>
    </row>
    <row r="777" spans="6:7" ht="13.2">
      <c r="F777" s="94"/>
      <c r="G777" s="50"/>
    </row>
    <row r="778" spans="6:7" ht="13.2">
      <c r="F778" s="94"/>
      <c r="G778" s="50"/>
    </row>
    <row r="779" spans="6:7" ht="13.2">
      <c r="F779" s="94"/>
      <c r="G779" s="50"/>
    </row>
    <row r="780" spans="6:7" ht="13.2">
      <c r="F780" s="94"/>
      <c r="G780" s="50"/>
    </row>
    <row r="781" spans="6:7" ht="13.2">
      <c r="F781" s="94"/>
      <c r="G781" s="50"/>
    </row>
    <row r="782" spans="6:7" ht="13.2">
      <c r="F782" s="94"/>
      <c r="G782" s="50"/>
    </row>
    <row r="783" spans="6:7" ht="13.2">
      <c r="F783" s="94"/>
      <c r="G783" s="50"/>
    </row>
    <row r="784" spans="6:7" ht="13.2">
      <c r="F784" s="94"/>
      <c r="G784" s="50"/>
    </row>
    <row r="785" spans="6:7" ht="13.2">
      <c r="F785" s="94"/>
      <c r="G785" s="50"/>
    </row>
    <row r="786" spans="6:7" ht="13.2">
      <c r="F786" s="94"/>
      <c r="G786" s="50"/>
    </row>
    <row r="787" spans="6:7" ht="13.2">
      <c r="F787" s="94"/>
      <c r="G787" s="50"/>
    </row>
    <row r="788" spans="6:7" ht="13.2">
      <c r="F788" s="94"/>
      <c r="G788" s="50"/>
    </row>
    <row r="789" spans="6:7" ht="13.2">
      <c r="F789" s="94"/>
      <c r="G789" s="50"/>
    </row>
    <row r="790" spans="6:7" ht="13.2">
      <c r="F790" s="94"/>
      <c r="G790" s="50"/>
    </row>
    <row r="791" spans="6:7" ht="13.2">
      <c r="F791" s="94"/>
      <c r="G791" s="50"/>
    </row>
    <row r="792" spans="6:7" ht="13.2">
      <c r="F792" s="94"/>
      <c r="G792" s="50"/>
    </row>
    <row r="793" spans="6:7" ht="13.2">
      <c r="F793" s="94"/>
      <c r="G793" s="50"/>
    </row>
    <row r="794" spans="6:7" ht="13.2">
      <c r="F794" s="94"/>
      <c r="G794" s="50"/>
    </row>
    <row r="795" spans="6:7" ht="13.2">
      <c r="F795" s="94"/>
      <c r="G795" s="50"/>
    </row>
    <row r="796" spans="6:7" ht="13.2">
      <c r="F796" s="94"/>
      <c r="G796" s="50"/>
    </row>
    <row r="797" spans="6:7" ht="13.2">
      <c r="F797" s="94"/>
      <c r="G797" s="50"/>
    </row>
    <row r="798" spans="6:7" ht="13.2">
      <c r="F798" s="94"/>
      <c r="G798" s="50"/>
    </row>
    <row r="799" spans="6:7" ht="13.2">
      <c r="F799" s="94"/>
      <c r="G799" s="50"/>
    </row>
    <row r="800" spans="6:7" ht="13.2">
      <c r="F800" s="94"/>
      <c r="G800" s="50"/>
    </row>
    <row r="801" spans="6:7" ht="13.2">
      <c r="F801" s="94"/>
      <c r="G801" s="50"/>
    </row>
    <row r="802" spans="6:7" ht="13.2">
      <c r="F802" s="94"/>
      <c r="G802" s="50"/>
    </row>
    <row r="803" spans="6:7" ht="13.2">
      <c r="F803" s="94"/>
      <c r="G803" s="50"/>
    </row>
    <row r="804" spans="6:7" ht="13.2">
      <c r="F804" s="94"/>
      <c r="G804" s="50"/>
    </row>
    <row r="805" spans="6:7" ht="13.2">
      <c r="F805" s="94"/>
      <c r="G805" s="50"/>
    </row>
    <row r="806" spans="6:7" ht="13.2">
      <c r="F806" s="94"/>
      <c r="G806" s="50"/>
    </row>
    <row r="807" spans="6:7" ht="13.2">
      <c r="F807" s="94"/>
      <c r="G807" s="50"/>
    </row>
    <row r="808" spans="6:7" ht="13.2">
      <c r="F808" s="94"/>
      <c r="G808" s="50"/>
    </row>
    <row r="809" spans="6:7" ht="13.2">
      <c r="F809" s="94"/>
      <c r="G809" s="50"/>
    </row>
    <row r="810" spans="6:7" ht="13.2">
      <c r="F810" s="94"/>
      <c r="G810" s="50"/>
    </row>
    <row r="811" spans="6:7" ht="13.2">
      <c r="F811" s="94"/>
      <c r="G811" s="50"/>
    </row>
    <row r="812" spans="6:7" ht="13.2">
      <c r="F812" s="94"/>
      <c r="G812" s="50"/>
    </row>
    <row r="813" spans="6:7" ht="13.2">
      <c r="F813" s="94"/>
      <c r="G813" s="50"/>
    </row>
    <row r="814" spans="6:7" ht="13.2">
      <c r="F814" s="94"/>
      <c r="G814" s="50"/>
    </row>
    <row r="815" spans="6:7" ht="13.2">
      <c r="F815" s="94"/>
      <c r="G815" s="50"/>
    </row>
    <row r="816" spans="6:7" ht="13.2">
      <c r="F816" s="94"/>
      <c r="G816" s="50"/>
    </row>
    <row r="817" spans="6:7" ht="13.2">
      <c r="F817" s="94"/>
      <c r="G817" s="50"/>
    </row>
    <row r="818" spans="6:7" ht="13.2">
      <c r="F818" s="94"/>
      <c r="G818" s="50"/>
    </row>
    <row r="819" spans="6:7" ht="13.2">
      <c r="F819" s="94"/>
      <c r="G819" s="50"/>
    </row>
    <row r="820" spans="6:7" ht="13.2">
      <c r="F820" s="94"/>
      <c r="G820" s="50"/>
    </row>
    <row r="821" spans="6:7" ht="13.2">
      <c r="F821" s="94"/>
      <c r="G821" s="50"/>
    </row>
    <row r="822" spans="6:7" ht="13.2">
      <c r="F822" s="94"/>
      <c r="G822" s="50"/>
    </row>
    <row r="823" spans="6:7" ht="13.2">
      <c r="F823" s="94"/>
      <c r="G823" s="50"/>
    </row>
    <row r="824" spans="6:7" ht="13.2">
      <c r="F824" s="94"/>
      <c r="G824" s="50"/>
    </row>
    <row r="825" spans="6:7" ht="13.2">
      <c r="F825" s="94"/>
      <c r="G825" s="50"/>
    </row>
    <row r="826" spans="6:7" ht="13.2">
      <c r="F826" s="94"/>
      <c r="G826" s="50"/>
    </row>
    <row r="827" spans="6:7" ht="13.2">
      <c r="F827" s="94"/>
      <c r="G827" s="50"/>
    </row>
    <row r="828" spans="6:7" ht="13.2">
      <c r="F828" s="94"/>
      <c r="G828" s="50"/>
    </row>
    <row r="829" spans="6:7" ht="13.2">
      <c r="F829" s="94"/>
      <c r="G829" s="50"/>
    </row>
    <row r="830" spans="6:7" ht="13.2">
      <c r="F830" s="94"/>
      <c r="G830" s="50"/>
    </row>
    <row r="831" spans="6:7" ht="13.2">
      <c r="F831" s="94"/>
      <c r="G831" s="50"/>
    </row>
    <row r="832" spans="6:7" ht="13.2">
      <c r="F832" s="94"/>
      <c r="G832" s="50"/>
    </row>
    <row r="833" spans="6:7" ht="13.2">
      <c r="F833" s="94"/>
      <c r="G833" s="50"/>
    </row>
    <row r="834" spans="6:7" ht="13.2">
      <c r="F834" s="94"/>
      <c r="G834" s="50"/>
    </row>
    <row r="835" spans="6:7" ht="13.2">
      <c r="F835" s="94"/>
      <c r="G835" s="50"/>
    </row>
    <row r="836" spans="6:7" ht="13.2">
      <c r="F836" s="94"/>
      <c r="G836" s="50"/>
    </row>
    <row r="837" spans="6:7" ht="13.2">
      <c r="F837" s="94"/>
      <c r="G837" s="50"/>
    </row>
    <row r="838" spans="6:7" ht="13.2">
      <c r="F838" s="94"/>
      <c r="G838" s="50"/>
    </row>
    <row r="839" spans="6:7" ht="13.2">
      <c r="F839" s="94"/>
      <c r="G839" s="50"/>
    </row>
    <row r="840" spans="6:7" ht="13.2">
      <c r="F840" s="94"/>
      <c r="G840" s="50"/>
    </row>
    <row r="841" spans="6:7" ht="13.2">
      <c r="F841" s="94"/>
      <c r="G841" s="50"/>
    </row>
    <row r="842" spans="6:7" ht="13.2">
      <c r="F842" s="94"/>
      <c r="G842" s="50"/>
    </row>
    <row r="843" spans="6:7" ht="13.2">
      <c r="F843" s="94"/>
      <c r="G843" s="50"/>
    </row>
    <row r="844" spans="6:7" ht="13.2">
      <c r="F844" s="94"/>
      <c r="G844" s="50"/>
    </row>
    <row r="845" spans="6:7" ht="13.2">
      <c r="F845" s="94"/>
      <c r="G845" s="50"/>
    </row>
    <row r="846" spans="6:7" ht="13.2">
      <c r="F846" s="94"/>
      <c r="G846" s="50"/>
    </row>
    <row r="847" spans="6:7" ht="13.2">
      <c r="F847" s="94"/>
      <c r="G847" s="50"/>
    </row>
    <row r="848" spans="6:7" ht="13.2">
      <c r="F848" s="94"/>
      <c r="G848" s="50"/>
    </row>
    <row r="849" spans="6:7" ht="13.2">
      <c r="F849" s="94"/>
      <c r="G849" s="50"/>
    </row>
    <row r="850" spans="6:7" ht="13.2">
      <c r="F850" s="94"/>
      <c r="G850" s="50"/>
    </row>
    <row r="851" spans="6:7" ht="13.2">
      <c r="F851" s="94"/>
      <c r="G851" s="50"/>
    </row>
    <row r="852" spans="6:7" ht="13.2">
      <c r="F852" s="94"/>
      <c r="G852" s="50"/>
    </row>
    <row r="853" spans="6:7" ht="13.2">
      <c r="F853" s="94"/>
      <c r="G853" s="50"/>
    </row>
    <row r="854" spans="6:7" ht="13.2">
      <c r="F854" s="94"/>
      <c r="G854" s="50"/>
    </row>
    <row r="855" spans="6:7" ht="13.2">
      <c r="F855" s="94"/>
      <c r="G855" s="50"/>
    </row>
    <row r="856" spans="6:7" ht="13.2">
      <c r="F856" s="94"/>
      <c r="G856" s="50"/>
    </row>
    <row r="857" spans="6:7" ht="13.2">
      <c r="F857" s="94"/>
      <c r="G857" s="50"/>
    </row>
    <row r="858" spans="6:7" ht="13.2">
      <c r="F858" s="94"/>
      <c r="G858" s="50"/>
    </row>
    <row r="859" spans="6:7" ht="13.2">
      <c r="F859" s="94"/>
      <c r="G859" s="50"/>
    </row>
    <row r="860" spans="6:7" ht="13.2">
      <c r="F860" s="94"/>
      <c r="G860" s="50"/>
    </row>
    <row r="861" spans="6:7" ht="13.2">
      <c r="F861" s="94"/>
      <c r="G861" s="50"/>
    </row>
    <row r="862" spans="6:7" ht="13.2">
      <c r="F862" s="94"/>
      <c r="G862" s="50"/>
    </row>
    <row r="863" spans="6:7" ht="13.2">
      <c r="F863" s="94"/>
      <c r="G863" s="50"/>
    </row>
    <row r="864" spans="6:7" ht="13.2">
      <c r="F864" s="94"/>
      <c r="G864" s="50"/>
    </row>
    <row r="865" spans="6:7" ht="13.2">
      <c r="F865" s="94"/>
      <c r="G865" s="50"/>
    </row>
    <row r="866" spans="6:7" ht="13.2">
      <c r="F866" s="94"/>
      <c r="G866" s="50"/>
    </row>
    <row r="867" spans="6:7" ht="13.2">
      <c r="F867" s="94"/>
      <c r="G867" s="50"/>
    </row>
    <row r="868" spans="6:7" ht="13.2">
      <c r="F868" s="94"/>
      <c r="G868" s="50"/>
    </row>
    <row r="869" spans="6:7" ht="13.2">
      <c r="F869" s="94"/>
      <c r="G869" s="50"/>
    </row>
    <row r="870" spans="6:7" ht="13.2">
      <c r="F870" s="94"/>
      <c r="G870" s="50"/>
    </row>
    <row r="871" spans="6:7" ht="13.2">
      <c r="F871" s="94"/>
      <c r="G871" s="50"/>
    </row>
    <row r="872" spans="6:7" ht="13.2">
      <c r="F872" s="94"/>
      <c r="G872" s="50"/>
    </row>
    <row r="873" spans="6:7" ht="13.2">
      <c r="F873" s="94"/>
      <c r="G873" s="50"/>
    </row>
    <row r="874" spans="6:7" ht="13.2">
      <c r="F874" s="94"/>
      <c r="G874" s="50"/>
    </row>
    <row r="875" spans="6:7" ht="13.2">
      <c r="F875" s="94"/>
      <c r="G875" s="50"/>
    </row>
    <row r="876" spans="6:7" ht="13.2">
      <c r="F876" s="94"/>
      <c r="G876" s="50"/>
    </row>
    <row r="877" spans="6:7" ht="13.2">
      <c r="F877" s="94"/>
      <c r="G877" s="50"/>
    </row>
    <row r="878" spans="6:7" ht="13.2">
      <c r="F878" s="94"/>
      <c r="G878" s="50"/>
    </row>
    <row r="879" spans="6:7" ht="13.2">
      <c r="F879" s="94"/>
      <c r="G879" s="50"/>
    </row>
    <row r="880" spans="6:7" ht="13.2">
      <c r="F880" s="94"/>
      <c r="G880" s="50"/>
    </row>
    <row r="881" spans="6:7" ht="13.2">
      <c r="F881" s="94"/>
      <c r="G881" s="50"/>
    </row>
    <row r="882" spans="6:7" ht="13.2">
      <c r="F882" s="94"/>
      <c r="G882" s="50"/>
    </row>
    <row r="883" spans="6:7" ht="13.2">
      <c r="F883" s="94"/>
      <c r="G883" s="50"/>
    </row>
    <row r="884" spans="6:7" ht="13.2">
      <c r="F884" s="94"/>
      <c r="G884" s="50"/>
    </row>
    <row r="885" spans="6:7" ht="13.2">
      <c r="F885" s="94"/>
      <c r="G885" s="50"/>
    </row>
    <row r="886" spans="6:7" ht="13.2">
      <c r="F886" s="94"/>
      <c r="G886" s="50"/>
    </row>
    <row r="887" spans="6:7" ht="13.2">
      <c r="F887" s="94"/>
      <c r="G887" s="50"/>
    </row>
    <row r="888" spans="6:7" ht="13.2">
      <c r="F888" s="94"/>
      <c r="G888" s="50"/>
    </row>
    <row r="889" spans="6:7" ht="13.2">
      <c r="F889" s="94"/>
      <c r="G889" s="50"/>
    </row>
    <row r="890" spans="6:7" ht="13.2">
      <c r="F890" s="94"/>
      <c r="G890" s="50"/>
    </row>
    <row r="891" spans="6:7" ht="13.2">
      <c r="F891" s="94"/>
      <c r="G891" s="50"/>
    </row>
    <row r="892" spans="6:7" ht="13.2">
      <c r="F892" s="94"/>
      <c r="G892" s="50"/>
    </row>
    <row r="893" spans="6:7" ht="13.2">
      <c r="F893" s="94"/>
      <c r="G893" s="50"/>
    </row>
    <row r="894" spans="6:7" ht="13.2">
      <c r="F894" s="94"/>
      <c r="G894" s="50"/>
    </row>
    <row r="895" spans="6:7" ht="13.2">
      <c r="F895" s="94"/>
      <c r="G895" s="50"/>
    </row>
    <row r="896" spans="6:7" ht="13.2">
      <c r="F896" s="94"/>
      <c r="G896" s="50"/>
    </row>
    <row r="897" spans="6:7" ht="13.2">
      <c r="F897" s="94"/>
      <c r="G897" s="50"/>
    </row>
    <row r="898" spans="6:7" ht="13.2">
      <c r="F898" s="94"/>
      <c r="G898" s="50"/>
    </row>
    <row r="899" spans="6:7" ht="13.2">
      <c r="F899" s="94"/>
      <c r="G899" s="50"/>
    </row>
    <row r="900" spans="6:7" ht="13.2">
      <c r="F900" s="94"/>
      <c r="G900" s="50"/>
    </row>
    <row r="901" spans="6:7" ht="13.2">
      <c r="F901" s="94"/>
      <c r="G901" s="50"/>
    </row>
    <row r="902" spans="6:7" ht="13.2">
      <c r="F902" s="94"/>
      <c r="G902" s="50"/>
    </row>
    <row r="903" spans="6:7" ht="13.2">
      <c r="F903" s="94"/>
      <c r="G903" s="50"/>
    </row>
    <row r="904" spans="6:7" ht="13.2">
      <c r="F904" s="94"/>
      <c r="G904" s="50"/>
    </row>
    <row r="905" spans="6:7" ht="13.2">
      <c r="F905" s="94"/>
      <c r="G905" s="50"/>
    </row>
    <row r="906" spans="6:7" ht="13.2">
      <c r="F906" s="94"/>
      <c r="G906" s="50"/>
    </row>
    <row r="907" spans="6:7" ht="13.2">
      <c r="F907" s="94"/>
      <c r="G907" s="50"/>
    </row>
    <row r="908" spans="6:7" ht="13.2">
      <c r="F908" s="94"/>
      <c r="G908" s="50"/>
    </row>
    <row r="909" spans="6:7" ht="13.2">
      <c r="F909" s="94"/>
      <c r="G909" s="50"/>
    </row>
    <row r="910" spans="6:7" ht="13.2">
      <c r="F910" s="94"/>
      <c r="G910" s="50"/>
    </row>
    <row r="911" spans="6:7" ht="13.2">
      <c r="F911" s="94"/>
      <c r="G911" s="50"/>
    </row>
    <row r="912" spans="6:7" ht="13.2">
      <c r="F912" s="94"/>
      <c r="G912" s="50"/>
    </row>
    <row r="913" spans="6:7" ht="13.2">
      <c r="F913" s="94"/>
      <c r="G913" s="50"/>
    </row>
    <row r="914" spans="6:7" ht="13.2">
      <c r="F914" s="94"/>
      <c r="G914" s="50"/>
    </row>
    <row r="915" spans="6:7" ht="13.2">
      <c r="F915" s="94"/>
      <c r="G915" s="50"/>
    </row>
    <row r="916" spans="6:7" ht="13.2">
      <c r="F916" s="94"/>
      <c r="G916" s="50"/>
    </row>
    <row r="917" spans="6:7" ht="13.2">
      <c r="F917" s="94"/>
      <c r="G917" s="50"/>
    </row>
    <row r="918" spans="6:7" ht="13.2">
      <c r="F918" s="94"/>
      <c r="G918" s="50"/>
    </row>
    <row r="919" spans="6:7" ht="13.2">
      <c r="F919" s="94"/>
      <c r="G919" s="50"/>
    </row>
    <row r="920" spans="6:7" ht="13.2">
      <c r="F920" s="94"/>
      <c r="G920" s="50"/>
    </row>
    <row r="921" spans="6:7" ht="13.2">
      <c r="F921" s="94"/>
      <c r="G921" s="50"/>
    </row>
    <row r="922" spans="6:7" ht="13.2">
      <c r="F922" s="94"/>
      <c r="G922" s="50"/>
    </row>
    <row r="923" spans="6:7" ht="13.2">
      <c r="F923" s="94"/>
      <c r="G923" s="50"/>
    </row>
    <row r="924" spans="6:7" ht="13.2">
      <c r="F924" s="94"/>
      <c r="G924" s="50"/>
    </row>
    <row r="925" spans="6:7" ht="13.2">
      <c r="F925" s="94"/>
      <c r="G925" s="50"/>
    </row>
    <row r="926" spans="6:7" ht="13.2">
      <c r="F926" s="94"/>
      <c r="G926" s="50"/>
    </row>
    <row r="927" spans="6:7" ht="13.2">
      <c r="F927" s="94"/>
      <c r="G927" s="50"/>
    </row>
    <row r="928" spans="6:7" ht="13.2">
      <c r="F928" s="94"/>
      <c r="G928" s="50"/>
    </row>
    <row r="929" spans="6:7" ht="13.2">
      <c r="F929" s="94"/>
      <c r="G929" s="50"/>
    </row>
    <row r="930" spans="6:7" ht="13.2">
      <c r="F930" s="94"/>
      <c r="G930" s="50"/>
    </row>
    <row r="931" spans="6:7" ht="13.2">
      <c r="F931" s="94"/>
      <c r="G931" s="50"/>
    </row>
    <row r="932" spans="6:7" ht="13.2">
      <c r="F932" s="94"/>
      <c r="G932" s="50"/>
    </row>
    <row r="933" spans="6:7" ht="13.2">
      <c r="F933" s="94"/>
      <c r="G933" s="50"/>
    </row>
    <row r="934" spans="6:7" ht="13.2">
      <c r="F934" s="94"/>
      <c r="G934" s="50"/>
    </row>
    <row r="935" spans="6:7" ht="13.2">
      <c r="F935" s="94"/>
      <c r="G935" s="50"/>
    </row>
    <row r="936" spans="6:7" ht="13.2">
      <c r="F936" s="94"/>
      <c r="G936" s="50"/>
    </row>
    <row r="937" spans="6:7" ht="13.2">
      <c r="F937" s="94"/>
      <c r="G937" s="50"/>
    </row>
    <row r="938" spans="6:7" ht="13.2">
      <c r="F938" s="94"/>
      <c r="G938" s="50"/>
    </row>
    <row r="939" spans="6:7" ht="13.2">
      <c r="F939" s="94"/>
      <c r="G939" s="50"/>
    </row>
    <row r="940" spans="6:7" ht="13.2">
      <c r="F940" s="94"/>
      <c r="G940" s="50"/>
    </row>
    <row r="941" spans="6:7" ht="13.2">
      <c r="F941" s="94"/>
      <c r="G941" s="50"/>
    </row>
    <row r="942" spans="6:7" ht="13.2">
      <c r="F942" s="94"/>
      <c r="G942" s="50"/>
    </row>
    <row r="943" spans="6:7" ht="13.2">
      <c r="F943" s="94"/>
      <c r="G943" s="50"/>
    </row>
    <row r="944" spans="6:7" ht="13.2">
      <c r="F944" s="94"/>
      <c r="G944" s="50"/>
    </row>
    <row r="945" spans="6:7" ht="13.2">
      <c r="F945" s="94"/>
      <c r="G945" s="50"/>
    </row>
    <row r="946" spans="6:7" ht="13.2">
      <c r="F946" s="94"/>
      <c r="G946" s="50"/>
    </row>
    <row r="947" spans="6:7" ht="13.2">
      <c r="F947" s="94"/>
      <c r="G947" s="50"/>
    </row>
    <row r="948" spans="6:7" ht="13.2">
      <c r="F948" s="94"/>
      <c r="G948" s="50"/>
    </row>
    <row r="949" spans="6:7" ht="13.2">
      <c r="F949" s="94"/>
      <c r="G949" s="50"/>
    </row>
    <row r="950" spans="6:7" ht="13.2">
      <c r="F950" s="94"/>
      <c r="G950" s="50"/>
    </row>
    <row r="951" spans="6:7" ht="13.2">
      <c r="F951" s="94"/>
      <c r="G951" s="50"/>
    </row>
    <row r="952" spans="6:7" ht="13.2">
      <c r="F952" s="94"/>
      <c r="G952" s="50"/>
    </row>
    <row r="953" spans="6:7" ht="13.2">
      <c r="F953" s="94"/>
      <c r="G953" s="50"/>
    </row>
    <row r="954" spans="6:7" ht="13.2">
      <c r="F954" s="94"/>
      <c r="G954" s="50"/>
    </row>
    <row r="955" spans="6:7" ht="13.2">
      <c r="F955" s="94"/>
      <c r="G955" s="50"/>
    </row>
    <row r="956" spans="6:7" ht="13.2">
      <c r="F956" s="94"/>
      <c r="G956" s="50"/>
    </row>
    <row r="957" spans="6:7" ht="13.2">
      <c r="F957" s="94"/>
      <c r="G957" s="50"/>
    </row>
    <row r="958" spans="6:7" ht="13.2">
      <c r="F958" s="94"/>
      <c r="G958" s="50"/>
    </row>
    <row r="959" spans="6:7" ht="13.2">
      <c r="F959" s="94"/>
      <c r="G959" s="50"/>
    </row>
    <row r="960" spans="6:7" ht="13.2">
      <c r="F960" s="94"/>
      <c r="G960" s="50"/>
    </row>
    <row r="961" spans="6:7" ht="13.2">
      <c r="F961" s="94"/>
      <c r="G961" s="50"/>
    </row>
    <row r="962" spans="6:7" ht="13.2">
      <c r="F962" s="94"/>
      <c r="G962" s="50"/>
    </row>
    <row r="963" spans="6:7" ht="13.2">
      <c r="F963" s="94"/>
      <c r="G963" s="50"/>
    </row>
    <row r="964" spans="6:7" ht="13.2">
      <c r="F964" s="94"/>
      <c r="G964" s="50"/>
    </row>
    <row r="965" spans="6:7" ht="13.2">
      <c r="F965" s="94"/>
      <c r="G965" s="50"/>
    </row>
    <row r="966" spans="6:7" ht="13.2">
      <c r="F966" s="94"/>
      <c r="G966" s="50"/>
    </row>
    <row r="967" spans="6:7" ht="13.2">
      <c r="F967" s="94"/>
      <c r="G967" s="50"/>
    </row>
    <row r="968" spans="6:7" ht="13.2">
      <c r="F968" s="94"/>
      <c r="G968" s="50"/>
    </row>
    <row r="969" spans="6:7" ht="13.2">
      <c r="F969" s="94"/>
      <c r="G969" s="50"/>
    </row>
    <row r="970" spans="6:7" ht="13.2">
      <c r="F970" s="94"/>
      <c r="G970" s="50"/>
    </row>
    <row r="971" spans="6:7" ht="13.2">
      <c r="F971" s="94"/>
      <c r="G971" s="50"/>
    </row>
    <row r="972" spans="6:7" ht="13.2">
      <c r="F972" s="94"/>
      <c r="G972" s="50"/>
    </row>
    <row r="973" spans="6:7" ht="13.2">
      <c r="F973" s="94"/>
      <c r="G973" s="50"/>
    </row>
    <row r="974" spans="6:7" ht="13.2">
      <c r="F974" s="94"/>
      <c r="G974" s="50"/>
    </row>
    <row r="975" spans="6:7" ht="13.2">
      <c r="F975" s="94"/>
      <c r="G975" s="50"/>
    </row>
    <row r="976" spans="6:7" ht="13.2">
      <c r="F976" s="94"/>
      <c r="G976" s="50"/>
    </row>
    <row r="977" spans="6:7" ht="13.2">
      <c r="F977" s="94"/>
      <c r="G977" s="50"/>
    </row>
    <row r="978" spans="6:7" ht="13.2">
      <c r="F978" s="94"/>
      <c r="G978" s="50"/>
    </row>
    <row r="979" spans="6:7" ht="13.2">
      <c r="F979" s="94"/>
      <c r="G979" s="50"/>
    </row>
    <row r="980" spans="6:7" ht="13.2">
      <c r="F980" s="94"/>
      <c r="G980" s="50"/>
    </row>
    <row r="981" spans="6:7" ht="13.2">
      <c r="F981" s="94"/>
      <c r="G981" s="50"/>
    </row>
    <row r="982" spans="6:7" ht="13.2">
      <c r="F982" s="94"/>
      <c r="G982" s="50"/>
    </row>
    <row r="983" spans="6:7" ht="13.2">
      <c r="F983" s="94"/>
      <c r="G983" s="50"/>
    </row>
    <row r="984" spans="6:7" ht="13.2">
      <c r="F984" s="94"/>
      <c r="G984" s="50"/>
    </row>
    <row r="985" spans="6:7" ht="13.2">
      <c r="F985" s="94"/>
      <c r="G985" s="50"/>
    </row>
    <row r="986" spans="6:7" ht="13.2">
      <c r="F986" s="94"/>
      <c r="G986" s="50"/>
    </row>
    <row r="987" spans="6:7" ht="13.2">
      <c r="F987" s="94"/>
      <c r="G987" s="50"/>
    </row>
    <row r="988" spans="6:7" ht="13.2">
      <c r="F988" s="94"/>
      <c r="G988" s="50"/>
    </row>
    <row r="989" spans="6:7" ht="13.2">
      <c r="F989" s="94"/>
      <c r="G989" s="50"/>
    </row>
    <row r="990" spans="6:7" ht="13.2">
      <c r="F990" s="94"/>
      <c r="G990" s="50"/>
    </row>
    <row r="991" spans="6:7" ht="13.2">
      <c r="F991" s="94"/>
      <c r="G991" s="50"/>
    </row>
    <row r="992" spans="6:7" ht="13.2">
      <c r="F992" s="94"/>
      <c r="G992" s="50"/>
    </row>
    <row r="993" spans="6:7" ht="13.2">
      <c r="F993" s="94"/>
      <c r="G993" s="50"/>
    </row>
    <row r="994" spans="6:7" ht="13.2">
      <c r="F994" s="94"/>
      <c r="G994" s="50"/>
    </row>
    <row r="995" spans="6:7" ht="13.2">
      <c r="F995" s="94"/>
      <c r="G995" s="50"/>
    </row>
    <row r="996" spans="6:7" ht="13.2">
      <c r="F996" s="94"/>
      <c r="G996" s="50"/>
    </row>
    <row r="997" spans="6:7" ht="13.2">
      <c r="F997" s="94"/>
      <c r="G997" s="50"/>
    </row>
    <row r="998" spans="6:7" ht="13.2">
      <c r="F998" s="94"/>
      <c r="G998" s="50"/>
    </row>
    <row r="999" spans="6:7" ht="13.2">
      <c r="F999" s="94"/>
      <c r="G999" s="50"/>
    </row>
    <row r="1000" spans="6:7" ht="13.2">
      <c r="F1000" s="94"/>
      <c r="G1000" s="50"/>
    </row>
  </sheetData>
  <autoFilter ref="A1:Y10" xr:uid="{00000000-0009-0000-0000-000038000000}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>
      <c r="A2" s="336">
        <v>544481</v>
      </c>
      <c r="B2" s="336" t="s">
        <v>2239</v>
      </c>
      <c r="C2" s="6" t="e">
        <f>VLOOKUP(A2,'BSE ALL CAP'!$B$4:$Y$1038,2,)</f>
        <v>#N/A</v>
      </c>
      <c r="D2" s="6" t="e">
        <f>VLOOKUP(A2,'BSE ALL CAP'!$B$4:$Y$1038,3,)</f>
        <v>#N/A</v>
      </c>
      <c r="E2" s="336">
        <f ca="1">IFERROR(__xludf.DUMMYFUNCTION("GOOGLEFINANCE(""BOM:""&amp;A2,""PRICE"")"),114.5)</f>
        <v>114.5</v>
      </c>
      <c r="F2" s="112">
        <f ca="1">IFERROR(__xludf.DUMMYFUNCTION("GOOGLEFINANCE(""BOM:""&amp;A2,""MARKETCAP"")/10000000"),50760.38045)</f>
        <v>50760.380449999997</v>
      </c>
      <c r="G2" s="95">
        <f t="shared" ref="G2:G8" ca="1" si="0">F2/$F$10</f>
        <v>0.29948023717832106</v>
      </c>
      <c r="H2" s="101" t="e">
        <f>VLOOKUP(A2,'BSE ALL CAP'!$B$4:$Y$1038,7,)</f>
        <v>#N/A</v>
      </c>
      <c r="I2" s="101" t="e">
        <f>VLOOKUP(A2,'BSE ALL CAP'!$B$4:$Y$1038,8,)</f>
        <v>#N/A</v>
      </c>
      <c r="J2" s="101" t="e">
        <f>VLOOKUP(A2,'BSE ALL CAP'!$B$4:$Y$1038,9,)</f>
        <v>#N/A</v>
      </c>
      <c r="K2" s="101" t="e">
        <f>VLOOKUP(A2,'BSE ALL CAP'!$B$4:$Y$1038,10,)</f>
        <v>#N/A</v>
      </c>
      <c r="L2" s="101" t="e">
        <f>VLOOKUP(A2,'BSE ALL CAP'!$B$4:$Y$1038,11,)</f>
        <v>#N/A</v>
      </c>
      <c r="M2" s="101" t="e">
        <f>VLOOKUP(A2,'BSE ALL CAP'!$B$4:$Y$1038,12,)</f>
        <v>#N/A</v>
      </c>
      <c r="N2" s="101" t="e">
        <f>VLOOKUP(A2,'BSE ALL CAP'!$B$4:$Y$1038,13,)</f>
        <v>#N/A</v>
      </c>
      <c r="O2" s="101" t="e">
        <f>VLOOKUP(A2,'BSE ALL CAP'!$B$4:$Y$1038,14,)</f>
        <v>#N/A</v>
      </c>
      <c r="P2" s="101" t="e">
        <f>VLOOKUP(A2,'BSE ALL CAP'!$B$4:$Y$1038,15,)</f>
        <v>#N/A</v>
      </c>
      <c r="Q2" s="101" t="e">
        <f>VLOOKUP(A2,'BSE ALL CAP'!$B$4:$Y$1038,16,)</f>
        <v>#N/A</v>
      </c>
      <c r="R2" s="101" t="e">
        <f>VLOOKUP(A2,'BSE ALL CAP'!$B$4:$Y$1038,17,)</f>
        <v>#N/A</v>
      </c>
      <c r="S2" s="101" t="e">
        <f>VLOOKUP(A2,'BSE ALL CAP'!$B$4:$Y$1038,18,)</f>
        <v>#N/A</v>
      </c>
      <c r="T2" s="101" t="e">
        <f>VLOOKUP(A2,'BSE ALL CAP'!$B$4:$Y$1038,19,)</f>
        <v>#N/A</v>
      </c>
      <c r="U2" s="101" t="e">
        <f>VLOOKUP(A2,'BSE ALL CAP'!$B$4:$Y$1038,20,)</f>
        <v>#N/A</v>
      </c>
      <c r="V2" s="101" t="e">
        <f>VLOOKUP(A2,'BSE ALL CAP'!$B$4:$Y$1038,21,)</f>
        <v>#N/A</v>
      </c>
      <c r="W2" s="101" t="e">
        <f>VLOOKUP(A2,'BSE ALL CAP'!$B$4:$Y$1038,22,)</f>
        <v>#N/A</v>
      </c>
      <c r="X2" s="101" t="e">
        <f>VLOOKUP(A2,'BSE ALL CAP'!$B$4:$Y$1038,23,)</f>
        <v>#N/A</v>
      </c>
      <c r="Y2" s="101" t="e">
        <f>VLOOKUP(A2,'BSE ALL CAP'!$B$4:$Y$1038,24,)</f>
        <v>#N/A</v>
      </c>
    </row>
    <row r="3" spans="1:25">
      <c r="A3" s="336">
        <v>542602</v>
      </c>
      <c r="B3" s="336" t="s">
        <v>2240</v>
      </c>
      <c r="C3" s="6" t="e">
        <f>VLOOKUP(A3,'BSE ALL CAP'!$B$4:$Y$1038,2,)</f>
        <v>#N/A</v>
      </c>
      <c r="D3" s="6" t="e">
        <f>VLOOKUP(A3,'BSE ALL CAP'!$B$4:$Y$1038,3,)</f>
        <v>#N/A</v>
      </c>
      <c r="E3" s="336">
        <f ca="1">IFERROR(__xludf.DUMMYFUNCTION("GOOGLEFINANCE(""BOM:""&amp;A3,""PRICE"")"),430.54)</f>
        <v>430.54</v>
      </c>
      <c r="F3" s="112">
        <f ca="1">IFERROR(__xludf.DUMMYFUNCTION("GOOGLEFINANCE(""BOM:""&amp;A3,""MARKETCAP"")/10000000"),40815.365026)</f>
        <v>40815.365025999999</v>
      </c>
      <c r="G3" s="95">
        <f t="shared" ca="1" si="0"/>
        <v>0.24080582316648555</v>
      </c>
      <c r="H3" s="101" t="e">
        <f>VLOOKUP(A3,'BSE ALL CAP'!$B$4:$Y$1038,7,)</f>
        <v>#N/A</v>
      </c>
      <c r="I3" s="101" t="e">
        <f>VLOOKUP(A3,'BSE ALL CAP'!$B$4:$Y$1038,8,)</f>
        <v>#N/A</v>
      </c>
      <c r="J3" s="101" t="e">
        <f>VLOOKUP(A3,'BSE ALL CAP'!$B$4:$Y$1038,9,)</f>
        <v>#N/A</v>
      </c>
      <c r="K3" s="101" t="e">
        <f>VLOOKUP(A3,'BSE ALL CAP'!$B$4:$Y$1038,10,)</f>
        <v>#N/A</v>
      </c>
      <c r="L3" s="101" t="e">
        <f>VLOOKUP(A3,'BSE ALL CAP'!$B$4:$Y$1038,11,)</f>
        <v>#N/A</v>
      </c>
      <c r="M3" s="101" t="e">
        <f>VLOOKUP(A3,'BSE ALL CAP'!$B$4:$Y$1038,12,)</f>
        <v>#N/A</v>
      </c>
      <c r="N3" s="101" t="e">
        <f>VLOOKUP(A3,'BSE ALL CAP'!$B$4:$Y$1038,13,)</f>
        <v>#N/A</v>
      </c>
      <c r="O3" s="101" t="e">
        <f>VLOOKUP(A3,'BSE ALL CAP'!$B$4:$Y$1038,14,)</f>
        <v>#N/A</v>
      </c>
      <c r="P3" s="101" t="e">
        <f>VLOOKUP(A3,'BSE ALL CAP'!$B$4:$Y$1038,15,)</f>
        <v>#N/A</v>
      </c>
      <c r="Q3" s="101" t="e">
        <f>VLOOKUP(A3,'BSE ALL CAP'!$B$4:$Y$1038,16,)</f>
        <v>#N/A</v>
      </c>
      <c r="R3" s="101" t="e">
        <f>VLOOKUP(A3,'BSE ALL CAP'!$B$4:$Y$1038,17,)</f>
        <v>#N/A</v>
      </c>
      <c r="S3" s="101" t="e">
        <f>VLOOKUP(A3,'BSE ALL CAP'!$B$4:$Y$1038,18,)</f>
        <v>#N/A</v>
      </c>
      <c r="T3" s="101" t="e">
        <f>VLOOKUP(A3,'BSE ALL CAP'!$B$4:$Y$1038,19,)</f>
        <v>#N/A</v>
      </c>
      <c r="U3" s="101" t="e">
        <f>VLOOKUP(A3,'BSE ALL CAP'!$B$4:$Y$1038,20,)</f>
        <v>#N/A</v>
      </c>
      <c r="V3" s="101" t="e">
        <f>VLOOKUP(A3,'BSE ALL CAP'!$B$4:$Y$1038,21,)</f>
        <v>#N/A</v>
      </c>
      <c r="W3" s="101" t="e">
        <f>VLOOKUP(A3,'BSE ALL CAP'!$B$4:$Y$1038,22,)</f>
        <v>#N/A</v>
      </c>
      <c r="X3" s="101" t="e">
        <f>VLOOKUP(A3,'BSE ALL CAP'!$B$4:$Y$1038,23,)</f>
        <v>#N/A</v>
      </c>
      <c r="Y3" s="101" t="e">
        <f>VLOOKUP(A3,'BSE ALL CAP'!$B$4:$Y$1038,24,)</f>
        <v>#N/A</v>
      </c>
    </row>
    <row r="4" spans="1:25">
      <c r="A4" s="336">
        <v>543217</v>
      </c>
      <c r="B4" s="336" t="s">
        <v>2241</v>
      </c>
      <c r="C4" s="6" t="e">
        <f>VLOOKUP(A4,'BSE ALL CAP'!$B$4:$Y$1038,2,)</f>
        <v>#N/A</v>
      </c>
      <c r="D4" s="6" t="e">
        <f>VLOOKUP(A4,'BSE ALL CAP'!$B$4:$Y$1038,3,)</f>
        <v>#N/A</v>
      </c>
      <c r="E4" s="336">
        <f ca="1">IFERROR(__xludf.DUMMYFUNCTION("GOOGLEFINANCE(""BOM:""&amp;A4,""PRICE"")"),462)</f>
        <v>462</v>
      </c>
      <c r="F4" s="112">
        <f ca="1">IFERROR(__xludf.DUMMYFUNCTION("GOOGLEFINANCE(""BOM:""&amp;A4,""MARKETCAP"")/10000000"),30043.4442)</f>
        <v>30043.444200000002</v>
      </c>
      <c r="G4" s="95">
        <f t="shared" ca="1" si="0"/>
        <v>0.17725276514687066</v>
      </c>
      <c r="H4" s="101" t="e">
        <f>VLOOKUP(A4,'BSE ALL CAP'!$B$4:$Y$1038,7,)</f>
        <v>#N/A</v>
      </c>
      <c r="I4" s="101" t="e">
        <f>VLOOKUP(A4,'BSE ALL CAP'!$B$4:$Y$1038,8,)</f>
        <v>#N/A</v>
      </c>
      <c r="J4" s="101" t="e">
        <f>VLOOKUP(A4,'BSE ALL CAP'!$B$4:$Y$1038,9,)</f>
        <v>#N/A</v>
      </c>
      <c r="K4" s="101" t="e">
        <f>VLOOKUP(A4,'BSE ALL CAP'!$B$4:$Y$1038,10,)</f>
        <v>#N/A</v>
      </c>
      <c r="L4" s="101" t="e">
        <f>VLOOKUP(A4,'BSE ALL CAP'!$B$4:$Y$1038,11,)</f>
        <v>#N/A</v>
      </c>
      <c r="M4" s="101" t="e">
        <f>VLOOKUP(A4,'BSE ALL CAP'!$B$4:$Y$1038,12,)</f>
        <v>#N/A</v>
      </c>
      <c r="N4" s="101" t="e">
        <f>VLOOKUP(A4,'BSE ALL CAP'!$B$4:$Y$1038,13,)</f>
        <v>#N/A</v>
      </c>
      <c r="O4" s="101" t="e">
        <f>VLOOKUP(A4,'BSE ALL CAP'!$B$4:$Y$1038,14,)</f>
        <v>#N/A</v>
      </c>
      <c r="P4" s="101" t="e">
        <f>VLOOKUP(A4,'BSE ALL CAP'!$B$4:$Y$1038,15,)</f>
        <v>#N/A</v>
      </c>
      <c r="Q4" s="101" t="e">
        <f>VLOOKUP(A4,'BSE ALL CAP'!$B$4:$Y$1038,16,)</f>
        <v>#N/A</v>
      </c>
      <c r="R4" s="101" t="e">
        <f>VLOOKUP(A4,'BSE ALL CAP'!$B$4:$Y$1038,17,)</f>
        <v>#N/A</v>
      </c>
      <c r="S4" s="101" t="e">
        <f>VLOOKUP(A4,'BSE ALL CAP'!$B$4:$Y$1038,18,)</f>
        <v>#N/A</v>
      </c>
      <c r="T4" s="101" t="e">
        <f>VLOOKUP(A4,'BSE ALL CAP'!$B$4:$Y$1038,19,)</f>
        <v>#N/A</v>
      </c>
      <c r="U4" s="101" t="e">
        <f>VLOOKUP(A4,'BSE ALL CAP'!$B$4:$Y$1038,20,)</f>
        <v>#N/A</v>
      </c>
      <c r="V4" s="101" t="e">
        <f>VLOOKUP(A4,'BSE ALL CAP'!$B$4:$Y$1038,21,)</f>
        <v>#N/A</v>
      </c>
      <c r="W4" s="101" t="e">
        <f>VLOOKUP(A4,'BSE ALL CAP'!$B$4:$Y$1038,22,)</f>
        <v>#N/A</v>
      </c>
      <c r="X4" s="101" t="e">
        <f>VLOOKUP(A4,'BSE ALL CAP'!$B$4:$Y$1038,23,)</f>
        <v>#N/A</v>
      </c>
      <c r="Y4" s="101" t="e">
        <f>VLOOKUP(A4,'BSE ALL CAP'!$B$4:$Y$1038,24,)</f>
        <v>#N/A</v>
      </c>
    </row>
    <row r="5" spans="1:25">
      <c r="A5" s="336">
        <v>543261</v>
      </c>
      <c r="B5" s="336" t="s">
        <v>2242</v>
      </c>
      <c r="C5" s="6" t="e">
        <f>VLOOKUP(A5,'BSE ALL CAP'!$B$4:$Y$1038,2,)</f>
        <v>#N/A</v>
      </c>
      <c r="D5" s="6" t="e">
        <f>VLOOKUP(A5,'BSE ALL CAP'!$B$4:$Y$1038,3,)</f>
        <v>#N/A</v>
      </c>
      <c r="E5" s="336">
        <f ca="1">IFERROR(__xludf.DUMMYFUNCTION("GOOGLEFINANCE(""BOM:""&amp;A5,""PRICE"")"),319.67)</f>
        <v>319.67</v>
      </c>
      <c r="F5" s="112">
        <f ca="1">IFERROR(__xludf.DUMMYFUNCTION("GOOGLEFINANCE(""BOM:""&amp;A5,""MARKETCAP"")/10000000"),23933.9240677)</f>
        <v>23933.924067700002</v>
      </c>
      <c r="G5" s="95">
        <f t="shared" ca="1" si="0"/>
        <v>0.14120731942628148</v>
      </c>
      <c r="H5" s="101" t="e">
        <f>VLOOKUP(A5,'BSE ALL CAP'!$B$4:$Y$1038,7,)</f>
        <v>#N/A</v>
      </c>
      <c r="I5" s="101" t="e">
        <f>VLOOKUP(A5,'BSE ALL CAP'!$B$4:$Y$1038,8,)</f>
        <v>#N/A</v>
      </c>
      <c r="J5" s="101" t="e">
        <f>VLOOKUP(A5,'BSE ALL CAP'!$B$4:$Y$1038,9,)</f>
        <v>#N/A</v>
      </c>
      <c r="K5" s="101" t="e">
        <f>VLOOKUP(A5,'BSE ALL CAP'!$B$4:$Y$1038,10,)</f>
        <v>#N/A</v>
      </c>
      <c r="L5" s="101" t="e">
        <f>VLOOKUP(A5,'BSE ALL CAP'!$B$4:$Y$1038,11,)</f>
        <v>#N/A</v>
      </c>
      <c r="M5" s="101" t="e">
        <f>VLOOKUP(A5,'BSE ALL CAP'!$B$4:$Y$1038,12,)</f>
        <v>#N/A</v>
      </c>
      <c r="N5" s="101" t="e">
        <f>VLOOKUP(A5,'BSE ALL CAP'!$B$4:$Y$1038,13,)</f>
        <v>#N/A</v>
      </c>
      <c r="O5" s="101" t="e">
        <f>VLOOKUP(A5,'BSE ALL CAP'!$B$4:$Y$1038,14,)</f>
        <v>#N/A</v>
      </c>
      <c r="P5" s="101" t="e">
        <f>VLOOKUP(A5,'BSE ALL CAP'!$B$4:$Y$1038,15,)</f>
        <v>#N/A</v>
      </c>
      <c r="Q5" s="101" t="e">
        <f>VLOOKUP(A5,'BSE ALL CAP'!$B$4:$Y$1038,16,)</f>
        <v>#N/A</v>
      </c>
      <c r="R5" s="101" t="e">
        <f>VLOOKUP(A5,'BSE ALL CAP'!$B$4:$Y$1038,17,)</f>
        <v>#N/A</v>
      </c>
      <c r="S5" s="101" t="e">
        <f>VLOOKUP(A5,'BSE ALL CAP'!$B$4:$Y$1038,18,)</f>
        <v>#N/A</v>
      </c>
      <c r="T5" s="101" t="e">
        <f>VLOOKUP(A5,'BSE ALL CAP'!$B$4:$Y$1038,19,)</f>
        <v>#N/A</v>
      </c>
      <c r="U5" s="101" t="e">
        <f>VLOOKUP(A5,'BSE ALL CAP'!$B$4:$Y$1038,20,)</f>
        <v>#N/A</v>
      </c>
      <c r="V5" s="101" t="e">
        <f>VLOOKUP(A5,'BSE ALL CAP'!$B$4:$Y$1038,21,)</f>
        <v>#N/A</v>
      </c>
      <c r="W5" s="101" t="e">
        <f>VLOOKUP(A5,'BSE ALL CAP'!$B$4:$Y$1038,22,)</f>
        <v>#N/A</v>
      </c>
      <c r="X5" s="101" t="e">
        <f>VLOOKUP(A5,'BSE ALL CAP'!$B$4:$Y$1038,23,)</f>
        <v>#N/A</v>
      </c>
      <c r="Y5" s="101" t="e">
        <f>VLOOKUP(A5,'BSE ALL CAP'!$B$4:$Y$1038,24,)</f>
        <v>#N/A</v>
      </c>
    </row>
    <row r="6" spans="1:25">
      <c r="A6" s="336">
        <v>543913</v>
      </c>
      <c r="B6" s="336" t="s">
        <v>2243</v>
      </c>
      <c r="C6" s="6" t="e">
        <f>VLOOKUP(A6,'BSE ALL CAP'!$B$4:$Y$1038,2,)</f>
        <v>#N/A</v>
      </c>
      <c r="D6" s="6" t="e">
        <f>VLOOKUP(A6,'BSE ALL CAP'!$B$4:$Y$1038,3,)</f>
        <v>#N/A</v>
      </c>
      <c r="E6" s="336">
        <f ca="1">IFERROR(__xludf.DUMMYFUNCTION("GOOGLEFINANCE(""BOM:""&amp;A6,""PRICE"")"),152.78)</f>
        <v>152.78</v>
      </c>
      <c r="F6" s="112">
        <f ca="1">IFERROR(__xludf.DUMMYFUNCTION("GOOGLEFINANCE(""BOM:""&amp;A6,""MARKETCAP"")/10000000"),23126.2320252)</f>
        <v>23126.232025199999</v>
      </c>
      <c r="G6" s="95">
        <f t="shared" ca="1" si="0"/>
        <v>0.13644203196565641</v>
      </c>
      <c r="H6" s="101" t="e">
        <f>VLOOKUP(A6,'BSE ALL CAP'!$B$4:$Y$1038,7,)</f>
        <v>#N/A</v>
      </c>
      <c r="I6" s="101" t="e">
        <f>VLOOKUP(A6,'BSE ALL CAP'!$B$4:$Y$1038,8,)</f>
        <v>#N/A</v>
      </c>
      <c r="J6" s="101" t="e">
        <f>VLOOKUP(A6,'BSE ALL CAP'!$B$4:$Y$1038,9,)</f>
        <v>#N/A</v>
      </c>
      <c r="K6" s="101" t="e">
        <f>VLOOKUP(A6,'BSE ALL CAP'!$B$4:$Y$1038,10,)</f>
        <v>#N/A</v>
      </c>
      <c r="L6" s="101" t="e">
        <f>VLOOKUP(A6,'BSE ALL CAP'!$B$4:$Y$1038,11,)</f>
        <v>#N/A</v>
      </c>
      <c r="M6" s="101" t="e">
        <f>VLOOKUP(A6,'BSE ALL CAP'!$B$4:$Y$1038,12,)</f>
        <v>#N/A</v>
      </c>
      <c r="N6" s="101" t="e">
        <f>VLOOKUP(A6,'BSE ALL CAP'!$B$4:$Y$1038,13,)</f>
        <v>#N/A</v>
      </c>
      <c r="O6" s="101" t="e">
        <f>VLOOKUP(A6,'BSE ALL CAP'!$B$4:$Y$1038,14,)</f>
        <v>#N/A</v>
      </c>
      <c r="P6" s="101" t="e">
        <f>VLOOKUP(A6,'BSE ALL CAP'!$B$4:$Y$1038,15,)</f>
        <v>#N/A</v>
      </c>
      <c r="Q6" s="101" t="e">
        <f>VLOOKUP(A6,'BSE ALL CAP'!$B$4:$Y$1038,16,)</f>
        <v>#N/A</v>
      </c>
      <c r="R6" s="101" t="e">
        <f>VLOOKUP(A6,'BSE ALL CAP'!$B$4:$Y$1038,17,)</f>
        <v>#N/A</v>
      </c>
      <c r="S6" s="101" t="e">
        <f>VLOOKUP(A6,'BSE ALL CAP'!$B$4:$Y$1038,18,)</f>
        <v>#N/A</v>
      </c>
      <c r="T6" s="101" t="e">
        <f>VLOOKUP(A6,'BSE ALL CAP'!$B$4:$Y$1038,19,)</f>
        <v>#N/A</v>
      </c>
      <c r="U6" s="101" t="e">
        <f>VLOOKUP(A6,'BSE ALL CAP'!$B$4:$Y$1038,20,)</f>
        <v>#N/A</v>
      </c>
      <c r="V6" s="101" t="e">
        <f>VLOOKUP(A6,'BSE ALL CAP'!$B$4:$Y$1038,21,)</f>
        <v>#N/A</v>
      </c>
      <c r="W6" s="101" t="e">
        <f>VLOOKUP(A6,'BSE ALL CAP'!$B$4:$Y$1038,22,)</f>
        <v>#N/A</v>
      </c>
      <c r="X6" s="101" t="e">
        <f>VLOOKUP(A6,'BSE ALL CAP'!$B$4:$Y$1038,23,)</f>
        <v>#N/A</v>
      </c>
      <c r="Y6" s="101" t="e">
        <f>VLOOKUP(A6,'BSE ALL CAP'!$B$4:$Y$1038,24,)</f>
        <v>#N/A</v>
      </c>
    </row>
    <row r="7" spans="1:25">
      <c r="A7" s="336">
        <v>544462</v>
      </c>
      <c r="B7" s="336" t="s">
        <v>2244</v>
      </c>
      <c r="C7" s="6" t="e">
        <f>VLOOKUP(A7,'BSE ALL CAP'!$B$4:$Y$1038,2,)</f>
        <v>#N/A</v>
      </c>
      <c r="D7" s="6" t="e">
        <f>VLOOKUP(A7,'BSE ALL CAP'!$B$4:$Y$1038,3,)</f>
        <v>#N/A</v>
      </c>
      <c r="E7" s="336">
        <f ca="1">IFERROR(__xludf.DUMMYFUNCTION("GOOGLEFINANCE(""BOM:""&amp;A7,""PRICE"")"),1055000)</f>
        <v>1055000</v>
      </c>
      <c r="F7" s="112">
        <f ca="1">IFERROR(__xludf.DUMMYFUNCTION("GOOGLEFINANCE(""BOM:""&amp;A7,""MARKETCAP"")/10000000"),470.741)</f>
        <v>470.74099999999999</v>
      </c>
      <c r="G7" s="95">
        <f t="shared" ca="1" si="0"/>
        <v>2.7773161879357041E-3</v>
      </c>
      <c r="H7" s="101" t="e">
        <f>VLOOKUP(A7,'BSE ALL CAP'!$B$4:$Y$1038,7,)</f>
        <v>#N/A</v>
      </c>
      <c r="I7" s="101" t="e">
        <f>VLOOKUP(A7,'BSE ALL CAP'!$B$4:$Y$1038,8,)</f>
        <v>#N/A</v>
      </c>
      <c r="J7" s="101" t="e">
        <f>VLOOKUP(A7,'BSE ALL CAP'!$B$4:$Y$1038,9,)</f>
        <v>#N/A</v>
      </c>
      <c r="K7" s="101" t="e">
        <f>VLOOKUP(A7,'BSE ALL CAP'!$B$4:$Y$1038,10,)</f>
        <v>#N/A</v>
      </c>
      <c r="L7" s="101" t="e">
        <f>VLOOKUP(A7,'BSE ALL CAP'!$B$4:$Y$1038,11,)</f>
        <v>#N/A</v>
      </c>
      <c r="M7" s="101" t="e">
        <f>VLOOKUP(A7,'BSE ALL CAP'!$B$4:$Y$1038,12,)</f>
        <v>#N/A</v>
      </c>
      <c r="N7" s="101" t="e">
        <f>VLOOKUP(A7,'BSE ALL CAP'!$B$4:$Y$1038,13,)</f>
        <v>#N/A</v>
      </c>
      <c r="O7" s="101" t="e">
        <f>VLOOKUP(A7,'BSE ALL CAP'!$B$4:$Y$1038,14,)</f>
        <v>#N/A</v>
      </c>
      <c r="P7" s="101" t="e">
        <f>VLOOKUP(A7,'BSE ALL CAP'!$B$4:$Y$1038,15,)</f>
        <v>#N/A</v>
      </c>
      <c r="Q7" s="101" t="e">
        <f>VLOOKUP(A7,'BSE ALL CAP'!$B$4:$Y$1038,16,)</f>
        <v>#N/A</v>
      </c>
      <c r="R7" s="101" t="e">
        <f>VLOOKUP(A7,'BSE ALL CAP'!$B$4:$Y$1038,17,)</f>
        <v>#N/A</v>
      </c>
      <c r="S7" s="101" t="e">
        <f>VLOOKUP(A7,'BSE ALL CAP'!$B$4:$Y$1038,18,)</f>
        <v>#N/A</v>
      </c>
      <c r="T7" s="101" t="e">
        <f>VLOOKUP(A7,'BSE ALL CAP'!$B$4:$Y$1038,19,)</f>
        <v>#N/A</v>
      </c>
      <c r="U7" s="101" t="e">
        <f>VLOOKUP(A7,'BSE ALL CAP'!$B$4:$Y$1038,20,)</f>
        <v>#N/A</v>
      </c>
      <c r="V7" s="101" t="e">
        <f>VLOOKUP(A7,'BSE ALL CAP'!$B$4:$Y$1038,21,)</f>
        <v>#N/A</v>
      </c>
      <c r="W7" s="101" t="e">
        <f>VLOOKUP(A7,'BSE ALL CAP'!$B$4:$Y$1038,22,)</f>
        <v>#N/A</v>
      </c>
      <c r="X7" s="101" t="e">
        <f>VLOOKUP(A7,'BSE ALL CAP'!$B$4:$Y$1038,23,)</f>
        <v>#N/A</v>
      </c>
      <c r="Y7" s="101" t="e">
        <f>VLOOKUP(A7,'BSE ALL CAP'!$B$4:$Y$1038,24,)</f>
        <v>#N/A</v>
      </c>
    </row>
    <row r="8" spans="1:25">
      <c r="A8" s="336">
        <v>544295</v>
      </c>
      <c r="B8" s="336" t="s">
        <v>2245</v>
      </c>
      <c r="C8" s="6" t="e">
        <f>VLOOKUP(A8,'BSE ALL CAP'!$B$4:$Y$1038,2,)</f>
        <v>#N/A</v>
      </c>
      <c r="D8" s="6" t="e">
        <f>VLOOKUP(A8,'BSE ALL CAP'!$B$4:$Y$1038,3,)</f>
        <v>#N/A</v>
      </c>
      <c r="E8" s="336">
        <f ca="1">IFERROR(__xludf.DUMMYFUNCTION("GOOGLEFINANCE(""BOM:""&amp;A8,""PRICE"")"),1026000)</f>
        <v>1026000</v>
      </c>
      <c r="F8" s="112">
        <f ca="1">IFERROR(__xludf.DUMMYFUNCTION("GOOGLEFINANCE(""BOM:""&amp;A8,""MARKETCAP"")/10000000"),344.8386)</f>
        <v>344.83859999999999</v>
      </c>
      <c r="G8" s="95">
        <f t="shared" ca="1" si="0"/>
        <v>2.034506928449158E-3</v>
      </c>
      <c r="H8" s="101" t="e">
        <f>VLOOKUP(A8,'BSE ALL CAP'!$B$4:$Y$1038,7,)</f>
        <v>#N/A</v>
      </c>
      <c r="I8" s="101" t="e">
        <f>VLOOKUP(A8,'BSE ALL CAP'!$B$4:$Y$1038,8,)</f>
        <v>#N/A</v>
      </c>
      <c r="J8" s="101" t="e">
        <f>VLOOKUP(A8,'BSE ALL CAP'!$B$4:$Y$1038,9,)</f>
        <v>#N/A</v>
      </c>
      <c r="K8" s="101" t="e">
        <f>VLOOKUP(A8,'BSE ALL CAP'!$B$4:$Y$1038,10,)</f>
        <v>#N/A</v>
      </c>
      <c r="L8" s="101" t="e">
        <f>VLOOKUP(A8,'BSE ALL CAP'!$B$4:$Y$1038,11,)</f>
        <v>#N/A</v>
      </c>
      <c r="M8" s="101" t="e">
        <f>VLOOKUP(A8,'BSE ALL CAP'!$B$4:$Y$1038,12,)</f>
        <v>#N/A</v>
      </c>
      <c r="N8" s="101" t="e">
        <f>VLOOKUP(A8,'BSE ALL CAP'!$B$4:$Y$1038,13,)</f>
        <v>#N/A</v>
      </c>
      <c r="O8" s="101" t="e">
        <f>VLOOKUP(A8,'BSE ALL CAP'!$B$4:$Y$1038,14,)</f>
        <v>#N/A</v>
      </c>
      <c r="P8" s="101" t="e">
        <f>VLOOKUP(A8,'BSE ALL CAP'!$B$4:$Y$1038,15,)</f>
        <v>#N/A</v>
      </c>
      <c r="Q8" s="101" t="e">
        <f>VLOOKUP(A8,'BSE ALL CAP'!$B$4:$Y$1038,16,)</f>
        <v>#N/A</v>
      </c>
      <c r="R8" s="101" t="e">
        <f>VLOOKUP(A8,'BSE ALL CAP'!$B$4:$Y$1038,17,)</f>
        <v>#N/A</v>
      </c>
      <c r="S8" s="101" t="e">
        <f>VLOOKUP(A8,'BSE ALL CAP'!$B$4:$Y$1038,18,)</f>
        <v>#N/A</v>
      </c>
      <c r="T8" s="101" t="e">
        <f>VLOOKUP(A8,'BSE ALL CAP'!$B$4:$Y$1038,19,)</f>
        <v>#N/A</v>
      </c>
      <c r="U8" s="101" t="e">
        <f>VLOOKUP(A8,'BSE ALL CAP'!$B$4:$Y$1038,20,)</f>
        <v>#N/A</v>
      </c>
      <c r="V8" s="101" t="e">
        <f>VLOOKUP(A8,'BSE ALL CAP'!$B$4:$Y$1038,21,)</f>
        <v>#N/A</v>
      </c>
      <c r="W8" s="101" t="e">
        <f>VLOOKUP(A8,'BSE ALL CAP'!$B$4:$Y$1038,22,)</f>
        <v>#N/A</v>
      </c>
      <c r="X8" s="101" t="e">
        <f>VLOOKUP(A8,'BSE ALL CAP'!$B$4:$Y$1038,23,)</f>
        <v>#N/A</v>
      </c>
      <c r="Y8" s="101" t="e">
        <f>VLOOKUP(A8,'BSE ALL CAP'!$B$4:$Y$1038,24,)</f>
        <v>#N/A</v>
      </c>
    </row>
    <row r="9" spans="1:25">
      <c r="A9" s="336"/>
      <c r="B9" s="336"/>
      <c r="C9" s="336"/>
      <c r="D9" s="336"/>
      <c r="E9" s="101"/>
      <c r="F9" s="112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>
      <c r="A10" s="101"/>
      <c r="B10" s="101"/>
      <c r="C10" s="101"/>
      <c r="D10" s="101"/>
      <c r="E10" s="101"/>
      <c r="F10" s="112">
        <f t="shared" ref="F10:G10" ca="1" si="1">SUM(F2:F8)</f>
        <v>169494.9253689</v>
      </c>
      <c r="G10" s="95">
        <f t="shared" ca="1" si="1"/>
        <v>1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8" xr:uid="{00000000-0009-0000-0000-000039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O1518"/>
  <sheetViews>
    <sheetView showGridLines="0" workbookViewId="0">
      <selection activeCell="G14" sqref="G14"/>
    </sheetView>
  </sheetViews>
  <sheetFormatPr defaultColWidth="12.6640625" defaultRowHeight="15.75" customHeight="1"/>
  <cols>
    <col min="1" max="1" width="23.6640625" customWidth="1"/>
    <col min="2" max="2" width="18.88671875" customWidth="1"/>
    <col min="3" max="3" width="14.109375" customWidth="1"/>
    <col min="4" max="4" width="14.44140625" customWidth="1"/>
    <col min="5" max="5" width="14.88671875" customWidth="1"/>
    <col min="6" max="6" width="14.77734375" customWidth="1"/>
    <col min="7" max="7" width="20.88671875" customWidth="1"/>
    <col min="8" max="8" width="18.44140625" customWidth="1"/>
    <col min="9" max="9" width="14.109375" customWidth="1"/>
    <col min="10" max="11" width="17.77734375" customWidth="1"/>
    <col min="12" max="12" width="15.6640625" customWidth="1"/>
    <col min="13" max="13" width="14.21875" customWidth="1"/>
  </cols>
  <sheetData>
    <row r="1" spans="1:13">
      <c r="A1" s="362"/>
      <c r="B1" s="363" t="s">
        <v>6058</v>
      </c>
      <c r="C1" s="364"/>
      <c r="D1" s="364"/>
      <c r="E1" s="364"/>
      <c r="F1" s="364"/>
      <c r="G1" s="364"/>
      <c r="H1" s="364"/>
      <c r="I1" s="365"/>
      <c r="J1" s="151"/>
      <c r="K1" s="151"/>
      <c r="M1" s="151"/>
    </row>
    <row r="2" spans="1:13">
      <c r="A2" s="363" t="s">
        <v>144</v>
      </c>
      <c r="B2" s="362" t="s">
        <v>1426</v>
      </c>
      <c r="C2" s="366" t="s">
        <v>1490</v>
      </c>
      <c r="D2" s="366" t="s">
        <v>1491</v>
      </c>
      <c r="E2" s="366" t="s">
        <v>1492</v>
      </c>
      <c r="F2" s="366" t="s">
        <v>1427</v>
      </c>
      <c r="G2" s="366" t="s">
        <v>1493</v>
      </c>
      <c r="H2" s="366" t="s">
        <v>1494</v>
      </c>
      <c r="I2" s="367" t="s">
        <v>1495</v>
      </c>
      <c r="J2" s="151"/>
      <c r="K2" s="151"/>
      <c r="M2" s="151"/>
    </row>
    <row r="3" spans="1:13">
      <c r="A3" s="362" t="s">
        <v>196</v>
      </c>
      <c r="B3" s="368">
        <v>1551922</v>
      </c>
      <c r="C3" s="369">
        <v>1398494</v>
      </c>
      <c r="D3" s="369">
        <v>536774</v>
      </c>
      <c r="E3" s="369">
        <v>471191</v>
      </c>
      <c r="F3" s="369">
        <v>128804</v>
      </c>
      <c r="G3" s="369">
        <v>93080</v>
      </c>
      <c r="H3" s="369">
        <v>48845</v>
      </c>
      <c r="I3" s="370">
        <v>33148.879999999997</v>
      </c>
      <c r="J3" s="151"/>
      <c r="K3" s="151"/>
      <c r="M3" s="151"/>
    </row>
    <row r="4" spans="1:13">
      <c r="A4" s="371" t="s">
        <v>187</v>
      </c>
      <c r="B4" s="372">
        <v>2390895</v>
      </c>
      <c r="C4" s="373">
        <v>1906996</v>
      </c>
      <c r="D4" s="373">
        <v>884489</v>
      </c>
      <c r="E4" s="373">
        <v>677120</v>
      </c>
      <c r="F4" s="373">
        <v>121135.95</v>
      </c>
      <c r="G4" s="373">
        <v>104850</v>
      </c>
      <c r="H4" s="373">
        <v>38845.410000000003</v>
      </c>
      <c r="I4" s="374">
        <v>39858.39</v>
      </c>
      <c r="J4" s="151"/>
      <c r="K4" s="151"/>
      <c r="M4" s="151"/>
    </row>
    <row r="5" spans="1:13">
      <c r="A5" s="371" t="s">
        <v>441</v>
      </c>
      <c r="B5" s="372">
        <v>31097</v>
      </c>
      <c r="C5" s="373">
        <v>28749</v>
      </c>
      <c r="D5" s="373">
        <v>10938</v>
      </c>
      <c r="E5" s="373">
        <v>10062</v>
      </c>
      <c r="F5" s="373">
        <v>2317</v>
      </c>
      <c r="G5" s="373">
        <v>2245</v>
      </c>
      <c r="H5" s="373">
        <v>568</v>
      </c>
      <c r="I5" s="374">
        <v>748</v>
      </c>
      <c r="J5" s="151"/>
      <c r="K5" s="151"/>
      <c r="M5" s="151"/>
    </row>
    <row r="6" spans="1:13">
      <c r="A6" s="371" t="s">
        <v>91</v>
      </c>
      <c r="B6" s="372">
        <v>3152041</v>
      </c>
      <c r="C6" s="373">
        <v>3049989</v>
      </c>
      <c r="D6" s="373">
        <v>1098588</v>
      </c>
      <c r="E6" s="373">
        <v>1037293</v>
      </c>
      <c r="F6" s="373">
        <v>212563.49</v>
      </c>
      <c r="G6" s="373">
        <v>153005.07</v>
      </c>
      <c r="H6" s="373">
        <v>74229.22</v>
      </c>
      <c r="I6" s="374">
        <v>55484.91</v>
      </c>
      <c r="J6" s="151"/>
      <c r="K6" s="151"/>
      <c r="M6" s="151"/>
    </row>
    <row r="7" spans="1:13">
      <c r="A7" s="371" t="s">
        <v>183</v>
      </c>
      <c r="B7" s="372">
        <v>554390</v>
      </c>
      <c r="C7" s="373">
        <v>500361</v>
      </c>
      <c r="D7" s="373">
        <v>189662</v>
      </c>
      <c r="E7" s="373">
        <v>171681</v>
      </c>
      <c r="F7" s="373">
        <v>53589</v>
      </c>
      <c r="G7" s="373">
        <v>50091</v>
      </c>
      <c r="H7" s="373">
        <v>21471.85</v>
      </c>
      <c r="I7" s="374">
        <v>15868.72</v>
      </c>
      <c r="J7" s="151"/>
      <c r="K7" s="151"/>
      <c r="M7" s="151"/>
    </row>
    <row r="8" spans="1:13">
      <c r="A8" s="371" t="s">
        <v>172</v>
      </c>
      <c r="B8" s="372">
        <v>4247814</v>
      </c>
      <c r="C8" s="373">
        <v>3896711</v>
      </c>
      <c r="D8" s="373">
        <v>1456774</v>
      </c>
      <c r="E8" s="373">
        <v>1263901</v>
      </c>
      <c r="F8" s="373">
        <v>517339</v>
      </c>
      <c r="G8" s="373">
        <v>480054</v>
      </c>
      <c r="H8" s="373">
        <v>178938</v>
      </c>
      <c r="I8" s="374">
        <v>162518.54999999999</v>
      </c>
      <c r="J8" s="151"/>
      <c r="K8" s="151"/>
      <c r="M8" s="151"/>
    </row>
    <row r="9" spans="1:13">
      <c r="A9" s="371" t="s">
        <v>190</v>
      </c>
      <c r="B9" s="372">
        <v>387976</v>
      </c>
      <c r="C9" s="373">
        <v>345567</v>
      </c>
      <c r="D9" s="373">
        <v>133414</v>
      </c>
      <c r="E9" s="373">
        <v>118206</v>
      </c>
      <c r="F9" s="373">
        <v>52542</v>
      </c>
      <c r="G9" s="373">
        <v>53450.58</v>
      </c>
      <c r="H9" s="373">
        <v>16679</v>
      </c>
      <c r="I9" s="374">
        <v>17198.61</v>
      </c>
      <c r="J9" s="151"/>
      <c r="K9" s="151"/>
      <c r="M9" s="151"/>
    </row>
    <row r="10" spans="1:13">
      <c r="A10" s="371" t="s">
        <v>180</v>
      </c>
      <c r="B10" s="372">
        <v>1025084</v>
      </c>
      <c r="C10" s="373">
        <v>890385</v>
      </c>
      <c r="D10" s="373">
        <v>348653</v>
      </c>
      <c r="E10" s="373">
        <v>308865</v>
      </c>
      <c r="F10" s="373">
        <v>91561</v>
      </c>
      <c r="G10" s="373">
        <v>80697.789999999994</v>
      </c>
      <c r="H10" s="373">
        <v>32086.5</v>
      </c>
      <c r="I10" s="374">
        <v>31938.53</v>
      </c>
      <c r="J10" s="151"/>
      <c r="K10" s="151"/>
      <c r="M10" s="151"/>
    </row>
    <row r="11" spans="1:13">
      <c r="A11" s="371" t="s">
        <v>174</v>
      </c>
      <c r="B11" s="372">
        <v>712237</v>
      </c>
      <c r="C11" s="373">
        <v>662855</v>
      </c>
      <c r="D11" s="373">
        <v>241962</v>
      </c>
      <c r="E11" s="373">
        <v>220626</v>
      </c>
      <c r="F11" s="373">
        <v>99826</v>
      </c>
      <c r="G11" s="373">
        <v>98293</v>
      </c>
      <c r="H11" s="373">
        <v>31051</v>
      </c>
      <c r="I11" s="374">
        <v>33680</v>
      </c>
      <c r="J11" s="151"/>
      <c r="K11" s="151"/>
      <c r="M11" s="151"/>
    </row>
    <row r="12" spans="1:13">
      <c r="A12" s="371" t="s">
        <v>384</v>
      </c>
      <c r="B12" s="372">
        <v>1727</v>
      </c>
      <c r="C12" s="373">
        <v>1016</v>
      </c>
      <c r="D12" s="373">
        <v>589</v>
      </c>
      <c r="E12" s="373">
        <v>369</v>
      </c>
      <c r="F12" s="373">
        <v>88</v>
      </c>
      <c r="G12" s="373">
        <v>40</v>
      </c>
      <c r="H12" s="373">
        <v>24</v>
      </c>
      <c r="I12" s="374">
        <v>10</v>
      </c>
      <c r="J12" s="151"/>
      <c r="K12" s="151"/>
      <c r="M12" s="151"/>
    </row>
    <row r="13" spans="1:13">
      <c r="A13" s="371" t="s">
        <v>206</v>
      </c>
      <c r="B13" s="372">
        <v>292822</v>
      </c>
      <c r="C13" s="373">
        <v>257626</v>
      </c>
      <c r="D13" s="373">
        <v>110665.34</v>
      </c>
      <c r="E13" s="373">
        <v>97757.25</v>
      </c>
      <c r="F13" s="373">
        <v>20365</v>
      </c>
      <c r="G13" s="373">
        <v>21289</v>
      </c>
      <c r="H13" s="373">
        <v>7408</v>
      </c>
      <c r="I13" s="374">
        <v>8546.17</v>
      </c>
      <c r="J13" s="151"/>
      <c r="K13" s="151"/>
      <c r="M13" s="151"/>
    </row>
    <row r="14" spans="1:13">
      <c r="A14" s="371" t="s">
        <v>170</v>
      </c>
      <c r="B14" s="372">
        <v>256233</v>
      </c>
      <c r="C14" s="373">
        <v>228126</v>
      </c>
      <c r="D14" s="373">
        <v>88235</v>
      </c>
      <c r="E14" s="373">
        <v>80548</v>
      </c>
      <c r="F14" s="373">
        <v>10628</v>
      </c>
      <c r="G14" s="373">
        <v>12273</v>
      </c>
      <c r="H14" s="373">
        <v>4821</v>
      </c>
      <c r="I14" s="374">
        <v>13204</v>
      </c>
      <c r="J14" s="151"/>
      <c r="K14" s="151"/>
      <c r="M14" s="151"/>
    </row>
    <row r="15" spans="1:13">
      <c r="A15" s="371" t="s">
        <v>198</v>
      </c>
      <c r="B15" s="372">
        <v>429617</v>
      </c>
      <c r="C15" s="373">
        <v>417641</v>
      </c>
      <c r="D15" s="373">
        <v>135879</v>
      </c>
      <c r="E15" s="373">
        <v>132082</v>
      </c>
      <c r="F15" s="373">
        <v>61654</v>
      </c>
      <c r="G15" s="373">
        <v>61718</v>
      </c>
      <c r="H15" s="373">
        <v>17658</v>
      </c>
      <c r="I15" s="374">
        <v>14161</v>
      </c>
      <c r="J15" s="151"/>
      <c r="K15" s="151"/>
      <c r="M15" s="151"/>
    </row>
    <row r="16" spans="1:13">
      <c r="A16" s="375" t="s">
        <v>1428</v>
      </c>
      <c r="B16" s="376">
        <v>15033855</v>
      </c>
      <c r="C16" s="377">
        <v>13584516</v>
      </c>
      <c r="D16" s="377">
        <v>5236622.34</v>
      </c>
      <c r="E16" s="377">
        <v>4589701.25</v>
      </c>
      <c r="F16" s="377">
        <v>1372412.44</v>
      </c>
      <c r="G16" s="377">
        <v>1211086.44</v>
      </c>
      <c r="H16" s="377">
        <v>472624.98</v>
      </c>
      <c r="I16" s="378">
        <v>426365.75999999995</v>
      </c>
      <c r="J16" s="151"/>
      <c r="K16" s="151"/>
      <c r="M16" s="151"/>
    </row>
    <row r="17" spans="1:15">
      <c r="I17" s="150"/>
      <c r="J17" s="151"/>
      <c r="K17" s="151"/>
      <c r="M17" s="151"/>
    </row>
    <row r="18" spans="1:15">
      <c r="I18" s="150"/>
      <c r="J18" s="151"/>
      <c r="K18" s="151"/>
      <c r="M18" s="151"/>
    </row>
    <row r="19" spans="1:15">
      <c r="I19" s="150"/>
      <c r="J19" s="151"/>
      <c r="K19" s="151"/>
      <c r="M19" s="151"/>
    </row>
    <row r="20" spans="1:15">
      <c r="A20" s="152" t="s">
        <v>144</v>
      </c>
      <c r="B20" s="152" t="s">
        <v>1496</v>
      </c>
      <c r="C20" s="152" t="s">
        <v>1497</v>
      </c>
      <c r="D20" s="152" t="s">
        <v>1498</v>
      </c>
      <c r="E20" s="152" t="s">
        <v>154</v>
      </c>
      <c r="F20" s="152" t="s">
        <v>151</v>
      </c>
      <c r="G20" s="152" t="s">
        <v>152</v>
      </c>
      <c r="H20" s="152" t="s">
        <v>1499</v>
      </c>
      <c r="I20" s="152" t="s">
        <v>156</v>
      </c>
      <c r="J20" s="153" t="s">
        <v>1500</v>
      </c>
      <c r="K20" s="154" t="s">
        <v>1501</v>
      </c>
      <c r="L20" s="154" t="s">
        <v>1502</v>
      </c>
      <c r="M20" s="154" t="s">
        <v>1503</v>
      </c>
    </row>
    <row r="21" spans="1:15">
      <c r="A21" s="101" t="s">
        <v>196</v>
      </c>
      <c r="B21" s="101">
        <v>1533485</v>
      </c>
      <c r="C21" s="101">
        <v>1381847</v>
      </c>
      <c r="D21" s="101">
        <v>532071</v>
      </c>
      <c r="E21" s="101">
        <v>467182</v>
      </c>
      <c r="F21" s="112">
        <v>128445</v>
      </c>
      <c r="G21" s="112">
        <v>93318</v>
      </c>
      <c r="H21" s="112">
        <v>48753</v>
      </c>
      <c r="I21" s="112">
        <v>33232.879999999997</v>
      </c>
      <c r="J21" s="155">
        <f t="shared" ref="J21:J33" si="0">(B21/C21)-1</f>
        <v>0.10973573774810097</v>
      </c>
      <c r="K21" s="155">
        <f t="shared" ref="K21:K33" si="1">(F21/G21)-1</f>
        <v>0.37642255513405765</v>
      </c>
      <c r="L21" s="155">
        <f t="shared" ref="L21:L33" si="2">(D21/E21)-1</f>
        <v>0.13889447795505827</v>
      </c>
      <c r="M21" s="155">
        <f t="shared" ref="M21:M33" si="3">(H21/I21)-1</f>
        <v>0.4670109843022936</v>
      </c>
    </row>
    <row r="22" spans="1:15">
      <c r="A22" s="101" t="s">
        <v>187</v>
      </c>
      <c r="B22" s="101">
        <v>2381851</v>
      </c>
      <c r="C22" s="101">
        <v>1899407</v>
      </c>
      <c r="D22" s="101">
        <v>881959</v>
      </c>
      <c r="E22" s="101">
        <v>675198</v>
      </c>
      <c r="F22" s="112">
        <v>196803.95</v>
      </c>
      <c r="G22" s="112">
        <v>123576</v>
      </c>
      <c r="H22" s="112">
        <v>38530.410000000003</v>
      </c>
      <c r="I22" s="112">
        <v>39645.39</v>
      </c>
      <c r="J22" s="155">
        <f t="shared" si="0"/>
        <v>0.25399716858998622</v>
      </c>
      <c r="K22" s="155">
        <f t="shared" si="1"/>
        <v>0.59257420534731664</v>
      </c>
      <c r="L22" s="155">
        <f t="shared" si="2"/>
        <v>0.30622276724753328</v>
      </c>
      <c r="M22" s="155">
        <f t="shared" si="3"/>
        <v>-2.8123824737251835E-2</v>
      </c>
    </row>
    <row r="23" spans="1:15">
      <c r="A23" s="101" t="s">
        <v>441</v>
      </c>
      <c r="B23" s="101">
        <v>31097</v>
      </c>
      <c r="C23" s="101">
        <v>28749</v>
      </c>
      <c r="D23" s="101">
        <v>10938</v>
      </c>
      <c r="E23" s="101">
        <v>10062</v>
      </c>
      <c r="F23" s="112">
        <v>2317</v>
      </c>
      <c r="G23" s="112">
        <v>2245</v>
      </c>
      <c r="H23" s="112">
        <v>568</v>
      </c>
      <c r="I23" s="112">
        <v>748</v>
      </c>
      <c r="J23" s="155">
        <f t="shared" si="0"/>
        <v>8.1672405996730424E-2</v>
      </c>
      <c r="K23" s="155">
        <f t="shared" si="1"/>
        <v>3.207126948775052E-2</v>
      </c>
      <c r="L23" s="155">
        <f t="shared" si="2"/>
        <v>8.7060226595110368E-2</v>
      </c>
      <c r="M23" s="155">
        <f t="shared" si="3"/>
        <v>-0.24064171122994649</v>
      </c>
    </row>
    <row r="24" spans="1:15">
      <c r="A24" s="101" t="s">
        <v>91</v>
      </c>
      <c r="B24" s="101">
        <v>3152041</v>
      </c>
      <c r="C24" s="101">
        <v>3049989</v>
      </c>
      <c r="D24" s="101">
        <v>1098588</v>
      </c>
      <c r="E24" s="101">
        <v>1037293</v>
      </c>
      <c r="F24" s="112">
        <v>212563.49</v>
      </c>
      <c r="G24" s="112">
        <v>153005.07</v>
      </c>
      <c r="H24" s="112">
        <v>74229.22</v>
      </c>
      <c r="I24" s="112">
        <v>55484.91</v>
      </c>
      <c r="J24" s="155">
        <f t="shared" si="0"/>
        <v>3.3459792805810018E-2</v>
      </c>
      <c r="K24" s="155">
        <f t="shared" si="1"/>
        <v>0.38925782001864362</v>
      </c>
      <c r="L24" s="155">
        <f t="shared" si="2"/>
        <v>5.9091307856121711E-2</v>
      </c>
      <c r="M24" s="155">
        <f t="shared" si="3"/>
        <v>0.33782716778309618</v>
      </c>
    </row>
    <row r="25" spans="1:15">
      <c r="A25" s="101" t="s">
        <v>183</v>
      </c>
      <c r="B25" s="101">
        <v>554390</v>
      </c>
      <c r="C25" s="101">
        <v>500361</v>
      </c>
      <c r="D25" s="101">
        <v>189662</v>
      </c>
      <c r="E25" s="101">
        <v>171681</v>
      </c>
      <c r="F25" s="112">
        <v>53589</v>
      </c>
      <c r="G25" s="112">
        <v>50091</v>
      </c>
      <c r="H25" s="112">
        <v>21471.85</v>
      </c>
      <c r="I25" s="112">
        <v>15868.72</v>
      </c>
      <c r="J25" s="155">
        <f t="shared" si="0"/>
        <v>0.10798003841226644</v>
      </c>
      <c r="K25" s="155">
        <f t="shared" si="1"/>
        <v>6.9832904114511596E-2</v>
      </c>
      <c r="L25" s="155">
        <f t="shared" si="2"/>
        <v>0.104734944460948</v>
      </c>
      <c r="M25" s="155">
        <f t="shared" si="3"/>
        <v>0.35309275102213666</v>
      </c>
    </row>
    <row r="26" spans="1:15">
      <c r="A26" s="101" t="s">
        <v>172</v>
      </c>
      <c r="B26" s="101">
        <v>4224163</v>
      </c>
      <c r="C26" s="101">
        <v>3876970</v>
      </c>
      <c r="D26" s="101">
        <v>1448740</v>
      </c>
      <c r="E26" s="101">
        <v>1256445</v>
      </c>
      <c r="F26" s="112">
        <v>513080</v>
      </c>
      <c r="G26" s="112">
        <v>477457</v>
      </c>
      <c r="H26" s="112">
        <v>177439</v>
      </c>
      <c r="I26" s="112">
        <v>161568.54999999999</v>
      </c>
      <c r="J26" s="155">
        <f t="shared" si="0"/>
        <v>8.955266612844559E-2</v>
      </c>
      <c r="K26" s="155">
        <f t="shared" si="1"/>
        <v>7.4609860154945862E-2</v>
      </c>
      <c r="L26" s="155">
        <f t="shared" si="2"/>
        <v>0.15304689023395368</v>
      </c>
      <c r="M26" s="155">
        <f t="shared" si="3"/>
        <v>9.8227346844419916E-2</v>
      </c>
    </row>
    <row r="27" spans="1:15">
      <c r="A27" s="101" t="s">
        <v>190</v>
      </c>
      <c r="B27" s="101">
        <v>387976</v>
      </c>
      <c r="C27" s="101">
        <v>345567</v>
      </c>
      <c r="D27" s="101">
        <v>133414</v>
      </c>
      <c r="E27" s="101">
        <v>118206</v>
      </c>
      <c r="F27" s="112">
        <v>52542</v>
      </c>
      <c r="G27" s="112">
        <v>53450.58</v>
      </c>
      <c r="H27" s="112">
        <v>16679</v>
      </c>
      <c r="I27" s="112">
        <v>17198.61</v>
      </c>
      <c r="J27" s="155">
        <f t="shared" si="0"/>
        <v>0.12272294518863203</v>
      </c>
      <c r="K27" s="155">
        <f t="shared" si="1"/>
        <v>-1.6998505909571082E-2</v>
      </c>
      <c r="L27" s="155">
        <f t="shared" si="2"/>
        <v>0.1286567517723296</v>
      </c>
      <c r="M27" s="155">
        <f t="shared" si="3"/>
        <v>-3.0212325298381693E-2</v>
      </c>
    </row>
    <row r="28" spans="1:15">
      <c r="A28" s="101" t="s">
        <v>180</v>
      </c>
      <c r="B28" s="101">
        <v>1025310</v>
      </c>
      <c r="C28" s="101">
        <v>885674</v>
      </c>
      <c r="D28" s="101">
        <v>348231</v>
      </c>
      <c r="E28" s="101">
        <v>308461</v>
      </c>
      <c r="F28" s="112">
        <v>91454</v>
      </c>
      <c r="G28" s="112">
        <v>79913.789999999994</v>
      </c>
      <c r="H28" s="112">
        <v>31989.5</v>
      </c>
      <c r="I28" s="112">
        <v>31909.53</v>
      </c>
      <c r="J28" s="155">
        <f t="shared" si="0"/>
        <v>0.15766071940691506</v>
      </c>
      <c r="K28" s="155">
        <f t="shared" si="1"/>
        <v>0.14440824293279064</v>
      </c>
      <c r="L28" s="155">
        <f t="shared" si="2"/>
        <v>0.12893039962912645</v>
      </c>
      <c r="M28" s="155">
        <f t="shared" si="3"/>
        <v>2.5061478498744627E-3</v>
      </c>
    </row>
    <row r="29" spans="1:15">
      <c r="A29" s="101" t="s">
        <v>174</v>
      </c>
      <c r="B29" s="101">
        <v>712237</v>
      </c>
      <c r="C29" s="101">
        <v>662855</v>
      </c>
      <c r="D29" s="101">
        <v>241962</v>
      </c>
      <c r="E29" s="101">
        <v>220626</v>
      </c>
      <c r="F29" s="112">
        <v>99826</v>
      </c>
      <c r="G29" s="112">
        <v>98293</v>
      </c>
      <c r="H29" s="112">
        <v>31051</v>
      </c>
      <c r="I29" s="112">
        <v>33680</v>
      </c>
      <c r="J29" s="155">
        <f t="shared" si="0"/>
        <v>7.4498947733667276E-2</v>
      </c>
      <c r="K29" s="155">
        <f t="shared" si="1"/>
        <v>1.5596227605221058E-2</v>
      </c>
      <c r="L29" s="155">
        <f t="shared" si="2"/>
        <v>9.6706643822577654E-2</v>
      </c>
      <c r="M29" s="155">
        <f t="shared" si="3"/>
        <v>-7.8058194774346834E-2</v>
      </c>
    </row>
    <row r="30" spans="1:15">
      <c r="A30" s="101" t="s">
        <v>206</v>
      </c>
      <c r="B30" s="101">
        <v>292917</v>
      </c>
      <c r="C30" s="101">
        <v>257677</v>
      </c>
      <c r="D30" s="101">
        <v>110711.34</v>
      </c>
      <c r="E30" s="101">
        <v>97779.25</v>
      </c>
      <c r="F30" s="112">
        <v>20398</v>
      </c>
      <c r="G30" s="112">
        <v>21314</v>
      </c>
      <c r="H30" s="112">
        <v>7422</v>
      </c>
      <c r="I30" s="112">
        <v>8556.17</v>
      </c>
      <c r="J30" s="155">
        <f t="shared" si="0"/>
        <v>0.13676036277975911</v>
      </c>
      <c r="K30" s="155">
        <f t="shared" si="1"/>
        <v>-4.2976447405461249E-2</v>
      </c>
      <c r="L30" s="155">
        <f t="shared" si="2"/>
        <v>0.13225801997867648</v>
      </c>
      <c r="M30" s="155">
        <f t="shared" si="3"/>
        <v>-0.13255580475843753</v>
      </c>
      <c r="O30" s="70" t="s">
        <v>1504</v>
      </c>
    </row>
    <row r="31" spans="1:15">
      <c r="A31" s="101" t="s">
        <v>170</v>
      </c>
      <c r="B31" s="101">
        <v>256233</v>
      </c>
      <c r="C31" s="101">
        <v>228126</v>
      </c>
      <c r="D31" s="101">
        <v>88235</v>
      </c>
      <c r="E31" s="101">
        <v>80548</v>
      </c>
      <c r="F31" s="112">
        <v>10628</v>
      </c>
      <c r="G31" s="112">
        <v>12273</v>
      </c>
      <c r="H31" s="112">
        <v>4821</v>
      </c>
      <c r="I31" s="112">
        <v>13204</v>
      </c>
      <c r="J31" s="155">
        <f t="shared" si="0"/>
        <v>0.12320822703242951</v>
      </c>
      <c r="K31" s="155">
        <f t="shared" si="1"/>
        <v>-0.13403405850240369</v>
      </c>
      <c r="L31" s="155">
        <f t="shared" si="2"/>
        <v>9.5433778616477172E-2</v>
      </c>
      <c r="M31" s="155">
        <f t="shared" si="3"/>
        <v>-0.6348833686761588</v>
      </c>
    </row>
    <row r="32" spans="1:15">
      <c r="A32" s="101" t="s">
        <v>198</v>
      </c>
      <c r="B32" s="101">
        <v>430229</v>
      </c>
      <c r="C32" s="101">
        <v>418326</v>
      </c>
      <c r="D32" s="101">
        <v>136079</v>
      </c>
      <c r="E32" s="101">
        <v>132327</v>
      </c>
      <c r="F32" s="112">
        <v>61739</v>
      </c>
      <c r="G32" s="112">
        <v>61855</v>
      </c>
      <c r="H32" s="112">
        <v>17677</v>
      </c>
      <c r="I32" s="112">
        <v>14211</v>
      </c>
      <c r="J32" s="155">
        <f t="shared" si="0"/>
        <v>2.8453885247390787E-2</v>
      </c>
      <c r="K32" s="155">
        <f t="shared" si="1"/>
        <v>-1.8753536496645129E-3</v>
      </c>
      <c r="L32" s="155">
        <f t="shared" si="2"/>
        <v>2.8354001828802877E-2</v>
      </c>
      <c r="M32" s="155">
        <f t="shared" si="3"/>
        <v>0.24389557385124205</v>
      </c>
    </row>
    <row r="33" spans="1:13">
      <c r="A33" s="101" t="s">
        <v>1428</v>
      </c>
      <c r="B33" s="101">
        <v>14981929</v>
      </c>
      <c r="C33" s="101">
        <v>13535548</v>
      </c>
      <c r="D33" s="101">
        <v>5220590.34</v>
      </c>
      <c r="E33" s="101">
        <v>4575808.25</v>
      </c>
      <c r="F33" s="112">
        <v>1443385.44</v>
      </c>
      <c r="G33" s="112">
        <v>1226791.4400000002</v>
      </c>
      <c r="H33" s="112">
        <v>470630.97999999992</v>
      </c>
      <c r="I33" s="112">
        <v>425307.75999999995</v>
      </c>
      <c r="J33" s="155">
        <f t="shared" si="0"/>
        <v>0.10685795654523922</v>
      </c>
      <c r="K33" s="155">
        <f t="shared" si="1"/>
        <v>0.17655323711746784</v>
      </c>
      <c r="L33" s="155">
        <f t="shared" si="2"/>
        <v>0.14091108166518995</v>
      </c>
      <c r="M33" s="155">
        <f t="shared" si="3"/>
        <v>0.10656570197543536</v>
      </c>
    </row>
    <row r="34" spans="1:13">
      <c r="I34" s="150"/>
      <c r="J34" s="151"/>
      <c r="K34" s="151"/>
      <c r="M34" s="151"/>
    </row>
    <row r="35" spans="1:13">
      <c r="I35" s="150"/>
      <c r="J35" s="151"/>
      <c r="K35" s="151"/>
      <c r="M35" s="151"/>
    </row>
    <row r="36" spans="1:13">
      <c r="I36" s="150"/>
      <c r="J36" s="151"/>
      <c r="K36" s="151"/>
      <c r="M36" s="151"/>
    </row>
    <row r="37" spans="1:13">
      <c r="I37" s="150"/>
      <c r="J37" s="151"/>
      <c r="K37" s="151"/>
      <c r="M37" s="151"/>
    </row>
    <row r="38" spans="1:13">
      <c r="I38" s="150"/>
      <c r="J38" s="151"/>
      <c r="K38" s="151"/>
      <c r="M38" s="151"/>
    </row>
    <row r="39" spans="1:13">
      <c r="A39" s="156"/>
      <c r="I39" s="150"/>
      <c r="J39" s="151"/>
      <c r="K39" s="151"/>
      <c r="M39" s="151"/>
    </row>
    <row r="40" spans="1:13">
      <c r="A40" s="157"/>
      <c r="I40" s="150"/>
      <c r="J40" s="151"/>
      <c r="K40" s="151"/>
      <c r="M40" s="151"/>
    </row>
    <row r="41" spans="1:13">
      <c r="I41" s="150"/>
      <c r="J41" s="151"/>
      <c r="K41" s="151"/>
      <c r="M41" s="151"/>
    </row>
    <row r="42" spans="1:13">
      <c r="I42" s="150"/>
      <c r="J42" s="151"/>
      <c r="K42" s="151"/>
      <c r="M42" s="151"/>
    </row>
    <row r="43" spans="1:13">
      <c r="I43" s="150"/>
      <c r="J43" s="151"/>
      <c r="K43" s="151"/>
      <c r="M43" s="151"/>
    </row>
    <row r="44" spans="1:13">
      <c r="I44" s="150"/>
      <c r="J44" s="151"/>
      <c r="K44" s="151"/>
      <c r="M44" s="151"/>
    </row>
    <row r="45" spans="1:13">
      <c r="I45" s="150"/>
      <c r="J45" s="151"/>
      <c r="K45" s="151"/>
      <c r="M45" s="151"/>
    </row>
    <row r="46" spans="1:13">
      <c r="I46" s="150"/>
      <c r="J46" s="151"/>
      <c r="K46" s="151"/>
      <c r="M46" s="151"/>
    </row>
    <row r="47" spans="1:13">
      <c r="I47" s="150"/>
      <c r="J47" s="151"/>
      <c r="K47" s="151"/>
      <c r="M47" s="151"/>
    </row>
    <row r="48" spans="1:13">
      <c r="I48" s="150"/>
      <c r="J48" s="151"/>
      <c r="K48" s="151"/>
      <c r="M48" s="151"/>
    </row>
    <row r="49" spans="9:13">
      <c r="I49" s="150"/>
      <c r="J49" s="151"/>
      <c r="K49" s="151"/>
      <c r="M49" s="151"/>
    </row>
    <row r="50" spans="9:13">
      <c r="I50" s="150"/>
      <c r="J50" s="151"/>
      <c r="K50" s="151"/>
      <c r="M50" s="151"/>
    </row>
    <row r="51" spans="9:13">
      <c r="I51" s="150"/>
      <c r="J51" s="151"/>
      <c r="K51" s="151"/>
      <c r="M51" s="151"/>
    </row>
    <row r="52" spans="9:13">
      <c r="I52" s="150"/>
      <c r="J52" s="151"/>
      <c r="K52" s="151"/>
      <c r="M52" s="151"/>
    </row>
    <row r="53" spans="9:13">
      <c r="I53" s="150"/>
      <c r="J53" s="151"/>
      <c r="K53" s="151"/>
      <c r="M53" s="151"/>
    </row>
    <row r="54" spans="9:13">
      <c r="I54" s="150"/>
      <c r="J54" s="151"/>
      <c r="K54" s="151"/>
      <c r="M54" s="151"/>
    </row>
    <row r="55" spans="9:13">
      <c r="I55" s="150"/>
      <c r="J55" s="151"/>
      <c r="K55" s="151"/>
      <c r="M55" s="151"/>
    </row>
    <row r="56" spans="9:13">
      <c r="I56" s="150"/>
      <c r="J56" s="151"/>
      <c r="K56" s="151"/>
      <c r="M56" s="151"/>
    </row>
    <row r="57" spans="9:13">
      <c r="I57" s="150"/>
      <c r="J57" s="151"/>
      <c r="K57" s="151"/>
      <c r="M57" s="151"/>
    </row>
    <row r="58" spans="9:13">
      <c r="I58" s="150"/>
      <c r="J58" s="151"/>
      <c r="K58" s="151"/>
      <c r="M58" s="151"/>
    </row>
    <row r="59" spans="9:13">
      <c r="I59" s="150"/>
      <c r="J59" s="151"/>
      <c r="K59" s="151"/>
      <c r="M59" s="151"/>
    </row>
    <row r="60" spans="9:13">
      <c r="I60" s="150"/>
      <c r="J60" s="151"/>
      <c r="K60" s="151"/>
      <c r="M60" s="151"/>
    </row>
    <row r="61" spans="9:13">
      <c r="I61" s="150"/>
      <c r="J61" s="151"/>
      <c r="K61" s="151"/>
      <c r="M61" s="151"/>
    </row>
    <row r="62" spans="9:13">
      <c r="I62" s="150"/>
      <c r="J62" s="151"/>
      <c r="K62" s="151"/>
      <c r="M62" s="151"/>
    </row>
    <row r="63" spans="9:13">
      <c r="I63" s="150"/>
      <c r="J63" s="151"/>
      <c r="K63" s="151"/>
      <c r="M63" s="151"/>
    </row>
    <row r="64" spans="9:13">
      <c r="I64" s="150"/>
      <c r="J64" s="151"/>
      <c r="K64" s="151"/>
      <c r="M64" s="151"/>
    </row>
    <row r="65" spans="9:13">
      <c r="I65" s="150"/>
      <c r="J65" s="151"/>
      <c r="K65" s="151"/>
      <c r="M65" s="151"/>
    </row>
    <row r="66" spans="9:13">
      <c r="I66" s="150"/>
      <c r="J66" s="151"/>
      <c r="K66" s="151"/>
      <c r="M66" s="151"/>
    </row>
    <row r="67" spans="9:13">
      <c r="I67" s="150"/>
      <c r="J67" s="151"/>
      <c r="K67" s="151"/>
      <c r="M67" s="151"/>
    </row>
    <row r="68" spans="9:13">
      <c r="I68" s="150"/>
      <c r="J68" s="151"/>
      <c r="K68" s="151"/>
      <c r="M68" s="151"/>
    </row>
    <row r="69" spans="9:13">
      <c r="I69" s="150"/>
      <c r="J69" s="151"/>
      <c r="K69" s="151"/>
      <c r="M69" s="151"/>
    </row>
    <row r="70" spans="9:13">
      <c r="I70" s="150"/>
      <c r="J70" s="151"/>
      <c r="K70" s="151"/>
      <c r="M70" s="151"/>
    </row>
    <row r="71" spans="9:13">
      <c r="I71" s="150"/>
      <c r="J71" s="151"/>
      <c r="K71" s="151"/>
      <c r="M71" s="151"/>
    </row>
    <row r="72" spans="9:13">
      <c r="I72" s="150"/>
      <c r="J72" s="151"/>
      <c r="K72" s="151"/>
      <c r="M72" s="151"/>
    </row>
    <row r="73" spans="9:13">
      <c r="I73" s="150"/>
      <c r="J73" s="151"/>
      <c r="K73" s="151"/>
      <c r="M73" s="151"/>
    </row>
    <row r="74" spans="9:13">
      <c r="I74" s="150"/>
      <c r="J74" s="151"/>
      <c r="K74" s="151"/>
      <c r="M74" s="151"/>
    </row>
    <row r="75" spans="9:13">
      <c r="I75" s="150"/>
      <c r="J75" s="151"/>
      <c r="K75" s="151"/>
      <c r="M75" s="151"/>
    </row>
    <row r="76" spans="9:13">
      <c r="I76" s="150"/>
      <c r="J76" s="151"/>
      <c r="K76" s="151"/>
      <c r="M76" s="151"/>
    </row>
    <row r="77" spans="9:13">
      <c r="I77" s="150"/>
      <c r="J77" s="151"/>
      <c r="K77" s="151"/>
      <c r="M77" s="151"/>
    </row>
    <row r="78" spans="9:13">
      <c r="I78" s="150"/>
      <c r="J78" s="151"/>
      <c r="K78" s="151"/>
      <c r="M78" s="151"/>
    </row>
    <row r="79" spans="9:13">
      <c r="I79" s="150"/>
      <c r="J79" s="151"/>
      <c r="K79" s="151"/>
      <c r="M79" s="151"/>
    </row>
    <row r="80" spans="9:13">
      <c r="I80" s="150"/>
      <c r="J80" s="151"/>
      <c r="K80" s="151"/>
      <c r="M80" s="151"/>
    </row>
    <row r="81" spans="9:13">
      <c r="I81" s="150"/>
      <c r="J81" s="151"/>
      <c r="K81" s="151"/>
      <c r="M81" s="151"/>
    </row>
    <row r="82" spans="9:13">
      <c r="I82" s="150"/>
      <c r="J82" s="151"/>
      <c r="K82" s="151"/>
      <c r="M82" s="151"/>
    </row>
    <row r="83" spans="9:13">
      <c r="I83" s="150"/>
      <c r="J83" s="151"/>
      <c r="K83" s="151"/>
      <c r="M83" s="151"/>
    </row>
    <row r="84" spans="9:13">
      <c r="I84" s="150"/>
      <c r="J84" s="151"/>
      <c r="K84" s="151"/>
      <c r="M84" s="151"/>
    </row>
    <row r="85" spans="9:13">
      <c r="I85" s="150"/>
      <c r="J85" s="151"/>
      <c r="K85" s="151"/>
      <c r="M85" s="151"/>
    </row>
    <row r="86" spans="9:13">
      <c r="I86" s="150"/>
      <c r="J86" s="151"/>
      <c r="K86" s="151"/>
      <c r="M86" s="151"/>
    </row>
    <row r="87" spans="9:13">
      <c r="I87" s="150"/>
      <c r="J87" s="151"/>
      <c r="K87" s="151"/>
      <c r="M87" s="151"/>
    </row>
    <row r="88" spans="9:13">
      <c r="I88" s="150"/>
      <c r="J88" s="151"/>
      <c r="K88" s="151"/>
      <c r="M88" s="151"/>
    </row>
    <row r="89" spans="9:13">
      <c r="I89" s="150"/>
      <c r="J89" s="151"/>
      <c r="K89" s="151"/>
      <c r="M89" s="151"/>
    </row>
    <row r="90" spans="9:13">
      <c r="I90" s="150"/>
      <c r="J90" s="151"/>
      <c r="K90" s="151"/>
      <c r="M90" s="151"/>
    </row>
    <row r="91" spans="9:13">
      <c r="I91" s="150"/>
      <c r="J91" s="151"/>
      <c r="K91" s="151"/>
      <c r="M91" s="151"/>
    </row>
    <row r="92" spans="9:13">
      <c r="I92" s="150"/>
      <c r="J92" s="151"/>
      <c r="K92" s="151"/>
      <c r="M92" s="151"/>
    </row>
    <row r="93" spans="9:13">
      <c r="I93" s="150"/>
      <c r="J93" s="151"/>
      <c r="K93" s="151"/>
      <c r="M93" s="151"/>
    </row>
    <row r="94" spans="9:13">
      <c r="I94" s="150"/>
      <c r="J94" s="151"/>
      <c r="K94" s="151"/>
      <c r="M94" s="151"/>
    </row>
    <row r="95" spans="9:13">
      <c r="I95" s="150"/>
      <c r="J95" s="151"/>
      <c r="K95" s="151"/>
      <c r="M95" s="151"/>
    </row>
    <row r="96" spans="9:13">
      <c r="I96" s="150"/>
      <c r="J96" s="151"/>
      <c r="K96" s="151"/>
      <c r="M96" s="151"/>
    </row>
    <row r="97" spans="9:13">
      <c r="I97" s="150"/>
      <c r="J97" s="151"/>
      <c r="K97" s="151"/>
      <c r="M97" s="151"/>
    </row>
    <row r="98" spans="9:13">
      <c r="I98" s="150"/>
      <c r="J98" s="151"/>
      <c r="K98" s="151"/>
      <c r="M98" s="151"/>
    </row>
    <row r="99" spans="9:13">
      <c r="I99" s="150"/>
      <c r="J99" s="151"/>
      <c r="K99" s="151"/>
      <c r="M99" s="151"/>
    </row>
    <row r="100" spans="9:13">
      <c r="I100" s="150"/>
      <c r="J100" s="151"/>
      <c r="K100" s="151"/>
      <c r="M100" s="151"/>
    </row>
    <row r="101" spans="9:13">
      <c r="I101" s="150"/>
      <c r="J101" s="151"/>
      <c r="K101" s="151"/>
      <c r="M101" s="151"/>
    </row>
    <row r="102" spans="9:13">
      <c r="I102" s="150"/>
      <c r="J102" s="151"/>
      <c r="K102" s="151"/>
      <c r="M102" s="151"/>
    </row>
    <row r="103" spans="9:13">
      <c r="I103" s="150"/>
      <c r="J103" s="151"/>
      <c r="K103" s="151"/>
      <c r="M103" s="151"/>
    </row>
    <row r="104" spans="9:13">
      <c r="I104" s="150"/>
      <c r="J104" s="151"/>
      <c r="K104" s="151"/>
      <c r="M104" s="151"/>
    </row>
    <row r="105" spans="9:13">
      <c r="I105" s="150"/>
      <c r="J105" s="151"/>
      <c r="K105" s="151"/>
      <c r="M105" s="151"/>
    </row>
    <row r="106" spans="9:13">
      <c r="I106" s="150"/>
      <c r="J106" s="151"/>
      <c r="K106" s="151"/>
      <c r="M106" s="151"/>
    </row>
    <row r="107" spans="9:13">
      <c r="I107" s="150"/>
      <c r="J107" s="151"/>
      <c r="K107" s="151"/>
      <c r="M107" s="151"/>
    </row>
    <row r="108" spans="9:13">
      <c r="I108" s="150"/>
      <c r="J108" s="151"/>
      <c r="K108" s="151"/>
      <c r="M108" s="151"/>
    </row>
    <row r="109" spans="9:13">
      <c r="I109" s="150"/>
      <c r="J109" s="151"/>
      <c r="K109" s="151"/>
      <c r="M109" s="151"/>
    </row>
    <row r="110" spans="9:13">
      <c r="I110" s="150"/>
      <c r="J110" s="151"/>
      <c r="K110" s="151"/>
      <c r="M110" s="151"/>
    </row>
    <row r="111" spans="9:13">
      <c r="I111" s="150"/>
      <c r="J111" s="151"/>
      <c r="K111" s="151"/>
      <c r="M111" s="151"/>
    </row>
    <row r="112" spans="9:13">
      <c r="I112" s="150"/>
      <c r="J112" s="151"/>
      <c r="K112" s="151"/>
      <c r="M112" s="151"/>
    </row>
    <row r="113" spans="9:13">
      <c r="I113" s="150"/>
      <c r="J113" s="151"/>
      <c r="K113" s="151"/>
      <c r="M113" s="151"/>
    </row>
    <row r="114" spans="9:13">
      <c r="I114" s="150"/>
      <c r="J114" s="151"/>
      <c r="K114" s="151"/>
      <c r="M114" s="151"/>
    </row>
    <row r="115" spans="9:13">
      <c r="I115" s="150"/>
      <c r="J115" s="151"/>
      <c r="K115" s="151"/>
      <c r="M115" s="151"/>
    </row>
    <row r="116" spans="9:13">
      <c r="I116" s="150"/>
      <c r="J116" s="151"/>
      <c r="K116" s="151"/>
      <c r="M116" s="151"/>
    </row>
    <row r="117" spans="9:13">
      <c r="I117" s="150"/>
      <c r="J117" s="151"/>
      <c r="K117" s="151"/>
      <c r="M117" s="151"/>
    </row>
    <row r="118" spans="9:13">
      <c r="I118" s="150"/>
      <c r="J118" s="151"/>
      <c r="K118" s="151"/>
      <c r="M118" s="151"/>
    </row>
    <row r="119" spans="9:13">
      <c r="I119" s="150"/>
      <c r="J119" s="151"/>
      <c r="K119" s="151"/>
      <c r="M119" s="151"/>
    </row>
    <row r="120" spans="9:13">
      <c r="I120" s="150"/>
      <c r="J120" s="151"/>
      <c r="K120" s="151"/>
      <c r="M120" s="151"/>
    </row>
    <row r="121" spans="9:13">
      <c r="I121" s="150"/>
      <c r="J121" s="151"/>
      <c r="K121" s="151"/>
      <c r="M121" s="151"/>
    </row>
    <row r="122" spans="9:13">
      <c r="I122" s="150"/>
      <c r="J122" s="151"/>
      <c r="K122" s="151"/>
      <c r="M122" s="151"/>
    </row>
    <row r="123" spans="9:13">
      <c r="I123" s="150"/>
      <c r="J123" s="151"/>
      <c r="K123" s="151"/>
      <c r="M123" s="151"/>
    </row>
    <row r="124" spans="9:13">
      <c r="I124" s="150"/>
      <c r="J124" s="151"/>
      <c r="K124" s="151"/>
      <c r="M124" s="151"/>
    </row>
    <row r="125" spans="9:13">
      <c r="I125" s="150"/>
      <c r="J125" s="151"/>
      <c r="K125" s="151"/>
      <c r="M125" s="151"/>
    </row>
    <row r="126" spans="9:13">
      <c r="I126" s="150"/>
      <c r="J126" s="151"/>
      <c r="K126" s="151"/>
      <c r="M126" s="151"/>
    </row>
    <row r="127" spans="9:13">
      <c r="I127" s="150"/>
      <c r="J127" s="151"/>
      <c r="K127" s="151"/>
      <c r="M127" s="151"/>
    </row>
    <row r="128" spans="9:13">
      <c r="I128" s="150"/>
      <c r="J128" s="151"/>
      <c r="K128" s="151"/>
      <c r="M128" s="151"/>
    </row>
    <row r="129" spans="9:13">
      <c r="I129" s="150"/>
      <c r="J129" s="151"/>
      <c r="K129" s="151"/>
      <c r="M129" s="151"/>
    </row>
    <row r="130" spans="9:13">
      <c r="I130" s="150"/>
      <c r="J130" s="151"/>
      <c r="K130" s="151"/>
      <c r="M130" s="151"/>
    </row>
    <row r="131" spans="9:13">
      <c r="I131" s="150"/>
      <c r="J131" s="151"/>
      <c r="K131" s="151"/>
      <c r="M131" s="151"/>
    </row>
    <row r="132" spans="9:13">
      <c r="I132" s="150"/>
      <c r="J132" s="151"/>
      <c r="K132" s="151"/>
      <c r="M132" s="151"/>
    </row>
    <row r="133" spans="9:13">
      <c r="I133" s="150"/>
      <c r="J133" s="151"/>
      <c r="K133" s="151"/>
      <c r="M133" s="151"/>
    </row>
    <row r="134" spans="9:13">
      <c r="I134" s="150"/>
      <c r="J134" s="151"/>
      <c r="K134" s="151"/>
      <c r="M134" s="151"/>
    </row>
    <row r="135" spans="9:13">
      <c r="I135" s="150"/>
      <c r="J135" s="151"/>
      <c r="K135" s="151"/>
      <c r="M135" s="151"/>
    </row>
    <row r="136" spans="9:13">
      <c r="I136" s="150"/>
      <c r="J136" s="151"/>
      <c r="K136" s="151"/>
      <c r="M136" s="151"/>
    </row>
    <row r="137" spans="9:13">
      <c r="I137" s="150"/>
      <c r="J137" s="151"/>
      <c r="K137" s="151"/>
      <c r="M137" s="151"/>
    </row>
    <row r="138" spans="9:13">
      <c r="I138" s="150"/>
      <c r="J138" s="151"/>
      <c r="K138" s="151"/>
      <c r="M138" s="151"/>
    </row>
    <row r="139" spans="9:13">
      <c r="I139" s="150"/>
      <c r="J139" s="151"/>
      <c r="K139" s="151"/>
      <c r="M139" s="151"/>
    </row>
    <row r="140" spans="9:13">
      <c r="I140" s="150"/>
      <c r="J140" s="151"/>
      <c r="K140" s="151"/>
      <c r="M140" s="151"/>
    </row>
    <row r="141" spans="9:13">
      <c r="I141" s="150"/>
      <c r="J141" s="151"/>
      <c r="K141" s="151"/>
      <c r="M141" s="151"/>
    </row>
    <row r="142" spans="9:13">
      <c r="I142" s="150"/>
      <c r="J142" s="151"/>
      <c r="K142" s="151"/>
      <c r="M142" s="151"/>
    </row>
    <row r="143" spans="9:13">
      <c r="I143" s="150"/>
      <c r="J143" s="151"/>
      <c r="K143" s="151"/>
      <c r="M143" s="151"/>
    </row>
    <row r="144" spans="9:13">
      <c r="I144" s="150"/>
      <c r="J144" s="151"/>
      <c r="K144" s="151"/>
      <c r="M144" s="151"/>
    </row>
    <row r="145" spans="9:13">
      <c r="I145" s="150"/>
      <c r="J145" s="151"/>
      <c r="K145" s="151"/>
      <c r="M145" s="151"/>
    </row>
    <row r="146" spans="9:13">
      <c r="I146" s="150"/>
      <c r="J146" s="151"/>
      <c r="K146" s="151"/>
      <c r="M146" s="151"/>
    </row>
    <row r="147" spans="9:13">
      <c r="I147" s="150"/>
      <c r="J147" s="151"/>
      <c r="K147" s="151"/>
      <c r="M147" s="151"/>
    </row>
    <row r="148" spans="9:13">
      <c r="I148" s="150"/>
      <c r="J148" s="151"/>
      <c r="K148" s="151"/>
      <c r="M148" s="151"/>
    </row>
    <row r="149" spans="9:13">
      <c r="I149" s="150"/>
      <c r="J149" s="151"/>
      <c r="K149" s="151"/>
      <c r="M149" s="151"/>
    </row>
    <row r="150" spans="9:13">
      <c r="I150" s="150"/>
      <c r="J150" s="151"/>
      <c r="K150" s="151"/>
      <c r="M150" s="151"/>
    </row>
    <row r="151" spans="9:13">
      <c r="I151" s="150"/>
      <c r="J151" s="151"/>
      <c r="K151" s="151"/>
      <c r="M151" s="151"/>
    </row>
    <row r="152" spans="9:13">
      <c r="I152" s="150"/>
      <c r="J152" s="151"/>
      <c r="K152" s="151"/>
      <c r="M152" s="151"/>
    </row>
    <row r="153" spans="9:13">
      <c r="I153" s="150"/>
      <c r="J153" s="151"/>
      <c r="K153" s="151"/>
      <c r="M153" s="151"/>
    </row>
    <row r="154" spans="9:13">
      <c r="I154" s="150"/>
      <c r="J154" s="151"/>
      <c r="K154" s="151"/>
      <c r="M154" s="151"/>
    </row>
    <row r="155" spans="9:13">
      <c r="I155" s="150"/>
      <c r="J155" s="151"/>
      <c r="K155" s="151"/>
      <c r="M155" s="151"/>
    </row>
    <row r="156" spans="9:13">
      <c r="I156" s="150"/>
      <c r="J156" s="151"/>
      <c r="K156" s="151"/>
      <c r="M156" s="151"/>
    </row>
    <row r="157" spans="9:13">
      <c r="I157" s="150"/>
      <c r="J157" s="151"/>
      <c r="K157" s="151"/>
      <c r="M157" s="151"/>
    </row>
    <row r="158" spans="9:13">
      <c r="I158" s="150"/>
      <c r="J158" s="151"/>
      <c r="K158" s="151"/>
      <c r="M158" s="151"/>
    </row>
    <row r="159" spans="9:13">
      <c r="I159" s="150"/>
      <c r="J159" s="151"/>
      <c r="K159" s="151"/>
      <c r="M159" s="151"/>
    </row>
    <row r="160" spans="9:13">
      <c r="I160" s="150"/>
      <c r="J160" s="151"/>
      <c r="K160" s="151"/>
      <c r="M160" s="151"/>
    </row>
    <row r="161" spans="9:13">
      <c r="I161" s="150"/>
      <c r="J161" s="151"/>
      <c r="K161" s="151"/>
      <c r="M161" s="151"/>
    </row>
    <row r="162" spans="9:13">
      <c r="I162" s="150"/>
      <c r="J162" s="151"/>
      <c r="K162" s="151"/>
      <c r="M162" s="151"/>
    </row>
    <row r="163" spans="9:13">
      <c r="I163" s="150"/>
      <c r="J163" s="151"/>
      <c r="K163" s="151"/>
      <c r="M163" s="151"/>
    </row>
    <row r="164" spans="9:13">
      <c r="I164" s="150"/>
      <c r="J164" s="151"/>
      <c r="K164" s="151"/>
      <c r="M164" s="151"/>
    </row>
    <row r="165" spans="9:13">
      <c r="I165" s="150"/>
      <c r="J165" s="151"/>
      <c r="K165" s="151"/>
      <c r="M165" s="151"/>
    </row>
    <row r="166" spans="9:13">
      <c r="I166" s="150"/>
      <c r="J166" s="151"/>
      <c r="K166" s="151"/>
      <c r="M166" s="151"/>
    </row>
    <row r="167" spans="9:13">
      <c r="I167" s="150"/>
      <c r="J167" s="151"/>
      <c r="K167" s="151"/>
      <c r="M167" s="151"/>
    </row>
    <row r="168" spans="9:13">
      <c r="I168" s="150"/>
      <c r="J168" s="151"/>
      <c r="K168" s="151"/>
      <c r="M168" s="151"/>
    </row>
    <row r="169" spans="9:13">
      <c r="I169" s="150"/>
      <c r="J169" s="151"/>
      <c r="K169" s="151"/>
      <c r="M169" s="151"/>
    </row>
    <row r="170" spans="9:13">
      <c r="I170" s="150"/>
      <c r="J170" s="151"/>
      <c r="K170" s="151"/>
      <c r="M170" s="151"/>
    </row>
    <row r="171" spans="9:13">
      <c r="I171" s="150"/>
      <c r="J171" s="151"/>
      <c r="K171" s="151"/>
      <c r="M171" s="151"/>
    </row>
    <row r="172" spans="9:13">
      <c r="I172" s="150"/>
      <c r="J172" s="151"/>
      <c r="K172" s="151"/>
      <c r="M172" s="151"/>
    </row>
    <row r="173" spans="9:13">
      <c r="I173" s="150"/>
      <c r="J173" s="151"/>
      <c r="K173" s="151"/>
      <c r="M173" s="151"/>
    </row>
    <row r="174" spans="9:13">
      <c r="I174" s="150"/>
      <c r="J174" s="151"/>
      <c r="K174" s="151"/>
      <c r="M174" s="151"/>
    </row>
    <row r="175" spans="9:13">
      <c r="I175" s="150"/>
      <c r="J175" s="151"/>
      <c r="K175" s="151"/>
      <c r="M175" s="151"/>
    </row>
    <row r="176" spans="9:13">
      <c r="I176" s="150"/>
      <c r="J176" s="151"/>
      <c r="K176" s="151"/>
      <c r="M176" s="151"/>
    </row>
    <row r="177" spans="9:13">
      <c r="I177" s="150"/>
      <c r="J177" s="151"/>
      <c r="K177" s="151"/>
      <c r="M177" s="151"/>
    </row>
    <row r="178" spans="9:13">
      <c r="I178" s="150"/>
      <c r="J178" s="151"/>
      <c r="K178" s="151"/>
      <c r="M178" s="151"/>
    </row>
    <row r="179" spans="9:13">
      <c r="I179" s="150"/>
      <c r="J179" s="151"/>
      <c r="K179" s="151"/>
      <c r="M179" s="151"/>
    </row>
    <row r="180" spans="9:13">
      <c r="I180" s="150"/>
      <c r="J180" s="151"/>
      <c r="K180" s="151"/>
      <c r="M180" s="151"/>
    </row>
    <row r="181" spans="9:13">
      <c r="I181" s="150"/>
      <c r="J181" s="151"/>
      <c r="K181" s="151"/>
      <c r="M181" s="151"/>
    </row>
    <row r="182" spans="9:13">
      <c r="I182" s="150"/>
      <c r="J182" s="151"/>
      <c r="K182" s="151"/>
      <c r="M182" s="151"/>
    </row>
    <row r="183" spans="9:13">
      <c r="I183" s="150"/>
      <c r="J183" s="151"/>
      <c r="K183" s="151"/>
      <c r="M183" s="151"/>
    </row>
    <row r="184" spans="9:13">
      <c r="I184" s="150"/>
      <c r="J184" s="151"/>
      <c r="K184" s="151"/>
      <c r="M184" s="151"/>
    </row>
    <row r="185" spans="9:13">
      <c r="I185" s="150"/>
      <c r="J185" s="151"/>
      <c r="K185" s="151"/>
      <c r="M185" s="151"/>
    </row>
    <row r="186" spans="9:13">
      <c r="I186" s="150"/>
      <c r="J186" s="151"/>
      <c r="K186" s="151"/>
      <c r="M186" s="151"/>
    </row>
    <row r="187" spans="9:13">
      <c r="I187" s="150"/>
      <c r="J187" s="151"/>
      <c r="K187" s="151"/>
      <c r="M187" s="151"/>
    </row>
    <row r="188" spans="9:13">
      <c r="I188" s="150"/>
      <c r="J188" s="151"/>
      <c r="K188" s="151"/>
      <c r="M188" s="151"/>
    </row>
    <row r="189" spans="9:13">
      <c r="I189" s="150"/>
      <c r="J189" s="151"/>
      <c r="K189" s="151"/>
      <c r="M189" s="151"/>
    </row>
    <row r="190" spans="9:13">
      <c r="I190" s="150"/>
      <c r="J190" s="151"/>
      <c r="K190" s="151"/>
      <c r="M190" s="151"/>
    </row>
    <row r="191" spans="9:13">
      <c r="I191" s="150"/>
      <c r="J191" s="151"/>
      <c r="K191" s="151"/>
      <c r="M191" s="151"/>
    </row>
    <row r="192" spans="9:13">
      <c r="I192" s="150"/>
      <c r="J192" s="151"/>
      <c r="K192" s="151"/>
      <c r="M192" s="151"/>
    </row>
    <row r="193" spans="9:13">
      <c r="I193" s="150"/>
      <c r="J193" s="151"/>
      <c r="K193" s="151"/>
      <c r="M193" s="151"/>
    </row>
    <row r="194" spans="9:13">
      <c r="I194" s="150"/>
      <c r="J194" s="151"/>
      <c r="K194" s="151"/>
      <c r="M194" s="151"/>
    </row>
    <row r="195" spans="9:13">
      <c r="I195" s="150"/>
      <c r="J195" s="151"/>
      <c r="K195" s="151"/>
      <c r="M195" s="151"/>
    </row>
    <row r="196" spans="9:13">
      <c r="I196" s="150"/>
      <c r="J196" s="151"/>
      <c r="K196" s="151"/>
      <c r="M196" s="151"/>
    </row>
    <row r="197" spans="9:13">
      <c r="I197" s="150"/>
      <c r="J197" s="151"/>
      <c r="K197" s="151"/>
      <c r="M197" s="151"/>
    </row>
    <row r="198" spans="9:13">
      <c r="I198" s="150"/>
      <c r="J198" s="151"/>
      <c r="K198" s="151"/>
      <c r="M198" s="151"/>
    </row>
    <row r="199" spans="9:13">
      <c r="I199" s="150"/>
      <c r="J199" s="151"/>
      <c r="K199" s="151"/>
      <c r="M199" s="151"/>
    </row>
    <row r="200" spans="9:13">
      <c r="I200" s="150"/>
      <c r="J200" s="151"/>
      <c r="K200" s="151"/>
      <c r="M200" s="151"/>
    </row>
    <row r="201" spans="9:13">
      <c r="I201" s="150"/>
      <c r="J201" s="151"/>
      <c r="K201" s="151"/>
      <c r="M201" s="151"/>
    </row>
    <row r="202" spans="9:13">
      <c r="I202" s="150"/>
      <c r="J202" s="151"/>
      <c r="K202" s="151"/>
      <c r="M202" s="151"/>
    </row>
    <row r="203" spans="9:13">
      <c r="I203" s="150"/>
      <c r="J203" s="151"/>
      <c r="K203" s="151"/>
      <c r="M203" s="151"/>
    </row>
    <row r="204" spans="9:13">
      <c r="I204" s="150"/>
      <c r="J204" s="151"/>
      <c r="K204" s="151"/>
      <c r="M204" s="151"/>
    </row>
    <row r="205" spans="9:13">
      <c r="I205" s="150"/>
      <c r="J205" s="151"/>
      <c r="K205" s="151"/>
      <c r="M205" s="151"/>
    </row>
    <row r="206" spans="9:13">
      <c r="I206" s="150"/>
      <c r="J206" s="151"/>
      <c r="K206" s="151"/>
      <c r="M206" s="151"/>
    </row>
    <row r="207" spans="9:13">
      <c r="I207" s="150"/>
      <c r="J207" s="151"/>
      <c r="K207" s="151"/>
      <c r="M207" s="151"/>
    </row>
    <row r="208" spans="9:13">
      <c r="I208" s="150"/>
      <c r="J208" s="151"/>
      <c r="K208" s="151"/>
      <c r="M208" s="151"/>
    </row>
    <row r="209" spans="9:13">
      <c r="I209" s="150"/>
      <c r="J209" s="151"/>
      <c r="K209" s="151"/>
      <c r="M209" s="151"/>
    </row>
    <row r="210" spans="9:13">
      <c r="I210" s="150"/>
      <c r="J210" s="151"/>
      <c r="K210" s="151"/>
      <c r="M210" s="151"/>
    </row>
    <row r="211" spans="9:13">
      <c r="I211" s="150"/>
      <c r="J211" s="151"/>
      <c r="K211" s="151"/>
      <c r="M211" s="151"/>
    </row>
    <row r="212" spans="9:13">
      <c r="I212" s="150"/>
      <c r="J212" s="151"/>
      <c r="K212" s="151"/>
      <c r="M212" s="151"/>
    </row>
    <row r="213" spans="9:13">
      <c r="I213" s="150"/>
      <c r="J213" s="151"/>
      <c r="K213" s="151"/>
      <c r="M213" s="151"/>
    </row>
    <row r="214" spans="9:13">
      <c r="I214" s="150"/>
      <c r="J214" s="151"/>
      <c r="K214" s="151"/>
      <c r="M214" s="151"/>
    </row>
    <row r="215" spans="9:13">
      <c r="I215" s="150"/>
      <c r="J215" s="151"/>
      <c r="K215" s="151"/>
      <c r="M215" s="151"/>
    </row>
    <row r="216" spans="9:13">
      <c r="I216" s="150"/>
      <c r="J216" s="151"/>
      <c r="K216" s="151"/>
      <c r="M216" s="151"/>
    </row>
    <row r="217" spans="9:13">
      <c r="I217" s="150"/>
      <c r="J217" s="151"/>
      <c r="K217" s="151"/>
      <c r="M217" s="151"/>
    </row>
    <row r="218" spans="9:13">
      <c r="I218" s="150"/>
      <c r="J218" s="151"/>
      <c r="K218" s="151"/>
      <c r="M218" s="151"/>
    </row>
    <row r="219" spans="9:13">
      <c r="I219" s="150"/>
      <c r="J219" s="151"/>
      <c r="K219" s="151"/>
      <c r="M219" s="151"/>
    </row>
    <row r="220" spans="9:13">
      <c r="I220" s="150"/>
      <c r="J220" s="151"/>
      <c r="K220" s="151"/>
      <c r="M220" s="151"/>
    </row>
    <row r="221" spans="9:13">
      <c r="I221" s="150"/>
      <c r="J221" s="151"/>
      <c r="K221" s="151"/>
      <c r="M221" s="151"/>
    </row>
    <row r="222" spans="9:13">
      <c r="I222" s="150"/>
      <c r="J222" s="151"/>
      <c r="K222" s="151"/>
      <c r="M222" s="151"/>
    </row>
    <row r="223" spans="9:13">
      <c r="I223" s="150"/>
      <c r="J223" s="151"/>
      <c r="K223" s="151"/>
      <c r="M223" s="151"/>
    </row>
    <row r="224" spans="9:13">
      <c r="I224" s="150"/>
      <c r="J224" s="151"/>
      <c r="K224" s="151"/>
      <c r="M224" s="151"/>
    </row>
    <row r="225" spans="9:13">
      <c r="I225" s="150"/>
      <c r="J225" s="151"/>
      <c r="K225" s="151"/>
      <c r="M225" s="151"/>
    </row>
    <row r="226" spans="9:13">
      <c r="I226" s="150"/>
      <c r="J226" s="151"/>
      <c r="K226" s="151"/>
      <c r="M226" s="151"/>
    </row>
    <row r="227" spans="9:13">
      <c r="I227" s="150"/>
      <c r="J227" s="151"/>
      <c r="K227" s="151"/>
      <c r="M227" s="151"/>
    </row>
    <row r="228" spans="9:13">
      <c r="I228" s="150"/>
      <c r="J228" s="151"/>
      <c r="K228" s="151"/>
      <c r="M228" s="151"/>
    </row>
    <row r="229" spans="9:13">
      <c r="I229" s="150"/>
      <c r="J229" s="151"/>
      <c r="K229" s="151"/>
      <c r="M229" s="151"/>
    </row>
    <row r="230" spans="9:13">
      <c r="I230" s="150"/>
      <c r="J230" s="151"/>
      <c r="K230" s="151"/>
      <c r="M230" s="151"/>
    </row>
    <row r="231" spans="9:13">
      <c r="I231" s="150"/>
      <c r="J231" s="151"/>
      <c r="K231" s="151"/>
      <c r="M231" s="151"/>
    </row>
    <row r="232" spans="9:13">
      <c r="I232" s="150"/>
      <c r="J232" s="151"/>
      <c r="K232" s="151"/>
      <c r="M232" s="151"/>
    </row>
    <row r="233" spans="9:13">
      <c r="I233" s="150"/>
      <c r="J233" s="151"/>
      <c r="K233" s="151"/>
      <c r="M233" s="151"/>
    </row>
    <row r="234" spans="9:13">
      <c r="I234" s="150"/>
      <c r="J234" s="151"/>
      <c r="K234" s="151"/>
      <c r="M234" s="151"/>
    </row>
    <row r="235" spans="9:13">
      <c r="I235" s="150"/>
      <c r="J235" s="151"/>
      <c r="K235" s="151"/>
      <c r="M235" s="151"/>
    </row>
    <row r="236" spans="9:13">
      <c r="I236" s="150"/>
      <c r="J236" s="151"/>
      <c r="K236" s="151"/>
      <c r="M236" s="151"/>
    </row>
    <row r="237" spans="9:13">
      <c r="I237" s="150"/>
      <c r="J237" s="151"/>
      <c r="K237" s="151"/>
      <c r="M237" s="151"/>
    </row>
    <row r="238" spans="9:13">
      <c r="I238" s="150"/>
      <c r="J238" s="151"/>
      <c r="K238" s="151"/>
      <c r="M238" s="151"/>
    </row>
    <row r="239" spans="9:13">
      <c r="I239" s="150"/>
      <c r="J239" s="151"/>
      <c r="K239" s="151"/>
      <c r="M239" s="151"/>
    </row>
    <row r="240" spans="9:13">
      <c r="I240" s="150"/>
      <c r="J240" s="151"/>
      <c r="K240" s="151"/>
      <c r="M240" s="151"/>
    </row>
    <row r="241" spans="9:13">
      <c r="I241" s="150"/>
      <c r="J241" s="151"/>
      <c r="K241" s="151"/>
      <c r="M241" s="151"/>
    </row>
    <row r="242" spans="9:13">
      <c r="I242" s="150"/>
      <c r="J242" s="151"/>
      <c r="K242" s="151"/>
      <c r="M242" s="151"/>
    </row>
    <row r="243" spans="9:13">
      <c r="I243" s="150"/>
      <c r="J243" s="151"/>
      <c r="K243" s="151"/>
      <c r="M243" s="151"/>
    </row>
    <row r="244" spans="9:13">
      <c r="I244" s="150"/>
      <c r="J244" s="151"/>
      <c r="K244" s="151"/>
      <c r="M244" s="151"/>
    </row>
    <row r="245" spans="9:13">
      <c r="I245" s="150"/>
      <c r="J245" s="151"/>
      <c r="K245" s="151"/>
      <c r="M245" s="151"/>
    </row>
    <row r="246" spans="9:13">
      <c r="I246" s="150"/>
      <c r="J246" s="151"/>
      <c r="K246" s="151"/>
      <c r="M246" s="151"/>
    </row>
    <row r="247" spans="9:13">
      <c r="I247" s="150"/>
      <c r="J247" s="151"/>
      <c r="K247" s="151"/>
      <c r="M247" s="151"/>
    </row>
    <row r="248" spans="9:13">
      <c r="I248" s="150"/>
      <c r="J248" s="151"/>
      <c r="K248" s="151"/>
      <c r="M248" s="151"/>
    </row>
    <row r="249" spans="9:13">
      <c r="I249" s="150"/>
      <c r="J249" s="151"/>
      <c r="K249" s="151"/>
      <c r="M249" s="151"/>
    </row>
    <row r="250" spans="9:13">
      <c r="I250" s="150"/>
      <c r="J250" s="151"/>
      <c r="K250" s="151"/>
      <c r="M250" s="151"/>
    </row>
    <row r="251" spans="9:13">
      <c r="I251" s="150"/>
      <c r="J251" s="151"/>
      <c r="K251" s="151"/>
      <c r="M251" s="151"/>
    </row>
    <row r="252" spans="9:13">
      <c r="I252" s="150"/>
      <c r="J252" s="151"/>
      <c r="K252" s="151"/>
      <c r="M252" s="151"/>
    </row>
    <row r="253" spans="9:13">
      <c r="I253" s="150"/>
      <c r="J253" s="151"/>
      <c r="K253" s="151"/>
      <c r="M253" s="151"/>
    </row>
    <row r="254" spans="9:13">
      <c r="I254" s="150"/>
      <c r="J254" s="151"/>
      <c r="K254" s="151"/>
      <c r="M254" s="151"/>
    </row>
    <row r="255" spans="9:13">
      <c r="I255" s="150"/>
      <c r="J255" s="151"/>
      <c r="K255" s="151"/>
      <c r="M255" s="151"/>
    </row>
    <row r="256" spans="9:13">
      <c r="I256" s="150"/>
      <c r="J256" s="151"/>
      <c r="K256" s="151"/>
      <c r="M256" s="151"/>
    </row>
    <row r="257" spans="9:13">
      <c r="I257" s="150"/>
      <c r="J257" s="151"/>
      <c r="K257" s="151"/>
      <c r="M257" s="151"/>
    </row>
    <row r="258" spans="9:13">
      <c r="I258" s="150"/>
      <c r="J258" s="151"/>
      <c r="K258" s="151"/>
      <c r="M258" s="151"/>
    </row>
    <row r="259" spans="9:13">
      <c r="I259" s="150"/>
      <c r="J259" s="151"/>
      <c r="K259" s="151"/>
      <c r="M259" s="151"/>
    </row>
    <row r="260" spans="9:13">
      <c r="I260" s="150"/>
      <c r="J260" s="151"/>
      <c r="K260" s="151"/>
      <c r="M260" s="151"/>
    </row>
    <row r="261" spans="9:13">
      <c r="I261" s="150"/>
      <c r="J261" s="151"/>
      <c r="K261" s="151"/>
      <c r="M261" s="151"/>
    </row>
    <row r="262" spans="9:13">
      <c r="I262" s="150"/>
      <c r="J262" s="151"/>
      <c r="K262" s="151"/>
      <c r="M262" s="151"/>
    </row>
    <row r="263" spans="9:13">
      <c r="I263" s="150"/>
      <c r="J263" s="151"/>
      <c r="K263" s="151"/>
      <c r="M263" s="151"/>
    </row>
    <row r="264" spans="9:13">
      <c r="I264" s="150"/>
      <c r="J264" s="151"/>
      <c r="K264" s="151"/>
      <c r="M264" s="151"/>
    </row>
    <row r="265" spans="9:13">
      <c r="I265" s="150"/>
      <c r="J265" s="151"/>
      <c r="K265" s="151"/>
      <c r="M265" s="151"/>
    </row>
    <row r="266" spans="9:13">
      <c r="I266" s="150"/>
      <c r="J266" s="151"/>
      <c r="K266" s="151"/>
      <c r="M266" s="151"/>
    </row>
    <row r="267" spans="9:13">
      <c r="I267" s="150"/>
      <c r="J267" s="151"/>
      <c r="K267" s="151"/>
      <c r="M267" s="151"/>
    </row>
    <row r="268" spans="9:13">
      <c r="I268" s="150"/>
      <c r="J268" s="151"/>
      <c r="K268" s="151"/>
      <c r="M268" s="151"/>
    </row>
    <row r="269" spans="9:13">
      <c r="I269" s="150"/>
      <c r="J269" s="151"/>
      <c r="K269" s="151"/>
      <c r="M269" s="151"/>
    </row>
    <row r="270" spans="9:13">
      <c r="I270" s="150"/>
      <c r="J270" s="151"/>
      <c r="K270" s="151"/>
      <c r="M270" s="151"/>
    </row>
    <row r="271" spans="9:13">
      <c r="I271" s="150"/>
      <c r="J271" s="151"/>
      <c r="K271" s="151"/>
      <c r="M271" s="151"/>
    </row>
    <row r="272" spans="9:13">
      <c r="I272" s="150"/>
      <c r="J272" s="151"/>
      <c r="K272" s="151"/>
      <c r="M272" s="151"/>
    </row>
    <row r="273" spans="9:13">
      <c r="I273" s="150"/>
      <c r="J273" s="151"/>
      <c r="K273" s="151"/>
      <c r="M273" s="151"/>
    </row>
    <row r="274" spans="9:13">
      <c r="I274" s="150"/>
      <c r="J274" s="151"/>
      <c r="K274" s="151"/>
      <c r="M274" s="151"/>
    </row>
    <row r="275" spans="9:13">
      <c r="I275" s="150"/>
      <c r="J275" s="151"/>
      <c r="K275" s="151"/>
      <c r="M275" s="151"/>
    </row>
    <row r="276" spans="9:13">
      <c r="I276" s="150"/>
      <c r="J276" s="151"/>
      <c r="K276" s="151"/>
      <c r="M276" s="151"/>
    </row>
    <row r="277" spans="9:13">
      <c r="I277" s="150"/>
      <c r="J277" s="151"/>
      <c r="K277" s="151"/>
      <c r="M277" s="151"/>
    </row>
    <row r="278" spans="9:13">
      <c r="I278" s="150"/>
      <c r="J278" s="151"/>
      <c r="K278" s="151"/>
      <c r="M278" s="151"/>
    </row>
    <row r="279" spans="9:13">
      <c r="I279" s="150"/>
      <c r="J279" s="151"/>
      <c r="K279" s="151"/>
      <c r="M279" s="151"/>
    </row>
    <row r="280" spans="9:13">
      <c r="I280" s="150"/>
      <c r="J280" s="151"/>
      <c r="K280" s="151"/>
      <c r="M280" s="151"/>
    </row>
    <row r="281" spans="9:13">
      <c r="I281" s="150"/>
      <c r="J281" s="151"/>
      <c r="K281" s="151"/>
      <c r="M281" s="151"/>
    </row>
    <row r="282" spans="9:13">
      <c r="I282" s="150"/>
      <c r="J282" s="151"/>
      <c r="K282" s="151"/>
      <c r="M282" s="151"/>
    </row>
    <row r="283" spans="9:13">
      <c r="I283" s="150"/>
      <c r="J283" s="151"/>
      <c r="K283" s="151"/>
      <c r="M283" s="151"/>
    </row>
    <row r="284" spans="9:13">
      <c r="I284" s="150"/>
      <c r="J284" s="151"/>
      <c r="K284" s="151"/>
      <c r="M284" s="151"/>
    </row>
    <row r="285" spans="9:13">
      <c r="I285" s="150"/>
      <c r="J285" s="151"/>
      <c r="K285" s="151"/>
      <c r="M285" s="151"/>
    </row>
    <row r="286" spans="9:13">
      <c r="I286" s="150"/>
      <c r="J286" s="151"/>
      <c r="K286" s="151"/>
      <c r="M286" s="151"/>
    </row>
    <row r="287" spans="9:13">
      <c r="I287" s="150"/>
      <c r="J287" s="151"/>
      <c r="K287" s="151"/>
      <c r="M287" s="151"/>
    </row>
    <row r="288" spans="9:13">
      <c r="I288" s="150"/>
      <c r="J288" s="151"/>
      <c r="K288" s="151"/>
      <c r="M288" s="151"/>
    </row>
    <row r="289" spans="9:13">
      <c r="I289" s="150"/>
      <c r="J289" s="151"/>
      <c r="K289" s="151"/>
      <c r="M289" s="151"/>
    </row>
    <row r="290" spans="9:13">
      <c r="I290" s="150"/>
      <c r="J290" s="151"/>
      <c r="K290" s="151"/>
      <c r="M290" s="151"/>
    </row>
    <row r="291" spans="9:13">
      <c r="I291" s="150"/>
      <c r="J291" s="151"/>
      <c r="K291" s="151"/>
      <c r="M291" s="151"/>
    </row>
    <row r="292" spans="9:13">
      <c r="I292" s="150"/>
      <c r="J292" s="151"/>
      <c r="K292" s="151"/>
      <c r="M292" s="151"/>
    </row>
    <row r="293" spans="9:13">
      <c r="I293" s="150"/>
      <c r="J293" s="151"/>
      <c r="K293" s="151"/>
      <c r="M293" s="151"/>
    </row>
    <row r="294" spans="9:13">
      <c r="I294" s="150"/>
      <c r="J294" s="151"/>
      <c r="K294" s="151"/>
      <c r="M294" s="151"/>
    </row>
    <row r="295" spans="9:13">
      <c r="I295" s="150"/>
      <c r="J295" s="151"/>
      <c r="K295" s="151"/>
      <c r="M295" s="151"/>
    </row>
    <row r="296" spans="9:13">
      <c r="I296" s="150"/>
      <c r="J296" s="151"/>
      <c r="K296" s="151"/>
      <c r="M296" s="151"/>
    </row>
    <row r="297" spans="9:13">
      <c r="I297" s="150"/>
      <c r="J297" s="151"/>
      <c r="K297" s="151"/>
      <c r="M297" s="151"/>
    </row>
    <row r="298" spans="9:13">
      <c r="I298" s="150"/>
      <c r="J298" s="151"/>
      <c r="K298" s="151"/>
      <c r="M298" s="151"/>
    </row>
    <row r="299" spans="9:13">
      <c r="I299" s="150"/>
      <c r="J299" s="151"/>
      <c r="K299" s="151"/>
      <c r="M299" s="151"/>
    </row>
    <row r="300" spans="9:13">
      <c r="I300" s="150"/>
      <c r="J300" s="151"/>
      <c r="K300" s="151"/>
      <c r="M300" s="151"/>
    </row>
    <row r="301" spans="9:13">
      <c r="I301" s="150"/>
      <c r="J301" s="151"/>
      <c r="K301" s="151"/>
      <c r="M301" s="151"/>
    </row>
    <row r="302" spans="9:13">
      <c r="I302" s="150"/>
      <c r="J302" s="151"/>
      <c r="K302" s="151"/>
      <c r="M302" s="151"/>
    </row>
    <row r="303" spans="9:13">
      <c r="I303" s="150"/>
      <c r="J303" s="151"/>
      <c r="K303" s="151"/>
      <c r="M303" s="151"/>
    </row>
    <row r="304" spans="9:13">
      <c r="I304" s="150"/>
      <c r="J304" s="151"/>
      <c r="K304" s="151"/>
      <c r="M304" s="151"/>
    </row>
    <row r="305" spans="9:13">
      <c r="I305" s="150"/>
      <c r="J305" s="151"/>
      <c r="K305" s="151"/>
      <c r="M305" s="151"/>
    </row>
    <row r="306" spans="9:13">
      <c r="I306" s="150"/>
      <c r="J306" s="151"/>
      <c r="K306" s="151"/>
      <c r="M306" s="151"/>
    </row>
    <row r="307" spans="9:13">
      <c r="I307" s="150"/>
      <c r="J307" s="151"/>
      <c r="K307" s="151"/>
      <c r="M307" s="151"/>
    </row>
    <row r="308" spans="9:13">
      <c r="I308" s="150"/>
      <c r="J308" s="151"/>
      <c r="K308" s="151"/>
      <c r="M308" s="151"/>
    </row>
    <row r="309" spans="9:13">
      <c r="I309" s="150"/>
      <c r="J309" s="151"/>
      <c r="K309" s="151"/>
      <c r="M309" s="151"/>
    </row>
    <row r="310" spans="9:13">
      <c r="I310" s="150"/>
      <c r="J310" s="151"/>
      <c r="K310" s="151"/>
      <c r="M310" s="151"/>
    </row>
    <row r="311" spans="9:13">
      <c r="I311" s="150"/>
      <c r="J311" s="151"/>
      <c r="K311" s="151"/>
      <c r="M311" s="151"/>
    </row>
    <row r="312" spans="9:13">
      <c r="I312" s="150"/>
      <c r="J312" s="151"/>
      <c r="K312" s="151"/>
      <c r="M312" s="151"/>
    </row>
    <row r="313" spans="9:13">
      <c r="I313" s="150"/>
      <c r="J313" s="151"/>
      <c r="K313" s="151"/>
      <c r="M313" s="151"/>
    </row>
    <row r="314" spans="9:13">
      <c r="I314" s="150"/>
      <c r="J314" s="151"/>
      <c r="K314" s="151"/>
      <c r="M314" s="151"/>
    </row>
    <row r="315" spans="9:13">
      <c r="I315" s="150"/>
      <c r="J315" s="151"/>
      <c r="K315" s="151"/>
      <c r="M315" s="151"/>
    </row>
    <row r="316" spans="9:13">
      <c r="I316" s="150"/>
      <c r="J316" s="151"/>
      <c r="K316" s="151"/>
      <c r="M316" s="151"/>
    </row>
    <row r="317" spans="9:13">
      <c r="I317" s="150"/>
      <c r="J317" s="151"/>
      <c r="K317" s="151"/>
      <c r="M317" s="151"/>
    </row>
    <row r="318" spans="9:13">
      <c r="I318" s="150"/>
      <c r="J318" s="151"/>
      <c r="K318" s="151"/>
      <c r="M318" s="151"/>
    </row>
    <row r="319" spans="9:13">
      <c r="I319" s="150"/>
      <c r="J319" s="151"/>
      <c r="K319" s="151"/>
      <c r="M319" s="151"/>
    </row>
    <row r="320" spans="9:13">
      <c r="I320" s="150"/>
      <c r="J320" s="151"/>
      <c r="K320" s="151"/>
      <c r="M320" s="151"/>
    </row>
    <row r="321" spans="9:13">
      <c r="I321" s="150"/>
      <c r="J321" s="151"/>
      <c r="K321" s="151"/>
      <c r="M321" s="151"/>
    </row>
    <row r="322" spans="9:13">
      <c r="I322" s="150"/>
      <c r="J322" s="151"/>
      <c r="K322" s="151"/>
      <c r="M322" s="151"/>
    </row>
    <row r="323" spans="9:13">
      <c r="I323" s="150"/>
      <c r="J323" s="151"/>
      <c r="K323" s="151"/>
      <c r="M323" s="151"/>
    </row>
    <row r="324" spans="9:13">
      <c r="I324" s="150"/>
      <c r="J324" s="151"/>
      <c r="K324" s="151"/>
      <c r="M324" s="151"/>
    </row>
    <row r="325" spans="9:13">
      <c r="I325" s="150"/>
      <c r="J325" s="151"/>
      <c r="K325" s="151"/>
      <c r="M325" s="151"/>
    </row>
    <row r="326" spans="9:13">
      <c r="I326" s="150"/>
      <c r="J326" s="151"/>
      <c r="K326" s="151"/>
      <c r="M326" s="151"/>
    </row>
    <row r="327" spans="9:13">
      <c r="I327" s="150"/>
      <c r="J327" s="151"/>
      <c r="K327" s="151"/>
      <c r="M327" s="151"/>
    </row>
    <row r="328" spans="9:13">
      <c r="I328" s="150"/>
      <c r="J328" s="151"/>
      <c r="K328" s="151"/>
      <c r="M328" s="151"/>
    </row>
    <row r="329" spans="9:13">
      <c r="I329" s="150"/>
      <c r="J329" s="151"/>
      <c r="K329" s="151"/>
      <c r="M329" s="151"/>
    </row>
    <row r="330" spans="9:13">
      <c r="I330" s="150"/>
      <c r="J330" s="151"/>
      <c r="K330" s="151"/>
      <c r="M330" s="151"/>
    </row>
    <row r="331" spans="9:13">
      <c r="I331" s="150"/>
      <c r="J331" s="151"/>
      <c r="K331" s="151"/>
      <c r="M331" s="151"/>
    </row>
    <row r="332" spans="9:13">
      <c r="I332" s="150"/>
      <c r="J332" s="151"/>
      <c r="K332" s="151"/>
      <c r="M332" s="151"/>
    </row>
    <row r="333" spans="9:13">
      <c r="I333" s="150"/>
      <c r="J333" s="151"/>
      <c r="K333" s="151"/>
      <c r="M333" s="151"/>
    </row>
    <row r="334" spans="9:13">
      <c r="I334" s="150"/>
      <c r="J334" s="151"/>
      <c r="K334" s="151"/>
      <c r="M334" s="151"/>
    </row>
    <row r="335" spans="9:13">
      <c r="I335" s="150"/>
      <c r="J335" s="151"/>
      <c r="K335" s="151"/>
      <c r="M335" s="151"/>
    </row>
    <row r="336" spans="9:13">
      <c r="I336" s="150"/>
      <c r="J336" s="151"/>
      <c r="K336" s="151"/>
      <c r="M336" s="151"/>
    </row>
    <row r="337" spans="9:13">
      <c r="I337" s="150"/>
      <c r="J337" s="151"/>
      <c r="K337" s="151"/>
      <c r="M337" s="151"/>
    </row>
    <row r="338" spans="9:13">
      <c r="I338" s="150"/>
      <c r="J338" s="151"/>
      <c r="K338" s="151"/>
      <c r="M338" s="151"/>
    </row>
    <row r="339" spans="9:13">
      <c r="I339" s="150"/>
      <c r="J339" s="151"/>
      <c r="K339" s="151"/>
      <c r="M339" s="151"/>
    </row>
    <row r="340" spans="9:13">
      <c r="I340" s="150"/>
      <c r="J340" s="151"/>
      <c r="K340" s="151"/>
      <c r="M340" s="151"/>
    </row>
    <row r="341" spans="9:13">
      <c r="I341" s="150"/>
      <c r="J341" s="151"/>
      <c r="K341" s="151"/>
      <c r="M341" s="151"/>
    </row>
    <row r="342" spans="9:13">
      <c r="I342" s="150"/>
      <c r="J342" s="151"/>
      <c r="K342" s="151"/>
      <c r="M342" s="151"/>
    </row>
    <row r="343" spans="9:13">
      <c r="I343" s="150"/>
      <c r="J343" s="151"/>
      <c r="K343" s="151"/>
      <c r="M343" s="151"/>
    </row>
    <row r="344" spans="9:13">
      <c r="I344" s="150"/>
      <c r="J344" s="151"/>
      <c r="K344" s="151"/>
      <c r="M344" s="151"/>
    </row>
    <row r="345" spans="9:13">
      <c r="I345" s="150"/>
      <c r="J345" s="151"/>
      <c r="K345" s="151"/>
      <c r="M345" s="151"/>
    </row>
    <row r="346" spans="9:13">
      <c r="I346" s="150"/>
      <c r="J346" s="151"/>
      <c r="K346" s="151"/>
      <c r="M346" s="151"/>
    </row>
    <row r="347" spans="9:13">
      <c r="I347" s="150"/>
      <c r="J347" s="151"/>
      <c r="K347" s="151"/>
      <c r="M347" s="151"/>
    </row>
    <row r="348" spans="9:13">
      <c r="I348" s="150"/>
      <c r="J348" s="151"/>
      <c r="K348" s="151"/>
      <c r="M348" s="151"/>
    </row>
    <row r="349" spans="9:13">
      <c r="I349" s="150"/>
      <c r="J349" s="151"/>
      <c r="K349" s="151"/>
      <c r="M349" s="151"/>
    </row>
    <row r="350" spans="9:13">
      <c r="I350" s="150"/>
      <c r="J350" s="151"/>
      <c r="K350" s="151"/>
      <c r="M350" s="151"/>
    </row>
    <row r="351" spans="9:13">
      <c r="I351" s="150"/>
      <c r="J351" s="151"/>
      <c r="K351" s="151"/>
      <c r="M351" s="151"/>
    </row>
    <row r="352" spans="9:13">
      <c r="I352" s="150"/>
      <c r="J352" s="151"/>
      <c r="K352" s="151"/>
      <c r="M352" s="151"/>
    </row>
    <row r="353" spans="9:13">
      <c r="I353" s="150"/>
      <c r="J353" s="151"/>
      <c r="K353" s="151"/>
      <c r="M353" s="151"/>
    </row>
    <row r="354" spans="9:13">
      <c r="I354" s="150"/>
      <c r="J354" s="151"/>
      <c r="K354" s="151"/>
      <c r="M354" s="151"/>
    </row>
    <row r="355" spans="9:13">
      <c r="I355" s="150"/>
      <c r="J355" s="151"/>
      <c r="K355" s="151"/>
      <c r="M355" s="151"/>
    </row>
    <row r="356" spans="9:13">
      <c r="I356" s="150"/>
      <c r="J356" s="151"/>
      <c r="K356" s="151"/>
      <c r="M356" s="151"/>
    </row>
    <row r="357" spans="9:13">
      <c r="I357" s="150"/>
      <c r="J357" s="151"/>
      <c r="K357" s="151"/>
      <c r="M357" s="151"/>
    </row>
    <row r="358" spans="9:13">
      <c r="I358" s="150"/>
      <c r="J358" s="151"/>
      <c r="K358" s="151"/>
      <c r="M358" s="151"/>
    </row>
    <row r="359" spans="9:13">
      <c r="I359" s="150"/>
      <c r="J359" s="151"/>
      <c r="K359" s="151"/>
      <c r="M359" s="151"/>
    </row>
    <row r="360" spans="9:13">
      <c r="I360" s="150"/>
      <c r="J360" s="151"/>
      <c r="K360" s="151"/>
      <c r="M360" s="151"/>
    </row>
    <row r="361" spans="9:13">
      <c r="I361" s="150"/>
      <c r="J361" s="151"/>
      <c r="K361" s="151"/>
      <c r="M361" s="151"/>
    </row>
    <row r="362" spans="9:13">
      <c r="I362" s="150"/>
      <c r="J362" s="151"/>
      <c r="K362" s="151"/>
      <c r="M362" s="151"/>
    </row>
    <row r="363" spans="9:13">
      <c r="I363" s="150"/>
      <c r="J363" s="151"/>
      <c r="K363" s="151"/>
      <c r="M363" s="151"/>
    </row>
    <row r="364" spans="9:13">
      <c r="I364" s="150"/>
      <c r="J364" s="151"/>
      <c r="K364" s="151"/>
      <c r="M364" s="151"/>
    </row>
    <row r="365" spans="9:13">
      <c r="I365" s="150"/>
      <c r="J365" s="151"/>
      <c r="K365" s="151"/>
      <c r="M365" s="151"/>
    </row>
    <row r="366" spans="9:13">
      <c r="I366" s="150"/>
      <c r="J366" s="151"/>
      <c r="K366" s="151"/>
      <c r="M366" s="151"/>
    </row>
    <row r="367" spans="9:13">
      <c r="I367" s="150"/>
      <c r="J367" s="151"/>
      <c r="K367" s="151"/>
      <c r="M367" s="151"/>
    </row>
    <row r="368" spans="9:13">
      <c r="I368" s="150"/>
      <c r="J368" s="151"/>
      <c r="K368" s="151"/>
      <c r="M368" s="151"/>
    </row>
    <row r="369" spans="9:13">
      <c r="I369" s="150"/>
      <c r="J369" s="151"/>
      <c r="K369" s="151"/>
      <c r="M369" s="151"/>
    </row>
    <row r="370" spans="9:13">
      <c r="I370" s="150"/>
      <c r="J370" s="151"/>
      <c r="K370" s="151"/>
      <c r="M370" s="151"/>
    </row>
    <row r="371" spans="9:13">
      <c r="I371" s="150"/>
      <c r="J371" s="151"/>
      <c r="K371" s="151"/>
      <c r="M371" s="151"/>
    </row>
    <row r="372" spans="9:13">
      <c r="I372" s="150"/>
      <c r="J372" s="151"/>
      <c r="K372" s="151"/>
      <c r="M372" s="151"/>
    </row>
    <row r="373" spans="9:13">
      <c r="I373" s="150"/>
      <c r="J373" s="151"/>
      <c r="K373" s="151"/>
      <c r="M373" s="151"/>
    </row>
    <row r="374" spans="9:13">
      <c r="I374" s="150"/>
      <c r="J374" s="151"/>
      <c r="K374" s="151"/>
      <c r="M374" s="151"/>
    </row>
    <row r="375" spans="9:13">
      <c r="I375" s="150"/>
      <c r="J375" s="151"/>
      <c r="K375" s="151"/>
      <c r="M375" s="151"/>
    </row>
    <row r="376" spans="9:13">
      <c r="I376" s="150"/>
      <c r="J376" s="151"/>
      <c r="K376" s="151"/>
      <c r="M376" s="151"/>
    </row>
    <row r="377" spans="9:13">
      <c r="I377" s="150"/>
      <c r="J377" s="151"/>
      <c r="K377" s="151"/>
      <c r="M377" s="151"/>
    </row>
    <row r="378" spans="9:13">
      <c r="I378" s="150"/>
      <c r="J378" s="151"/>
      <c r="K378" s="151"/>
      <c r="M378" s="151"/>
    </row>
    <row r="379" spans="9:13">
      <c r="I379" s="150"/>
      <c r="J379" s="151"/>
      <c r="K379" s="151"/>
      <c r="M379" s="151"/>
    </row>
    <row r="380" spans="9:13">
      <c r="I380" s="150"/>
      <c r="J380" s="151"/>
      <c r="K380" s="151"/>
      <c r="M380" s="151"/>
    </row>
    <row r="381" spans="9:13">
      <c r="I381" s="150"/>
      <c r="J381" s="151"/>
      <c r="K381" s="151"/>
      <c r="M381" s="151"/>
    </row>
    <row r="382" spans="9:13">
      <c r="I382" s="150"/>
      <c r="J382" s="151"/>
      <c r="K382" s="151"/>
      <c r="M382" s="151"/>
    </row>
    <row r="383" spans="9:13">
      <c r="I383" s="150"/>
      <c r="J383" s="151"/>
      <c r="K383" s="151"/>
      <c r="M383" s="151"/>
    </row>
    <row r="384" spans="9:13">
      <c r="I384" s="150"/>
      <c r="J384" s="151"/>
      <c r="K384" s="151"/>
      <c r="M384" s="151"/>
    </row>
    <row r="385" spans="9:13">
      <c r="I385" s="150"/>
      <c r="J385" s="151"/>
      <c r="K385" s="151"/>
      <c r="M385" s="151"/>
    </row>
    <row r="386" spans="9:13">
      <c r="I386" s="150"/>
      <c r="J386" s="151"/>
      <c r="K386" s="151"/>
      <c r="M386" s="151"/>
    </row>
    <row r="387" spans="9:13">
      <c r="I387" s="150"/>
      <c r="J387" s="151"/>
      <c r="K387" s="151"/>
      <c r="M387" s="151"/>
    </row>
    <row r="388" spans="9:13">
      <c r="I388" s="150"/>
      <c r="J388" s="151"/>
      <c r="K388" s="151"/>
      <c r="M388" s="151"/>
    </row>
    <row r="389" spans="9:13">
      <c r="I389" s="150"/>
      <c r="J389" s="151"/>
      <c r="K389" s="151"/>
      <c r="M389" s="151"/>
    </row>
    <row r="390" spans="9:13">
      <c r="I390" s="150"/>
      <c r="J390" s="151"/>
      <c r="K390" s="151"/>
      <c r="M390" s="151"/>
    </row>
    <row r="391" spans="9:13">
      <c r="I391" s="150"/>
      <c r="J391" s="151"/>
      <c r="K391" s="151"/>
      <c r="M391" s="151"/>
    </row>
    <row r="392" spans="9:13">
      <c r="I392" s="150"/>
      <c r="J392" s="151"/>
      <c r="K392" s="151"/>
      <c r="M392" s="151"/>
    </row>
    <row r="393" spans="9:13">
      <c r="I393" s="150"/>
      <c r="J393" s="151"/>
      <c r="K393" s="151"/>
      <c r="M393" s="151"/>
    </row>
    <row r="394" spans="9:13">
      <c r="I394" s="150"/>
      <c r="J394" s="151"/>
      <c r="K394" s="151"/>
      <c r="M394" s="151"/>
    </row>
    <row r="395" spans="9:13">
      <c r="I395" s="150"/>
      <c r="J395" s="151"/>
      <c r="K395" s="151"/>
      <c r="M395" s="151"/>
    </row>
    <row r="396" spans="9:13">
      <c r="I396" s="150"/>
      <c r="J396" s="151"/>
      <c r="K396" s="151"/>
      <c r="M396" s="151"/>
    </row>
    <row r="397" spans="9:13">
      <c r="I397" s="150"/>
      <c r="J397" s="151"/>
      <c r="K397" s="151"/>
      <c r="M397" s="151"/>
    </row>
    <row r="398" spans="9:13">
      <c r="I398" s="150"/>
      <c r="J398" s="151"/>
      <c r="K398" s="151"/>
      <c r="M398" s="151"/>
    </row>
    <row r="399" spans="9:13">
      <c r="I399" s="150"/>
      <c r="J399" s="151"/>
      <c r="K399" s="151"/>
      <c r="M399" s="151"/>
    </row>
    <row r="400" spans="9:13">
      <c r="I400" s="150"/>
      <c r="J400" s="151"/>
      <c r="K400" s="151"/>
      <c r="M400" s="151"/>
    </row>
    <row r="401" spans="9:13">
      <c r="I401" s="150"/>
      <c r="J401" s="151"/>
      <c r="K401" s="151"/>
      <c r="M401" s="151"/>
    </row>
    <row r="402" spans="9:13">
      <c r="I402" s="150"/>
      <c r="J402" s="151"/>
      <c r="K402" s="151"/>
      <c r="M402" s="151"/>
    </row>
    <row r="403" spans="9:13">
      <c r="I403" s="150"/>
      <c r="J403" s="151"/>
      <c r="K403" s="151"/>
      <c r="M403" s="151"/>
    </row>
    <row r="404" spans="9:13">
      <c r="I404" s="150"/>
      <c r="J404" s="151"/>
      <c r="K404" s="151"/>
      <c r="M404" s="151"/>
    </row>
    <row r="405" spans="9:13">
      <c r="I405" s="150"/>
      <c r="J405" s="151"/>
      <c r="K405" s="151"/>
      <c r="M405" s="151"/>
    </row>
    <row r="406" spans="9:13">
      <c r="I406" s="150"/>
      <c r="J406" s="151"/>
      <c r="K406" s="151"/>
      <c r="M406" s="151"/>
    </row>
    <row r="407" spans="9:13">
      <c r="I407" s="150"/>
      <c r="J407" s="151"/>
      <c r="K407" s="151"/>
      <c r="M407" s="151"/>
    </row>
    <row r="408" spans="9:13">
      <c r="I408" s="150"/>
      <c r="J408" s="151"/>
      <c r="K408" s="151"/>
      <c r="M408" s="151"/>
    </row>
    <row r="409" spans="9:13">
      <c r="I409" s="150"/>
      <c r="J409" s="151"/>
      <c r="K409" s="151"/>
      <c r="M409" s="151"/>
    </row>
    <row r="410" spans="9:13">
      <c r="I410" s="150"/>
      <c r="J410" s="151"/>
      <c r="K410" s="151"/>
      <c r="M410" s="151"/>
    </row>
    <row r="411" spans="9:13">
      <c r="I411" s="150"/>
      <c r="J411" s="151"/>
      <c r="K411" s="151"/>
      <c r="M411" s="151"/>
    </row>
    <row r="412" spans="9:13">
      <c r="I412" s="150"/>
      <c r="J412" s="151"/>
      <c r="K412" s="151"/>
      <c r="M412" s="151"/>
    </row>
    <row r="413" spans="9:13">
      <c r="I413" s="150"/>
      <c r="J413" s="151"/>
      <c r="K413" s="151"/>
      <c r="M413" s="151"/>
    </row>
    <row r="414" spans="9:13">
      <c r="I414" s="150"/>
      <c r="J414" s="151"/>
      <c r="K414" s="151"/>
      <c r="M414" s="151"/>
    </row>
    <row r="415" spans="9:13">
      <c r="I415" s="150"/>
      <c r="J415" s="151"/>
      <c r="K415" s="151"/>
      <c r="M415" s="151"/>
    </row>
    <row r="416" spans="9:13">
      <c r="I416" s="150"/>
      <c r="J416" s="151"/>
      <c r="K416" s="151"/>
      <c r="M416" s="151"/>
    </row>
    <row r="417" spans="9:13">
      <c r="I417" s="150"/>
      <c r="J417" s="151"/>
      <c r="K417" s="151"/>
      <c r="M417" s="151"/>
    </row>
    <row r="418" spans="9:13">
      <c r="I418" s="150"/>
      <c r="J418" s="151"/>
      <c r="K418" s="151"/>
      <c r="M418" s="151"/>
    </row>
    <row r="419" spans="9:13">
      <c r="I419" s="150"/>
      <c r="J419" s="151"/>
      <c r="K419" s="151"/>
      <c r="M419" s="151"/>
    </row>
    <row r="420" spans="9:13">
      <c r="I420" s="150"/>
      <c r="J420" s="151"/>
      <c r="K420" s="151"/>
      <c r="M420" s="151"/>
    </row>
    <row r="421" spans="9:13">
      <c r="I421" s="150"/>
      <c r="J421" s="151"/>
      <c r="K421" s="151"/>
      <c r="M421" s="151"/>
    </row>
    <row r="422" spans="9:13">
      <c r="I422" s="150"/>
      <c r="J422" s="151"/>
      <c r="K422" s="151"/>
      <c r="M422" s="151"/>
    </row>
    <row r="423" spans="9:13">
      <c r="I423" s="150"/>
      <c r="J423" s="151"/>
      <c r="K423" s="151"/>
      <c r="M423" s="151"/>
    </row>
    <row r="424" spans="9:13">
      <c r="I424" s="150"/>
      <c r="J424" s="151"/>
      <c r="K424" s="151"/>
      <c r="M424" s="151"/>
    </row>
    <row r="425" spans="9:13">
      <c r="I425" s="150"/>
      <c r="J425" s="151"/>
      <c r="K425" s="151"/>
      <c r="M425" s="151"/>
    </row>
    <row r="426" spans="9:13">
      <c r="I426" s="150"/>
      <c r="J426" s="151"/>
      <c r="K426" s="151"/>
      <c r="M426" s="151"/>
    </row>
    <row r="427" spans="9:13">
      <c r="I427" s="150"/>
      <c r="J427" s="151"/>
      <c r="K427" s="151"/>
      <c r="M427" s="151"/>
    </row>
    <row r="428" spans="9:13">
      <c r="I428" s="150"/>
      <c r="J428" s="151"/>
      <c r="K428" s="151"/>
      <c r="M428" s="151"/>
    </row>
    <row r="429" spans="9:13">
      <c r="I429" s="150"/>
      <c r="J429" s="151"/>
      <c r="K429" s="151"/>
      <c r="M429" s="151"/>
    </row>
    <row r="430" spans="9:13">
      <c r="I430" s="150"/>
      <c r="J430" s="151"/>
      <c r="K430" s="151"/>
      <c r="M430" s="151"/>
    </row>
    <row r="431" spans="9:13">
      <c r="I431" s="150"/>
      <c r="J431" s="151"/>
      <c r="K431" s="151"/>
      <c r="M431" s="151"/>
    </row>
    <row r="432" spans="9:13">
      <c r="I432" s="150"/>
      <c r="J432" s="151"/>
      <c r="K432" s="151"/>
      <c r="M432" s="151"/>
    </row>
    <row r="433" spans="9:13">
      <c r="I433" s="150"/>
      <c r="J433" s="151"/>
      <c r="K433" s="151"/>
      <c r="M433" s="151"/>
    </row>
    <row r="434" spans="9:13">
      <c r="I434" s="150"/>
      <c r="J434" s="151"/>
      <c r="K434" s="151"/>
      <c r="M434" s="151"/>
    </row>
    <row r="435" spans="9:13">
      <c r="I435" s="150"/>
      <c r="J435" s="151"/>
      <c r="K435" s="151"/>
      <c r="M435" s="151"/>
    </row>
    <row r="436" spans="9:13">
      <c r="I436" s="150"/>
      <c r="J436" s="151"/>
      <c r="K436" s="151"/>
      <c r="M436" s="151"/>
    </row>
    <row r="437" spans="9:13">
      <c r="I437" s="150"/>
      <c r="J437" s="151"/>
      <c r="K437" s="151"/>
      <c r="M437" s="151"/>
    </row>
    <row r="438" spans="9:13">
      <c r="I438" s="150"/>
      <c r="J438" s="151"/>
      <c r="K438" s="151"/>
      <c r="M438" s="151"/>
    </row>
    <row r="439" spans="9:13">
      <c r="I439" s="150"/>
      <c r="J439" s="151"/>
      <c r="K439" s="151"/>
      <c r="M439" s="151"/>
    </row>
    <row r="440" spans="9:13">
      <c r="I440" s="150"/>
      <c r="J440" s="151"/>
      <c r="K440" s="151"/>
      <c r="M440" s="151"/>
    </row>
    <row r="441" spans="9:13">
      <c r="I441" s="150"/>
      <c r="J441" s="151"/>
      <c r="K441" s="151"/>
      <c r="M441" s="151"/>
    </row>
    <row r="442" spans="9:13">
      <c r="I442" s="150"/>
      <c r="J442" s="151"/>
      <c r="K442" s="151"/>
      <c r="M442" s="151"/>
    </row>
    <row r="443" spans="9:13">
      <c r="I443" s="150"/>
      <c r="J443" s="151"/>
      <c r="K443" s="151"/>
      <c r="M443" s="151"/>
    </row>
    <row r="444" spans="9:13">
      <c r="I444" s="150"/>
      <c r="J444" s="151"/>
      <c r="K444" s="151"/>
      <c r="M444" s="151"/>
    </row>
    <row r="445" spans="9:13">
      <c r="I445" s="150"/>
      <c r="J445" s="151"/>
      <c r="K445" s="151"/>
      <c r="M445" s="151"/>
    </row>
    <row r="446" spans="9:13">
      <c r="I446" s="150"/>
      <c r="J446" s="151"/>
      <c r="K446" s="151"/>
      <c r="M446" s="151"/>
    </row>
    <row r="447" spans="9:13">
      <c r="I447" s="150"/>
      <c r="J447" s="151"/>
      <c r="K447" s="151"/>
      <c r="M447" s="151"/>
    </row>
    <row r="448" spans="9:13">
      <c r="I448" s="150"/>
      <c r="J448" s="151"/>
      <c r="K448" s="151"/>
      <c r="M448" s="151"/>
    </row>
    <row r="449" spans="9:13">
      <c r="I449" s="150"/>
      <c r="J449" s="151"/>
      <c r="K449" s="151"/>
      <c r="M449" s="151"/>
    </row>
    <row r="450" spans="9:13">
      <c r="I450" s="150"/>
      <c r="J450" s="151"/>
      <c r="K450" s="151"/>
      <c r="M450" s="151"/>
    </row>
    <row r="451" spans="9:13">
      <c r="I451" s="150"/>
      <c r="J451" s="151"/>
      <c r="K451" s="151"/>
      <c r="M451" s="151"/>
    </row>
    <row r="452" spans="9:13">
      <c r="I452" s="150"/>
      <c r="J452" s="151"/>
      <c r="K452" s="151"/>
      <c r="M452" s="151"/>
    </row>
    <row r="453" spans="9:13">
      <c r="I453" s="150"/>
      <c r="J453" s="151"/>
      <c r="K453" s="151"/>
      <c r="M453" s="151"/>
    </row>
    <row r="454" spans="9:13">
      <c r="I454" s="150"/>
      <c r="J454" s="151"/>
      <c r="K454" s="151"/>
      <c r="M454" s="151"/>
    </row>
    <row r="455" spans="9:13">
      <c r="I455" s="150"/>
      <c r="J455" s="151"/>
      <c r="K455" s="151"/>
      <c r="M455" s="151"/>
    </row>
    <row r="456" spans="9:13">
      <c r="I456" s="150"/>
      <c r="J456" s="151"/>
      <c r="K456" s="151"/>
      <c r="M456" s="151"/>
    </row>
    <row r="457" spans="9:13">
      <c r="I457" s="150"/>
      <c r="J457" s="151"/>
      <c r="K457" s="151"/>
      <c r="M457" s="151"/>
    </row>
    <row r="458" spans="9:13">
      <c r="I458" s="150"/>
      <c r="J458" s="151"/>
      <c r="K458" s="151"/>
      <c r="M458" s="151"/>
    </row>
    <row r="459" spans="9:13">
      <c r="I459" s="150"/>
      <c r="J459" s="151"/>
      <c r="K459" s="151"/>
      <c r="M459" s="151"/>
    </row>
    <row r="460" spans="9:13">
      <c r="I460" s="150"/>
      <c r="J460" s="151"/>
      <c r="K460" s="151"/>
      <c r="M460" s="151"/>
    </row>
    <row r="461" spans="9:13">
      <c r="I461" s="150"/>
      <c r="J461" s="151"/>
      <c r="K461" s="151"/>
      <c r="M461" s="151"/>
    </row>
    <row r="462" spans="9:13">
      <c r="I462" s="150"/>
      <c r="J462" s="151"/>
      <c r="K462" s="151"/>
      <c r="M462" s="151"/>
    </row>
    <row r="463" spans="9:13">
      <c r="I463" s="150"/>
      <c r="J463" s="151"/>
      <c r="K463" s="151"/>
      <c r="M463" s="151"/>
    </row>
    <row r="464" spans="9:13">
      <c r="I464" s="150"/>
      <c r="J464" s="151"/>
      <c r="K464" s="151"/>
      <c r="M464" s="151"/>
    </row>
    <row r="465" spans="9:13">
      <c r="I465" s="150"/>
      <c r="J465" s="151"/>
      <c r="K465" s="151"/>
      <c r="M465" s="151"/>
    </row>
    <row r="466" spans="9:13">
      <c r="I466" s="150"/>
      <c r="J466" s="151"/>
      <c r="K466" s="151"/>
      <c r="M466" s="151"/>
    </row>
    <row r="467" spans="9:13">
      <c r="I467" s="150"/>
      <c r="J467" s="151"/>
      <c r="K467" s="151"/>
      <c r="M467" s="151"/>
    </row>
    <row r="468" spans="9:13">
      <c r="I468" s="150"/>
      <c r="J468" s="151"/>
      <c r="K468" s="151"/>
      <c r="M468" s="151"/>
    </row>
    <row r="469" spans="9:13">
      <c r="I469" s="150"/>
      <c r="J469" s="151"/>
      <c r="K469" s="151"/>
      <c r="M469" s="151"/>
    </row>
    <row r="470" spans="9:13">
      <c r="I470" s="150"/>
      <c r="J470" s="151"/>
      <c r="K470" s="151"/>
      <c r="M470" s="151"/>
    </row>
    <row r="471" spans="9:13">
      <c r="I471" s="150"/>
      <c r="J471" s="151"/>
      <c r="K471" s="151"/>
      <c r="M471" s="151"/>
    </row>
    <row r="472" spans="9:13">
      <c r="I472" s="150"/>
      <c r="J472" s="151"/>
      <c r="K472" s="151"/>
      <c r="M472" s="151"/>
    </row>
    <row r="473" spans="9:13">
      <c r="I473" s="150"/>
      <c r="J473" s="151"/>
      <c r="K473" s="151"/>
      <c r="M473" s="151"/>
    </row>
    <row r="474" spans="9:13">
      <c r="I474" s="150"/>
      <c r="J474" s="151"/>
      <c r="K474" s="151"/>
      <c r="M474" s="151"/>
    </row>
    <row r="475" spans="9:13">
      <c r="I475" s="150"/>
      <c r="J475" s="151"/>
      <c r="K475" s="151"/>
      <c r="M475" s="151"/>
    </row>
    <row r="476" spans="9:13">
      <c r="I476" s="150"/>
      <c r="J476" s="151"/>
      <c r="K476" s="151"/>
      <c r="M476" s="151"/>
    </row>
    <row r="477" spans="9:13">
      <c r="I477" s="150"/>
      <c r="J477" s="151"/>
      <c r="K477" s="151"/>
      <c r="M477" s="151"/>
    </row>
    <row r="478" spans="9:13">
      <c r="I478" s="150"/>
      <c r="J478" s="151"/>
      <c r="K478" s="151"/>
      <c r="M478" s="151"/>
    </row>
    <row r="479" spans="9:13">
      <c r="I479" s="150"/>
      <c r="J479" s="151"/>
      <c r="K479" s="151"/>
      <c r="M479" s="151"/>
    </row>
    <row r="480" spans="9:13">
      <c r="I480" s="150"/>
      <c r="J480" s="151"/>
      <c r="K480" s="151"/>
      <c r="M480" s="151"/>
    </row>
    <row r="481" spans="9:13">
      <c r="I481" s="150"/>
      <c r="J481" s="151"/>
      <c r="K481" s="151"/>
      <c r="M481" s="151"/>
    </row>
    <row r="482" spans="9:13">
      <c r="I482" s="150"/>
      <c r="J482" s="151"/>
      <c r="K482" s="151"/>
      <c r="M482" s="151"/>
    </row>
    <row r="483" spans="9:13">
      <c r="I483" s="150"/>
      <c r="J483" s="151"/>
      <c r="K483" s="151"/>
      <c r="M483" s="151"/>
    </row>
    <row r="484" spans="9:13">
      <c r="I484" s="150"/>
      <c r="J484" s="151"/>
      <c r="K484" s="151"/>
      <c r="M484" s="151"/>
    </row>
    <row r="485" spans="9:13">
      <c r="I485" s="150"/>
      <c r="J485" s="151"/>
      <c r="K485" s="151"/>
      <c r="M485" s="151"/>
    </row>
    <row r="486" spans="9:13">
      <c r="I486" s="150"/>
      <c r="J486" s="151"/>
      <c r="K486" s="151"/>
      <c r="M486" s="151"/>
    </row>
    <row r="487" spans="9:13">
      <c r="I487" s="150"/>
      <c r="J487" s="151"/>
      <c r="K487" s="151"/>
      <c r="M487" s="151"/>
    </row>
    <row r="488" spans="9:13">
      <c r="I488" s="150"/>
      <c r="J488" s="151"/>
      <c r="K488" s="151"/>
      <c r="M488" s="151"/>
    </row>
    <row r="489" spans="9:13">
      <c r="I489" s="150"/>
      <c r="J489" s="151"/>
      <c r="K489" s="151"/>
      <c r="M489" s="151"/>
    </row>
    <row r="490" spans="9:13">
      <c r="I490" s="150"/>
      <c r="J490" s="151"/>
      <c r="K490" s="151"/>
      <c r="M490" s="151"/>
    </row>
    <row r="491" spans="9:13">
      <c r="I491" s="150"/>
      <c r="J491" s="151"/>
      <c r="K491" s="151"/>
      <c r="M491" s="151"/>
    </row>
    <row r="492" spans="9:13">
      <c r="I492" s="150"/>
      <c r="J492" s="151"/>
      <c r="K492" s="151"/>
      <c r="M492" s="151"/>
    </row>
    <row r="493" spans="9:13">
      <c r="I493" s="150"/>
      <c r="J493" s="151"/>
      <c r="K493" s="151"/>
      <c r="M493" s="151"/>
    </row>
    <row r="494" spans="9:13">
      <c r="I494" s="150"/>
      <c r="J494" s="151"/>
      <c r="K494" s="151"/>
      <c r="M494" s="151"/>
    </row>
    <row r="495" spans="9:13">
      <c r="I495" s="150"/>
      <c r="J495" s="151"/>
      <c r="K495" s="151"/>
      <c r="M495" s="151"/>
    </row>
    <row r="496" spans="9:13">
      <c r="I496" s="150"/>
      <c r="J496" s="151"/>
      <c r="K496" s="151"/>
      <c r="M496" s="151"/>
    </row>
    <row r="497" spans="9:13">
      <c r="I497" s="150"/>
      <c r="J497" s="151"/>
      <c r="K497" s="151"/>
      <c r="M497" s="151"/>
    </row>
    <row r="498" spans="9:13">
      <c r="I498" s="150"/>
      <c r="J498" s="151"/>
      <c r="K498" s="151"/>
      <c r="M498" s="151"/>
    </row>
    <row r="499" spans="9:13">
      <c r="I499" s="150"/>
      <c r="J499" s="151"/>
      <c r="K499" s="151"/>
      <c r="M499" s="151"/>
    </row>
    <row r="500" spans="9:13">
      <c r="I500" s="150"/>
      <c r="J500" s="151"/>
      <c r="K500" s="151"/>
      <c r="M500" s="151"/>
    </row>
    <row r="501" spans="9:13">
      <c r="I501" s="150"/>
      <c r="J501" s="151"/>
      <c r="K501" s="151"/>
      <c r="M501" s="151"/>
    </row>
    <row r="502" spans="9:13">
      <c r="I502" s="150"/>
      <c r="J502" s="151"/>
      <c r="K502" s="151"/>
      <c r="M502" s="151"/>
    </row>
    <row r="503" spans="9:13">
      <c r="I503" s="150"/>
      <c r="J503" s="151"/>
      <c r="K503" s="151"/>
      <c r="M503" s="151"/>
    </row>
    <row r="504" spans="9:13">
      <c r="I504" s="150"/>
      <c r="J504" s="151"/>
      <c r="K504" s="151"/>
      <c r="M504" s="151"/>
    </row>
    <row r="505" spans="9:13">
      <c r="I505" s="150"/>
      <c r="J505" s="151"/>
      <c r="K505" s="151"/>
      <c r="M505" s="151"/>
    </row>
    <row r="506" spans="9:13">
      <c r="I506" s="150"/>
      <c r="J506" s="151"/>
      <c r="K506" s="151"/>
      <c r="M506" s="151"/>
    </row>
    <row r="507" spans="9:13">
      <c r="I507" s="150"/>
      <c r="J507" s="151"/>
      <c r="K507" s="151"/>
      <c r="M507" s="151"/>
    </row>
    <row r="508" spans="9:13">
      <c r="I508" s="150"/>
      <c r="J508" s="151"/>
      <c r="K508" s="151"/>
      <c r="M508" s="151"/>
    </row>
    <row r="509" spans="9:13">
      <c r="I509" s="150"/>
      <c r="J509" s="151"/>
      <c r="K509" s="151"/>
      <c r="M509" s="151"/>
    </row>
    <row r="510" spans="9:13">
      <c r="I510" s="150"/>
      <c r="J510" s="151"/>
      <c r="K510" s="151"/>
      <c r="M510" s="151"/>
    </row>
    <row r="511" spans="9:13">
      <c r="I511" s="150"/>
      <c r="J511" s="151"/>
      <c r="K511" s="151"/>
      <c r="M511" s="151"/>
    </row>
    <row r="512" spans="9:13">
      <c r="I512" s="150"/>
      <c r="J512" s="151"/>
      <c r="K512" s="151"/>
      <c r="M512" s="151"/>
    </row>
    <row r="513" spans="9:13">
      <c r="I513" s="150"/>
      <c r="J513" s="151"/>
      <c r="K513" s="151"/>
      <c r="M513" s="151"/>
    </row>
    <row r="514" spans="9:13">
      <c r="I514" s="150"/>
      <c r="J514" s="151"/>
      <c r="K514" s="151"/>
      <c r="M514" s="151"/>
    </row>
    <row r="515" spans="9:13">
      <c r="I515" s="150"/>
      <c r="J515" s="151"/>
      <c r="K515" s="151"/>
      <c r="M515" s="151"/>
    </row>
    <row r="516" spans="9:13">
      <c r="I516" s="150"/>
      <c r="J516" s="151"/>
      <c r="K516" s="151"/>
      <c r="M516" s="151"/>
    </row>
    <row r="517" spans="9:13">
      <c r="I517" s="150"/>
      <c r="J517" s="151"/>
      <c r="K517" s="151"/>
      <c r="M517" s="151"/>
    </row>
    <row r="518" spans="9:13">
      <c r="I518" s="150"/>
      <c r="J518" s="151"/>
      <c r="K518" s="151"/>
      <c r="M518" s="151"/>
    </row>
    <row r="519" spans="9:13">
      <c r="I519" s="150"/>
      <c r="J519" s="151"/>
      <c r="K519" s="151"/>
      <c r="M519" s="151"/>
    </row>
    <row r="520" spans="9:13">
      <c r="I520" s="150"/>
      <c r="J520" s="151"/>
      <c r="K520" s="151"/>
      <c r="M520" s="151"/>
    </row>
    <row r="521" spans="9:13">
      <c r="I521" s="150"/>
      <c r="J521" s="151"/>
      <c r="K521" s="151"/>
      <c r="M521" s="151"/>
    </row>
    <row r="522" spans="9:13">
      <c r="I522" s="150"/>
      <c r="J522" s="151"/>
      <c r="K522" s="151"/>
      <c r="M522" s="151"/>
    </row>
    <row r="523" spans="9:13">
      <c r="I523" s="150"/>
      <c r="J523" s="151"/>
      <c r="K523" s="151"/>
      <c r="M523" s="151"/>
    </row>
    <row r="524" spans="9:13">
      <c r="I524" s="150"/>
      <c r="J524" s="151"/>
      <c r="K524" s="151"/>
      <c r="M524" s="151"/>
    </row>
    <row r="525" spans="9:13">
      <c r="I525" s="150"/>
      <c r="J525" s="151"/>
      <c r="K525" s="151"/>
      <c r="M525" s="151"/>
    </row>
    <row r="526" spans="9:13">
      <c r="I526" s="150"/>
      <c r="J526" s="151"/>
      <c r="K526" s="151"/>
      <c r="M526" s="151"/>
    </row>
    <row r="527" spans="9:13">
      <c r="I527" s="150"/>
      <c r="J527" s="151"/>
      <c r="K527" s="151"/>
      <c r="M527" s="151"/>
    </row>
    <row r="528" spans="9:13">
      <c r="I528" s="150"/>
      <c r="J528" s="151"/>
      <c r="K528" s="151"/>
      <c r="M528" s="151"/>
    </row>
    <row r="529" spans="9:13">
      <c r="I529" s="150"/>
      <c r="J529" s="151"/>
      <c r="K529" s="151"/>
      <c r="M529" s="151"/>
    </row>
    <row r="530" spans="9:13">
      <c r="I530" s="150"/>
      <c r="J530" s="151"/>
      <c r="K530" s="151"/>
      <c r="M530" s="151"/>
    </row>
    <row r="531" spans="9:13">
      <c r="I531" s="150"/>
      <c r="J531" s="151"/>
      <c r="K531" s="151"/>
      <c r="M531" s="151"/>
    </row>
    <row r="532" spans="9:13">
      <c r="I532" s="150"/>
      <c r="J532" s="151"/>
      <c r="K532" s="151"/>
      <c r="M532" s="151"/>
    </row>
    <row r="533" spans="9:13">
      <c r="I533" s="150"/>
      <c r="J533" s="151"/>
      <c r="K533" s="151"/>
      <c r="M533" s="151"/>
    </row>
    <row r="534" spans="9:13">
      <c r="I534" s="150"/>
      <c r="J534" s="151"/>
      <c r="K534" s="151"/>
      <c r="M534" s="151"/>
    </row>
    <row r="535" spans="9:13">
      <c r="I535" s="150"/>
      <c r="J535" s="151"/>
      <c r="K535" s="151"/>
      <c r="M535" s="151"/>
    </row>
    <row r="536" spans="9:13">
      <c r="I536" s="150"/>
      <c r="J536" s="151"/>
      <c r="K536" s="151"/>
      <c r="M536" s="151"/>
    </row>
    <row r="537" spans="9:13">
      <c r="I537" s="150"/>
      <c r="J537" s="151"/>
      <c r="K537" s="151"/>
      <c r="M537" s="151"/>
    </row>
    <row r="538" spans="9:13">
      <c r="I538" s="150"/>
      <c r="J538" s="151"/>
      <c r="K538" s="151"/>
      <c r="M538" s="151"/>
    </row>
    <row r="539" spans="9:13">
      <c r="I539" s="150"/>
      <c r="J539" s="151"/>
      <c r="K539" s="151"/>
      <c r="M539" s="151"/>
    </row>
    <row r="540" spans="9:13">
      <c r="I540" s="150"/>
      <c r="J540" s="151"/>
      <c r="K540" s="151"/>
      <c r="M540" s="151"/>
    </row>
    <row r="541" spans="9:13">
      <c r="I541" s="150"/>
      <c r="J541" s="151"/>
      <c r="K541" s="151"/>
      <c r="M541" s="151"/>
    </row>
    <row r="542" spans="9:13">
      <c r="I542" s="150"/>
      <c r="J542" s="151"/>
      <c r="K542" s="151"/>
      <c r="M542" s="151"/>
    </row>
    <row r="543" spans="9:13">
      <c r="I543" s="150"/>
      <c r="J543" s="151"/>
      <c r="K543" s="151"/>
      <c r="M543" s="151"/>
    </row>
    <row r="544" spans="9:13">
      <c r="I544" s="150"/>
      <c r="J544" s="151"/>
      <c r="K544" s="151"/>
      <c r="M544" s="151"/>
    </row>
    <row r="545" spans="9:13">
      <c r="I545" s="150"/>
      <c r="J545" s="151"/>
      <c r="K545" s="151"/>
      <c r="M545" s="151"/>
    </row>
    <row r="546" spans="9:13">
      <c r="I546" s="150"/>
      <c r="J546" s="151"/>
      <c r="K546" s="151"/>
      <c r="M546" s="151"/>
    </row>
    <row r="547" spans="9:13">
      <c r="I547" s="150"/>
      <c r="J547" s="151"/>
      <c r="K547" s="151"/>
      <c r="M547" s="151"/>
    </row>
    <row r="548" spans="9:13">
      <c r="I548" s="150"/>
      <c r="J548" s="151"/>
      <c r="K548" s="151"/>
      <c r="M548" s="151"/>
    </row>
    <row r="549" spans="9:13">
      <c r="I549" s="150"/>
      <c r="J549" s="151"/>
      <c r="K549" s="151"/>
      <c r="M549" s="151"/>
    </row>
    <row r="550" spans="9:13">
      <c r="I550" s="150"/>
      <c r="J550" s="151"/>
      <c r="K550" s="151"/>
      <c r="M550" s="151"/>
    </row>
    <row r="551" spans="9:13">
      <c r="I551" s="150"/>
      <c r="J551" s="151"/>
      <c r="K551" s="151"/>
      <c r="M551" s="151"/>
    </row>
    <row r="552" spans="9:13">
      <c r="I552" s="150"/>
      <c r="J552" s="151"/>
      <c r="K552" s="151"/>
      <c r="M552" s="151"/>
    </row>
    <row r="553" spans="9:13">
      <c r="I553" s="150"/>
      <c r="J553" s="151"/>
      <c r="K553" s="151"/>
      <c r="M553" s="151"/>
    </row>
    <row r="554" spans="9:13">
      <c r="I554" s="150"/>
      <c r="J554" s="151"/>
      <c r="K554" s="151"/>
      <c r="M554" s="151"/>
    </row>
    <row r="555" spans="9:13">
      <c r="I555" s="150"/>
      <c r="J555" s="151"/>
      <c r="K555" s="151"/>
      <c r="M555" s="151"/>
    </row>
    <row r="556" spans="9:13">
      <c r="I556" s="150"/>
      <c r="J556" s="151"/>
      <c r="K556" s="151"/>
      <c r="M556" s="151"/>
    </row>
    <row r="557" spans="9:13">
      <c r="I557" s="150"/>
      <c r="J557" s="151"/>
      <c r="K557" s="151"/>
      <c r="M557" s="151"/>
    </row>
    <row r="558" spans="9:13">
      <c r="I558" s="150"/>
      <c r="J558" s="151"/>
      <c r="K558" s="151"/>
      <c r="M558" s="151"/>
    </row>
    <row r="559" spans="9:13">
      <c r="I559" s="150"/>
      <c r="J559" s="151"/>
      <c r="K559" s="151"/>
      <c r="M559" s="151"/>
    </row>
    <row r="560" spans="9:13">
      <c r="I560" s="150"/>
      <c r="J560" s="151"/>
      <c r="K560" s="151"/>
      <c r="M560" s="151"/>
    </row>
    <row r="561" spans="9:13">
      <c r="I561" s="150"/>
      <c r="J561" s="151"/>
      <c r="K561" s="151"/>
      <c r="M561" s="151"/>
    </row>
    <row r="562" spans="9:13">
      <c r="I562" s="150"/>
      <c r="J562" s="151"/>
      <c r="K562" s="151"/>
      <c r="M562" s="151"/>
    </row>
    <row r="563" spans="9:13">
      <c r="I563" s="150"/>
      <c r="J563" s="151"/>
      <c r="K563" s="151"/>
      <c r="M563" s="151"/>
    </row>
    <row r="564" spans="9:13">
      <c r="I564" s="150"/>
      <c r="J564" s="151"/>
      <c r="K564" s="151"/>
      <c r="M564" s="151"/>
    </row>
    <row r="565" spans="9:13">
      <c r="I565" s="150"/>
      <c r="J565" s="151"/>
      <c r="K565" s="151"/>
      <c r="M565" s="151"/>
    </row>
    <row r="566" spans="9:13">
      <c r="I566" s="150"/>
      <c r="J566" s="151"/>
      <c r="K566" s="151"/>
      <c r="M566" s="151"/>
    </row>
    <row r="567" spans="9:13">
      <c r="I567" s="150"/>
      <c r="J567" s="151"/>
      <c r="K567" s="151"/>
      <c r="M567" s="151"/>
    </row>
    <row r="568" spans="9:13">
      <c r="I568" s="150"/>
      <c r="J568" s="151"/>
      <c r="K568" s="151"/>
      <c r="M568" s="151"/>
    </row>
    <row r="569" spans="9:13">
      <c r="I569" s="150"/>
      <c r="J569" s="151"/>
      <c r="K569" s="151"/>
      <c r="M569" s="151"/>
    </row>
    <row r="570" spans="9:13">
      <c r="I570" s="150"/>
      <c r="J570" s="151"/>
      <c r="K570" s="151"/>
      <c r="M570" s="151"/>
    </row>
    <row r="571" spans="9:13">
      <c r="I571" s="150"/>
      <c r="J571" s="151"/>
      <c r="K571" s="151"/>
      <c r="M571" s="151"/>
    </row>
    <row r="572" spans="9:13">
      <c r="I572" s="150"/>
      <c r="J572" s="151"/>
      <c r="K572" s="151"/>
      <c r="M572" s="151"/>
    </row>
    <row r="573" spans="9:13">
      <c r="I573" s="150"/>
      <c r="J573" s="151"/>
      <c r="K573" s="151"/>
      <c r="M573" s="151"/>
    </row>
    <row r="574" spans="9:13">
      <c r="I574" s="150"/>
      <c r="J574" s="151"/>
      <c r="K574" s="151"/>
      <c r="M574" s="151"/>
    </row>
    <row r="575" spans="9:13">
      <c r="I575" s="150"/>
      <c r="J575" s="151"/>
      <c r="K575" s="151"/>
      <c r="M575" s="151"/>
    </row>
    <row r="576" spans="9:13">
      <c r="I576" s="150"/>
      <c r="J576" s="151"/>
      <c r="K576" s="151"/>
      <c r="M576" s="151"/>
    </row>
    <row r="577" spans="9:13">
      <c r="I577" s="150"/>
      <c r="J577" s="151"/>
      <c r="K577" s="151"/>
      <c r="M577" s="151"/>
    </row>
    <row r="578" spans="9:13">
      <c r="I578" s="150"/>
      <c r="J578" s="151"/>
      <c r="K578" s="151"/>
      <c r="M578" s="151"/>
    </row>
    <row r="579" spans="9:13">
      <c r="I579" s="150"/>
      <c r="J579" s="151"/>
      <c r="K579" s="151"/>
      <c r="M579" s="151"/>
    </row>
    <row r="580" spans="9:13">
      <c r="I580" s="150"/>
      <c r="J580" s="151"/>
      <c r="K580" s="151"/>
      <c r="M580" s="151"/>
    </row>
    <row r="581" spans="9:13">
      <c r="I581" s="150"/>
      <c r="J581" s="151"/>
      <c r="K581" s="151"/>
      <c r="M581" s="151"/>
    </row>
    <row r="582" spans="9:13">
      <c r="I582" s="150"/>
      <c r="J582" s="151"/>
      <c r="K582" s="151"/>
      <c r="M582" s="151"/>
    </row>
    <row r="583" spans="9:13">
      <c r="I583" s="150"/>
      <c r="J583" s="151"/>
      <c r="K583" s="151"/>
      <c r="M583" s="151"/>
    </row>
    <row r="584" spans="9:13">
      <c r="I584" s="150"/>
      <c r="J584" s="151"/>
      <c r="K584" s="151"/>
      <c r="M584" s="151"/>
    </row>
    <row r="585" spans="9:13">
      <c r="I585" s="150"/>
      <c r="J585" s="151"/>
      <c r="K585" s="151"/>
      <c r="M585" s="151"/>
    </row>
    <row r="586" spans="9:13">
      <c r="I586" s="150"/>
      <c r="J586" s="151"/>
      <c r="K586" s="151"/>
      <c r="M586" s="151"/>
    </row>
    <row r="587" spans="9:13">
      <c r="I587" s="150"/>
      <c r="J587" s="151"/>
      <c r="K587" s="151"/>
      <c r="M587" s="151"/>
    </row>
    <row r="588" spans="9:13">
      <c r="I588" s="150"/>
      <c r="J588" s="151"/>
      <c r="K588" s="151"/>
      <c r="M588" s="151"/>
    </row>
    <row r="589" spans="9:13">
      <c r="I589" s="150"/>
      <c r="J589" s="151"/>
      <c r="K589" s="151"/>
      <c r="M589" s="151"/>
    </row>
    <row r="590" spans="9:13">
      <c r="I590" s="150"/>
      <c r="J590" s="151"/>
      <c r="K590" s="151"/>
      <c r="M590" s="151"/>
    </row>
    <row r="591" spans="9:13">
      <c r="I591" s="150"/>
      <c r="J591" s="151"/>
      <c r="K591" s="151"/>
      <c r="M591" s="151"/>
    </row>
    <row r="592" spans="9:13">
      <c r="I592" s="150"/>
      <c r="J592" s="151"/>
      <c r="K592" s="151"/>
      <c r="M592" s="151"/>
    </row>
    <row r="593" spans="9:13">
      <c r="I593" s="150"/>
      <c r="J593" s="151"/>
      <c r="K593" s="151"/>
      <c r="M593" s="151"/>
    </row>
    <row r="594" spans="9:13">
      <c r="I594" s="150"/>
      <c r="J594" s="151"/>
      <c r="K594" s="151"/>
      <c r="M594" s="151"/>
    </row>
    <row r="595" spans="9:13">
      <c r="I595" s="150"/>
      <c r="J595" s="151"/>
      <c r="K595" s="151"/>
      <c r="M595" s="151"/>
    </row>
    <row r="596" spans="9:13">
      <c r="I596" s="150"/>
      <c r="J596" s="151"/>
      <c r="K596" s="151"/>
      <c r="M596" s="151"/>
    </row>
    <row r="597" spans="9:13">
      <c r="I597" s="150"/>
      <c r="J597" s="151"/>
      <c r="K597" s="151"/>
      <c r="M597" s="151"/>
    </row>
    <row r="598" spans="9:13">
      <c r="I598" s="150"/>
      <c r="J598" s="151"/>
      <c r="K598" s="151"/>
      <c r="M598" s="151"/>
    </row>
    <row r="599" spans="9:13">
      <c r="I599" s="150"/>
      <c r="J599" s="151"/>
      <c r="K599" s="151"/>
      <c r="M599" s="151"/>
    </row>
    <row r="600" spans="9:13">
      <c r="I600" s="150"/>
      <c r="J600" s="151"/>
      <c r="K600" s="151"/>
      <c r="M600" s="151"/>
    </row>
    <row r="601" spans="9:13">
      <c r="I601" s="150"/>
      <c r="J601" s="151"/>
      <c r="K601" s="151"/>
      <c r="M601" s="151"/>
    </row>
    <row r="602" spans="9:13">
      <c r="I602" s="150"/>
      <c r="J602" s="151"/>
      <c r="K602" s="151"/>
      <c r="M602" s="151"/>
    </row>
    <row r="603" spans="9:13">
      <c r="I603" s="150"/>
      <c r="J603" s="151"/>
      <c r="K603" s="151"/>
      <c r="M603" s="151"/>
    </row>
    <row r="604" spans="9:13">
      <c r="I604" s="150"/>
      <c r="J604" s="151"/>
      <c r="K604" s="151"/>
      <c r="M604" s="151"/>
    </row>
    <row r="605" spans="9:13">
      <c r="I605" s="150"/>
      <c r="J605" s="151"/>
      <c r="K605" s="151"/>
      <c r="M605" s="151"/>
    </row>
    <row r="606" spans="9:13">
      <c r="I606" s="150"/>
      <c r="J606" s="151"/>
      <c r="K606" s="151"/>
      <c r="M606" s="151"/>
    </row>
    <row r="607" spans="9:13">
      <c r="I607" s="150"/>
      <c r="J607" s="151"/>
      <c r="K607" s="151"/>
      <c r="M607" s="151"/>
    </row>
    <row r="608" spans="9:13">
      <c r="I608" s="150"/>
      <c r="J608" s="151"/>
      <c r="K608" s="151"/>
      <c r="M608" s="151"/>
    </row>
    <row r="609" spans="9:13">
      <c r="I609" s="150"/>
      <c r="J609" s="151"/>
      <c r="K609" s="151"/>
      <c r="M609" s="151"/>
    </row>
    <row r="610" spans="9:13">
      <c r="I610" s="150"/>
      <c r="J610" s="151"/>
      <c r="K610" s="151"/>
      <c r="M610" s="151"/>
    </row>
    <row r="611" spans="9:13">
      <c r="I611" s="150"/>
      <c r="J611" s="151"/>
      <c r="K611" s="151"/>
      <c r="M611" s="151"/>
    </row>
    <row r="612" spans="9:13">
      <c r="I612" s="150"/>
      <c r="J612" s="151"/>
      <c r="K612" s="151"/>
      <c r="M612" s="151"/>
    </row>
    <row r="613" spans="9:13">
      <c r="I613" s="150"/>
      <c r="J613" s="151"/>
      <c r="K613" s="151"/>
      <c r="M613" s="151"/>
    </row>
    <row r="614" spans="9:13">
      <c r="I614" s="150"/>
      <c r="J614" s="151"/>
      <c r="K614" s="151"/>
      <c r="M614" s="151"/>
    </row>
    <row r="615" spans="9:13">
      <c r="I615" s="150"/>
      <c r="J615" s="151"/>
      <c r="K615" s="151"/>
      <c r="M615" s="151"/>
    </row>
    <row r="616" spans="9:13">
      <c r="I616" s="150"/>
      <c r="J616" s="151"/>
      <c r="K616" s="151"/>
      <c r="M616" s="151"/>
    </row>
    <row r="617" spans="9:13">
      <c r="I617" s="150"/>
      <c r="J617" s="151"/>
      <c r="K617" s="151"/>
      <c r="M617" s="151"/>
    </row>
    <row r="618" spans="9:13">
      <c r="I618" s="150"/>
      <c r="J618" s="151"/>
      <c r="K618" s="151"/>
      <c r="M618" s="151"/>
    </row>
    <row r="619" spans="9:13">
      <c r="I619" s="150"/>
      <c r="J619" s="151"/>
      <c r="K619" s="151"/>
      <c r="M619" s="151"/>
    </row>
    <row r="620" spans="9:13">
      <c r="I620" s="150"/>
      <c r="J620" s="151"/>
      <c r="K620" s="151"/>
      <c r="M620" s="151"/>
    </row>
    <row r="621" spans="9:13">
      <c r="I621" s="150"/>
      <c r="J621" s="151"/>
      <c r="K621" s="151"/>
      <c r="M621" s="151"/>
    </row>
    <row r="622" spans="9:13">
      <c r="I622" s="150"/>
      <c r="J622" s="151"/>
      <c r="K622" s="151"/>
      <c r="M622" s="151"/>
    </row>
    <row r="623" spans="9:13">
      <c r="I623" s="150"/>
      <c r="J623" s="151"/>
      <c r="K623" s="151"/>
      <c r="M623" s="151"/>
    </row>
    <row r="624" spans="9:13">
      <c r="I624" s="150"/>
      <c r="J624" s="151"/>
      <c r="K624" s="151"/>
      <c r="M624" s="151"/>
    </row>
    <row r="625" spans="9:13">
      <c r="I625" s="150"/>
      <c r="J625" s="151"/>
      <c r="K625" s="151"/>
      <c r="M625" s="151"/>
    </row>
    <row r="626" spans="9:13">
      <c r="I626" s="150"/>
      <c r="J626" s="151"/>
      <c r="K626" s="151"/>
      <c r="M626" s="151"/>
    </row>
    <row r="627" spans="9:13">
      <c r="I627" s="150"/>
      <c r="J627" s="151"/>
      <c r="K627" s="151"/>
      <c r="M627" s="151"/>
    </row>
    <row r="628" spans="9:13">
      <c r="I628" s="150"/>
      <c r="J628" s="151"/>
      <c r="K628" s="151"/>
      <c r="M628" s="151"/>
    </row>
    <row r="629" spans="9:13">
      <c r="I629" s="150"/>
      <c r="J629" s="151"/>
      <c r="K629" s="151"/>
      <c r="M629" s="151"/>
    </row>
    <row r="630" spans="9:13">
      <c r="I630" s="150"/>
      <c r="J630" s="151"/>
      <c r="K630" s="151"/>
      <c r="M630" s="151"/>
    </row>
    <row r="631" spans="9:13">
      <c r="I631" s="150"/>
      <c r="J631" s="151"/>
      <c r="K631" s="151"/>
      <c r="M631" s="151"/>
    </row>
    <row r="632" spans="9:13">
      <c r="I632" s="150"/>
      <c r="J632" s="151"/>
      <c r="K632" s="151"/>
      <c r="M632" s="151"/>
    </row>
    <row r="633" spans="9:13">
      <c r="I633" s="150"/>
      <c r="J633" s="151"/>
      <c r="K633" s="151"/>
      <c r="M633" s="151"/>
    </row>
    <row r="634" spans="9:13">
      <c r="I634" s="150"/>
      <c r="J634" s="151"/>
      <c r="K634" s="151"/>
      <c r="M634" s="151"/>
    </row>
    <row r="635" spans="9:13">
      <c r="I635" s="150"/>
      <c r="J635" s="151"/>
      <c r="K635" s="151"/>
      <c r="M635" s="151"/>
    </row>
    <row r="636" spans="9:13">
      <c r="I636" s="150"/>
      <c r="J636" s="151"/>
      <c r="K636" s="151"/>
      <c r="M636" s="151"/>
    </row>
    <row r="637" spans="9:13">
      <c r="I637" s="150"/>
      <c r="J637" s="151"/>
      <c r="K637" s="151"/>
      <c r="M637" s="151"/>
    </row>
    <row r="638" spans="9:13">
      <c r="I638" s="150"/>
      <c r="J638" s="151"/>
      <c r="K638" s="151"/>
      <c r="M638" s="151"/>
    </row>
    <row r="639" spans="9:13">
      <c r="I639" s="150"/>
      <c r="J639" s="151"/>
      <c r="K639" s="151"/>
      <c r="M639" s="151"/>
    </row>
    <row r="640" spans="9:13">
      <c r="I640" s="150"/>
      <c r="J640" s="151"/>
      <c r="K640" s="151"/>
      <c r="M640" s="151"/>
    </row>
    <row r="641" spans="9:13">
      <c r="I641" s="150"/>
      <c r="J641" s="151"/>
      <c r="K641" s="151"/>
      <c r="M641" s="151"/>
    </row>
    <row r="642" spans="9:13">
      <c r="I642" s="150"/>
      <c r="J642" s="151"/>
      <c r="K642" s="151"/>
      <c r="M642" s="151"/>
    </row>
    <row r="643" spans="9:13">
      <c r="I643" s="150"/>
      <c r="J643" s="151"/>
      <c r="K643" s="151"/>
      <c r="M643" s="151"/>
    </row>
    <row r="644" spans="9:13">
      <c r="I644" s="150"/>
      <c r="J644" s="151"/>
      <c r="K644" s="151"/>
      <c r="M644" s="151"/>
    </row>
    <row r="645" spans="9:13">
      <c r="I645" s="150"/>
      <c r="J645" s="151"/>
      <c r="K645" s="151"/>
      <c r="M645" s="151"/>
    </row>
    <row r="646" spans="9:13">
      <c r="I646" s="150"/>
      <c r="J646" s="151"/>
      <c r="K646" s="151"/>
      <c r="M646" s="151"/>
    </row>
    <row r="647" spans="9:13">
      <c r="I647" s="150"/>
      <c r="J647" s="151"/>
      <c r="K647" s="151"/>
      <c r="M647" s="151"/>
    </row>
    <row r="648" spans="9:13">
      <c r="I648" s="150"/>
      <c r="J648" s="151"/>
      <c r="K648" s="151"/>
      <c r="M648" s="151"/>
    </row>
    <row r="649" spans="9:13">
      <c r="I649" s="150"/>
      <c r="J649" s="151"/>
      <c r="K649" s="151"/>
      <c r="M649" s="151"/>
    </row>
    <row r="650" spans="9:13">
      <c r="I650" s="150"/>
      <c r="J650" s="151"/>
      <c r="K650" s="151"/>
      <c r="M650" s="151"/>
    </row>
    <row r="651" spans="9:13">
      <c r="I651" s="150"/>
      <c r="J651" s="151"/>
      <c r="K651" s="151"/>
      <c r="M651" s="151"/>
    </row>
    <row r="652" spans="9:13">
      <c r="I652" s="150"/>
      <c r="J652" s="151"/>
      <c r="K652" s="151"/>
      <c r="M652" s="151"/>
    </row>
    <row r="653" spans="9:13">
      <c r="I653" s="150"/>
      <c r="J653" s="151"/>
      <c r="K653" s="151"/>
      <c r="M653" s="151"/>
    </row>
    <row r="654" spans="9:13">
      <c r="I654" s="150"/>
      <c r="J654" s="151"/>
      <c r="K654" s="151"/>
      <c r="M654" s="151"/>
    </row>
    <row r="655" spans="9:13">
      <c r="I655" s="150"/>
      <c r="J655" s="151"/>
      <c r="K655" s="151"/>
      <c r="M655" s="151"/>
    </row>
    <row r="656" spans="9:13">
      <c r="I656" s="150"/>
      <c r="J656" s="151"/>
      <c r="K656" s="151"/>
      <c r="M656" s="151"/>
    </row>
    <row r="657" spans="9:13">
      <c r="I657" s="150"/>
      <c r="J657" s="151"/>
      <c r="K657" s="151"/>
      <c r="M657" s="151"/>
    </row>
    <row r="658" spans="9:13">
      <c r="I658" s="150"/>
      <c r="J658" s="151"/>
      <c r="K658" s="151"/>
      <c r="M658" s="151"/>
    </row>
    <row r="659" spans="9:13">
      <c r="I659" s="150"/>
      <c r="J659" s="151"/>
      <c r="K659" s="151"/>
      <c r="M659" s="151"/>
    </row>
    <row r="660" spans="9:13">
      <c r="I660" s="150"/>
      <c r="J660" s="151"/>
      <c r="K660" s="151"/>
      <c r="M660" s="151"/>
    </row>
    <row r="661" spans="9:13">
      <c r="I661" s="150"/>
      <c r="J661" s="151"/>
      <c r="K661" s="151"/>
      <c r="M661" s="151"/>
    </row>
    <row r="662" spans="9:13">
      <c r="I662" s="150"/>
      <c r="J662" s="151"/>
      <c r="K662" s="151"/>
      <c r="M662" s="151"/>
    </row>
    <row r="663" spans="9:13">
      <c r="I663" s="150"/>
      <c r="J663" s="151"/>
      <c r="K663" s="151"/>
      <c r="M663" s="151"/>
    </row>
    <row r="664" spans="9:13">
      <c r="I664" s="150"/>
      <c r="J664" s="151"/>
      <c r="K664" s="151"/>
      <c r="M664" s="151"/>
    </row>
    <row r="665" spans="9:13">
      <c r="I665" s="150"/>
      <c r="J665" s="151"/>
      <c r="K665" s="151"/>
      <c r="M665" s="151"/>
    </row>
    <row r="666" spans="9:13">
      <c r="I666" s="150"/>
      <c r="J666" s="151"/>
      <c r="K666" s="151"/>
      <c r="M666" s="151"/>
    </row>
    <row r="667" spans="9:13">
      <c r="I667" s="150"/>
      <c r="J667" s="151"/>
      <c r="K667" s="151"/>
      <c r="M667" s="151"/>
    </row>
    <row r="668" spans="9:13">
      <c r="I668" s="150"/>
      <c r="J668" s="151"/>
      <c r="K668" s="151"/>
      <c r="M668" s="151"/>
    </row>
    <row r="669" spans="9:13">
      <c r="I669" s="150"/>
      <c r="J669" s="151"/>
      <c r="K669" s="151"/>
      <c r="M669" s="151"/>
    </row>
    <row r="670" spans="9:13">
      <c r="I670" s="150"/>
      <c r="J670" s="151"/>
      <c r="K670" s="151"/>
      <c r="M670" s="151"/>
    </row>
    <row r="671" spans="9:13">
      <c r="I671" s="150"/>
      <c r="J671" s="151"/>
      <c r="K671" s="151"/>
      <c r="M671" s="151"/>
    </row>
    <row r="672" spans="9:13">
      <c r="I672" s="150"/>
      <c r="J672" s="151"/>
      <c r="K672" s="151"/>
      <c r="M672" s="151"/>
    </row>
    <row r="673" spans="9:13">
      <c r="I673" s="150"/>
      <c r="J673" s="151"/>
      <c r="K673" s="151"/>
      <c r="M673" s="151"/>
    </row>
    <row r="674" spans="9:13">
      <c r="I674" s="150"/>
      <c r="J674" s="151"/>
      <c r="K674" s="151"/>
      <c r="M674" s="151"/>
    </row>
    <row r="675" spans="9:13">
      <c r="I675" s="150"/>
      <c r="J675" s="151"/>
      <c r="K675" s="151"/>
      <c r="M675" s="151"/>
    </row>
    <row r="676" spans="9:13">
      <c r="I676" s="150"/>
      <c r="J676" s="151"/>
      <c r="K676" s="151"/>
      <c r="M676" s="151"/>
    </row>
    <row r="677" spans="9:13">
      <c r="I677" s="150"/>
      <c r="J677" s="151"/>
      <c r="K677" s="151"/>
      <c r="M677" s="151"/>
    </row>
    <row r="678" spans="9:13">
      <c r="I678" s="150"/>
      <c r="J678" s="151"/>
      <c r="K678" s="151"/>
      <c r="M678" s="151"/>
    </row>
    <row r="679" spans="9:13">
      <c r="I679" s="150"/>
      <c r="J679" s="151"/>
      <c r="K679" s="151"/>
      <c r="M679" s="151"/>
    </row>
    <row r="680" spans="9:13">
      <c r="I680" s="150"/>
      <c r="J680" s="151"/>
      <c r="K680" s="151"/>
      <c r="M680" s="151"/>
    </row>
    <row r="681" spans="9:13">
      <c r="I681" s="150"/>
      <c r="J681" s="151"/>
      <c r="K681" s="151"/>
      <c r="M681" s="151"/>
    </row>
    <row r="682" spans="9:13">
      <c r="I682" s="150"/>
      <c r="J682" s="151"/>
      <c r="K682" s="151"/>
      <c r="M682" s="151"/>
    </row>
    <row r="683" spans="9:13">
      <c r="I683" s="150"/>
      <c r="J683" s="151"/>
      <c r="K683" s="151"/>
      <c r="M683" s="151"/>
    </row>
    <row r="684" spans="9:13">
      <c r="I684" s="150"/>
      <c r="J684" s="151"/>
      <c r="K684" s="151"/>
      <c r="M684" s="151"/>
    </row>
    <row r="685" spans="9:13">
      <c r="I685" s="150"/>
      <c r="J685" s="151"/>
      <c r="K685" s="151"/>
      <c r="M685" s="151"/>
    </row>
    <row r="686" spans="9:13">
      <c r="I686" s="150"/>
      <c r="J686" s="151"/>
      <c r="K686" s="151"/>
      <c r="M686" s="151"/>
    </row>
    <row r="687" spans="9:13">
      <c r="I687" s="150"/>
      <c r="J687" s="151"/>
      <c r="K687" s="151"/>
      <c r="M687" s="151"/>
    </row>
    <row r="688" spans="9:13">
      <c r="I688" s="150"/>
      <c r="J688" s="151"/>
      <c r="K688" s="151"/>
      <c r="M688" s="151"/>
    </row>
    <row r="689" spans="9:13">
      <c r="I689" s="150"/>
      <c r="J689" s="151"/>
      <c r="K689" s="151"/>
      <c r="M689" s="151"/>
    </row>
    <row r="690" spans="9:13">
      <c r="I690" s="150"/>
      <c r="J690" s="151"/>
      <c r="K690" s="151"/>
      <c r="M690" s="151"/>
    </row>
    <row r="691" spans="9:13">
      <c r="I691" s="150"/>
      <c r="J691" s="151"/>
      <c r="K691" s="151"/>
      <c r="M691" s="151"/>
    </row>
    <row r="692" spans="9:13">
      <c r="I692" s="150"/>
      <c r="J692" s="151"/>
      <c r="K692" s="151"/>
      <c r="M692" s="151"/>
    </row>
    <row r="693" spans="9:13">
      <c r="I693" s="150"/>
      <c r="J693" s="151"/>
      <c r="K693" s="151"/>
      <c r="M693" s="151"/>
    </row>
    <row r="694" spans="9:13">
      <c r="I694" s="150"/>
      <c r="J694" s="151"/>
      <c r="K694" s="151"/>
      <c r="M694" s="151"/>
    </row>
    <row r="695" spans="9:13">
      <c r="I695" s="150"/>
      <c r="J695" s="151"/>
      <c r="K695" s="151"/>
      <c r="M695" s="151"/>
    </row>
    <row r="696" spans="9:13">
      <c r="I696" s="150"/>
      <c r="J696" s="151"/>
      <c r="K696" s="151"/>
      <c r="M696" s="151"/>
    </row>
    <row r="697" spans="9:13">
      <c r="I697" s="150"/>
      <c r="J697" s="151"/>
      <c r="K697" s="151"/>
      <c r="M697" s="151"/>
    </row>
    <row r="698" spans="9:13">
      <c r="I698" s="150"/>
      <c r="J698" s="151"/>
      <c r="K698" s="151"/>
      <c r="M698" s="151"/>
    </row>
    <row r="699" spans="9:13">
      <c r="I699" s="150"/>
      <c r="J699" s="151"/>
      <c r="K699" s="151"/>
      <c r="M699" s="151"/>
    </row>
    <row r="700" spans="9:13">
      <c r="I700" s="150"/>
      <c r="J700" s="151"/>
      <c r="K700" s="151"/>
      <c r="M700" s="151"/>
    </row>
    <row r="701" spans="9:13">
      <c r="I701" s="150"/>
      <c r="J701" s="151"/>
      <c r="K701" s="151"/>
      <c r="M701" s="151"/>
    </row>
    <row r="702" spans="9:13">
      <c r="I702" s="150"/>
      <c r="J702" s="151"/>
      <c r="K702" s="151"/>
      <c r="M702" s="151"/>
    </row>
    <row r="703" spans="9:13">
      <c r="I703" s="150"/>
      <c r="J703" s="151"/>
      <c r="K703" s="151"/>
      <c r="M703" s="151"/>
    </row>
    <row r="704" spans="9:13">
      <c r="I704" s="150"/>
      <c r="J704" s="151"/>
      <c r="K704" s="151"/>
      <c r="M704" s="151"/>
    </row>
    <row r="705" spans="9:13">
      <c r="I705" s="150"/>
      <c r="J705" s="151"/>
      <c r="K705" s="151"/>
      <c r="M705" s="151"/>
    </row>
    <row r="706" spans="9:13">
      <c r="I706" s="150"/>
      <c r="J706" s="151"/>
      <c r="K706" s="151"/>
      <c r="M706" s="151"/>
    </row>
    <row r="707" spans="9:13">
      <c r="I707" s="150"/>
      <c r="J707" s="151"/>
      <c r="K707" s="151"/>
      <c r="M707" s="151"/>
    </row>
    <row r="708" spans="9:13">
      <c r="I708" s="150"/>
      <c r="J708" s="151"/>
      <c r="K708" s="151"/>
      <c r="M708" s="151"/>
    </row>
    <row r="709" spans="9:13">
      <c r="I709" s="150"/>
      <c r="J709" s="151"/>
      <c r="K709" s="151"/>
      <c r="M709" s="151"/>
    </row>
    <row r="710" spans="9:13">
      <c r="I710" s="150"/>
      <c r="J710" s="151"/>
      <c r="K710" s="151"/>
      <c r="M710" s="151"/>
    </row>
    <row r="711" spans="9:13">
      <c r="I711" s="150"/>
      <c r="J711" s="151"/>
      <c r="K711" s="151"/>
      <c r="M711" s="151"/>
    </row>
    <row r="712" spans="9:13">
      <c r="I712" s="150"/>
      <c r="J712" s="151"/>
      <c r="K712" s="151"/>
      <c r="M712" s="151"/>
    </row>
    <row r="713" spans="9:13">
      <c r="I713" s="150"/>
      <c r="J713" s="151"/>
      <c r="K713" s="151"/>
      <c r="M713" s="151"/>
    </row>
    <row r="714" spans="9:13">
      <c r="I714" s="150"/>
      <c r="J714" s="151"/>
      <c r="K714" s="151"/>
      <c r="M714" s="151"/>
    </row>
    <row r="715" spans="9:13">
      <c r="I715" s="150"/>
      <c r="J715" s="151"/>
      <c r="K715" s="151"/>
      <c r="M715" s="151"/>
    </row>
    <row r="716" spans="9:13">
      <c r="I716" s="150"/>
      <c r="J716" s="151"/>
      <c r="K716" s="151"/>
      <c r="M716" s="151"/>
    </row>
    <row r="717" spans="9:13">
      <c r="I717" s="150"/>
      <c r="J717" s="151"/>
      <c r="K717" s="151"/>
      <c r="M717" s="151"/>
    </row>
    <row r="718" spans="9:13">
      <c r="I718" s="150"/>
      <c r="J718" s="151"/>
      <c r="K718" s="151"/>
      <c r="M718" s="151"/>
    </row>
    <row r="719" spans="9:13">
      <c r="I719" s="150"/>
      <c r="J719" s="151"/>
      <c r="K719" s="151"/>
      <c r="M719" s="151"/>
    </row>
    <row r="720" spans="9:13">
      <c r="I720" s="150"/>
      <c r="J720" s="151"/>
      <c r="K720" s="151"/>
      <c r="M720" s="151"/>
    </row>
    <row r="721" spans="9:13">
      <c r="I721" s="150"/>
      <c r="J721" s="151"/>
      <c r="K721" s="151"/>
      <c r="M721" s="151"/>
    </row>
    <row r="722" spans="9:13">
      <c r="I722" s="150"/>
      <c r="J722" s="151"/>
      <c r="K722" s="151"/>
      <c r="M722" s="151"/>
    </row>
    <row r="723" spans="9:13">
      <c r="I723" s="150"/>
      <c r="J723" s="151"/>
      <c r="K723" s="151"/>
      <c r="M723" s="151"/>
    </row>
    <row r="724" spans="9:13">
      <c r="I724" s="150"/>
      <c r="J724" s="151"/>
      <c r="K724" s="151"/>
      <c r="M724" s="151"/>
    </row>
    <row r="725" spans="9:13">
      <c r="I725" s="150"/>
      <c r="J725" s="151"/>
      <c r="K725" s="151"/>
      <c r="M725" s="151"/>
    </row>
    <row r="726" spans="9:13">
      <c r="I726" s="150"/>
      <c r="J726" s="151"/>
      <c r="K726" s="151"/>
      <c r="M726" s="151"/>
    </row>
    <row r="727" spans="9:13">
      <c r="I727" s="150"/>
      <c r="J727" s="151"/>
      <c r="K727" s="151"/>
      <c r="M727" s="151"/>
    </row>
    <row r="728" spans="9:13">
      <c r="I728" s="150"/>
      <c r="J728" s="151"/>
      <c r="K728" s="151"/>
      <c r="M728" s="151"/>
    </row>
    <row r="729" spans="9:13">
      <c r="I729" s="150"/>
      <c r="J729" s="151"/>
      <c r="K729" s="151"/>
      <c r="M729" s="151"/>
    </row>
    <row r="730" spans="9:13">
      <c r="I730" s="150"/>
      <c r="J730" s="151"/>
      <c r="K730" s="151"/>
      <c r="M730" s="151"/>
    </row>
    <row r="731" spans="9:13">
      <c r="I731" s="150"/>
      <c r="J731" s="151"/>
      <c r="K731" s="151"/>
      <c r="M731" s="151"/>
    </row>
    <row r="732" spans="9:13">
      <c r="I732" s="150"/>
      <c r="J732" s="151"/>
      <c r="K732" s="151"/>
      <c r="M732" s="151"/>
    </row>
    <row r="733" spans="9:13">
      <c r="I733" s="150"/>
      <c r="J733" s="151"/>
      <c r="K733" s="151"/>
      <c r="M733" s="151"/>
    </row>
    <row r="734" spans="9:13">
      <c r="I734" s="150"/>
      <c r="J734" s="151"/>
      <c r="K734" s="151"/>
      <c r="M734" s="151"/>
    </row>
    <row r="735" spans="9:13">
      <c r="I735" s="150"/>
      <c r="J735" s="151"/>
      <c r="K735" s="151"/>
      <c r="M735" s="151"/>
    </row>
    <row r="736" spans="9:13">
      <c r="I736" s="150"/>
      <c r="J736" s="151"/>
      <c r="K736" s="151"/>
      <c r="M736" s="151"/>
    </row>
    <row r="737" spans="9:13">
      <c r="I737" s="150"/>
      <c r="J737" s="151"/>
      <c r="K737" s="151"/>
      <c r="M737" s="151"/>
    </row>
    <row r="738" spans="9:13">
      <c r="I738" s="150"/>
      <c r="J738" s="151"/>
      <c r="K738" s="151"/>
      <c r="M738" s="151"/>
    </row>
    <row r="739" spans="9:13">
      <c r="I739" s="150"/>
      <c r="J739" s="151"/>
      <c r="K739" s="151"/>
      <c r="M739" s="151"/>
    </row>
    <row r="740" spans="9:13">
      <c r="I740" s="150"/>
      <c r="J740" s="151"/>
      <c r="K740" s="151"/>
      <c r="M740" s="151"/>
    </row>
    <row r="741" spans="9:13">
      <c r="I741" s="150"/>
      <c r="J741" s="151"/>
      <c r="K741" s="151"/>
      <c r="M741" s="151"/>
    </row>
    <row r="742" spans="9:13">
      <c r="I742" s="150"/>
      <c r="J742" s="151"/>
      <c r="K742" s="151"/>
      <c r="M742" s="151"/>
    </row>
    <row r="743" spans="9:13">
      <c r="I743" s="150"/>
      <c r="J743" s="151"/>
      <c r="K743" s="151"/>
      <c r="M743" s="151"/>
    </row>
    <row r="744" spans="9:13">
      <c r="I744" s="150"/>
      <c r="J744" s="151"/>
      <c r="K744" s="151"/>
      <c r="M744" s="151"/>
    </row>
    <row r="745" spans="9:13">
      <c r="I745" s="150"/>
      <c r="J745" s="151"/>
      <c r="K745" s="151"/>
      <c r="M745" s="151"/>
    </row>
    <row r="746" spans="9:13">
      <c r="I746" s="150"/>
      <c r="J746" s="151"/>
      <c r="K746" s="151"/>
      <c r="M746" s="151"/>
    </row>
    <row r="747" spans="9:13">
      <c r="I747" s="150"/>
      <c r="J747" s="151"/>
      <c r="K747" s="151"/>
      <c r="M747" s="151"/>
    </row>
    <row r="748" spans="9:13">
      <c r="I748" s="150"/>
      <c r="J748" s="151"/>
      <c r="K748" s="151"/>
      <c r="M748" s="151"/>
    </row>
    <row r="749" spans="9:13">
      <c r="I749" s="150"/>
      <c r="J749" s="151"/>
      <c r="K749" s="151"/>
      <c r="M749" s="151"/>
    </row>
    <row r="750" spans="9:13">
      <c r="I750" s="150"/>
      <c r="J750" s="151"/>
      <c r="K750" s="151"/>
      <c r="M750" s="151"/>
    </row>
    <row r="751" spans="9:13">
      <c r="I751" s="150"/>
      <c r="J751" s="151"/>
      <c r="K751" s="151"/>
      <c r="M751" s="151"/>
    </row>
    <row r="752" spans="9:13">
      <c r="I752" s="150"/>
      <c r="J752" s="151"/>
      <c r="K752" s="151"/>
      <c r="M752" s="151"/>
    </row>
    <row r="753" spans="9:13">
      <c r="I753" s="150"/>
      <c r="J753" s="151"/>
      <c r="K753" s="151"/>
      <c r="M753" s="151"/>
    </row>
    <row r="754" spans="9:13">
      <c r="I754" s="150"/>
      <c r="J754" s="151"/>
      <c r="K754" s="151"/>
      <c r="M754" s="151"/>
    </row>
    <row r="755" spans="9:13">
      <c r="I755" s="150"/>
      <c r="J755" s="151"/>
      <c r="K755" s="151"/>
      <c r="M755" s="151"/>
    </row>
    <row r="756" spans="9:13">
      <c r="I756" s="150"/>
      <c r="J756" s="151"/>
      <c r="K756" s="151"/>
      <c r="M756" s="151"/>
    </row>
    <row r="757" spans="9:13">
      <c r="I757" s="150"/>
      <c r="J757" s="151"/>
      <c r="K757" s="151"/>
      <c r="M757" s="151"/>
    </row>
    <row r="758" spans="9:13">
      <c r="I758" s="150"/>
      <c r="J758" s="151"/>
      <c r="K758" s="151"/>
      <c r="M758" s="151"/>
    </row>
    <row r="759" spans="9:13">
      <c r="I759" s="150"/>
      <c r="J759" s="151"/>
      <c r="K759" s="151"/>
      <c r="M759" s="151"/>
    </row>
    <row r="760" spans="9:13">
      <c r="I760" s="150"/>
      <c r="J760" s="151"/>
      <c r="K760" s="151"/>
      <c r="M760" s="151"/>
    </row>
    <row r="761" spans="9:13">
      <c r="I761" s="150"/>
      <c r="J761" s="151"/>
      <c r="K761" s="151"/>
      <c r="M761" s="151"/>
    </row>
    <row r="762" spans="9:13">
      <c r="I762" s="150"/>
      <c r="J762" s="151"/>
      <c r="K762" s="151"/>
      <c r="M762" s="151"/>
    </row>
    <row r="763" spans="9:13">
      <c r="I763" s="150"/>
      <c r="J763" s="151"/>
      <c r="K763" s="151"/>
      <c r="M763" s="151"/>
    </row>
    <row r="764" spans="9:13">
      <c r="I764" s="150"/>
      <c r="J764" s="151"/>
      <c r="K764" s="151"/>
      <c r="M764" s="151"/>
    </row>
    <row r="765" spans="9:13">
      <c r="I765" s="150"/>
      <c r="J765" s="151"/>
      <c r="K765" s="151"/>
      <c r="M765" s="151"/>
    </row>
    <row r="766" spans="9:13">
      <c r="I766" s="150"/>
      <c r="J766" s="151"/>
      <c r="K766" s="151"/>
      <c r="M766" s="151"/>
    </row>
    <row r="767" spans="9:13">
      <c r="I767" s="150"/>
      <c r="J767" s="151"/>
      <c r="K767" s="151"/>
      <c r="M767" s="151"/>
    </row>
    <row r="768" spans="9:13">
      <c r="I768" s="150"/>
      <c r="J768" s="151"/>
      <c r="K768" s="151"/>
      <c r="M768" s="151"/>
    </row>
    <row r="769" spans="9:13">
      <c r="I769" s="150"/>
      <c r="J769" s="151"/>
      <c r="K769" s="151"/>
      <c r="M769" s="151"/>
    </row>
    <row r="770" spans="9:13">
      <c r="I770" s="150"/>
      <c r="J770" s="151"/>
      <c r="K770" s="151"/>
      <c r="M770" s="151"/>
    </row>
    <row r="771" spans="9:13">
      <c r="I771" s="150"/>
      <c r="J771" s="151"/>
      <c r="K771" s="151"/>
      <c r="M771" s="151"/>
    </row>
    <row r="772" spans="9:13">
      <c r="I772" s="150"/>
      <c r="J772" s="151"/>
      <c r="K772" s="151"/>
      <c r="M772" s="151"/>
    </row>
    <row r="773" spans="9:13">
      <c r="I773" s="150"/>
      <c r="J773" s="151"/>
      <c r="K773" s="151"/>
      <c r="M773" s="151"/>
    </row>
    <row r="774" spans="9:13">
      <c r="I774" s="150"/>
      <c r="J774" s="151"/>
      <c r="K774" s="151"/>
      <c r="M774" s="151"/>
    </row>
    <row r="775" spans="9:13">
      <c r="I775" s="150"/>
      <c r="J775" s="151"/>
      <c r="K775" s="151"/>
      <c r="M775" s="151"/>
    </row>
    <row r="776" spans="9:13">
      <c r="I776" s="150"/>
      <c r="J776" s="151"/>
      <c r="K776" s="151"/>
      <c r="M776" s="151"/>
    </row>
    <row r="777" spans="9:13">
      <c r="I777" s="150"/>
      <c r="J777" s="151"/>
      <c r="K777" s="151"/>
      <c r="M777" s="151"/>
    </row>
    <row r="778" spans="9:13">
      <c r="I778" s="150"/>
      <c r="J778" s="151"/>
      <c r="K778" s="151"/>
      <c r="M778" s="151"/>
    </row>
    <row r="779" spans="9:13">
      <c r="I779" s="150"/>
      <c r="J779" s="151"/>
      <c r="K779" s="151"/>
      <c r="M779" s="151"/>
    </row>
    <row r="780" spans="9:13">
      <c r="I780" s="150"/>
      <c r="J780" s="151"/>
      <c r="K780" s="151"/>
      <c r="M780" s="151"/>
    </row>
    <row r="781" spans="9:13">
      <c r="I781" s="150"/>
      <c r="J781" s="151"/>
      <c r="K781" s="151"/>
      <c r="M781" s="151"/>
    </row>
    <row r="782" spans="9:13">
      <c r="I782" s="150"/>
      <c r="J782" s="151"/>
      <c r="K782" s="151"/>
      <c r="M782" s="151"/>
    </row>
    <row r="783" spans="9:13">
      <c r="I783" s="150"/>
      <c r="J783" s="151"/>
      <c r="K783" s="151"/>
      <c r="M783" s="151"/>
    </row>
    <row r="784" spans="9:13">
      <c r="I784" s="150"/>
      <c r="J784" s="151"/>
      <c r="K784" s="151"/>
      <c r="M784" s="151"/>
    </row>
    <row r="785" spans="9:13">
      <c r="I785" s="150"/>
      <c r="J785" s="151"/>
      <c r="K785" s="151"/>
      <c r="M785" s="151"/>
    </row>
    <row r="786" spans="9:13">
      <c r="I786" s="150"/>
      <c r="J786" s="151"/>
      <c r="K786" s="151"/>
      <c r="M786" s="151"/>
    </row>
    <row r="787" spans="9:13">
      <c r="I787" s="150"/>
      <c r="J787" s="151"/>
      <c r="K787" s="151"/>
      <c r="M787" s="151"/>
    </row>
    <row r="788" spans="9:13">
      <c r="I788" s="150"/>
      <c r="J788" s="151"/>
      <c r="K788" s="151"/>
      <c r="M788" s="151"/>
    </row>
    <row r="789" spans="9:13">
      <c r="I789" s="150"/>
      <c r="J789" s="151"/>
      <c r="K789" s="151"/>
      <c r="M789" s="151"/>
    </row>
    <row r="790" spans="9:13">
      <c r="I790" s="150"/>
      <c r="J790" s="151"/>
      <c r="K790" s="151"/>
      <c r="M790" s="151"/>
    </row>
    <row r="791" spans="9:13">
      <c r="I791" s="150"/>
      <c r="J791" s="151"/>
      <c r="K791" s="151"/>
      <c r="M791" s="151"/>
    </row>
    <row r="792" spans="9:13">
      <c r="I792" s="150"/>
      <c r="J792" s="151"/>
      <c r="K792" s="151"/>
      <c r="M792" s="151"/>
    </row>
    <row r="793" spans="9:13">
      <c r="I793" s="150"/>
      <c r="J793" s="151"/>
      <c r="K793" s="151"/>
      <c r="M793" s="151"/>
    </row>
    <row r="794" spans="9:13">
      <c r="I794" s="150"/>
      <c r="J794" s="151"/>
      <c r="K794" s="151"/>
      <c r="M794" s="151"/>
    </row>
    <row r="795" spans="9:13">
      <c r="I795" s="150"/>
      <c r="J795" s="151"/>
      <c r="K795" s="151"/>
      <c r="M795" s="151"/>
    </row>
    <row r="796" spans="9:13">
      <c r="I796" s="150"/>
      <c r="J796" s="151"/>
      <c r="K796" s="151"/>
      <c r="M796" s="151"/>
    </row>
    <row r="797" spans="9:13">
      <c r="I797" s="150"/>
      <c r="J797" s="151"/>
      <c r="K797" s="151"/>
      <c r="M797" s="151"/>
    </row>
    <row r="798" spans="9:13">
      <c r="I798" s="150"/>
      <c r="J798" s="151"/>
      <c r="K798" s="151"/>
      <c r="M798" s="151"/>
    </row>
    <row r="799" spans="9:13">
      <c r="I799" s="150"/>
      <c r="J799" s="151"/>
      <c r="K799" s="151"/>
      <c r="M799" s="151"/>
    </row>
    <row r="800" spans="9:13">
      <c r="I800" s="150"/>
      <c r="J800" s="151"/>
      <c r="K800" s="151"/>
      <c r="M800" s="151"/>
    </row>
    <row r="801" spans="9:13">
      <c r="I801" s="150"/>
      <c r="J801" s="151"/>
      <c r="K801" s="151"/>
      <c r="M801" s="151"/>
    </row>
    <row r="802" spans="9:13">
      <c r="I802" s="150"/>
      <c r="J802" s="151"/>
      <c r="K802" s="151"/>
      <c r="M802" s="151"/>
    </row>
    <row r="803" spans="9:13">
      <c r="I803" s="150"/>
      <c r="J803" s="151"/>
      <c r="K803" s="151"/>
      <c r="M803" s="151"/>
    </row>
    <row r="804" spans="9:13">
      <c r="I804" s="150"/>
      <c r="J804" s="151"/>
      <c r="K804" s="151"/>
      <c r="M804" s="151"/>
    </row>
    <row r="805" spans="9:13">
      <c r="I805" s="150"/>
      <c r="J805" s="151"/>
      <c r="K805" s="151"/>
      <c r="M805" s="151"/>
    </row>
    <row r="806" spans="9:13">
      <c r="I806" s="150"/>
      <c r="J806" s="151"/>
      <c r="K806" s="151"/>
      <c r="M806" s="151"/>
    </row>
    <row r="807" spans="9:13">
      <c r="I807" s="150"/>
      <c r="J807" s="151"/>
      <c r="K807" s="151"/>
      <c r="M807" s="151"/>
    </row>
    <row r="808" spans="9:13">
      <c r="I808" s="150"/>
      <c r="J808" s="151"/>
      <c r="K808" s="151"/>
      <c r="M808" s="151"/>
    </row>
    <row r="809" spans="9:13">
      <c r="I809" s="150"/>
      <c r="J809" s="151"/>
      <c r="K809" s="151"/>
      <c r="M809" s="151"/>
    </row>
    <row r="810" spans="9:13">
      <c r="I810" s="150"/>
      <c r="J810" s="151"/>
      <c r="K810" s="151"/>
      <c r="M810" s="151"/>
    </row>
    <row r="811" spans="9:13">
      <c r="I811" s="150"/>
      <c r="J811" s="151"/>
      <c r="K811" s="151"/>
      <c r="M811" s="151"/>
    </row>
    <row r="812" spans="9:13">
      <c r="I812" s="150"/>
      <c r="J812" s="151"/>
      <c r="K812" s="151"/>
      <c r="M812" s="151"/>
    </row>
    <row r="813" spans="9:13">
      <c r="I813" s="150"/>
      <c r="J813" s="151"/>
      <c r="K813" s="151"/>
      <c r="M813" s="151"/>
    </row>
    <row r="814" spans="9:13">
      <c r="I814" s="150"/>
      <c r="J814" s="151"/>
      <c r="K814" s="151"/>
      <c r="M814" s="151"/>
    </row>
    <row r="815" spans="9:13">
      <c r="I815" s="150"/>
      <c r="J815" s="151"/>
      <c r="K815" s="151"/>
      <c r="M815" s="151"/>
    </row>
    <row r="816" spans="9:13">
      <c r="I816" s="150"/>
      <c r="J816" s="151"/>
      <c r="K816" s="151"/>
      <c r="M816" s="151"/>
    </row>
    <row r="817" spans="9:13">
      <c r="I817" s="150"/>
      <c r="J817" s="151"/>
      <c r="K817" s="151"/>
      <c r="M817" s="151"/>
    </row>
    <row r="818" spans="9:13">
      <c r="I818" s="150"/>
      <c r="J818" s="151"/>
      <c r="K818" s="151"/>
      <c r="M818" s="151"/>
    </row>
    <row r="819" spans="9:13">
      <c r="I819" s="150"/>
      <c r="J819" s="151"/>
      <c r="K819" s="151"/>
      <c r="M819" s="151"/>
    </row>
    <row r="820" spans="9:13">
      <c r="I820" s="150"/>
      <c r="J820" s="151"/>
      <c r="K820" s="151"/>
      <c r="M820" s="151"/>
    </row>
    <row r="821" spans="9:13">
      <c r="I821" s="150"/>
      <c r="J821" s="151"/>
      <c r="K821" s="151"/>
      <c r="M821" s="151"/>
    </row>
    <row r="822" spans="9:13">
      <c r="I822" s="150"/>
      <c r="J822" s="151"/>
      <c r="K822" s="151"/>
      <c r="M822" s="151"/>
    </row>
    <row r="823" spans="9:13">
      <c r="I823" s="150"/>
      <c r="J823" s="151"/>
      <c r="K823" s="151"/>
      <c r="M823" s="151"/>
    </row>
    <row r="824" spans="9:13">
      <c r="I824" s="150"/>
      <c r="J824" s="151"/>
      <c r="K824" s="151"/>
      <c r="M824" s="151"/>
    </row>
    <row r="825" spans="9:13">
      <c r="I825" s="150"/>
      <c r="J825" s="151"/>
      <c r="K825" s="151"/>
      <c r="M825" s="151"/>
    </row>
    <row r="826" spans="9:13">
      <c r="I826" s="150"/>
      <c r="J826" s="151"/>
      <c r="K826" s="151"/>
      <c r="M826" s="151"/>
    </row>
    <row r="827" spans="9:13">
      <c r="I827" s="150"/>
      <c r="J827" s="151"/>
      <c r="K827" s="151"/>
      <c r="M827" s="151"/>
    </row>
    <row r="828" spans="9:13">
      <c r="I828" s="150"/>
      <c r="J828" s="151"/>
      <c r="K828" s="151"/>
      <c r="M828" s="151"/>
    </row>
    <row r="829" spans="9:13">
      <c r="I829" s="150"/>
      <c r="J829" s="151"/>
      <c r="K829" s="151"/>
      <c r="M829" s="151"/>
    </row>
    <row r="830" spans="9:13">
      <c r="I830" s="150"/>
      <c r="J830" s="151"/>
      <c r="K830" s="151"/>
      <c r="M830" s="151"/>
    </row>
    <row r="831" spans="9:13">
      <c r="I831" s="150"/>
      <c r="J831" s="151"/>
      <c r="K831" s="151"/>
      <c r="M831" s="151"/>
    </row>
    <row r="832" spans="9:13">
      <c r="I832" s="150"/>
      <c r="J832" s="151"/>
      <c r="K832" s="151"/>
      <c r="M832" s="151"/>
    </row>
    <row r="833" spans="9:13">
      <c r="I833" s="150"/>
      <c r="J833" s="151"/>
      <c r="K833" s="151"/>
      <c r="M833" s="151"/>
    </row>
    <row r="834" spans="9:13">
      <c r="I834" s="150"/>
      <c r="J834" s="151"/>
      <c r="K834" s="151"/>
      <c r="M834" s="151"/>
    </row>
    <row r="835" spans="9:13">
      <c r="I835" s="150"/>
      <c r="J835" s="151"/>
      <c r="K835" s="151"/>
      <c r="M835" s="151"/>
    </row>
    <row r="836" spans="9:13">
      <c r="I836" s="150"/>
      <c r="J836" s="151"/>
      <c r="K836" s="151"/>
      <c r="M836" s="151"/>
    </row>
    <row r="837" spans="9:13">
      <c r="I837" s="150"/>
      <c r="J837" s="151"/>
      <c r="K837" s="151"/>
      <c r="M837" s="151"/>
    </row>
    <row r="838" spans="9:13">
      <c r="I838" s="150"/>
      <c r="J838" s="151"/>
      <c r="K838" s="151"/>
      <c r="M838" s="151"/>
    </row>
    <row r="839" spans="9:13">
      <c r="I839" s="150"/>
      <c r="J839" s="151"/>
      <c r="K839" s="151"/>
      <c r="M839" s="151"/>
    </row>
    <row r="840" spans="9:13">
      <c r="I840" s="150"/>
      <c r="J840" s="151"/>
      <c r="K840" s="151"/>
      <c r="M840" s="151"/>
    </row>
    <row r="841" spans="9:13">
      <c r="I841" s="150"/>
      <c r="J841" s="151"/>
      <c r="K841" s="151"/>
      <c r="M841" s="151"/>
    </row>
    <row r="842" spans="9:13">
      <c r="I842" s="150"/>
      <c r="J842" s="151"/>
      <c r="K842" s="151"/>
      <c r="M842" s="151"/>
    </row>
    <row r="843" spans="9:13">
      <c r="I843" s="150"/>
      <c r="J843" s="151"/>
      <c r="K843" s="151"/>
      <c r="M843" s="151"/>
    </row>
    <row r="844" spans="9:13">
      <c r="I844" s="150"/>
      <c r="J844" s="151"/>
      <c r="K844" s="151"/>
      <c r="M844" s="151"/>
    </row>
    <row r="845" spans="9:13">
      <c r="I845" s="150"/>
      <c r="J845" s="151"/>
      <c r="K845" s="151"/>
      <c r="M845" s="151"/>
    </row>
    <row r="846" spans="9:13">
      <c r="I846" s="150"/>
      <c r="J846" s="151"/>
      <c r="K846" s="151"/>
      <c r="M846" s="151"/>
    </row>
    <row r="847" spans="9:13">
      <c r="I847" s="150"/>
      <c r="J847" s="151"/>
      <c r="K847" s="151"/>
      <c r="M847" s="151"/>
    </row>
    <row r="848" spans="9:13">
      <c r="I848" s="150"/>
      <c r="J848" s="151"/>
      <c r="K848" s="151"/>
      <c r="M848" s="151"/>
    </row>
    <row r="849" spans="9:13">
      <c r="I849" s="150"/>
      <c r="J849" s="151"/>
      <c r="K849" s="151"/>
      <c r="M849" s="151"/>
    </row>
    <row r="850" spans="9:13">
      <c r="I850" s="150"/>
      <c r="J850" s="151"/>
      <c r="K850" s="151"/>
      <c r="M850" s="151"/>
    </row>
    <row r="851" spans="9:13">
      <c r="I851" s="150"/>
      <c r="J851" s="151"/>
      <c r="K851" s="151"/>
      <c r="M851" s="151"/>
    </row>
    <row r="852" spans="9:13">
      <c r="I852" s="150"/>
      <c r="J852" s="151"/>
      <c r="K852" s="151"/>
      <c r="M852" s="151"/>
    </row>
    <row r="853" spans="9:13">
      <c r="I853" s="150"/>
      <c r="J853" s="151"/>
      <c r="K853" s="151"/>
      <c r="M853" s="151"/>
    </row>
    <row r="854" spans="9:13">
      <c r="I854" s="150"/>
      <c r="J854" s="151"/>
      <c r="K854" s="151"/>
      <c r="M854" s="151"/>
    </row>
    <row r="855" spans="9:13">
      <c r="I855" s="150"/>
      <c r="J855" s="151"/>
      <c r="K855" s="151"/>
      <c r="M855" s="151"/>
    </row>
    <row r="856" spans="9:13">
      <c r="I856" s="150"/>
      <c r="J856" s="151"/>
      <c r="K856" s="151"/>
      <c r="M856" s="151"/>
    </row>
    <row r="857" spans="9:13">
      <c r="I857" s="150"/>
      <c r="J857" s="151"/>
      <c r="K857" s="151"/>
      <c r="M857" s="151"/>
    </row>
    <row r="858" spans="9:13">
      <c r="I858" s="150"/>
      <c r="J858" s="151"/>
      <c r="K858" s="151"/>
      <c r="M858" s="151"/>
    </row>
    <row r="859" spans="9:13">
      <c r="I859" s="150"/>
      <c r="J859" s="151"/>
      <c r="K859" s="151"/>
      <c r="M859" s="151"/>
    </row>
    <row r="860" spans="9:13">
      <c r="I860" s="150"/>
      <c r="J860" s="151"/>
      <c r="K860" s="151"/>
      <c r="M860" s="151"/>
    </row>
    <row r="861" spans="9:13">
      <c r="I861" s="150"/>
      <c r="J861" s="151"/>
      <c r="K861" s="151"/>
      <c r="M861" s="151"/>
    </row>
    <row r="862" spans="9:13">
      <c r="I862" s="150"/>
      <c r="J862" s="151"/>
      <c r="K862" s="151"/>
      <c r="M862" s="151"/>
    </row>
    <row r="863" spans="9:13">
      <c r="I863" s="150"/>
      <c r="J863" s="151"/>
      <c r="K863" s="151"/>
      <c r="M863" s="151"/>
    </row>
    <row r="864" spans="9:13">
      <c r="I864" s="150"/>
      <c r="J864" s="151"/>
      <c r="K864" s="151"/>
      <c r="M864" s="151"/>
    </row>
    <row r="865" spans="9:13">
      <c r="I865" s="150"/>
      <c r="J865" s="151"/>
      <c r="K865" s="151"/>
      <c r="M865" s="151"/>
    </row>
    <row r="866" spans="9:13">
      <c r="I866" s="150"/>
      <c r="J866" s="151"/>
      <c r="K866" s="151"/>
      <c r="M866" s="151"/>
    </row>
    <row r="867" spans="9:13">
      <c r="I867" s="150"/>
      <c r="J867" s="151"/>
      <c r="K867" s="151"/>
      <c r="M867" s="151"/>
    </row>
    <row r="868" spans="9:13">
      <c r="I868" s="150"/>
      <c r="J868" s="151"/>
      <c r="K868" s="151"/>
      <c r="M868" s="151"/>
    </row>
    <row r="869" spans="9:13">
      <c r="I869" s="150"/>
      <c r="J869" s="151"/>
      <c r="K869" s="151"/>
      <c r="M869" s="151"/>
    </row>
    <row r="870" spans="9:13">
      <c r="I870" s="150"/>
      <c r="J870" s="151"/>
      <c r="K870" s="151"/>
      <c r="M870" s="151"/>
    </row>
    <row r="871" spans="9:13">
      <c r="I871" s="150"/>
      <c r="J871" s="151"/>
      <c r="K871" s="151"/>
      <c r="M871" s="151"/>
    </row>
    <row r="872" spans="9:13">
      <c r="I872" s="150"/>
      <c r="J872" s="151"/>
      <c r="K872" s="151"/>
      <c r="M872" s="151"/>
    </row>
    <row r="873" spans="9:13">
      <c r="I873" s="150"/>
      <c r="J873" s="151"/>
      <c r="K873" s="151"/>
      <c r="M873" s="151"/>
    </row>
    <row r="874" spans="9:13">
      <c r="I874" s="150"/>
      <c r="J874" s="151"/>
      <c r="K874" s="151"/>
      <c r="M874" s="151"/>
    </row>
    <row r="875" spans="9:13">
      <c r="I875" s="150"/>
      <c r="J875" s="151"/>
      <c r="K875" s="151"/>
      <c r="M875" s="151"/>
    </row>
    <row r="876" spans="9:13">
      <c r="I876" s="150"/>
      <c r="J876" s="151"/>
      <c r="K876" s="151"/>
      <c r="M876" s="151"/>
    </row>
    <row r="877" spans="9:13">
      <c r="I877" s="150"/>
      <c r="J877" s="151"/>
      <c r="K877" s="151"/>
      <c r="M877" s="151"/>
    </row>
    <row r="878" spans="9:13">
      <c r="I878" s="150"/>
      <c r="J878" s="151"/>
      <c r="K878" s="151"/>
      <c r="M878" s="151"/>
    </row>
    <row r="879" spans="9:13">
      <c r="I879" s="150"/>
      <c r="J879" s="151"/>
      <c r="K879" s="151"/>
      <c r="M879" s="151"/>
    </row>
    <row r="880" spans="9:13">
      <c r="I880" s="150"/>
      <c r="J880" s="151"/>
      <c r="K880" s="151"/>
      <c r="M880" s="151"/>
    </row>
    <row r="881" spans="9:13">
      <c r="I881" s="150"/>
      <c r="J881" s="151"/>
      <c r="K881" s="151"/>
      <c r="M881" s="151"/>
    </row>
    <row r="882" spans="9:13">
      <c r="I882" s="150"/>
      <c r="J882" s="151"/>
      <c r="K882" s="151"/>
      <c r="M882" s="151"/>
    </row>
    <row r="883" spans="9:13">
      <c r="I883" s="150"/>
      <c r="J883" s="151"/>
      <c r="K883" s="151"/>
      <c r="M883" s="151"/>
    </row>
    <row r="884" spans="9:13">
      <c r="I884" s="150"/>
      <c r="J884" s="151"/>
      <c r="K884" s="151"/>
      <c r="M884" s="151"/>
    </row>
    <row r="885" spans="9:13">
      <c r="I885" s="150"/>
      <c r="J885" s="151"/>
      <c r="K885" s="151"/>
      <c r="M885" s="151"/>
    </row>
    <row r="886" spans="9:13">
      <c r="I886" s="150"/>
      <c r="J886" s="151"/>
      <c r="K886" s="151"/>
      <c r="M886" s="151"/>
    </row>
    <row r="887" spans="9:13">
      <c r="I887" s="150"/>
      <c r="J887" s="151"/>
      <c r="K887" s="151"/>
      <c r="M887" s="151"/>
    </row>
    <row r="888" spans="9:13">
      <c r="I888" s="150"/>
      <c r="J888" s="151"/>
      <c r="K888" s="151"/>
      <c r="M888" s="151"/>
    </row>
    <row r="889" spans="9:13">
      <c r="I889" s="150"/>
      <c r="J889" s="151"/>
      <c r="K889" s="151"/>
      <c r="M889" s="151"/>
    </row>
    <row r="890" spans="9:13">
      <c r="I890" s="150"/>
      <c r="J890" s="151"/>
      <c r="K890" s="151"/>
      <c r="M890" s="151"/>
    </row>
    <row r="891" spans="9:13">
      <c r="I891" s="150"/>
      <c r="J891" s="151"/>
      <c r="K891" s="151"/>
      <c r="M891" s="151"/>
    </row>
    <row r="892" spans="9:13">
      <c r="I892" s="150"/>
      <c r="J892" s="151"/>
      <c r="K892" s="151"/>
      <c r="M892" s="151"/>
    </row>
    <row r="893" spans="9:13">
      <c r="I893" s="150"/>
      <c r="J893" s="151"/>
      <c r="K893" s="151"/>
      <c r="M893" s="151"/>
    </row>
    <row r="894" spans="9:13">
      <c r="I894" s="150"/>
      <c r="J894" s="151"/>
      <c r="K894" s="151"/>
      <c r="M894" s="151"/>
    </row>
    <row r="895" spans="9:13">
      <c r="I895" s="150"/>
      <c r="J895" s="151"/>
      <c r="K895" s="151"/>
      <c r="M895" s="151"/>
    </row>
    <row r="896" spans="9:13">
      <c r="I896" s="150"/>
      <c r="J896" s="151"/>
      <c r="K896" s="151"/>
      <c r="M896" s="151"/>
    </row>
    <row r="897" spans="9:13">
      <c r="I897" s="150"/>
      <c r="J897" s="151"/>
      <c r="K897" s="151"/>
      <c r="M897" s="151"/>
    </row>
    <row r="898" spans="9:13">
      <c r="I898" s="150"/>
      <c r="J898" s="151"/>
      <c r="K898" s="151"/>
      <c r="M898" s="151"/>
    </row>
    <row r="899" spans="9:13">
      <c r="I899" s="150"/>
      <c r="J899" s="151"/>
      <c r="K899" s="151"/>
      <c r="M899" s="151"/>
    </row>
    <row r="900" spans="9:13">
      <c r="I900" s="150"/>
      <c r="J900" s="151"/>
      <c r="K900" s="151"/>
      <c r="M900" s="151"/>
    </row>
    <row r="901" spans="9:13">
      <c r="I901" s="150"/>
      <c r="J901" s="151"/>
      <c r="K901" s="151"/>
      <c r="M901" s="151"/>
    </row>
    <row r="902" spans="9:13">
      <c r="I902" s="150"/>
      <c r="J902" s="151"/>
      <c r="K902" s="151"/>
      <c r="M902" s="151"/>
    </row>
    <row r="903" spans="9:13">
      <c r="I903" s="150"/>
      <c r="J903" s="151"/>
      <c r="K903" s="151"/>
      <c r="M903" s="151"/>
    </row>
    <row r="904" spans="9:13">
      <c r="I904" s="150"/>
      <c r="J904" s="151"/>
      <c r="K904" s="151"/>
      <c r="M904" s="151"/>
    </row>
    <row r="905" spans="9:13">
      <c r="I905" s="150"/>
      <c r="J905" s="151"/>
      <c r="K905" s="151"/>
      <c r="M905" s="151"/>
    </row>
    <row r="906" spans="9:13">
      <c r="I906" s="150"/>
      <c r="J906" s="151"/>
      <c r="K906" s="151"/>
      <c r="M906" s="151"/>
    </row>
    <row r="907" spans="9:13">
      <c r="I907" s="150"/>
      <c r="J907" s="151"/>
      <c r="K907" s="151"/>
      <c r="M907" s="151"/>
    </row>
    <row r="908" spans="9:13">
      <c r="I908" s="150"/>
      <c r="J908" s="151"/>
      <c r="K908" s="151"/>
      <c r="M908" s="151"/>
    </row>
    <row r="909" spans="9:13">
      <c r="I909" s="150"/>
      <c r="J909" s="151"/>
      <c r="K909" s="151"/>
      <c r="M909" s="151"/>
    </row>
    <row r="910" spans="9:13">
      <c r="I910" s="150"/>
      <c r="J910" s="151"/>
      <c r="K910" s="151"/>
      <c r="M910" s="151"/>
    </row>
    <row r="911" spans="9:13">
      <c r="I911" s="150"/>
      <c r="J911" s="151"/>
      <c r="K911" s="151"/>
      <c r="M911" s="151"/>
    </row>
    <row r="912" spans="9:13">
      <c r="I912" s="150"/>
      <c r="J912" s="151"/>
      <c r="K912" s="151"/>
      <c r="M912" s="151"/>
    </row>
    <row r="913" spans="9:13">
      <c r="I913" s="150"/>
      <c r="J913" s="151"/>
      <c r="K913" s="151"/>
      <c r="M913" s="151"/>
    </row>
    <row r="914" spans="9:13">
      <c r="I914" s="150"/>
      <c r="J914" s="151"/>
      <c r="K914" s="151"/>
      <c r="M914" s="151"/>
    </row>
    <row r="915" spans="9:13">
      <c r="I915" s="150"/>
      <c r="J915" s="151"/>
      <c r="K915" s="151"/>
      <c r="M915" s="151"/>
    </row>
    <row r="916" spans="9:13">
      <c r="I916" s="150"/>
      <c r="J916" s="151"/>
      <c r="K916" s="151"/>
      <c r="M916" s="151"/>
    </row>
    <row r="917" spans="9:13">
      <c r="I917" s="150"/>
      <c r="J917" s="151"/>
      <c r="K917" s="151"/>
      <c r="M917" s="151"/>
    </row>
    <row r="918" spans="9:13">
      <c r="I918" s="150"/>
      <c r="J918" s="151"/>
      <c r="K918" s="151"/>
      <c r="M918" s="151"/>
    </row>
    <row r="919" spans="9:13">
      <c r="I919" s="150"/>
      <c r="J919" s="151"/>
      <c r="K919" s="151"/>
      <c r="M919" s="151"/>
    </row>
    <row r="920" spans="9:13">
      <c r="I920" s="150"/>
      <c r="J920" s="151"/>
      <c r="K920" s="151"/>
      <c r="M920" s="151"/>
    </row>
    <row r="921" spans="9:13">
      <c r="I921" s="150"/>
      <c r="J921" s="151"/>
      <c r="K921" s="151"/>
      <c r="M921" s="151"/>
    </row>
    <row r="922" spans="9:13">
      <c r="I922" s="150"/>
      <c r="J922" s="151"/>
      <c r="K922" s="151"/>
      <c r="M922" s="151"/>
    </row>
    <row r="923" spans="9:13">
      <c r="I923" s="150"/>
      <c r="J923" s="151"/>
      <c r="K923" s="151"/>
      <c r="M923" s="151"/>
    </row>
    <row r="924" spans="9:13">
      <c r="I924" s="150"/>
      <c r="J924" s="151"/>
      <c r="K924" s="151"/>
      <c r="M924" s="151"/>
    </row>
    <row r="925" spans="9:13">
      <c r="I925" s="150"/>
      <c r="J925" s="151"/>
      <c r="K925" s="151"/>
      <c r="M925" s="151"/>
    </row>
    <row r="926" spans="9:13">
      <c r="I926" s="150"/>
      <c r="J926" s="151"/>
      <c r="K926" s="151"/>
      <c r="M926" s="151"/>
    </row>
    <row r="927" spans="9:13">
      <c r="I927" s="150"/>
      <c r="J927" s="151"/>
      <c r="K927" s="151"/>
      <c r="M927" s="151"/>
    </row>
    <row r="928" spans="9:13">
      <c r="I928" s="150"/>
      <c r="J928" s="151"/>
      <c r="K928" s="151"/>
      <c r="M928" s="151"/>
    </row>
    <row r="929" spans="9:13">
      <c r="I929" s="150"/>
      <c r="J929" s="151"/>
      <c r="K929" s="151"/>
      <c r="M929" s="151"/>
    </row>
    <row r="930" spans="9:13">
      <c r="I930" s="150"/>
      <c r="J930" s="151"/>
      <c r="K930" s="151"/>
      <c r="M930" s="151"/>
    </row>
    <row r="931" spans="9:13">
      <c r="I931" s="150"/>
      <c r="J931" s="151"/>
      <c r="K931" s="151"/>
      <c r="M931" s="151"/>
    </row>
    <row r="932" spans="9:13">
      <c r="I932" s="150"/>
      <c r="J932" s="151"/>
      <c r="K932" s="151"/>
      <c r="M932" s="151"/>
    </row>
    <row r="933" spans="9:13">
      <c r="I933" s="150"/>
      <c r="J933" s="151"/>
      <c r="K933" s="151"/>
      <c r="M933" s="151"/>
    </row>
    <row r="934" spans="9:13">
      <c r="I934" s="150"/>
      <c r="J934" s="151"/>
      <c r="K934" s="151"/>
      <c r="M934" s="151"/>
    </row>
    <row r="935" spans="9:13">
      <c r="I935" s="150"/>
      <c r="J935" s="151"/>
      <c r="K935" s="151"/>
      <c r="M935" s="151"/>
    </row>
    <row r="936" spans="9:13">
      <c r="I936" s="150"/>
      <c r="J936" s="151"/>
      <c r="K936" s="151"/>
      <c r="M936" s="151"/>
    </row>
    <row r="937" spans="9:13">
      <c r="I937" s="150"/>
      <c r="J937" s="151"/>
      <c r="K937" s="151"/>
      <c r="M937" s="151"/>
    </row>
    <row r="938" spans="9:13">
      <c r="I938" s="150"/>
      <c r="J938" s="151"/>
      <c r="K938" s="151"/>
      <c r="M938" s="151"/>
    </row>
    <row r="939" spans="9:13">
      <c r="I939" s="150"/>
      <c r="J939" s="151"/>
      <c r="K939" s="151"/>
      <c r="M939" s="151"/>
    </row>
    <row r="940" spans="9:13">
      <c r="I940" s="150"/>
      <c r="J940" s="151"/>
      <c r="K940" s="151"/>
      <c r="M940" s="151"/>
    </row>
    <row r="941" spans="9:13">
      <c r="I941" s="150"/>
      <c r="J941" s="151"/>
      <c r="K941" s="151"/>
      <c r="M941" s="151"/>
    </row>
    <row r="942" spans="9:13">
      <c r="I942" s="150"/>
      <c r="J942" s="151"/>
      <c r="K942" s="151"/>
      <c r="M942" s="151"/>
    </row>
    <row r="943" spans="9:13">
      <c r="I943" s="150"/>
      <c r="J943" s="151"/>
      <c r="K943" s="151"/>
      <c r="M943" s="151"/>
    </row>
    <row r="944" spans="9:13">
      <c r="I944" s="150"/>
      <c r="J944" s="151"/>
      <c r="K944" s="151"/>
      <c r="M944" s="151"/>
    </row>
    <row r="945" spans="9:13">
      <c r="I945" s="150"/>
      <c r="J945" s="151"/>
      <c r="K945" s="151"/>
      <c r="M945" s="151"/>
    </row>
    <row r="946" spans="9:13">
      <c r="I946" s="150"/>
      <c r="J946" s="151"/>
      <c r="K946" s="151"/>
      <c r="M946" s="151"/>
    </row>
    <row r="947" spans="9:13">
      <c r="I947" s="150"/>
      <c r="J947" s="151"/>
      <c r="K947" s="151"/>
      <c r="M947" s="151"/>
    </row>
    <row r="948" spans="9:13">
      <c r="I948" s="150"/>
      <c r="J948" s="151"/>
      <c r="K948" s="151"/>
      <c r="M948" s="151"/>
    </row>
    <row r="949" spans="9:13">
      <c r="I949" s="150"/>
      <c r="J949" s="151"/>
      <c r="K949" s="151"/>
      <c r="M949" s="151"/>
    </row>
    <row r="950" spans="9:13">
      <c r="I950" s="150"/>
      <c r="J950" s="151"/>
      <c r="K950" s="151"/>
      <c r="M950" s="151"/>
    </row>
    <row r="951" spans="9:13">
      <c r="I951" s="150"/>
      <c r="J951" s="151"/>
      <c r="K951" s="151"/>
      <c r="M951" s="151"/>
    </row>
    <row r="952" spans="9:13">
      <c r="I952" s="150"/>
      <c r="J952" s="151"/>
      <c r="K952" s="151"/>
      <c r="M952" s="151"/>
    </row>
    <row r="953" spans="9:13">
      <c r="I953" s="150"/>
      <c r="J953" s="151"/>
      <c r="K953" s="151"/>
      <c r="M953" s="151"/>
    </row>
    <row r="954" spans="9:13">
      <c r="I954" s="150"/>
      <c r="J954" s="151"/>
      <c r="K954" s="151"/>
      <c r="M954" s="151"/>
    </row>
    <row r="955" spans="9:13">
      <c r="I955" s="150"/>
      <c r="J955" s="151"/>
      <c r="K955" s="151"/>
      <c r="M955" s="151"/>
    </row>
    <row r="956" spans="9:13">
      <c r="I956" s="150"/>
      <c r="J956" s="151"/>
      <c r="K956" s="151"/>
      <c r="M956" s="151"/>
    </row>
    <row r="957" spans="9:13">
      <c r="I957" s="150"/>
      <c r="J957" s="151"/>
      <c r="K957" s="151"/>
      <c r="M957" s="151"/>
    </row>
    <row r="958" spans="9:13">
      <c r="I958" s="150"/>
      <c r="J958" s="151"/>
      <c r="K958" s="151"/>
      <c r="M958" s="151"/>
    </row>
    <row r="959" spans="9:13">
      <c r="I959" s="150"/>
      <c r="J959" s="151"/>
      <c r="K959" s="151"/>
      <c r="M959" s="151"/>
    </row>
    <row r="960" spans="9:13">
      <c r="I960" s="150"/>
      <c r="J960" s="151"/>
      <c r="K960" s="151"/>
      <c r="M960" s="151"/>
    </row>
    <row r="961" spans="9:13">
      <c r="I961" s="150"/>
      <c r="J961" s="151"/>
      <c r="K961" s="151"/>
      <c r="M961" s="151"/>
    </row>
    <row r="962" spans="9:13">
      <c r="I962" s="150"/>
      <c r="J962" s="151"/>
      <c r="K962" s="151"/>
      <c r="M962" s="151"/>
    </row>
    <row r="963" spans="9:13">
      <c r="I963" s="150"/>
      <c r="J963" s="151"/>
      <c r="K963" s="151"/>
      <c r="M963" s="151"/>
    </row>
    <row r="964" spans="9:13">
      <c r="I964" s="150"/>
      <c r="J964" s="151"/>
      <c r="K964" s="151"/>
      <c r="M964" s="151"/>
    </row>
    <row r="965" spans="9:13">
      <c r="I965" s="150"/>
      <c r="J965" s="151"/>
      <c r="K965" s="151"/>
      <c r="M965" s="151"/>
    </row>
    <row r="966" spans="9:13">
      <c r="I966" s="150"/>
      <c r="J966" s="151"/>
      <c r="K966" s="151"/>
      <c r="M966" s="151"/>
    </row>
    <row r="967" spans="9:13">
      <c r="I967" s="150"/>
      <c r="J967" s="151"/>
      <c r="K967" s="151"/>
      <c r="M967" s="151"/>
    </row>
    <row r="968" spans="9:13">
      <c r="I968" s="150"/>
      <c r="J968" s="151"/>
      <c r="K968" s="151"/>
      <c r="M968" s="151"/>
    </row>
    <row r="969" spans="9:13">
      <c r="I969" s="150"/>
      <c r="J969" s="151"/>
      <c r="K969" s="151"/>
      <c r="M969" s="151"/>
    </row>
    <row r="970" spans="9:13">
      <c r="I970" s="150"/>
      <c r="J970" s="151"/>
      <c r="K970" s="151"/>
      <c r="M970" s="151"/>
    </row>
    <row r="971" spans="9:13">
      <c r="I971" s="150"/>
      <c r="J971" s="151"/>
      <c r="K971" s="151"/>
      <c r="M971" s="151"/>
    </row>
    <row r="972" spans="9:13">
      <c r="I972" s="150"/>
      <c r="J972" s="151"/>
      <c r="K972" s="151"/>
      <c r="M972" s="151"/>
    </row>
    <row r="973" spans="9:13">
      <c r="I973" s="150"/>
      <c r="J973" s="151"/>
      <c r="K973" s="151"/>
      <c r="M973" s="151"/>
    </row>
    <row r="974" spans="9:13">
      <c r="I974" s="150"/>
      <c r="J974" s="151"/>
      <c r="K974" s="151"/>
      <c r="M974" s="151"/>
    </row>
    <row r="975" spans="9:13">
      <c r="I975" s="150"/>
      <c r="J975" s="151"/>
      <c r="K975" s="151"/>
      <c r="M975" s="151"/>
    </row>
    <row r="976" spans="9:13">
      <c r="I976" s="150"/>
      <c r="J976" s="151"/>
      <c r="K976" s="151"/>
      <c r="M976" s="151"/>
    </row>
    <row r="977" spans="9:13">
      <c r="I977" s="150"/>
      <c r="J977" s="151"/>
      <c r="K977" s="151"/>
      <c r="M977" s="151"/>
    </row>
    <row r="978" spans="9:13">
      <c r="I978" s="150"/>
      <c r="J978" s="151"/>
      <c r="K978" s="151"/>
      <c r="M978" s="151"/>
    </row>
    <row r="979" spans="9:13">
      <c r="I979" s="150"/>
      <c r="J979" s="151"/>
      <c r="K979" s="151"/>
      <c r="M979" s="151"/>
    </row>
    <row r="980" spans="9:13">
      <c r="I980" s="150"/>
      <c r="J980" s="151"/>
      <c r="K980" s="151"/>
      <c r="M980" s="151"/>
    </row>
    <row r="981" spans="9:13">
      <c r="I981" s="150"/>
      <c r="J981" s="151"/>
      <c r="K981" s="151"/>
      <c r="M981" s="151"/>
    </row>
    <row r="982" spans="9:13">
      <c r="I982" s="150"/>
      <c r="J982" s="151"/>
      <c r="K982" s="151"/>
      <c r="M982" s="151"/>
    </row>
    <row r="983" spans="9:13">
      <c r="I983" s="150"/>
      <c r="J983" s="151"/>
      <c r="K983" s="151"/>
      <c r="M983" s="151"/>
    </row>
    <row r="984" spans="9:13">
      <c r="I984" s="150"/>
      <c r="J984" s="151"/>
      <c r="K984" s="151"/>
      <c r="M984" s="151"/>
    </row>
    <row r="985" spans="9:13">
      <c r="I985" s="150"/>
      <c r="J985" s="151"/>
      <c r="K985" s="151"/>
      <c r="M985" s="151"/>
    </row>
    <row r="986" spans="9:13">
      <c r="I986" s="150"/>
      <c r="J986" s="151"/>
      <c r="K986" s="151"/>
      <c r="M986" s="151"/>
    </row>
    <row r="987" spans="9:13">
      <c r="I987" s="150"/>
      <c r="J987" s="151"/>
      <c r="K987" s="151"/>
      <c r="M987" s="151"/>
    </row>
    <row r="988" spans="9:13">
      <c r="I988" s="150"/>
      <c r="J988" s="151"/>
      <c r="K988" s="151"/>
      <c r="M988" s="151"/>
    </row>
    <row r="989" spans="9:13">
      <c r="I989" s="150"/>
      <c r="J989" s="151"/>
      <c r="K989" s="151"/>
      <c r="M989" s="151"/>
    </row>
    <row r="990" spans="9:13">
      <c r="I990" s="150"/>
      <c r="J990" s="151"/>
      <c r="K990" s="151"/>
      <c r="M990" s="151"/>
    </row>
    <row r="991" spans="9:13">
      <c r="I991" s="150"/>
      <c r="J991" s="151"/>
      <c r="K991" s="151"/>
      <c r="M991" s="151"/>
    </row>
    <row r="992" spans="9:13">
      <c r="I992" s="150"/>
      <c r="J992" s="151"/>
      <c r="K992" s="151"/>
      <c r="M992" s="151"/>
    </row>
    <row r="993" spans="9:13">
      <c r="I993" s="150"/>
      <c r="J993" s="151"/>
      <c r="K993" s="151"/>
      <c r="M993" s="151"/>
    </row>
    <row r="994" spans="9:13">
      <c r="I994" s="150"/>
      <c r="J994" s="151"/>
      <c r="K994" s="151"/>
      <c r="M994" s="151"/>
    </row>
    <row r="995" spans="9:13">
      <c r="I995" s="150"/>
      <c r="J995" s="151"/>
      <c r="K995" s="151"/>
      <c r="M995" s="151"/>
    </row>
    <row r="996" spans="9:13">
      <c r="I996" s="150"/>
      <c r="J996" s="151"/>
      <c r="K996" s="151"/>
      <c r="M996" s="151"/>
    </row>
    <row r="997" spans="9:13">
      <c r="I997" s="150"/>
      <c r="J997" s="151"/>
      <c r="K997" s="151"/>
      <c r="M997" s="151"/>
    </row>
    <row r="998" spans="9:13">
      <c r="I998" s="150"/>
      <c r="J998" s="151"/>
      <c r="K998" s="151"/>
      <c r="M998" s="151"/>
    </row>
    <row r="999" spans="9:13">
      <c r="I999" s="150"/>
      <c r="J999" s="151"/>
      <c r="K999" s="151"/>
      <c r="M999" s="151"/>
    </row>
    <row r="1000" spans="9:13">
      <c r="I1000" s="150"/>
      <c r="J1000" s="151"/>
      <c r="K1000" s="151"/>
      <c r="M1000" s="151"/>
    </row>
    <row r="1001" spans="9:13">
      <c r="I1001" s="150"/>
      <c r="J1001" s="151"/>
      <c r="K1001" s="151"/>
      <c r="M1001" s="151"/>
    </row>
    <row r="1002" spans="9:13">
      <c r="I1002" s="150"/>
      <c r="J1002" s="151"/>
      <c r="K1002" s="151"/>
      <c r="M1002" s="151"/>
    </row>
    <row r="1003" spans="9:13">
      <c r="I1003" s="150"/>
      <c r="J1003" s="151"/>
      <c r="K1003" s="151"/>
      <c r="M1003" s="151"/>
    </row>
    <row r="1004" spans="9:13">
      <c r="I1004" s="150"/>
      <c r="J1004" s="151"/>
      <c r="K1004" s="151"/>
      <c r="M1004" s="151"/>
    </row>
    <row r="1005" spans="9:13">
      <c r="I1005" s="150"/>
      <c r="J1005" s="151"/>
      <c r="K1005" s="151"/>
      <c r="M1005" s="151"/>
    </row>
    <row r="1006" spans="9:13">
      <c r="I1006" s="150"/>
      <c r="J1006" s="151"/>
      <c r="K1006" s="151"/>
      <c r="M1006" s="151"/>
    </row>
    <row r="1007" spans="9:13">
      <c r="I1007" s="150"/>
      <c r="J1007" s="151"/>
      <c r="K1007" s="151"/>
      <c r="M1007" s="151"/>
    </row>
    <row r="1008" spans="9:13">
      <c r="I1008" s="150"/>
      <c r="J1008" s="151"/>
      <c r="K1008" s="151"/>
      <c r="M1008" s="151"/>
    </row>
    <row r="1009" spans="9:13">
      <c r="I1009" s="150"/>
      <c r="J1009" s="151"/>
      <c r="K1009" s="151"/>
      <c r="M1009" s="151"/>
    </row>
    <row r="1010" spans="9:13">
      <c r="I1010" s="150"/>
      <c r="J1010" s="151"/>
      <c r="K1010" s="151"/>
      <c r="M1010" s="151"/>
    </row>
    <row r="1011" spans="9:13">
      <c r="I1011" s="150"/>
      <c r="J1011" s="151"/>
      <c r="K1011" s="151"/>
      <c r="M1011" s="151"/>
    </row>
    <row r="1012" spans="9:13">
      <c r="I1012" s="150"/>
      <c r="J1012" s="151"/>
      <c r="K1012" s="151"/>
      <c r="M1012" s="151"/>
    </row>
    <row r="1013" spans="9:13">
      <c r="I1013" s="150"/>
      <c r="J1013" s="151"/>
      <c r="K1013" s="151"/>
      <c r="M1013" s="151"/>
    </row>
    <row r="1014" spans="9:13">
      <c r="I1014" s="150"/>
      <c r="J1014" s="151"/>
      <c r="K1014" s="151"/>
      <c r="M1014" s="151"/>
    </row>
    <row r="1015" spans="9:13">
      <c r="I1015" s="150"/>
      <c r="J1015" s="151"/>
      <c r="K1015" s="151"/>
      <c r="M1015" s="151"/>
    </row>
    <row r="1016" spans="9:13">
      <c r="I1016" s="150"/>
      <c r="J1016" s="151"/>
      <c r="K1016" s="151"/>
      <c r="M1016" s="151"/>
    </row>
    <row r="1017" spans="9:13">
      <c r="I1017" s="150"/>
      <c r="J1017" s="151"/>
      <c r="K1017" s="151"/>
      <c r="M1017" s="151"/>
    </row>
    <row r="1018" spans="9:13">
      <c r="I1018" s="150"/>
      <c r="J1018" s="151"/>
      <c r="K1018" s="151"/>
      <c r="M1018" s="151"/>
    </row>
    <row r="1019" spans="9:13">
      <c r="I1019" s="150"/>
      <c r="J1019" s="151"/>
      <c r="K1019" s="151"/>
      <c r="M1019" s="151"/>
    </row>
    <row r="1020" spans="9:13">
      <c r="I1020" s="150"/>
      <c r="J1020" s="151"/>
      <c r="K1020" s="151"/>
      <c r="M1020" s="151"/>
    </row>
    <row r="1021" spans="9:13">
      <c r="I1021" s="150"/>
      <c r="J1021" s="151"/>
      <c r="K1021" s="151"/>
      <c r="M1021" s="151"/>
    </row>
    <row r="1022" spans="9:13">
      <c r="I1022" s="150"/>
      <c r="J1022" s="151"/>
      <c r="K1022" s="151"/>
      <c r="M1022" s="151"/>
    </row>
    <row r="1023" spans="9:13">
      <c r="I1023" s="150"/>
      <c r="J1023" s="151"/>
      <c r="K1023" s="151"/>
      <c r="M1023" s="151"/>
    </row>
    <row r="1024" spans="9:13">
      <c r="I1024" s="150"/>
      <c r="J1024" s="151"/>
      <c r="K1024" s="151"/>
      <c r="M1024" s="151"/>
    </row>
    <row r="1025" spans="9:13">
      <c r="I1025" s="150"/>
      <c r="J1025" s="151"/>
      <c r="K1025" s="151"/>
      <c r="M1025" s="151"/>
    </row>
    <row r="1026" spans="9:13">
      <c r="I1026" s="150"/>
      <c r="J1026" s="151"/>
      <c r="K1026" s="151"/>
      <c r="M1026" s="151"/>
    </row>
    <row r="1027" spans="9:13">
      <c r="I1027" s="150"/>
      <c r="J1027" s="151"/>
      <c r="K1027" s="151"/>
      <c r="M1027" s="151"/>
    </row>
    <row r="1028" spans="9:13">
      <c r="I1028" s="150"/>
      <c r="J1028" s="151"/>
      <c r="K1028" s="151"/>
      <c r="M1028" s="151"/>
    </row>
    <row r="1029" spans="9:13">
      <c r="I1029" s="150"/>
      <c r="J1029" s="151"/>
      <c r="K1029" s="151"/>
      <c r="M1029" s="151"/>
    </row>
    <row r="1030" spans="9:13">
      <c r="I1030" s="150"/>
      <c r="J1030" s="151"/>
      <c r="K1030" s="151"/>
      <c r="M1030" s="151"/>
    </row>
    <row r="1031" spans="9:13">
      <c r="I1031" s="150"/>
      <c r="J1031" s="151"/>
      <c r="K1031" s="151"/>
      <c r="M1031" s="151"/>
    </row>
    <row r="1032" spans="9:13">
      <c r="I1032" s="150"/>
      <c r="J1032" s="151"/>
      <c r="K1032" s="151"/>
      <c r="M1032" s="151"/>
    </row>
    <row r="1033" spans="9:13">
      <c r="I1033" s="150"/>
      <c r="J1033" s="151"/>
      <c r="K1033" s="151"/>
      <c r="M1033" s="151"/>
    </row>
    <row r="1034" spans="9:13">
      <c r="I1034" s="150"/>
      <c r="J1034" s="151"/>
      <c r="K1034" s="151"/>
      <c r="M1034" s="151"/>
    </row>
    <row r="1035" spans="9:13">
      <c r="I1035" s="150"/>
      <c r="J1035" s="151"/>
      <c r="K1035" s="151"/>
      <c r="M1035" s="151"/>
    </row>
    <row r="1036" spans="9:13">
      <c r="I1036" s="150"/>
      <c r="J1036" s="151"/>
      <c r="K1036" s="151"/>
      <c r="M1036" s="151"/>
    </row>
    <row r="1037" spans="9:13">
      <c r="I1037" s="150"/>
      <c r="J1037" s="151"/>
      <c r="K1037" s="151"/>
      <c r="M1037" s="151"/>
    </row>
    <row r="1038" spans="9:13">
      <c r="I1038" s="150"/>
      <c r="J1038" s="151"/>
      <c r="K1038" s="151"/>
      <c r="M1038" s="151"/>
    </row>
    <row r="1039" spans="9:13">
      <c r="I1039" s="150"/>
      <c r="J1039" s="151"/>
      <c r="K1039" s="151"/>
      <c r="M1039" s="151"/>
    </row>
    <row r="1040" spans="9:13">
      <c r="I1040" s="150"/>
      <c r="J1040" s="151"/>
      <c r="K1040" s="151"/>
      <c r="M1040" s="151"/>
    </row>
    <row r="1041" spans="9:13">
      <c r="I1041" s="150"/>
      <c r="J1041" s="151"/>
      <c r="K1041" s="151"/>
      <c r="M1041" s="151"/>
    </row>
    <row r="1042" spans="9:13">
      <c r="I1042" s="150"/>
      <c r="J1042" s="151"/>
      <c r="K1042" s="151"/>
      <c r="M1042" s="151"/>
    </row>
    <row r="1043" spans="9:13">
      <c r="I1043" s="150"/>
      <c r="J1043" s="151"/>
      <c r="K1043" s="151"/>
      <c r="M1043" s="151"/>
    </row>
    <row r="1044" spans="9:13">
      <c r="I1044" s="150"/>
      <c r="J1044" s="151"/>
      <c r="K1044" s="151"/>
      <c r="M1044" s="151"/>
    </row>
    <row r="1045" spans="9:13">
      <c r="I1045" s="150"/>
      <c r="J1045" s="151"/>
      <c r="K1045" s="151"/>
      <c r="M1045" s="151"/>
    </row>
    <row r="1046" spans="9:13">
      <c r="I1046" s="150"/>
      <c r="J1046" s="151"/>
      <c r="K1046" s="151"/>
      <c r="M1046" s="151"/>
    </row>
    <row r="1047" spans="9:13">
      <c r="I1047" s="150"/>
      <c r="J1047" s="151"/>
      <c r="K1047" s="151"/>
      <c r="M1047" s="151"/>
    </row>
    <row r="1048" spans="9:13">
      <c r="I1048" s="150"/>
      <c r="J1048" s="151"/>
      <c r="K1048" s="151"/>
      <c r="M1048" s="151"/>
    </row>
    <row r="1049" spans="9:13">
      <c r="I1049" s="150"/>
      <c r="J1049" s="151"/>
      <c r="K1049" s="151"/>
      <c r="M1049" s="151"/>
    </row>
    <row r="1050" spans="9:13">
      <c r="I1050" s="150"/>
      <c r="J1050" s="151"/>
      <c r="K1050" s="151"/>
      <c r="M1050" s="151"/>
    </row>
    <row r="1051" spans="9:13">
      <c r="I1051" s="150"/>
      <c r="J1051" s="151"/>
      <c r="K1051" s="151"/>
      <c r="M1051" s="151"/>
    </row>
    <row r="1052" spans="9:13">
      <c r="I1052" s="150"/>
      <c r="J1052" s="151"/>
      <c r="K1052" s="151"/>
      <c r="M1052" s="151"/>
    </row>
    <row r="1053" spans="9:13">
      <c r="I1053" s="150"/>
      <c r="J1053" s="151"/>
      <c r="K1053" s="151"/>
      <c r="M1053" s="151"/>
    </row>
    <row r="1054" spans="9:13">
      <c r="I1054" s="150"/>
      <c r="J1054" s="151"/>
      <c r="K1054" s="151"/>
      <c r="M1054" s="151"/>
    </row>
    <row r="1055" spans="9:13">
      <c r="I1055" s="150"/>
      <c r="J1055" s="151"/>
      <c r="K1055" s="151"/>
      <c r="M1055" s="151"/>
    </row>
    <row r="1056" spans="9:13">
      <c r="I1056" s="150"/>
      <c r="J1056" s="151"/>
      <c r="K1056" s="151"/>
      <c r="M1056" s="151"/>
    </row>
    <row r="1057" spans="9:13">
      <c r="I1057" s="150"/>
      <c r="J1057" s="151"/>
      <c r="K1057" s="151"/>
      <c r="M1057" s="151"/>
    </row>
    <row r="1058" spans="9:13">
      <c r="I1058" s="150"/>
      <c r="J1058" s="151"/>
      <c r="K1058" s="151"/>
      <c r="M1058" s="151"/>
    </row>
    <row r="1059" spans="9:13">
      <c r="I1059" s="150"/>
      <c r="J1059" s="151"/>
      <c r="K1059" s="151"/>
      <c r="M1059" s="151"/>
    </row>
    <row r="1060" spans="9:13">
      <c r="I1060" s="150"/>
      <c r="J1060" s="151"/>
      <c r="K1060" s="151"/>
      <c r="M1060" s="151"/>
    </row>
    <row r="1061" spans="9:13">
      <c r="I1061" s="150"/>
      <c r="J1061" s="151"/>
      <c r="K1061" s="151"/>
      <c r="M1061" s="151"/>
    </row>
    <row r="1062" spans="9:13">
      <c r="I1062" s="150"/>
      <c r="J1062" s="151"/>
      <c r="K1062" s="151"/>
      <c r="M1062" s="151"/>
    </row>
    <row r="1063" spans="9:13">
      <c r="I1063" s="150"/>
      <c r="J1063" s="151"/>
      <c r="K1063" s="151"/>
      <c r="M1063" s="151"/>
    </row>
    <row r="1064" spans="9:13">
      <c r="I1064" s="150"/>
      <c r="J1064" s="151"/>
      <c r="K1064" s="151"/>
      <c r="M1064" s="151"/>
    </row>
    <row r="1065" spans="9:13">
      <c r="I1065" s="150"/>
      <c r="J1065" s="151"/>
      <c r="K1065" s="151"/>
      <c r="M1065" s="151"/>
    </row>
    <row r="1066" spans="9:13">
      <c r="I1066" s="150"/>
      <c r="J1066" s="151"/>
      <c r="K1066" s="151"/>
      <c r="M1066" s="151"/>
    </row>
    <row r="1067" spans="9:13">
      <c r="I1067" s="150"/>
      <c r="J1067" s="151"/>
      <c r="K1067" s="151"/>
      <c r="M1067" s="151"/>
    </row>
    <row r="1068" spans="9:13">
      <c r="I1068" s="150"/>
      <c r="J1068" s="151"/>
      <c r="K1068" s="151"/>
      <c r="M1068" s="151"/>
    </row>
    <row r="1069" spans="9:13">
      <c r="I1069" s="150"/>
      <c r="J1069" s="151"/>
      <c r="K1069" s="151"/>
      <c r="M1069" s="151"/>
    </row>
    <row r="1070" spans="9:13">
      <c r="I1070" s="150"/>
      <c r="J1070" s="151"/>
      <c r="K1070" s="151"/>
      <c r="M1070" s="151"/>
    </row>
    <row r="1071" spans="9:13">
      <c r="I1071" s="150"/>
      <c r="J1071" s="151"/>
      <c r="K1071" s="151"/>
      <c r="M1071" s="151"/>
    </row>
    <row r="1072" spans="9:13">
      <c r="I1072" s="150"/>
      <c r="J1072" s="151"/>
      <c r="K1072" s="151"/>
      <c r="M1072" s="151"/>
    </row>
    <row r="1073" spans="9:13">
      <c r="I1073" s="150"/>
      <c r="J1073" s="151"/>
      <c r="K1073" s="151"/>
      <c r="M1073" s="151"/>
    </row>
    <row r="1074" spans="9:13">
      <c r="I1074" s="150"/>
      <c r="J1074" s="151"/>
      <c r="K1074" s="151"/>
      <c r="M1074" s="151"/>
    </row>
    <row r="1075" spans="9:13">
      <c r="I1075" s="150"/>
      <c r="J1075" s="151"/>
      <c r="K1075" s="151"/>
      <c r="M1075" s="151"/>
    </row>
    <row r="1076" spans="9:13">
      <c r="I1076" s="150"/>
      <c r="J1076" s="151"/>
      <c r="K1076" s="151"/>
      <c r="M1076" s="151"/>
    </row>
    <row r="1077" spans="9:13">
      <c r="I1077" s="150"/>
      <c r="J1077" s="151"/>
      <c r="K1077" s="151"/>
      <c r="M1077" s="151"/>
    </row>
    <row r="1078" spans="9:13">
      <c r="I1078" s="150"/>
      <c r="J1078" s="151"/>
      <c r="K1078" s="151"/>
      <c r="M1078" s="151"/>
    </row>
    <row r="1079" spans="9:13">
      <c r="I1079" s="150"/>
      <c r="J1079" s="151"/>
      <c r="K1079" s="151"/>
      <c r="M1079" s="151"/>
    </row>
    <row r="1080" spans="9:13">
      <c r="I1080" s="150"/>
      <c r="J1080" s="151"/>
      <c r="K1080" s="151"/>
      <c r="M1080" s="151"/>
    </row>
    <row r="1081" spans="9:13">
      <c r="I1081" s="150"/>
      <c r="J1081" s="151"/>
      <c r="K1081" s="151"/>
      <c r="M1081" s="151"/>
    </row>
    <row r="1082" spans="9:13">
      <c r="I1082" s="150"/>
      <c r="J1082" s="151"/>
      <c r="K1082" s="151"/>
      <c r="M1082" s="151"/>
    </row>
    <row r="1083" spans="9:13">
      <c r="I1083" s="150"/>
      <c r="J1083" s="151"/>
      <c r="K1083" s="151"/>
      <c r="M1083" s="151"/>
    </row>
    <row r="1084" spans="9:13">
      <c r="I1084" s="150"/>
      <c r="J1084" s="151"/>
      <c r="K1084" s="151"/>
      <c r="M1084" s="151"/>
    </row>
    <row r="1085" spans="9:13">
      <c r="I1085" s="150"/>
      <c r="J1085" s="151"/>
      <c r="K1085" s="151"/>
      <c r="M1085" s="151"/>
    </row>
    <row r="1086" spans="9:13">
      <c r="I1086" s="150"/>
      <c r="J1086" s="151"/>
      <c r="K1086" s="151"/>
      <c r="M1086" s="151"/>
    </row>
    <row r="1087" spans="9:13">
      <c r="I1087" s="150"/>
      <c r="J1087" s="151"/>
      <c r="K1087" s="151"/>
      <c r="M1087" s="151"/>
    </row>
    <row r="1088" spans="9:13">
      <c r="I1088" s="150"/>
      <c r="J1088" s="151"/>
      <c r="K1088" s="151"/>
      <c r="M1088" s="151"/>
    </row>
    <row r="1089" spans="9:13">
      <c r="I1089" s="150"/>
      <c r="J1089" s="151"/>
      <c r="K1089" s="151"/>
      <c r="M1089" s="151"/>
    </row>
    <row r="1090" spans="9:13">
      <c r="I1090" s="150"/>
      <c r="J1090" s="151"/>
      <c r="K1090" s="151"/>
      <c r="M1090" s="151"/>
    </row>
    <row r="1091" spans="9:13">
      <c r="I1091" s="150"/>
      <c r="J1091" s="151"/>
      <c r="K1091" s="151"/>
      <c r="M1091" s="151"/>
    </row>
    <row r="1092" spans="9:13">
      <c r="I1092" s="150"/>
      <c r="J1092" s="151"/>
      <c r="K1092" s="151"/>
      <c r="M1092" s="151"/>
    </row>
    <row r="1093" spans="9:13">
      <c r="I1093" s="150"/>
      <c r="J1093" s="151"/>
      <c r="K1093" s="151"/>
      <c r="M1093" s="151"/>
    </row>
    <row r="1094" spans="9:13">
      <c r="I1094" s="150"/>
      <c r="J1094" s="151"/>
      <c r="K1094" s="151"/>
      <c r="M1094" s="151"/>
    </row>
    <row r="1095" spans="9:13">
      <c r="I1095" s="150"/>
      <c r="J1095" s="151"/>
      <c r="K1095" s="151"/>
      <c r="M1095" s="151"/>
    </row>
    <row r="1096" spans="9:13">
      <c r="I1096" s="150"/>
      <c r="J1096" s="151"/>
      <c r="K1096" s="151"/>
      <c r="M1096" s="151"/>
    </row>
    <row r="1097" spans="9:13">
      <c r="I1097" s="150"/>
      <c r="J1097" s="151"/>
      <c r="K1097" s="151"/>
      <c r="M1097" s="151"/>
    </row>
    <row r="1098" spans="9:13">
      <c r="I1098" s="150"/>
      <c r="J1098" s="151"/>
      <c r="K1098" s="151"/>
      <c r="M1098" s="151"/>
    </row>
    <row r="1099" spans="9:13">
      <c r="I1099" s="150"/>
      <c r="J1099" s="151"/>
      <c r="K1099" s="151"/>
      <c r="M1099" s="151"/>
    </row>
    <row r="1100" spans="9:13">
      <c r="I1100" s="150"/>
      <c r="J1100" s="151"/>
      <c r="K1100" s="151"/>
      <c r="M1100" s="151"/>
    </row>
    <row r="1101" spans="9:13">
      <c r="I1101" s="150"/>
      <c r="J1101" s="151"/>
      <c r="K1101" s="151"/>
      <c r="M1101" s="151"/>
    </row>
    <row r="1102" spans="9:13">
      <c r="I1102" s="150"/>
      <c r="J1102" s="151"/>
      <c r="K1102" s="151"/>
      <c r="M1102" s="151"/>
    </row>
    <row r="1103" spans="9:13">
      <c r="I1103" s="150"/>
      <c r="J1103" s="151"/>
      <c r="K1103" s="151"/>
      <c r="M1103" s="151"/>
    </row>
    <row r="1104" spans="9:13">
      <c r="I1104" s="150"/>
      <c r="J1104" s="151"/>
      <c r="K1104" s="151"/>
      <c r="M1104" s="151"/>
    </row>
    <row r="1105" spans="9:13">
      <c r="I1105" s="150"/>
      <c r="J1105" s="151"/>
      <c r="K1105" s="151"/>
      <c r="M1105" s="151"/>
    </row>
    <row r="1106" spans="9:13">
      <c r="I1106" s="150"/>
      <c r="J1106" s="151"/>
      <c r="K1106" s="151"/>
      <c r="M1106" s="151"/>
    </row>
    <row r="1107" spans="9:13">
      <c r="I1107" s="150"/>
      <c r="J1107" s="151"/>
      <c r="K1107" s="151"/>
      <c r="M1107" s="151"/>
    </row>
    <row r="1108" spans="9:13">
      <c r="I1108" s="150"/>
      <c r="J1108" s="151"/>
      <c r="K1108" s="151"/>
      <c r="M1108" s="151"/>
    </row>
    <row r="1109" spans="9:13">
      <c r="I1109" s="150"/>
      <c r="J1109" s="151"/>
      <c r="K1109" s="151"/>
      <c r="M1109" s="151"/>
    </row>
    <row r="1110" spans="9:13">
      <c r="I1110" s="150"/>
      <c r="J1110" s="151"/>
      <c r="K1110" s="151"/>
      <c r="M1110" s="151"/>
    </row>
    <row r="1111" spans="9:13">
      <c r="I1111" s="150"/>
      <c r="J1111" s="151"/>
      <c r="K1111" s="151"/>
      <c r="M1111" s="151"/>
    </row>
    <row r="1112" spans="9:13">
      <c r="I1112" s="150"/>
      <c r="J1112" s="151"/>
      <c r="K1112" s="151"/>
      <c r="M1112" s="151"/>
    </row>
    <row r="1113" spans="9:13">
      <c r="I1113" s="150"/>
      <c r="J1113" s="151"/>
      <c r="K1113" s="151"/>
      <c r="M1113" s="151"/>
    </row>
    <row r="1114" spans="9:13">
      <c r="I1114" s="150"/>
      <c r="J1114" s="151"/>
      <c r="K1114" s="151"/>
      <c r="M1114" s="151"/>
    </row>
    <row r="1115" spans="9:13">
      <c r="I1115" s="150"/>
      <c r="J1115" s="151"/>
      <c r="K1115" s="151"/>
      <c r="M1115" s="151"/>
    </row>
    <row r="1116" spans="9:13">
      <c r="I1116" s="150"/>
      <c r="J1116" s="151"/>
      <c r="K1116" s="151"/>
      <c r="M1116" s="151"/>
    </row>
    <row r="1117" spans="9:13">
      <c r="I1117" s="150"/>
      <c r="J1117" s="151"/>
      <c r="K1117" s="151"/>
      <c r="M1117" s="151"/>
    </row>
    <row r="1118" spans="9:13">
      <c r="I1118" s="150"/>
      <c r="J1118" s="151"/>
      <c r="K1118" s="151"/>
      <c r="M1118" s="151"/>
    </row>
    <row r="1119" spans="9:13">
      <c r="I1119" s="150"/>
      <c r="J1119" s="151"/>
      <c r="K1119" s="151"/>
      <c r="M1119" s="151"/>
    </row>
    <row r="1120" spans="9:13">
      <c r="I1120" s="150"/>
      <c r="J1120" s="151"/>
      <c r="K1120" s="151"/>
      <c r="M1120" s="151"/>
    </row>
    <row r="1121" spans="9:13">
      <c r="I1121" s="150"/>
      <c r="J1121" s="151"/>
      <c r="K1121" s="151"/>
      <c r="M1121" s="151"/>
    </row>
    <row r="1122" spans="9:13">
      <c r="I1122" s="150"/>
      <c r="J1122" s="151"/>
      <c r="K1122" s="151"/>
      <c r="M1122" s="151"/>
    </row>
    <row r="1123" spans="9:13">
      <c r="I1123" s="150"/>
      <c r="J1123" s="151"/>
      <c r="K1123" s="151"/>
      <c r="M1123" s="151"/>
    </row>
    <row r="1124" spans="9:13">
      <c r="I1124" s="150"/>
      <c r="J1124" s="151"/>
      <c r="K1124" s="151"/>
      <c r="M1124" s="151"/>
    </row>
    <row r="1125" spans="9:13">
      <c r="I1125" s="150"/>
      <c r="J1125" s="151"/>
      <c r="K1125" s="151"/>
      <c r="M1125" s="151"/>
    </row>
    <row r="1126" spans="9:13">
      <c r="I1126" s="150"/>
      <c r="J1126" s="151"/>
      <c r="K1126" s="151"/>
      <c r="M1126" s="151"/>
    </row>
    <row r="1127" spans="9:13">
      <c r="I1127" s="150"/>
      <c r="J1127" s="151"/>
      <c r="K1127" s="151"/>
      <c r="M1127" s="151"/>
    </row>
    <row r="1128" spans="9:13">
      <c r="I1128" s="150"/>
      <c r="J1128" s="151"/>
      <c r="K1128" s="151"/>
      <c r="M1128" s="151"/>
    </row>
    <row r="1129" spans="9:13">
      <c r="I1129" s="150"/>
      <c r="J1129" s="151"/>
      <c r="K1129" s="151"/>
      <c r="M1129" s="151"/>
    </row>
    <row r="1130" spans="9:13">
      <c r="I1130" s="150"/>
      <c r="J1130" s="151"/>
      <c r="K1130" s="151"/>
      <c r="M1130" s="151"/>
    </row>
    <row r="1131" spans="9:13">
      <c r="I1131" s="150"/>
      <c r="J1131" s="151"/>
      <c r="K1131" s="151"/>
      <c r="M1131" s="151"/>
    </row>
    <row r="1132" spans="9:13">
      <c r="I1132" s="150"/>
      <c r="J1132" s="151"/>
      <c r="K1132" s="151"/>
      <c r="M1132" s="151"/>
    </row>
    <row r="1133" spans="9:13">
      <c r="I1133" s="150"/>
      <c r="J1133" s="151"/>
      <c r="K1133" s="151"/>
      <c r="M1133" s="151"/>
    </row>
    <row r="1134" spans="9:13">
      <c r="I1134" s="150"/>
      <c r="J1134" s="151"/>
      <c r="K1134" s="151"/>
      <c r="M1134" s="151"/>
    </row>
    <row r="1135" spans="9:13">
      <c r="I1135" s="150"/>
      <c r="J1135" s="151"/>
      <c r="K1135" s="151"/>
      <c r="M1135" s="151"/>
    </row>
    <row r="1136" spans="9:13">
      <c r="I1136" s="150"/>
      <c r="J1136" s="151"/>
      <c r="K1136" s="151"/>
      <c r="M1136" s="151"/>
    </row>
    <row r="1137" spans="9:13">
      <c r="I1137" s="150"/>
      <c r="J1137" s="151"/>
      <c r="K1137" s="151"/>
      <c r="M1137" s="151"/>
    </row>
    <row r="1138" spans="9:13">
      <c r="I1138" s="150"/>
      <c r="J1138" s="151"/>
      <c r="K1138" s="151"/>
      <c r="M1138" s="151"/>
    </row>
    <row r="1139" spans="9:13">
      <c r="I1139" s="150"/>
      <c r="J1139" s="151"/>
      <c r="K1139" s="151"/>
      <c r="M1139" s="151"/>
    </row>
    <row r="1140" spans="9:13">
      <c r="I1140" s="150"/>
      <c r="J1140" s="151"/>
      <c r="K1140" s="151"/>
      <c r="M1140" s="151"/>
    </row>
    <row r="1141" spans="9:13">
      <c r="I1141" s="150"/>
      <c r="J1141" s="151"/>
      <c r="K1141" s="151"/>
      <c r="M1141" s="151"/>
    </row>
    <row r="1142" spans="9:13">
      <c r="I1142" s="150"/>
      <c r="J1142" s="151"/>
      <c r="K1142" s="151"/>
      <c r="M1142" s="151"/>
    </row>
    <row r="1143" spans="9:13">
      <c r="I1143" s="150"/>
      <c r="J1143" s="151"/>
      <c r="K1143" s="151"/>
      <c r="M1143" s="151"/>
    </row>
    <row r="1144" spans="9:13">
      <c r="I1144" s="150"/>
      <c r="J1144" s="151"/>
      <c r="K1144" s="151"/>
      <c r="M1144" s="151"/>
    </row>
    <row r="1145" spans="9:13">
      <c r="I1145" s="150"/>
      <c r="J1145" s="151"/>
      <c r="K1145" s="151"/>
      <c r="M1145" s="151"/>
    </row>
    <row r="1146" spans="9:13">
      <c r="I1146" s="150"/>
      <c r="J1146" s="151"/>
      <c r="K1146" s="151"/>
      <c r="M1146" s="151"/>
    </row>
    <row r="1147" spans="9:13">
      <c r="I1147" s="150"/>
      <c r="J1147" s="151"/>
      <c r="K1147" s="151"/>
      <c r="M1147" s="151"/>
    </row>
    <row r="1148" spans="9:13">
      <c r="I1148" s="150"/>
      <c r="J1148" s="151"/>
      <c r="K1148" s="151"/>
      <c r="M1148" s="151"/>
    </row>
    <row r="1149" spans="9:13">
      <c r="I1149" s="150"/>
      <c r="J1149" s="151"/>
      <c r="K1149" s="151"/>
      <c r="M1149" s="151"/>
    </row>
    <row r="1150" spans="9:13">
      <c r="I1150" s="150"/>
      <c r="J1150" s="151"/>
      <c r="K1150" s="151"/>
      <c r="M1150" s="151"/>
    </row>
    <row r="1151" spans="9:13">
      <c r="I1151" s="150"/>
      <c r="J1151" s="151"/>
      <c r="K1151" s="151"/>
      <c r="M1151" s="151"/>
    </row>
    <row r="1152" spans="9:13">
      <c r="I1152" s="150"/>
      <c r="J1152" s="151"/>
      <c r="K1152" s="151"/>
      <c r="M1152" s="151"/>
    </row>
    <row r="1153" spans="9:13">
      <c r="I1153" s="150"/>
      <c r="J1153" s="151"/>
      <c r="K1153" s="151"/>
      <c r="M1153" s="151"/>
    </row>
    <row r="1154" spans="9:13">
      <c r="I1154" s="150"/>
      <c r="J1154" s="151"/>
      <c r="K1154" s="151"/>
      <c r="M1154" s="151"/>
    </row>
    <row r="1155" spans="9:13">
      <c r="I1155" s="150"/>
      <c r="J1155" s="151"/>
      <c r="K1155" s="151"/>
      <c r="M1155" s="151"/>
    </row>
    <row r="1156" spans="9:13">
      <c r="I1156" s="150"/>
      <c r="J1156" s="151"/>
      <c r="K1156" s="151"/>
      <c r="M1156" s="151"/>
    </row>
    <row r="1157" spans="9:13">
      <c r="I1157" s="150"/>
      <c r="J1157" s="151"/>
      <c r="K1157" s="151"/>
      <c r="M1157" s="151"/>
    </row>
    <row r="1158" spans="9:13">
      <c r="I1158" s="150"/>
      <c r="J1158" s="151"/>
      <c r="K1158" s="151"/>
      <c r="M1158" s="151"/>
    </row>
    <row r="1159" spans="9:13">
      <c r="I1159" s="150"/>
      <c r="J1159" s="151"/>
      <c r="K1159" s="151"/>
      <c r="M1159" s="151"/>
    </row>
    <row r="1160" spans="9:13">
      <c r="I1160" s="150"/>
      <c r="J1160" s="151"/>
      <c r="K1160" s="151"/>
      <c r="M1160" s="151"/>
    </row>
    <row r="1161" spans="9:13">
      <c r="I1161" s="150"/>
      <c r="J1161" s="151"/>
      <c r="K1161" s="151"/>
      <c r="M1161" s="151"/>
    </row>
    <row r="1162" spans="9:13">
      <c r="I1162" s="150"/>
      <c r="J1162" s="151"/>
      <c r="K1162" s="151"/>
      <c r="M1162" s="151"/>
    </row>
    <row r="1163" spans="9:13">
      <c r="I1163" s="150"/>
      <c r="J1163" s="151"/>
      <c r="K1163" s="151"/>
      <c r="M1163" s="151"/>
    </row>
    <row r="1164" spans="9:13">
      <c r="I1164" s="150"/>
      <c r="J1164" s="151"/>
      <c r="K1164" s="151"/>
      <c r="M1164" s="151"/>
    </row>
    <row r="1165" spans="9:13">
      <c r="I1165" s="150"/>
      <c r="J1165" s="151"/>
      <c r="K1165" s="151"/>
      <c r="M1165" s="151"/>
    </row>
    <row r="1166" spans="9:13">
      <c r="I1166" s="150"/>
      <c r="J1166" s="151"/>
      <c r="K1166" s="151"/>
      <c r="M1166" s="151"/>
    </row>
    <row r="1167" spans="9:13">
      <c r="I1167" s="150"/>
      <c r="J1167" s="151"/>
      <c r="K1167" s="151"/>
      <c r="M1167" s="151"/>
    </row>
    <row r="1168" spans="9:13">
      <c r="I1168" s="150"/>
      <c r="J1168" s="151"/>
      <c r="K1168" s="151"/>
      <c r="M1168" s="151"/>
    </row>
    <row r="1169" spans="9:13">
      <c r="I1169" s="150"/>
      <c r="J1169" s="151"/>
      <c r="K1169" s="151"/>
      <c r="M1169" s="151"/>
    </row>
    <row r="1170" spans="9:13">
      <c r="I1170" s="150"/>
      <c r="J1170" s="151"/>
      <c r="K1170" s="151"/>
      <c r="M1170" s="151"/>
    </row>
    <row r="1171" spans="9:13">
      <c r="I1171" s="150"/>
      <c r="J1171" s="151"/>
      <c r="K1171" s="151"/>
      <c r="M1171" s="151"/>
    </row>
    <row r="1172" spans="9:13">
      <c r="I1172" s="150"/>
      <c r="J1172" s="151"/>
      <c r="K1172" s="151"/>
      <c r="M1172" s="151"/>
    </row>
    <row r="1173" spans="9:13">
      <c r="I1173" s="150"/>
      <c r="J1173" s="151"/>
      <c r="K1173" s="151"/>
      <c r="M1173" s="151"/>
    </row>
    <row r="1174" spans="9:13">
      <c r="I1174" s="150"/>
      <c r="J1174" s="151"/>
      <c r="K1174" s="151"/>
      <c r="M1174" s="151"/>
    </row>
    <row r="1175" spans="9:13">
      <c r="I1175" s="150"/>
      <c r="J1175" s="151"/>
      <c r="K1175" s="151"/>
      <c r="M1175" s="151"/>
    </row>
    <row r="1176" spans="9:13">
      <c r="I1176" s="150"/>
      <c r="J1176" s="151"/>
      <c r="K1176" s="151"/>
      <c r="M1176" s="151"/>
    </row>
    <row r="1177" spans="9:13">
      <c r="I1177" s="150"/>
      <c r="J1177" s="151"/>
      <c r="K1177" s="151"/>
      <c r="M1177" s="151"/>
    </row>
    <row r="1178" spans="9:13">
      <c r="I1178" s="150"/>
      <c r="J1178" s="151"/>
      <c r="K1178" s="151"/>
      <c r="M1178" s="151"/>
    </row>
    <row r="1179" spans="9:13">
      <c r="I1179" s="150"/>
      <c r="J1179" s="151"/>
      <c r="K1179" s="151"/>
      <c r="M1179" s="151"/>
    </row>
    <row r="1180" spans="9:13">
      <c r="I1180" s="150"/>
      <c r="J1180" s="151"/>
      <c r="K1180" s="151"/>
      <c r="M1180" s="151"/>
    </row>
    <row r="1181" spans="9:13">
      <c r="I1181" s="150"/>
      <c r="J1181" s="151"/>
      <c r="K1181" s="151"/>
      <c r="M1181" s="151"/>
    </row>
    <row r="1182" spans="9:13">
      <c r="I1182" s="150"/>
      <c r="J1182" s="151"/>
      <c r="K1182" s="151"/>
      <c r="M1182" s="151"/>
    </row>
    <row r="1183" spans="9:13">
      <c r="I1183" s="150"/>
      <c r="J1183" s="151"/>
      <c r="K1183" s="151"/>
      <c r="M1183" s="151"/>
    </row>
    <row r="1184" spans="9:13">
      <c r="I1184" s="150"/>
      <c r="J1184" s="151"/>
      <c r="K1184" s="151"/>
      <c r="M1184" s="151"/>
    </row>
    <row r="1185" spans="9:13">
      <c r="I1185" s="150"/>
      <c r="J1185" s="151"/>
      <c r="K1185" s="151"/>
      <c r="M1185" s="151"/>
    </row>
    <row r="1186" spans="9:13">
      <c r="I1186" s="150"/>
      <c r="J1186" s="151"/>
      <c r="K1186" s="151"/>
      <c r="M1186" s="151"/>
    </row>
    <row r="1187" spans="9:13">
      <c r="I1187" s="150"/>
      <c r="J1187" s="151"/>
      <c r="K1187" s="151"/>
      <c r="M1187" s="151"/>
    </row>
    <row r="1188" spans="9:13">
      <c r="I1188" s="150"/>
      <c r="J1188" s="151"/>
      <c r="K1188" s="151"/>
      <c r="M1188" s="151"/>
    </row>
    <row r="1189" spans="9:13">
      <c r="I1189" s="150"/>
      <c r="J1189" s="151"/>
      <c r="K1189" s="151"/>
      <c r="M1189" s="151"/>
    </row>
    <row r="1190" spans="9:13">
      <c r="I1190" s="150"/>
      <c r="J1190" s="151"/>
      <c r="K1190" s="151"/>
      <c r="M1190" s="151"/>
    </row>
    <row r="1191" spans="9:13">
      <c r="I1191" s="150"/>
      <c r="J1191" s="151"/>
      <c r="K1191" s="151"/>
      <c r="M1191" s="151"/>
    </row>
    <row r="1192" spans="9:13">
      <c r="I1192" s="150"/>
      <c r="J1192" s="151"/>
      <c r="K1192" s="151"/>
      <c r="M1192" s="151"/>
    </row>
    <row r="1193" spans="9:13">
      <c r="I1193" s="150"/>
      <c r="J1193" s="151"/>
      <c r="K1193" s="151"/>
      <c r="M1193" s="151"/>
    </row>
    <row r="1194" spans="9:13">
      <c r="I1194" s="150"/>
      <c r="J1194" s="151"/>
      <c r="K1194" s="151"/>
      <c r="M1194" s="151"/>
    </row>
    <row r="1195" spans="9:13">
      <c r="I1195" s="150"/>
      <c r="J1195" s="151"/>
      <c r="K1195" s="151"/>
      <c r="M1195" s="151"/>
    </row>
    <row r="1196" spans="9:13">
      <c r="I1196" s="150"/>
      <c r="J1196" s="151"/>
      <c r="K1196" s="151"/>
      <c r="M1196" s="151"/>
    </row>
    <row r="1197" spans="9:13">
      <c r="I1197" s="150"/>
      <c r="J1197" s="151"/>
      <c r="K1197" s="151"/>
      <c r="M1197" s="151"/>
    </row>
    <row r="1198" spans="9:13">
      <c r="I1198" s="150"/>
      <c r="J1198" s="151"/>
      <c r="K1198" s="151"/>
      <c r="M1198" s="151"/>
    </row>
    <row r="1199" spans="9:13">
      <c r="I1199" s="150"/>
      <c r="J1199" s="151"/>
      <c r="K1199" s="151"/>
      <c r="M1199" s="151"/>
    </row>
    <row r="1200" spans="9:13">
      <c r="I1200" s="150"/>
      <c r="J1200" s="151"/>
      <c r="K1200" s="151"/>
      <c r="M1200" s="151"/>
    </row>
    <row r="1201" spans="9:13">
      <c r="I1201" s="150"/>
      <c r="J1201" s="151"/>
      <c r="K1201" s="151"/>
      <c r="M1201" s="151"/>
    </row>
    <row r="1202" spans="9:13">
      <c r="I1202" s="150"/>
      <c r="J1202" s="151"/>
      <c r="K1202" s="151"/>
      <c r="M1202" s="151"/>
    </row>
    <row r="1203" spans="9:13">
      <c r="I1203" s="150"/>
      <c r="J1203" s="151"/>
      <c r="K1203" s="151"/>
      <c r="M1203" s="151"/>
    </row>
    <row r="1204" spans="9:13">
      <c r="I1204" s="150"/>
      <c r="J1204" s="151"/>
      <c r="K1204" s="151"/>
      <c r="M1204" s="151"/>
    </row>
    <row r="1205" spans="9:13">
      <c r="I1205" s="150"/>
      <c r="J1205" s="151"/>
      <c r="K1205" s="151"/>
      <c r="M1205" s="151"/>
    </row>
    <row r="1206" spans="9:13">
      <c r="I1206" s="150"/>
      <c r="J1206" s="151"/>
      <c r="K1206" s="151"/>
      <c r="M1206" s="151"/>
    </row>
    <row r="1207" spans="9:13">
      <c r="I1207" s="150"/>
      <c r="J1207" s="151"/>
      <c r="K1207" s="151"/>
      <c r="M1207" s="151"/>
    </row>
    <row r="1208" spans="9:13">
      <c r="I1208" s="150"/>
      <c r="J1208" s="151"/>
      <c r="K1208" s="151"/>
      <c r="M1208" s="151"/>
    </row>
    <row r="1209" spans="9:13">
      <c r="I1209" s="150"/>
      <c r="J1209" s="151"/>
      <c r="K1209" s="151"/>
      <c r="M1209" s="151"/>
    </row>
    <row r="1210" spans="9:13">
      <c r="I1210" s="150"/>
      <c r="J1210" s="151"/>
      <c r="K1210" s="151"/>
      <c r="M1210" s="151"/>
    </row>
    <row r="1211" spans="9:13">
      <c r="I1211" s="150"/>
      <c r="J1211" s="151"/>
      <c r="K1211" s="151"/>
      <c r="M1211" s="151"/>
    </row>
    <row r="1212" spans="9:13">
      <c r="I1212" s="150"/>
      <c r="J1212" s="151"/>
      <c r="K1212" s="151"/>
      <c r="M1212" s="151"/>
    </row>
    <row r="1213" spans="9:13">
      <c r="I1213" s="150"/>
      <c r="J1213" s="151"/>
      <c r="K1213" s="151"/>
      <c r="M1213" s="151"/>
    </row>
    <row r="1214" spans="9:13">
      <c r="I1214" s="150"/>
      <c r="J1214" s="151"/>
      <c r="K1214" s="151"/>
      <c r="M1214" s="151"/>
    </row>
    <row r="1215" spans="9:13">
      <c r="I1215" s="150"/>
      <c r="J1215" s="151"/>
      <c r="K1215" s="151"/>
      <c r="M1215" s="151"/>
    </row>
    <row r="1216" spans="9:13">
      <c r="I1216" s="150"/>
      <c r="J1216" s="151"/>
      <c r="K1216" s="151"/>
      <c r="M1216" s="151"/>
    </row>
    <row r="1217" spans="9:13">
      <c r="I1217" s="150"/>
      <c r="J1217" s="151"/>
      <c r="K1217" s="151"/>
      <c r="M1217" s="151"/>
    </row>
    <row r="1218" spans="9:13">
      <c r="I1218" s="150"/>
      <c r="J1218" s="151"/>
      <c r="K1218" s="151"/>
      <c r="M1218" s="151"/>
    </row>
    <row r="1219" spans="9:13">
      <c r="I1219" s="150"/>
      <c r="J1219" s="151"/>
      <c r="K1219" s="151"/>
      <c r="M1219" s="151"/>
    </row>
    <row r="1220" spans="9:13">
      <c r="I1220" s="150"/>
      <c r="J1220" s="151"/>
      <c r="K1220" s="151"/>
      <c r="M1220" s="151"/>
    </row>
    <row r="1221" spans="9:13">
      <c r="I1221" s="150"/>
      <c r="J1221" s="151"/>
      <c r="K1221" s="151"/>
      <c r="M1221" s="151"/>
    </row>
    <row r="1222" spans="9:13">
      <c r="I1222" s="150"/>
      <c r="J1222" s="151"/>
      <c r="K1222" s="151"/>
      <c r="M1222" s="151"/>
    </row>
    <row r="1223" spans="9:13">
      <c r="I1223" s="150"/>
      <c r="J1223" s="151"/>
      <c r="K1223" s="151"/>
      <c r="M1223" s="151"/>
    </row>
    <row r="1224" spans="9:13">
      <c r="I1224" s="150"/>
      <c r="J1224" s="151"/>
      <c r="K1224" s="151"/>
      <c r="M1224" s="151"/>
    </row>
    <row r="1225" spans="9:13">
      <c r="I1225" s="150"/>
      <c r="J1225" s="151"/>
      <c r="K1225" s="151"/>
      <c r="M1225" s="151"/>
    </row>
    <row r="1226" spans="9:13">
      <c r="I1226" s="150"/>
      <c r="J1226" s="151"/>
      <c r="K1226" s="151"/>
      <c r="M1226" s="151"/>
    </row>
    <row r="1227" spans="9:13">
      <c r="I1227" s="150"/>
      <c r="J1227" s="151"/>
      <c r="K1227" s="151"/>
      <c r="M1227" s="151"/>
    </row>
    <row r="1228" spans="9:13">
      <c r="I1228" s="150"/>
      <c r="J1228" s="151"/>
      <c r="K1228" s="151"/>
      <c r="M1228" s="151"/>
    </row>
    <row r="1229" spans="9:13">
      <c r="I1229" s="150"/>
      <c r="J1229" s="151"/>
      <c r="K1229" s="151"/>
      <c r="M1229" s="151"/>
    </row>
    <row r="1230" spans="9:13">
      <c r="I1230" s="150"/>
      <c r="J1230" s="151"/>
      <c r="K1230" s="151"/>
      <c r="M1230" s="151"/>
    </row>
    <row r="1231" spans="9:13">
      <c r="I1231" s="150"/>
      <c r="J1231" s="151"/>
      <c r="K1231" s="151"/>
      <c r="M1231" s="151"/>
    </row>
    <row r="1232" spans="9:13">
      <c r="I1232" s="150"/>
      <c r="J1232" s="151"/>
      <c r="K1232" s="151"/>
      <c r="M1232" s="151"/>
    </row>
    <row r="1233" spans="9:13">
      <c r="I1233" s="150"/>
      <c r="J1233" s="151"/>
      <c r="K1233" s="151"/>
      <c r="M1233" s="151"/>
    </row>
    <row r="1234" spans="9:13">
      <c r="I1234" s="150"/>
      <c r="J1234" s="151"/>
      <c r="K1234" s="151"/>
      <c r="M1234" s="151"/>
    </row>
    <row r="1235" spans="9:13">
      <c r="I1235" s="150"/>
      <c r="J1235" s="151"/>
      <c r="K1235" s="151"/>
      <c r="M1235" s="151"/>
    </row>
    <row r="1236" spans="9:13">
      <c r="I1236" s="150"/>
      <c r="J1236" s="151"/>
      <c r="K1236" s="151"/>
      <c r="M1236" s="151"/>
    </row>
    <row r="1237" spans="9:13">
      <c r="I1237" s="150"/>
      <c r="J1237" s="151"/>
      <c r="K1237" s="151"/>
      <c r="M1237" s="151"/>
    </row>
    <row r="1238" spans="9:13">
      <c r="I1238" s="150"/>
      <c r="J1238" s="151"/>
      <c r="K1238" s="151"/>
      <c r="M1238" s="151"/>
    </row>
    <row r="1239" spans="9:13">
      <c r="I1239" s="150"/>
      <c r="J1239" s="151"/>
      <c r="K1239" s="151"/>
      <c r="M1239" s="151"/>
    </row>
    <row r="1240" spans="9:13">
      <c r="I1240" s="150"/>
      <c r="J1240" s="151"/>
      <c r="K1240" s="151"/>
      <c r="M1240" s="151"/>
    </row>
    <row r="1241" spans="9:13">
      <c r="I1241" s="150"/>
      <c r="J1241" s="151"/>
      <c r="K1241" s="151"/>
      <c r="M1241" s="151"/>
    </row>
    <row r="1242" spans="9:13">
      <c r="I1242" s="150"/>
      <c r="J1242" s="151"/>
      <c r="K1242" s="151"/>
      <c r="M1242" s="151"/>
    </row>
    <row r="1243" spans="9:13">
      <c r="I1243" s="150"/>
      <c r="J1243" s="151"/>
      <c r="K1243" s="151"/>
      <c r="M1243" s="151"/>
    </row>
    <row r="1244" spans="9:13">
      <c r="I1244" s="150"/>
      <c r="J1244" s="151"/>
      <c r="K1244" s="151"/>
      <c r="M1244" s="151"/>
    </row>
    <row r="1245" spans="9:13">
      <c r="I1245" s="150"/>
      <c r="J1245" s="151"/>
      <c r="K1245" s="151"/>
      <c r="M1245" s="151"/>
    </row>
    <row r="1246" spans="9:13">
      <c r="I1246" s="150"/>
      <c r="J1246" s="151"/>
      <c r="K1246" s="151"/>
      <c r="M1246" s="151"/>
    </row>
    <row r="1247" spans="9:13">
      <c r="I1247" s="150"/>
      <c r="J1247" s="151"/>
      <c r="K1247" s="151"/>
      <c r="M1247" s="151"/>
    </row>
    <row r="1248" spans="9:13">
      <c r="I1248" s="150"/>
      <c r="J1248" s="151"/>
      <c r="K1248" s="151"/>
      <c r="M1248" s="151"/>
    </row>
    <row r="1249" spans="9:13">
      <c r="I1249" s="150"/>
      <c r="J1249" s="151"/>
      <c r="K1249" s="151"/>
      <c r="M1249" s="151"/>
    </row>
    <row r="1250" spans="9:13">
      <c r="I1250" s="150"/>
      <c r="J1250" s="151"/>
      <c r="K1250" s="151"/>
      <c r="M1250" s="151"/>
    </row>
    <row r="1251" spans="9:13">
      <c r="I1251" s="150"/>
      <c r="J1251" s="151"/>
      <c r="K1251" s="151"/>
      <c r="M1251" s="151"/>
    </row>
    <row r="1252" spans="9:13">
      <c r="I1252" s="150"/>
      <c r="J1252" s="151"/>
      <c r="K1252" s="151"/>
      <c r="M1252" s="151"/>
    </row>
    <row r="1253" spans="9:13">
      <c r="I1253" s="150"/>
      <c r="J1253" s="151"/>
      <c r="K1253" s="151"/>
      <c r="M1253" s="151"/>
    </row>
    <row r="1254" spans="9:13">
      <c r="I1254" s="150"/>
      <c r="J1254" s="151"/>
      <c r="K1254" s="151"/>
      <c r="M1254" s="151"/>
    </row>
    <row r="1255" spans="9:13">
      <c r="I1255" s="150"/>
      <c r="J1255" s="151"/>
      <c r="K1255" s="151"/>
      <c r="M1255" s="151"/>
    </row>
    <row r="1256" spans="9:13">
      <c r="I1256" s="150"/>
      <c r="J1256" s="151"/>
      <c r="K1256" s="151"/>
      <c r="M1256" s="151"/>
    </row>
    <row r="1257" spans="9:13">
      <c r="I1257" s="150"/>
      <c r="J1257" s="151"/>
      <c r="K1257" s="151"/>
      <c r="M1257" s="151"/>
    </row>
    <row r="1258" spans="9:13">
      <c r="I1258" s="150"/>
      <c r="J1258" s="151"/>
      <c r="K1258" s="151"/>
      <c r="M1258" s="151"/>
    </row>
    <row r="1259" spans="9:13">
      <c r="I1259" s="150"/>
      <c r="J1259" s="151"/>
      <c r="K1259" s="151"/>
      <c r="M1259" s="151"/>
    </row>
    <row r="1260" spans="9:13">
      <c r="I1260" s="150"/>
      <c r="J1260" s="151"/>
      <c r="K1260" s="151"/>
      <c r="M1260" s="151"/>
    </row>
    <row r="1261" spans="9:13">
      <c r="I1261" s="150"/>
      <c r="J1261" s="151"/>
      <c r="K1261" s="151"/>
      <c r="M1261" s="151"/>
    </row>
    <row r="1262" spans="9:13">
      <c r="I1262" s="150"/>
      <c r="J1262" s="151"/>
      <c r="K1262" s="151"/>
      <c r="M1262" s="151"/>
    </row>
    <row r="1263" spans="9:13">
      <c r="I1263" s="150"/>
      <c r="J1263" s="151"/>
      <c r="K1263" s="151"/>
      <c r="M1263" s="151"/>
    </row>
    <row r="1264" spans="9:13">
      <c r="I1264" s="150"/>
      <c r="J1264" s="151"/>
      <c r="K1264" s="151"/>
      <c r="M1264" s="151"/>
    </row>
    <row r="1265" spans="9:13">
      <c r="I1265" s="150"/>
      <c r="J1265" s="151"/>
      <c r="K1265" s="151"/>
      <c r="M1265" s="151"/>
    </row>
    <row r="1266" spans="9:13">
      <c r="I1266" s="150"/>
      <c r="J1266" s="151"/>
      <c r="K1266" s="151"/>
      <c r="M1266" s="151"/>
    </row>
    <row r="1267" spans="9:13">
      <c r="I1267" s="150"/>
      <c r="J1267" s="151"/>
      <c r="K1267" s="151"/>
      <c r="M1267" s="151"/>
    </row>
    <row r="1268" spans="9:13">
      <c r="I1268" s="150"/>
      <c r="J1268" s="151"/>
      <c r="K1268" s="151"/>
      <c r="M1268" s="151"/>
    </row>
    <row r="1269" spans="9:13">
      <c r="I1269" s="150"/>
      <c r="J1269" s="151"/>
      <c r="K1269" s="151"/>
      <c r="M1269" s="151"/>
    </row>
    <row r="1270" spans="9:13">
      <c r="I1270" s="150"/>
      <c r="J1270" s="151"/>
      <c r="K1270" s="151"/>
      <c r="M1270" s="151"/>
    </row>
    <row r="1271" spans="9:13">
      <c r="I1271" s="150"/>
      <c r="J1271" s="151"/>
      <c r="K1271" s="151"/>
      <c r="M1271" s="151"/>
    </row>
    <row r="1272" spans="9:13">
      <c r="I1272" s="150"/>
      <c r="J1272" s="151"/>
      <c r="K1272" s="151"/>
      <c r="M1272" s="151"/>
    </row>
    <row r="1273" spans="9:13">
      <c r="I1273" s="150"/>
      <c r="J1273" s="151"/>
      <c r="K1273" s="151"/>
      <c r="M1273" s="151"/>
    </row>
    <row r="1274" spans="9:13">
      <c r="I1274" s="150"/>
      <c r="J1274" s="151"/>
      <c r="K1274" s="151"/>
      <c r="M1274" s="151"/>
    </row>
    <row r="1275" spans="9:13">
      <c r="I1275" s="150"/>
      <c r="J1275" s="151"/>
      <c r="K1275" s="151"/>
      <c r="M1275" s="151"/>
    </row>
    <row r="1276" spans="9:13">
      <c r="I1276" s="150"/>
      <c r="J1276" s="151"/>
      <c r="K1276" s="151"/>
      <c r="M1276" s="151"/>
    </row>
    <row r="1277" spans="9:13">
      <c r="I1277" s="150"/>
      <c r="J1277" s="151"/>
      <c r="K1277" s="151"/>
      <c r="M1277" s="151"/>
    </row>
    <row r="1278" spans="9:13">
      <c r="I1278" s="150"/>
      <c r="J1278" s="151"/>
      <c r="K1278" s="151"/>
      <c r="M1278" s="151"/>
    </row>
    <row r="1279" spans="9:13">
      <c r="I1279" s="150"/>
      <c r="J1279" s="151"/>
      <c r="K1279" s="151"/>
      <c r="M1279" s="151"/>
    </row>
    <row r="1280" spans="9:13">
      <c r="I1280" s="150"/>
      <c r="J1280" s="151"/>
      <c r="K1280" s="151"/>
      <c r="M1280" s="151"/>
    </row>
    <row r="1281" spans="9:13">
      <c r="I1281" s="150"/>
      <c r="J1281" s="151"/>
      <c r="K1281" s="151"/>
      <c r="M1281" s="151"/>
    </row>
    <row r="1282" spans="9:13">
      <c r="I1282" s="150"/>
      <c r="J1282" s="151"/>
      <c r="K1282" s="151"/>
      <c r="M1282" s="151"/>
    </row>
    <row r="1283" spans="9:13">
      <c r="I1283" s="150"/>
      <c r="J1283" s="151"/>
      <c r="K1283" s="151"/>
      <c r="M1283" s="151"/>
    </row>
    <row r="1284" spans="9:13">
      <c r="I1284" s="150"/>
      <c r="J1284" s="151"/>
      <c r="K1284" s="151"/>
      <c r="M1284" s="151"/>
    </row>
    <row r="1285" spans="9:13">
      <c r="I1285" s="150"/>
      <c r="J1285" s="151"/>
      <c r="K1285" s="151"/>
      <c r="M1285" s="151"/>
    </row>
    <row r="1286" spans="9:13">
      <c r="I1286" s="150"/>
      <c r="J1286" s="151"/>
      <c r="K1286" s="151"/>
      <c r="M1286" s="151"/>
    </row>
    <row r="1287" spans="9:13">
      <c r="I1287" s="150"/>
      <c r="J1287" s="151"/>
      <c r="K1287" s="151"/>
      <c r="M1287" s="151"/>
    </row>
    <row r="1288" spans="9:13">
      <c r="I1288" s="150"/>
      <c r="J1288" s="151"/>
      <c r="K1288" s="151"/>
      <c r="M1288" s="151"/>
    </row>
    <row r="1289" spans="9:13">
      <c r="I1289" s="150"/>
      <c r="J1289" s="151"/>
      <c r="K1289" s="151"/>
      <c r="M1289" s="151"/>
    </row>
    <row r="1290" spans="9:13">
      <c r="I1290" s="150"/>
      <c r="J1290" s="151"/>
      <c r="K1290" s="151"/>
      <c r="M1290" s="151"/>
    </row>
    <row r="1291" spans="9:13">
      <c r="I1291" s="150"/>
      <c r="J1291" s="151"/>
      <c r="K1291" s="151"/>
      <c r="M1291" s="151"/>
    </row>
    <row r="1292" spans="9:13">
      <c r="I1292" s="150"/>
      <c r="J1292" s="151"/>
      <c r="K1292" s="151"/>
      <c r="M1292" s="151"/>
    </row>
    <row r="1293" spans="9:13">
      <c r="I1293" s="150"/>
      <c r="J1293" s="151"/>
      <c r="K1293" s="151"/>
      <c r="M1293" s="151"/>
    </row>
    <row r="1294" spans="9:13">
      <c r="I1294" s="150"/>
      <c r="J1294" s="151"/>
      <c r="K1294" s="151"/>
      <c r="M1294" s="151"/>
    </row>
    <row r="1295" spans="9:13">
      <c r="I1295" s="150"/>
      <c r="J1295" s="151"/>
      <c r="K1295" s="151"/>
      <c r="M1295" s="151"/>
    </row>
    <row r="1296" spans="9:13">
      <c r="I1296" s="150"/>
      <c r="J1296" s="151"/>
      <c r="K1296" s="151"/>
      <c r="M1296" s="151"/>
    </row>
    <row r="1297" spans="9:13">
      <c r="I1297" s="150"/>
      <c r="J1297" s="151"/>
      <c r="K1297" s="151"/>
      <c r="M1297" s="151"/>
    </row>
    <row r="1298" spans="9:13">
      <c r="I1298" s="150"/>
      <c r="J1298" s="151"/>
      <c r="K1298" s="151"/>
      <c r="M1298" s="151"/>
    </row>
    <row r="1299" spans="9:13">
      <c r="I1299" s="150"/>
      <c r="J1299" s="151"/>
      <c r="K1299" s="151"/>
      <c r="M1299" s="151"/>
    </row>
    <row r="1300" spans="9:13">
      <c r="I1300" s="150"/>
      <c r="J1300" s="151"/>
      <c r="K1300" s="151"/>
      <c r="M1300" s="151"/>
    </row>
    <row r="1301" spans="9:13">
      <c r="I1301" s="150"/>
      <c r="J1301" s="151"/>
      <c r="K1301" s="151"/>
      <c r="M1301" s="151"/>
    </row>
    <row r="1302" spans="9:13">
      <c r="I1302" s="150"/>
      <c r="J1302" s="151"/>
      <c r="K1302" s="151"/>
      <c r="M1302" s="151"/>
    </row>
    <row r="1303" spans="9:13">
      <c r="I1303" s="150"/>
      <c r="J1303" s="151"/>
      <c r="K1303" s="151"/>
      <c r="M1303" s="151"/>
    </row>
    <row r="1304" spans="9:13">
      <c r="I1304" s="150"/>
      <c r="J1304" s="151"/>
      <c r="K1304" s="151"/>
      <c r="M1304" s="151"/>
    </row>
    <row r="1305" spans="9:13">
      <c r="I1305" s="150"/>
      <c r="J1305" s="151"/>
      <c r="K1305" s="151"/>
      <c r="M1305" s="151"/>
    </row>
    <row r="1306" spans="9:13">
      <c r="I1306" s="150"/>
      <c r="J1306" s="151"/>
      <c r="K1306" s="151"/>
      <c r="M1306" s="151"/>
    </row>
    <row r="1307" spans="9:13">
      <c r="I1307" s="150"/>
      <c r="J1307" s="151"/>
      <c r="K1307" s="151"/>
      <c r="M1307" s="151"/>
    </row>
    <row r="1308" spans="9:13">
      <c r="I1308" s="150"/>
      <c r="J1308" s="151"/>
      <c r="K1308" s="151"/>
      <c r="M1308" s="151"/>
    </row>
    <row r="1309" spans="9:13">
      <c r="I1309" s="150"/>
      <c r="J1309" s="151"/>
      <c r="K1309" s="151"/>
      <c r="M1309" s="151"/>
    </row>
    <row r="1310" spans="9:13">
      <c r="I1310" s="150"/>
      <c r="J1310" s="151"/>
      <c r="K1310" s="151"/>
      <c r="M1310" s="151"/>
    </row>
    <row r="1311" spans="9:13">
      <c r="I1311" s="150"/>
      <c r="J1311" s="151"/>
      <c r="K1311" s="151"/>
      <c r="M1311" s="151"/>
    </row>
    <row r="1312" spans="9:13">
      <c r="I1312" s="150"/>
      <c r="J1312" s="151"/>
      <c r="K1312" s="151"/>
      <c r="M1312" s="151"/>
    </row>
    <row r="1313" spans="9:13">
      <c r="I1313" s="150"/>
      <c r="J1313" s="151"/>
      <c r="K1313" s="151"/>
      <c r="M1313" s="151"/>
    </row>
    <row r="1314" spans="9:13">
      <c r="I1314" s="150"/>
      <c r="J1314" s="151"/>
      <c r="K1314" s="151"/>
      <c r="M1314" s="151"/>
    </row>
    <row r="1315" spans="9:13">
      <c r="I1315" s="150"/>
      <c r="J1315" s="151"/>
      <c r="K1315" s="151"/>
      <c r="M1315" s="151"/>
    </row>
    <row r="1316" spans="9:13">
      <c r="I1316" s="150"/>
      <c r="J1316" s="151"/>
      <c r="K1316" s="151"/>
      <c r="M1316" s="151"/>
    </row>
    <row r="1317" spans="9:13">
      <c r="I1317" s="150"/>
      <c r="J1317" s="151"/>
      <c r="K1317" s="151"/>
      <c r="M1317" s="151"/>
    </row>
    <row r="1318" spans="9:13">
      <c r="I1318" s="150"/>
      <c r="J1318" s="151"/>
      <c r="K1318" s="151"/>
      <c r="M1318" s="151"/>
    </row>
    <row r="1319" spans="9:13">
      <c r="I1319" s="150"/>
      <c r="J1319" s="151"/>
      <c r="K1319" s="151"/>
      <c r="M1319" s="151"/>
    </row>
    <row r="1320" spans="9:13">
      <c r="I1320" s="150"/>
      <c r="J1320" s="151"/>
      <c r="K1320" s="151"/>
      <c r="M1320" s="151"/>
    </row>
    <row r="1321" spans="9:13">
      <c r="I1321" s="150"/>
      <c r="J1321" s="151"/>
      <c r="K1321" s="151"/>
      <c r="M1321" s="151"/>
    </row>
    <row r="1322" spans="9:13">
      <c r="I1322" s="150"/>
      <c r="J1322" s="151"/>
      <c r="K1322" s="151"/>
      <c r="M1322" s="151"/>
    </row>
    <row r="1323" spans="9:13">
      <c r="I1323" s="150"/>
      <c r="J1323" s="151"/>
      <c r="K1323" s="151"/>
      <c r="M1323" s="151"/>
    </row>
    <row r="1324" spans="9:13">
      <c r="I1324" s="150"/>
      <c r="J1324" s="151"/>
      <c r="K1324" s="151"/>
      <c r="M1324" s="151"/>
    </row>
    <row r="1325" spans="9:13">
      <c r="I1325" s="150"/>
      <c r="J1325" s="151"/>
      <c r="K1325" s="151"/>
      <c r="M1325" s="151"/>
    </row>
    <row r="1326" spans="9:13">
      <c r="I1326" s="150"/>
      <c r="J1326" s="151"/>
      <c r="K1326" s="151"/>
      <c r="M1326" s="151"/>
    </row>
    <row r="1327" spans="9:13">
      <c r="I1327" s="150"/>
      <c r="J1327" s="151"/>
      <c r="K1327" s="151"/>
      <c r="M1327" s="151"/>
    </row>
    <row r="1328" spans="9:13">
      <c r="I1328" s="150"/>
      <c r="J1328" s="151"/>
      <c r="K1328" s="151"/>
      <c r="M1328" s="151"/>
    </row>
    <row r="1329" spans="9:13">
      <c r="I1329" s="150"/>
      <c r="J1329" s="151"/>
      <c r="K1329" s="151"/>
      <c r="M1329" s="151"/>
    </row>
    <row r="1330" spans="9:13">
      <c r="I1330" s="150"/>
      <c r="J1330" s="151"/>
      <c r="K1330" s="151"/>
      <c r="M1330" s="151"/>
    </row>
    <row r="1331" spans="9:13">
      <c r="I1331" s="150"/>
      <c r="J1331" s="151"/>
      <c r="K1331" s="151"/>
      <c r="M1331" s="151"/>
    </row>
    <row r="1332" spans="9:13">
      <c r="I1332" s="150"/>
      <c r="J1332" s="151"/>
      <c r="K1332" s="151"/>
      <c r="M1332" s="151"/>
    </row>
    <row r="1333" spans="9:13">
      <c r="I1333" s="150"/>
      <c r="J1333" s="151"/>
      <c r="K1333" s="151"/>
      <c r="M1333" s="151"/>
    </row>
    <row r="1334" spans="9:13">
      <c r="I1334" s="150"/>
      <c r="J1334" s="151"/>
      <c r="K1334" s="151"/>
      <c r="M1334" s="151"/>
    </row>
    <row r="1335" spans="9:13">
      <c r="I1335" s="150"/>
      <c r="J1335" s="151"/>
      <c r="K1335" s="151"/>
      <c r="M1335" s="151"/>
    </row>
    <row r="1336" spans="9:13">
      <c r="I1336" s="150"/>
      <c r="J1336" s="151"/>
      <c r="K1336" s="151"/>
      <c r="M1336" s="151"/>
    </row>
    <row r="1337" spans="9:13">
      <c r="I1337" s="150"/>
      <c r="J1337" s="151"/>
      <c r="K1337" s="151"/>
      <c r="M1337" s="151"/>
    </row>
    <row r="1338" spans="9:13">
      <c r="I1338" s="150"/>
      <c r="J1338" s="151"/>
      <c r="K1338" s="151"/>
      <c r="M1338" s="151"/>
    </row>
    <row r="1339" spans="9:13">
      <c r="I1339" s="150"/>
      <c r="J1339" s="151"/>
      <c r="K1339" s="151"/>
      <c r="M1339" s="151"/>
    </row>
    <row r="1340" spans="9:13">
      <c r="I1340" s="150"/>
      <c r="J1340" s="151"/>
      <c r="K1340" s="151"/>
      <c r="M1340" s="151"/>
    </row>
    <row r="1341" spans="9:13">
      <c r="I1341" s="150"/>
      <c r="J1341" s="151"/>
      <c r="K1341" s="151"/>
      <c r="M1341" s="151"/>
    </row>
    <row r="1342" spans="9:13">
      <c r="I1342" s="150"/>
      <c r="J1342" s="151"/>
      <c r="K1342" s="151"/>
      <c r="M1342" s="151"/>
    </row>
    <row r="1343" spans="9:13">
      <c r="I1343" s="150"/>
      <c r="J1343" s="151"/>
      <c r="K1343" s="151"/>
      <c r="M1343" s="151"/>
    </row>
    <row r="1344" spans="9:13">
      <c r="I1344" s="150"/>
      <c r="J1344" s="151"/>
      <c r="K1344" s="151"/>
      <c r="M1344" s="151"/>
    </row>
    <row r="1345" spans="9:13">
      <c r="I1345" s="150"/>
      <c r="J1345" s="151"/>
      <c r="K1345" s="151"/>
      <c r="M1345" s="151"/>
    </row>
    <row r="1346" spans="9:13">
      <c r="I1346" s="150"/>
      <c r="J1346" s="151"/>
      <c r="K1346" s="151"/>
      <c r="M1346" s="151"/>
    </row>
    <row r="1347" spans="9:13">
      <c r="I1347" s="150"/>
      <c r="J1347" s="151"/>
      <c r="K1347" s="151"/>
      <c r="M1347" s="151"/>
    </row>
    <row r="1348" spans="9:13">
      <c r="I1348" s="150"/>
      <c r="J1348" s="151"/>
      <c r="K1348" s="151"/>
      <c r="M1348" s="151"/>
    </row>
    <row r="1349" spans="9:13">
      <c r="I1349" s="150"/>
      <c r="J1349" s="151"/>
      <c r="K1349" s="151"/>
      <c r="M1349" s="151"/>
    </row>
    <row r="1350" spans="9:13">
      <c r="I1350" s="150"/>
      <c r="J1350" s="151"/>
      <c r="K1350" s="151"/>
      <c r="M1350" s="151"/>
    </row>
    <row r="1351" spans="9:13">
      <c r="I1351" s="150"/>
      <c r="J1351" s="151"/>
      <c r="K1351" s="151"/>
      <c r="M1351" s="151"/>
    </row>
    <row r="1352" spans="9:13">
      <c r="I1352" s="150"/>
      <c r="J1352" s="151"/>
      <c r="K1352" s="151"/>
      <c r="M1352" s="151"/>
    </row>
    <row r="1353" spans="9:13">
      <c r="I1353" s="150"/>
      <c r="J1353" s="151"/>
      <c r="K1353" s="151"/>
      <c r="M1353" s="151"/>
    </row>
    <row r="1354" spans="9:13">
      <c r="I1354" s="150"/>
      <c r="J1354" s="151"/>
      <c r="K1354" s="151"/>
      <c r="M1354" s="151"/>
    </row>
    <row r="1355" spans="9:13">
      <c r="I1355" s="150"/>
      <c r="J1355" s="151"/>
      <c r="K1355" s="151"/>
      <c r="M1355" s="151"/>
    </row>
    <row r="1356" spans="9:13">
      <c r="I1356" s="150"/>
      <c r="J1356" s="151"/>
      <c r="K1356" s="151"/>
      <c r="M1356" s="151"/>
    </row>
    <row r="1357" spans="9:13">
      <c r="I1357" s="150"/>
      <c r="J1357" s="151"/>
      <c r="K1357" s="151"/>
      <c r="M1357" s="151"/>
    </row>
    <row r="1358" spans="9:13">
      <c r="I1358" s="150"/>
      <c r="J1358" s="151"/>
      <c r="K1358" s="151"/>
      <c r="M1358" s="151"/>
    </row>
    <row r="1359" spans="9:13">
      <c r="I1359" s="150"/>
      <c r="J1359" s="151"/>
      <c r="K1359" s="151"/>
      <c r="M1359" s="151"/>
    </row>
    <row r="1360" spans="9:13">
      <c r="I1360" s="150"/>
      <c r="J1360" s="151"/>
      <c r="K1360" s="151"/>
      <c r="M1360" s="151"/>
    </row>
    <row r="1361" spans="9:13">
      <c r="I1361" s="150"/>
      <c r="J1361" s="151"/>
      <c r="K1361" s="151"/>
      <c r="M1361" s="151"/>
    </row>
    <row r="1362" spans="9:13">
      <c r="I1362" s="150"/>
      <c r="J1362" s="151"/>
      <c r="K1362" s="151"/>
      <c r="M1362" s="151"/>
    </row>
    <row r="1363" spans="9:13">
      <c r="I1363" s="150"/>
      <c r="J1363" s="151"/>
      <c r="K1363" s="151"/>
      <c r="M1363" s="151"/>
    </row>
    <row r="1364" spans="9:13">
      <c r="I1364" s="150"/>
      <c r="J1364" s="151"/>
      <c r="K1364" s="151"/>
      <c r="M1364" s="151"/>
    </row>
    <row r="1365" spans="9:13">
      <c r="I1365" s="150"/>
      <c r="J1365" s="151"/>
      <c r="K1365" s="151"/>
      <c r="M1365" s="151"/>
    </row>
    <row r="1366" spans="9:13">
      <c r="I1366" s="150"/>
      <c r="J1366" s="151"/>
      <c r="K1366" s="151"/>
      <c r="M1366" s="151"/>
    </row>
    <row r="1367" spans="9:13">
      <c r="I1367" s="150"/>
      <c r="J1367" s="151"/>
      <c r="K1367" s="151"/>
      <c r="M1367" s="151"/>
    </row>
    <row r="1368" spans="9:13">
      <c r="I1368" s="150"/>
      <c r="J1368" s="151"/>
      <c r="K1368" s="151"/>
      <c r="M1368" s="151"/>
    </row>
    <row r="1369" spans="9:13">
      <c r="I1369" s="150"/>
      <c r="J1369" s="151"/>
      <c r="K1369" s="151"/>
      <c r="M1369" s="151"/>
    </row>
    <row r="1370" spans="9:13">
      <c r="I1370" s="150"/>
      <c r="J1370" s="151"/>
      <c r="K1370" s="151"/>
      <c r="M1370" s="151"/>
    </row>
    <row r="1371" spans="9:13">
      <c r="I1371" s="150"/>
      <c r="J1371" s="151"/>
      <c r="K1371" s="151"/>
      <c r="M1371" s="151"/>
    </row>
    <row r="1372" spans="9:13">
      <c r="I1372" s="150"/>
      <c r="J1372" s="151"/>
      <c r="K1372" s="151"/>
      <c r="M1372" s="151"/>
    </row>
    <row r="1373" spans="9:13">
      <c r="I1373" s="150"/>
      <c r="J1373" s="151"/>
      <c r="K1373" s="151"/>
      <c r="M1373" s="151"/>
    </row>
    <row r="1374" spans="9:13">
      <c r="I1374" s="150"/>
      <c r="J1374" s="151"/>
      <c r="K1374" s="151"/>
      <c r="M1374" s="151"/>
    </row>
    <row r="1375" spans="9:13">
      <c r="I1375" s="150"/>
      <c r="J1375" s="151"/>
      <c r="K1375" s="151"/>
      <c r="M1375" s="151"/>
    </row>
    <row r="1376" spans="9:13">
      <c r="I1376" s="150"/>
      <c r="J1376" s="151"/>
      <c r="K1376" s="151"/>
      <c r="M1376" s="151"/>
    </row>
    <row r="1377" spans="9:13">
      <c r="I1377" s="150"/>
      <c r="J1377" s="151"/>
      <c r="K1377" s="151"/>
      <c r="M1377" s="151"/>
    </row>
    <row r="1378" spans="9:13">
      <c r="I1378" s="150"/>
      <c r="J1378" s="151"/>
      <c r="K1378" s="151"/>
      <c r="M1378" s="151"/>
    </row>
    <row r="1379" spans="9:13">
      <c r="I1379" s="150"/>
      <c r="J1379" s="151"/>
      <c r="K1379" s="151"/>
      <c r="M1379" s="151"/>
    </row>
    <row r="1380" spans="9:13">
      <c r="I1380" s="150"/>
      <c r="J1380" s="151"/>
      <c r="K1380" s="151"/>
      <c r="M1380" s="151"/>
    </row>
    <row r="1381" spans="9:13">
      <c r="I1381" s="150"/>
      <c r="J1381" s="151"/>
      <c r="K1381" s="151"/>
      <c r="M1381" s="151"/>
    </row>
    <row r="1382" spans="9:13">
      <c r="I1382" s="150"/>
      <c r="J1382" s="151"/>
      <c r="K1382" s="151"/>
      <c r="M1382" s="151"/>
    </row>
    <row r="1383" spans="9:13">
      <c r="I1383" s="150"/>
      <c r="J1383" s="151"/>
      <c r="K1383" s="151"/>
      <c r="M1383" s="151"/>
    </row>
    <row r="1384" spans="9:13">
      <c r="I1384" s="150"/>
      <c r="J1384" s="151"/>
      <c r="K1384" s="151"/>
      <c r="M1384" s="151"/>
    </row>
    <row r="1385" spans="9:13">
      <c r="I1385" s="150"/>
      <c r="J1385" s="151"/>
      <c r="K1385" s="151"/>
      <c r="M1385" s="151"/>
    </row>
    <row r="1386" spans="9:13">
      <c r="I1386" s="150"/>
      <c r="J1386" s="151"/>
      <c r="K1386" s="151"/>
      <c r="M1386" s="151"/>
    </row>
    <row r="1387" spans="9:13">
      <c r="I1387" s="150"/>
      <c r="J1387" s="151"/>
      <c r="K1387" s="151"/>
      <c r="M1387" s="151"/>
    </row>
    <row r="1388" spans="9:13">
      <c r="I1388" s="150"/>
      <c r="J1388" s="151"/>
      <c r="K1388" s="151"/>
      <c r="M1388" s="151"/>
    </row>
    <row r="1389" spans="9:13">
      <c r="I1389" s="150"/>
      <c r="J1389" s="151"/>
      <c r="K1389" s="151"/>
      <c r="M1389" s="151"/>
    </row>
    <row r="1390" spans="9:13">
      <c r="I1390" s="150"/>
      <c r="J1390" s="151"/>
      <c r="K1390" s="151"/>
      <c r="M1390" s="151"/>
    </row>
    <row r="1391" spans="9:13">
      <c r="I1391" s="150"/>
      <c r="J1391" s="151"/>
      <c r="K1391" s="151"/>
      <c r="M1391" s="151"/>
    </row>
    <row r="1392" spans="9:13">
      <c r="I1392" s="150"/>
      <c r="J1392" s="151"/>
      <c r="K1392" s="151"/>
      <c r="M1392" s="151"/>
    </row>
    <row r="1393" spans="9:13">
      <c r="I1393" s="150"/>
      <c r="J1393" s="151"/>
      <c r="K1393" s="151"/>
      <c r="M1393" s="151"/>
    </row>
    <row r="1394" spans="9:13">
      <c r="I1394" s="150"/>
      <c r="J1394" s="151"/>
      <c r="K1394" s="151"/>
      <c r="M1394" s="151"/>
    </row>
    <row r="1395" spans="9:13">
      <c r="I1395" s="150"/>
      <c r="J1395" s="151"/>
      <c r="K1395" s="151"/>
      <c r="M1395" s="151"/>
    </row>
    <row r="1396" spans="9:13">
      <c r="I1396" s="150"/>
      <c r="J1396" s="151"/>
      <c r="K1396" s="151"/>
      <c r="M1396" s="151"/>
    </row>
    <row r="1397" spans="9:13">
      <c r="I1397" s="150"/>
      <c r="J1397" s="151"/>
      <c r="K1397" s="151"/>
      <c r="M1397" s="151"/>
    </row>
    <row r="1398" spans="9:13">
      <c r="I1398" s="150"/>
      <c r="J1398" s="151"/>
      <c r="K1398" s="151"/>
      <c r="M1398" s="151"/>
    </row>
    <row r="1399" spans="9:13">
      <c r="I1399" s="150"/>
      <c r="J1399" s="151"/>
      <c r="K1399" s="151"/>
      <c r="M1399" s="151"/>
    </row>
    <row r="1400" spans="9:13">
      <c r="I1400" s="150"/>
      <c r="J1400" s="151"/>
      <c r="K1400" s="151"/>
      <c r="M1400" s="151"/>
    </row>
    <row r="1401" spans="9:13">
      <c r="I1401" s="150"/>
      <c r="J1401" s="151"/>
      <c r="K1401" s="151"/>
      <c r="M1401" s="151"/>
    </row>
    <row r="1402" spans="9:13">
      <c r="I1402" s="150"/>
      <c r="J1402" s="151"/>
      <c r="K1402" s="151"/>
      <c r="M1402" s="151"/>
    </row>
    <row r="1403" spans="9:13">
      <c r="I1403" s="150"/>
      <c r="J1403" s="151"/>
      <c r="K1403" s="151"/>
      <c r="M1403" s="151"/>
    </row>
    <row r="1404" spans="9:13">
      <c r="I1404" s="150"/>
      <c r="J1404" s="151"/>
      <c r="K1404" s="151"/>
      <c r="M1404" s="151"/>
    </row>
    <row r="1405" spans="9:13">
      <c r="I1405" s="150"/>
      <c r="J1405" s="151"/>
      <c r="K1405" s="151"/>
      <c r="M1405" s="151"/>
    </row>
    <row r="1406" spans="9:13">
      <c r="I1406" s="150"/>
      <c r="J1406" s="151"/>
      <c r="K1406" s="151"/>
      <c r="M1406" s="151"/>
    </row>
    <row r="1407" spans="9:13">
      <c r="I1407" s="150"/>
      <c r="J1407" s="151"/>
      <c r="K1407" s="151"/>
      <c r="M1407" s="151"/>
    </row>
    <row r="1408" spans="9:13">
      <c r="I1408" s="150"/>
      <c r="J1408" s="151"/>
      <c r="K1408" s="151"/>
      <c r="M1408" s="151"/>
    </row>
    <row r="1409" spans="9:13">
      <c r="I1409" s="150"/>
      <c r="J1409" s="151"/>
      <c r="K1409" s="151"/>
      <c r="M1409" s="151"/>
    </row>
    <row r="1410" spans="9:13">
      <c r="I1410" s="150"/>
      <c r="J1410" s="151"/>
      <c r="K1410" s="151"/>
      <c r="M1410" s="151"/>
    </row>
    <row r="1411" spans="9:13">
      <c r="I1411" s="150"/>
      <c r="J1411" s="151"/>
      <c r="K1411" s="151"/>
      <c r="M1411" s="151"/>
    </row>
    <row r="1412" spans="9:13">
      <c r="I1412" s="150"/>
      <c r="J1412" s="151"/>
      <c r="K1412" s="151"/>
      <c r="M1412" s="151"/>
    </row>
    <row r="1413" spans="9:13">
      <c r="I1413" s="150"/>
      <c r="J1413" s="151"/>
      <c r="K1413" s="151"/>
      <c r="M1413" s="151"/>
    </row>
    <row r="1414" spans="9:13">
      <c r="I1414" s="150"/>
      <c r="J1414" s="151"/>
      <c r="K1414" s="151"/>
      <c r="M1414" s="151"/>
    </row>
    <row r="1415" spans="9:13">
      <c r="I1415" s="150"/>
      <c r="J1415" s="151"/>
      <c r="K1415" s="151"/>
      <c r="M1415" s="151"/>
    </row>
    <row r="1416" spans="9:13">
      <c r="I1416" s="150"/>
      <c r="J1416" s="151"/>
      <c r="K1416" s="151"/>
      <c r="M1416" s="151"/>
    </row>
    <row r="1417" spans="9:13">
      <c r="I1417" s="150"/>
      <c r="J1417" s="151"/>
      <c r="K1417" s="151"/>
      <c r="M1417" s="151"/>
    </row>
    <row r="1418" spans="9:13">
      <c r="I1418" s="150"/>
      <c r="J1418" s="151"/>
      <c r="K1418" s="151"/>
      <c r="M1418" s="151"/>
    </row>
    <row r="1419" spans="9:13">
      <c r="I1419" s="150"/>
      <c r="J1419" s="151"/>
      <c r="K1419" s="151"/>
      <c r="M1419" s="151"/>
    </row>
    <row r="1420" spans="9:13">
      <c r="I1420" s="150"/>
      <c r="J1420" s="151"/>
      <c r="K1420" s="151"/>
      <c r="M1420" s="151"/>
    </row>
    <row r="1421" spans="9:13">
      <c r="I1421" s="150"/>
      <c r="J1421" s="151"/>
      <c r="K1421" s="151"/>
      <c r="M1421" s="151"/>
    </row>
    <row r="1422" spans="9:13">
      <c r="I1422" s="150"/>
      <c r="J1422" s="151"/>
      <c r="K1422" s="151"/>
      <c r="M1422" s="151"/>
    </row>
    <row r="1423" spans="9:13">
      <c r="I1423" s="150"/>
      <c r="J1423" s="151"/>
      <c r="K1423" s="151"/>
      <c r="M1423" s="151"/>
    </row>
    <row r="1424" spans="9:13">
      <c r="I1424" s="150"/>
      <c r="J1424" s="151"/>
      <c r="K1424" s="151"/>
      <c r="M1424" s="151"/>
    </row>
    <row r="1425" spans="9:13">
      <c r="I1425" s="150"/>
      <c r="J1425" s="151"/>
      <c r="K1425" s="151"/>
      <c r="M1425" s="151"/>
    </row>
    <row r="1426" spans="9:13">
      <c r="I1426" s="150"/>
      <c r="J1426" s="151"/>
      <c r="K1426" s="151"/>
      <c r="M1426" s="151"/>
    </row>
    <row r="1427" spans="9:13">
      <c r="I1427" s="150"/>
      <c r="J1427" s="151"/>
      <c r="K1427" s="151"/>
      <c r="M1427" s="151"/>
    </row>
    <row r="1428" spans="9:13">
      <c r="I1428" s="150"/>
      <c r="J1428" s="151"/>
      <c r="K1428" s="151"/>
      <c r="M1428" s="151"/>
    </row>
    <row r="1429" spans="9:13">
      <c r="I1429" s="150"/>
      <c r="J1429" s="151"/>
      <c r="K1429" s="151"/>
      <c r="M1429" s="151"/>
    </row>
    <row r="1430" spans="9:13">
      <c r="I1430" s="150"/>
      <c r="J1430" s="151"/>
      <c r="K1430" s="151"/>
      <c r="M1430" s="151"/>
    </row>
    <row r="1431" spans="9:13">
      <c r="I1431" s="150"/>
      <c r="J1431" s="151"/>
      <c r="K1431" s="151"/>
      <c r="M1431" s="151"/>
    </row>
    <row r="1432" spans="9:13">
      <c r="I1432" s="150"/>
      <c r="J1432" s="151"/>
      <c r="K1432" s="151"/>
      <c r="M1432" s="151"/>
    </row>
    <row r="1433" spans="9:13">
      <c r="I1433" s="150"/>
      <c r="J1433" s="151"/>
      <c r="K1433" s="151"/>
      <c r="M1433" s="151"/>
    </row>
    <row r="1434" spans="9:13">
      <c r="I1434" s="150"/>
      <c r="J1434" s="151"/>
      <c r="K1434" s="151"/>
      <c r="M1434" s="151"/>
    </row>
    <row r="1435" spans="9:13">
      <c r="I1435" s="150"/>
      <c r="J1435" s="151"/>
      <c r="K1435" s="151"/>
      <c r="M1435" s="151"/>
    </row>
    <row r="1436" spans="9:13">
      <c r="I1436" s="150"/>
      <c r="J1436" s="151"/>
      <c r="K1436" s="151"/>
      <c r="M1436" s="151"/>
    </row>
    <row r="1437" spans="9:13">
      <c r="I1437" s="150"/>
      <c r="J1437" s="151"/>
      <c r="K1437" s="151"/>
      <c r="M1437" s="151"/>
    </row>
    <row r="1438" spans="9:13">
      <c r="I1438" s="150"/>
      <c r="J1438" s="151"/>
      <c r="K1438" s="151"/>
      <c r="M1438" s="151"/>
    </row>
    <row r="1439" spans="9:13">
      <c r="I1439" s="150"/>
      <c r="J1439" s="151"/>
      <c r="K1439" s="151"/>
      <c r="M1439" s="151"/>
    </row>
    <row r="1440" spans="9:13">
      <c r="I1440" s="150"/>
      <c r="J1440" s="151"/>
      <c r="K1440" s="151"/>
      <c r="M1440" s="151"/>
    </row>
    <row r="1441" spans="9:13">
      <c r="I1441" s="150"/>
      <c r="J1441" s="151"/>
      <c r="K1441" s="151"/>
      <c r="M1441" s="151"/>
    </row>
    <row r="1442" spans="9:13">
      <c r="I1442" s="150"/>
      <c r="J1442" s="151"/>
      <c r="K1442" s="151"/>
      <c r="M1442" s="151"/>
    </row>
    <row r="1443" spans="9:13">
      <c r="I1443" s="150"/>
      <c r="J1443" s="151"/>
      <c r="K1443" s="151"/>
      <c r="M1443" s="151"/>
    </row>
    <row r="1444" spans="9:13">
      <c r="I1444" s="150"/>
      <c r="J1444" s="151"/>
      <c r="K1444" s="151"/>
      <c r="M1444" s="151"/>
    </row>
    <row r="1445" spans="9:13">
      <c r="I1445" s="150"/>
      <c r="J1445" s="151"/>
      <c r="K1445" s="151"/>
      <c r="M1445" s="151"/>
    </row>
    <row r="1446" spans="9:13">
      <c r="I1446" s="150"/>
      <c r="J1446" s="151"/>
      <c r="K1446" s="151"/>
      <c r="M1446" s="151"/>
    </row>
    <row r="1447" spans="9:13">
      <c r="I1447" s="150"/>
      <c r="J1447" s="151"/>
      <c r="K1447" s="151"/>
      <c r="M1447" s="151"/>
    </row>
    <row r="1448" spans="9:13">
      <c r="I1448" s="150"/>
      <c r="J1448" s="151"/>
      <c r="K1448" s="151"/>
      <c r="M1448" s="151"/>
    </row>
    <row r="1449" spans="9:13">
      <c r="I1449" s="150"/>
      <c r="J1449" s="151"/>
      <c r="K1449" s="151"/>
      <c r="M1449" s="151"/>
    </row>
    <row r="1450" spans="9:13">
      <c r="I1450" s="150"/>
      <c r="J1450" s="151"/>
      <c r="K1450" s="151"/>
      <c r="M1450" s="151"/>
    </row>
    <row r="1451" spans="9:13">
      <c r="I1451" s="150"/>
      <c r="J1451" s="151"/>
      <c r="K1451" s="151"/>
      <c r="M1451" s="151"/>
    </row>
    <row r="1452" spans="9:13">
      <c r="I1452" s="150"/>
      <c r="J1452" s="151"/>
      <c r="K1452" s="151"/>
      <c r="M1452" s="151"/>
    </row>
    <row r="1453" spans="9:13">
      <c r="I1453" s="150"/>
      <c r="J1453" s="151"/>
      <c r="K1453" s="151"/>
      <c r="M1453" s="151"/>
    </row>
    <row r="1454" spans="9:13">
      <c r="I1454" s="150"/>
      <c r="J1454" s="151"/>
      <c r="K1454" s="151"/>
      <c r="M1454" s="151"/>
    </row>
    <row r="1455" spans="9:13">
      <c r="I1455" s="150"/>
      <c r="J1455" s="151"/>
      <c r="K1455" s="151"/>
      <c r="M1455" s="151"/>
    </row>
    <row r="1456" spans="9:13">
      <c r="I1456" s="150"/>
      <c r="J1456" s="151"/>
      <c r="K1456" s="151"/>
      <c r="M1456" s="151"/>
    </row>
    <row r="1457" spans="9:13">
      <c r="I1457" s="150"/>
      <c r="J1457" s="151"/>
      <c r="K1457" s="151"/>
      <c r="M1457" s="151"/>
    </row>
    <row r="1458" spans="9:13">
      <c r="I1458" s="150"/>
      <c r="J1458" s="151"/>
      <c r="K1458" s="151"/>
      <c r="M1458" s="151"/>
    </row>
    <row r="1459" spans="9:13">
      <c r="I1459" s="150"/>
      <c r="J1459" s="151"/>
      <c r="K1459" s="151"/>
      <c r="M1459" s="151"/>
    </row>
    <row r="1460" spans="9:13">
      <c r="I1460" s="150"/>
      <c r="J1460" s="151"/>
      <c r="K1460" s="151"/>
      <c r="M1460" s="151"/>
    </row>
    <row r="1461" spans="9:13">
      <c r="I1461" s="150"/>
      <c r="J1461" s="151"/>
      <c r="K1461" s="151"/>
      <c r="M1461" s="151"/>
    </row>
    <row r="1462" spans="9:13">
      <c r="I1462" s="150"/>
      <c r="J1462" s="151"/>
      <c r="K1462" s="151"/>
      <c r="M1462" s="151"/>
    </row>
    <row r="1463" spans="9:13">
      <c r="I1463" s="150"/>
      <c r="J1463" s="151"/>
      <c r="K1463" s="151"/>
      <c r="M1463" s="151"/>
    </row>
    <row r="1464" spans="9:13">
      <c r="I1464" s="150"/>
      <c r="J1464" s="151"/>
      <c r="K1464" s="151"/>
      <c r="M1464" s="151"/>
    </row>
    <row r="1465" spans="9:13">
      <c r="I1465" s="150"/>
      <c r="J1465" s="151"/>
      <c r="K1465" s="151"/>
      <c r="M1465" s="151"/>
    </row>
    <row r="1466" spans="9:13">
      <c r="I1466" s="150"/>
      <c r="J1466" s="151"/>
      <c r="K1466" s="151"/>
      <c r="M1466" s="151"/>
    </row>
    <row r="1467" spans="9:13">
      <c r="I1467" s="150"/>
      <c r="J1467" s="151"/>
      <c r="K1467" s="151"/>
      <c r="M1467" s="151"/>
    </row>
    <row r="1468" spans="9:13">
      <c r="I1468" s="150"/>
      <c r="J1468" s="151"/>
      <c r="K1468" s="151"/>
      <c r="M1468" s="151"/>
    </row>
    <row r="1469" spans="9:13">
      <c r="I1469" s="150"/>
      <c r="J1469" s="151"/>
      <c r="K1469" s="151"/>
      <c r="M1469" s="151"/>
    </row>
    <row r="1470" spans="9:13">
      <c r="I1470" s="150"/>
      <c r="J1470" s="151"/>
      <c r="K1470" s="151"/>
      <c r="M1470" s="151"/>
    </row>
    <row r="1471" spans="9:13">
      <c r="I1471" s="150"/>
      <c r="J1471" s="151"/>
      <c r="K1471" s="151"/>
      <c r="M1471" s="151"/>
    </row>
    <row r="1472" spans="9:13">
      <c r="I1472" s="150"/>
      <c r="J1472" s="151"/>
      <c r="K1472" s="151"/>
      <c r="M1472" s="151"/>
    </row>
    <row r="1473" spans="9:13">
      <c r="I1473" s="150"/>
      <c r="J1473" s="151"/>
      <c r="K1473" s="151"/>
      <c r="M1473" s="151"/>
    </row>
    <row r="1474" spans="9:13">
      <c r="I1474" s="150"/>
      <c r="J1474" s="151"/>
      <c r="K1474" s="151"/>
      <c r="M1474" s="151"/>
    </row>
    <row r="1475" spans="9:13">
      <c r="I1475" s="150"/>
      <c r="J1475" s="151"/>
      <c r="K1475" s="151"/>
      <c r="M1475" s="151"/>
    </row>
    <row r="1476" spans="9:13">
      <c r="I1476" s="150"/>
      <c r="J1476" s="151"/>
      <c r="K1476" s="151"/>
      <c r="M1476" s="151"/>
    </row>
    <row r="1477" spans="9:13">
      <c r="I1477" s="150"/>
      <c r="J1477" s="151"/>
      <c r="K1477" s="151"/>
      <c r="M1477" s="151"/>
    </row>
    <row r="1478" spans="9:13">
      <c r="I1478" s="150"/>
      <c r="J1478" s="151"/>
      <c r="K1478" s="151"/>
      <c r="M1478" s="151"/>
    </row>
    <row r="1479" spans="9:13">
      <c r="I1479" s="150"/>
      <c r="J1479" s="151"/>
      <c r="K1479" s="151"/>
      <c r="M1479" s="151"/>
    </row>
    <row r="1480" spans="9:13">
      <c r="I1480" s="150"/>
      <c r="J1480" s="151"/>
      <c r="K1480" s="151"/>
      <c r="M1480" s="151"/>
    </row>
    <row r="1481" spans="9:13">
      <c r="I1481" s="150"/>
      <c r="J1481" s="151"/>
      <c r="K1481" s="151"/>
      <c r="M1481" s="151"/>
    </row>
    <row r="1482" spans="9:13">
      <c r="I1482" s="150"/>
      <c r="J1482" s="151"/>
      <c r="K1482" s="151"/>
      <c r="M1482" s="151"/>
    </row>
    <row r="1483" spans="9:13">
      <c r="I1483" s="150"/>
      <c r="J1483" s="151"/>
      <c r="K1483" s="151"/>
      <c r="M1483" s="151"/>
    </row>
    <row r="1484" spans="9:13">
      <c r="I1484" s="150"/>
      <c r="J1484" s="151"/>
      <c r="K1484" s="151"/>
      <c r="M1484" s="151"/>
    </row>
    <row r="1485" spans="9:13">
      <c r="I1485" s="150"/>
      <c r="J1485" s="151"/>
      <c r="K1485" s="151"/>
      <c r="M1485" s="151"/>
    </row>
    <row r="1486" spans="9:13">
      <c r="I1486" s="150"/>
      <c r="J1486" s="151"/>
      <c r="K1486" s="151"/>
      <c r="M1486" s="151"/>
    </row>
    <row r="1487" spans="9:13">
      <c r="I1487" s="150"/>
      <c r="J1487" s="151"/>
      <c r="K1487" s="151"/>
      <c r="M1487" s="151"/>
    </row>
    <row r="1488" spans="9:13">
      <c r="I1488" s="150"/>
      <c r="J1488" s="151"/>
      <c r="K1488" s="151"/>
      <c r="M1488" s="151"/>
    </row>
    <row r="1489" spans="9:13">
      <c r="I1489" s="150"/>
      <c r="J1489" s="151"/>
      <c r="K1489" s="151"/>
      <c r="M1489" s="151"/>
    </row>
    <row r="1490" spans="9:13">
      <c r="I1490" s="150"/>
      <c r="J1490" s="151"/>
      <c r="K1490" s="151"/>
      <c r="M1490" s="151"/>
    </row>
    <row r="1491" spans="9:13">
      <c r="I1491" s="150"/>
      <c r="J1491" s="151"/>
      <c r="K1491" s="151"/>
      <c r="M1491" s="151"/>
    </row>
    <row r="1492" spans="9:13">
      <c r="I1492" s="150"/>
      <c r="J1492" s="151"/>
      <c r="K1492" s="151"/>
      <c r="M1492" s="151"/>
    </row>
    <row r="1493" spans="9:13">
      <c r="I1493" s="150"/>
      <c r="J1493" s="151"/>
      <c r="K1493" s="151"/>
      <c r="M1493" s="151"/>
    </row>
    <row r="1494" spans="9:13">
      <c r="I1494" s="150"/>
      <c r="J1494" s="151"/>
      <c r="K1494" s="151"/>
      <c r="M1494" s="151"/>
    </row>
    <row r="1495" spans="9:13">
      <c r="I1495" s="150"/>
      <c r="J1495" s="151"/>
      <c r="K1495" s="151"/>
      <c r="M1495" s="151"/>
    </row>
    <row r="1496" spans="9:13">
      <c r="I1496" s="150"/>
      <c r="J1496" s="151"/>
      <c r="K1496" s="151"/>
      <c r="M1496" s="151"/>
    </row>
    <row r="1497" spans="9:13">
      <c r="I1497" s="150"/>
      <c r="J1497" s="151"/>
      <c r="K1497" s="151"/>
      <c r="M1497" s="151"/>
    </row>
    <row r="1498" spans="9:13">
      <c r="I1498" s="150"/>
      <c r="J1498" s="151"/>
      <c r="K1498" s="151"/>
      <c r="M1498" s="151"/>
    </row>
    <row r="1499" spans="9:13">
      <c r="I1499" s="150"/>
      <c r="J1499" s="151"/>
      <c r="K1499" s="151"/>
      <c r="M1499" s="151"/>
    </row>
    <row r="1500" spans="9:13">
      <c r="I1500" s="150"/>
      <c r="J1500" s="151"/>
      <c r="K1500" s="151"/>
      <c r="M1500" s="151"/>
    </row>
    <row r="1501" spans="9:13">
      <c r="I1501" s="150"/>
      <c r="J1501" s="151"/>
      <c r="K1501" s="151"/>
      <c r="M1501" s="151"/>
    </row>
    <row r="1502" spans="9:13">
      <c r="I1502" s="150"/>
      <c r="J1502" s="151"/>
      <c r="K1502" s="151"/>
      <c r="M1502" s="151"/>
    </row>
    <row r="1503" spans="9:13">
      <c r="I1503" s="150"/>
      <c r="J1503" s="151"/>
      <c r="K1503" s="151"/>
      <c r="M1503" s="151"/>
    </row>
    <row r="1504" spans="9:13">
      <c r="I1504" s="150"/>
      <c r="J1504" s="151"/>
      <c r="K1504" s="151"/>
      <c r="M1504" s="151"/>
    </row>
    <row r="1505" spans="9:13">
      <c r="I1505" s="150"/>
      <c r="J1505" s="151"/>
      <c r="K1505" s="151"/>
      <c r="M1505" s="151"/>
    </row>
    <row r="1506" spans="9:13">
      <c r="I1506" s="150"/>
      <c r="J1506" s="151"/>
      <c r="K1506" s="151"/>
      <c r="M1506" s="151"/>
    </row>
    <row r="1507" spans="9:13">
      <c r="I1507" s="150"/>
      <c r="J1507" s="151"/>
      <c r="K1507" s="151"/>
      <c r="M1507" s="151"/>
    </row>
    <row r="1508" spans="9:13">
      <c r="I1508" s="150"/>
      <c r="J1508" s="151"/>
      <c r="K1508" s="151"/>
      <c r="M1508" s="151"/>
    </row>
    <row r="1509" spans="9:13">
      <c r="I1509" s="150"/>
      <c r="J1509" s="151"/>
      <c r="K1509" s="151"/>
      <c r="M1509" s="151"/>
    </row>
    <row r="1510" spans="9:13">
      <c r="I1510" s="150"/>
      <c r="J1510" s="151"/>
      <c r="K1510" s="151"/>
      <c r="M1510" s="151"/>
    </row>
    <row r="1511" spans="9:13">
      <c r="I1511" s="150"/>
      <c r="J1511" s="151"/>
      <c r="K1511" s="151"/>
      <c r="M1511" s="151"/>
    </row>
    <row r="1512" spans="9:13">
      <c r="I1512" s="150"/>
      <c r="J1512" s="151"/>
      <c r="K1512" s="151"/>
      <c r="M1512" s="151"/>
    </row>
    <row r="1513" spans="9:13">
      <c r="I1513" s="150"/>
      <c r="J1513" s="151"/>
      <c r="K1513" s="151"/>
      <c r="M1513" s="151"/>
    </row>
    <row r="1514" spans="9:13">
      <c r="I1514" s="150"/>
      <c r="J1514" s="151"/>
      <c r="K1514" s="151"/>
      <c r="M1514" s="151"/>
    </row>
    <row r="1515" spans="9:13">
      <c r="I1515" s="150"/>
      <c r="J1515" s="151"/>
      <c r="K1515" s="151"/>
      <c r="M1515" s="151"/>
    </row>
    <row r="1516" spans="9:13">
      <c r="I1516" s="150"/>
      <c r="J1516" s="151"/>
      <c r="K1516" s="151"/>
      <c r="M1516" s="151"/>
    </row>
    <row r="1517" spans="9:13">
      <c r="I1517" s="150"/>
      <c r="J1517" s="151"/>
      <c r="K1517" s="151"/>
      <c r="M1517" s="151"/>
    </row>
    <row r="1518" spans="9:13">
      <c r="I1518" s="150"/>
      <c r="J1518" s="151"/>
      <c r="K1518" s="151"/>
      <c r="M1518" s="151"/>
    </row>
  </sheetData>
  <conditionalFormatting sqref="J20">
    <cfRule type="colorScale" priority="1">
      <colorScale>
        <cfvo type="min"/>
        <cfvo type="max"/>
        <color rgb="FFFFFFFF"/>
        <color rgb="FF57BB8A"/>
      </colorScale>
    </cfRule>
  </conditionalFormatting>
  <conditionalFormatting sqref="J21:J33">
    <cfRule type="colorScale" priority="2">
      <colorScale>
        <cfvo type="min"/>
        <cfvo type="max"/>
        <color rgb="FFFFFFFF"/>
        <color rgb="FF57BB8A"/>
      </colorScale>
    </cfRule>
  </conditionalFormatting>
  <conditionalFormatting sqref="K21:K33">
    <cfRule type="colorScale" priority="3">
      <colorScale>
        <cfvo type="min"/>
        <cfvo type="max"/>
        <color rgb="FFFFFFFF"/>
        <color rgb="FF57BB8A"/>
      </colorScale>
    </cfRule>
  </conditionalFormatting>
  <conditionalFormatting sqref="L21:L33">
    <cfRule type="colorScale" priority="4">
      <colorScale>
        <cfvo type="min"/>
        <cfvo type="max"/>
        <color rgb="FFFFFFFF"/>
        <color rgb="FF57BB8A"/>
      </colorScale>
    </cfRule>
  </conditionalFormatting>
  <conditionalFormatting sqref="M21:M33">
    <cfRule type="colorScale" priority="5">
      <colorScale>
        <cfvo type="min"/>
        <cfvo type="max"/>
        <color rgb="FFFFFFFF"/>
        <color rgb="FF57BB8A"/>
      </colorScale>
    </cfRule>
  </conditionalFormatting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533272</v>
      </c>
      <c r="B2" s="98" t="s">
        <v>2247</v>
      </c>
      <c r="C2" s="6" t="str">
        <f>VLOOKUP(A2,'BSE ALL CAP'!$B$4:$Y$1038,2,)</f>
        <v>Industrials</v>
      </c>
      <c r="D2" s="6" t="str">
        <f>VLOOKUP(A2,'BSE ALL CAP'!$B$4:$Y$1038,3,)</f>
        <v>Railway Wagons</v>
      </c>
      <c r="E2" s="101">
        <f ca="1">IFERROR(__xludf.DUMMYFUNCTION("GOOGLEFINANCE(""BOM:""&amp;A2,""PRICE"")"),257.55)</f>
        <v>257.55</v>
      </c>
      <c r="F2" s="112">
        <f ca="1">IFERROR(__xludf.DUMMYFUNCTION("GOOGLEFINANCE(""BOM:""&amp;A2,""MARKETCAP"")/10000000"),10966.75)</f>
        <v>10966.75</v>
      </c>
      <c r="G2" s="95">
        <f t="shared" ref="G2:G4" ca="1" si="0">F2/$F$6</f>
        <v>0.53708051815497559</v>
      </c>
      <c r="H2" s="101">
        <f>VLOOKUP(A2,'BSE ALL CAP'!$B$4:$Y$1038,7,)</f>
        <v>2135</v>
      </c>
      <c r="I2" s="101">
        <f>VLOOKUP(A2,'BSE ALL CAP'!$B$4:$Y$1038,8,)</f>
        <v>2918</v>
      </c>
      <c r="J2" s="101">
        <f>VLOOKUP(A2,'BSE ALL CAP'!$B$4:$Y$1038,9,)</f>
        <v>138</v>
      </c>
      <c r="K2" s="101">
        <f>VLOOKUP(A2,'BSE ALL CAP'!$B$4:$Y$1038,10,)</f>
        <v>277</v>
      </c>
      <c r="L2" s="101">
        <f>VLOOKUP(A2,'BSE ALL CAP'!$B$4:$Y$1038,11,)</f>
        <v>890</v>
      </c>
      <c r="M2" s="101">
        <f>VLOOKUP(A2,'BSE ALL CAP'!$B$4:$Y$1038,12,)</f>
        <v>1029</v>
      </c>
      <c r="N2" s="101">
        <f>VLOOKUP(A2,'BSE ALL CAP'!$B$4:$Y$1038,13,)</f>
        <v>62</v>
      </c>
      <c r="O2" s="101">
        <f>VLOOKUP(A2,'BSE ALL CAP'!$B$4:$Y$1038,14,)</f>
        <v>96</v>
      </c>
      <c r="P2" s="95">
        <f>VLOOKUP(A2,'BSE ALL CAP'!$B$4:$Y$1038,15,)</f>
        <v>6.463700234192038E-2</v>
      </c>
      <c r="Q2" s="95">
        <f>VLOOKUP(A2,'BSE ALL CAP'!$B$4:$Y$1038,16,)</f>
        <v>9.4928032899246062E-2</v>
      </c>
      <c r="R2" s="95">
        <f>VLOOKUP(A2,'BSE ALL CAP'!$B$4:$Y$1038,17,)</f>
        <v>-3.0291030557325682E-2</v>
      </c>
      <c r="S2" s="95">
        <f>VLOOKUP(A2,'BSE ALL CAP'!$B$4:$Y$1038,18,)</f>
        <v>6.9662921348314602E-2</v>
      </c>
      <c r="T2" s="95">
        <f>VLOOKUP(A2,'BSE ALL CAP'!$B$4:$Y$1038,19,)</f>
        <v>9.3294460641399415E-2</v>
      </c>
      <c r="U2" s="95">
        <f>VLOOKUP(A2,'BSE ALL CAP'!$B$4:$Y$1038,20,)</f>
        <v>-2.3631539293084813E-2</v>
      </c>
      <c r="V2" s="95">
        <f>VLOOKUP(A2,'BSE ALL CAP'!$B$4:$Y$1038,21,)</f>
        <v>-0.26833447566826596</v>
      </c>
      <c r="W2" s="95">
        <f>VLOOKUP(A2,'BSE ALL CAP'!$B$4:$Y$1038,22,)</f>
        <v>-0.50180505415162457</v>
      </c>
      <c r="X2" s="95">
        <f>VLOOKUP(A2,'BSE ALL CAP'!$B$4:$Y$1038,23,)</f>
        <v>-0.13508260447035958</v>
      </c>
      <c r="Y2" s="95">
        <f>VLOOKUP(A2,'BSE ALL CAP'!$B$4:$Y$1038,24,)</f>
        <v>-0.35416666666666663</v>
      </c>
    </row>
    <row r="3" spans="1:25" ht="15.75" customHeight="1">
      <c r="A3" s="99">
        <v>532966</v>
      </c>
      <c r="B3" s="98" t="s">
        <v>2248</v>
      </c>
      <c r="C3" s="6" t="str">
        <f>VLOOKUP(A3,'BSE ALL CAP'!$B$4:$Y$1038,2,)</f>
        <v>Industrials</v>
      </c>
      <c r="D3" s="6" t="str">
        <f>VLOOKUP(A3,'BSE ALL CAP'!$B$4:$Y$1038,3,)</f>
        <v>Railway Wagons</v>
      </c>
      <c r="E3" s="101">
        <f ca="1">IFERROR(__xludf.DUMMYFUNCTION("GOOGLEFINANCE(""BOM:""&amp;A3,""PRICE"")"),640.45)</f>
        <v>640.45000000000005</v>
      </c>
      <c r="F3" s="112">
        <f ca="1">IFERROR(__xludf.DUMMYFUNCTION("GOOGLEFINANCE(""BOM:""&amp;A3,""MARKETCAP"")/10000000"),8620.2394113)</f>
        <v>8620.2394112999991</v>
      </c>
      <c r="G3" s="95">
        <f t="shared" ca="1" si="0"/>
        <v>0.42216359902805711</v>
      </c>
      <c r="H3" s="101">
        <f>VLOOKUP(A3,'BSE ALL CAP'!$B$4:$Y$1038,7,)</f>
        <v>2310</v>
      </c>
      <c r="I3" s="101">
        <f>VLOOKUP(A3,'BSE ALL CAP'!$B$4:$Y$1038,8,)</f>
        <v>2862</v>
      </c>
      <c r="J3" s="101">
        <f>VLOOKUP(A3,'BSE ALL CAP'!$B$4:$Y$1038,9,)</f>
        <v>116</v>
      </c>
      <c r="K3" s="101">
        <f>VLOOKUP(A3,'BSE ALL CAP'!$B$4:$Y$1038,10,)</f>
        <v>210</v>
      </c>
      <c r="L3" s="101">
        <f>VLOOKUP(A3,'BSE ALL CAP'!$B$4:$Y$1038,11,)</f>
        <v>832</v>
      </c>
      <c r="M3" s="101">
        <f>VLOOKUP(A3,'BSE ALL CAP'!$B$4:$Y$1038,12,)</f>
        <v>902</v>
      </c>
      <c r="N3" s="101">
        <f>VLOOKUP(A3,'BSE ALL CAP'!$B$4:$Y$1038,13,)</f>
        <v>48</v>
      </c>
      <c r="O3" s="101">
        <f>VLOOKUP(A3,'BSE ALL CAP'!$B$4:$Y$1038,14,)</f>
        <v>63</v>
      </c>
      <c r="P3" s="95">
        <f>VLOOKUP(A3,'BSE ALL CAP'!$B$4:$Y$1038,15,)</f>
        <v>5.0216450216450215E-2</v>
      </c>
      <c r="Q3" s="95">
        <f>VLOOKUP(A3,'BSE ALL CAP'!$B$4:$Y$1038,16,)</f>
        <v>7.337526205450734E-2</v>
      </c>
      <c r="R3" s="95">
        <f>VLOOKUP(A3,'BSE ALL CAP'!$B$4:$Y$1038,17,)</f>
        <v>-2.3158811838057125E-2</v>
      </c>
      <c r="S3" s="95">
        <f>VLOOKUP(A3,'BSE ALL CAP'!$B$4:$Y$1038,18,)</f>
        <v>5.7692307692307696E-2</v>
      </c>
      <c r="T3" s="95">
        <f>VLOOKUP(A3,'BSE ALL CAP'!$B$4:$Y$1038,19,)</f>
        <v>6.9844789356984474E-2</v>
      </c>
      <c r="U3" s="95">
        <f>VLOOKUP(A3,'BSE ALL CAP'!$B$4:$Y$1038,20,)</f>
        <v>-1.2152481664676779E-2</v>
      </c>
      <c r="V3" s="95">
        <f>VLOOKUP(A3,'BSE ALL CAP'!$B$4:$Y$1038,21,)</f>
        <v>-0.19287211740041932</v>
      </c>
      <c r="W3" s="95">
        <f>VLOOKUP(A3,'BSE ALL CAP'!$B$4:$Y$1038,22,)</f>
        <v>-0.44761904761904758</v>
      </c>
      <c r="X3" s="95">
        <f>VLOOKUP(A3,'BSE ALL CAP'!$B$4:$Y$1038,23,)</f>
        <v>-7.7605321507760561E-2</v>
      </c>
      <c r="Y3" s="95">
        <f>VLOOKUP(A3,'BSE ALL CAP'!$B$4:$Y$1038,24,)</f>
        <v>-0.23809523809523814</v>
      </c>
    </row>
    <row r="4" spans="1:25" ht="15.75" customHeight="1">
      <c r="A4" s="99">
        <v>531859</v>
      </c>
      <c r="B4" s="98" t="s">
        <v>2249</v>
      </c>
      <c r="C4" s="6"/>
      <c r="D4" s="6"/>
      <c r="E4" s="101">
        <f ca="1">IFERROR(__xludf.DUMMYFUNCTION("GOOGLEFINANCE(""BOM:""&amp;A4,""PRICE"")"),124.1)</f>
        <v>124.1</v>
      </c>
      <c r="F4" s="112">
        <f ca="1">IFERROR(__xludf.DUMMYFUNCTION("GOOGLEFINANCE(""BOM:""&amp;A4,""MARKETCAP"")/10000000"),832.2021797)</f>
        <v>832.20217969999999</v>
      </c>
      <c r="G4" s="95">
        <f t="shared" ca="1" si="0"/>
        <v>4.07558828169673E-2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101"/>
      <c r="B5" s="101"/>
      <c r="C5" s="101"/>
      <c r="D5" s="101"/>
      <c r="E5" s="101"/>
      <c r="F5" s="112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>
      <c r="A6" s="101"/>
      <c r="B6" s="101"/>
      <c r="C6" s="101"/>
      <c r="D6" s="101"/>
      <c r="E6" s="101"/>
      <c r="F6" s="112">
        <f t="shared" ref="F6:G6" ca="1" si="1">SUM(F2:F4)</f>
        <v>20419.191590999999</v>
      </c>
      <c r="G6" s="95">
        <f t="shared" ca="1" si="1"/>
        <v>1</v>
      </c>
      <c r="H6" s="101">
        <f t="shared" ref="H6:O6" si="2">SUM(H2:H4)</f>
        <v>4445</v>
      </c>
      <c r="I6" s="101">
        <f t="shared" si="2"/>
        <v>5780</v>
      </c>
      <c r="J6" s="101">
        <f t="shared" si="2"/>
        <v>254</v>
      </c>
      <c r="K6" s="101">
        <f t="shared" si="2"/>
        <v>487</v>
      </c>
      <c r="L6" s="101">
        <f t="shared" si="2"/>
        <v>1722</v>
      </c>
      <c r="M6" s="101">
        <f t="shared" si="2"/>
        <v>1931</v>
      </c>
      <c r="N6" s="101">
        <f t="shared" si="2"/>
        <v>110</v>
      </c>
      <c r="O6" s="101">
        <f t="shared" si="2"/>
        <v>159</v>
      </c>
      <c r="P6" s="95">
        <f t="shared" ref="P6:Q6" si="3">J6/H6</f>
        <v>5.7142857142857141E-2</v>
      </c>
      <c r="Q6" s="95">
        <f t="shared" si="3"/>
        <v>8.42560553633218E-2</v>
      </c>
      <c r="R6" s="95">
        <f>P6-Q6</f>
        <v>-2.7113198220464658E-2</v>
      </c>
      <c r="S6" s="95">
        <f t="shared" ref="S6:T6" si="4">N6/L6</f>
        <v>6.3879210220673638E-2</v>
      </c>
      <c r="T6" s="95">
        <f t="shared" si="4"/>
        <v>8.2340756084930092E-2</v>
      </c>
      <c r="U6" s="95">
        <f>S6-T6</f>
        <v>-1.8461545864256454E-2</v>
      </c>
      <c r="V6" s="95">
        <f>(H6/I6)-1</f>
        <v>-0.23096885813148793</v>
      </c>
      <c r="W6" s="95">
        <f>(J6/K6)-1</f>
        <v>-0.47843942505133474</v>
      </c>
      <c r="X6" s="95">
        <f>(L6/M6)-1</f>
        <v>-0.10823407560849296</v>
      </c>
      <c r="Y6" s="95">
        <f>(N6/O6)-1</f>
        <v>-0.30817610062893086</v>
      </c>
    </row>
    <row r="7" spans="1:25">
      <c r="F7" s="94"/>
    </row>
    <row r="8" spans="1:25">
      <c r="F8" s="94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4" xr:uid="{00000000-0009-0000-0000-00003A000000}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532898</v>
      </c>
      <c r="B2" s="98" t="s">
        <v>1418</v>
      </c>
      <c r="C2" s="6" t="str">
        <f>VLOOKUP(A2,'BSE ALL CAP'!$B$4:$Y$1038,2,)</f>
        <v>Utilities</v>
      </c>
      <c r="D2" s="6" t="str">
        <f>VLOOKUP(A2,'BSE ALL CAP'!$B$4:$Y$1038,3,)</f>
        <v>Power - Transmission</v>
      </c>
      <c r="E2" s="11">
        <f ca="1">IFERROR(__xludf.DUMMYFUNCTION("GOOGLEFINANCE(""BOM:""&amp;A2,""PRICE"")"),294.2)</f>
        <v>294.2</v>
      </c>
      <c r="F2" s="20">
        <f ca="1">IFERROR(__xludf.DUMMYFUNCTION("GOOGLEFINANCE(""BOM:""&amp;A2,""MARKETCAP"")/10000000"),273809.7466433)</f>
        <v>273809.74664329999</v>
      </c>
      <c r="G2" s="95">
        <f t="shared" ref="G2:G5" ca="1" si="0">F2/$F$7</f>
        <v>0.90882057301027441</v>
      </c>
      <c r="H2" s="101">
        <f>VLOOKUP(A2,'BSE ALL CAP'!$B$4:$Y$1038,7,)</f>
        <v>35067</v>
      </c>
      <c r="I2" s="101">
        <f>VLOOKUP(A2,'BSE ALL CAP'!$B$4:$Y$1038,8,)</f>
        <v>33517</v>
      </c>
      <c r="J2" s="101">
        <f>VLOOKUP(A2,'BSE ALL CAP'!$B$4:$Y$1038,9,)</f>
        <v>11382</v>
      </c>
      <c r="K2" s="101">
        <f>VLOOKUP(A2,'BSE ALL CAP'!$B$4:$Y$1038,10,)</f>
        <v>11379</v>
      </c>
      <c r="L2" s="101">
        <f>VLOOKUP(A2,'BSE ALL CAP'!$B$4:$Y$1038,11,)</f>
        <v>12395</v>
      </c>
      <c r="M2" s="101">
        <f>VLOOKUP(A2,'BSE ALL CAP'!$B$4:$Y$1038,12,)</f>
        <v>11233</v>
      </c>
      <c r="N2" s="101">
        <f>VLOOKUP(A2,'BSE ALL CAP'!$B$4:$Y$1038,13,)</f>
        <v>4185</v>
      </c>
      <c r="O2" s="101">
        <f>VLOOKUP(A2,'BSE ALL CAP'!$B$4:$Y$1038,14,)</f>
        <v>3861</v>
      </c>
      <c r="P2" s="95">
        <f>VLOOKUP(A2,'BSE ALL CAP'!$B$4:$Y$1038,15,)</f>
        <v>0.32457866370091537</v>
      </c>
      <c r="Q2" s="95">
        <f>VLOOKUP(A2,'BSE ALL CAP'!$B$4:$Y$1038,16,)</f>
        <v>0.33949935853447505</v>
      </c>
      <c r="R2" s="95">
        <f>VLOOKUP(A2,'BSE ALL CAP'!$B$4:$Y$1038,17,)</f>
        <v>-1.4920694833559678E-2</v>
      </c>
      <c r="S2" s="95">
        <f>VLOOKUP(A2,'BSE ALL CAP'!$B$4:$Y$1038,18,)</f>
        <v>0.33763614360629285</v>
      </c>
      <c r="T2" s="95">
        <f>VLOOKUP(A2,'BSE ALL CAP'!$B$4:$Y$1038,19,)</f>
        <v>0.34371939820172703</v>
      </c>
      <c r="U2" s="95">
        <f>VLOOKUP(A2,'BSE ALL CAP'!$B$4:$Y$1038,20,)</f>
        <v>-6.0832545954341843E-3</v>
      </c>
      <c r="V2" s="95">
        <f>VLOOKUP(A2,'BSE ALL CAP'!$B$4:$Y$1038,21,)</f>
        <v>4.6245189008562892E-2</v>
      </c>
      <c r="W2" s="95">
        <f>VLOOKUP(A2,'BSE ALL CAP'!$B$4:$Y$1038,22,)</f>
        <v>2.6364355391517158E-4</v>
      </c>
      <c r="X2" s="95">
        <f>VLOOKUP(A2,'BSE ALL CAP'!$B$4:$Y$1038,23,)</f>
        <v>0.10344520608920149</v>
      </c>
      <c r="Y2" s="95">
        <f>VLOOKUP(A2,'BSE ALL CAP'!$B$4:$Y$1038,24,)</f>
        <v>8.3916083916083961E-2</v>
      </c>
    </row>
    <row r="3" spans="1:25" ht="15.75" customHeight="1">
      <c r="A3" s="99">
        <v>540565</v>
      </c>
      <c r="B3" s="98" t="s">
        <v>2250</v>
      </c>
      <c r="C3" s="6"/>
      <c r="D3" s="6"/>
      <c r="E3" s="11">
        <f ca="1">IFERROR(__xludf.DUMMYFUNCTION("GOOGLEFINANCE(""BOM:""&amp;A3,""PRICE"")"),166.89)</f>
        <v>166.89</v>
      </c>
      <c r="F3" s="20">
        <f ca="1">IFERROR(__xludf.DUMMYFUNCTION("GOOGLEFINANCE(""BOM:""&amp;A3,""MARKETCAP"")/10000000"),15883.887535)</f>
        <v>15883.887535</v>
      </c>
      <c r="G3" s="95">
        <f t="shared" ca="1" si="0"/>
        <v>5.2721292606121656E-2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543290</v>
      </c>
      <c r="B4" s="98" t="s">
        <v>2251</v>
      </c>
      <c r="C4" s="6"/>
      <c r="D4" s="6"/>
      <c r="E4" s="11">
        <f ca="1">IFERROR(__xludf.DUMMYFUNCTION("GOOGLEFINANCE(""BOM:""&amp;A4,""PRICE"")"),92.19)</f>
        <v>92.19</v>
      </c>
      <c r="F4" s="20">
        <f ca="1">IFERROR(__xludf.DUMMYFUNCTION("GOOGLEFINANCE(""BOM:""&amp;A4,""MARKETCAP"")/10000000"),8390.1927622)</f>
        <v>8390.1927622000003</v>
      </c>
      <c r="G4" s="95">
        <f t="shared" ca="1" si="0"/>
        <v>2.7848460061368114E-2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543655</v>
      </c>
      <c r="B5" s="98" t="s">
        <v>2252</v>
      </c>
      <c r="C5" s="6"/>
      <c r="D5" s="6"/>
      <c r="E5" s="11">
        <f ca="1">IFERROR(__xludf.DUMMYFUNCTION("GOOGLEFINANCE(""BOM:""&amp;A5,""PRICE"")"),125)</f>
        <v>125</v>
      </c>
      <c r="F5" s="20">
        <f ca="1">IFERROR(__xludf.DUMMYFUNCTION("GOOGLEFINANCE(""BOM:""&amp;A5,""MARKETCAP"")/10000000"),3196.486)</f>
        <v>3196.4859999999999</v>
      </c>
      <c r="G5" s="95">
        <f t="shared" ca="1" si="0"/>
        <v>1.0609674322235836E-2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>
      <c r="A6" s="101"/>
      <c r="B6" s="101"/>
      <c r="C6" s="101"/>
      <c r="D6" s="101"/>
      <c r="E6" s="101"/>
      <c r="F6" s="101"/>
      <c r="G6" s="95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101"/>
      <c r="B7" s="101"/>
      <c r="C7" s="101"/>
      <c r="D7" s="101"/>
      <c r="E7" s="101"/>
      <c r="F7" s="112">
        <f ca="1">SUM(F2:F5)</f>
        <v>301280.31294049998</v>
      </c>
      <c r="G7" s="95">
        <f ca="1">F7/$F$7</f>
        <v>1</v>
      </c>
      <c r="H7" s="101">
        <f t="shared" ref="H7:O7" si="1">SUM(H2:H6)</f>
        <v>35067</v>
      </c>
      <c r="I7" s="101">
        <f t="shared" si="1"/>
        <v>33517</v>
      </c>
      <c r="J7" s="101">
        <f t="shared" si="1"/>
        <v>11382</v>
      </c>
      <c r="K7" s="101">
        <f t="shared" si="1"/>
        <v>11379</v>
      </c>
      <c r="L7" s="101">
        <f t="shared" si="1"/>
        <v>12395</v>
      </c>
      <c r="M7" s="101">
        <f t="shared" si="1"/>
        <v>11233</v>
      </c>
      <c r="N7" s="101">
        <f t="shared" si="1"/>
        <v>4185</v>
      </c>
      <c r="O7" s="101">
        <f t="shared" si="1"/>
        <v>3861</v>
      </c>
      <c r="P7" s="95">
        <f t="shared" ref="P7:Q7" si="2">J7/H7</f>
        <v>0.32457866370091537</v>
      </c>
      <c r="Q7" s="95">
        <f t="shared" si="2"/>
        <v>0.33949935853447505</v>
      </c>
      <c r="R7" s="95">
        <f>P7-Q7</f>
        <v>-1.4920694833559678E-2</v>
      </c>
      <c r="S7" s="95">
        <f t="shared" ref="S7:T7" si="3">N7/L7</f>
        <v>0.33763614360629285</v>
      </c>
      <c r="T7" s="95">
        <f t="shared" si="3"/>
        <v>0.34371939820172703</v>
      </c>
      <c r="U7" s="95">
        <f>S7-T7</f>
        <v>-6.0832545954341843E-3</v>
      </c>
      <c r="V7" s="95">
        <f>(H7/I7)-1</f>
        <v>4.6245189008562892E-2</v>
      </c>
      <c r="W7" s="95">
        <f>(J7/K7)-1</f>
        <v>2.6364355391517158E-4</v>
      </c>
      <c r="X7" s="95">
        <f>(L7/M7)-1</f>
        <v>0.10344520608920149</v>
      </c>
      <c r="Y7" s="95">
        <f>(N7/O7)-1</f>
        <v>8.3916083916083961E-2</v>
      </c>
    </row>
    <row r="8" spans="1:25">
      <c r="G8" s="50"/>
    </row>
    <row r="9" spans="1:25">
      <c r="G9" s="50"/>
    </row>
    <row r="10" spans="1:25">
      <c r="G10" s="50"/>
    </row>
    <row r="11" spans="1:25">
      <c r="G11" s="50"/>
    </row>
    <row r="12" spans="1:25">
      <c r="G12" s="50"/>
    </row>
    <row r="13" spans="1:25">
      <c r="G13" s="50"/>
    </row>
    <row r="14" spans="1:25">
      <c r="G14" s="50"/>
    </row>
    <row r="15" spans="1:25">
      <c r="G15" s="50"/>
    </row>
    <row r="16" spans="1:25">
      <c r="G16" s="50"/>
    </row>
    <row r="17" spans="7:7">
      <c r="G17" s="50"/>
    </row>
    <row r="18" spans="7:7">
      <c r="G18" s="50"/>
    </row>
    <row r="19" spans="7:7">
      <c r="G19" s="50"/>
    </row>
    <row r="20" spans="7:7">
      <c r="G20" s="50"/>
    </row>
    <row r="21" spans="7:7">
      <c r="G21" s="50"/>
    </row>
    <row r="22" spans="7:7">
      <c r="G22" s="50"/>
    </row>
    <row r="23" spans="7:7">
      <c r="G23" s="50"/>
    </row>
    <row r="24" spans="7:7">
      <c r="G24" s="50"/>
    </row>
    <row r="25" spans="7:7" ht="13.2">
      <c r="G25" s="50"/>
    </row>
    <row r="26" spans="7:7" ht="13.2">
      <c r="G26" s="50"/>
    </row>
    <row r="27" spans="7:7" ht="13.2">
      <c r="G27" s="50"/>
    </row>
    <row r="28" spans="7:7" ht="13.2">
      <c r="G28" s="50"/>
    </row>
    <row r="29" spans="7:7" ht="13.2">
      <c r="G29" s="50"/>
    </row>
    <row r="30" spans="7:7" ht="13.2">
      <c r="G30" s="50"/>
    </row>
    <row r="31" spans="7:7" ht="13.2">
      <c r="G31" s="50"/>
    </row>
    <row r="32" spans="7:7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5" xr:uid="{00000000-0009-0000-0000-00003B000000}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532921</v>
      </c>
      <c r="B2" s="98" t="s">
        <v>1408</v>
      </c>
      <c r="C2" s="6" t="str">
        <f>VLOOKUP(A2,'BSE ALL CAP'!$B$4:$Y$1038,2,)</f>
        <v>Services</v>
      </c>
      <c r="D2" s="6" t="str">
        <f>VLOOKUP(A2,'BSE ALL CAP'!$B$4:$Y$1038,3,)</f>
        <v>Port &amp; Port services</v>
      </c>
      <c r="E2" s="11">
        <f ca="1">IFERROR(__xludf.DUMMYFUNCTION("GOOGLEFINANCE(""BOM:""&amp;A2,""PRICE"")"),1385.5)</f>
        <v>1385.5</v>
      </c>
      <c r="F2" s="20">
        <f ca="1">IFERROR(__xludf.DUMMYFUNCTION("GOOGLEFINANCE(""BOM:""&amp;A2,""MARKETCAP"")/10000000"),319006.1575151)</f>
        <v>319006.15751510003</v>
      </c>
      <c r="G2" s="95">
        <f t="shared" ref="G2:G7" ca="1" si="0">F2/$F$9</f>
        <v>0.8482364743259696</v>
      </c>
      <c r="H2" s="101">
        <f>VLOOKUP(A2,'BSE ALL CAP'!$B$4:$Y$1038,7,)</f>
        <v>27998</v>
      </c>
      <c r="I2" s="101">
        <f>VLOOKUP(A2,'BSE ALL CAP'!$B$4:$Y$1038,8,)</f>
        <v>21987</v>
      </c>
      <c r="J2" s="101">
        <f>VLOOKUP(A2,'BSE ALL CAP'!$B$4:$Y$1038,9,)</f>
        <v>9474</v>
      </c>
      <c r="K2" s="101">
        <f>VLOOKUP(A2,'BSE ALL CAP'!$B$4:$Y$1038,10,)</f>
        <v>8038</v>
      </c>
      <c r="L2" s="101">
        <f>VLOOKUP(A2,'BSE ALL CAP'!$B$4:$Y$1038,11,)</f>
        <v>9705</v>
      </c>
      <c r="M2" s="101">
        <f>VLOOKUP(A2,'BSE ALL CAP'!$B$4:$Y$1038,12,)</f>
        <v>7964</v>
      </c>
      <c r="N2" s="101">
        <f>VLOOKUP(A2,'BSE ALL CAP'!$B$4:$Y$1038,13,)</f>
        <v>3043</v>
      </c>
      <c r="O2" s="101">
        <f>VLOOKUP(A2,'BSE ALL CAP'!$B$4:$Y$1038,14,)</f>
        <v>2518</v>
      </c>
      <c r="P2" s="95">
        <f>VLOOKUP(A2,'BSE ALL CAP'!$B$4:$Y$1038,15,)</f>
        <v>0.33838131295092505</v>
      </c>
      <c r="Q2" s="95">
        <f>VLOOKUP(A2,'BSE ALL CAP'!$B$4:$Y$1038,16,)</f>
        <v>0.36557966070860054</v>
      </c>
      <c r="R2" s="95">
        <f>VLOOKUP(A2,'BSE ALL CAP'!$B$4:$Y$1038,17,)</f>
        <v>-2.719834775767549E-2</v>
      </c>
      <c r="S2" s="95">
        <f>VLOOKUP(A2,'BSE ALL CAP'!$B$4:$Y$1038,18,)</f>
        <v>0.31354971664090675</v>
      </c>
      <c r="T2" s="95">
        <f>VLOOKUP(A2,'BSE ALL CAP'!$B$4:$Y$1038,19,)</f>
        <v>0.31617277749874434</v>
      </c>
      <c r="U2" s="95">
        <f>VLOOKUP(A2,'BSE ALL CAP'!$B$4:$Y$1038,20,)</f>
        <v>-2.6230608578375891E-3</v>
      </c>
      <c r="V2" s="95">
        <f>VLOOKUP(A2,'BSE ALL CAP'!$B$4:$Y$1038,21,)</f>
        <v>0.27338882066675763</v>
      </c>
      <c r="W2" s="95">
        <f>VLOOKUP(A2,'BSE ALL CAP'!$B$4:$Y$1038,22,)</f>
        <v>0.17865140582234385</v>
      </c>
      <c r="X2" s="95">
        <f>VLOOKUP(A2,'BSE ALL CAP'!$B$4:$Y$1038,23,)</f>
        <v>0.21860873932697134</v>
      </c>
      <c r="Y2" s="95">
        <f>VLOOKUP(A2,'BSE ALL CAP'!$B$4:$Y$1038,24,)</f>
        <v>0.20849880857823666</v>
      </c>
    </row>
    <row r="3" spans="1:25" ht="15.75" customHeight="1">
      <c r="A3" s="99">
        <v>543994</v>
      </c>
      <c r="B3" s="98" t="s">
        <v>2253</v>
      </c>
      <c r="C3" s="6" t="str">
        <f>VLOOKUP(A3,'BSE ALL CAP'!$B$4:$Y$1038,2,)</f>
        <v>Services</v>
      </c>
      <c r="D3" s="6" t="str">
        <f>VLOOKUP(A3,'BSE ALL CAP'!$B$4:$Y$1038,3,)</f>
        <v>Port &amp; Port services</v>
      </c>
      <c r="E3" s="11">
        <f ca="1">IFERROR(__xludf.DUMMYFUNCTION("GOOGLEFINANCE(""BOM:""&amp;A3,""PRICE"")"),238.05)</f>
        <v>238.05</v>
      </c>
      <c r="F3" s="20">
        <f ca="1">IFERROR(__xludf.DUMMYFUNCTION("GOOGLEFINANCE(""BOM:""&amp;A3,""MARKETCAP"")/10000000"),49258.5744)</f>
        <v>49258.574399999998</v>
      </c>
      <c r="G3" s="95">
        <f t="shared" ca="1" si="0"/>
        <v>0.13097841058883536</v>
      </c>
      <c r="H3" s="101">
        <f>VLOOKUP(A3,'BSE ALL CAP'!$B$4:$Y$1038,7,)</f>
        <v>3839</v>
      </c>
      <c r="I3" s="101">
        <f>VLOOKUP(A3,'BSE ALL CAP'!$B$4:$Y$1038,8,)</f>
        <v>3192</v>
      </c>
      <c r="J3" s="101">
        <f>VLOOKUP(A3,'BSE ALL CAP'!$B$4:$Y$1038,9,)</f>
        <v>1123</v>
      </c>
      <c r="K3" s="101">
        <f>VLOOKUP(A3,'BSE ALL CAP'!$B$4:$Y$1038,10,)</f>
        <v>1005</v>
      </c>
      <c r="L3" s="101">
        <f>VLOOKUP(A3,'BSE ALL CAP'!$B$4:$Y$1038,11,)</f>
        <v>1349</v>
      </c>
      <c r="M3" s="101">
        <f>VLOOKUP(A3,'BSE ALL CAP'!$B$4:$Y$1038,12,)</f>
        <v>1181</v>
      </c>
      <c r="N3" s="101">
        <f>VLOOKUP(A3,'BSE ALL CAP'!$B$4:$Y$1038,13,)</f>
        <v>365</v>
      </c>
      <c r="O3" s="101">
        <f>VLOOKUP(A3,'BSE ALL CAP'!$B$4:$Y$1038,14,)</f>
        <v>336</v>
      </c>
      <c r="P3" s="95">
        <f>VLOOKUP(A3,'BSE ALL CAP'!$B$4:$Y$1038,15,)</f>
        <v>0.29252409481635844</v>
      </c>
      <c r="Q3" s="95">
        <f>VLOOKUP(A3,'BSE ALL CAP'!$B$4:$Y$1038,16,)</f>
        <v>0.31484962406015038</v>
      </c>
      <c r="R3" s="95">
        <f>VLOOKUP(A3,'BSE ALL CAP'!$B$4:$Y$1038,17,)</f>
        <v>-2.2325529243791942E-2</v>
      </c>
      <c r="S3" s="95">
        <f>VLOOKUP(A3,'BSE ALL CAP'!$B$4:$Y$1038,18,)</f>
        <v>0.27057079318013344</v>
      </c>
      <c r="T3" s="95">
        <f>VLOOKUP(A3,'BSE ALL CAP'!$B$4:$Y$1038,19,)</f>
        <v>0.28450465707027944</v>
      </c>
      <c r="U3" s="95">
        <f>VLOOKUP(A3,'BSE ALL CAP'!$B$4:$Y$1038,20,)</f>
        <v>-1.3933863890146003E-2</v>
      </c>
      <c r="V3" s="95">
        <f>VLOOKUP(A3,'BSE ALL CAP'!$B$4:$Y$1038,21,)</f>
        <v>0.20269423558897248</v>
      </c>
      <c r="W3" s="95">
        <f>VLOOKUP(A3,'BSE ALL CAP'!$B$4:$Y$1038,22,)</f>
        <v>0.11741293532338304</v>
      </c>
      <c r="X3" s="95">
        <f>VLOOKUP(A3,'BSE ALL CAP'!$B$4:$Y$1038,23,)</f>
        <v>0.1422523285351398</v>
      </c>
      <c r="Y3" s="95">
        <f>VLOOKUP(A3,'BSE ALL CAP'!$B$4:$Y$1038,24,)</f>
        <v>8.6309523809523725E-2</v>
      </c>
    </row>
    <row r="4" spans="1:25" ht="15.75" customHeight="1">
      <c r="A4" s="99">
        <v>533248</v>
      </c>
      <c r="B4" s="98" t="s">
        <v>2254</v>
      </c>
      <c r="C4" s="6" t="str">
        <f>VLOOKUP(A4,'BSE ALL CAP'!$B$4:$Y$1038,2,)</f>
        <v>Services</v>
      </c>
      <c r="D4" s="6" t="str">
        <f>VLOOKUP(A4,'BSE ALL CAP'!$B$4:$Y$1038,3,)</f>
        <v>Port &amp; Port services</v>
      </c>
      <c r="E4" s="11">
        <f ca="1">IFERROR(__xludf.DUMMYFUNCTION("GOOGLEFINANCE(""BOM:""&amp;A4,""PRICE"")"),146.8)</f>
        <v>146.80000000000001</v>
      </c>
      <c r="F4" s="20">
        <f ca="1">IFERROR(__xludf.DUMMYFUNCTION("GOOGLEFINANCE(""BOM:""&amp;A4,""MARKETCAP"")/10000000"),7097.8634976)</f>
        <v>7097.8634976000003</v>
      </c>
      <c r="G4" s="95">
        <f t="shared" ca="1" si="0"/>
        <v>1.8873199048410949E-2</v>
      </c>
      <c r="H4" s="101">
        <f>VLOOKUP(A4,'BSE ALL CAP'!$B$4:$Y$1038,7,)</f>
        <v>842</v>
      </c>
      <c r="I4" s="101">
        <f>VLOOKUP(A4,'BSE ALL CAP'!$B$4:$Y$1038,8,)</f>
        <v>735</v>
      </c>
      <c r="J4" s="101">
        <f>VLOOKUP(A4,'BSE ALL CAP'!$B$4:$Y$1038,9,)</f>
        <v>372</v>
      </c>
      <c r="K4" s="101">
        <f>VLOOKUP(A4,'BSE ALL CAP'!$B$4:$Y$1038,10,)</f>
        <v>284</v>
      </c>
      <c r="L4" s="101">
        <f>VLOOKUP(A4,'BSE ALL CAP'!$B$4:$Y$1038,11,)</f>
        <v>292</v>
      </c>
      <c r="M4" s="101">
        <f>VLOOKUP(A4,'BSE ALL CAP'!$B$4:$Y$1038,12,)</f>
        <v>262</v>
      </c>
      <c r="N4" s="101">
        <f>VLOOKUP(A4,'BSE ALL CAP'!$B$4:$Y$1038,13,)</f>
        <v>107</v>
      </c>
      <c r="O4" s="101">
        <f>VLOOKUP(A4,'BSE ALL CAP'!$B$4:$Y$1038,14,)</f>
        <v>99</v>
      </c>
      <c r="P4" s="95">
        <f>VLOOKUP(A4,'BSE ALL CAP'!$B$4:$Y$1038,15,)</f>
        <v>0.44180522565320662</v>
      </c>
      <c r="Q4" s="95">
        <f>VLOOKUP(A4,'BSE ALL CAP'!$B$4:$Y$1038,16,)</f>
        <v>0.38639455782312926</v>
      </c>
      <c r="R4" s="95">
        <f>VLOOKUP(A4,'BSE ALL CAP'!$B$4:$Y$1038,17,)</f>
        <v>5.5410667830077365E-2</v>
      </c>
      <c r="S4" s="95">
        <f>VLOOKUP(A4,'BSE ALL CAP'!$B$4:$Y$1038,18,)</f>
        <v>0.36643835616438358</v>
      </c>
      <c r="T4" s="95">
        <f>VLOOKUP(A4,'BSE ALL CAP'!$B$4:$Y$1038,19,)</f>
        <v>0.37786259541984735</v>
      </c>
      <c r="U4" s="95">
        <f>VLOOKUP(A4,'BSE ALL CAP'!$B$4:$Y$1038,20,)</f>
        <v>-1.1424239255463764E-2</v>
      </c>
      <c r="V4" s="95">
        <f>VLOOKUP(A4,'BSE ALL CAP'!$B$4:$Y$1038,21,)</f>
        <v>0.1455782312925169</v>
      </c>
      <c r="W4" s="95">
        <f>VLOOKUP(A4,'BSE ALL CAP'!$B$4:$Y$1038,22,)</f>
        <v>0.3098591549295775</v>
      </c>
      <c r="X4" s="95">
        <f>VLOOKUP(A4,'BSE ALL CAP'!$B$4:$Y$1038,23,)</f>
        <v>0.11450381679389321</v>
      </c>
      <c r="Y4" s="95">
        <f>VLOOKUP(A4,'BSE ALL CAP'!$B$4:$Y$1038,24,)</f>
        <v>8.0808080808080884E-2</v>
      </c>
    </row>
    <row r="5" spans="1:25" ht="15.75" customHeight="1">
      <c r="A5" s="99">
        <v>543954</v>
      </c>
      <c r="B5" s="98" t="s">
        <v>2255</v>
      </c>
      <c r="C5" s="6"/>
      <c r="D5" s="6"/>
      <c r="E5" s="11">
        <f ca="1">IFERROR(__xludf.DUMMYFUNCTION("GOOGLEFINANCE(""BOM:""&amp;A5,""PRICE"")"),23)</f>
        <v>23</v>
      </c>
      <c r="F5" s="20">
        <f ca="1">IFERROR(__xludf.DUMMYFUNCTION("GOOGLEFINANCE(""BOM:""&amp;A5,""MARKETCAP"")/10000000"),608.9313814)</f>
        <v>608.93138139999996</v>
      </c>
      <c r="G5" s="95">
        <f t="shared" ca="1" si="0"/>
        <v>1.6191468280380421E-3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533427</v>
      </c>
      <c r="B6" s="98" t="s">
        <v>2256</v>
      </c>
      <c r="C6" s="6"/>
      <c r="D6" s="6"/>
      <c r="E6" s="11">
        <f ca="1">IFERROR(__xludf.DUMMYFUNCTION("GOOGLEFINANCE(""BOM:""&amp;A6,""PRICE"")"),21.2)</f>
        <v>21.2</v>
      </c>
      <c r="F6" s="20">
        <f ca="1">IFERROR(__xludf.DUMMYFUNCTION("GOOGLEFINANCE(""BOM:""&amp;A6,""MARKETCAP"")/10000000"),51.8835674)</f>
        <v>51.883567399999997</v>
      </c>
      <c r="G6" s="95">
        <f t="shared" ca="1" si="0"/>
        <v>1.3795825958232995E-4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520155</v>
      </c>
      <c r="B7" s="98" t="s">
        <v>2257</v>
      </c>
      <c r="C7" s="6"/>
      <c r="D7" s="6"/>
      <c r="E7" s="11">
        <f ca="1">IFERROR(__xludf.DUMMYFUNCTION("GOOGLEFINANCE(""BOM:""&amp;A7,""PRICE"")"),38.9)</f>
        <v>38.9</v>
      </c>
      <c r="F7" s="20">
        <f ca="1">IFERROR(__xludf.DUMMYFUNCTION("GOOGLEFINANCE(""BOM:""&amp;A7,""MARKETCAP"")/10000000"),58.2215544)</f>
        <v>58.221554400000002</v>
      </c>
      <c r="G7" s="95">
        <f t="shared" ca="1" si="0"/>
        <v>1.5481094916387623E-4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01"/>
      <c r="G8" s="95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A9" s="101"/>
      <c r="B9" s="101"/>
      <c r="C9" s="101"/>
      <c r="D9" s="101"/>
      <c r="E9" s="101"/>
      <c r="F9" s="112">
        <f ca="1">SUM(F2:F7)</f>
        <v>376081.63191589998</v>
      </c>
      <c r="G9" s="95">
        <f ca="1">F9/$F$9</f>
        <v>1</v>
      </c>
      <c r="H9" s="101">
        <f t="shared" ref="H9:O9" si="1">SUM(H2:H7)</f>
        <v>32679</v>
      </c>
      <c r="I9" s="101">
        <f t="shared" si="1"/>
        <v>25914</v>
      </c>
      <c r="J9" s="101">
        <f t="shared" si="1"/>
        <v>10969</v>
      </c>
      <c r="K9" s="101">
        <f t="shared" si="1"/>
        <v>9327</v>
      </c>
      <c r="L9" s="101">
        <f t="shared" si="1"/>
        <v>11346</v>
      </c>
      <c r="M9" s="101">
        <f t="shared" si="1"/>
        <v>9407</v>
      </c>
      <c r="N9" s="101">
        <f t="shared" si="1"/>
        <v>3515</v>
      </c>
      <c r="O9" s="101">
        <f t="shared" si="1"/>
        <v>2953</v>
      </c>
      <c r="P9" s="95">
        <f t="shared" ref="P9:Q9" si="2">J9/H9</f>
        <v>0.33565898589308119</v>
      </c>
      <c r="Q9" s="95">
        <f t="shared" si="2"/>
        <v>0.35992127807362817</v>
      </c>
      <c r="R9" s="95">
        <f>P9-Q9</f>
        <v>-2.4262292180546985E-2</v>
      </c>
      <c r="S9" s="95">
        <f t="shared" ref="S9:T9" si="3">N9/L9</f>
        <v>0.30980081085845229</v>
      </c>
      <c r="T9" s="95">
        <f t="shared" si="3"/>
        <v>0.31391516955458704</v>
      </c>
      <c r="U9" s="95">
        <f>S9-T9</f>
        <v>-4.1143586961347456E-3</v>
      </c>
      <c r="V9" s="95">
        <f>(H9/I9)-1</f>
        <v>0.26105579995369288</v>
      </c>
      <c r="W9" s="95">
        <f>(J9/K9)-1</f>
        <v>0.17604803259354562</v>
      </c>
      <c r="X9" s="95">
        <f>(L9/M9)-1</f>
        <v>0.20612309981928356</v>
      </c>
      <c r="Y9" s="95">
        <f>(N9/O9)-1</f>
        <v>0.19031493396545884</v>
      </c>
    </row>
    <row r="10" spans="1:25">
      <c r="G10" s="50"/>
    </row>
    <row r="11" spans="1:25">
      <c r="G11" s="50"/>
    </row>
    <row r="12" spans="1:25">
      <c r="G12" s="50"/>
    </row>
    <row r="13" spans="1:25">
      <c r="G13" s="50"/>
    </row>
    <row r="14" spans="1:25">
      <c r="G14" s="50"/>
    </row>
    <row r="15" spans="1:25">
      <c r="G15" s="50"/>
    </row>
    <row r="16" spans="1:25">
      <c r="G16" s="50"/>
    </row>
    <row r="17" spans="7:7">
      <c r="G17" s="50"/>
    </row>
    <row r="18" spans="7:7">
      <c r="G18" s="50"/>
    </row>
    <row r="19" spans="7:7">
      <c r="G19" s="50"/>
    </row>
    <row r="20" spans="7:7">
      <c r="G20" s="50"/>
    </row>
    <row r="21" spans="7:7">
      <c r="G21" s="50"/>
    </row>
    <row r="22" spans="7:7">
      <c r="G22" s="50"/>
    </row>
    <row r="23" spans="7:7">
      <c r="G23" s="50"/>
    </row>
    <row r="24" spans="7:7">
      <c r="G24" s="50"/>
    </row>
    <row r="25" spans="7:7" ht="13.2">
      <c r="G25" s="50"/>
    </row>
    <row r="26" spans="7:7" ht="13.2">
      <c r="G26" s="50"/>
    </row>
    <row r="27" spans="7:7" ht="13.2">
      <c r="G27" s="50"/>
    </row>
    <row r="28" spans="7:7" ht="13.2">
      <c r="G28" s="50"/>
    </row>
    <row r="29" spans="7:7" ht="13.2">
      <c r="G29" s="50"/>
    </row>
    <row r="30" spans="7:7" ht="13.2">
      <c r="G30" s="50"/>
    </row>
    <row r="31" spans="7:7" ht="13.2">
      <c r="G31" s="50"/>
    </row>
    <row r="32" spans="7:7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7" xr:uid="{00000000-0009-0000-0000-00003C000000}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534804</v>
      </c>
      <c r="B2" s="98" t="s">
        <v>2258</v>
      </c>
      <c r="C2" s="6" t="str">
        <f>VLOOKUP(A2,'BSE ALL CAP'!$B$4:$Y$1038,2,)</f>
        <v>Financial Services</v>
      </c>
      <c r="D2" s="6" t="str">
        <f>VLOOKUP(A2,'BSE ALL CAP'!$B$4:$Y$1038,3,)</f>
        <v>Ratings</v>
      </c>
      <c r="E2" s="101">
        <f ca="1">IFERROR(__xludf.DUMMYFUNCTION("GOOGLEFINANCE(""BOM:""&amp;A2,""PRICE"")"),1533.2)</f>
        <v>1533.2</v>
      </c>
      <c r="F2" s="112">
        <f ca="1">IFERROR(__xludf.DUMMYFUNCTION("GOOGLEFINANCE(""BOM:""&amp;A2,""MARKETCAP"")/10000000"),4602.5006678)</f>
        <v>4602.5006678</v>
      </c>
      <c r="G2" s="95">
        <f ca="1">F2/F5</f>
        <v>0.48430678732899346</v>
      </c>
      <c r="H2" s="101">
        <f>VLOOKUP(A2,'BSE ALL CAP'!$B$4:$Y$1038,7,)</f>
        <v>342</v>
      </c>
      <c r="I2" s="101">
        <f>VLOOKUP(A2,'BSE ALL CAP'!$B$4:$Y$1038,8,)</f>
        <v>292</v>
      </c>
      <c r="J2" s="101">
        <f>VLOOKUP(A2,'BSE ALL CAP'!$B$4:$Y$1038,9,)</f>
        <v>120</v>
      </c>
      <c r="K2" s="101">
        <f>VLOOKUP(A2,'BSE ALL CAP'!$B$4:$Y$1038,10,)</f>
        <v>96</v>
      </c>
      <c r="L2" s="101">
        <f>VLOOKUP(A2,'BSE ALL CAP'!$B$4:$Y$1038,11,)</f>
        <v>112</v>
      </c>
      <c r="M2" s="101">
        <f>VLOOKUP(A2,'BSE ALL CAP'!$B$4:$Y$1038,12,)</f>
        <v>96</v>
      </c>
      <c r="N2" s="101">
        <f>VLOOKUP(A2,'BSE ALL CAP'!$B$4:$Y$1038,13,)</f>
        <v>36</v>
      </c>
      <c r="O2" s="101">
        <f>VLOOKUP(A2,'BSE ALL CAP'!$B$4:$Y$1038,14,)</f>
        <v>28</v>
      </c>
      <c r="P2" s="95">
        <f>VLOOKUP(A2,'BSE ALL CAP'!$B$4:$Y$1038,15,)</f>
        <v>0.35087719298245612</v>
      </c>
      <c r="Q2" s="95">
        <f>VLOOKUP(A2,'BSE ALL CAP'!$B$4:$Y$1038,16,)</f>
        <v>0.32876712328767121</v>
      </c>
      <c r="R2" s="95">
        <f>VLOOKUP(A2,'BSE ALL CAP'!$B$4:$Y$1038,17,)</f>
        <v>2.2110069694784906E-2</v>
      </c>
      <c r="S2" s="95">
        <f>VLOOKUP(A2,'BSE ALL CAP'!$B$4:$Y$1038,18,)</f>
        <v>0.32142857142857145</v>
      </c>
      <c r="T2" s="95">
        <f>VLOOKUP(A2,'BSE ALL CAP'!$B$4:$Y$1038,19,)</f>
        <v>0.29166666666666669</v>
      </c>
      <c r="U2" s="95">
        <f>VLOOKUP(A2,'BSE ALL CAP'!$B$4:$Y$1038,20,)</f>
        <v>2.9761904761904767E-2</v>
      </c>
      <c r="V2" s="95">
        <f>VLOOKUP(A2,'BSE ALL CAP'!$B$4:$Y$1038,21,)</f>
        <v>0.17123287671232879</v>
      </c>
      <c r="W2" s="95">
        <f>VLOOKUP(A2,'BSE ALL CAP'!$B$4:$Y$1038,22,)</f>
        <v>0.25</v>
      </c>
      <c r="X2" s="95">
        <f>VLOOKUP(A2,'BSE ALL CAP'!$B$4:$Y$1038,23,)</f>
        <v>0.16666666666666674</v>
      </c>
      <c r="Y2" s="95">
        <f>VLOOKUP(A2,'BSE ALL CAP'!$B$4:$Y$1038,24,)</f>
        <v>0.28571428571428581</v>
      </c>
    </row>
    <row r="3" spans="1:25" ht="15.75" customHeight="1">
      <c r="A3" s="99">
        <v>532835</v>
      </c>
      <c r="B3" s="98" t="s">
        <v>2259</v>
      </c>
      <c r="C3" s="6" t="str">
        <f>VLOOKUP(A3,'BSE ALL CAP'!$B$4:$Y$1038,2,)</f>
        <v>Financial Services</v>
      </c>
      <c r="D3" s="6" t="str">
        <f>VLOOKUP(A3,'BSE ALL CAP'!$B$4:$Y$1038,3,)</f>
        <v>Ratings</v>
      </c>
      <c r="E3" s="101">
        <f ca="1">IFERROR(__xludf.DUMMYFUNCTION("GOOGLEFINANCE(""BOM:""&amp;A3,""PRICE"")"),5115)</f>
        <v>5115</v>
      </c>
      <c r="F3" s="112">
        <f ca="1">IFERROR(__xludf.DUMMYFUNCTION("GOOGLEFINANCE(""BOM:""&amp;A3,""MARKETCAP"")/10000000"),4900.7745045)</f>
        <v>4900.7745045000001</v>
      </c>
      <c r="G3" s="95">
        <f ca="1">F3/F5</f>
        <v>0.51569321267100654</v>
      </c>
      <c r="H3" s="101">
        <f>VLOOKUP(A3,'BSE ALL CAP'!$B$4:$Y$1038,7,)</f>
        <v>485</v>
      </c>
      <c r="I3" s="101">
        <f>VLOOKUP(A3,'BSE ALL CAP'!$B$4:$Y$1038,8,)</f>
        <v>418</v>
      </c>
      <c r="J3" s="101">
        <f>VLOOKUP(A3,'BSE ALL CAP'!$B$4:$Y$1038,9,)</f>
        <v>129</v>
      </c>
      <c r="K3" s="101">
        <f>VLOOKUP(A3,'BSE ALL CAP'!$B$4:$Y$1038,10,)</f>
        <v>115</v>
      </c>
      <c r="L3" s="101">
        <f>VLOOKUP(A3,'BSE ALL CAP'!$B$4:$Y$1038,11,)</f>
        <v>179</v>
      </c>
      <c r="M3" s="101">
        <f>VLOOKUP(A3,'BSE ALL CAP'!$B$4:$Y$1038,12,)</f>
        <v>139</v>
      </c>
      <c r="N3" s="101">
        <f>VLOOKUP(A3,'BSE ALL CAP'!$B$4:$Y$1038,13,)</f>
        <v>39</v>
      </c>
      <c r="O3" s="101">
        <f>VLOOKUP(A3,'BSE ALL CAP'!$B$4:$Y$1038,14,)</f>
        <v>42</v>
      </c>
      <c r="P3" s="95">
        <f>VLOOKUP(A3,'BSE ALL CAP'!$B$4:$Y$1038,15,)</f>
        <v>0.26597938144329897</v>
      </c>
      <c r="Q3" s="95">
        <f>VLOOKUP(A3,'BSE ALL CAP'!$B$4:$Y$1038,16,)</f>
        <v>0.27511961722488038</v>
      </c>
      <c r="R3" s="95">
        <f>VLOOKUP(A3,'BSE ALL CAP'!$B$4:$Y$1038,17,)</f>
        <v>-9.1402357815814073E-3</v>
      </c>
      <c r="S3" s="95">
        <f>VLOOKUP(A3,'BSE ALL CAP'!$B$4:$Y$1038,18,)</f>
        <v>0.21787709497206703</v>
      </c>
      <c r="T3" s="95">
        <f>VLOOKUP(A3,'BSE ALL CAP'!$B$4:$Y$1038,19,)</f>
        <v>0.30215827338129497</v>
      </c>
      <c r="U3" s="95">
        <f>VLOOKUP(A3,'BSE ALL CAP'!$B$4:$Y$1038,20,)</f>
        <v>-8.4281178409227941E-2</v>
      </c>
      <c r="V3" s="95">
        <f>VLOOKUP(A3,'BSE ALL CAP'!$B$4:$Y$1038,21,)</f>
        <v>0.16028708133971281</v>
      </c>
      <c r="W3" s="95">
        <f>VLOOKUP(A3,'BSE ALL CAP'!$B$4:$Y$1038,22,)</f>
        <v>0.12173913043478257</v>
      </c>
      <c r="X3" s="95">
        <f>VLOOKUP(A3,'BSE ALL CAP'!$B$4:$Y$1038,23,)</f>
        <v>0.28776978417266186</v>
      </c>
      <c r="Y3" s="95">
        <f>VLOOKUP(A3,'BSE ALL CAP'!$B$4:$Y$1038,24,)</f>
        <v>-7.1428571428571397E-2</v>
      </c>
    </row>
    <row r="4" spans="1:25">
      <c r="A4" s="101"/>
      <c r="B4" s="101"/>
      <c r="C4" s="101"/>
      <c r="D4" s="101"/>
      <c r="E4" s="101"/>
      <c r="F4" s="112"/>
      <c r="G4" s="95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101"/>
      <c r="B5" s="101"/>
      <c r="C5" s="101"/>
      <c r="D5" s="101"/>
      <c r="E5" s="101"/>
      <c r="F5" s="112">
        <f t="shared" ref="F5:O5" ca="1" si="0">SUM(F2:F3)</f>
        <v>9503.2751723000001</v>
      </c>
      <c r="G5" s="95">
        <f t="shared" ca="1" si="0"/>
        <v>1</v>
      </c>
      <c r="H5" s="101">
        <f t="shared" si="0"/>
        <v>827</v>
      </c>
      <c r="I5" s="101">
        <f t="shared" si="0"/>
        <v>710</v>
      </c>
      <c r="J5" s="101">
        <f t="shared" si="0"/>
        <v>249</v>
      </c>
      <c r="K5" s="101">
        <f t="shared" si="0"/>
        <v>211</v>
      </c>
      <c r="L5" s="101">
        <f t="shared" si="0"/>
        <v>291</v>
      </c>
      <c r="M5" s="101">
        <f t="shared" si="0"/>
        <v>235</v>
      </c>
      <c r="N5" s="101">
        <f t="shared" si="0"/>
        <v>75</v>
      </c>
      <c r="O5" s="101">
        <f t="shared" si="0"/>
        <v>70</v>
      </c>
      <c r="P5" s="95">
        <f t="shared" ref="P5:Q5" si="1">J5/H5</f>
        <v>0.3010882708585248</v>
      </c>
      <c r="Q5" s="95">
        <f t="shared" si="1"/>
        <v>0.29718309859154929</v>
      </c>
      <c r="R5" s="95">
        <f>P5-Q5</f>
        <v>3.9051722669755096E-3</v>
      </c>
      <c r="S5" s="95">
        <f t="shared" ref="S5:T5" si="2">N5/L5</f>
        <v>0.25773195876288657</v>
      </c>
      <c r="T5" s="95">
        <f t="shared" si="2"/>
        <v>0.2978723404255319</v>
      </c>
      <c r="U5" s="95">
        <f>S5-T5</f>
        <v>-4.014038166264533E-2</v>
      </c>
      <c r="V5" s="95">
        <f>(H5/I5)-1</f>
        <v>0.1647887323943662</v>
      </c>
      <c r="W5" s="95">
        <f>(J5/K5)-1</f>
        <v>0.1800947867298579</v>
      </c>
      <c r="X5" s="95">
        <f>(L5/M5)-1</f>
        <v>0.23829787234042543</v>
      </c>
      <c r="Y5" s="95">
        <f>(N5/O5)-1</f>
        <v>7.1428571428571397E-2</v>
      </c>
    </row>
    <row r="6" spans="1:25">
      <c r="F6" s="94"/>
    </row>
    <row r="7" spans="1:25">
      <c r="F7" s="94"/>
    </row>
    <row r="8" spans="1:25">
      <c r="F8" s="94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3" xr:uid="{00000000-0009-0000-0000-00003D000000}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532548</v>
      </c>
      <c r="B2" s="98" t="s">
        <v>2260</v>
      </c>
      <c r="C2" s="6" t="str">
        <f>VLOOKUP(A2,'BSE ALL CAP'!$B$4:$Y$1038,2,)</f>
        <v>Consumer Discretionary</v>
      </c>
      <c r="D2" s="6" t="str">
        <f>VLOOKUP(A2,'BSE ALL CAP'!$B$4:$Y$1038,3,)</f>
        <v>Plywood Boards/ Laminates</v>
      </c>
      <c r="E2" s="11">
        <f ca="1">IFERROR(__xludf.DUMMYFUNCTION("GOOGLEFINANCE(""BOM:""&amp;A2,""PRICE"")"),718.25)</f>
        <v>718.25</v>
      </c>
      <c r="F2" s="20">
        <f ca="1">IFERROR(__xludf.DUMMYFUNCTION("GOOGLEFINANCE(""BOM:""&amp;A2,""MARKETCAP"")/10000000"),15962.0122717)</f>
        <v>15962.012271699999</v>
      </c>
      <c r="G2" s="95">
        <f t="shared" ref="G2:G12" ca="1" si="0">F2/$F$14</f>
        <v>0.51712762563624448</v>
      </c>
      <c r="H2" s="101">
        <f>VLOOKUP(A2,'BSE ALL CAP'!$B$4:$Y$1038,7,)</f>
        <v>3904</v>
      </c>
      <c r="I2" s="101">
        <f>VLOOKUP(A2,'BSE ALL CAP'!$B$4:$Y$1038,8,)</f>
        <v>3329</v>
      </c>
      <c r="J2" s="101">
        <f>VLOOKUP(A2,'BSE ALL CAP'!$B$4:$Y$1038,9,)</f>
        <v>188</v>
      </c>
      <c r="K2" s="101">
        <f>VLOOKUP(A2,'BSE ALL CAP'!$B$4:$Y$1038,10,)</f>
        <v>132</v>
      </c>
      <c r="L2" s="101">
        <f>VLOOKUP(A2,'BSE ALL CAP'!$B$4:$Y$1038,11,)</f>
        <v>1350</v>
      </c>
      <c r="M2" s="101">
        <f>VLOOKUP(A2,'BSE ALL CAP'!$B$4:$Y$1038,12,)</f>
        <v>1140</v>
      </c>
      <c r="N2" s="101">
        <f>VLOOKUP(A2,'BSE ALL CAP'!$B$4:$Y$1038,13,)</f>
        <v>65</v>
      </c>
      <c r="O2" s="101">
        <f>VLOOKUP(A2,'BSE ALL CAP'!$B$4:$Y$1038,14,)</f>
        <v>58</v>
      </c>
      <c r="P2" s="95">
        <f>VLOOKUP(A2,'BSE ALL CAP'!$B$4:$Y$1038,15,)</f>
        <v>4.8155737704918031E-2</v>
      </c>
      <c r="Q2" s="95">
        <f>VLOOKUP(A2,'BSE ALL CAP'!$B$4:$Y$1038,16,)</f>
        <v>3.9651547011114452E-2</v>
      </c>
      <c r="R2" s="95">
        <f>VLOOKUP(A2,'BSE ALL CAP'!$B$4:$Y$1038,17,)</f>
        <v>8.5041906938035788E-3</v>
      </c>
      <c r="S2" s="95">
        <f>VLOOKUP(A2,'BSE ALL CAP'!$B$4:$Y$1038,18,)</f>
        <v>4.8148148148148148E-2</v>
      </c>
      <c r="T2" s="95">
        <f>VLOOKUP(A2,'BSE ALL CAP'!$B$4:$Y$1038,19,)</f>
        <v>5.0877192982456139E-2</v>
      </c>
      <c r="U2" s="95">
        <f>VLOOKUP(A2,'BSE ALL CAP'!$B$4:$Y$1038,20,)</f>
        <v>-2.7290448343079907E-3</v>
      </c>
      <c r="V2" s="95">
        <f>VLOOKUP(A2,'BSE ALL CAP'!$B$4:$Y$1038,21,)</f>
        <v>0.17272454190447584</v>
      </c>
      <c r="W2" s="95">
        <f>VLOOKUP(A2,'BSE ALL CAP'!$B$4:$Y$1038,22,)</f>
        <v>0.42424242424242431</v>
      </c>
      <c r="X2" s="95">
        <f>VLOOKUP(A2,'BSE ALL CAP'!$B$4:$Y$1038,23,)</f>
        <v>0.18421052631578938</v>
      </c>
      <c r="Y2" s="95">
        <f>VLOOKUP(A2,'BSE ALL CAP'!$B$4:$Y$1038,24,)</f>
        <v>0.1206896551724137</v>
      </c>
    </row>
    <row r="3" spans="1:25" ht="15.75" customHeight="1">
      <c r="A3" s="99">
        <v>538979</v>
      </c>
      <c r="B3" s="98" t="s">
        <v>2261</v>
      </c>
      <c r="C3" s="6" t="str">
        <f>VLOOKUP(A3,'BSE ALL CAP'!$B$4:$Y$1038,2,)</f>
        <v>Consumer Discretionary</v>
      </c>
      <c r="D3" s="6" t="str">
        <f>VLOOKUP(A3,'BSE ALL CAP'!$B$4:$Y$1038,3,)</f>
        <v>Plywood Boards/ Laminates</v>
      </c>
      <c r="E3" s="11">
        <f ca="1">IFERROR(__xludf.DUMMYFUNCTION("GOOGLEFINANCE(""BOM:""&amp;A3,""PRICE"")"),219.35)</f>
        <v>219.35</v>
      </c>
      <c r="F3" s="20">
        <f ca="1">IFERROR(__xludf.DUMMYFUNCTION("GOOGLEFINANCE(""BOM:""&amp;A3,""MARKETCAP"")/10000000"),5580.0801211)</f>
        <v>5580.0801210999998</v>
      </c>
      <c r="G3" s="95">
        <f t="shared" ca="1" si="0"/>
        <v>0.18078006298745466</v>
      </c>
      <c r="H3" s="101">
        <f>VLOOKUP(A3,'BSE ALL CAP'!$B$4:$Y$1038,7,)</f>
        <v>2188</v>
      </c>
      <c r="I3" s="101">
        <f>VLOOKUP(A3,'BSE ALL CAP'!$B$4:$Y$1038,8,)</f>
        <v>1888</v>
      </c>
      <c r="J3" s="101">
        <f>VLOOKUP(A3,'BSE ALL CAP'!$B$4:$Y$1038,9,)</f>
        <v>15</v>
      </c>
      <c r="K3" s="101">
        <f>VLOOKUP(A3,'BSE ALL CAP'!$B$4:$Y$1038,10,)</f>
        <v>67</v>
      </c>
      <c r="L3" s="101">
        <f>VLOOKUP(A3,'BSE ALL CAP'!$B$4:$Y$1038,11,)</f>
        <v>706</v>
      </c>
      <c r="M3" s="101">
        <f>VLOOKUP(A3,'BSE ALL CAP'!$B$4:$Y$1038,12,)</f>
        <v>602</v>
      </c>
      <c r="N3" s="101">
        <f>VLOOKUP(A3,'BSE ALL CAP'!$B$4:$Y$1038,13,)</f>
        <v>-0.59</v>
      </c>
      <c r="O3" s="101">
        <f>VLOOKUP(A3,'BSE ALL CAP'!$B$4:$Y$1038,14,)</f>
        <v>13</v>
      </c>
      <c r="P3" s="95">
        <f>VLOOKUP(A3,'BSE ALL CAP'!$B$4:$Y$1038,15,)</f>
        <v>6.855575868372943E-3</v>
      </c>
      <c r="Q3" s="95">
        <f>VLOOKUP(A3,'BSE ALL CAP'!$B$4:$Y$1038,16,)</f>
        <v>3.5487288135593223E-2</v>
      </c>
      <c r="R3" s="95">
        <f>VLOOKUP(A3,'BSE ALL CAP'!$B$4:$Y$1038,17,)</f>
        <v>-2.8631712267220281E-2</v>
      </c>
      <c r="S3" s="95">
        <f>VLOOKUP(A3,'BSE ALL CAP'!$B$4:$Y$1038,18,)</f>
        <v>-8.3569405099150138E-4</v>
      </c>
      <c r="T3" s="95">
        <f>VLOOKUP(A3,'BSE ALL CAP'!$B$4:$Y$1038,19,)</f>
        <v>2.1594684385382059E-2</v>
      </c>
      <c r="U3" s="95">
        <f>VLOOKUP(A3,'BSE ALL CAP'!$B$4:$Y$1038,20,)</f>
        <v>-2.243037843637356E-2</v>
      </c>
      <c r="V3" s="95">
        <f>VLOOKUP(A3,'BSE ALL CAP'!$B$4:$Y$1038,21,)</f>
        <v>0.15889830508474567</v>
      </c>
      <c r="W3" s="95">
        <f>VLOOKUP(A3,'BSE ALL CAP'!$B$4:$Y$1038,22,)</f>
        <v>-0.77611940298507465</v>
      </c>
      <c r="X3" s="95">
        <f>VLOOKUP(A3,'BSE ALL CAP'!$B$4:$Y$1038,23,)</f>
        <v>0.1727574750830565</v>
      </c>
      <c r="Y3" s="95">
        <f>VLOOKUP(A3,'BSE ALL CAP'!$B$4:$Y$1038,24,)</f>
        <v>-1.0453846153846154</v>
      </c>
    </row>
    <row r="4" spans="1:25" ht="15.75" customHeight="1">
      <c r="A4" s="99">
        <v>526951</v>
      </c>
      <c r="B4" s="98" t="s">
        <v>2262</v>
      </c>
      <c r="C4" s="6" t="str">
        <f>VLOOKUP(A4,'BSE ALL CAP'!$B$4:$Y$1038,2,)</f>
        <v>Consumer Discretionary</v>
      </c>
      <c r="D4" s="6" t="str">
        <f>VLOOKUP(A4,'BSE ALL CAP'!$B$4:$Y$1038,3,)</f>
        <v>Plywood Boards/ Laminates</v>
      </c>
      <c r="E4" s="11">
        <f ca="1">IFERROR(__xludf.DUMMYFUNCTION("GOOGLEFINANCE(""BOM:""&amp;A4,""PRICE"")"),2211.55)</f>
        <v>2211.5500000000002</v>
      </c>
      <c r="F4" s="20">
        <f ca="1">IFERROR(__xludf.DUMMYFUNCTION("GOOGLEFINANCE(""BOM:""&amp;A4,""MARKETCAP"")/10000000"),3756.7049285)</f>
        <v>3756.7049284999998</v>
      </c>
      <c r="G4" s="95">
        <f t="shared" ca="1" si="0"/>
        <v>0.12170745560291941</v>
      </c>
      <c r="H4" s="101">
        <f>VLOOKUP(A4,'BSE ALL CAP'!$B$4:$Y$1038,7,)</f>
        <v>849</v>
      </c>
      <c r="I4" s="101">
        <f>VLOOKUP(A4,'BSE ALL CAP'!$B$4:$Y$1038,8,)</f>
        <v>766</v>
      </c>
      <c r="J4" s="101">
        <f>VLOOKUP(A4,'BSE ALL CAP'!$B$4:$Y$1038,9,)</f>
        <v>111</v>
      </c>
      <c r="K4" s="101">
        <f>VLOOKUP(A4,'BSE ALL CAP'!$B$4:$Y$1038,10,)</f>
        <v>92</v>
      </c>
      <c r="L4" s="101">
        <f>VLOOKUP(A4,'BSE ALL CAP'!$B$4:$Y$1038,11,)</f>
        <v>272</v>
      </c>
      <c r="M4" s="101">
        <f>VLOOKUP(A4,'BSE ALL CAP'!$B$4:$Y$1038,12,)</f>
        <v>256</v>
      </c>
      <c r="N4" s="101">
        <f>VLOOKUP(A4,'BSE ALL CAP'!$B$4:$Y$1038,13,)</f>
        <v>46</v>
      </c>
      <c r="O4" s="101">
        <f>VLOOKUP(A4,'BSE ALL CAP'!$B$4:$Y$1038,14,)</f>
        <v>29</v>
      </c>
      <c r="P4" s="95">
        <f>VLOOKUP(A4,'BSE ALL CAP'!$B$4:$Y$1038,15,)</f>
        <v>0.13074204946996468</v>
      </c>
      <c r="Q4" s="95">
        <f>VLOOKUP(A4,'BSE ALL CAP'!$B$4:$Y$1038,16,)</f>
        <v>0.12010443864229765</v>
      </c>
      <c r="R4" s="95">
        <f>VLOOKUP(A4,'BSE ALL CAP'!$B$4:$Y$1038,17,)</f>
        <v>1.0637610827667024E-2</v>
      </c>
      <c r="S4" s="95">
        <f>VLOOKUP(A4,'BSE ALL CAP'!$B$4:$Y$1038,18,)</f>
        <v>0.16911764705882354</v>
      </c>
      <c r="T4" s="95">
        <f>VLOOKUP(A4,'BSE ALL CAP'!$B$4:$Y$1038,19,)</f>
        <v>0.11328125</v>
      </c>
      <c r="U4" s="95">
        <f>VLOOKUP(A4,'BSE ALL CAP'!$B$4:$Y$1038,20,)</f>
        <v>5.5836397058823539E-2</v>
      </c>
      <c r="V4" s="95">
        <f>VLOOKUP(A4,'BSE ALL CAP'!$B$4:$Y$1038,21,)</f>
        <v>0.10835509138381205</v>
      </c>
      <c r="W4" s="95">
        <f>VLOOKUP(A4,'BSE ALL CAP'!$B$4:$Y$1038,22,)</f>
        <v>0.20652173913043481</v>
      </c>
      <c r="X4" s="95">
        <f>VLOOKUP(A4,'BSE ALL CAP'!$B$4:$Y$1038,23,)</f>
        <v>6.25E-2</v>
      </c>
      <c r="Y4" s="95">
        <f>VLOOKUP(A4,'BSE ALL CAP'!$B$4:$Y$1038,24,)</f>
        <v>0.5862068965517242</v>
      </c>
    </row>
    <row r="5" spans="1:25" ht="15.75" customHeight="1">
      <c r="A5" s="99">
        <v>526797</v>
      </c>
      <c r="B5" s="98" t="s">
        <v>2263</v>
      </c>
      <c r="C5" s="6" t="str">
        <f>VLOOKUP(A5,'BSE ALL CAP'!$B$4:$Y$1038,2,)</f>
        <v>Consumer Discretionary</v>
      </c>
      <c r="D5" s="6" t="str">
        <f>VLOOKUP(A5,'BSE ALL CAP'!$B$4:$Y$1038,3,)</f>
        <v>Plywood Boards/ Laminates</v>
      </c>
      <c r="E5" s="11">
        <f ca="1">IFERROR(__xludf.DUMMYFUNCTION("GOOGLEFINANCE(""BOM:""&amp;A5,""PRICE"")"),191.4)</f>
        <v>191.4</v>
      </c>
      <c r="F5" s="20">
        <f ca="1">IFERROR(__xludf.DUMMYFUNCTION("GOOGLEFINANCE(""BOM:""&amp;A5,""MARKETCAP"")/10000000"),2392.6226815)</f>
        <v>2392.6226815</v>
      </c>
      <c r="G5" s="95">
        <f t="shared" ca="1" si="0"/>
        <v>7.751474345882986E-2</v>
      </c>
      <c r="H5" s="101">
        <f>VLOOKUP(A5,'BSE ALL CAP'!$B$4:$Y$1038,7,)</f>
        <v>1962</v>
      </c>
      <c r="I5" s="101">
        <f>VLOOKUP(A5,'BSE ALL CAP'!$B$4:$Y$1038,8,)</f>
        <v>1838</v>
      </c>
      <c r="J5" s="101">
        <f>VLOOKUP(A5,'BSE ALL CAP'!$B$4:$Y$1038,9,)</f>
        <v>58</v>
      </c>
      <c r="K5" s="101">
        <f>VLOOKUP(A5,'BSE ALL CAP'!$B$4:$Y$1038,10,)</f>
        <v>75</v>
      </c>
      <c r="L5" s="101">
        <f>VLOOKUP(A5,'BSE ALL CAP'!$B$4:$Y$1038,11,)</f>
        <v>673</v>
      </c>
      <c r="M5" s="101">
        <f>VLOOKUP(A5,'BSE ALL CAP'!$B$4:$Y$1038,12,)</f>
        <v>614</v>
      </c>
      <c r="N5" s="101">
        <f>VLOOKUP(A5,'BSE ALL CAP'!$B$4:$Y$1038,13,)</f>
        <v>14</v>
      </c>
      <c r="O5" s="101">
        <f>VLOOKUP(A5,'BSE ALL CAP'!$B$4:$Y$1038,14,)</f>
        <v>24</v>
      </c>
      <c r="P5" s="95">
        <f>VLOOKUP(A5,'BSE ALL CAP'!$B$4:$Y$1038,15,)</f>
        <v>2.9561671763506627E-2</v>
      </c>
      <c r="Q5" s="95">
        <f>VLOOKUP(A5,'BSE ALL CAP'!$B$4:$Y$1038,16,)</f>
        <v>4.0805223068552776E-2</v>
      </c>
      <c r="R5" s="95">
        <f>VLOOKUP(A5,'BSE ALL CAP'!$B$4:$Y$1038,17,)</f>
        <v>-1.1243551305046149E-2</v>
      </c>
      <c r="S5" s="95">
        <f>VLOOKUP(A5,'BSE ALL CAP'!$B$4:$Y$1038,18,)</f>
        <v>2.0802377414561663E-2</v>
      </c>
      <c r="T5" s="95">
        <f>VLOOKUP(A5,'BSE ALL CAP'!$B$4:$Y$1038,19,)</f>
        <v>3.9087947882736153E-2</v>
      </c>
      <c r="U5" s="95">
        <f>VLOOKUP(A5,'BSE ALL CAP'!$B$4:$Y$1038,20,)</f>
        <v>-1.828557046817449E-2</v>
      </c>
      <c r="V5" s="95">
        <f>VLOOKUP(A5,'BSE ALL CAP'!$B$4:$Y$1038,21,)</f>
        <v>6.7464635473340584E-2</v>
      </c>
      <c r="W5" s="95">
        <f>VLOOKUP(A5,'BSE ALL CAP'!$B$4:$Y$1038,22,)</f>
        <v>-0.22666666666666668</v>
      </c>
      <c r="X5" s="95">
        <f>VLOOKUP(A5,'BSE ALL CAP'!$B$4:$Y$1038,23,)</f>
        <v>9.6091205211726427E-2</v>
      </c>
      <c r="Y5" s="95">
        <f>VLOOKUP(A5,'BSE ALL CAP'!$B$4:$Y$1038,24,)</f>
        <v>-0.41666666666666663</v>
      </c>
    </row>
    <row r="6" spans="1:25" ht="15.75" customHeight="1">
      <c r="A6" s="99">
        <v>542857</v>
      </c>
      <c r="B6" s="98" t="s">
        <v>2264</v>
      </c>
      <c r="C6" s="6" t="str">
        <f>VLOOKUP(A6,'BSE ALL CAP'!$B$4:$Y$1038,2,)</f>
        <v>Consumer Discretionary</v>
      </c>
      <c r="D6" s="6" t="str">
        <f>VLOOKUP(A6,'BSE ALL CAP'!$B$4:$Y$1038,3,)</f>
        <v>Plywood Boards/ Laminates</v>
      </c>
      <c r="E6" s="11">
        <f ca="1">IFERROR(__xludf.DUMMYFUNCTION("GOOGLEFINANCE(""BOM:""&amp;A6,""PRICE"")"),183.8)</f>
        <v>183.8</v>
      </c>
      <c r="F6" s="20">
        <f ca="1">IFERROR(__xludf.DUMMYFUNCTION("GOOGLEFINANCE(""BOM:""&amp;A6,""MARKETCAP"")/10000000"),2240.4007335)</f>
        <v>2240.4007335000001</v>
      </c>
      <c r="G6" s="95">
        <f t="shared" ca="1" si="0"/>
        <v>7.2583148795259275E-2</v>
      </c>
      <c r="H6" s="101">
        <f>VLOOKUP(A6,'BSE ALL CAP'!$B$4:$Y$1038,7,)</f>
        <v>1140</v>
      </c>
      <c r="I6" s="101">
        <f>VLOOKUP(A6,'BSE ALL CAP'!$B$4:$Y$1038,8,)</f>
        <v>1061</v>
      </c>
      <c r="J6" s="101">
        <f>VLOOKUP(A6,'BSE ALL CAP'!$B$4:$Y$1038,9,)</f>
        <v>-30</v>
      </c>
      <c r="K6" s="101">
        <f>VLOOKUP(A6,'BSE ALL CAP'!$B$4:$Y$1038,10,)</f>
        <v>42</v>
      </c>
      <c r="L6" s="101">
        <f>VLOOKUP(A6,'BSE ALL CAP'!$B$4:$Y$1038,11,)</f>
        <v>416</v>
      </c>
      <c r="M6" s="101">
        <f>VLOOKUP(A6,'BSE ALL CAP'!$B$4:$Y$1038,12,)</f>
        <v>359</v>
      </c>
      <c r="N6" s="101">
        <f>VLOOKUP(A6,'BSE ALL CAP'!$B$4:$Y$1038,13,)</f>
        <v>10</v>
      </c>
      <c r="O6" s="101">
        <f>VLOOKUP(A6,'BSE ALL CAP'!$B$4:$Y$1038,14,)</f>
        <v>8</v>
      </c>
      <c r="P6" s="95">
        <f>VLOOKUP(A6,'BSE ALL CAP'!$B$4:$Y$1038,15,)</f>
        <v>-2.6315789473684209E-2</v>
      </c>
      <c r="Q6" s="95">
        <f>VLOOKUP(A6,'BSE ALL CAP'!$B$4:$Y$1038,16,)</f>
        <v>3.9585296889726673E-2</v>
      </c>
      <c r="R6" s="95">
        <f>VLOOKUP(A6,'BSE ALL CAP'!$B$4:$Y$1038,17,)</f>
        <v>-6.5901086363410882E-2</v>
      </c>
      <c r="S6" s="95">
        <f>VLOOKUP(A6,'BSE ALL CAP'!$B$4:$Y$1038,18,)</f>
        <v>2.403846153846154E-2</v>
      </c>
      <c r="T6" s="95">
        <f>VLOOKUP(A6,'BSE ALL CAP'!$B$4:$Y$1038,19,)</f>
        <v>2.2284122562674095E-2</v>
      </c>
      <c r="U6" s="95">
        <f>VLOOKUP(A6,'BSE ALL CAP'!$B$4:$Y$1038,20,)</f>
        <v>1.754338975787445E-3</v>
      </c>
      <c r="V6" s="95">
        <f>VLOOKUP(A6,'BSE ALL CAP'!$B$4:$Y$1038,21,)</f>
        <v>7.4458058435438179E-2</v>
      </c>
      <c r="W6" s="95">
        <f>VLOOKUP(A6,'BSE ALL CAP'!$B$4:$Y$1038,22,)</f>
        <v>-1.7142857142857144</v>
      </c>
      <c r="X6" s="95">
        <f>VLOOKUP(A6,'BSE ALL CAP'!$B$4:$Y$1038,23,)</f>
        <v>0.15877437325905297</v>
      </c>
      <c r="Y6" s="95">
        <f>VLOOKUP(A6,'BSE ALL CAP'!$B$4:$Y$1038,24,)</f>
        <v>0.25</v>
      </c>
    </row>
    <row r="7" spans="1:25" ht="15.75" customHeight="1">
      <c r="A7" s="99">
        <v>533470</v>
      </c>
      <c r="B7" s="98" t="s">
        <v>2265</v>
      </c>
      <c r="C7" s="6"/>
      <c r="D7" s="6"/>
      <c r="E7" s="11">
        <f ca="1">IFERROR(__xludf.DUMMYFUNCTION("GOOGLEFINANCE(""BOM:""&amp;A7,""PRICE"")"),15.35)</f>
        <v>15.35</v>
      </c>
      <c r="F7" s="20">
        <f ca="1">IFERROR(__xludf.DUMMYFUNCTION("GOOGLEFINANCE(""BOM:""&amp;A7,""MARKETCAP"")/10000000"),446.2869539)</f>
        <v>446.28695390000001</v>
      </c>
      <c r="G7" s="95">
        <f t="shared" ca="1" si="0"/>
        <v>1.4458534982579587E-2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532994</v>
      </c>
      <c r="B8" s="98" t="s">
        <v>2266</v>
      </c>
      <c r="C8" s="6"/>
      <c r="D8" s="6"/>
      <c r="E8" s="11">
        <f ca="1">IFERROR(__xludf.DUMMYFUNCTION("GOOGLEFINANCE(""BOM:""&amp;A8,""PRICE"")"),70.04)</f>
        <v>70.040000000000006</v>
      </c>
      <c r="F8" s="20">
        <f ca="1">IFERROR(__xludf.DUMMYFUNCTION("GOOGLEFINANCE(""BOM:""&amp;A8,""MARKETCAP"")/10000000"),139.2337777)</f>
        <v>139.23377769999999</v>
      </c>
      <c r="G8" s="95">
        <f t="shared" ca="1" si="0"/>
        <v>4.5108117726498469E-3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516003</v>
      </c>
      <c r="B9" s="98" t="s">
        <v>2267</v>
      </c>
      <c r="C9" s="6"/>
      <c r="D9" s="6"/>
      <c r="E9" s="11">
        <f ca="1">IFERROR(__xludf.DUMMYFUNCTION("GOOGLEFINANCE(""BOM:""&amp;A9,""PRICE"")"),135)</f>
        <v>135</v>
      </c>
      <c r="F9" s="20">
        <f ca="1">IFERROR(__xludf.DUMMYFUNCTION("GOOGLEFINANCE(""BOM:""&amp;A9,""MARKETCAP"")/10000000"),146.451915)</f>
        <v>146.45191500000001</v>
      </c>
      <c r="G9" s="95">
        <f t="shared" ca="1" si="0"/>
        <v>4.7446606220260213E-3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523732</v>
      </c>
      <c r="B10" s="98" t="s">
        <v>2268</v>
      </c>
      <c r="C10" s="6"/>
      <c r="D10" s="6"/>
      <c r="E10" s="11">
        <f ca="1">IFERROR(__xludf.DUMMYFUNCTION("GOOGLEFINANCE(""BOM:""&amp;A10,""PRICE"")"),68.43)</f>
        <v>68.430000000000007</v>
      </c>
      <c r="F10" s="20">
        <f ca="1">IFERROR(__xludf.DUMMYFUNCTION("GOOGLEFINANCE(""BOM:""&amp;A10,""MARKETCAP"")/10000000"),157.1516854)</f>
        <v>157.15168539999999</v>
      </c>
      <c r="G10" s="95">
        <f t="shared" ca="1" si="0"/>
        <v>5.0913053161674359E-3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543231</v>
      </c>
      <c r="B11" s="98" t="s">
        <v>2269</v>
      </c>
      <c r="C11" s="6"/>
      <c r="D11" s="6"/>
      <c r="E11" s="11">
        <f ca="1">IFERROR(__xludf.DUMMYFUNCTION("GOOGLEFINANCE(""BOM:""&amp;A11,""PRICE"")"),58)</f>
        <v>58</v>
      </c>
      <c r="F11" s="20">
        <f ca="1">IFERROR(__xludf.DUMMYFUNCTION("GOOGLEFINANCE(""BOM:""&amp;A11,""MARKETCAP"")/10000000"),34.51075)</f>
        <v>34.510750000000002</v>
      </c>
      <c r="G11" s="95">
        <f t="shared" ca="1" si="0"/>
        <v>1.118058419117186E-3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531286</v>
      </c>
      <c r="B12" s="98" t="s">
        <v>2270</v>
      </c>
      <c r="C12" s="6"/>
      <c r="D12" s="6"/>
      <c r="E12" s="11">
        <f ca="1">IFERROR(__xludf.DUMMYFUNCTION("GOOGLEFINANCE(""BOM:""&amp;A12,""PRICE"")"),23.8)</f>
        <v>23.8</v>
      </c>
      <c r="F12" s="20">
        <f ca="1">IFERROR(__xludf.DUMMYFUNCTION("GOOGLEFINANCE(""BOM:""&amp;A12,""MARKETCAP"")/10000000"),11.22289)</f>
        <v>11.22289</v>
      </c>
      <c r="G12" s="95">
        <f t="shared" ca="1" si="0"/>
        <v>3.6359240675227502E-4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>
      <c r="A13" s="101"/>
      <c r="B13" s="101"/>
      <c r="C13" s="101"/>
      <c r="D13" s="101"/>
      <c r="E13" s="101"/>
      <c r="F13" s="101"/>
      <c r="G13" s="95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>
      <c r="A14" s="101"/>
      <c r="B14" s="101"/>
      <c r="C14" s="101"/>
      <c r="D14" s="101"/>
      <c r="E14" s="101"/>
      <c r="F14" s="112">
        <f ca="1">SUM(F1:F12)</f>
        <v>30866.678708299998</v>
      </c>
      <c r="G14" s="95">
        <f ca="1">F14/$F$14</f>
        <v>1</v>
      </c>
      <c r="H14" s="101">
        <f t="shared" ref="H14:O14" si="1">SUM(H2:H12)</f>
        <v>10043</v>
      </c>
      <c r="I14" s="101">
        <f t="shared" si="1"/>
        <v>8882</v>
      </c>
      <c r="J14" s="101">
        <f t="shared" si="1"/>
        <v>342</v>
      </c>
      <c r="K14" s="101">
        <f t="shared" si="1"/>
        <v>408</v>
      </c>
      <c r="L14" s="101">
        <f t="shared" si="1"/>
        <v>3417</v>
      </c>
      <c r="M14" s="101">
        <f t="shared" si="1"/>
        <v>2971</v>
      </c>
      <c r="N14" s="101">
        <f t="shared" si="1"/>
        <v>134.41</v>
      </c>
      <c r="O14" s="101">
        <f t="shared" si="1"/>
        <v>132</v>
      </c>
      <c r="P14" s="95">
        <f t="shared" ref="P14:Q14" si="2">J14/H14</f>
        <v>3.4053569650502838E-2</v>
      </c>
      <c r="Q14" s="95">
        <f t="shared" si="2"/>
        <v>4.5935600090069806E-2</v>
      </c>
      <c r="R14" s="95">
        <f>P14-Q14</f>
        <v>-1.1882030439566968E-2</v>
      </c>
      <c r="S14" s="95">
        <f t="shared" ref="S14:T14" si="3">N14/L14</f>
        <v>3.9335674568334797E-2</v>
      </c>
      <c r="T14" s="95">
        <f t="shared" si="3"/>
        <v>4.4429485021878157E-2</v>
      </c>
      <c r="U14" s="95">
        <f>S14-T14</f>
        <v>-5.0938104535433598E-3</v>
      </c>
      <c r="V14" s="95">
        <f>(H14/I14)-1</f>
        <v>0.13071380319747794</v>
      </c>
      <c r="W14" s="95">
        <f>(J14/K14)-1</f>
        <v>-0.16176470588235292</v>
      </c>
      <c r="X14" s="95">
        <f>(L14/M14)-1</f>
        <v>0.15011780545270947</v>
      </c>
      <c r="Y14" s="95">
        <f>(N14/O14)-1</f>
        <v>1.8257575757575806E-2</v>
      </c>
    </row>
    <row r="15" spans="1:25">
      <c r="G15" s="50"/>
    </row>
    <row r="16" spans="1:25">
      <c r="G16" s="50"/>
    </row>
    <row r="17" spans="7:7">
      <c r="G17" s="50"/>
    </row>
    <row r="18" spans="7:7">
      <c r="G18" s="50"/>
    </row>
    <row r="19" spans="7:7">
      <c r="G19" s="50"/>
    </row>
    <row r="20" spans="7:7">
      <c r="G20" s="50"/>
    </row>
    <row r="21" spans="7:7">
      <c r="G21" s="50"/>
    </row>
    <row r="22" spans="7:7">
      <c r="G22" s="50"/>
    </row>
    <row r="23" spans="7:7">
      <c r="G23" s="50"/>
    </row>
    <row r="24" spans="7:7">
      <c r="G24" s="50"/>
    </row>
    <row r="25" spans="7:7" ht="13.2">
      <c r="G25" s="50"/>
    </row>
    <row r="26" spans="7:7" ht="13.2">
      <c r="G26" s="50"/>
    </row>
    <row r="27" spans="7:7" ht="13.2">
      <c r="G27" s="50"/>
    </row>
    <row r="28" spans="7:7" ht="13.2">
      <c r="G28" s="50"/>
    </row>
    <row r="29" spans="7:7" ht="13.2">
      <c r="G29" s="50"/>
    </row>
    <row r="30" spans="7:7" ht="13.2">
      <c r="G30" s="50"/>
    </row>
    <row r="31" spans="7:7" ht="13.2">
      <c r="G31" s="50"/>
    </row>
    <row r="32" spans="7:7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12" xr:uid="{00000000-0009-0000-0000-00003E000000}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523025</v>
      </c>
      <c r="B2" s="98" t="s">
        <v>2271</v>
      </c>
      <c r="C2" s="6" t="str">
        <f>VLOOKUP(A2,'BSE ALL CAP'!$B$4:$Y$1038,2,)</f>
        <v>Consumer Discretionary</v>
      </c>
      <c r="D2" s="6" t="str">
        <f>VLOOKUP(A2,'BSE ALL CAP'!$B$4:$Y$1038,3,)</f>
        <v>Plastic Products - Consumer</v>
      </c>
      <c r="E2" s="11">
        <f ca="1">IFERROR(__xludf.DUMMYFUNCTION("GOOGLEFINANCE(""BOM:""&amp;A2,""PRICE"")"),1511.4)</f>
        <v>1511.4</v>
      </c>
      <c r="F2" s="20">
        <f ca="1">IFERROR(__xludf.DUMMYFUNCTION("GOOGLEFINANCE(""BOM:""&amp;A2,""MARKETCAP"")/10000000"),7386.8130791)</f>
        <v>7386.8130791000003</v>
      </c>
      <c r="G2" s="95">
        <f t="shared" ref="G2:G12" ca="1" si="0">F2/$F$14</f>
        <v>0.49270405061634609</v>
      </c>
      <c r="H2" s="101">
        <f>VLOOKUP(A2,'BSE ALL CAP'!$B$4:$Y$1038,7,)</f>
        <v>1574</v>
      </c>
      <c r="I2" s="101">
        <f>VLOOKUP(A2,'BSE ALL CAP'!$B$4:$Y$1038,8,)</f>
        <v>1350</v>
      </c>
      <c r="J2" s="101">
        <f>VLOOKUP(A2,'BSE ALL CAP'!$B$4:$Y$1038,9,)</f>
        <v>130</v>
      </c>
      <c r="K2" s="101">
        <f>VLOOKUP(A2,'BSE ALL CAP'!$B$4:$Y$1038,10,)</f>
        <v>105</v>
      </c>
      <c r="L2" s="101">
        <f>VLOOKUP(A2,'BSE ALL CAP'!$B$4:$Y$1038,11,)</f>
        <v>512</v>
      </c>
      <c r="M2" s="101">
        <f>VLOOKUP(A2,'BSE ALL CAP'!$B$4:$Y$1038,12,)</f>
        <v>443</v>
      </c>
      <c r="N2" s="101">
        <f>VLOOKUP(A2,'BSE ALL CAP'!$B$4:$Y$1038,13,)</f>
        <v>33</v>
      </c>
      <c r="O2" s="101">
        <f>VLOOKUP(A2,'BSE ALL CAP'!$B$4:$Y$1038,14,)</f>
        <v>31</v>
      </c>
      <c r="P2" s="95">
        <f>VLOOKUP(A2,'BSE ALL CAP'!$B$4:$Y$1038,15,)</f>
        <v>8.2592121982210928E-2</v>
      </c>
      <c r="Q2" s="95">
        <f>VLOOKUP(A2,'BSE ALL CAP'!$B$4:$Y$1038,16,)</f>
        <v>7.7777777777777779E-2</v>
      </c>
      <c r="R2" s="95">
        <f>VLOOKUP(A2,'BSE ALL CAP'!$B$4:$Y$1038,17,)</f>
        <v>4.8143442044331491E-3</v>
      </c>
      <c r="S2" s="95">
        <f>VLOOKUP(A2,'BSE ALL CAP'!$B$4:$Y$1038,18,)</f>
        <v>6.4453125E-2</v>
      </c>
      <c r="T2" s="95">
        <f>VLOOKUP(A2,'BSE ALL CAP'!$B$4:$Y$1038,19,)</f>
        <v>6.9977426636568849E-2</v>
      </c>
      <c r="U2" s="95">
        <f>VLOOKUP(A2,'BSE ALL CAP'!$B$4:$Y$1038,20,)</f>
        <v>-5.5243016365688485E-3</v>
      </c>
      <c r="V2" s="95">
        <f>VLOOKUP(A2,'BSE ALL CAP'!$B$4:$Y$1038,21,)</f>
        <v>0.16592592592592603</v>
      </c>
      <c r="W2" s="95">
        <f>VLOOKUP(A2,'BSE ALL CAP'!$B$4:$Y$1038,22,)</f>
        <v>0.23809523809523814</v>
      </c>
      <c r="X2" s="95">
        <f>VLOOKUP(A2,'BSE ALL CAP'!$B$4:$Y$1038,23,)</f>
        <v>0.15575620767494347</v>
      </c>
      <c r="Y2" s="95">
        <f>VLOOKUP(A2,'BSE ALL CAP'!$B$4:$Y$1038,24,)</f>
        <v>6.4516129032258007E-2</v>
      </c>
    </row>
    <row r="3" spans="1:25" ht="15.75" customHeight="1">
      <c r="A3" s="99">
        <v>507880</v>
      </c>
      <c r="B3" s="98" t="s">
        <v>2272</v>
      </c>
      <c r="C3" s="6" t="str">
        <f>VLOOKUP(A3,'BSE ALL CAP'!$B$4:$Y$1038,2,)</f>
        <v>Consumer Discretionary</v>
      </c>
      <c r="D3" s="6" t="str">
        <f>VLOOKUP(A3,'BSE ALL CAP'!$B$4:$Y$1038,3,)</f>
        <v>Plastic Products - Consumer</v>
      </c>
      <c r="E3" s="11">
        <f ca="1">IFERROR(__xludf.DUMMYFUNCTION("GOOGLEFINANCE(""BOM:""&amp;A3,""PRICE"")"),317)</f>
        <v>317</v>
      </c>
      <c r="F3" s="20">
        <f ca="1">IFERROR(__xludf.DUMMYFUNCTION("GOOGLEFINANCE(""BOM:""&amp;A3,""MARKETCAP"")/10000000"),4510.14465)</f>
        <v>4510.1446500000002</v>
      </c>
      <c r="G3" s="95">
        <f t="shared" ca="1" si="0"/>
        <v>0.30082885733334253</v>
      </c>
      <c r="H3" s="101">
        <f>VLOOKUP(A3,'BSE ALL CAP'!$B$4:$Y$1038,7,)</f>
        <v>1422</v>
      </c>
      <c r="I3" s="101">
        <f>VLOOKUP(A3,'BSE ALL CAP'!$B$4:$Y$1038,8,)</f>
        <v>1684</v>
      </c>
      <c r="J3" s="101">
        <f>VLOOKUP(A3,'BSE ALL CAP'!$B$4:$Y$1038,9,)</f>
        <v>-209</v>
      </c>
      <c r="K3" s="101">
        <f>VLOOKUP(A3,'BSE ALL CAP'!$B$4:$Y$1038,10,)</f>
        <v>-41</v>
      </c>
      <c r="L3" s="101">
        <f>VLOOKUP(A3,'BSE ALL CAP'!$B$4:$Y$1038,11,)</f>
        <v>454</v>
      </c>
      <c r="M3" s="101">
        <f>VLOOKUP(A3,'BSE ALL CAP'!$B$4:$Y$1038,12,)</f>
        <v>501</v>
      </c>
      <c r="N3" s="101">
        <f>VLOOKUP(A3,'BSE ALL CAP'!$B$4:$Y$1038,13,)</f>
        <v>-53</v>
      </c>
      <c r="O3" s="101">
        <f>VLOOKUP(A3,'BSE ALL CAP'!$B$4:$Y$1038,14,)</f>
        <v>-12</v>
      </c>
      <c r="P3" s="95">
        <f>VLOOKUP(A3,'BSE ALL CAP'!$B$4:$Y$1038,15,)</f>
        <v>-0.1469760900140647</v>
      </c>
      <c r="Q3" s="95">
        <f>VLOOKUP(A3,'BSE ALL CAP'!$B$4:$Y$1038,16,)</f>
        <v>-2.4346793349168647E-2</v>
      </c>
      <c r="R3" s="95">
        <f>VLOOKUP(A3,'BSE ALL CAP'!$B$4:$Y$1038,17,)</f>
        <v>-0.12262929666489605</v>
      </c>
      <c r="S3" s="95">
        <f>VLOOKUP(A3,'BSE ALL CAP'!$B$4:$Y$1038,18,)</f>
        <v>-0.11674008810572688</v>
      </c>
      <c r="T3" s="95">
        <f>VLOOKUP(A3,'BSE ALL CAP'!$B$4:$Y$1038,19,)</f>
        <v>-2.3952095808383235E-2</v>
      </c>
      <c r="U3" s="95">
        <f>VLOOKUP(A3,'BSE ALL CAP'!$B$4:$Y$1038,20,)</f>
        <v>-9.2787992297343636E-2</v>
      </c>
      <c r="V3" s="95">
        <f>VLOOKUP(A3,'BSE ALL CAP'!$B$4:$Y$1038,21,)</f>
        <v>-0.1555819477434679</v>
      </c>
      <c r="W3" s="95">
        <f>VLOOKUP(A3,'BSE ALL CAP'!$B$4:$Y$1038,22,)</f>
        <v>4.0975609756097562</v>
      </c>
      <c r="X3" s="95">
        <f>VLOOKUP(A3,'BSE ALL CAP'!$B$4:$Y$1038,23,)</f>
        <v>-9.3812375249501034E-2</v>
      </c>
      <c r="Y3" s="95">
        <f>VLOOKUP(A3,'BSE ALL CAP'!$B$4:$Y$1038,24,)</f>
        <v>3.416666666666667</v>
      </c>
    </row>
    <row r="4" spans="1:25" ht="15.75" customHeight="1">
      <c r="A4" s="99">
        <v>523385</v>
      </c>
      <c r="B4" s="98" t="s">
        <v>2273</v>
      </c>
      <c r="C4" s="6"/>
      <c r="D4" s="6"/>
      <c r="E4" s="11">
        <f ca="1">IFERROR(__xludf.DUMMYFUNCTION("GOOGLEFINANCE(""BOM:""&amp;A4,""PRICE"")"),1184.1)</f>
        <v>1184.0999999999999</v>
      </c>
      <c r="F4" s="20">
        <f ca="1">IFERROR(__xludf.DUMMYFUNCTION("GOOGLEFINANCE(""BOM:""&amp;A4,""MARKETCAP"")/10000000"),1760.85736)</f>
        <v>1760.85736</v>
      </c>
      <c r="G4" s="95">
        <f t="shared" ca="1" si="0"/>
        <v>0.11745004842268332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526586</v>
      </c>
      <c r="B5" s="98" t="s">
        <v>2274</v>
      </c>
      <c r="C5" s="6"/>
      <c r="D5" s="6"/>
      <c r="E5" s="11">
        <f ca="1">IFERROR(__xludf.DUMMYFUNCTION("GOOGLEFINANCE(""BOM:""&amp;A5,""PRICE"")"),355.9)</f>
        <v>355.9</v>
      </c>
      <c r="F5" s="20">
        <f ca="1">IFERROR(__xludf.DUMMYFUNCTION("GOOGLEFINANCE(""BOM:""&amp;A5,""MARKETCAP"")/10000000"),426.0350702)</f>
        <v>426.03507020000001</v>
      </c>
      <c r="G5" s="95">
        <f t="shared" ca="1" si="0"/>
        <v>2.8416747864660252E-2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544670</v>
      </c>
      <c r="B6" s="98" t="s">
        <v>2275</v>
      </c>
      <c r="C6" s="6"/>
      <c r="D6" s="6"/>
      <c r="E6" s="11">
        <f ca="1">IFERROR(__xludf.DUMMYFUNCTION("GOOGLEFINANCE(""BOM:""&amp;A6,""PRICE"")"),170)</f>
        <v>170</v>
      </c>
      <c r="F6" s="20">
        <f ca="1">IFERROR(__xludf.DUMMYFUNCTION("GOOGLEFINANCE(""BOM:""&amp;A6,""MARKETCAP"")/10000000"),363.8748)</f>
        <v>363.87479999999999</v>
      </c>
      <c r="G6" s="95">
        <f t="shared" ca="1" si="0"/>
        <v>2.4270627394710843E-2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500327</v>
      </c>
      <c r="B7" s="98" t="s">
        <v>2276</v>
      </c>
      <c r="C7" s="6"/>
      <c r="D7" s="6"/>
      <c r="E7" s="11">
        <f ca="1">IFERROR(__xludf.DUMMYFUNCTION("GOOGLEFINANCE(""BOM:""&amp;A7,""PRICE"")"),7.01)</f>
        <v>7.01</v>
      </c>
      <c r="F7" s="20">
        <f ca="1">IFERROR(__xludf.DUMMYFUNCTION("GOOGLEFINANCE(""BOM:""&amp;A7,""MARKETCAP"")/10000000"),164.5)</f>
        <v>164.5</v>
      </c>
      <c r="G7" s="95">
        <f t="shared" ca="1" si="0"/>
        <v>1.0972230576093573E-2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543512</v>
      </c>
      <c r="B8" s="98" t="s">
        <v>2277</v>
      </c>
      <c r="C8" s="6"/>
      <c r="D8" s="6"/>
      <c r="E8" s="11">
        <f ca="1">IFERROR(__xludf.DUMMYFUNCTION("GOOGLEFINANCE(""BOM:""&amp;A8,""PRICE"")"),113.3)</f>
        <v>113.3</v>
      </c>
      <c r="F8" s="20">
        <f ca="1">IFERROR(__xludf.DUMMYFUNCTION("GOOGLEFINANCE(""BOM:""&amp;A8,""MARKETCAP"")/10000000"),148.6689783)</f>
        <v>148.66897829999999</v>
      </c>
      <c r="G8" s="95">
        <f t="shared" ca="1" si="0"/>
        <v>9.9162936742848134E-3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530589</v>
      </c>
      <c r="B9" s="98" t="s">
        <v>2278</v>
      </c>
      <c r="C9" s="6"/>
      <c r="D9" s="6"/>
      <c r="E9" s="11">
        <f ca="1">IFERROR(__xludf.DUMMYFUNCTION("GOOGLEFINANCE(""BOM:""&amp;A9,""PRICE"")"),114.5)</f>
        <v>114.5</v>
      </c>
      <c r="F9" s="20">
        <f ca="1">IFERROR(__xludf.DUMMYFUNCTION("GOOGLEFINANCE(""BOM:""&amp;A9,""MARKETCAP"")/10000000"),125.955267)</f>
        <v>125.95526700000001</v>
      </c>
      <c r="G9" s="95">
        <f t="shared" ca="1" si="0"/>
        <v>8.4012780048475979E-3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500418</v>
      </c>
      <c r="B10" s="98" t="s">
        <v>2279</v>
      </c>
      <c r="C10" s="6"/>
      <c r="D10" s="6"/>
      <c r="E10" s="11">
        <f ca="1">IFERROR(__xludf.DUMMYFUNCTION("GOOGLEFINANCE(""BOM:""&amp;A10,""PRICE"")"),65.57)</f>
        <v>65.569999999999993</v>
      </c>
      <c r="F10" s="20">
        <f ca="1">IFERROR(__xludf.DUMMYFUNCTION("GOOGLEFINANCE(""BOM:""&amp;A10,""MARKETCAP"")/10000000"),64.60952)</f>
        <v>64.609520000000003</v>
      </c>
      <c r="G10" s="95">
        <f t="shared" ca="1" si="0"/>
        <v>4.3094866313114237E-3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523260</v>
      </c>
      <c r="B11" s="98" t="s">
        <v>2280</v>
      </c>
      <c r="C11" s="6"/>
      <c r="D11" s="6"/>
      <c r="E11" s="11">
        <f ca="1">IFERROR(__xludf.DUMMYFUNCTION("GOOGLEFINANCE(""BOM:""&amp;A11,""PRICE"")"),15.3)</f>
        <v>15.3</v>
      </c>
      <c r="F11" s="20">
        <f ca="1">IFERROR(__xludf.DUMMYFUNCTION("GOOGLEFINANCE(""BOM:""&amp;A11,""MARKETCAP"")/10000000"),25.7069236)</f>
        <v>25.7069236</v>
      </c>
      <c r="G11" s="95">
        <f t="shared" ca="1" si="0"/>
        <v>1.7146643959952673E-3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543656</v>
      </c>
      <c r="B12" s="98" t="s">
        <v>2281</v>
      </c>
      <c r="C12" s="6"/>
      <c r="D12" s="6"/>
      <c r="E12" s="11">
        <f ca="1">IFERROR(__xludf.DUMMYFUNCTION("GOOGLEFINANCE(""BOM:""&amp;A12,""PRICE"")"),14.1)</f>
        <v>14.1</v>
      </c>
      <c r="F12" s="20">
        <f ca="1">IFERROR(__xludf.DUMMYFUNCTION("GOOGLEFINANCE(""BOM:""&amp;A12,""MARKETCAP"")/10000000"),15.2280004)</f>
        <v>15.228000400000001</v>
      </c>
      <c r="G12" s="95">
        <f t="shared" ca="1" si="0"/>
        <v>1.0157150857242868E-3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>
      <c r="A13" s="101"/>
      <c r="B13" s="101"/>
      <c r="C13" s="101"/>
      <c r="D13" s="101"/>
      <c r="E13" s="101"/>
      <c r="F13" s="101"/>
      <c r="G13" s="95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>
      <c r="A14" s="101"/>
      <c r="B14" s="101"/>
      <c r="C14" s="101"/>
      <c r="D14" s="101"/>
      <c r="E14" s="101"/>
      <c r="F14" s="112">
        <f ca="1">SUM(F1:F12)</f>
        <v>14992.3936486</v>
      </c>
      <c r="G14" s="95">
        <f ca="1">F14/$F$14</f>
        <v>1</v>
      </c>
      <c r="H14" s="101">
        <f t="shared" ref="H14:O14" si="1">SUM(H2:H12)</f>
        <v>2996</v>
      </c>
      <c r="I14" s="101">
        <f t="shared" si="1"/>
        <v>3034</v>
      </c>
      <c r="J14" s="101">
        <f t="shared" si="1"/>
        <v>-79</v>
      </c>
      <c r="K14" s="101">
        <f t="shared" si="1"/>
        <v>64</v>
      </c>
      <c r="L14" s="101">
        <f t="shared" si="1"/>
        <v>966</v>
      </c>
      <c r="M14" s="101">
        <f t="shared" si="1"/>
        <v>944</v>
      </c>
      <c r="N14" s="101">
        <f t="shared" si="1"/>
        <v>-20</v>
      </c>
      <c r="O14" s="101">
        <f t="shared" si="1"/>
        <v>19</v>
      </c>
      <c r="P14" s="95">
        <f t="shared" ref="P14:Q14" si="2">J14/H14</f>
        <v>-2.636849132176235E-2</v>
      </c>
      <c r="Q14" s="95">
        <f t="shared" si="2"/>
        <v>2.1094264996704019E-2</v>
      </c>
      <c r="R14" s="95">
        <f>P14-Q14</f>
        <v>-4.7462756318466373E-2</v>
      </c>
      <c r="S14" s="95">
        <f t="shared" ref="S14:T14" si="3">N14/L14</f>
        <v>-2.0703933747412008E-2</v>
      </c>
      <c r="T14" s="95">
        <f t="shared" si="3"/>
        <v>2.0127118644067795E-2</v>
      </c>
      <c r="U14" s="95">
        <f>S14-T14</f>
        <v>-4.08310523914798E-2</v>
      </c>
      <c r="V14" s="95">
        <f>(H14/I14)-1</f>
        <v>-1.2524719841793042E-2</v>
      </c>
      <c r="W14" s="95">
        <f>(J14/K14)-1</f>
        <v>-2.234375</v>
      </c>
      <c r="X14" s="95">
        <f>(L14/M14)-1</f>
        <v>2.3305084745762761E-2</v>
      </c>
      <c r="Y14" s="95">
        <f>(N14/O14)-1</f>
        <v>-2.0526315789473681</v>
      </c>
    </row>
    <row r="15" spans="1:25">
      <c r="G15" s="50"/>
    </row>
    <row r="16" spans="1:25">
      <c r="G16" s="50"/>
    </row>
    <row r="17" spans="7:7">
      <c r="G17" s="50"/>
    </row>
    <row r="18" spans="7:7">
      <c r="G18" s="50"/>
    </row>
    <row r="19" spans="7:7">
      <c r="G19" s="50"/>
    </row>
    <row r="20" spans="7:7">
      <c r="G20" s="50"/>
    </row>
    <row r="21" spans="7:7">
      <c r="G21" s="50"/>
    </row>
    <row r="22" spans="7:7">
      <c r="G22" s="50"/>
    </row>
    <row r="23" spans="7:7">
      <c r="G23" s="50"/>
    </row>
    <row r="24" spans="7:7">
      <c r="G24" s="50"/>
    </row>
    <row r="25" spans="7:7" ht="13.2">
      <c r="G25" s="50"/>
    </row>
    <row r="26" spans="7:7" ht="13.2">
      <c r="G26" s="50"/>
    </row>
    <row r="27" spans="7:7" ht="13.2">
      <c r="G27" s="50"/>
    </row>
    <row r="28" spans="7:7" ht="13.2">
      <c r="G28" s="50"/>
    </row>
    <row r="29" spans="7:7" ht="13.2">
      <c r="G29" s="50"/>
    </row>
    <row r="30" spans="7:7" ht="13.2">
      <c r="G30" s="50"/>
    </row>
    <row r="31" spans="7:7" ht="13.2">
      <c r="G31" s="50"/>
    </row>
    <row r="32" spans="7:7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12" xr:uid="{00000000-0009-0000-0000-00003F000000}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outlinePr summaryBelow="0" summaryRight="0"/>
  </sheetPr>
  <dimension ref="A1:Y4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500245</v>
      </c>
      <c r="B2" s="98" t="s">
        <v>2282</v>
      </c>
      <c r="C2" s="6" t="str">
        <f>VLOOKUP(A2,'BSE ALL CAP'!$B$4:$Y$1038,2,)</f>
        <v>Commodities</v>
      </c>
      <c r="D2" s="6" t="str">
        <f>VLOOKUP(A2,'BSE ALL CAP'!$B$4:$Y$1038,3,)</f>
        <v>Pig Iron</v>
      </c>
      <c r="E2" s="11">
        <f ca="1">IFERROR(__xludf.DUMMYFUNCTION("GOOGLEFINANCE(""BOM:""&amp;A2,""PRICE"")"),376.45)</f>
        <v>376.45</v>
      </c>
      <c r="F2" s="20">
        <f ca="1">IFERROR(__xludf.DUMMYFUNCTION("GOOGLEFINANCE(""BOM:""&amp;A2,""MARKETCAP"")/10000000"),6208.4738333)</f>
        <v>6208.4738332999996</v>
      </c>
      <c r="G2" s="95">
        <f ca="1">F2/$F$4</f>
        <v>1</v>
      </c>
      <c r="H2" s="101">
        <f>VLOOKUP(A2,'BSE ALL CAP'!$B$4:$Y$1038,7,)</f>
        <v>5003</v>
      </c>
      <c r="I2" s="101">
        <f>VLOOKUP(A2,'BSE ALL CAP'!$B$4:$Y$1038,8,)</f>
        <v>4830</v>
      </c>
      <c r="J2" s="101">
        <f>VLOOKUP(A2,'BSE ALL CAP'!$B$4:$Y$1038,9,)</f>
        <v>246</v>
      </c>
      <c r="K2" s="101">
        <f>VLOOKUP(A2,'BSE ALL CAP'!$B$4:$Y$1038,10,)</f>
        <v>222</v>
      </c>
      <c r="L2" s="101">
        <f>VLOOKUP(A2,'BSE ALL CAP'!$B$4:$Y$1038,11,)</f>
        <v>1590</v>
      </c>
      <c r="M2" s="101">
        <f>VLOOKUP(A2,'BSE ALL CAP'!$B$4:$Y$1038,12,)</f>
        <v>1609</v>
      </c>
      <c r="N2" s="101">
        <f>VLOOKUP(A2,'BSE ALL CAP'!$B$4:$Y$1038,13,)</f>
        <v>57</v>
      </c>
      <c r="O2" s="101">
        <f>VLOOKUP(A2,'BSE ALL CAP'!$B$4:$Y$1038,14,)</f>
        <v>61</v>
      </c>
      <c r="P2" s="95">
        <f>VLOOKUP(A2,'BSE ALL CAP'!$B$4:$Y$1038,15,)</f>
        <v>4.9170497701379171E-2</v>
      </c>
      <c r="Q2" s="95">
        <f>VLOOKUP(A2,'BSE ALL CAP'!$B$4:$Y$1038,16,)</f>
        <v>4.5962732919254658E-2</v>
      </c>
      <c r="R2" s="95">
        <f>VLOOKUP(A2,'BSE ALL CAP'!$B$4:$Y$1038,17,)</f>
        <v>3.2077647821245128E-3</v>
      </c>
      <c r="S2" s="95">
        <f>VLOOKUP(A2,'BSE ALL CAP'!$B$4:$Y$1038,18,)</f>
        <v>3.5849056603773584E-2</v>
      </c>
      <c r="T2" s="95">
        <f>VLOOKUP(A2,'BSE ALL CAP'!$B$4:$Y$1038,19,)</f>
        <v>3.791174642635177E-2</v>
      </c>
      <c r="U2" s="95">
        <f>VLOOKUP(A2,'BSE ALL CAP'!$B$4:$Y$1038,20,)</f>
        <v>-2.0626898225781856E-3</v>
      </c>
      <c r="V2" s="95">
        <f>VLOOKUP(A2,'BSE ALL CAP'!$B$4:$Y$1038,21,)</f>
        <v>3.5817805383022705E-2</v>
      </c>
      <c r="W2" s="95">
        <f>VLOOKUP(A2,'BSE ALL CAP'!$B$4:$Y$1038,22,)</f>
        <v>0.10810810810810811</v>
      </c>
      <c r="X2" s="95">
        <f>VLOOKUP(A2,'BSE ALL CAP'!$B$4:$Y$1038,23,)</f>
        <v>-1.1808576755748867E-2</v>
      </c>
      <c r="Y2" s="95">
        <f>VLOOKUP(A2,'BSE ALL CAP'!$B$4:$Y$1038,24,)</f>
        <v>-6.557377049180324E-2</v>
      </c>
    </row>
    <row r="3" spans="1:25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>
      <c r="A4" s="101"/>
      <c r="B4" s="101"/>
      <c r="C4" s="101"/>
      <c r="D4" s="101"/>
      <c r="E4" s="101"/>
      <c r="F4" s="112">
        <f ca="1">SUM(F2)</f>
        <v>6208.4738332999996</v>
      </c>
      <c r="G4" s="95">
        <f ca="1">F4/$F$4</f>
        <v>1</v>
      </c>
      <c r="H4" s="101">
        <f t="shared" ref="H4:O4" si="0">SUM(H2)</f>
        <v>5003</v>
      </c>
      <c r="I4" s="101">
        <f t="shared" si="0"/>
        <v>4830</v>
      </c>
      <c r="J4" s="101">
        <f t="shared" si="0"/>
        <v>246</v>
      </c>
      <c r="K4" s="101">
        <f t="shared" si="0"/>
        <v>222</v>
      </c>
      <c r="L4" s="101">
        <f t="shared" si="0"/>
        <v>1590</v>
      </c>
      <c r="M4" s="101">
        <f t="shared" si="0"/>
        <v>1609</v>
      </c>
      <c r="N4" s="101">
        <f t="shared" si="0"/>
        <v>57</v>
      </c>
      <c r="O4" s="101">
        <f t="shared" si="0"/>
        <v>61</v>
      </c>
      <c r="P4" s="95">
        <f t="shared" ref="P4:Q4" si="1">J4/H4</f>
        <v>4.9170497701379171E-2</v>
      </c>
      <c r="Q4" s="95">
        <f t="shared" si="1"/>
        <v>4.5962732919254658E-2</v>
      </c>
      <c r="R4" s="95">
        <f>P4-Q4</f>
        <v>3.2077647821245128E-3</v>
      </c>
      <c r="S4" s="95">
        <f t="shared" ref="S4:T4" si="2">N4/L4</f>
        <v>3.5849056603773584E-2</v>
      </c>
      <c r="T4" s="95">
        <f t="shared" si="2"/>
        <v>3.791174642635177E-2</v>
      </c>
      <c r="U4" s="95">
        <f>S4-T4</f>
        <v>-2.0626898225781856E-3</v>
      </c>
      <c r="V4" s="95">
        <f>(H4/I4)-1</f>
        <v>3.5817805383022705E-2</v>
      </c>
      <c r="W4" s="95">
        <f>(J4/K4)-1</f>
        <v>0.10810810810810811</v>
      </c>
      <c r="X4" s="95">
        <f>(L4/M4)-1</f>
        <v>-1.1808576755748867E-2</v>
      </c>
      <c r="Y4" s="95">
        <f>(N4/O4)-1</f>
        <v>-6.557377049180324E-2</v>
      </c>
    </row>
  </sheetData>
  <autoFilter ref="A1:Y2" xr:uid="{00000000-0009-0000-0000-000040000000}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543427</v>
      </c>
      <c r="B2" s="98" t="s">
        <v>2283</v>
      </c>
      <c r="C2" s="6" t="str">
        <f>VLOOKUP(A2,'BSE ALL CAP'!$B$4:$Y$1038,2,)</f>
        <v>Consumer Discretionary</v>
      </c>
      <c r="D2" s="6" t="str">
        <f>VLOOKUP(A2,'BSE ALL CAP'!$B$4:$Y$1038,3,)</f>
        <v>Pharmacy Retail</v>
      </c>
      <c r="E2" s="11">
        <f ca="1">IFERROR(__xludf.DUMMYFUNCTION("GOOGLEFINANCE(""BOM:""&amp;A2,""PRICE"")"),832.05)</f>
        <v>832.05</v>
      </c>
      <c r="F2" s="20">
        <f ca="1">IFERROR(__xludf.DUMMYFUNCTION("GOOGLEFINANCE(""BOM:""&amp;A2,""MARKETCAP"")/10000000"),10032.87575)</f>
        <v>10032.875749999999</v>
      </c>
      <c r="G2" s="95">
        <f t="shared" ref="G2:G3" ca="1" si="0">F2/$F$5</f>
        <v>0.65124838395067686</v>
      </c>
      <c r="H2" s="101">
        <f>VLOOKUP(A2,'BSE ALL CAP'!$B$4:$Y$1038,7,)</f>
        <v>5028</v>
      </c>
      <c r="I2" s="101">
        <f>VLOOKUP(A2,'BSE ALL CAP'!$B$4:$Y$1038,8,)</f>
        <v>4626</v>
      </c>
      <c r="J2" s="101">
        <f>VLOOKUP(A2,'BSE ALL CAP'!$B$4:$Y$1038,9,)</f>
        <v>155</v>
      </c>
      <c r="K2" s="101">
        <f>VLOOKUP(A2,'BSE ALL CAP'!$B$4:$Y$1038,10,)</f>
        <v>98</v>
      </c>
      <c r="L2" s="101">
        <f>VLOOKUP(A2,'BSE ALL CAP'!$B$4:$Y$1038,11,)</f>
        <v>1806</v>
      </c>
      <c r="M2" s="101">
        <f>VLOOKUP(A2,'BSE ALL CAP'!$B$4:$Y$1038,12,)</f>
        <v>1561</v>
      </c>
      <c r="N2" s="101">
        <f>VLOOKUP(A2,'BSE ALL CAP'!$B$4:$Y$1038,13,)</f>
        <v>57</v>
      </c>
      <c r="O2" s="101">
        <f>VLOOKUP(A2,'BSE ALL CAP'!$B$4:$Y$1038,14,)</f>
        <v>45</v>
      </c>
      <c r="P2" s="95">
        <f>VLOOKUP(A2,'BSE ALL CAP'!$B$4:$Y$1038,15,)</f>
        <v>3.0827366746221163E-2</v>
      </c>
      <c r="Q2" s="95">
        <f>VLOOKUP(A2,'BSE ALL CAP'!$B$4:$Y$1038,16,)</f>
        <v>2.1184608733246867E-2</v>
      </c>
      <c r="R2" s="95">
        <f>VLOOKUP(A2,'BSE ALL CAP'!$B$4:$Y$1038,17,)</f>
        <v>9.6427580129742965E-3</v>
      </c>
      <c r="S2" s="95">
        <f>VLOOKUP(A2,'BSE ALL CAP'!$B$4:$Y$1038,18,)</f>
        <v>3.1561461794019932E-2</v>
      </c>
      <c r="T2" s="95">
        <f>VLOOKUP(A2,'BSE ALL CAP'!$B$4:$Y$1038,19,)</f>
        <v>2.8827674567584883E-2</v>
      </c>
      <c r="U2" s="95">
        <f>VLOOKUP(A2,'BSE ALL CAP'!$B$4:$Y$1038,20,)</f>
        <v>2.7337872264350492E-3</v>
      </c>
      <c r="V2" s="95">
        <f>VLOOKUP(A2,'BSE ALL CAP'!$B$4:$Y$1038,21,)</f>
        <v>8.6900129701686035E-2</v>
      </c>
      <c r="W2" s="95">
        <f>VLOOKUP(A2,'BSE ALL CAP'!$B$4:$Y$1038,22,)</f>
        <v>0.58163265306122458</v>
      </c>
      <c r="X2" s="95">
        <f>VLOOKUP(A2,'BSE ALL CAP'!$B$4:$Y$1038,23,)</f>
        <v>0.15695067264573992</v>
      </c>
      <c r="Y2" s="95">
        <f>VLOOKUP(A2,'BSE ALL CAP'!$B$4:$Y$1038,24,)</f>
        <v>0.26666666666666661</v>
      </c>
    </row>
    <row r="3" spans="1:25" ht="15.75" customHeight="1">
      <c r="A3" s="99">
        <v>544122</v>
      </c>
      <c r="B3" s="98" t="s">
        <v>2284</v>
      </c>
      <c r="C3" s="6" t="str">
        <f>VLOOKUP(A3,'BSE ALL CAP'!$B$4:$Y$1038,2,)</f>
        <v>Consumer Discretionary</v>
      </c>
      <c r="D3" s="6" t="str">
        <f>VLOOKUP(A3,'BSE ALL CAP'!$B$4:$Y$1038,3,)</f>
        <v>Pharmacy Retail</v>
      </c>
      <c r="E3" s="11">
        <f ca="1">IFERROR(__xludf.DUMMYFUNCTION("GOOGLEFINANCE(""BOM:""&amp;A3,""PRICE"")"),1235.45)</f>
        <v>1235.45</v>
      </c>
      <c r="F3" s="20">
        <f ca="1">IFERROR(__xludf.DUMMYFUNCTION("GOOGLEFINANCE(""BOM:""&amp;A3,""MARKETCAP"")/10000000"),5372.7298488)</f>
        <v>5372.7298487999997</v>
      </c>
      <c r="G3" s="95">
        <f t="shared" ca="1" si="0"/>
        <v>0.34875161604932309</v>
      </c>
      <c r="H3" s="101">
        <f>VLOOKUP(A3,'BSE ALL CAP'!$B$4:$Y$1038,7,)</f>
        <v>4681</v>
      </c>
      <c r="I3" s="101">
        <f>VLOOKUP(A3,'BSE ALL CAP'!$B$4:$Y$1038,8,)</f>
        <v>3756</v>
      </c>
      <c r="J3" s="101">
        <f>VLOOKUP(A3,'BSE ALL CAP'!$B$4:$Y$1038,9,)</f>
        <v>100</v>
      </c>
      <c r="K3" s="101">
        <f>VLOOKUP(A3,'BSE ALL CAP'!$B$4:$Y$1038,10,)</f>
        <v>76</v>
      </c>
      <c r="L3" s="101">
        <f>VLOOKUP(A3,'BSE ALL CAP'!$B$4:$Y$1038,11,)</f>
        <v>1706</v>
      </c>
      <c r="M3" s="101">
        <f>VLOOKUP(A3,'BSE ALL CAP'!$B$4:$Y$1038,12,)</f>
        <v>1358</v>
      </c>
      <c r="N3" s="101">
        <f>VLOOKUP(A3,'BSE ALL CAP'!$B$4:$Y$1038,13,)</f>
        <v>33</v>
      </c>
      <c r="O3" s="101">
        <f>VLOOKUP(A3,'BSE ALL CAP'!$B$4:$Y$1038,14,)</f>
        <v>29</v>
      </c>
      <c r="P3" s="95">
        <f>VLOOKUP(A3,'BSE ALL CAP'!$B$4:$Y$1038,15,)</f>
        <v>2.1362956633198035E-2</v>
      </c>
      <c r="Q3" s="95">
        <f>VLOOKUP(A3,'BSE ALL CAP'!$B$4:$Y$1038,16,)</f>
        <v>2.0234291799787009E-2</v>
      </c>
      <c r="R3" s="95">
        <f>VLOOKUP(A3,'BSE ALL CAP'!$B$4:$Y$1038,17,)</f>
        <v>1.1286648334110257E-3</v>
      </c>
      <c r="S3" s="95">
        <f>VLOOKUP(A3,'BSE ALL CAP'!$B$4:$Y$1038,18,)</f>
        <v>1.9343493552168817E-2</v>
      </c>
      <c r="T3" s="95">
        <f>VLOOKUP(A3,'BSE ALL CAP'!$B$4:$Y$1038,19,)</f>
        <v>2.1354933726067747E-2</v>
      </c>
      <c r="U3" s="95">
        <f>VLOOKUP(A3,'BSE ALL CAP'!$B$4:$Y$1038,20,)</f>
        <v>-2.0114401738989297E-3</v>
      </c>
      <c r="V3" s="95">
        <f>VLOOKUP(A3,'BSE ALL CAP'!$B$4:$Y$1038,21,)</f>
        <v>0.24627263045793391</v>
      </c>
      <c r="W3" s="95">
        <f>VLOOKUP(A3,'BSE ALL CAP'!$B$4:$Y$1038,22,)</f>
        <v>0.31578947368421062</v>
      </c>
      <c r="X3" s="95">
        <f>VLOOKUP(A3,'BSE ALL CAP'!$B$4:$Y$1038,23,)</f>
        <v>0.25625920471281294</v>
      </c>
      <c r="Y3" s="95">
        <f>VLOOKUP(A3,'BSE ALL CAP'!$B$4:$Y$1038,24,)</f>
        <v>0.13793103448275867</v>
      </c>
    </row>
    <row r="4" spans="1:25">
      <c r="A4" s="101"/>
      <c r="B4" s="101"/>
      <c r="C4" s="101"/>
      <c r="D4" s="101"/>
      <c r="E4" s="101"/>
      <c r="F4" s="101"/>
      <c r="G4" s="95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101"/>
      <c r="B5" s="101"/>
      <c r="C5" s="101"/>
      <c r="D5" s="101"/>
      <c r="E5" s="101"/>
      <c r="F5" s="112">
        <f ca="1">SUM(F2:F3)</f>
        <v>15405.605598799999</v>
      </c>
      <c r="G5" s="95">
        <f ca="1">F5/$F$5</f>
        <v>1</v>
      </c>
      <c r="H5" s="101">
        <f t="shared" ref="H5:O5" si="1">SUM(H2:H3)</f>
        <v>9709</v>
      </c>
      <c r="I5" s="101">
        <f t="shared" si="1"/>
        <v>8382</v>
      </c>
      <c r="J5" s="101">
        <f t="shared" si="1"/>
        <v>255</v>
      </c>
      <c r="K5" s="101">
        <f t="shared" si="1"/>
        <v>174</v>
      </c>
      <c r="L5" s="101">
        <f t="shared" si="1"/>
        <v>3512</v>
      </c>
      <c r="M5" s="101">
        <f t="shared" si="1"/>
        <v>2919</v>
      </c>
      <c r="N5" s="101">
        <f t="shared" si="1"/>
        <v>90</v>
      </c>
      <c r="O5" s="101">
        <f t="shared" si="1"/>
        <v>74</v>
      </c>
      <c r="P5" s="95">
        <f t="shared" ref="P5:Q5" si="2">J5/H5</f>
        <v>2.6264290864146667E-2</v>
      </c>
      <c r="Q5" s="95">
        <f t="shared" si="2"/>
        <v>2.0758768790264854E-2</v>
      </c>
      <c r="R5" s="95">
        <f>P5-Q5</f>
        <v>5.5055220738818127E-3</v>
      </c>
      <c r="S5" s="95">
        <f t="shared" ref="S5:T5" si="3">N5/L5</f>
        <v>2.562642369020501E-2</v>
      </c>
      <c r="T5" s="95">
        <f t="shared" si="3"/>
        <v>2.5351147653305928E-2</v>
      </c>
      <c r="U5" s="95">
        <f>S5-T5</f>
        <v>2.7527603689908239E-4</v>
      </c>
      <c r="V5" s="95">
        <f>(H5/I5)-1</f>
        <v>0.15831543784299695</v>
      </c>
      <c r="W5" s="95">
        <f>(J5/K5)-1</f>
        <v>0.46551724137931028</v>
      </c>
      <c r="X5" s="95">
        <f>(L5/M5)-1</f>
        <v>0.20315176430284354</v>
      </c>
      <c r="Y5" s="95">
        <f>(N5/O5)-1</f>
        <v>0.21621621621621623</v>
      </c>
    </row>
    <row r="6" spans="1:25">
      <c r="G6" s="50"/>
    </row>
    <row r="7" spans="1:25">
      <c r="G7" s="50"/>
    </row>
    <row r="8" spans="1:25">
      <c r="G8" s="50"/>
    </row>
    <row r="9" spans="1:25">
      <c r="G9" s="50"/>
    </row>
    <row r="10" spans="1:25">
      <c r="G10" s="50"/>
    </row>
    <row r="11" spans="1:25">
      <c r="G11" s="50"/>
    </row>
    <row r="12" spans="1:25">
      <c r="G12" s="50"/>
    </row>
    <row r="13" spans="1:25">
      <c r="G13" s="50"/>
    </row>
    <row r="14" spans="1:25">
      <c r="G14" s="50"/>
    </row>
    <row r="15" spans="1:25">
      <c r="G15" s="50"/>
    </row>
    <row r="16" spans="1:25">
      <c r="G16" s="50"/>
    </row>
    <row r="17" spans="7:7">
      <c r="G17" s="50"/>
    </row>
    <row r="18" spans="7:7">
      <c r="G18" s="50"/>
    </row>
    <row r="19" spans="7:7">
      <c r="G19" s="50"/>
    </row>
    <row r="20" spans="7:7">
      <c r="G20" s="50"/>
    </row>
    <row r="21" spans="7:7">
      <c r="G21" s="50"/>
    </row>
    <row r="22" spans="7:7">
      <c r="G22" s="50"/>
    </row>
    <row r="23" spans="7:7">
      <c r="G23" s="50"/>
    </row>
    <row r="24" spans="7:7">
      <c r="G24" s="50"/>
    </row>
    <row r="25" spans="7:7" ht="13.2">
      <c r="G25" s="50"/>
    </row>
    <row r="26" spans="7:7" ht="13.2">
      <c r="G26" s="50"/>
    </row>
    <row r="27" spans="7:7" ht="13.2">
      <c r="G27" s="50"/>
    </row>
    <row r="28" spans="7:7" ht="13.2">
      <c r="G28" s="50"/>
    </row>
    <row r="29" spans="7:7" ht="13.2">
      <c r="G29" s="50"/>
    </row>
    <row r="30" spans="7:7" ht="13.2">
      <c r="G30" s="50"/>
    </row>
    <row r="31" spans="7:7" ht="13.2">
      <c r="G31" s="50"/>
    </row>
    <row r="32" spans="7:7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3" xr:uid="{00000000-0009-0000-0000-000041000000}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500405</v>
      </c>
      <c r="B2" s="98" t="s">
        <v>2285</v>
      </c>
      <c r="C2" s="6" t="str">
        <f>VLOOKUP(A2,'BSE ALL CAP'!$B$4:$Y$1038,2,)</f>
        <v>Commodities</v>
      </c>
      <c r="D2" s="6" t="str">
        <f>VLOOKUP(A2,'BSE ALL CAP'!$B$4:$Y$1038,3,)</f>
        <v>Petrochemicals</v>
      </c>
      <c r="E2" s="11">
        <f ca="1">IFERROR(__xludf.DUMMYFUNCTION("GOOGLEFINANCE(""BOM:""&amp;A2,""PRICE"")"),758.65)</f>
        <v>758.65</v>
      </c>
      <c r="F2" s="20">
        <f ca="1">IFERROR(__xludf.DUMMYFUNCTION("GOOGLEFINANCE(""BOM:""&amp;A2,""MARKETCAP"")/10000000"),14276.0957255)</f>
        <v>14276.095725499999</v>
      </c>
      <c r="G2" s="95">
        <f t="shared" ref="G2:G14" ca="1" si="0">F2/$F$16</f>
        <v>0.44937232674155192</v>
      </c>
      <c r="H2" s="101">
        <f>VLOOKUP(A2,'BSE ALL CAP'!$B$4:$Y$1038,7,)</f>
        <v>3800</v>
      </c>
      <c r="I2" s="101">
        <f>VLOOKUP(A2,'BSE ALL CAP'!$B$4:$Y$1038,8,)</f>
        <v>4484</v>
      </c>
      <c r="J2" s="101">
        <f>VLOOKUP(A2,'BSE ALL CAP'!$B$4:$Y$1038,9,)</f>
        <v>161</v>
      </c>
      <c r="K2" s="101">
        <f>VLOOKUP(A2,'BSE ALL CAP'!$B$4:$Y$1038,10,)</f>
        <v>283</v>
      </c>
      <c r="L2" s="101">
        <f>VLOOKUP(A2,'BSE ALL CAP'!$B$4:$Y$1038,11,)</f>
        <v>1280</v>
      </c>
      <c r="M2" s="101">
        <f>VLOOKUP(A2,'BSE ALL CAP'!$B$4:$Y$1038,12,)</f>
        <v>1405</v>
      </c>
      <c r="N2" s="101">
        <f>VLOOKUP(A2,'BSE ALL CAP'!$B$4:$Y$1038,13,)</f>
        <v>30</v>
      </c>
      <c r="O2" s="101">
        <f>VLOOKUP(A2,'BSE ALL CAP'!$B$4:$Y$1038,14,)</f>
        <v>71</v>
      </c>
      <c r="P2" s="95">
        <f>VLOOKUP(A2,'BSE ALL CAP'!$B$4:$Y$1038,15,)</f>
        <v>4.2368421052631576E-2</v>
      </c>
      <c r="Q2" s="95">
        <f>VLOOKUP(A2,'BSE ALL CAP'!$B$4:$Y$1038,16,)</f>
        <v>6.3113291703835867E-2</v>
      </c>
      <c r="R2" s="95">
        <f>VLOOKUP(A2,'BSE ALL CAP'!$B$4:$Y$1038,17,)</f>
        <v>-2.074487065120429E-2</v>
      </c>
      <c r="S2" s="95">
        <f>VLOOKUP(A2,'BSE ALL CAP'!$B$4:$Y$1038,18,)</f>
        <v>2.34375E-2</v>
      </c>
      <c r="T2" s="95">
        <f>VLOOKUP(A2,'BSE ALL CAP'!$B$4:$Y$1038,19,)</f>
        <v>5.0533807829181494E-2</v>
      </c>
      <c r="U2" s="95">
        <f>VLOOKUP(A2,'BSE ALL CAP'!$B$4:$Y$1038,20,)</f>
        <v>-2.7096307829181494E-2</v>
      </c>
      <c r="V2" s="95">
        <f>VLOOKUP(A2,'BSE ALL CAP'!$B$4:$Y$1038,21,)</f>
        <v>-0.15254237288135597</v>
      </c>
      <c r="W2" s="95">
        <f>VLOOKUP(A2,'BSE ALL CAP'!$B$4:$Y$1038,22,)</f>
        <v>-0.43109540636042398</v>
      </c>
      <c r="X2" s="95">
        <f>VLOOKUP(A2,'BSE ALL CAP'!$B$4:$Y$1038,23,)</f>
        <v>-8.8967971530249157E-2</v>
      </c>
      <c r="Y2" s="95">
        <f>VLOOKUP(A2,'BSE ALL CAP'!$B$4:$Y$1038,24,)</f>
        <v>-0.57746478873239437</v>
      </c>
    </row>
    <row r="3" spans="1:25" ht="15.75" customHeight="1">
      <c r="A3" s="99">
        <v>503310</v>
      </c>
      <c r="B3" s="98" t="s">
        <v>2286</v>
      </c>
      <c r="C3" s="6" t="str">
        <f>VLOOKUP(A3,'BSE ALL CAP'!$B$4:$Y$1038,2,)</f>
        <v>Commodities</v>
      </c>
      <c r="D3" s="6" t="str">
        <f>VLOOKUP(A3,'BSE ALL CAP'!$B$4:$Y$1038,3,)</f>
        <v>Petrochemicals</v>
      </c>
      <c r="E3" s="11">
        <f ca="1">IFERROR(__xludf.DUMMYFUNCTION("GOOGLEFINANCE(""BOM:""&amp;A3,""PRICE"")"),313.5)</f>
        <v>313.5</v>
      </c>
      <c r="F3" s="20">
        <f ca="1">IFERROR(__xludf.DUMMYFUNCTION("GOOGLEFINANCE(""BOM:""&amp;A3,""MARKETCAP"")/10000000"),9839.4087606)</f>
        <v>9839.4087605999994</v>
      </c>
      <c r="G3" s="95">
        <f t="shared" ca="1" si="0"/>
        <v>0.30971759320822101</v>
      </c>
      <c r="H3" s="101">
        <f>VLOOKUP(A3,'BSE ALL CAP'!$B$4:$Y$1038,7,)</f>
        <v>3501</v>
      </c>
      <c r="I3" s="101">
        <f>VLOOKUP(A3,'BSE ALL CAP'!$B$4:$Y$1038,8,)</f>
        <v>4082</v>
      </c>
      <c r="J3" s="101">
        <f>VLOOKUP(A3,'BSE ALL CAP'!$B$4:$Y$1038,9,)</f>
        <v>19</v>
      </c>
      <c r="K3" s="101">
        <f>VLOOKUP(A3,'BSE ALL CAP'!$B$4:$Y$1038,10,)</f>
        <v>896</v>
      </c>
      <c r="L3" s="101">
        <f>VLOOKUP(A3,'BSE ALL CAP'!$B$4:$Y$1038,11,)</f>
        <v>1150</v>
      </c>
      <c r="M3" s="101">
        <f>VLOOKUP(A3,'BSE ALL CAP'!$B$4:$Y$1038,12,)</f>
        <v>1908</v>
      </c>
      <c r="N3" s="101">
        <f>VLOOKUP(A3,'BSE ALL CAP'!$B$4:$Y$1038,13,)</f>
        <v>-1</v>
      </c>
      <c r="O3" s="101">
        <f>VLOOKUP(A3,'BSE ALL CAP'!$B$4:$Y$1038,14,)</f>
        <v>561</v>
      </c>
      <c r="P3" s="95">
        <f>VLOOKUP(A3,'BSE ALL CAP'!$B$4:$Y$1038,15,)</f>
        <v>5.4270208511853759E-3</v>
      </c>
      <c r="Q3" s="95">
        <f>VLOOKUP(A3,'BSE ALL CAP'!$B$4:$Y$1038,16,)</f>
        <v>0.21950024497795198</v>
      </c>
      <c r="R3" s="95">
        <f>VLOOKUP(A3,'BSE ALL CAP'!$B$4:$Y$1038,17,)</f>
        <v>-0.2140732241267666</v>
      </c>
      <c r="S3" s="95">
        <f>VLOOKUP(A3,'BSE ALL CAP'!$B$4:$Y$1038,18,)</f>
        <v>-8.6956521739130438E-4</v>
      </c>
      <c r="T3" s="95">
        <f>VLOOKUP(A3,'BSE ALL CAP'!$B$4:$Y$1038,19,)</f>
        <v>0.29402515723270439</v>
      </c>
      <c r="U3" s="95">
        <f>VLOOKUP(A3,'BSE ALL CAP'!$B$4:$Y$1038,20,)</f>
        <v>-0.29489472245009568</v>
      </c>
      <c r="V3" s="95">
        <f>VLOOKUP(A3,'BSE ALL CAP'!$B$4:$Y$1038,21,)</f>
        <v>-0.14233219010289078</v>
      </c>
      <c r="W3" s="95">
        <f>VLOOKUP(A3,'BSE ALL CAP'!$B$4:$Y$1038,22,)</f>
        <v>-0.9787946428571429</v>
      </c>
      <c r="X3" s="95">
        <f>VLOOKUP(A3,'BSE ALL CAP'!$B$4:$Y$1038,23,)</f>
        <v>-0.39727463312368971</v>
      </c>
      <c r="Y3" s="95">
        <f>VLOOKUP(A3,'BSE ALL CAP'!$B$4:$Y$1038,24,)</f>
        <v>-1.0017825311942958</v>
      </c>
    </row>
    <row r="4" spans="1:25" ht="15.75" customHeight="1">
      <c r="A4" s="99">
        <v>500339</v>
      </c>
      <c r="B4" s="98" t="s">
        <v>2287</v>
      </c>
      <c r="C4" s="6" t="str">
        <f>VLOOKUP(A4,'BSE ALL CAP'!$B$4:$Y$1038,2,)</f>
        <v>Commodities</v>
      </c>
      <c r="D4" s="6" t="str">
        <f>VLOOKUP(A4,'BSE ALL CAP'!$B$4:$Y$1038,3,)</f>
        <v>Petrochemicals</v>
      </c>
      <c r="E4" s="11">
        <f ca="1">IFERROR(__xludf.DUMMYFUNCTION("GOOGLEFINANCE(""BOM:""&amp;A4,""PRICE"")"),111.45)</f>
        <v>111.45</v>
      </c>
      <c r="F4" s="20">
        <f ca="1">IFERROR(__xludf.DUMMYFUNCTION("GOOGLEFINANCE(""BOM:""&amp;A4,""MARKETCAP"")/10000000"),3745.5446221)</f>
        <v>3745.5446221000002</v>
      </c>
      <c r="G4" s="95">
        <f t="shared" ca="1" si="0"/>
        <v>0.11789946874206983</v>
      </c>
      <c r="H4" s="101">
        <f>VLOOKUP(A4,'BSE ALL CAP'!$B$4:$Y$1038,7,)</f>
        <v>16946</v>
      </c>
      <c r="I4" s="101">
        <f>VLOOKUP(A4,'BSE ALL CAP'!$B$4:$Y$1038,8,)</f>
        <v>15374</v>
      </c>
      <c r="J4" s="101">
        <f>VLOOKUP(A4,'BSE ALL CAP'!$B$4:$Y$1038,9,)</f>
        <v>136</v>
      </c>
      <c r="K4" s="101">
        <f>VLOOKUP(A4,'BSE ALL CAP'!$B$4:$Y$1038,10,)</f>
        <v>-450</v>
      </c>
      <c r="L4" s="101">
        <f>VLOOKUP(A4,'BSE ALL CAP'!$B$4:$Y$1038,11,)</f>
        <v>4301</v>
      </c>
      <c r="M4" s="101">
        <f>VLOOKUP(A4,'BSE ALL CAP'!$B$4:$Y$1038,12,)</f>
        <v>3676</v>
      </c>
      <c r="N4" s="101">
        <f>VLOOKUP(A4,'BSE ALL CAP'!$B$4:$Y$1038,13,)</f>
        <v>38</v>
      </c>
      <c r="O4" s="101">
        <f>VLOOKUP(A4,'BSE ALL CAP'!$B$4:$Y$1038,14,)</f>
        <v>-133</v>
      </c>
      <c r="P4" s="95">
        <f>VLOOKUP(A4,'BSE ALL CAP'!$B$4:$Y$1038,15,)</f>
        <v>8.0254927416499467E-3</v>
      </c>
      <c r="Q4" s="95">
        <f>VLOOKUP(A4,'BSE ALL CAP'!$B$4:$Y$1038,16,)</f>
        <v>-2.9270196435540522E-2</v>
      </c>
      <c r="R4" s="95">
        <f>VLOOKUP(A4,'BSE ALL CAP'!$B$4:$Y$1038,17,)</f>
        <v>3.7295689177190471E-2</v>
      </c>
      <c r="S4" s="95">
        <f>VLOOKUP(A4,'BSE ALL CAP'!$B$4:$Y$1038,18,)</f>
        <v>8.8351546152057661E-3</v>
      </c>
      <c r="T4" s="95">
        <f>VLOOKUP(A4,'BSE ALL CAP'!$B$4:$Y$1038,19,)</f>
        <v>-3.6180631120783457E-2</v>
      </c>
      <c r="U4" s="95">
        <f>VLOOKUP(A4,'BSE ALL CAP'!$B$4:$Y$1038,20,)</f>
        <v>4.5015785735989224E-2</v>
      </c>
      <c r="V4" s="95">
        <f>VLOOKUP(A4,'BSE ALL CAP'!$B$4:$Y$1038,21,)</f>
        <v>0.10225055288148832</v>
      </c>
      <c r="W4" s="95">
        <f>VLOOKUP(A4,'BSE ALL CAP'!$B$4:$Y$1038,22,)</f>
        <v>-1.3022222222222222</v>
      </c>
      <c r="X4" s="95">
        <f>VLOOKUP(A4,'BSE ALL CAP'!$B$4:$Y$1038,23,)</f>
        <v>0.17002176278563663</v>
      </c>
      <c r="Y4" s="95">
        <f>VLOOKUP(A4,'BSE ALL CAP'!$B$4:$Y$1038,24,)</f>
        <v>-1.2857142857142856</v>
      </c>
    </row>
    <row r="5" spans="1:25" ht="15.75" customHeight="1">
      <c r="A5" s="99">
        <v>500117</v>
      </c>
      <c r="B5" s="98" t="s">
        <v>2288</v>
      </c>
      <c r="C5" s="6"/>
      <c r="D5" s="6"/>
      <c r="E5" s="11">
        <f ca="1">IFERROR(__xludf.DUMMYFUNCTION("GOOGLEFINANCE(""BOM:""&amp;A5,""PRICE"")"),41.16)</f>
        <v>41.16</v>
      </c>
      <c r="F5" s="20">
        <f ca="1">IFERROR(__xludf.DUMMYFUNCTION("GOOGLEFINANCE(""BOM:""&amp;A5,""MARKETCAP"")/10000000"),1216.9240514)</f>
        <v>1216.9240514000001</v>
      </c>
      <c r="G5" s="95">
        <f t="shared" ca="1" si="0"/>
        <v>3.8305430487453614E-2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500268</v>
      </c>
      <c r="B6" s="98" t="s">
        <v>2289</v>
      </c>
      <c r="C6" s="6"/>
      <c r="D6" s="6"/>
      <c r="E6" s="11">
        <f ca="1">IFERROR(__xludf.DUMMYFUNCTION("GOOGLEFINANCE(""BOM:""&amp;A6,""PRICE"")"),43.75)</f>
        <v>43.75</v>
      </c>
      <c r="F6" s="20">
        <f ca="1">IFERROR(__xludf.DUMMYFUNCTION("GOOGLEFINANCE(""BOM:""&amp;A6,""MARKETCAP"")/10000000"),748.19652)</f>
        <v>748.19651999999996</v>
      </c>
      <c r="G6" s="95">
        <f t="shared" ca="1" si="0"/>
        <v>2.3551173760468499E-2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500777</v>
      </c>
      <c r="B7" s="98" t="s">
        <v>2290</v>
      </c>
      <c r="C7" s="6"/>
      <c r="D7" s="6"/>
      <c r="E7" s="11">
        <f ca="1">IFERROR(__xludf.DUMMYFUNCTION("GOOGLEFINANCE(""BOM:""&amp;A7,""PRICE"")"),84.62)</f>
        <v>84.62</v>
      </c>
      <c r="F7" s="20">
        <f ca="1">IFERROR(__xludf.DUMMYFUNCTION("GOOGLEFINANCE(""BOM:""&amp;A7,""MARKETCAP"")/10000000"),759.4492112)</f>
        <v>759.44921120000004</v>
      </c>
      <c r="G7" s="95">
        <f t="shared" ca="1" si="0"/>
        <v>2.3905377607506034E-2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531921</v>
      </c>
      <c r="B8" s="98" t="s">
        <v>2291</v>
      </c>
      <c r="C8" s="6"/>
      <c r="D8" s="6"/>
      <c r="E8" s="11">
        <f ca="1">IFERROR(__xludf.DUMMYFUNCTION("GOOGLEFINANCE(""BOM:""&amp;A8,""PRICE"")"),369.25)</f>
        <v>369.25</v>
      </c>
      <c r="F8" s="20">
        <f ca="1">IFERROR(__xludf.DUMMYFUNCTION("GOOGLEFINANCE(""BOM:""&amp;A8,""MARKETCAP"")/10000000"),553.108437)</f>
        <v>553.10843699999998</v>
      </c>
      <c r="G8" s="95">
        <f t="shared" ca="1" si="0"/>
        <v>1.7410336134907636E-2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500456</v>
      </c>
      <c r="B9" s="98" t="s">
        <v>2292</v>
      </c>
      <c r="C9" s="6"/>
      <c r="D9" s="6"/>
      <c r="E9" s="11">
        <f ca="1">IFERROR(__xludf.DUMMYFUNCTION("GOOGLEFINANCE(""BOM:""&amp;A9,""PRICE"")"),46)</f>
        <v>46</v>
      </c>
      <c r="F9" s="20">
        <f ca="1">IFERROR(__xludf.DUMMYFUNCTION("GOOGLEFINANCE(""BOM:""&amp;A9,""MARKETCAP"")/10000000"),409.2993166)</f>
        <v>409.2993166</v>
      </c>
      <c r="G9" s="95">
        <f t="shared" ca="1" si="0"/>
        <v>1.2883619567339886E-2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514165</v>
      </c>
      <c r="B10" s="98" t="s">
        <v>2293</v>
      </c>
      <c r="C10" s="6"/>
      <c r="D10" s="6"/>
      <c r="E10" s="11">
        <f ca="1">IFERROR(__xludf.DUMMYFUNCTION("GOOGLEFINANCE(""BOM:""&amp;A10,""PRICE"")"),4.74)</f>
        <v>4.74</v>
      </c>
      <c r="F10" s="20">
        <f ca="1">IFERROR(__xludf.DUMMYFUNCTION("GOOGLEFINANCE(""BOM:""&amp;A10,""MARKETCAP"")/10000000"),64.1426723)</f>
        <v>64.142672300000001</v>
      </c>
      <c r="G10" s="95">
        <f t="shared" ca="1" si="0"/>
        <v>2.0190353475555991E-3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544265</v>
      </c>
      <c r="B11" s="98" t="s">
        <v>2294</v>
      </c>
      <c r="C11" s="6"/>
      <c r="D11" s="6"/>
      <c r="E11" s="11">
        <f ca="1">IFERROR(__xludf.DUMMYFUNCTION("GOOGLEFINANCE(""BOM:""&amp;A11,""PRICE"")"),118.5)</f>
        <v>118.5</v>
      </c>
      <c r="F11" s="20">
        <f ca="1">IFERROR(__xludf.DUMMYFUNCTION("GOOGLEFINANCE(""BOM:""&amp;A11,""MARKETCAP"")/10000000"),82.36224)</f>
        <v>82.36224</v>
      </c>
      <c r="G11" s="95">
        <f t="shared" ca="1" si="0"/>
        <v>2.5925373530759125E-3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531454</v>
      </c>
      <c r="B12" s="98" t="s">
        <v>2295</v>
      </c>
      <c r="C12" s="6"/>
      <c r="D12" s="6"/>
      <c r="E12" s="11">
        <f ca="1">IFERROR(__xludf.DUMMYFUNCTION("GOOGLEFINANCE(""BOM:""&amp;A12,""PRICE"")"),17.74)</f>
        <v>17.739999999999998</v>
      </c>
      <c r="F12" s="20">
        <f ca="1">IFERROR(__xludf.DUMMYFUNCTION("GOOGLEFINANCE(""BOM:""&amp;A12,""MARKETCAP"")/10000000"),39.2258004)</f>
        <v>39.225800399999997</v>
      </c>
      <c r="G12" s="95">
        <f t="shared" ca="1" si="0"/>
        <v>1.2347205799805841E-3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506858</v>
      </c>
      <c r="B13" s="98" t="s">
        <v>2296</v>
      </c>
      <c r="C13" s="6"/>
      <c r="D13" s="6"/>
      <c r="E13" s="11">
        <f ca="1">IFERROR(__xludf.DUMMYFUNCTION("GOOGLEFINANCE(""BOM:""&amp;A13,""PRICE"")"),58.99)</f>
        <v>58.99</v>
      </c>
      <c r="F13" s="20">
        <f ca="1">IFERROR(__xludf.DUMMYFUNCTION("GOOGLEFINANCE(""BOM:""&amp;A13,""MARKETCAP"")/10000000"),35.2121053)</f>
        <v>35.212105299999997</v>
      </c>
      <c r="G13" s="95">
        <f t="shared" ca="1" si="0"/>
        <v>1.1083804698693515E-3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530027</v>
      </c>
      <c r="B14" s="98" t="s">
        <v>2297</v>
      </c>
      <c r="C14" s="6"/>
      <c r="D14" s="6"/>
      <c r="E14" s="11">
        <f ca="1">IFERROR(__xludf.DUMMYFUNCTION("GOOGLEFINANCE(""BOM:""&amp;A14,""PRICE"")"),7.5)</f>
        <v>7.5</v>
      </c>
      <c r="F14" s="20"/>
      <c r="G14" s="95">
        <f t="shared" ca="1" si="0"/>
        <v>0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>
      <c r="A15" s="101"/>
      <c r="B15" s="101"/>
      <c r="C15" s="101"/>
      <c r="D15" s="101"/>
      <c r="E15" s="101"/>
      <c r="F15" s="101"/>
      <c r="G15" s="95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>
      <c r="A16" s="101"/>
      <c r="B16" s="101"/>
      <c r="C16" s="101"/>
      <c r="D16" s="101"/>
      <c r="E16" s="101"/>
      <c r="F16" s="112">
        <f ca="1">SUM(F1:F14)</f>
        <v>31768.969462400004</v>
      </c>
      <c r="G16" s="95">
        <f ca="1">F16/$F$16</f>
        <v>1</v>
      </c>
      <c r="H16" s="101">
        <f t="shared" ref="H16:O16" si="1">SUM(H2:H14)</f>
        <v>24247</v>
      </c>
      <c r="I16" s="101">
        <f t="shared" si="1"/>
        <v>23940</v>
      </c>
      <c r="J16" s="101">
        <f t="shared" si="1"/>
        <v>316</v>
      </c>
      <c r="K16" s="101">
        <f t="shared" si="1"/>
        <v>729</v>
      </c>
      <c r="L16" s="101">
        <f t="shared" si="1"/>
        <v>6731</v>
      </c>
      <c r="M16" s="101">
        <f t="shared" si="1"/>
        <v>6989</v>
      </c>
      <c r="N16" s="101">
        <f t="shared" si="1"/>
        <v>67</v>
      </c>
      <c r="O16" s="101">
        <f t="shared" si="1"/>
        <v>499</v>
      </c>
      <c r="P16" s="95">
        <f t="shared" ref="P16:Q16" si="2">J16/H16</f>
        <v>1.3032540108054604E-2</v>
      </c>
      <c r="Q16" s="95">
        <f t="shared" si="2"/>
        <v>3.0451127819548871E-2</v>
      </c>
      <c r="R16" s="95">
        <f>P16-Q16</f>
        <v>-1.7418587711494266E-2</v>
      </c>
      <c r="S16" s="95">
        <f t="shared" ref="S16:T16" si="3">N16/L16</f>
        <v>9.9539444361907599E-3</v>
      </c>
      <c r="T16" s="95">
        <f t="shared" si="3"/>
        <v>7.1397911003004716E-2</v>
      </c>
      <c r="U16" s="95">
        <f>S16-T16</f>
        <v>-6.144396656681396E-2</v>
      </c>
      <c r="V16" s="95">
        <f>(H16/I16)-1</f>
        <v>1.2823725981620626E-2</v>
      </c>
      <c r="W16" s="95">
        <f>(J16/K16)-1</f>
        <v>-0.56652949245541839</v>
      </c>
      <c r="X16" s="95">
        <f>(L16/M16)-1</f>
        <v>-3.691515238231502E-2</v>
      </c>
      <c r="Y16" s="95">
        <f>(N16/O16)-1</f>
        <v>-0.86573146292585168</v>
      </c>
    </row>
    <row r="17" spans="7:7">
      <c r="G17" s="50"/>
    </row>
    <row r="18" spans="7:7">
      <c r="G18" s="50"/>
    </row>
    <row r="19" spans="7:7">
      <c r="G19" s="50"/>
    </row>
    <row r="20" spans="7:7">
      <c r="G20" s="50"/>
    </row>
    <row r="21" spans="7:7">
      <c r="G21" s="50"/>
    </row>
    <row r="22" spans="7:7">
      <c r="G22" s="50"/>
    </row>
    <row r="23" spans="7:7">
      <c r="G23" s="50"/>
    </row>
    <row r="24" spans="7:7">
      <c r="G24" s="50"/>
    </row>
    <row r="25" spans="7:7" ht="13.2">
      <c r="G25" s="50"/>
    </row>
    <row r="26" spans="7:7" ht="13.2">
      <c r="G26" s="50"/>
    </row>
    <row r="27" spans="7:7" ht="13.2">
      <c r="G27" s="50"/>
    </row>
    <row r="28" spans="7:7" ht="13.2">
      <c r="G28" s="50"/>
    </row>
    <row r="29" spans="7:7" ht="13.2">
      <c r="G29" s="50"/>
    </row>
    <row r="30" spans="7:7" ht="13.2">
      <c r="G30" s="50"/>
    </row>
    <row r="31" spans="7:7" ht="13.2">
      <c r="G31" s="50"/>
    </row>
    <row r="32" spans="7:7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14" xr:uid="{00000000-0009-0000-0000-000042000000}"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512070</v>
      </c>
      <c r="B2" s="98" t="s">
        <v>2298</v>
      </c>
      <c r="C2" s="101" t="str">
        <f>VLOOKUP(A2,'BSE ALL CAP'!$B$4:$Y$1038,2,)</f>
        <v>Commodities</v>
      </c>
      <c r="D2" s="101" t="str">
        <f>VLOOKUP(A2,'BSE ALL CAP'!$B$4:$Y$1038,3,)</f>
        <v>Pesticides &amp; Agrochemicals</v>
      </c>
      <c r="E2" s="101">
        <f ca="1">IFERROR(__xludf.DUMMYFUNCTION("GOOGLEFINANCE(""BOM:""&amp;A2,""PRICE"")"),605.95)</f>
        <v>605.95000000000005</v>
      </c>
      <c r="F2" s="112">
        <f ca="1">IFERROR(__xludf.DUMMYFUNCTION("GOOGLEFINANCE(""BOM:""&amp;A2,""MARKETCAP"")/10000000"),51257.674285)</f>
        <v>51257.674285000001</v>
      </c>
      <c r="G2" s="95">
        <f t="shared" ref="G2:G30" ca="1" si="0">F2/$F$32</f>
        <v>0.29852036033220608</v>
      </c>
      <c r="H2" s="101">
        <f>VLOOKUP(A2,'BSE ALL CAP'!$B$4:$Y$1038,7,)</f>
        <v>33504</v>
      </c>
      <c r="I2" s="101">
        <f>VLOOKUP(A2,'BSE ALL CAP'!$B$4:$Y$1038,8,)</f>
        <v>31064</v>
      </c>
      <c r="J2" s="101">
        <f>VLOOKUP(A2,'BSE ALL CAP'!$B$4:$Y$1038,9,)</f>
        <v>926</v>
      </c>
      <c r="K2" s="101">
        <f>VLOOKUP(A2,'BSE ALL CAP'!$B$4:$Y$1038,10,)</f>
        <v>-259</v>
      </c>
      <c r="L2" s="101">
        <f>VLOOKUP(A2,'BSE ALL CAP'!$B$4:$Y$1038,11,)</f>
        <v>12269</v>
      </c>
      <c r="M2" s="101">
        <f>VLOOKUP(A2,'BSE ALL CAP'!$B$4:$Y$1038,12,)</f>
        <v>10907</v>
      </c>
      <c r="N2" s="101">
        <f>VLOOKUP(A2,'BSE ALL CAP'!$B$4:$Y$1038,13,)</f>
        <v>490</v>
      </c>
      <c r="O2" s="101">
        <f>VLOOKUP(A2,'BSE ALL CAP'!$B$4:$Y$1038,14,)</f>
        <v>853</v>
      </c>
      <c r="P2" s="95">
        <f>VLOOKUP(A2,'BSE ALL CAP'!$B$4:$Y$1038,15,)</f>
        <v>2.7638490926456542E-2</v>
      </c>
      <c r="Q2" s="95">
        <f>VLOOKUP(A2,'BSE ALL CAP'!$B$4:$Y$1038,16,)</f>
        <v>-8.3376255472572755E-3</v>
      </c>
      <c r="R2" s="95">
        <f>VLOOKUP(A2,'BSE ALL CAP'!$B$4:$Y$1038,17,)</f>
        <v>3.5976116473713821E-2</v>
      </c>
      <c r="S2" s="95">
        <f>VLOOKUP(A2,'BSE ALL CAP'!$B$4:$Y$1038,18,)</f>
        <v>3.9938055261227484E-2</v>
      </c>
      <c r="T2" s="95">
        <f>VLOOKUP(A2,'BSE ALL CAP'!$B$4:$Y$1038,19,)</f>
        <v>7.8206656275786199E-2</v>
      </c>
      <c r="U2" s="95">
        <f>VLOOKUP(A2,'BSE ALL CAP'!$B$4:$Y$1038,20,)</f>
        <v>-3.8268601014558715E-2</v>
      </c>
      <c r="V2" s="95">
        <f>VLOOKUP(A2,'BSE ALL CAP'!$B$4:$Y$1038,21,)</f>
        <v>7.8547514808138041E-2</v>
      </c>
      <c r="W2" s="95">
        <f>VLOOKUP(A2,'BSE ALL CAP'!$B$4:$Y$1038,22,)</f>
        <v>-4.5752895752895757</v>
      </c>
      <c r="X2" s="95">
        <f>VLOOKUP(A2,'BSE ALL CAP'!$B$4:$Y$1038,23,)</f>
        <v>0.12487393417071613</v>
      </c>
      <c r="Y2" s="95">
        <f>VLOOKUP(A2,'BSE ALL CAP'!$B$4:$Y$1038,24,)</f>
        <v>-0.42555685814771393</v>
      </c>
    </row>
    <row r="3" spans="1:25" ht="15.75" customHeight="1">
      <c r="A3" s="99">
        <v>523642</v>
      </c>
      <c r="B3" s="98" t="s">
        <v>1401</v>
      </c>
      <c r="C3" s="101" t="str">
        <f>VLOOKUP(A3,'BSE ALL CAP'!$B$4:$Y$1038,2,)</f>
        <v>Commodities</v>
      </c>
      <c r="D3" s="101" t="str">
        <f>VLOOKUP(A3,'BSE ALL CAP'!$B$4:$Y$1038,3,)</f>
        <v>Pesticides &amp; Agrochemicals</v>
      </c>
      <c r="E3" s="101">
        <f ca="1">IFERROR(__xludf.DUMMYFUNCTION("GOOGLEFINANCE(""BOM:""&amp;A3,""PRICE"")"),2833.6)</f>
        <v>2833.6</v>
      </c>
      <c r="F3" s="112">
        <f ca="1">IFERROR(__xludf.DUMMYFUNCTION("GOOGLEFINANCE(""BOM:""&amp;A3,""MARKETCAP"")/10000000"),42994.8660097)</f>
        <v>42994.866009700003</v>
      </c>
      <c r="G3" s="95">
        <f t="shared" ca="1" si="0"/>
        <v>0.25039846369710422</v>
      </c>
      <c r="H3" s="101">
        <f>VLOOKUP(A3,'BSE ALL CAP'!$B$4:$Y$1038,7,)</f>
        <v>5148</v>
      </c>
      <c r="I3" s="101">
        <f>VLOOKUP(A3,'BSE ALL CAP'!$B$4:$Y$1038,8,)</f>
        <v>6190</v>
      </c>
      <c r="J3" s="101">
        <f>VLOOKUP(A3,'BSE ALL CAP'!$B$4:$Y$1038,9,)</f>
        <v>1120</v>
      </c>
      <c r="K3" s="101">
        <f>VLOOKUP(A3,'BSE ALL CAP'!$B$4:$Y$1038,10,)</f>
        <v>1329</v>
      </c>
      <c r="L3" s="101">
        <f>VLOOKUP(A3,'BSE ALL CAP'!$B$4:$Y$1038,11,)</f>
        <v>1375</v>
      </c>
      <c r="M3" s="101">
        <f>VLOOKUP(A3,'BSE ALL CAP'!$B$4:$Y$1038,12,)</f>
        <v>1900</v>
      </c>
      <c r="N3" s="101">
        <f>VLOOKUP(A3,'BSE ALL CAP'!$B$4:$Y$1038,13,)</f>
        <v>311</v>
      </c>
      <c r="O3" s="101">
        <f>VLOOKUP(A3,'BSE ALL CAP'!$B$4:$Y$1038,14,)</f>
        <v>372</v>
      </c>
      <c r="P3" s="95">
        <f>VLOOKUP(A3,'BSE ALL CAP'!$B$4:$Y$1038,15,)</f>
        <v>0.21756021756021757</v>
      </c>
      <c r="Q3" s="95">
        <f>VLOOKUP(A3,'BSE ALL CAP'!$B$4:$Y$1038,16,)</f>
        <v>0.2147011308562197</v>
      </c>
      <c r="R3" s="95">
        <f>VLOOKUP(A3,'BSE ALL CAP'!$B$4:$Y$1038,17,)</f>
        <v>2.8590867039978707E-3</v>
      </c>
      <c r="S3" s="95">
        <f>VLOOKUP(A3,'BSE ALL CAP'!$B$4:$Y$1038,18,)</f>
        <v>0.22618181818181818</v>
      </c>
      <c r="T3" s="95">
        <f>VLOOKUP(A3,'BSE ALL CAP'!$B$4:$Y$1038,19,)</f>
        <v>0.19578947368421051</v>
      </c>
      <c r="U3" s="95">
        <f>VLOOKUP(A3,'BSE ALL CAP'!$B$4:$Y$1038,20,)</f>
        <v>3.0392344497607665E-2</v>
      </c>
      <c r="V3" s="95">
        <f>VLOOKUP(A3,'BSE ALL CAP'!$B$4:$Y$1038,21,)</f>
        <v>-0.16833602584814211</v>
      </c>
      <c r="W3" s="95">
        <f>VLOOKUP(A3,'BSE ALL CAP'!$B$4:$Y$1038,22,)</f>
        <v>-0.15726109857035364</v>
      </c>
      <c r="X3" s="95">
        <f>VLOOKUP(A3,'BSE ALL CAP'!$B$4:$Y$1038,23,)</f>
        <v>-0.27631578947368418</v>
      </c>
      <c r="Y3" s="95">
        <f>VLOOKUP(A3,'BSE ALL CAP'!$B$4:$Y$1038,24,)</f>
        <v>-0.16397849462365588</v>
      </c>
    </row>
    <row r="4" spans="1:25" ht="15.75" customHeight="1">
      <c r="A4" s="99">
        <v>506285</v>
      </c>
      <c r="B4" s="98" t="s">
        <v>2299</v>
      </c>
      <c r="C4" s="101" t="str">
        <f>VLOOKUP(A4,'BSE ALL CAP'!$B$4:$Y$1038,2,)</f>
        <v>Commodities</v>
      </c>
      <c r="D4" s="101" t="str">
        <f>VLOOKUP(A4,'BSE ALL CAP'!$B$4:$Y$1038,3,)</f>
        <v>Pesticides &amp; Agrochemicals</v>
      </c>
      <c r="E4" s="101">
        <f ca="1">IFERROR(__xludf.DUMMYFUNCTION("GOOGLEFINANCE(""BOM:""&amp;A4,""PRICE"")"),4665.05)</f>
        <v>4665.05</v>
      </c>
      <c r="F4" s="112">
        <f ca="1">IFERROR(__xludf.DUMMYFUNCTION("GOOGLEFINANCE(""BOM:""&amp;A4,""MARKETCAP"")/10000000"),20965.484985)</f>
        <v>20965.484984999999</v>
      </c>
      <c r="G4" s="95">
        <f t="shared" ca="1" si="0"/>
        <v>0.12210121156615127</v>
      </c>
      <c r="H4" s="101">
        <f>VLOOKUP(A4,'BSE ALL CAP'!$B$4:$Y$1038,7,)</f>
        <v>4574</v>
      </c>
      <c r="I4" s="101">
        <f>VLOOKUP(A4,'BSE ALL CAP'!$B$4:$Y$1038,8,)</f>
        <v>4427</v>
      </c>
      <c r="J4" s="101">
        <f>VLOOKUP(A4,'BSE ALL CAP'!$B$4:$Y$1038,9,)</f>
        <v>527</v>
      </c>
      <c r="K4" s="101">
        <f>VLOOKUP(A4,'BSE ALL CAP'!$B$4:$Y$1038,10,)</f>
        <v>424</v>
      </c>
      <c r="L4" s="101">
        <f>VLOOKUP(A4,'BSE ALL CAP'!$B$4:$Y$1038,11,)</f>
        <v>1106</v>
      </c>
      <c r="M4" s="101">
        <f>VLOOKUP(A4,'BSE ALL CAP'!$B$4:$Y$1038,12,)</f>
        <v>1057</v>
      </c>
      <c r="N4" s="101">
        <f>VLOOKUP(A4,'BSE ALL CAP'!$B$4:$Y$1038,13,)</f>
        <v>95</v>
      </c>
      <c r="O4" s="101">
        <f>VLOOKUP(A4,'BSE ALL CAP'!$B$4:$Y$1038,14,)</f>
        <v>34</v>
      </c>
      <c r="P4" s="95">
        <f>VLOOKUP(A4,'BSE ALL CAP'!$B$4:$Y$1038,15,)</f>
        <v>0.11521644075207696</v>
      </c>
      <c r="Q4" s="95">
        <f>VLOOKUP(A4,'BSE ALL CAP'!$B$4:$Y$1038,16,)</f>
        <v>9.577592048791507E-2</v>
      </c>
      <c r="R4" s="95">
        <f>VLOOKUP(A4,'BSE ALL CAP'!$B$4:$Y$1038,17,)</f>
        <v>1.944052026416189E-2</v>
      </c>
      <c r="S4" s="95">
        <f>VLOOKUP(A4,'BSE ALL CAP'!$B$4:$Y$1038,18,)</f>
        <v>8.5895117540687155E-2</v>
      </c>
      <c r="T4" s="95">
        <f>VLOOKUP(A4,'BSE ALL CAP'!$B$4:$Y$1038,19,)</f>
        <v>3.2166508987701042E-2</v>
      </c>
      <c r="U4" s="95">
        <f>VLOOKUP(A4,'BSE ALL CAP'!$B$4:$Y$1038,20,)</f>
        <v>5.3728608552986112E-2</v>
      </c>
      <c r="V4" s="95">
        <f>VLOOKUP(A4,'BSE ALL CAP'!$B$4:$Y$1038,21,)</f>
        <v>3.3205330923876231E-2</v>
      </c>
      <c r="W4" s="95">
        <f>VLOOKUP(A4,'BSE ALL CAP'!$B$4:$Y$1038,22,)</f>
        <v>0.24292452830188682</v>
      </c>
      <c r="X4" s="95">
        <f>VLOOKUP(A4,'BSE ALL CAP'!$B$4:$Y$1038,23,)</f>
        <v>4.635761589403975E-2</v>
      </c>
      <c r="Y4" s="95">
        <f>VLOOKUP(A4,'BSE ALL CAP'!$B$4:$Y$1038,24,)</f>
        <v>1.7941176470588234</v>
      </c>
    </row>
    <row r="5" spans="1:25" ht="15.75" customHeight="1">
      <c r="A5" s="99">
        <v>542920</v>
      </c>
      <c r="B5" s="98" t="s">
        <v>2300</v>
      </c>
      <c r="C5" s="101" t="str">
        <f>VLOOKUP(A5,'BSE ALL CAP'!$B$4:$Y$1038,2,)</f>
        <v>Commodities</v>
      </c>
      <c r="D5" s="101" t="str">
        <f>VLOOKUP(A5,'BSE ALL CAP'!$B$4:$Y$1038,3,)</f>
        <v>Pesticides &amp; Agrochemicals</v>
      </c>
      <c r="E5" s="101">
        <f ca="1">IFERROR(__xludf.DUMMYFUNCTION("GOOGLEFINANCE(""BOM:""&amp;A5,""PRICE"")"),396)</f>
        <v>396</v>
      </c>
      <c r="F5" s="112">
        <f ca="1">IFERROR(__xludf.DUMMYFUNCTION("GOOGLEFINANCE(""BOM:""&amp;A5,""MARKETCAP"")/10000000"),19852.8911915)</f>
        <v>19852.891191499999</v>
      </c>
      <c r="G5" s="95">
        <f t="shared" ca="1" si="0"/>
        <v>0.11562155940143744</v>
      </c>
      <c r="H5" s="101">
        <f>VLOOKUP(A5,'BSE ALL CAP'!$B$4:$Y$1038,7,)</f>
        <v>2554</v>
      </c>
      <c r="I5" s="101">
        <f>VLOOKUP(A5,'BSE ALL CAP'!$B$4:$Y$1038,8,)</f>
        <v>2469</v>
      </c>
      <c r="J5" s="101">
        <f>VLOOKUP(A5,'BSE ALL CAP'!$B$4:$Y$1038,9,)</f>
        <v>431</v>
      </c>
      <c r="K5" s="101">
        <f>VLOOKUP(A5,'BSE ALL CAP'!$B$4:$Y$1038,10,)</f>
        <v>406</v>
      </c>
      <c r="L5" s="101">
        <f>VLOOKUP(A5,'BSE ALL CAP'!$B$4:$Y$1038,11,)</f>
        <v>567</v>
      </c>
      <c r="M5" s="101">
        <f>VLOOKUP(A5,'BSE ALL CAP'!$B$4:$Y$1038,12,)</f>
        <v>641</v>
      </c>
      <c r="N5" s="101">
        <f>VLOOKUP(A5,'BSE ALL CAP'!$B$4:$Y$1038,13,)</f>
        <v>75</v>
      </c>
      <c r="O5" s="101">
        <f>VLOOKUP(A5,'BSE ALL CAP'!$B$4:$Y$1038,14,)</f>
        <v>87</v>
      </c>
      <c r="P5" s="95">
        <f>VLOOKUP(A5,'BSE ALL CAP'!$B$4:$Y$1038,15,)</f>
        <v>0.1687548942834769</v>
      </c>
      <c r="Q5" s="95">
        <f>VLOOKUP(A5,'BSE ALL CAP'!$B$4:$Y$1038,16,)</f>
        <v>0.1644390441474281</v>
      </c>
      <c r="R5" s="95">
        <f>VLOOKUP(A5,'BSE ALL CAP'!$B$4:$Y$1038,17,)</f>
        <v>4.3158501360487933E-3</v>
      </c>
      <c r="S5" s="95">
        <f>VLOOKUP(A5,'BSE ALL CAP'!$B$4:$Y$1038,18,)</f>
        <v>0.13227513227513227</v>
      </c>
      <c r="T5" s="95">
        <f>VLOOKUP(A5,'BSE ALL CAP'!$B$4:$Y$1038,19,)</f>
        <v>0.1357254290171607</v>
      </c>
      <c r="U5" s="95">
        <f>VLOOKUP(A5,'BSE ALL CAP'!$B$4:$Y$1038,20,)</f>
        <v>-3.4502967420284303E-3</v>
      </c>
      <c r="V5" s="95">
        <f>VLOOKUP(A5,'BSE ALL CAP'!$B$4:$Y$1038,21,)</f>
        <v>3.4426893479141407E-2</v>
      </c>
      <c r="W5" s="95">
        <f>VLOOKUP(A5,'BSE ALL CAP'!$B$4:$Y$1038,22,)</f>
        <v>6.1576354679802936E-2</v>
      </c>
      <c r="X5" s="95">
        <f>VLOOKUP(A5,'BSE ALL CAP'!$B$4:$Y$1038,23,)</f>
        <v>-0.11544461778471138</v>
      </c>
      <c r="Y5" s="95">
        <f>VLOOKUP(A5,'BSE ALL CAP'!$B$4:$Y$1038,24,)</f>
        <v>-0.13793103448275867</v>
      </c>
    </row>
    <row r="6" spans="1:25" ht="15.75" customHeight="1">
      <c r="A6" s="99">
        <v>538666</v>
      </c>
      <c r="B6" s="98" t="s">
        <v>2301</v>
      </c>
      <c r="C6" s="101" t="str">
        <f>VLOOKUP(A6,'BSE ALL CAP'!$B$4:$Y$1038,2,)</f>
        <v>Commodities</v>
      </c>
      <c r="D6" s="101" t="str">
        <f>VLOOKUP(A6,'BSE ALL CAP'!$B$4:$Y$1038,3,)</f>
        <v>Pesticides &amp; Agrochemicals</v>
      </c>
      <c r="E6" s="101">
        <f ca="1">IFERROR(__xludf.DUMMYFUNCTION("GOOGLEFINANCE(""BOM:""&amp;A6,""PRICE"")"),916.9)</f>
        <v>916.9</v>
      </c>
      <c r="F6" s="112">
        <f ca="1">IFERROR(__xludf.DUMMYFUNCTION("GOOGLEFINANCE(""BOM:""&amp;A6,""MARKETCAP"")/10000000"),8255.17575)</f>
        <v>8255.1757500000003</v>
      </c>
      <c r="G6" s="95">
        <f t="shared" ca="1" si="0"/>
        <v>4.8077445453213852E-2</v>
      </c>
      <c r="H6" s="101">
        <f>VLOOKUP(A6,'BSE ALL CAP'!$B$4:$Y$1038,7,)</f>
        <v>3202</v>
      </c>
      <c r="I6" s="101">
        <f>VLOOKUP(A6,'BSE ALL CAP'!$B$4:$Y$1038,8,)</f>
        <v>2491</v>
      </c>
      <c r="J6" s="101">
        <f>VLOOKUP(A6,'BSE ALL CAP'!$B$4:$Y$1038,9,)</f>
        <v>362</v>
      </c>
      <c r="K6" s="101">
        <f>VLOOKUP(A6,'BSE ALL CAP'!$B$4:$Y$1038,10,)</f>
        <v>100</v>
      </c>
      <c r="L6" s="101">
        <f>VLOOKUP(A6,'BSE ALL CAP'!$B$4:$Y$1038,11,)</f>
        <v>1288</v>
      </c>
      <c r="M6" s="101">
        <f>VLOOKUP(A6,'BSE ALL CAP'!$B$4:$Y$1038,12,)</f>
        <v>929</v>
      </c>
      <c r="N6" s="101">
        <f>VLOOKUP(A6,'BSE ALL CAP'!$B$4:$Y$1038,13,)</f>
        <v>145</v>
      </c>
      <c r="O6" s="101">
        <f>VLOOKUP(A6,'BSE ALL CAP'!$B$4:$Y$1038,14,)</f>
        <v>31</v>
      </c>
      <c r="P6" s="95">
        <f>VLOOKUP(A6,'BSE ALL CAP'!$B$4:$Y$1038,15,)</f>
        <v>0.11305434103685197</v>
      </c>
      <c r="Q6" s="95">
        <f>VLOOKUP(A6,'BSE ALL CAP'!$B$4:$Y$1038,16,)</f>
        <v>4.0144520272982737E-2</v>
      </c>
      <c r="R6" s="95">
        <f>VLOOKUP(A6,'BSE ALL CAP'!$B$4:$Y$1038,17,)</f>
        <v>7.2909820763869232E-2</v>
      </c>
      <c r="S6" s="95">
        <f>VLOOKUP(A6,'BSE ALL CAP'!$B$4:$Y$1038,18,)</f>
        <v>0.1125776397515528</v>
      </c>
      <c r="T6" s="95">
        <f>VLOOKUP(A6,'BSE ALL CAP'!$B$4:$Y$1038,19,)</f>
        <v>3.3369214208826693E-2</v>
      </c>
      <c r="U6" s="95">
        <f>VLOOKUP(A6,'BSE ALL CAP'!$B$4:$Y$1038,20,)</f>
        <v>7.9208425542726113E-2</v>
      </c>
      <c r="V6" s="95">
        <f>VLOOKUP(A6,'BSE ALL CAP'!$B$4:$Y$1038,21,)</f>
        <v>0.28542753914090735</v>
      </c>
      <c r="W6" s="95">
        <f>VLOOKUP(A6,'BSE ALL CAP'!$B$4:$Y$1038,22,)</f>
        <v>2.62</v>
      </c>
      <c r="X6" s="95">
        <f>VLOOKUP(A6,'BSE ALL CAP'!$B$4:$Y$1038,23,)</f>
        <v>0.38643702906350907</v>
      </c>
      <c r="Y6" s="95">
        <f>VLOOKUP(A6,'BSE ALL CAP'!$B$4:$Y$1038,24,)</f>
        <v>3.67741935483871</v>
      </c>
    </row>
    <row r="7" spans="1:25" ht="15.75" customHeight="1">
      <c r="A7" s="99">
        <v>500355</v>
      </c>
      <c r="B7" s="98" t="s">
        <v>2302</v>
      </c>
      <c r="C7" s="101" t="str">
        <f>VLOOKUP(A7,'BSE ALL CAP'!$B$4:$Y$1038,2,)</f>
        <v>Commodities</v>
      </c>
      <c r="D7" s="101" t="str">
        <f>VLOOKUP(A7,'BSE ALL CAP'!$B$4:$Y$1038,3,)</f>
        <v>Pesticides &amp; Agrochemicals</v>
      </c>
      <c r="E7" s="101">
        <f ca="1">IFERROR(__xludf.DUMMYFUNCTION("GOOGLEFINANCE(""BOM:""&amp;A7,""PRICE"")"),239.1)</f>
        <v>239.1</v>
      </c>
      <c r="F7" s="112">
        <f ca="1">IFERROR(__xludf.DUMMYFUNCTION("GOOGLEFINANCE(""BOM:""&amp;A7,""MARKETCAP"")/10000000"),4650.1402418)</f>
        <v>4650.1402417999998</v>
      </c>
      <c r="G7" s="95">
        <f t="shared" ca="1" si="0"/>
        <v>2.7082023520205993E-2</v>
      </c>
      <c r="H7" s="101">
        <f>VLOOKUP(A7,'BSE ALL CAP'!$B$4:$Y$1038,7,)</f>
        <v>2441</v>
      </c>
      <c r="I7" s="101">
        <f>VLOOKUP(A7,'BSE ALL CAP'!$B$4:$Y$1038,8,)</f>
        <v>2233</v>
      </c>
      <c r="J7" s="101">
        <f>VLOOKUP(A7,'BSE ALL CAP'!$B$4:$Y$1038,9,)</f>
        <v>199</v>
      </c>
      <c r="K7" s="101">
        <f>VLOOKUP(A7,'BSE ALL CAP'!$B$4:$Y$1038,10,)</f>
        <v>157</v>
      </c>
      <c r="L7" s="101">
        <f>VLOOKUP(A7,'BSE ALL CAP'!$B$4:$Y$1038,11,)</f>
        <v>623</v>
      </c>
      <c r="M7" s="101">
        <f>VLOOKUP(A7,'BSE ALL CAP'!$B$4:$Y$1038,12,)</f>
        <v>522</v>
      </c>
      <c r="N7" s="101">
        <f>VLOOKUP(A7,'BSE ALL CAP'!$B$4:$Y$1038,13,)</f>
        <v>2</v>
      </c>
      <c r="O7" s="101">
        <f>VLOOKUP(A7,'BSE ALL CAP'!$B$4:$Y$1038,14,)</f>
        <v>11</v>
      </c>
      <c r="P7" s="95">
        <f>VLOOKUP(A7,'BSE ALL CAP'!$B$4:$Y$1038,15,)</f>
        <v>8.1523965587873823E-2</v>
      </c>
      <c r="Q7" s="95">
        <f>VLOOKUP(A7,'BSE ALL CAP'!$B$4:$Y$1038,16,)</f>
        <v>7.0309001343484098E-2</v>
      </c>
      <c r="R7" s="95">
        <f>VLOOKUP(A7,'BSE ALL CAP'!$B$4:$Y$1038,17,)</f>
        <v>1.1214964244389725E-2</v>
      </c>
      <c r="S7" s="95">
        <f>VLOOKUP(A7,'BSE ALL CAP'!$B$4:$Y$1038,18,)</f>
        <v>3.2102728731942215E-3</v>
      </c>
      <c r="T7" s="95">
        <f>VLOOKUP(A7,'BSE ALL CAP'!$B$4:$Y$1038,19,)</f>
        <v>2.1072796934865901E-2</v>
      </c>
      <c r="U7" s="95">
        <f>VLOOKUP(A7,'BSE ALL CAP'!$B$4:$Y$1038,20,)</f>
        <v>-1.7862524061671679E-2</v>
      </c>
      <c r="V7" s="95">
        <f>VLOOKUP(A7,'BSE ALL CAP'!$B$4:$Y$1038,21,)</f>
        <v>9.3148231079265509E-2</v>
      </c>
      <c r="W7" s="95">
        <f>VLOOKUP(A7,'BSE ALL CAP'!$B$4:$Y$1038,22,)</f>
        <v>0.26751592356687892</v>
      </c>
      <c r="X7" s="95">
        <f>VLOOKUP(A7,'BSE ALL CAP'!$B$4:$Y$1038,23,)</f>
        <v>0.19348659003831425</v>
      </c>
      <c r="Y7" s="95">
        <f>VLOOKUP(A7,'BSE ALL CAP'!$B$4:$Y$1038,24,)</f>
        <v>-0.81818181818181812</v>
      </c>
    </row>
    <row r="8" spans="1:25" ht="15.75" customHeight="1">
      <c r="A8" s="99">
        <v>507717</v>
      </c>
      <c r="B8" s="98" t="s">
        <v>2303</v>
      </c>
      <c r="C8" s="101" t="str">
        <f>VLOOKUP(A8,'BSE ALL CAP'!$B$4:$Y$1038,2,)</f>
        <v>Commodities</v>
      </c>
      <c r="D8" s="101" t="str">
        <f>VLOOKUP(A8,'BSE ALL CAP'!$B$4:$Y$1038,3,)</f>
        <v>Pesticides &amp; Agrochemicals</v>
      </c>
      <c r="E8" s="101">
        <f ca="1">IFERROR(__xludf.DUMMYFUNCTION("GOOGLEFINANCE(""BOM:""&amp;A8,""PRICE"")"),991.6)</f>
        <v>991.6</v>
      </c>
      <c r="F8" s="112">
        <f ca="1">IFERROR(__xludf.DUMMYFUNCTION("GOOGLEFINANCE(""BOM:""&amp;A8,""MARKETCAP"")/10000000"),4471.769344)</f>
        <v>4471.7693440000003</v>
      </c>
      <c r="G8" s="95">
        <f t="shared" ca="1" si="0"/>
        <v>2.6043206495696216E-2</v>
      </c>
      <c r="H8" s="101">
        <f>VLOOKUP(A8,'BSE ALL CAP'!$B$4:$Y$1038,7,)</f>
        <v>1539</v>
      </c>
      <c r="I8" s="101">
        <f>VLOOKUP(A8,'BSE ALL CAP'!$B$4:$Y$1038,8,)</f>
        <v>1593</v>
      </c>
      <c r="J8" s="101">
        <f>VLOOKUP(A8,'BSE ALL CAP'!$B$4:$Y$1038,9,)</f>
        <v>189</v>
      </c>
      <c r="K8" s="101">
        <f>VLOOKUP(A8,'BSE ALL CAP'!$B$4:$Y$1038,10,)</f>
        <v>221</v>
      </c>
      <c r="L8" s="101">
        <f>VLOOKUP(A8,'BSE ALL CAP'!$B$4:$Y$1038,11,)</f>
        <v>409</v>
      </c>
      <c r="M8" s="101">
        <f>VLOOKUP(A8,'BSE ALL CAP'!$B$4:$Y$1038,12,)</f>
        <v>445</v>
      </c>
      <c r="N8" s="101">
        <f>VLOOKUP(A8,'BSE ALL CAP'!$B$4:$Y$1038,13,)</f>
        <v>39</v>
      </c>
      <c r="O8" s="101">
        <f>VLOOKUP(A8,'BSE ALL CAP'!$B$4:$Y$1038,14,)</f>
        <v>55</v>
      </c>
      <c r="P8" s="95">
        <f>VLOOKUP(A8,'BSE ALL CAP'!$B$4:$Y$1038,15,)</f>
        <v>0.12280701754385964</v>
      </c>
      <c r="Q8" s="95">
        <f>VLOOKUP(A8,'BSE ALL CAP'!$B$4:$Y$1038,16,)</f>
        <v>0.13873195229127433</v>
      </c>
      <c r="R8" s="95">
        <f>VLOOKUP(A8,'BSE ALL CAP'!$B$4:$Y$1038,17,)</f>
        <v>-1.5924934747414687E-2</v>
      </c>
      <c r="S8" s="95">
        <f>VLOOKUP(A8,'BSE ALL CAP'!$B$4:$Y$1038,18,)</f>
        <v>9.5354523227383858E-2</v>
      </c>
      <c r="T8" s="95">
        <f>VLOOKUP(A8,'BSE ALL CAP'!$B$4:$Y$1038,19,)</f>
        <v>0.12359550561797752</v>
      </c>
      <c r="U8" s="95">
        <f>VLOOKUP(A8,'BSE ALL CAP'!$B$4:$Y$1038,20,)</f>
        <v>-2.8240982390593666E-2</v>
      </c>
      <c r="V8" s="95">
        <f>VLOOKUP(A8,'BSE ALL CAP'!$B$4:$Y$1038,21,)</f>
        <v>-3.3898305084745783E-2</v>
      </c>
      <c r="W8" s="95">
        <f>VLOOKUP(A8,'BSE ALL CAP'!$B$4:$Y$1038,22,)</f>
        <v>-0.14479638009049778</v>
      </c>
      <c r="X8" s="95">
        <f>VLOOKUP(A8,'BSE ALL CAP'!$B$4:$Y$1038,23,)</f>
        <v>-8.0898876404494335E-2</v>
      </c>
      <c r="Y8" s="95">
        <f>VLOOKUP(A8,'BSE ALL CAP'!$B$4:$Y$1038,24,)</f>
        <v>-0.29090909090909089</v>
      </c>
    </row>
    <row r="9" spans="1:25" ht="15.75" customHeight="1">
      <c r="A9" s="99">
        <v>524709</v>
      </c>
      <c r="B9" s="98" t="s">
        <v>2304</v>
      </c>
      <c r="C9" s="101" t="str">
        <f>VLOOKUP(A9,'BSE ALL CAP'!$B$4:$Y$1038,2,)</f>
        <v>Commodities</v>
      </c>
      <c r="D9" s="101" t="str">
        <f>VLOOKUP(A9,'BSE ALL CAP'!$B$4:$Y$1038,3,)</f>
        <v>Pesticides &amp; Agrochemicals</v>
      </c>
      <c r="E9" s="101">
        <f ca="1">IFERROR(__xludf.DUMMYFUNCTION("GOOGLEFINANCE(""BOM:""&amp;A9,""PRICE"")"),143.95)</f>
        <v>143.94999999999999</v>
      </c>
      <c r="F9" s="112">
        <f ca="1">IFERROR(__xludf.DUMMYFUNCTION("GOOGLEFINANCE(""BOM:""&amp;A9,""MARKETCAP"")/10000000"),3396.7563129)</f>
        <v>3396.7563129</v>
      </c>
      <c r="G9" s="95">
        <f t="shared" ca="1" si="0"/>
        <v>1.9782421513110673E-2</v>
      </c>
      <c r="H9" s="101">
        <f>VLOOKUP(A9,'BSE ALL CAP'!$B$4:$Y$1038,7,)</f>
        <v>1223</v>
      </c>
      <c r="I9" s="101">
        <f>VLOOKUP(A9,'BSE ALL CAP'!$B$4:$Y$1038,8,)</f>
        <v>1033</v>
      </c>
      <c r="J9" s="101">
        <f>VLOOKUP(A9,'BSE ALL CAP'!$B$4:$Y$1038,9,)</f>
        <v>5</v>
      </c>
      <c r="K9" s="101">
        <f>VLOOKUP(A9,'BSE ALL CAP'!$B$4:$Y$1038,10,)</f>
        <v>-42</v>
      </c>
      <c r="L9" s="101">
        <f>VLOOKUP(A9,'BSE ALL CAP'!$B$4:$Y$1038,11,)</f>
        <v>318</v>
      </c>
      <c r="M9" s="101">
        <f>VLOOKUP(A9,'BSE ALL CAP'!$B$4:$Y$1038,12,)</f>
        <v>267</v>
      </c>
      <c r="N9" s="101">
        <f>VLOOKUP(A9,'BSE ALL CAP'!$B$4:$Y$1038,13,)</f>
        <v>-10</v>
      </c>
      <c r="O9" s="101">
        <f>VLOOKUP(A9,'BSE ALL CAP'!$B$4:$Y$1038,14,)</f>
        <v>-36</v>
      </c>
      <c r="P9" s="95">
        <f>VLOOKUP(A9,'BSE ALL CAP'!$B$4:$Y$1038,15,)</f>
        <v>4.0883074407195418E-3</v>
      </c>
      <c r="Q9" s="95">
        <f>VLOOKUP(A9,'BSE ALL CAP'!$B$4:$Y$1038,16,)</f>
        <v>-4.0658276863504358E-2</v>
      </c>
      <c r="R9" s="95">
        <f>VLOOKUP(A9,'BSE ALL CAP'!$B$4:$Y$1038,17,)</f>
        <v>4.4746584304223902E-2</v>
      </c>
      <c r="S9" s="95">
        <f>VLOOKUP(A9,'BSE ALL CAP'!$B$4:$Y$1038,18,)</f>
        <v>-3.1446540880503145E-2</v>
      </c>
      <c r="T9" s="95">
        <f>VLOOKUP(A9,'BSE ALL CAP'!$B$4:$Y$1038,19,)</f>
        <v>-0.1348314606741573</v>
      </c>
      <c r="U9" s="95">
        <f>VLOOKUP(A9,'BSE ALL CAP'!$B$4:$Y$1038,20,)</f>
        <v>0.10338491979365416</v>
      </c>
      <c r="V9" s="95">
        <f>VLOOKUP(A9,'BSE ALL CAP'!$B$4:$Y$1038,21,)</f>
        <v>0.18393030009680533</v>
      </c>
      <c r="W9" s="95">
        <f>VLOOKUP(A9,'BSE ALL CAP'!$B$4:$Y$1038,22,)</f>
        <v>-1.1190476190476191</v>
      </c>
      <c r="X9" s="95">
        <f>VLOOKUP(A9,'BSE ALL CAP'!$B$4:$Y$1038,23,)</f>
        <v>0.1910112359550562</v>
      </c>
      <c r="Y9" s="95">
        <f>VLOOKUP(A9,'BSE ALL CAP'!$B$4:$Y$1038,24,)</f>
        <v>-0.72222222222222221</v>
      </c>
    </row>
    <row r="10" spans="1:25" ht="15.75" customHeight="1">
      <c r="A10" s="99">
        <v>531719</v>
      </c>
      <c r="B10" s="98" t="s">
        <v>2305</v>
      </c>
      <c r="C10" s="101" t="str">
        <f>VLOOKUP(A10,'BSE ALL CAP'!$B$4:$Y$1038,2,)</f>
        <v>Commodities</v>
      </c>
      <c r="D10" s="101" t="str">
        <f>VLOOKUP(A10,'BSE ALL CAP'!$B$4:$Y$1038,3,)</f>
        <v>Pesticides &amp; Agrochemicals</v>
      </c>
      <c r="E10" s="101">
        <f ca="1">IFERROR(__xludf.DUMMYFUNCTION("GOOGLEFINANCE(""BOM:""&amp;A10,""PRICE"")"),210)</f>
        <v>210</v>
      </c>
      <c r="F10" s="112">
        <f ca="1">IFERROR(__xludf.DUMMYFUNCTION("GOOGLEFINANCE(""BOM:""&amp;A10,""MARKETCAP"")/10000000"),2724.9939558)</f>
        <v>2724.9939558000001</v>
      </c>
      <c r="G10" s="95">
        <f t="shared" ca="1" si="0"/>
        <v>1.5870134354233699E-2</v>
      </c>
      <c r="H10" s="101">
        <f>VLOOKUP(A10,'BSE ALL CAP'!$B$4:$Y$1038,7,)</f>
        <v>377</v>
      </c>
      <c r="I10" s="101">
        <f>VLOOKUP(A10,'BSE ALL CAP'!$B$4:$Y$1038,8,)</f>
        <v>317</v>
      </c>
      <c r="J10" s="101">
        <f>VLOOKUP(A10,'BSE ALL CAP'!$B$4:$Y$1038,9,)</f>
        <v>14</v>
      </c>
      <c r="K10" s="101">
        <f>VLOOKUP(A10,'BSE ALL CAP'!$B$4:$Y$1038,10,)</f>
        <v>14</v>
      </c>
      <c r="L10" s="101">
        <f>VLOOKUP(A10,'BSE ALL CAP'!$B$4:$Y$1038,11,)</f>
        <v>113</v>
      </c>
      <c r="M10" s="101">
        <f>VLOOKUP(A10,'BSE ALL CAP'!$B$4:$Y$1038,12,)</f>
        <v>102</v>
      </c>
      <c r="N10" s="101">
        <f>VLOOKUP(A10,'BSE ALL CAP'!$B$4:$Y$1038,13,)</f>
        <v>4</v>
      </c>
      <c r="O10" s="101">
        <f>VLOOKUP(A10,'BSE ALL CAP'!$B$4:$Y$1038,14,)</f>
        <v>3</v>
      </c>
      <c r="P10" s="95">
        <f>VLOOKUP(A10,'BSE ALL CAP'!$B$4:$Y$1038,15,)</f>
        <v>3.7135278514588858E-2</v>
      </c>
      <c r="Q10" s="95">
        <f>VLOOKUP(A10,'BSE ALL CAP'!$B$4:$Y$1038,16,)</f>
        <v>4.4164037854889593E-2</v>
      </c>
      <c r="R10" s="95">
        <f>VLOOKUP(A10,'BSE ALL CAP'!$B$4:$Y$1038,17,)</f>
        <v>-7.0287593403007345E-3</v>
      </c>
      <c r="S10" s="95">
        <f>VLOOKUP(A10,'BSE ALL CAP'!$B$4:$Y$1038,18,)</f>
        <v>3.5398230088495575E-2</v>
      </c>
      <c r="T10" s="95">
        <f>VLOOKUP(A10,'BSE ALL CAP'!$B$4:$Y$1038,19,)</f>
        <v>2.9411764705882353E-2</v>
      </c>
      <c r="U10" s="95">
        <f>VLOOKUP(A10,'BSE ALL CAP'!$B$4:$Y$1038,20,)</f>
        <v>5.9864653826132222E-3</v>
      </c>
      <c r="V10" s="95">
        <f>VLOOKUP(A10,'BSE ALL CAP'!$B$4:$Y$1038,21,)</f>
        <v>0.18927444794952675</v>
      </c>
      <c r="W10" s="95">
        <f>VLOOKUP(A10,'BSE ALL CAP'!$B$4:$Y$1038,22,)</f>
        <v>0</v>
      </c>
      <c r="X10" s="95">
        <f>VLOOKUP(A10,'BSE ALL CAP'!$B$4:$Y$1038,23,)</f>
        <v>0.10784313725490202</v>
      </c>
      <c r="Y10" s="95">
        <f>VLOOKUP(A10,'BSE ALL CAP'!$B$4:$Y$1038,24,)</f>
        <v>0.33333333333333326</v>
      </c>
    </row>
    <row r="11" spans="1:25" ht="15.75" customHeight="1">
      <c r="A11" s="99">
        <v>590021</v>
      </c>
      <c r="B11" s="98" t="s">
        <v>2306</v>
      </c>
      <c r="C11" s="101"/>
      <c r="D11" s="101"/>
      <c r="E11" s="101">
        <f ca="1">IFERROR(__xludf.DUMMYFUNCTION("GOOGLEFINANCE(""BOM:""&amp;A11,""PRICE"")"),1331.5)</f>
        <v>1331.5</v>
      </c>
      <c r="F11" s="112">
        <f ca="1">IFERROR(__xludf.DUMMYFUNCTION("GOOGLEFINANCE(""BOM:""&amp;A11,""MARKETCAP"")/10000000"),2208.1091495)</f>
        <v>2208.1091495000001</v>
      </c>
      <c r="G11" s="95">
        <f t="shared" ca="1" si="0"/>
        <v>1.2859840953698494E-2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532851</v>
      </c>
      <c r="B12" s="98" t="s">
        <v>2307</v>
      </c>
      <c r="C12" s="101"/>
      <c r="D12" s="101"/>
      <c r="E12" s="101">
        <f ca="1">IFERROR(__xludf.DUMMYFUNCTION("GOOGLEFINANCE(""BOM:""&amp;A12,""PRICE"")"),611.25)</f>
        <v>611.25</v>
      </c>
      <c r="F12" s="112">
        <f ca="1">IFERROR(__xludf.DUMMYFUNCTION("GOOGLEFINANCE(""BOM:""&amp;A12,""MARKETCAP"")/10000000"),1778.895766)</f>
        <v>1778.8957660000001</v>
      </c>
      <c r="G12" s="95">
        <f t="shared" ca="1" si="0"/>
        <v>1.0360138505448303E-2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543311</v>
      </c>
      <c r="B13" s="98" t="s">
        <v>2308</v>
      </c>
      <c r="C13" s="101"/>
      <c r="D13" s="101"/>
      <c r="E13" s="101">
        <f ca="1">IFERROR(__xludf.DUMMYFUNCTION("GOOGLEFINANCE(""BOM:""&amp;A13,""PRICE"")"),139.5)</f>
        <v>139.5</v>
      </c>
      <c r="F13" s="112">
        <f ca="1">IFERROR(__xludf.DUMMYFUNCTION("GOOGLEFINANCE(""BOM:""&amp;A13,""MARKETCAP"")/10000000"),1603.51344)</f>
        <v>1603.5134399999999</v>
      </c>
      <c r="G13" s="95">
        <f t="shared" ca="1" si="0"/>
        <v>9.3387266703674112E-3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533138</v>
      </c>
      <c r="B14" s="98" t="s">
        <v>2309</v>
      </c>
      <c r="C14" s="101"/>
      <c r="D14" s="101"/>
      <c r="E14" s="101">
        <f ca="1">IFERROR(__xludf.DUMMYFUNCTION("GOOGLEFINANCE(""BOM:""&amp;A14,""PRICE"")"),543.3)</f>
        <v>543.29999999999995</v>
      </c>
      <c r="F14" s="112">
        <f ca="1">IFERROR(__xludf.DUMMYFUNCTION("GOOGLEFINANCE(""BOM:""&amp;A14,""MARKETCAP"")/10000000"),1212.041384)</f>
        <v>1212.0413840000001</v>
      </c>
      <c r="G14" s="95">
        <f t="shared" ca="1" si="0"/>
        <v>7.0588265218094028E-3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506618</v>
      </c>
      <c r="B15" s="98" t="s">
        <v>2310</v>
      </c>
      <c r="C15" s="101"/>
      <c r="D15" s="101"/>
      <c r="E15" s="101">
        <f ca="1">IFERROR(__xludf.DUMMYFUNCTION("GOOGLEFINANCE(""BOM:""&amp;A15,""PRICE"")"),938)</f>
        <v>938</v>
      </c>
      <c r="F15" s="112">
        <f ca="1">IFERROR(__xludf.DUMMYFUNCTION("GOOGLEFINANCE(""BOM:""&amp;A15,""MARKETCAP"")/10000000"),1137.854032)</f>
        <v>1137.854032</v>
      </c>
      <c r="G15" s="95">
        <f t="shared" ca="1" si="0"/>
        <v>6.6267656575572532E-3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543331</v>
      </c>
      <c r="B16" s="98" t="s">
        <v>2311</v>
      </c>
      <c r="C16" s="101"/>
      <c r="D16" s="101"/>
      <c r="E16" s="101">
        <f ca="1">IFERROR(__xludf.DUMMYFUNCTION("GOOGLEFINANCE(""BOM:""&amp;A16,""PRICE"")"),46.11)</f>
        <v>46.11</v>
      </c>
      <c r="F16" s="112">
        <f ca="1">IFERROR(__xludf.DUMMYFUNCTION("GOOGLEFINANCE(""BOM:""&amp;A16,""MARKETCAP"")/10000000"),1175.6940726)</f>
        <v>1175.6940726</v>
      </c>
      <c r="G16" s="95">
        <f t="shared" ca="1" si="0"/>
        <v>6.8471428539959725E-3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543266</v>
      </c>
      <c r="B17" s="98" t="s">
        <v>2312</v>
      </c>
      <c r="C17" s="101"/>
      <c r="D17" s="101"/>
      <c r="E17" s="101">
        <f ca="1">IFERROR(__xludf.DUMMYFUNCTION("GOOGLEFINANCE(""BOM:""&amp;A17,""PRICE"")"),178.35)</f>
        <v>178.35</v>
      </c>
      <c r="F17" s="112">
        <f ca="1">IFERROR(__xludf.DUMMYFUNCTION("GOOGLEFINANCE(""BOM:""&amp;A17,""MARKETCAP"")/10000000"),710.0861029)</f>
        <v>710.08610290000001</v>
      </c>
      <c r="G17" s="95">
        <f t="shared" ca="1" si="0"/>
        <v>4.1354814134950367E-3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543687</v>
      </c>
      <c r="B18" s="98" t="s">
        <v>2313</v>
      </c>
      <c r="C18" s="101"/>
      <c r="D18" s="101"/>
      <c r="E18" s="101">
        <f ca="1">IFERROR(__xludf.DUMMYFUNCTION("GOOGLEFINANCE(""BOM:""&amp;A18,""PRICE"")"),245.9)</f>
        <v>245.9</v>
      </c>
      <c r="F18" s="112">
        <f ca="1">IFERROR(__xludf.DUMMYFUNCTION("GOOGLEFINANCE(""BOM:""&amp;A18,""MARKETCAP"")/10000000"),829.5544727)</f>
        <v>829.55447270000002</v>
      </c>
      <c r="G18" s="95">
        <f t="shared" ca="1" si="0"/>
        <v>4.8312550961381803E-3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544562</v>
      </c>
      <c r="B19" s="98" t="s">
        <v>2314</v>
      </c>
      <c r="C19" s="101"/>
      <c r="D19" s="101"/>
      <c r="E19" s="101">
        <f ca="1">IFERROR(__xludf.DUMMYFUNCTION("GOOGLEFINANCE(""BOM:""&amp;A19,""PRICE"")"),95.57)</f>
        <v>95.57</v>
      </c>
      <c r="F19" s="112">
        <f ca="1">IFERROR(__xludf.DUMMYFUNCTION("GOOGLEFINANCE(""BOM:""&amp;A19,""MARKETCAP"")/10000000"),617.142816)</f>
        <v>617.14281600000004</v>
      </c>
      <c r="G19" s="95">
        <f t="shared" ca="1" si="0"/>
        <v>3.5941875705169323E-3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539660</v>
      </c>
      <c r="B20" s="98" t="s">
        <v>2315</v>
      </c>
      <c r="C20" s="101"/>
      <c r="D20" s="101"/>
      <c r="E20" s="101">
        <f ca="1">IFERROR(__xludf.DUMMYFUNCTION("GOOGLEFINANCE(""BOM:""&amp;A20,""PRICE"")"),14.25)</f>
        <v>14.25</v>
      </c>
      <c r="F20" s="112">
        <f ca="1">IFERROR(__xludf.DUMMYFUNCTION("GOOGLEFINANCE(""BOM:""&amp;A20,""MARKETCAP"")/10000000"),502.9154175)</f>
        <v>502.91541749999999</v>
      </c>
      <c r="G20" s="95">
        <f t="shared" ca="1" si="0"/>
        <v>2.9289368615121876E-3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539148</v>
      </c>
      <c r="B21" s="98" t="s">
        <v>2316</v>
      </c>
      <c r="C21" s="101"/>
      <c r="D21" s="101"/>
      <c r="E21" s="101">
        <f ca="1">IFERROR(__xludf.DUMMYFUNCTION("GOOGLEFINANCE(""BOM:""&amp;A21,""PRICE"")"),240.75)</f>
        <v>240.75</v>
      </c>
      <c r="F21" s="112">
        <f ca="1">IFERROR(__xludf.DUMMYFUNCTION("GOOGLEFINANCE(""BOM:""&amp;A21,""MARKETCAP"")/10000000"),378.2508588)</f>
        <v>378.2508588</v>
      </c>
      <c r="G21" s="95">
        <f t="shared" ca="1" si="0"/>
        <v>2.2029010141411337E-3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544432</v>
      </c>
      <c r="B22" s="98" t="s">
        <v>2317</v>
      </c>
      <c r="C22" s="101"/>
      <c r="D22" s="101"/>
      <c r="E22" s="101">
        <f ca="1">IFERROR(__xludf.DUMMYFUNCTION("GOOGLEFINANCE(""BOM:""&amp;A22,""PRICE"")"),63.54)</f>
        <v>63.54</v>
      </c>
      <c r="F22" s="112">
        <f ca="1">IFERROR(__xludf.DUMMYFUNCTION("GOOGLEFINANCE(""BOM:""&amp;A22,""MARKETCAP"")/10000000"),399.0698812)</f>
        <v>399.0698812</v>
      </c>
      <c r="G22" s="95">
        <f t="shared" ca="1" si="0"/>
        <v>2.3241492399981344E-3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544611</v>
      </c>
      <c r="B23" s="98" t="s">
        <v>2318</v>
      </c>
      <c r="C23" s="101"/>
      <c r="D23" s="101"/>
      <c r="E23" s="101">
        <f ca="1">IFERROR(__xludf.DUMMYFUNCTION("GOOGLEFINANCE(""BOM:""&amp;A23,""PRICE"")"),156.85)</f>
        <v>156.85</v>
      </c>
      <c r="F23" s="112">
        <f ca="1">IFERROR(__xludf.DUMMYFUNCTION("GOOGLEFINANCE(""BOM:""&amp;A23,""MARKETCAP"")/10000000"),367.1072824)</f>
        <v>367.10728239999997</v>
      </c>
      <c r="G23" s="95">
        <f t="shared" ca="1" si="0"/>
        <v>2.1380017675654661E-3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524534</v>
      </c>
      <c r="B24" s="98" t="s">
        <v>2319</v>
      </c>
      <c r="C24" s="101"/>
      <c r="D24" s="101"/>
      <c r="E24" s="101">
        <f ca="1">IFERROR(__xludf.DUMMYFUNCTION("GOOGLEFINANCE(""BOM:""&amp;A24,""PRICE"")"),179.95)</f>
        <v>179.95</v>
      </c>
      <c r="F24" s="112">
        <f ca="1">IFERROR(__xludf.DUMMYFUNCTION("GOOGLEFINANCE(""BOM:""&amp;A24,""MARKETCAP"")/10000000"),93.7473442)</f>
        <v>93.747344200000001</v>
      </c>
      <c r="G24" s="95">
        <f t="shared" ca="1" si="0"/>
        <v>5.4597660469665515E-4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524288</v>
      </c>
      <c r="B25" s="98" t="s">
        <v>2320</v>
      </c>
      <c r="C25" s="101"/>
      <c r="D25" s="101"/>
      <c r="E25" s="101">
        <f ca="1">IFERROR(__xludf.DUMMYFUNCTION("GOOGLEFINANCE(""BOM:""&amp;A25,""PRICE"")"),43)</f>
        <v>43</v>
      </c>
      <c r="F25" s="112">
        <f ca="1">IFERROR(__xludf.DUMMYFUNCTION("GOOGLEFINANCE(""BOM:""&amp;A25,""MARKETCAP"")/10000000"),42.0648059)</f>
        <v>42.064805900000003</v>
      </c>
      <c r="G25" s="95">
        <f t="shared" ca="1" si="0"/>
        <v>2.4498187227053018E-4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530883</v>
      </c>
      <c r="B26" s="98" t="s">
        <v>2321</v>
      </c>
      <c r="C26" s="101"/>
      <c r="D26" s="101"/>
      <c r="E26" s="101">
        <f ca="1">IFERROR(__xludf.DUMMYFUNCTION("GOOGLEFINANCE(""BOM:""&amp;A26,""PRICE"")"),7.91)</f>
        <v>7.91</v>
      </c>
      <c r="F26" s="112">
        <f ca="1">IFERROR(__xludf.DUMMYFUNCTION("GOOGLEFINANCE(""BOM:""&amp;A26,""MARKETCAP"")/10000000"),31.8096609)</f>
        <v>31.809660900000001</v>
      </c>
      <c r="G26" s="95">
        <f t="shared" ca="1" si="0"/>
        <v>1.8525677503655562E-4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526711</v>
      </c>
      <c r="B27" s="98" t="s">
        <v>2322</v>
      </c>
      <c r="C27" s="101"/>
      <c r="D27" s="101"/>
      <c r="E27" s="101">
        <f ca="1">IFERROR(__xludf.DUMMYFUNCTION("GOOGLEFINANCE(""BOM:""&amp;A27,""PRICE"")"),30.5)</f>
        <v>30.5</v>
      </c>
      <c r="F27" s="112">
        <f ca="1">IFERROR(__xludf.DUMMYFUNCTION("GOOGLEFINANCE(""BOM:""&amp;A27,""MARKETCAP"")/10000000"),30.230075)</f>
        <v>30.230074999999999</v>
      </c>
      <c r="G27" s="95">
        <f t="shared" ca="1" si="0"/>
        <v>1.7605740033566986E-4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524808</v>
      </c>
      <c r="B28" s="98" t="s">
        <v>2323</v>
      </c>
      <c r="C28" s="101"/>
      <c r="D28" s="101"/>
      <c r="E28" s="101">
        <f ca="1">IFERROR(__xludf.DUMMYFUNCTION("GOOGLEFINANCE(""BOM:""&amp;A28,""PRICE"")"),21.12)</f>
        <v>21.12</v>
      </c>
      <c r="F28" s="112">
        <f ca="1">IFERROR(__xludf.DUMMYFUNCTION("GOOGLEFINANCE(""BOM:""&amp;A28,""MARKETCAP"")/10000000"),9.0820227)</f>
        <v>9.0820226999999996</v>
      </c>
      <c r="G28" s="95">
        <f t="shared" ca="1" si="0"/>
        <v>5.2892932166114082E-5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543207</v>
      </c>
      <c r="B29" s="98" t="s">
        <v>2324</v>
      </c>
      <c r="C29" s="101"/>
      <c r="D29" s="101"/>
      <c r="E29" s="101">
        <f ca="1">IFERROR(__xludf.DUMMYFUNCTION("GOOGLEFINANCE(""BOM:""&amp;A29,""PRICE"")"),3.44)</f>
        <v>3.44</v>
      </c>
      <c r="F29" s="112">
        <f ca="1">IFERROR(__xludf.DUMMYFUNCTION("GOOGLEFINANCE(""BOM:""&amp;A29,""MARKETCAP"")/10000000"),8.8692833)</f>
        <v>8.8692832999999993</v>
      </c>
      <c r="G29" s="95">
        <f t="shared" ca="1" si="0"/>
        <v>5.1653955891229874E-5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506580</v>
      </c>
      <c r="B30" s="98" t="s">
        <v>2325</v>
      </c>
      <c r="C30" s="101"/>
      <c r="D30" s="101"/>
      <c r="E30" s="101">
        <f ca="1">IFERROR(__xludf.DUMMYFUNCTION("GOOGLEFINANCE(""BOM:""&amp;A30,""PRICE"")"),0)</f>
        <v>0</v>
      </c>
      <c r="F30" s="112"/>
      <c r="G30" s="95">
        <f t="shared" ca="1" si="0"/>
        <v>0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3.2">
      <c r="A31" s="101"/>
      <c r="B31" s="101"/>
      <c r="C31" s="101"/>
      <c r="D31" s="101"/>
      <c r="E31" s="101"/>
      <c r="F31" s="101"/>
      <c r="G31" s="95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3.2">
      <c r="A32" s="101"/>
      <c r="B32" s="101"/>
      <c r="C32" s="101"/>
      <c r="D32" s="101"/>
      <c r="E32" s="101"/>
      <c r="F32" s="112">
        <f ca="1">SUM(F1:F30)</f>
        <v>171705.78994329998</v>
      </c>
      <c r="G32" s="95">
        <f ca="1">F32/$F$32</f>
        <v>1</v>
      </c>
      <c r="H32" s="101">
        <f t="shared" ref="H32:O32" si="1">SUM(H2:H30)</f>
        <v>54562</v>
      </c>
      <c r="I32" s="101">
        <f t="shared" si="1"/>
        <v>51817</v>
      </c>
      <c r="J32" s="101">
        <f t="shared" si="1"/>
        <v>3773</v>
      </c>
      <c r="K32" s="101">
        <f t="shared" si="1"/>
        <v>2350</v>
      </c>
      <c r="L32" s="101">
        <f t="shared" si="1"/>
        <v>18068</v>
      </c>
      <c r="M32" s="101">
        <f t="shared" si="1"/>
        <v>16770</v>
      </c>
      <c r="N32" s="101">
        <f t="shared" si="1"/>
        <v>1151</v>
      </c>
      <c r="O32" s="101">
        <f t="shared" si="1"/>
        <v>1410</v>
      </c>
      <c r="P32" s="95">
        <f t="shared" ref="P32:Q32" si="2">J32/H32</f>
        <v>6.9150690957076349E-2</v>
      </c>
      <c r="Q32" s="95">
        <f t="shared" si="2"/>
        <v>4.5351911534824478E-2</v>
      </c>
      <c r="R32" s="95">
        <f>P32-Q32</f>
        <v>2.3798779422251871E-2</v>
      </c>
      <c r="S32" s="95">
        <f t="shared" ref="S32:T32" si="3">N32/L32</f>
        <v>6.3703785698472432E-2</v>
      </c>
      <c r="T32" s="95">
        <f t="shared" si="3"/>
        <v>8.4078711985688726E-2</v>
      </c>
      <c r="U32" s="95">
        <f>S32-T32</f>
        <v>-2.0374926287216294E-2</v>
      </c>
      <c r="V32" s="95">
        <f>(H32/I32)-1</f>
        <v>5.2974892409827001E-2</v>
      </c>
      <c r="W32" s="95">
        <f>(J32/K32)-1</f>
        <v>0.60553191489361713</v>
      </c>
      <c r="X32" s="95">
        <f>(L32/M32)-1</f>
        <v>7.7400119260584432E-2</v>
      </c>
      <c r="Y32" s="95">
        <f>(N32/O32)-1</f>
        <v>-0.18368794326241134</v>
      </c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30" xr:uid="{00000000-0009-0000-0000-000043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  <pageSetUpPr fitToPage="1"/>
  </sheetPr>
  <dimension ref="A1:AB1001"/>
  <sheetViews>
    <sheetView workbookViewId="0"/>
  </sheetViews>
  <sheetFormatPr defaultColWidth="12.6640625" defaultRowHeight="15.75" customHeight="1"/>
  <cols>
    <col min="2" max="2" width="23.6640625" customWidth="1"/>
  </cols>
  <sheetData>
    <row r="1" spans="1:28">
      <c r="A1" s="1"/>
      <c r="B1" s="1"/>
      <c r="C1" s="1"/>
      <c r="D1" s="158" t="s">
        <v>1518</v>
      </c>
      <c r="E1" s="1"/>
      <c r="F1" s="21">
        <f ca="1">COUNT(F4:F578)</f>
        <v>55</v>
      </c>
      <c r="G1" s="21">
        <f>SUM(G4:G57)</f>
        <v>3052802</v>
      </c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59">
        <f ca="1">AB2/AA2</f>
        <v>38.723961155181009</v>
      </c>
    </row>
    <row r="2" spans="1:28" ht="15.75" customHeight="1">
      <c r="A2" s="1"/>
      <c r="B2" s="1"/>
      <c r="C2" s="160"/>
      <c r="D2" s="161" t="s">
        <v>1519</v>
      </c>
      <c r="E2" s="160"/>
      <c r="F2" s="162">
        <f t="shared" ref="F2:N2" ca="1" si="0">SUM(F4:F60)</f>
        <v>10033754.468843298</v>
      </c>
      <c r="G2" s="162">
        <f t="shared" si="0"/>
        <v>3069353</v>
      </c>
      <c r="H2" s="162">
        <f t="shared" si="0"/>
        <v>2768631</v>
      </c>
      <c r="I2" s="162">
        <f t="shared" si="0"/>
        <v>338164</v>
      </c>
      <c r="J2" s="162">
        <f t="shared" si="0"/>
        <v>303670</v>
      </c>
      <c r="K2" s="162">
        <f t="shared" si="0"/>
        <v>1078365</v>
      </c>
      <c r="L2" s="162">
        <f t="shared" si="0"/>
        <v>940044</v>
      </c>
      <c r="M2" s="162">
        <f t="shared" si="0"/>
        <v>113152</v>
      </c>
      <c r="N2" s="162">
        <f t="shared" si="0"/>
        <v>105416</v>
      </c>
      <c r="O2" s="163">
        <f t="shared" ref="O2:P2" si="1">I2/G2</f>
        <v>0.110174359221634</v>
      </c>
      <c r="P2" s="163">
        <f t="shared" si="1"/>
        <v>0.10968236648365202</v>
      </c>
      <c r="Q2" s="163">
        <f>O2-P2</f>
        <v>4.9199273798197773E-4</v>
      </c>
      <c r="R2" s="163">
        <f t="shared" ref="R2:S2" si="2">M2/K2</f>
        <v>0.10492922155299922</v>
      </c>
      <c r="S2" s="163">
        <f t="shared" si="2"/>
        <v>0.11213943177127879</v>
      </c>
      <c r="T2" s="163">
        <f>R2-S2</f>
        <v>-7.2102102182795696E-3</v>
      </c>
      <c r="U2" s="164">
        <f>(G2/H2)-1</f>
        <v>0.10861758031315838</v>
      </c>
      <c r="V2" s="165">
        <f>(I2/J2)-1</f>
        <v>0.11359041064313224</v>
      </c>
      <c r="W2" s="165">
        <f>(K2/L2)-1</f>
        <v>0.14714311245005551</v>
      </c>
      <c r="X2" s="165">
        <f>(M2/N2)-1</f>
        <v>7.3385444334825856E-2</v>
      </c>
      <c r="Y2" s="103">
        <f ca="1">MEDIAN(Y4:Y57)</f>
        <v>36.790000000000006</v>
      </c>
      <c r="Z2" s="1"/>
      <c r="AA2" s="166">
        <f t="shared" ref="AA2:AB2" ca="1" si="3">SUM(AA4:AA57)</f>
        <v>81.506879999999995</v>
      </c>
      <c r="AB2" s="103">
        <f t="shared" ca="1" si="3"/>
        <v>3156.2692549999997</v>
      </c>
    </row>
    <row r="3" spans="1:28" ht="15.75" customHeight="1">
      <c r="A3" s="5" t="s">
        <v>1505</v>
      </c>
      <c r="B3" s="1" t="s">
        <v>1506</v>
      </c>
      <c r="C3" s="167" t="s">
        <v>1520</v>
      </c>
      <c r="D3" s="168" t="s">
        <v>1507</v>
      </c>
      <c r="E3" s="168" t="s">
        <v>1508</v>
      </c>
      <c r="F3" s="144" t="s">
        <v>1509</v>
      </c>
      <c r="G3" s="144" t="s">
        <v>149</v>
      </c>
      <c r="H3" s="144" t="s">
        <v>150</v>
      </c>
      <c r="I3" s="144" t="s">
        <v>151</v>
      </c>
      <c r="J3" s="144" t="s">
        <v>152</v>
      </c>
      <c r="K3" s="145" t="s">
        <v>153</v>
      </c>
      <c r="L3" s="145" t="s">
        <v>154</v>
      </c>
      <c r="M3" s="144" t="s">
        <v>155</v>
      </c>
      <c r="N3" s="144" t="s">
        <v>156</v>
      </c>
      <c r="O3" s="144" t="s">
        <v>157</v>
      </c>
      <c r="P3" s="144" t="s">
        <v>158</v>
      </c>
      <c r="Q3" s="146" t="s">
        <v>159</v>
      </c>
      <c r="R3" s="144" t="s">
        <v>160</v>
      </c>
      <c r="S3" s="144" t="s">
        <v>161</v>
      </c>
      <c r="T3" s="146" t="s">
        <v>162</v>
      </c>
      <c r="U3" s="145" t="s">
        <v>163</v>
      </c>
      <c r="V3" s="145" t="s">
        <v>164</v>
      </c>
      <c r="W3" s="145" t="s">
        <v>165</v>
      </c>
      <c r="X3" s="145" t="s">
        <v>166</v>
      </c>
      <c r="Y3" s="169" t="s">
        <v>59</v>
      </c>
      <c r="Z3" s="169" t="s">
        <v>1521</v>
      </c>
      <c r="AA3" s="170" t="s">
        <v>1522</v>
      </c>
      <c r="AB3" s="170" t="s">
        <v>1523</v>
      </c>
    </row>
    <row r="4" spans="1:28" ht="15.75" customHeight="1">
      <c r="A4" s="147">
        <v>500180</v>
      </c>
      <c r="B4" s="171" t="s">
        <v>172</v>
      </c>
      <c r="C4" s="172" t="s">
        <v>73</v>
      </c>
      <c r="D4" s="173">
        <v>5</v>
      </c>
      <c r="E4" s="174">
        <f ca="1">IFERROR(__xludf.DUMMYFUNCTION("GOOGLEFINANCE(""NSE:""&amp;C4,""PRICE"")"),768.65)</f>
        <v>768.65</v>
      </c>
      <c r="F4" s="174">
        <f ca="1">IFERROR(__xludf.DUMMYFUNCTION("GOOGLEFINANCE(""NSE:""&amp;C4,""marketcap"")/10000000"),589094.6196488)</f>
        <v>589094.6196488</v>
      </c>
      <c r="G4" s="11">
        <f>VLOOKUP(A4,'BSE ALL CAP'!$B$4:$Y$1034,7,)</f>
        <v>378542</v>
      </c>
      <c r="H4" s="11">
        <f>VLOOKUP(A4,'BSE ALL CAP'!$B$4:$Y$1007,8,)</f>
        <v>350647</v>
      </c>
      <c r="I4" s="11">
        <f>VLOOKUP(A4,'BSE ALL CAP'!$B$4:$Y$1007,9,)</f>
        <v>55675</v>
      </c>
      <c r="J4" s="11">
        <f>VLOOKUP(A4,'BSE ALL CAP'!$B$4:$Y$1007,10,)</f>
        <v>51957</v>
      </c>
      <c r="K4" s="11">
        <f>VLOOKUP(A4,'BSE ALL CAP'!$B$4:$Y$1007,11,)</f>
        <v>126927</v>
      </c>
      <c r="L4" s="11">
        <f>VLOOKUP(A4,'BSE ALL CAP'!$B$4:$Y$1007,12,)</f>
        <v>112193</v>
      </c>
      <c r="M4" s="11">
        <f>VLOOKUP(A4,'BSE ALL CAP'!$B$4:$Y$1007,13,)</f>
        <v>19807</v>
      </c>
      <c r="N4" s="11">
        <f>VLOOKUP(A4,'BSE ALL CAP'!$B$4:$Y$1007,14,)</f>
        <v>17657</v>
      </c>
      <c r="O4" s="13">
        <f>VLOOKUP(A4,'BSE ALL CAP'!$B$4:$Y$1007,15,)</f>
        <v>0.14707747092792875</v>
      </c>
      <c r="P4" s="13">
        <f>VLOOKUP(A4,'BSE ALL CAP'!$B$4:$Y$1007,16,)</f>
        <v>0.1481746599856836</v>
      </c>
      <c r="Q4" s="13">
        <f>VLOOKUP(A4,'BSE ALL CAP'!$B$4:$Y$1007,17,)</f>
        <v>-1.0971890577548549E-3</v>
      </c>
      <c r="R4" s="13">
        <f>VLOOKUP(A4,'BSE ALL CAP'!$B$4:$Y$1007,18,)</f>
        <v>0.1560503281413726</v>
      </c>
      <c r="S4" s="13">
        <f>VLOOKUP(A4,'BSE ALL CAP'!$B$4:$Y$1007,19,)</f>
        <v>0.15738058524150347</v>
      </c>
      <c r="T4" s="13">
        <f>VLOOKUP(A4,'BSE ALL CAP'!$B$4:$Y$1007,20,)</f>
        <v>-1.3302571001308772E-3</v>
      </c>
      <c r="U4" s="13">
        <f>VLOOKUP(A4,'BSE ALL CAP'!$B$4:$Y$1007,21,)</f>
        <v>7.9552940706750563E-2</v>
      </c>
      <c r="V4" s="13">
        <f>VLOOKUP(A4,'BSE ALL CAP'!$B$4:$Y$1007,22,)</f>
        <v>7.1559173932290054E-2</v>
      </c>
      <c r="W4" s="13">
        <f>VLOOKUP(A4,'BSE ALL CAP'!$B$4:$Y$1007,23,)</f>
        <v>0.1313272664069951</v>
      </c>
      <c r="X4" s="13">
        <f>VLOOKUP(A4,'BSE ALL CAP'!$B$4:$Y$1007,24,)</f>
        <v>0.12176473919691899</v>
      </c>
      <c r="Y4" s="175">
        <f ca="1">IFERROR(__xludf.DUMMYFUNCTION("GOOGLEFINANCE(""NSE:""&amp;C4,""PE"")"),15.91)</f>
        <v>15.91</v>
      </c>
      <c r="Z4" s="176">
        <f ca="1">IFERROR(__xludf.DUMMYFUNCTION("GOOGLEFINANCE(""NSE:""&amp;C4,""EPS"")"),48.34)</f>
        <v>48.34</v>
      </c>
      <c r="AA4" s="177">
        <f t="shared" ref="AA4:AA58" ca="1" si="4">Z4*D4%</f>
        <v>2.4170000000000003</v>
      </c>
      <c r="AB4" s="178">
        <f t="shared" ref="AB4:AB58" ca="1" si="5">E4*D4%</f>
        <v>38.432500000000005</v>
      </c>
    </row>
    <row r="5" spans="1:28" ht="15.75" customHeight="1">
      <c r="A5" s="147">
        <v>500034</v>
      </c>
      <c r="B5" s="171" t="s">
        <v>172</v>
      </c>
      <c r="C5" s="172" t="s">
        <v>74</v>
      </c>
      <c r="D5" s="173">
        <v>4.0999999999999996</v>
      </c>
      <c r="E5" s="174">
        <f ca="1">IFERROR(__xludf.DUMMYFUNCTION("GOOGLEFINANCE(""NSE:""&amp;C5,""PRICE"")"),850.15)</f>
        <v>850.15</v>
      </c>
      <c r="F5" s="174">
        <f ca="1">IFERROR(__xludf.DUMMYFUNCTION("GOOGLEFINANCE(""NSE:""&amp;C5,""marketcap"")/10000000"),528451.5582833)</f>
        <v>528451.55828330002</v>
      </c>
      <c r="G5" s="11">
        <f>VLOOKUP(A5,'BSE ALL CAP'!$B$4:$Y$1007,7,)</f>
        <v>60917</v>
      </c>
      <c r="H5" s="11">
        <f>VLOOKUP(A5,'BSE ALL CAP'!$B$4:$Y$1007,8,)</f>
        <v>51227</v>
      </c>
      <c r="I5" s="11">
        <f>VLOOKUP(A5,'BSE ALL CAP'!$B$4:$Y$1007,9,)</f>
        <v>13779</v>
      </c>
      <c r="J5" s="11">
        <f>VLOOKUP(A5,'BSE ALL CAP'!$B$4:$Y$1007,10,)</f>
        <v>12234</v>
      </c>
      <c r="K5" s="11">
        <f>VLOOKUP(A5,'BSE ALL CAP'!$B$4:$Y$1007,11,)</f>
        <v>21215</v>
      </c>
      <c r="L5" s="11">
        <f>VLOOKUP(A5,'BSE ALL CAP'!$B$4:$Y$1007,12,)</f>
        <v>18058</v>
      </c>
      <c r="M5" s="11">
        <f>VLOOKUP(A5,'BSE ALL CAP'!$B$4:$Y$1007,13,)</f>
        <v>4066</v>
      </c>
      <c r="N5" s="11">
        <f>VLOOKUP(A5,'BSE ALL CAP'!$B$4:$Y$1007,14,)</f>
        <v>4308</v>
      </c>
      <c r="O5" s="13">
        <f>VLOOKUP(A5,'BSE ALL CAP'!$B$4:$Y$1007,15,)</f>
        <v>0.22619301672767864</v>
      </c>
      <c r="P5" s="13">
        <f>VLOOKUP(A5,'BSE ALL CAP'!$B$4:$Y$1007,16,)</f>
        <v>0.23881937259648231</v>
      </c>
      <c r="Q5" s="13">
        <f>VLOOKUP(A5,'BSE ALL CAP'!$B$4:$Y$1007,17,)</f>
        <v>-1.2626355868803674E-2</v>
      </c>
      <c r="R5" s="13">
        <f>VLOOKUP(A5,'BSE ALL CAP'!$B$4:$Y$1007,18,)</f>
        <v>0.19165684657082252</v>
      </c>
      <c r="S5" s="13">
        <f>VLOOKUP(A5,'BSE ALL CAP'!$B$4:$Y$1007,19,)</f>
        <v>0.23856462509690995</v>
      </c>
      <c r="T5" s="13">
        <f>VLOOKUP(A5,'BSE ALL CAP'!$B$4:$Y$1007,20,)</f>
        <v>-4.6907778526087435E-2</v>
      </c>
      <c r="U5" s="13">
        <f>VLOOKUP(A5,'BSE ALL CAP'!$B$4:$Y$1007,21,)</f>
        <v>0.1891580611786754</v>
      </c>
      <c r="V5" s="13">
        <f>VLOOKUP(A5,'BSE ALL CAP'!$B$4:$Y$1007,22,)</f>
        <v>0.12628739578224613</v>
      </c>
      <c r="W5" s="13">
        <f>VLOOKUP(A5,'BSE ALL CAP'!$B$4:$Y$1007,23,)</f>
        <v>0.17482556207774946</v>
      </c>
      <c r="X5" s="13">
        <f>VLOOKUP(A5,'BSE ALL CAP'!$B$4:$Y$1007,24,)</f>
        <v>-5.6174558960074283E-2</v>
      </c>
      <c r="Y5" s="179">
        <f ca="1">IFERROR(__xludf.DUMMYFUNCTION("GOOGLEFINANCE(""NSE:""&amp;C5,""PE"")"),29.35)</f>
        <v>29.35</v>
      </c>
      <c r="Z5" s="179">
        <f ca="1">IFERROR(__xludf.DUMMYFUNCTION("GOOGLEFINANCE(""NSE:""&amp;C5,""EPS"")"),28.97)</f>
        <v>28.97</v>
      </c>
      <c r="AA5" s="180">
        <f t="shared" ca="1" si="4"/>
        <v>1.1877699999999998</v>
      </c>
      <c r="AB5" s="181">
        <f t="shared" ca="1" si="5"/>
        <v>34.856149999999992</v>
      </c>
    </row>
    <row r="6" spans="1:28" ht="15.75" customHeight="1">
      <c r="A6" s="147">
        <v>500114</v>
      </c>
      <c r="B6" s="171" t="s">
        <v>187</v>
      </c>
      <c r="C6" s="182" t="s">
        <v>71</v>
      </c>
      <c r="D6" s="173">
        <v>3.7</v>
      </c>
      <c r="E6" s="183">
        <f ca="1">IFERROR(__xludf.DUMMYFUNCTION("GOOGLEFINANCE(""NSE:""&amp;C6,""PRICE"")"),4252.7)</f>
        <v>4252.7</v>
      </c>
      <c r="F6" s="174">
        <f ca="1">IFERROR(__xludf.DUMMYFUNCTION("GOOGLEFINANCE(""NSE:""&amp;C6,""marketcap"")/10000000"),377233.7295291)</f>
        <v>377233.7295291</v>
      </c>
      <c r="G6" s="11">
        <f>VLOOKUP(A6,'BSE ALL CAP'!$B$4:$Y$1007,7,)</f>
        <v>56190</v>
      </c>
      <c r="H6" s="11">
        <f>VLOOKUP(A6,'BSE ALL CAP'!$B$4:$Y$1007,8,)</f>
        <v>43246</v>
      </c>
      <c r="I6" s="11">
        <f>VLOOKUP(A6,'BSE ALL CAP'!$B$4:$Y$1007,9,)</f>
        <v>3895</v>
      </c>
      <c r="J6" s="11">
        <f>VLOOKUP(A6,'BSE ALL CAP'!$B$4:$Y$1007,10,)</f>
        <v>2466</v>
      </c>
      <c r="K6" s="11">
        <f>VLOOKUP(A6,'BSE ALL CAP'!$B$4:$Y$1007,11,)</f>
        <v>24915</v>
      </c>
      <c r="L6" s="11">
        <f>VLOOKUP(A6,'BSE ALL CAP'!$B$4:$Y$1007,12,)</f>
        <v>17550</v>
      </c>
      <c r="M6" s="11">
        <f>VLOOKUP(A6,'BSE ALL CAP'!$B$4:$Y$1007,13,)</f>
        <v>1684</v>
      </c>
      <c r="N6" s="11">
        <f>VLOOKUP(A6,'BSE ALL CAP'!$B$4:$Y$1007,14,)</f>
        <v>1047</v>
      </c>
      <c r="O6" s="13">
        <f>VLOOKUP(A6,'BSE ALL CAP'!$B$4:$Y$1007,15,)</f>
        <v>6.931838405410215E-2</v>
      </c>
      <c r="P6" s="13">
        <f>VLOOKUP(A6,'BSE ALL CAP'!$B$4:$Y$1007,16,)</f>
        <v>5.702261480830597E-2</v>
      </c>
      <c r="Q6" s="13">
        <f>VLOOKUP(A6,'BSE ALL CAP'!$B$4:$Y$1007,17,)</f>
        <v>1.229576924579618E-2</v>
      </c>
      <c r="R6" s="13">
        <f>VLOOKUP(A6,'BSE ALL CAP'!$B$4:$Y$1007,18,)</f>
        <v>6.7589805338149705E-2</v>
      </c>
      <c r="S6" s="13">
        <f>VLOOKUP(A6,'BSE ALL CAP'!$B$4:$Y$1007,19,)</f>
        <v>5.9658119658119659E-2</v>
      </c>
      <c r="T6" s="13">
        <f>VLOOKUP(A6,'BSE ALL CAP'!$B$4:$Y$1007,20,)</f>
        <v>7.931685680030047E-3</v>
      </c>
      <c r="U6" s="13">
        <f>VLOOKUP(A6,'BSE ALL CAP'!$B$4:$Y$1007,21,)</f>
        <v>0.29931091892891826</v>
      </c>
      <c r="V6" s="13">
        <f>VLOOKUP(A6,'BSE ALL CAP'!$B$4:$Y$1007,22,)</f>
        <v>0.57948094079480938</v>
      </c>
      <c r="W6" s="13">
        <f>VLOOKUP(A6,'BSE ALL CAP'!$B$4:$Y$1007,23,)</f>
        <v>0.41965811965811972</v>
      </c>
      <c r="X6" s="13">
        <f>VLOOKUP(A6,'BSE ALL CAP'!$B$4:$Y$1007,24,)</f>
        <v>0.60840496657115573</v>
      </c>
      <c r="Y6" s="184">
        <f ca="1">IFERROR(__xludf.DUMMYFUNCTION("GOOGLEFINANCE(""NSE:""&amp;C6,""PE"")"),79.13)</f>
        <v>79.13</v>
      </c>
      <c r="Z6" s="176">
        <f ca="1">IFERROR(__xludf.DUMMYFUNCTION("GOOGLEFINANCE(""NSE:""&amp;C6,""EPS"")"),53.71)</f>
        <v>53.71</v>
      </c>
      <c r="AA6" s="185">
        <f t="shared" ca="1" si="4"/>
        <v>1.9872700000000003</v>
      </c>
      <c r="AB6" s="186">
        <f t="shared" ca="1" si="5"/>
        <v>157.34990000000002</v>
      </c>
    </row>
    <row r="7" spans="1:28">
      <c r="A7" s="187">
        <v>500510</v>
      </c>
      <c r="B7" s="1" t="s">
        <v>180</v>
      </c>
      <c r="C7" s="182" t="s">
        <v>1407</v>
      </c>
      <c r="D7" s="173">
        <v>4</v>
      </c>
      <c r="E7" s="188">
        <f ca="1">IFERROR(__xludf.DUMMYFUNCTION("GOOGLEFINANCE(""NSE:""&amp;C7,""PRICE"")"),3723.9)</f>
        <v>3723.9</v>
      </c>
      <c r="F7" s="174">
        <f ca="1">IFERROR(__xludf.DUMMYFUNCTION("GOOGLEFINANCE(""NSE:""&amp;C7,""marketcap"")/10000000"),512202.805446)</f>
        <v>512202.80544600001</v>
      </c>
      <c r="G7" s="11">
        <f>VLOOKUP(A7,'BSE ALL CAP'!$B$4:$Y$1007,7,)</f>
        <v>203112</v>
      </c>
      <c r="H7" s="11">
        <f>VLOOKUP(A7,'BSE ALL CAP'!$B$4:$Y$1007,8,)</f>
        <v>181342</v>
      </c>
      <c r="I7" s="11">
        <f>VLOOKUP(A7,'BSE ALL CAP'!$B$4:$Y$1007,9,)</f>
        <v>14186</v>
      </c>
      <c r="J7" s="11">
        <f>VLOOKUP(A7,'BSE ALL CAP'!$B$4:$Y$1007,10,)</f>
        <v>11554</v>
      </c>
      <c r="K7" s="11">
        <f>VLOOKUP(A7,'BSE ALL CAP'!$B$4:$Y$1007,11,)</f>
        <v>71450</v>
      </c>
      <c r="L7" s="11">
        <f>VLOOKUP(A7,'BSE ALL CAP'!$B$4:$Y$1007,12,)</f>
        <v>64668</v>
      </c>
      <c r="M7" s="11">
        <f>VLOOKUP(A7,'BSE ALL CAP'!$B$4:$Y$1007,13,)</f>
        <v>5173</v>
      </c>
      <c r="N7" s="11">
        <f>VLOOKUP(A7,'BSE ALL CAP'!$B$4:$Y$1007,14,)</f>
        <v>4001</v>
      </c>
      <c r="O7" s="13">
        <f>VLOOKUP(A7,'BSE ALL CAP'!$B$4:$Y$1007,15,)</f>
        <v>6.9843239198077903E-2</v>
      </c>
      <c r="P7" s="13">
        <f>VLOOKUP(A7,'BSE ALL CAP'!$B$4:$Y$1007,16,)</f>
        <v>6.3713866616669057E-2</v>
      </c>
      <c r="Q7" s="13">
        <f>VLOOKUP(A7,'BSE ALL CAP'!$B$4:$Y$1007,17,)</f>
        <v>6.1293725814088457E-3</v>
      </c>
      <c r="R7" s="13">
        <f>VLOOKUP(A7,'BSE ALL CAP'!$B$4:$Y$1007,18,)</f>
        <v>7.2400279916025198E-2</v>
      </c>
      <c r="S7" s="13">
        <f>VLOOKUP(A7,'BSE ALL CAP'!$B$4:$Y$1007,19,)</f>
        <v>6.1869858353436009E-2</v>
      </c>
      <c r="T7" s="13">
        <f>VLOOKUP(A7,'BSE ALL CAP'!$B$4:$Y$1007,20,)</f>
        <v>1.0530421562589189E-2</v>
      </c>
      <c r="U7" s="13">
        <f>VLOOKUP(A7,'BSE ALL CAP'!$B$4:$Y$1007,21,)</f>
        <v>0.12004940940322695</v>
      </c>
      <c r="V7" s="13">
        <f>VLOOKUP(A7,'BSE ALL CAP'!$B$4:$Y$1007,22,)</f>
        <v>0.22779989613986507</v>
      </c>
      <c r="W7" s="13">
        <f>VLOOKUP(A7,'BSE ALL CAP'!$B$4:$Y$1007,23,)</f>
        <v>0.10487412630667414</v>
      </c>
      <c r="X7" s="13">
        <f>VLOOKUP(A7,'BSE ALL CAP'!$B$4:$Y$1007,24,)</f>
        <v>0.29292676830792308</v>
      </c>
      <c r="Y7" s="189">
        <f ca="1">IFERROR(__xludf.DUMMYFUNCTION("GOOGLEFINANCE(""NSE:""&amp;C7,""PE"")"),31.52)</f>
        <v>31.52</v>
      </c>
      <c r="Z7" s="190">
        <f ca="1">IFERROR(__xludf.DUMMYFUNCTION("GOOGLEFINANCE(""NSE:""&amp;C7,""EPS"")"),118.13)</f>
        <v>118.13</v>
      </c>
      <c r="AA7" s="191">
        <f t="shared" ca="1" si="4"/>
        <v>4.7252000000000001</v>
      </c>
      <c r="AB7" s="192">
        <f t="shared" ca="1" si="5"/>
        <v>148.95600000000002</v>
      </c>
    </row>
    <row r="8" spans="1:28">
      <c r="A8" s="187">
        <v>500049</v>
      </c>
      <c r="B8" s="1" t="s">
        <v>180</v>
      </c>
      <c r="C8" s="182" t="s">
        <v>1389</v>
      </c>
      <c r="D8" s="173">
        <v>3</v>
      </c>
      <c r="E8" s="179">
        <f ca="1">IFERROR(__xludf.DUMMYFUNCTION("GOOGLEFINANCE(""NSE:""&amp;C8,""PRICE"")"),427.35)</f>
        <v>427.35</v>
      </c>
      <c r="F8" s="174">
        <f ca="1">IFERROR(__xludf.DUMMYFUNCTION("GOOGLEFINANCE(""NSE:""&amp;C8,""marketcap"")/10000000"),312383.4100265)</f>
        <v>312383.4100265</v>
      </c>
      <c r="G8" s="11">
        <f>VLOOKUP(A8,'BSE ALL CAP'!$B$4:$Y$1007,7,)</f>
        <v>17385</v>
      </c>
      <c r="H8" s="11">
        <f>VLOOKUP(A8,'BSE ALL CAP'!$B$4:$Y$1007,8,)</f>
        <v>14619</v>
      </c>
      <c r="I8" s="11">
        <f>VLOOKUP(A8,'BSE ALL CAP'!$B$4:$Y$1007,9,)</f>
        <v>3835</v>
      </c>
      <c r="J8" s="11">
        <f>VLOOKUP(A8,'BSE ALL CAP'!$B$4:$Y$1007,10,)</f>
        <v>3195</v>
      </c>
      <c r="K8" s="11">
        <f>VLOOKUP(A8,'BSE ALL CAP'!$B$4:$Y$1007,11,)</f>
        <v>7153</v>
      </c>
      <c r="L8" s="11">
        <f>VLOOKUP(A8,'BSE ALL CAP'!$B$4:$Y$1007,12,)</f>
        <v>5770</v>
      </c>
      <c r="M8" s="11">
        <f>VLOOKUP(A8,'BSE ALL CAP'!$B$4:$Y$1007,13,)</f>
        <v>1579</v>
      </c>
      <c r="N8" s="11">
        <f>VLOOKUP(A8,'BSE ALL CAP'!$B$4:$Y$1007,14,)</f>
        <v>1311</v>
      </c>
      <c r="O8" s="13">
        <f>VLOOKUP(A8,'BSE ALL CAP'!$B$4:$Y$1007,15,)</f>
        <v>0.22059246476847857</v>
      </c>
      <c r="P8" s="13">
        <f>VLOOKUP(A8,'BSE ALL CAP'!$B$4:$Y$1007,16,)</f>
        <v>0.21855120049250976</v>
      </c>
      <c r="Q8" s="13">
        <f>VLOOKUP(A8,'BSE ALL CAP'!$B$4:$Y$1007,17,)</f>
        <v>2.0412642759688182E-3</v>
      </c>
      <c r="R8" s="13">
        <f>VLOOKUP(A8,'BSE ALL CAP'!$B$4:$Y$1007,18,)</f>
        <v>0.22074653991332308</v>
      </c>
      <c r="S8" s="13">
        <f>VLOOKUP(A8,'BSE ALL CAP'!$B$4:$Y$1007,19,)</f>
        <v>0.22720970537261698</v>
      </c>
      <c r="T8" s="13">
        <f>VLOOKUP(A8,'BSE ALL CAP'!$B$4:$Y$1007,20,)</f>
        <v>-6.4631654592939014E-3</v>
      </c>
      <c r="U8" s="13">
        <f>VLOOKUP(A8,'BSE ALL CAP'!$B$4:$Y$1007,21,)</f>
        <v>0.18920582803201302</v>
      </c>
      <c r="V8" s="13">
        <f>VLOOKUP(A8,'BSE ALL CAP'!$B$4:$Y$1007,22,)</f>
        <v>0.20031298904538342</v>
      </c>
      <c r="W8" s="13">
        <f>VLOOKUP(A8,'BSE ALL CAP'!$B$4:$Y$1007,23,)</f>
        <v>0.239688041594454</v>
      </c>
      <c r="X8" s="13">
        <f>VLOOKUP(A8,'BSE ALL CAP'!$B$4:$Y$1007,24,)</f>
        <v>0.20442410373760489</v>
      </c>
      <c r="Y8" s="176">
        <f ca="1">IFERROR(__xludf.DUMMYFUNCTION("GOOGLEFINANCE(""NSE:""&amp;C8,""PE"")"),52.36)</f>
        <v>52.36</v>
      </c>
      <c r="Z8" s="193">
        <f ca="1">IFERROR(__xludf.DUMMYFUNCTION("GOOGLEFINANCE(""NSE:""&amp;C8,""EPS"")"),8.16)</f>
        <v>8.16</v>
      </c>
      <c r="AA8" s="194">
        <f t="shared" ca="1" si="4"/>
        <v>0.24479999999999999</v>
      </c>
      <c r="AB8" s="195">
        <f t="shared" ca="1" si="5"/>
        <v>12.820500000000001</v>
      </c>
    </row>
    <row r="9" spans="1:28" ht="15.75" customHeight="1">
      <c r="A9" s="15">
        <v>542752</v>
      </c>
      <c r="B9" s="171" t="s">
        <v>174</v>
      </c>
      <c r="C9" s="182" t="s">
        <v>1415</v>
      </c>
      <c r="D9" s="173">
        <v>2.95</v>
      </c>
      <c r="E9" s="196">
        <f ca="1">IFERROR(__xludf.DUMMYFUNCTION("GOOGLEFINANCE(""NSE:""&amp;C9,""PRICE"")"),1417.4)</f>
        <v>1417.4</v>
      </c>
      <c r="F9" s="174">
        <f ca="1">IFERROR(__xludf.DUMMYFUNCTION("GOOGLEFINANCE(""NSE:""&amp;C9,""marketcap"")/10000000"),19931.8667607)</f>
        <v>19931.866760699999</v>
      </c>
      <c r="G9" s="11">
        <f>VLOOKUP(A9,'BSE ALL CAP'!$B$4:$Y$1007,7,)</f>
        <v>1984</v>
      </c>
      <c r="H9" s="11">
        <f>VLOOKUP(A9,'BSE ALL CAP'!$B$4:$Y$1007,8,)</f>
        <v>1664</v>
      </c>
      <c r="I9" s="11">
        <f>VLOOKUP(A9,'BSE ALL CAP'!$B$4:$Y$1007,9,)</f>
        <v>335</v>
      </c>
      <c r="J9" s="11">
        <f>VLOOKUP(A9,'BSE ALL CAP'!$B$4:$Y$1007,10,)</f>
        <v>278</v>
      </c>
      <c r="K9" s="11">
        <f>VLOOKUP(A9,'BSE ALL CAP'!$B$4:$Y$1007,11,)</f>
        <v>717</v>
      </c>
      <c r="L9" s="11">
        <f>VLOOKUP(A9,'BSE ALL CAP'!$B$4:$Y$1007,12,)</f>
        <v>601</v>
      </c>
      <c r="M9" s="11">
        <f>VLOOKUP(A9,'BSE ALL CAP'!$B$4:$Y$1007,13,)</f>
        <v>119</v>
      </c>
      <c r="N9" s="11">
        <f>VLOOKUP(A9,'BSE ALL CAP'!$B$4:$Y$1007,14,)</f>
        <v>100</v>
      </c>
      <c r="O9" s="13">
        <f>VLOOKUP(A9,'BSE ALL CAP'!$B$4:$Y$1007,15,)</f>
        <v>0.16885080645161291</v>
      </c>
      <c r="P9" s="13">
        <f>VLOOKUP(A9,'BSE ALL CAP'!$B$4:$Y$1007,16,)</f>
        <v>0.16706730769230768</v>
      </c>
      <c r="Q9" s="13">
        <f>VLOOKUP(A9,'BSE ALL CAP'!$B$4:$Y$1007,17,)</f>
        <v>1.7834987593052243E-3</v>
      </c>
      <c r="R9" s="13">
        <f>VLOOKUP(A9,'BSE ALL CAP'!$B$4:$Y$1007,18,)</f>
        <v>0.16596931659693165</v>
      </c>
      <c r="S9" s="13">
        <f>VLOOKUP(A9,'BSE ALL CAP'!$B$4:$Y$1007,19,)</f>
        <v>0.16638935108153077</v>
      </c>
      <c r="T9" s="13">
        <f>VLOOKUP(A9,'BSE ALL CAP'!$B$4:$Y$1007,20,)</f>
        <v>-4.200344845991244E-4</v>
      </c>
      <c r="U9" s="13">
        <f>VLOOKUP(A9,'BSE ALL CAP'!$B$4:$Y$1007,21,)</f>
        <v>0.19230769230769229</v>
      </c>
      <c r="V9" s="13">
        <f>VLOOKUP(A9,'BSE ALL CAP'!$B$4:$Y$1007,22,)</f>
        <v>0.20503597122302164</v>
      </c>
      <c r="W9" s="13">
        <f>VLOOKUP(A9,'BSE ALL CAP'!$B$4:$Y$1007,23,)</f>
        <v>0.19301164725457576</v>
      </c>
      <c r="X9" s="13">
        <f>VLOOKUP(A9,'BSE ALL CAP'!$B$4:$Y$1007,24,)</f>
        <v>0.18999999999999995</v>
      </c>
      <c r="Y9" s="197">
        <f ca="1">IFERROR(__xludf.DUMMYFUNCTION("GOOGLEFINANCE(""NSE:""&amp;C9,""PE"")"),45.51)</f>
        <v>45.51</v>
      </c>
      <c r="Z9" s="179">
        <f ca="1">IFERROR(__xludf.DUMMYFUNCTION("GOOGLEFINANCE(""NSE:""&amp;C9,""EPS"")"),31.15)</f>
        <v>31.15</v>
      </c>
      <c r="AA9" s="198">
        <f t="shared" ca="1" si="4"/>
        <v>0.91892499999999999</v>
      </c>
      <c r="AB9" s="178">
        <f t="shared" ca="1" si="5"/>
        <v>41.813300000000005</v>
      </c>
    </row>
    <row r="10" spans="1:28" ht="15.75" customHeight="1">
      <c r="A10" s="15">
        <v>544026</v>
      </c>
      <c r="B10" s="171" t="s">
        <v>172</v>
      </c>
      <c r="C10" s="199" t="s">
        <v>1421</v>
      </c>
      <c r="D10" s="173">
        <v>2.8</v>
      </c>
      <c r="E10" s="179">
        <f ca="1">IFERROR(__xludf.DUMMYFUNCTION("GOOGLEFINANCE(""NSE:""&amp;C10,""PRICE"")"),115.18)</f>
        <v>115.18</v>
      </c>
      <c r="F10" s="174">
        <f ca="1">IFERROR(__xludf.DUMMYFUNCTION("GOOGLEFINANCE(""NSE:""&amp;C10,""marketcap"")/10000000"),32359.5210558)</f>
        <v>32359.5210558</v>
      </c>
      <c r="G10" s="11">
        <f>VLOOKUP(A10,'BSE ALL CAP'!$B$4:$Y$1007,7,)</f>
        <v>6157</v>
      </c>
      <c r="H10" s="11">
        <f>VLOOKUP(A10,'BSE ALL CAP'!$B$4:$Y$1007,8,)</f>
        <v>4840</v>
      </c>
      <c r="I10" s="11">
        <f>VLOOKUP(A10,'BSE ALL CAP'!$B$4:$Y$1007,9,)</f>
        <v>1381</v>
      </c>
      <c r="J10" s="11">
        <f>VLOOKUP(A10,'BSE ALL CAP'!$B$4:$Y$1007,10,)</f>
        <v>1197</v>
      </c>
      <c r="K10" s="11">
        <f>VLOOKUP(A10,'BSE ALL CAP'!$B$4:$Y$1007,11,)</f>
        <v>2139</v>
      </c>
      <c r="L10" s="11">
        <f>VLOOKUP(A10,'BSE ALL CAP'!$B$4:$Y$1007,12,)</f>
        <v>1698</v>
      </c>
      <c r="M10" s="11">
        <f>VLOOKUP(A10,'BSE ALL CAP'!$B$4:$Y$1007,13,)</f>
        <v>585</v>
      </c>
      <c r="N10" s="11">
        <f>VLOOKUP(A10,'BSE ALL CAP'!$B$4:$Y$1007,14,)</f>
        <v>425</v>
      </c>
      <c r="O10" s="13">
        <f>VLOOKUP(A10,'BSE ALL CAP'!$B$4:$Y$1007,15,)</f>
        <v>0.2242975475069027</v>
      </c>
      <c r="P10" s="13">
        <f>VLOOKUP(A10,'BSE ALL CAP'!$B$4:$Y$1007,16,)</f>
        <v>0.24731404958677686</v>
      </c>
      <c r="Q10" s="13">
        <f>VLOOKUP(A10,'BSE ALL CAP'!$B$4:$Y$1007,17,)</f>
        <v>-2.3016502079874157E-2</v>
      </c>
      <c r="R10" s="13">
        <f>VLOOKUP(A10,'BSE ALL CAP'!$B$4:$Y$1007,18,)</f>
        <v>0.27349228611500703</v>
      </c>
      <c r="S10" s="13">
        <f>VLOOKUP(A10,'BSE ALL CAP'!$B$4:$Y$1007,19,)</f>
        <v>0.25029446407538281</v>
      </c>
      <c r="T10" s="13">
        <f>VLOOKUP(A10,'BSE ALL CAP'!$B$4:$Y$1007,20,)</f>
        <v>2.3197822039624227E-2</v>
      </c>
      <c r="U10" s="13">
        <f>VLOOKUP(A10,'BSE ALL CAP'!$B$4:$Y$1007,21,)</f>
        <v>0.27210743801652892</v>
      </c>
      <c r="V10" s="13">
        <f>VLOOKUP(A10,'BSE ALL CAP'!$B$4:$Y$1007,22,)</f>
        <v>0.15371762740183792</v>
      </c>
      <c r="W10" s="13">
        <f>VLOOKUP(A10,'BSE ALL CAP'!$B$4:$Y$1007,23,)</f>
        <v>0.25971731448763258</v>
      </c>
      <c r="X10" s="13">
        <f>VLOOKUP(A10,'BSE ALL CAP'!$B$4:$Y$1007,24,)</f>
        <v>0.37647058823529411</v>
      </c>
      <c r="Y10" s="200">
        <f ca="1">IFERROR(__xludf.DUMMYFUNCTION("GOOGLEFINANCE(""NSE:""&amp;C10,""PE"")"),16.85)</f>
        <v>16.850000000000001</v>
      </c>
      <c r="Z10" s="201">
        <f ca="1">IFERROR(__xludf.DUMMYFUNCTION("GOOGLEFINANCE(""NSE:""&amp;C10,""EPS"")"),6.84)</f>
        <v>6.84</v>
      </c>
      <c r="AA10" s="202">
        <f t="shared" ca="1" si="4"/>
        <v>0.19151999999999997</v>
      </c>
      <c r="AB10" s="203">
        <f t="shared" ca="1" si="5"/>
        <v>3.2250399999999999</v>
      </c>
    </row>
    <row r="11" spans="1:28" ht="15.75" customHeight="1">
      <c r="A11" s="15">
        <v>543425</v>
      </c>
      <c r="B11" s="171" t="s">
        <v>174</v>
      </c>
      <c r="C11" s="182" t="s">
        <v>1510</v>
      </c>
      <c r="D11" s="173">
        <v>2.7</v>
      </c>
      <c r="E11" s="204">
        <f ca="1">IFERROR(__xludf.DUMMYFUNCTION("GOOGLEFINANCE(""NSE:""&amp;C11,""PRICE"")"),876.55)</f>
        <v>876.55</v>
      </c>
      <c r="F11" s="174">
        <f ca="1">IFERROR(__xludf.DUMMYFUNCTION("GOOGLEFINANCE(""NSE:""&amp;C11,""marketcap"")/10000000"),4796.6270405)</f>
        <v>4796.6270404999996</v>
      </c>
      <c r="G11" s="11">
        <f>VLOOKUP(A11,'BSE ALL CAP'!$B$4:$Y$1007,7,)</f>
        <v>329</v>
      </c>
      <c r="H11" s="11">
        <f>VLOOKUP(A11,'BSE ALL CAP'!$B$4:$Y$1007,8,)</f>
        <v>319</v>
      </c>
      <c r="I11" s="11">
        <f>VLOOKUP(A11,'BSE ALL CAP'!$B$4:$Y$1007,9,)</f>
        <v>83</v>
      </c>
      <c r="J11" s="11">
        <f>VLOOKUP(A11,'BSE ALL CAP'!$B$4:$Y$1007,10,)</f>
        <v>98</v>
      </c>
      <c r="K11" s="11">
        <f>VLOOKUP(A11,'BSE ALL CAP'!$B$4:$Y$1007,11,)</f>
        <v>93</v>
      </c>
      <c r="L11" s="11">
        <f>VLOOKUP(A11,'BSE ALL CAP'!$B$4:$Y$1007,12,)</f>
        <v>114</v>
      </c>
      <c r="M11" s="11">
        <f>VLOOKUP(A11,'BSE ALL CAP'!$B$4:$Y$1007,13,)</f>
        <v>18</v>
      </c>
      <c r="N11" s="11">
        <f>VLOOKUP(A11,'BSE ALL CAP'!$B$4:$Y$1007,14,)</f>
        <v>32</v>
      </c>
      <c r="O11" s="13">
        <f>VLOOKUP(A11,'BSE ALL CAP'!$B$4:$Y$1007,15,)</f>
        <v>0.25227963525835867</v>
      </c>
      <c r="P11" s="13">
        <f>VLOOKUP(A11,'BSE ALL CAP'!$B$4:$Y$1007,16,)</f>
        <v>0.30721003134796238</v>
      </c>
      <c r="Q11" s="13">
        <f>VLOOKUP(A11,'BSE ALL CAP'!$B$4:$Y$1007,17,)</f>
        <v>-5.4930396089603706E-2</v>
      </c>
      <c r="R11" s="13">
        <f>VLOOKUP(A11,'BSE ALL CAP'!$B$4:$Y$1007,18,)</f>
        <v>0.19354838709677419</v>
      </c>
      <c r="S11" s="13">
        <f>VLOOKUP(A11,'BSE ALL CAP'!$B$4:$Y$1007,19,)</f>
        <v>0.2807017543859649</v>
      </c>
      <c r="T11" s="13">
        <f>VLOOKUP(A11,'BSE ALL CAP'!$B$4:$Y$1007,20,)</f>
        <v>-8.7153367289190709E-2</v>
      </c>
      <c r="U11" s="13">
        <f>VLOOKUP(A11,'BSE ALL CAP'!$B$4:$Y$1007,21,)</f>
        <v>3.1347962382445083E-2</v>
      </c>
      <c r="V11" s="13">
        <f>VLOOKUP(A11,'BSE ALL CAP'!$B$4:$Y$1007,22,)</f>
        <v>-0.15306122448979587</v>
      </c>
      <c r="W11" s="13">
        <f>VLOOKUP(A11,'BSE ALL CAP'!$B$4:$Y$1007,23,)</f>
        <v>-0.18421052631578949</v>
      </c>
      <c r="X11" s="13">
        <f>VLOOKUP(A11,'BSE ALL CAP'!$B$4:$Y$1007,24,)</f>
        <v>-0.4375</v>
      </c>
      <c r="Y11" s="205">
        <f ca="1">IFERROR(__xludf.DUMMYFUNCTION("GOOGLEFINANCE(""NSE:""&amp;C11,""PE"")"),36.74)</f>
        <v>36.74</v>
      </c>
      <c r="Z11" s="179">
        <f ca="1">IFERROR(__xludf.DUMMYFUNCTION("GOOGLEFINANCE(""NSE:""&amp;C11,""EPS"")"),23.92)</f>
        <v>23.92</v>
      </c>
      <c r="AA11" s="206">
        <f t="shared" ca="1" si="4"/>
        <v>0.64584000000000008</v>
      </c>
      <c r="AB11" s="178">
        <f t="shared" ca="1" si="5"/>
        <v>23.66685</v>
      </c>
    </row>
    <row r="12" spans="1:28" ht="15.75" customHeight="1">
      <c r="A12" s="15">
        <v>541729</v>
      </c>
      <c r="B12" s="171" t="s">
        <v>172</v>
      </c>
      <c r="C12" s="172" t="s">
        <v>75</v>
      </c>
      <c r="D12" s="207">
        <v>2.6</v>
      </c>
      <c r="E12" s="183">
        <f ca="1">IFERROR(__xludf.DUMMYFUNCTION("GOOGLEFINANCE(""NSE:""&amp;C12,""PRICE"")"),2397.5)</f>
        <v>2397.5</v>
      </c>
      <c r="F12" s="174">
        <f ca="1">IFERROR(__xludf.DUMMYFUNCTION("GOOGLEFINANCE(""NSE:""&amp;C12,""marketcap"")/10000000"),51231.2915779)</f>
        <v>51231.291577900003</v>
      </c>
      <c r="G12" s="11">
        <f>VLOOKUP(A12,'BSE ALL CAP'!$B$4:$Y$1007,7,)</f>
        <v>3559</v>
      </c>
      <c r="H12" s="11">
        <f>VLOOKUP(A12,'BSE ALL CAP'!$B$4:$Y$1007,8,)</f>
        <v>3034</v>
      </c>
      <c r="I12" s="11">
        <f>VLOOKUP(A12,'BSE ALL CAP'!$B$4:$Y$1007,9,)</f>
        <v>2235</v>
      </c>
      <c r="J12" s="11">
        <f>VLOOKUP(A12,'BSE ALL CAP'!$B$4:$Y$1007,10,)</f>
        <v>1821</v>
      </c>
      <c r="K12" s="11">
        <f>VLOOKUP(A12,'BSE ALL CAP'!$B$4:$Y$1007,11,)</f>
        <v>1234</v>
      </c>
      <c r="L12" s="11">
        <f>VLOOKUP(A12,'BSE ALL CAP'!$B$4:$Y$1007,12,)</f>
        <v>1027</v>
      </c>
      <c r="M12" s="11">
        <f>VLOOKUP(A12,'BSE ALL CAP'!$B$4:$Y$1007,13,)</f>
        <v>769</v>
      </c>
      <c r="N12" s="11">
        <f>VLOOKUP(A12,'BSE ALL CAP'!$B$4:$Y$1007,14,)</f>
        <v>641</v>
      </c>
      <c r="O12" s="13">
        <f>VLOOKUP(A12,'BSE ALL CAP'!$B$4:$Y$1007,15,)</f>
        <v>0.62798538915425683</v>
      </c>
      <c r="P12" s="13">
        <f>VLOOKUP(A12,'BSE ALL CAP'!$B$4:$Y$1007,16,)</f>
        <v>0.60019775873434411</v>
      </c>
      <c r="Q12" s="13">
        <f>VLOOKUP(A12,'BSE ALL CAP'!$B$4:$Y$1007,17,)</f>
        <v>2.7787630419912723E-2</v>
      </c>
      <c r="R12" s="13">
        <f>VLOOKUP(A12,'BSE ALL CAP'!$B$4:$Y$1007,18,)</f>
        <v>0.62317666126418148</v>
      </c>
      <c r="S12" s="13">
        <f>VLOOKUP(A12,'BSE ALL CAP'!$B$4:$Y$1007,19,)</f>
        <v>0.62414800389483938</v>
      </c>
      <c r="T12" s="13">
        <f>VLOOKUP(A12,'BSE ALL CAP'!$B$4:$Y$1007,20,)</f>
        <v>-9.7134263065790094E-4</v>
      </c>
      <c r="U12" s="13">
        <f>VLOOKUP(A12,'BSE ALL CAP'!$B$4:$Y$1007,21,)</f>
        <v>0.17303889255108773</v>
      </c>
      <c r="V12" s="13">
        <f>VLOOKUP(A12,'BSE ALL CAP'!$B$4:$Y$1007,22,)</f>
        <v>0.22734761120263602</v>
      </c>
      <c r="W12" s="13">
        <f>VLOOKUP(A12,'BSE ALL CAP'!$B$4:$Y$1007,23,)</f>
        <v>0.20155793573515091</v>
      </c>
      <c r="X12" s="13">
        <f>VLOOKUP(A12,'BSE ALL CAP'!$B$4:$Y$1007,24,)</f>
        <v>0.19968798751950079</v>
      </c>
      <c r="Y12" s="208">
        <f ca="1">IFERROR(__xludf.DUMMYFUNCTION("GOOGLEFINANCE(""NSE:""&amp;C12,""PE"")"),35.76)</f>
        <v>35.76</v>
      </c>
      <c r="Z12" s="197">
        <f ca="1">IFERROR(__xludf.DUMMYFUNCTION("GOOGLEFINANCE(""NSE:""&amp;C12,""EPS"")"),66.96)</f>
        <v>66.959999999999994</v>
      </c>
      <c r="AA12" s="209">
        <f t="shared" ca="1" si="4"/>
        <v>1.7409600000000001</v>
      </c>
      <c r="AB12" s="210">
        <f t="shared" ca="1" si="5"/>
        <v>62.335000000000008</v>
      </c>
    </row>
    <row r="13" spans="1:28" ht="15.75" customHeight="1">
      <c r="A13" s="15">
        <v>533155</v>
      </c>
      <c r="B13" s="171" t="s">
        <v>187</v>
      </c>
      <c r="C13" s="182" t="s">
        <v>125</v>
      </c>
      <c r="D13" s="173">
        <v>2</v>
      </c>
      <c r="E13" s="211">
        <f ca="1">IFERROR(__xludf.DUMMYFUNCTION("GOOGLEFINANCE(""NSE:""&amp;C13,""PRICE"")"),461.8)</f>
        <v>461.8</v>
      </c>
      <c r="F13" s="174">
        <f ca="1">IFERROR(__xludf.DUMMYFUNCTION("GOOGLEFINANCE(""NSE:""&amp;C13,""marketcap"")/10000000"),30336.9111786)</f>
        <v>30336.911178599999</v>
      </c>
      <c r="G13" s="11">
        <f>VLOOKUP(A13,'BSE ALL CAP'!$B$4:$Y$1007,7,)</f>
        <v>7038</v>
      </c>
      <c r="H13" s="11">
        <f>VLOOKUP(A13,'BSE ALL CAP'!$B$4:$Y$1007,8,)</f>
        <v>6038</v>
      </c>
      <c r="I13" s="11">
        <f>VLOOKUP(A13,'BSE ALL CAP'!$B$4:$Y$1007,9,)</f>
        <v>361</v>
      </c>
      <c r="J13" s="11">
        <f>VLOOKUP(A13,'BSE ALL CAP'!$B$4:$Y$1007,10,)</f>
        <v>167</v>
      </c>
      <c r="K13" s="11">
        <f>VLOOKUP(A13,'BSE ALL CAP'!$B$4:$Y$1007,11,)</f>
        <v>2437</v>
      </c>
      <c r="L13" s="11">
        <f>VLOOKUP(A13,'BSE ALL CAP'!$B$4:$Y$1007,12,)</f>
        <v>2150</v>
      </c>
      <c r="M13" s="11">
        <f>VLOOKUP(A13,'BSE ALL CAP'!$B$4:$Y$1007,13,)</f>
        <v>72</v>
      </c>
      <c r="N13" s="11">
        <f>VLOOKUP(A13,'BSE ALL CAP'!$B$4:$Y$1007,14,)</f>
        <v>43</v>
      </c>
      <c r="O13" s="13">
        <f>VLOOKUP(A13,'BSE ALL CAP'!$B$4:$Y$1007,15,)</f>
        <v>5.129298096050014E-2</v>
      </c>
      <c r="P13" s="13">
        <f>VLOOKUP(A13,'BSE ALL CAP'!$B$4:$Y$1007,16,)</f>
        <v>2.7658164955283206E-2</v>
      </c>
      <c r="Q13" s="13">
        <f>VLOOKUP(A13,'BSE ALL CAP'!$B$4:$Y$1007,17,)</f>
        <v>2.3634816005216934E-2</v>
      </c>
      <c r="R13" s="13">
        <f>VLOOKUP(A13,'BSE ALL CAP'!$B$4:$Y$1007,18,)</f>
        <v>2.9544521953221173E-2</v>
      </c>
      <c r="S13" s="13">
        <f>VLOOKUP(A13,'BSE ALL CAP'!$B$4:$Y$1007,19,)</f>
        <v>0.02</v>
      </c>
      <c r="T13" s="13">
        <f>VLOOKUP(A13,'BSE ALL CAP'!$B$4:$Y$1007,20,)</f>
        <v>9.5445219532211724E-3</v>
      </c>
      <c r="U13" s="13">
        <f>VLOOKUP(A13,'BSE ALL CAP'!$B$4:$Y$1007,21,)</f>
        <v>0.16561775422325264</v>
      </c>
      <c r="V13" s="13">
        <f>VLOOKUP(A13,'BSE ALL CAP'!$B$4:$Y$1007,22,)</f>
        <v>1.1616766467065869</v>
      </c>
      <c r="W13" s="13">
        <f>VLOOKUP(A13,'BSE ALL CAP'!$B$4:$Y$1007,23,)</f>
        <v>0.13348837209302333</v>
      </c>
      <c r="X13" s="13">
        <f>VLOOKUP(A13,'BSE ALL CAP'!$B$4:$Y$1007,24,)</f>
        <v>0.67441860465116288</v>
      </c>
      <c r="Y13" s="212">
        <f ca="1">IFERROR(__xludf.DUMMYFUNCTION("GOOGLEFINANCE(""NSE:""&amp;C13,""PE"")"),76.81)</f>
        <v>76.81</v>
      </c>
      <c r="Z13" s="213">
        <f ca="1">IFERROR(__xludf.DUMMYFUNCTION("GOOGLEFINANCE(""NSE:""&amp;C13,""EPS"")"),6.01)</f>
        <v>6.01</v>
      </c>
      <c r="AA13" s="214">
        <f t="shared" ca="1" si="4"/>
        <v>0.1202</v>
      </c>
      <c r="AB13" s="215">
        <f t="shared" ca="1" si="5"/>
        <v>9.2360000000000007</v>
      </c>
    </row>
    <row r="14" spans="1:28" ht="15.75" customHeight="1">
      <c r="A14" s="15">
        <v>500325</v>
      </c>
      <c r="B14" s="1" t="s">
        <v>91</v>
      </c>
      <c r="C14" s="182" t="s">
        <v>92</v>
      </c>
      <c r="D14" s="173">
        <v>2.5</v>
      </c>
      <c r="E14" s="216">
        <f ca="1">IFERROR(__xludf.DUMMYFUNCTION("GOOGLEFINANCE(""NSE:""&amp;C14,""PRICE"")"),1303.6)</f>
        <v>1303.5999999999999</v>
      </c>
      <c r="F14" s="174">
        <f ca="1">IFERROR(__xludf.DUMMYFUNCTION("GOOGLEFINANCE(""NSE:""&amp;C14,""marketcap"")/10000000"),1764091.4525617)</f>
        <v>1764091.4525617</v>
      </c>
      <c r="G14" s="11">
        <f>VLOOKUP(A14,'BSE ALL CAP'!$B$4:$Y$1007,7,)</f>
        <v>777054</v>
      </c>
      <c r="H14" s="11">
        <f>VLOOKUP(A14,'BSE ALL CAP'!$B$4:$Y$1007,8,)</f>
        <v>715563</v>
      </c>
      <c r="I14" s="11">
        <f>VLOOKUP(A14,'BSE ALL CAP'!$B$4:$Y$1007,9,)</f>
        <v>70809</v>
      </c>
      <c r="J14" s="11">
        <f>VLOOKUP(A14,'BSE ALL CAP'!$B$4:$Y$1007,10,)</f>
        <v>55569</v>
      </c>
      <c r="K14" s="11">
        <f>VLOOKUP(A14,'BSE ALL CAP'!$B$4:$Y$1007,11,)</f>
        <v>269496</v>
      </c>
      <c r="L14" s="11">
        <f>VLOOKUP(A14,'BSE ALL CAP'!$B$4:$Y$1007,12,)</f>
        <v>243865</v>
      </c>
      <c r="M14" s="11">
        <f>VLOOKUP(A14,'BSE ALL CAP'!$B$4:$Y$1007,13,)</f>
        <v>21723</v>
      </c>
      <c r="N14" s="11">
        <f>VLOOKUP(A14,'BSE ALL CAP'!$B$4:$Y$1007,14,)</f>
        <v>20010</v>
      </c>
      <c r="O14" s="13">
        <f>VLOOKUP(A14,'BSE ALL CAP'!$B$4:$Y$1007,15,)</f>
        <v>9.1124941123782902E-2</v>
      </c>
      <c r="P14" s="13">
        <f>VLOOKUP(A14,'BSE ALL CAP'!$B$4:$Y$1007,16,)</f>
        <v>7.7657732442845698E-2</v>
      </c>
      <c r="Q14" s="13">
        <f>VLOOKUP(A14,'BSE ALL CAP'!$B$4:$Y$1007,17,)</f>
        <v>1.3467208680937204E-2</v>
      </c>
      <c r="R14" s="13">
        <f>VLOOKUP(A14,'BSE ALL CAP'!$B$4:$Y$1007,18,)</f>
        <v>8.0606020126458275E-2</v>
      </c>
      <c r="S14" s="13">
        <f>VLOOKUP(A14,'BSE ALL CAP'!$B$4:$Y$1007,19,)</f>
        <v>8.2053595226867324E-2</v>
      </c>
      <c r="T14" s="13">
        <f>VLOOKUP(A14,'BSE ALL CAP'!$B$4:$Y$1007,20,)</f>
        <v>-1.4475751004090487E-3</v>
      </c>
      <c r="U14" s="13">
        <f>VLOOKUP(A14,'BSE ALL CAP'!$B$4:$Y$1007,21,)</f>
        <v>8.5933733298116266E-2</v>
      </c>
      <c r="V14" s="13">
        <f>VLOOKUP(A14,'BSE ALL CAP'!$B$4:$Y$1007,22,)</f>
        <v>0.27425363062138963</v>
      </c>
      <c r="W14" s="13">
        <f>VLOOKUP(A14,'BSE ALL CAP'!$B$4:$Y$1007,23,)</f>
        <v>0.10510323334631866</v>
      </c>
      <c r="X14" s="13">
        <f>VLOOKUP(A14,'BSE ALL CAP'!$B$4:$Y$1007,24,)</f>
        <v>8.5607196401799035E-2</v>
      </c>
      <c r="Y14" s="179">
        <f ca="1">IFERROR(__xludf.DUMMYFUNCTION("GOOGLEFINANCE(""NSE:""&amp;C14,""PE"")"),21.2)</f>
        <v>21.2</v>
      </c>
      <c r="Z14" s="197">
        <f ca="1">IFERROR(__xludf.DUMMYFUNCTION("GOOGLEFINANCE(""NSE:""&amp;C14,""EPS"")"),61.49)</f>
        <v>61.49</v>
      </c>
      <c r="AA14" s="217">
        <f t="shared" ca="1" si="4"/>
        <v>1.5372500000000002</v>
      </c>
      <c r="AB14" s="181">
        <f t="shared" ca="1" si="5"/>
        <v>32.589999999999996</v>
      </c>
    </row>
    <row r="15" spans="1:28" ht="15.75" customHeight="1">
      <c r="A15" s="15">
        <v>532488</v>
      </c>
      <c r="B15" s="1" t="s">
        <v>190</v>
      </c>
      <c r="C15" s="218" t="s">
        <v>101</v>
      </c>
      <c r="D15" s="173">
        <v>2.7</v>
      </c>
      <c r="E15" s="219">
        <f ca="1">IFERROR(__xludf.DUMMYFUNCTION("GOOGLEFINANCE(""NSE:""&amp;C15,""PRICE"")"),5818)</f>
        <v>5818</v>
      </c>
      <c r="F15" s="174">
        <f ca="1">IFERROR(__xludf.DUMMYFUNCTION("GOOGLEFINANCE(""NSE:""&amp;C15,""marketcap"")/10000000"),154449.63148)</f>
        <v>154449.63148000001</v>
      </c>
      <c r="G15" s="11">
        <f>VLOOKUP(A15,'BSE ALL CAP'!$B$4:$Y$1007,7,)</f>
        <v>7729</v>
      </c>
      <c r="H15" s="11">
        <f>VLOOKUP(A15,'BSE ALL CAP'!$B$4:$Y$1007,8,)</f>
        <v>6775</v>
      </c>
      <c r="I15" s="11">
        <f>VLOOKUP(A15,'BSE ALL CAP'!$B$4:$Y$1007,9,)</f>
        <v>1817</v>
      </c>
      <c r="J15" s="11">
        <f>VLOOKUP(A15,'BSE ALL CAP'!$B$4:$Y$1007,10,)</f>
        <v>1529</v>
      </c>
      <c r="K15" s="11">
        <f>VLOOKUP(A15,'BSE ALL CAP'!$B$4:$Y$1007,11,)</f>
        <v>2604</v>
      </c>
      <c r="L15" s="11">
        <f>VLOOKUP(A15,'BSE ALL CAP'!$B$4:$Y$1007,12,)</f>
        <v>2319</v>
      </c>
      <c r="M15" s="11">
        <f>VLOOKUP(A15,'BSE ALL CAP'!$B$4:$Y$1007,13,)</f>
        <v>583</v>
      </c>
      <c r="N15" s="11">
        <f>VLOOKUP(A15,'BSE ALL CAP'!$B$4:$Y$1007,14,)</f>
        <v>589</v>
      </c>
      <c r="O15" s="13">
        <f>VLOOKUP(A15,'BSE ALL CAP'!$B$4:$Y$1007,15,)</f>
        <v>0.2350886272480269</v>
      </c>
      <c r="P15" s="13">
        <f>VLOOKUP(A15,'BSE ALL CAP'!$B$4:$Y$1007,16,)</f>
        <v>0.22568265682656827</v>
      </c>
      <c r="Q15" s="13">
        <f>VLOOKUP(A15,'BSE ALL CAP'!$B$4:$Y$1007,17,)</f>
        <v>9.4059704214586315E-3</v>
      </c>
      <c r="R15" s="13">
        <f>VLOOKUP(A15,'BSE ALL CAP'!$B$4:$Y$1007,18,)</f>
        <v>0.22388632872503841</v>
      </c>
      <c r="S15" s="13">
        <f>VLOOKUP(A15,'BSE ALL CAP'!$B$4:$Y$1007,19,)</f>
        <v>0.2539887882708064</v>
      </c>
      <c r="T15" s="13">
        <f>VLOOKUP(A15,'BSE ALL CAP'!$B$4:$Y$1007,20,)</f>
        <v>-3.0102459545767984E-2</v>
      </c>
      <c r="U15" s="13">
        <f>VLOOKUP(A15,'BSE ALL CAP'!$B$4:$Y$1007,21,)</f>
        <v>0.14081180811808114</v>
      </c>
      <c r="V15" s="13">
        <f>VLOOKUP(A15,'BSE ALL CAP'!$B$4:$Y$1007,22,)</f>
        <v>0.18835840418574223</v>
      </c>
      <c r="W15" s="13">
        <f>VLOOKUP(A15,'BSE ALL CAP'!$B$4:$Y$1007,23,)</f>
        <v>0.12289780077619672</v>
      </c>
      <c r="X15" s="13">
        <f>VLOOKUP(A15,'BSE ALL CAP'!$B$4:$Y$1007,24,)</f>
        <v>-1.018675721561968E-2</v>
      </c>
      <c r="Y15" s="220">
        <f ca="1">IFERROR(__xludf.DUMMYFUNCTION("GOOGLEFINANCE(""NSE:""&amp;C15,""PE"")"),62.26)</f>
        <v>62.26</v>
      </c>
      <c r="Z15" s="221">
        <f ca="1">IFERROR(__xludf.DUMMYFUNCTION("GOOGLEFINANCE(""NSE:""&amp;C15,""EPS"")"),93.45)</f>
        <v>93.45</v>
      </c>
      <c r="AA15" s="222">
        <f t="shared" ca="1" si="4"/>
        <v>2.5231500000000002</v>
      </c>
      <c r="AB15" s="223">
        <f t="shared" ca="1" si="5"/>
        <v>157.08600000000001</v>
      </c>
    </row>
    <row r="16" spans="1:28" ht="15.75" customHeight="1">
      <c r="A16" s="15">
        <v>544252</v>
      </c>
      <c r="B16" s="171" t="s">
        <v>172</v>
      </c>
      <c r="C16" s="224" t="s">
        <v>81</v>
      </c>
      <c r="D16" s="225">
        <v>2.4500000000000002</v>
      </c>
      <c r="E16" s="226">
        <f ca="1">IFERROR(__xludf.DUMMYFUNCTION("GOOGLEFINANCE(""NSE:""&amp;C16,""PRICE"")"),79.55)</f>
        <v>79.55</v>
      </c>
      <c r="F16" s="174">
        <f ca="1">IFERROR(__xludf.DUMMYFUNCTION("GOOGLEFINANCE(""NSE:""&amp;C16,""marketcap"")/10000000"),66294.4905832)</f>
        <v>66294.490583199993</v>
      </c>
      <c r="G16" s="11">
        <f>VLOOKUP(A16,'BSE ALL CAP'!$B$4:$Y$1007,7,)</f>
        <v>8259</v>
      </c>
      <c r="H16" s="11">
        <f>VLOOKUP(A16,'BSE ALL CAP'!$B$4:$Y$1007,8,)</f>
        <v>7068</v>
      </c>
      <c r="I16" s="11">
        <f>VLOOKUP(A16,'BSE ALL CAP'!$B$4:$Y$1007,9,)</f>
        <v>1891</v>
      </c>
      <c r="J16" s="11">
        <f>VLOOKUP(A16,'BSE ALL CAP'!$B$4:$Y$1007,10,)</f>
        <v>1576</v>
      </c>
      <c r="K16" s="11">
        <f>VLOOKUP(A16,'BSE ALL CAP'!$B$4:$Y$1007,11,)</f>
        <v>2886</v>
      </c>
      <c r="L16" s="11">
        <f>VLOOKUP(A16,'BSE ALL CAP'!$B$4:$Y$1007,12,)</f>
        <v>2449</v>
      </c>
      <c r="M16" s="11">
        <f>VLOOKUP(A16,'BSE ALL CAP'!$B$4:$Y$1007,13,)</f>
        <v>654</v>
      </c>
      <c r="N16" s="11">
        <f>VLOOKUP(A16,'BSE ALL CAP'!$B$4:$Y$1007,14,)</f>
        <v>548</v>
      </c>
      <c r="O16" s="13">
        <f>VLOOKUP(A16,'BSE ALL CAP'!$B$4:$Y$1007,15,)</f>
        <v>0.22896234410945634</v>
      </c>
      <c r="P16" s="13">
        <f>VLOOKUP(A16,'BSE ALL CAP'!$B$4:$Y$1007,16,)</f>
        <v>0.22297679683078664</v>
      </c>
      <c r="Q16" s="13">
        <f>VLOOKUP(A16,'BSE ALL CAP'!$B$4:$Y$1007,17,)</f>
        <v>5.9855472786697062E-3</v>
      </c>
      <c r="R16" s="13">
        <f>VLOOKUP(A16,'BSE ALL CAP'!$B$4:$Y$1007,18,)</f>
        <v>0.22661122661122662</v>
      </c>
      <c r="S16" s="13">
        <f>VLOOKUP(A16,'BSE ALL CAP'!$B$4:$Y$1007,19,)</f>
        <v>0.22376480195998366</v>
      </c>
      <c r="T16" s="13">
        <f>VLOOKUP(A16,'BSE ALL CAP'!$B$4:$Y$1007,20,)</f>
        <v>2.8464246512429625E-3</v>
      </c>
      <c r="U16" s="13">
        <f>VLOOKUP(A16,'BSE ALL CAP'!$B$4:$Y$1007,21,)</f>
        <v>0.16850594227504234</v>
      </c>
      <c r="V16" s="13">
        <f>VLOOKUP(A16,'BSE ALL CAP'!$B$4:$Y$1007,22,)</f>
        <v>0.19987309644670059</v>
      </c>
      <c r="W16" s="13">
        <f>VLOOKUP(A16,'BSE ALL CAP'!$B$4:$Y$1007,23,)</f>
        <v>0.17844017966516956</v>
      </c>
      <c r="X16" s="13">
        <f>VLOOKUP(A16,'BSE ALL CAP'!$B$4:$Y$1007,24,)</f>
        <v>0.1934306569343065</v>
      </c>
      <c r="Y16" s="179">
        <f ca="1">IFERROR(__xludf.DUMMYFUNCTION("GOOGLEFINANCE(""NSE:""&amp;C16,""PE"")"),26.79)</f>
        <v>26.79</v>
      </c>
      <c r="Z16" s="227">
        <f ca="1">IFERROR(__xludf.DUMMYFUNCTION("GOOGLEFINANCE(""NSE:""&amp;C16,""EPS"")"),2.97)</f>
        <v>2.97</v>
      </c>
      <c r="AA16" s="214">
        <f t="shared" ca="1" si="4"/>
        <v>7.276500000000001E-2</v>
      </c>
      <c r="AB16" s="228">
        <f t="shared" ca="1" si="5"/>
        <v>1.9489749999999999</v>
      </c>
    </row>
    <row r="17" spans="1:28" ht="15.75" customHeight="1">
      <c r="A17" s="15">
        <v>540376</v>
      </c>
      <c r="B17" s="171" t="s">
        <v>187</v>
      </c>
      <c r="C17" s="172" t="s">
        <v>85</v>
      </c>
      <c r="D17" s="207">
        <v>2.4500000000000002</v>
      </c>
      <c r="E17" s="183">
        <f ca="1">IFERROR(__xludf.DUMMYFUNCTION("GOOGLEFINANCE(""NSE:""&amp;C17,""PRICE"")"),4543.8)</f>
        <v>4543.8</v>
      </c>
      <c r="F17" s="174">
        <f ca="1">IFERROR(__xludf.DUMMYFUNCTION("GOOGLEFINANCE(""NSE:""&amp;C17,""marketcap"")/10000000"),295731.36621)</f>
        <v>295731.36621000001</v>
      </c>
      <c r="G17" s="11">
        <f>VLOOKUP(A17,'BSE ALL CAP'!$B$4:$Y$1007,7,)</f>
        <v>51136</v>
      </c>
      <c r="H17" s="11">
        <f>VLOOKUP(A17,'BSE ALL CAP'!$B$4:$Y$1007,8,)</f>
        <v>44486</v>
      </c>
      <c r="I17" s="11">
        <f>VLOOKUP(A17,'BSE ALL CAP'!$B$4:$Y$1007,9,)</f>
        <v>2313</v>
      </c>
      <c r="J17" s="11">
        <f>VLOOKUP(A17,'BSE ALL CAP'!$B$4:$Y$1007,10,)</f>
        <v>2157</v>
      </c>
      <c r="K17" s="11">
        <f>VLOOKUP(A17,'BSE ALL CAP'!$B$4:$Y$1007,11,)</f>
        <v>18100</v>
      </c>
      <c r="L17" s="11">
        <f>VLOOKUP(A17,'BSE ALL CAP'!$B$4:$Y$1007,12,)</f>
        <v>15972</v>
      </c>
      <c r="M17" s="11">
        <f>VLOOKUP(A17,'BSE ALL CAP'!$B$4:$Y$1007,13,)</f>
        <v>856</v>
      </c>
      <c r="N17" s="11">
        <f>VLOOKUP(A17,'BSE ALL CAP'!$B$4:$Y$1007,14,)</f>
        <v>723</v>
      </c>
      <c r="O17" s="13">
        <f>VLOOKUP(A17,'BSE ALL CAP'!$B$4:$Y$1007,15,)</f>
        <v>4.5232321652065081E-2</v>
      </c>
      <c r="P17" s="13">
        <f>VLOOKUP(A17,'BSE ALL CAP'!$B$4:$Y$1007,16,)</f>
        <v>4.8487164501191386E-2</v>
      </c>
      <c r="Q17" s="13">
        <f>VLOOKUP(A17,'BSE ALL CAP'!$B$4:$Y$1007,17,)</f>
        <v>-3.2548428491263048E-3</v>
      </c>
      <c r="R17" s="13">
        <f>VLOOKUP(A17,'BSE ALL CAP'!$B$4:$Y$1007,18,)</f>
        <v>4.7292817679558008E-2</v>
      </c>
      <c r="S17" s="13">
        <f>VLOOKUP(A17,'BSE ALL CAP'!$B$4:$Y$1007,19,)</f>
        <v>4.5266716754320063E-2</v>
      </c>
      <c r="T17" s="13">
        <f>VLOOKUP(A17,'BSE ALL CAP'!$B$4:$Y$1007,20,)</f>
        <v>2.0261009252379447E-3</v>
      </c>
      <c r="U17" s="13">
        <f>VLOOKUP(A17,'BSE ALL CAP'!$B$4:$Y$1007,21,)</f>
        <v>0.14948523130872626</v>
      </c>
      <c r="V17" s="13">
        <f>VLOOKUP(A17,'BSE ALL CAP'!$B$4:$Y$1007,22,)</f>
        <v>7.2322670375521536E-2</v>
      </c>
      <c r="W17" s="13">
        <f>VLOOKUP(A17,'BSE ALL CAP'!$B$4:$Y$1007,23,)</f>
        <v>0.13323315802654645</v>
      </c>
      <c r="X17" s="13">
        <f>VLOOKUP(A17,'BSE ALL CAP'!$B$4:$Y$1007,24,)</f>
        <v>0.1839557399723375</v>
      </c>
      <c r="Y17" s="184">
        <f ca="1">IFERROR(__xludf.DUMMYFUNCTION("GOOGLEFINANCE(""NSE:""&amp;C17,""PE"")"),103.52)</f>
        <v>103.52</v>
      </c>
      <c r="Z17" s="208">
        <f ca="1">IFERROR(__xludf.DUMMYFUNCTION("GOOGLEFINANCE(""NSE:""&amp;C17,""EPS"")"),43.91)</f>
        <v>43.91</v>
      </c>
      <c r="AA17" s="229">
        <f t="shared" ca="1" si="4"/>
        <v>1.0757950000000001</v>
      </c>
      <c r="AB17" s="230">
        <f t="shared" ca="1" si="5"/>
        <v>111.32310000000001</v>
      </c>
    </row>
    <row r="18" spans="1:28" ht="15.75" customHeight="1">
      <c r="A18" s="15" t="s">
        <v>139</v>
      </c>
      <c r="B18" s="171" t="s">
        <v>172</v>
      </c>
      <c r="C18" s="182" t="s">
        <v>139</v>
      </c>
      <c r="D18" s="173">
        <v>2.4500000000000002</v>
      </c>
      <c r="E18" s="231">
        <f ca="1">IFERROR(__xludf.DUMMYFUNCTION("GOOGLEFINANCE(""NSE:""&amp;C18,""PRICE"")"),1202)</f>
        <v>1202</v>
      </c>
      <c r="F18" s="174">
        <f ca="1">IFERROR(__xludf.DUMMYFUNCTION("GOOGLEFINANCE(""NSE:""&amp;C18,""marketcap"")/10000000"),25119.7105102)</f>
        <v>25119.710510199999</v>
      </c>
      <c r="G18" s="11">
        <f>VLOOKUP(A18,'BSE ALL CAP'!$B$4:$Y$1007,7,)</f>
        <v>970</v>
      </c>
      <c r="H18" s="11">
        <f>VLOOKUP(A18,'BSE ALL CAP'!$B$4:$Y$1007,8,)</f>
        <v>943</v>
      </c>
      <c r="I18" s="11">
        <f>VLOOKUP(A18,'BSE ALL CAP'!$B$4:$Y$1007,9,)</f>
        <v>375</v>
      </c>
      <c r="J18" s="11">
        <f>VLOOKUP(A18,'BSE ALL CAP'!$B$4:$Y$1007,10,)</f>
        <v>426</v>
      </c>
      <c r="K18" s="11">
        <f>VLOOKUP(A18,'BSE ALL CAP'!$B$4:$Y$1007,11,)</f>
        <v>334</v>
      </c>
      <c r="L18" s="11">
        <f>VLOOKUP(A18,'BSE ALL CAP'!$B$4:$Y$1007,12,)</f>
        <v>298</v>
      </c>
      <c r="M18" s="11">
        <f>VLOOKUP(A18,'BSE ALL CAP'!$B$4:$Y$1007,13,)</f>
        <v>133</v>
      </c>
      <c r="N18" s="11">
        <f>VLOOKUP(A18,'BSE ALL CAP'!$B$4:$Y$1007,14,)</f>
        <v>130</v>
      </c>
      <c r="O18" s="13">
        <f>VLOOKUP(A18,'BSE ALL CAP'!$B$4:$Y$1007,15,)</f>
        <v>0.38659793814432991</v>
      </c>
      <c r="P18" s="13">
        <f>VLOOKUP(A18,'BSE ALL CAP'!$B$4:$Y$1007,16,)</f>
        <v>0.45174973488865322</v>
      </c>
      <c r="Q18" s="13">
        <f>VLOOKUP(A18,'BSE ALL CAP'!$B$4:$Y$1007,17,)</f>
        <v>-6.5151796744323309E-2</v>
      </c>
      <c r="R18" s="13">
        <f>VLOOKUP(A18,'BSE ALL CAP'!$B$4:$Y$1007,18,)</f>
        <v>0.39820359281437123</v>
      </c>
      <c r="S18" s="13">
        <f>VLOOKUP(A18,'BSE ALL CAP'!$B$4:$Y$1007,19,)</f>
        <v>0.43624161073825501</v>
      </c>
      <c r="T18" s="13">
        <f>VLOOKUP(A18,'BSE ALL CAP'!$B$4:$Y$1007,20,)</f>
        <v>-3.8038017923883782E-2</v>
      </c>
      <c r="U18" s="13">
        <f>VLOOKUP(A18,'BSE ALL CAP'!$B$4:$Y$1007,21,)</f>
        <v>2.8632025450689325E-2</v>
      </c>
      <c r="V18" s="13">
        <f>VLOOKUP(A18,'BSE ALL CAP'!$B$4:$Y$1007,22,)</f>
        <v>-0.11971830985915488</v>
      </c>
      <c r="W18" s="13">
        <f>VLOOKUP(A18,'BSE ALL CAP'!$B$4:$Y$1007,23,)</f>
        <v>0.12080536912751683</v>
      </c>
      <c r="X18" s="13">
        <f>VLOOKUP(A18,'BSE ALL CAP'!$B$4:$Y$1007,24,)</f>
        <v>2.3076923076922995E-2</v>
      </c>
      <c r="Y18" s="205">
        <f ca="1">IFERROR(__xludf.DUMMYFUNCTION("GOOGLEFINANCE(""NSE:""&amp;C18,""PE"")"),52.74)</f>
        <v>52.74</v>
      </c>
      <c r="Z18" s="232">
        <f ca="1">IFERROR(__xludf.DUMMYFUNCTION("GOOGLEFINANCE(""NSE:""&amp;C18,""EPS"")"),22.79)</f>
        <v>22.79</v>
      </c>
      <c r="AA18" s="233">
        <f t="shared" ca="1" si="4"/>
        <v>0.55835500000000005</v>
      </c>
      <c r="AB18" s="181">
        <f t="shared" ca="1" si="5"/>
        <v>29.449000000000002</v>
      </c>
    </row>
    <row r="19" spans="1:28" ht="15.75" customHeight="1">
      <c r="A19" s="15">
        <v>532538</v>
      </c>
      <c r="B19" s="1" t="s">
        <v>196</v>
      </c>
      <c r="C19" s="182" t="s">
        <v>110</v>
      </c>
      <c r="D19" s="173">
        <v>2.4</v>
      </c>
      <c r="E19" s="234">
        <f ca="1">IFERROR(__xludf.DUMMYFUNCTION("GOOGLEFINANCE(""NSE:""&amp;C19,""PRICE"")"),10900)</f>
        <v>10900</v>
      </c>
      <c r="F19" s="174">
        <f ca="1">IFERROR(__xludf.DUMMYFUNCTION("GOOGLEFINANCE(""NSE:""&amp;C19,""marketcap"")/10000000"),320609.984)</f>
        <v>320609.984</v>
      </c>
      <c r="G19" s="11">
        <f>VLOOKUP(A19,'BSE ALL CAP'!$B$4:$Y$1007,7,)</f>
        <v>62712</v>
      </c>
      <c r="H19" s="11">
        <f>VLOOKUP(A19,'BSE ALL CAP'!$B$4:$Y$1007,8,)</f>
        <v>52892</v>
      </c>
      <c r="I19" s="11">
        <f>VLOOKUP(A19,'BSE ALL CAP'!$B$4:$Y$1007,9,)</f>
        <v>5188</v>
      </c>
      <c r="J19" s="11">
        <f>VLOOKUP(A19,'BSE ALL CAP'!$B$4:$Y$1007,10,)</f>
        <v>3565</v>
      </c>
      <c r="K19" s="11">
        <f>VLOOKUP(A19,'BSE ALL CAP'!$B$4:$Y$1007,11,)</f>
        <v>21830</v>
      </c>
      <c r="L19" s="11">
        <f>VLOOKUP(A19,'BSE ALL CAP'!$B$4:$Y$1007,12,)</f>
        <v>17779</v>
      </c>
      <c r="M19" s="11">
        <f>VLOOKUP(A19,'BSE ALL CAP'!$B$4:$Y$1007,13,)</f>
        <v>1729</v>
      </c>
      <c r="N19" s="11">
        <f>VLOOKUP(A19,'BSE ALL CAP'!$B$4:$Y$1007,14,)</f>
        <v>1363</v>
      </c>
      <c r="O19" s="13">
        <f>VLOOKUP(A19,'BSE ALL CAP'!$B$4:$Y$1007,15,)</f>
        <v>8.2727388697537957E-2</v>
      </c>
      <c r="P19" s="13">
        <f>VLOOKUP(A19,'BSE ALL CAP'!$B$4:$Y$1007,16,)</f>
        <v>6.7401497390909781E-2</v>
      </c>
      <c r="Q19" s="13">
        <f>VLOOKUP(A19,'BSE ALL CAP'!$B$4:$Y$1007,17,)</f>
        <v>1.5325891306628175E-2</v>
      </c>
      <c r="R19" s="13">
        <f>VLOOKUP(A19,'BSE ALL CAP'!$B$4:$Y$1007,18,)</f>
        <v>7.9202931745304628E-2</v>
      </c>
      <c r="S19" s="13">
        <f>VLOOKUP(A19,'BSE ALL CAP'!$B$4:$Y$1007,19,)</f>
        <v>7.6663479385792224E-2</v>
      </c>
      <c r="T19" s="13">
        <f>VLOOKUP(A19,'BSE ALL CAP'!$B$4:$Y$1007,20,)</f>
        <v>2.5394523595124036E-3</v>
      </c>
      <c r="U19" s="13">
        <f>VLOOKUP(A19,'BSE ALL CAP'!$B$4:$Y$1007,21,)</f>
        <v>0.18566134765181874</v>
      </c>
      <c r="V19" s="13">
        <f>VLOOKUP(A19,'BSE ALL CAP'!$B$4:$Y$1007,22,)</f>
        <v>0.4552594670406731</v>
      </c>
      <c r="W19" s="13">
        <f>VLOOKUP(A19,'BSE ALL CAP'!$B$4:$Y$1007,23,)</f>
        <v>0.22785308510039926</v>
      </c>
      <c r="X19" s="13">
        <f>VLOOKUP(A19,'BSE ALL CAP'!$B$4:$Y$1007,24,)</f>
        <v>0.26852531181217909</v>
      </c>
      <c r="Y19" s="176">
        <f ca="1">IFERROR(__xludf.DUMMYFUNCTION("GOOGLEFINANCE(""NSE:""&amp;C19,""PE"")"),45.09)</f>
        <v>45.09</v>
      </c>
      <c r="Z19" s="235">
        <f ca="1">IFERROR(__xludf.DUMMYFUNCTION("GOOGLEFINANCE(""NSE:""&amp;C19,""EPS"")"),241.71)</f>
        <v>241.71</v>
      </c>
      <c r="AA19" s="236">
        <f t="shared" ca="1" si="4"/>
        <v>5.8010400000000004</v>
      </c>
      <c r="AB19" s="237">
        <f t="shared" ca="1" si="5"/>
        <v>261.60000000000002</v>
      </c>
    </row>
    <row r="20" spans="1:28" ht="15.75" customHeight="1">
      <c r="A20" s="15">
        <v>500575</v>
      </c>
      <c r="B20" s="171" t="s">
        <v>187</v>
      </c>
      <c r="C20" s="182" t="s">
        <v>95</v>
      </c>
      <c r="D20" s="173">
        <v>1.4</v>
      </c>
      <c r="E20" s="196">
        <f ca="1">IFERROR(__xludf.DUMMYFUNCTION("GOOGLEFINANCE(""NSE:""&amp;C20,""PRICE"")"),1243.4)</f>
        <v>1243.4000000000001</v>
      </c>
      <c r="F20" s="174">
        <f ca="1">IFERROR(__xludf.DUMMYFUNCTION("GOOGLEFINANCE(""NSE:""&amp;C20,""marketcap"")/10000000"),41162.05668)</f>
        <v>41162.056680000002</v>
      </c>
      <c r="G20" s="11">
        <f>VLOOKUP(A20,'BSE ALL CAP'!$B$4:$Y$1007,7,)</f>
        <v>9357</v>
      </c>
      <c r="H20" s="11">
        <f>VLOOKUP(A20,'BSE ALL CAP'!$B$4:$Y$1007,8,)</f>
        <v>10645</v>
      </c>
      <c r="I20" s="11">
        <f>VLOOKUP(A20,'BSE ALL CAP'!$B$4:$Y$1007,9,)</f>
        <v>257</v>
      </c>
      <c r="J20" s="11">
        <f>VLOOKUP(A20,'BSE ALL CAP'!$B$4:$Y$1007,10,)</f>
        <v>599</v>
      </c>
      <c r="K20" s="11">
        <f>VLOOKUP(A20,'BSE ALL CAP'!$B$4:$Y$1007,11,)</f>
        <v>3071</v>
      </c>
      <c r="L20" s="11">
        <f>VLOOKUP(A20,'BSE ALL CAP'!$B$4:$Y$1007,12,)</f>
        <v>3105</v>
      </c>
      <c r="M20" s="11">
        <f>VLOOKUP(A20,'BSE ALL CAP'!$B$4:$Y$1007,13,)</f>
        <v>84</v>
      </c>
      <c r="N20" s="11">
        <f>VLOOKUP(A20,'BSE ALL CAP'!$B$4:$Y$1007,14,)</f>
        <v>131</v>
      </c>
      <c r="O20" s="13">
        <f>VLOOKUP(A20,'BSE ALL CAP'!$B$4:$Y$1007,15,)</f>
        <v>2.7466068184247086E-2</v>
      </c>
      <c r="P20" s="13">
        <f>VLOOKUP(A20,'BSE ALL CAP'!$B$4:$Y$1007,16,)</f>
        <v>5.6270549553781121E-2</v>
      </c>
      <c r="Q20" s="13">
        <f>VLOOKUP(A20,'BSE ALL CAP'!$B$4:$Y$1007,17,)</f>
        <v>-2.8804481369534035E-2</v>
      </c>
      <c r="R20" s="13">
        <f>VLOOKUP(A20,'BSE ALL CAP'!$B$4:$Y$1007,18,)</f>
        <v>2.7352653858677956E-2</v>
      </c>
      <c r="S20" s="13">
        <f>VLOOKUP(A20,'BSE ALL CAP'!$B$4:$Y$1007,19,)</f>
        <v>4.2190016103059579E-2</v>
      </c>
      <c r="T20" s="13">
        <f>VLOOKUP(A20,'BSE ALL CAP'!$B$4:$Y$1007,20,)</f>
        <v>-1.4837362244381622E-2</v>
      </c>
      <c r="U20" s="13">
        <f>VLOOKUP(A20,'BSE ALL CAP'!$B$4:$Y$1007,21,)</f>
        <v>-0.12099577266322215</v>
      </c>
      <c r="V20" s="13">
        <f>VLOOKUP(A20,'BSE ALL CAP'!$B$4:$Y$1007,22,)</f>
        <v>-0.57095158597662765</v>
      </c>
      <c r="W20" s="13">
        <f>VLOOKUP(A20,'BSE ALL CAP'!$B$4:$Y$1007,23,)</f>
        <v>-1.0950080515297889E-2</v>
      </c>
      <c r="X20" s="13">
        <f>VLOOKUP(A20,'BSE ALL CAP'!$B$4:$Y$1007,24,)</f>
        <v>-0.35877862595419852</v>
      </c>
      <c r="Y20" s="221">
        <f ca="1">IFERROR(__xludf.DUMMYFUNCTION("GOOGLEFINANCE(""NSE:""&amp;C20,""PE"")"),82.19)</f>
        <v>82.19</v>
      </c>
      <c r="Z20" s="238">
        <f ca="1">IFERROR(__xludf.DUMMYFUNCTION("GOOGLEFINANCE(""NSE:""&amp;C20,""EPS"")"),15.14)</f>
        <v>15.14</v>
      </c>
      <c r="AA20" s="194">
        <f t="shared" ca="1" si="4"/>
        <v>0.21195999999999998</v>
      </c>
      <c r="AB20" s="239">
        <f t="shared" ca="1" si="5"/>
        <v>17.407599999999999</v>
      </c>
    </row>
    <row r="21" spans="1:28" ht="15.75" customHeight="1">
      <c r="A21" s="15">
        <v>532500</v>
      </c>
      <c r="B21" s="171" t="s">
        <v>187</v>
      </c>
      <c r="C21" s="182" t="s">
        <v>77</v>
      </c>
      <c r="D21" s="173">
        <v>2.25</v>
      </c>
      <c r="E21" s="240">
        <f ca="1">IFERROR(__xludf.DUMMYFUNCTION("GOOGLEFINANCE(""NSE:""&amp;C21,""PRICE"")"),12676)</f>
        <v>12676</v>
      </c>
      <c r="F21" s="174">
        <f ca="1">IFERROR(__xludf.DUMMYFUNCTION("GOOGLEFINANCE(""NSE:""&amp;C21,""marketcap"")/10000000"),398536.609)</f>
        <v>398536.609</v>
      </c>
      <c r="G21" s="11">
        <f>VLOOKUP(A21,'BSE ALL CAP'!$B$4:$Y$1007,7,)</f>
        <v>130853</v>
      </c>
      <c r="H21" s="11">
        <f>VLOOKUP(A21,'BSE ALL CAP'!$B$4:$Y$1007,8,)</f>
        <v>111992</v>
      </c>
      <c r="I21" s="11">
        <f>VLOOKUP(A21,'BSE ALL CAP'!$B$4:$Y$1007,9,)</f>
        <v>11020</v>
      </c>
      <c r="J21" s="11">
        <f>VLOOKUP(A21,'BSE ALL CAP'!$B$4:$Y$1007,10,)</f>
        <v>10589</v>
      </c>
      <c r="K21" s="11">
        <f>VLOOKUP(A21,'BSE ALL CAP'!$B$4:$Y$1007,11,)</f>
        <v>49904</v>
      </c>
      <c r="L21" s="11">
        <f>VLOOKUP(A21,'BSE ALL CAP'!$B$4:$Y$1007,12,)</f>
        <v>38764</v>
      </c>
      <c r="M21" s="11">
        <f>VLOOKUP(A21,'BSE ALL CAP'!$B$4:$Y$1007,13,)</f>
        <v>3879</v>
      </c>
      <c r="N21" s="11">
        <f>VLOOKUP(A21,'BSE ALL CAP'!$B$4:$Y$1007,14,)</f>
        <v>3726</v>
      </c>
      <c r="O21" s="13">
        <f>VLOOKUP(A21,'BSE ALL CAP'!$B$4:$Y$1007,15,)</f>
        <v>8.4216640046464356E-2</v>
      </c>
      <c r="P21" s="13">
        <f>VLOOKUP(A21,'BSE ALL CAP'!$B$4:$Y$1007,16,)</f>
        <v>9.455139652832345E-2</v>
      </c>
      <c r="Q21" s="13">
        <f>VLOOKUP(A21,'BSE ALL CAP'!$B$4:$Y$1007,17,)</f>
        <v>-1.0334756481859095E-2</v>
      </c>
      <c r="R21" s="13">
        <f>VLOOKUP(A21,'BSE ALL CAP'!$B$4:$Y$1007,18,)</f>
        <v>7.7729240141070854E-2</v>
      </c>
      <c r="S21" s="13">
        <f>VLOOKUP(A21,'BSE ALL CAP'!$B$4:$Y$1007,19,)</f>
        <v>9.6120111443607464E-2</v>
      </c>
      <c r="T21" s="13">
        <f>VLOOKUP(A21,'BSE ALL CAP'!$B$4:$Y$1007,20,)</f>
        <v>-1.839087130253661E-2</v>
      </c>
      <c r="U21" s="13">
        <f>VLOOKUP(A21,'BSE ALL CAP'!$B$4:$Y$1007,21,)</f>
        <v>0.16841381527251942</v>
      </c>
      <c r="V21" s="13">
        <f>VLOOKUP(A21,'BSE ALL CAP'!$B$4:$Y$1007,22,)</f>
        <v>4.0702615922183494E-2</v>
      </c>
      <c r="W21" s="13">
        <f>VLOOKUP(A21,'BSE ALL CAP'!$B$4:$Y$1007,23,)</f>
        <v>0.28738004333918066</v>
      </c>
      <c r="X21" s="13">
        <f>VLOOKUP(A21,'BSE ALL CAP'!$B$4:$Y$1007,24,)</f>
        <v>4.106280193236711E-2</v>
      </c>
      <c r="Y21" s="208">
        <f ca="1">IFERROR(__xludf.DUMMYFUNCTION("GOOGLEFINANCE(""NSE:""&amp;C21,""PE"")"),26.68)</f>
        <v>26.68</v>
      </c>
      <c r="Z21" s="241">
        <f ca="1">IFERROR(__xludf.DUMMYFUNCTION("GOOGLEFINANCE(""NSE:""&amp;C21,""EPS"")"),474.92)</f>
        <v>474.92</v>
      </c>
      <c r="AA21" s="242">
        <f t="shared" ca="1" si="4"/>
        <v>10.685700000000001</v>
      </c>
      <c r="AB21" s="243">
        <f t="shared" ca="1" si="5"/>
        <v>285.20999999999998</v>
      </c>
    </row>
    <row r="22" spans="1:28" ht="15.75" customHeight="1">
      <c r="A22" s="15">
        <v>532977</v>
      </c>
      <c r="B22" s="171" t="s">
        <v>187</v>
      </c>
      <c r="C22" s="172" t="s">
        <v>83</v>
      </c>
      <c r="D22" s="173">
        <v>2.2000000000000002</v>
      </c>
      <c r="E22" s="244">
        <f ca="1">IFERROR(__xludf.DUMMYFUNCTION("GOOGLEFINANCE(""NSE:""&amp;C22,""PRICE"")"),8923.5)</f>
        <v>8923.5</v>
      </c>
      <c r="F22" s="174">
        <f ca="1">IFERROR(__xludf.DUMMYFUNCTION("GOOGLEFINANCE(""NSE:""&amp;C22,""marketcap"")/10000000"),249185.614275)</f>
        <v>249185.614275</v>
      </c>
      <c r="G22" s="11">
        <f>VLOOKUP(A22,'BSE ALL CAP'!$B$4:$Y$1007,7,)</f>
        <v>45073</v>
      </c>
      <c r="H22" s="11">
        <f>VLOOKUP(A22,'BSE ALL CAP'!$B$4:$Y$1007,8,)</f>
        <v>38348</v>
      </c>
      <c r="I22" s="11">
        <f>VLOOKUP(A22,'BSE ALL CAP'!$B$4:$Y$1007,9,)</f>
        <v>7082</v>
      </c>
      <c r="J22" s="11">
        <f>VLOOKUP(A22,'BSE ALL CAP'!$B$4:$Y$1007,10,)</f>
        <v>5523</v>
      </c>
      <c r="K22" s="11">
        <f>VLOOKUP(A22,'BSE ALL CAP'!$B$4:$Y$1007,11,)</f>
        <v>16204</v>
      </c>
      <c r="L22" s="11">
        <f>VLOOKUP(A22,'BSE ALL CAP'!$B$4:$Y$1007,12,)</f>
        <v>13169</v>
      </c>
      <c r="M22" s="11">
        <f>VLOOKUP(A22,'BSE ALL CAP'!$B$4:$Y$1007,13,)</f>
        <v>2750</v>
      </c>
      <c r="N22" s="11">
        <f>VLOOKUP(A22,'BSE ALL CAP'!$B$4:$Y$1007,14,)</f>
        <v>2196</v>
      </c>
      <c r="O22" s="13">
        <f>VLOOKUP(A22,'BSE ALL CAP'!$B$4:$Y$1007,15,)</f>
        <v>0.15712288953475473</v>
      </c>
      <c r="P22" s="13">
        <f>VLOOKUP(A22,'BSE ALL CAP'!$B$4:$Y$1007,16,)</f>
        <v>0.14402315635756754</v>
      </c>
      <c r="Q22" s="13">
        <f>VLOOKUP(A22,'BSE ALL CAP'!$B$4:$Y$1007,17,)</f>
        <v>1.3099733177187184E-2</v>
      </c>
      <c r="R22" s="13">
        <f>VLOOKUP(A22,'BSE ALL CAP'!$B$4:$Y$1007,18,)</f>
        <v>0.1697111824240928</v>
      </c>
      <c r="S22" s="13">
        <f>VLOOKUP(A22,'BSE ALL CAP'!$B$4:$Y$1007,19,)</f>
        <v>0.16675525856177387</v>
      </c>
      <c r="T22" s="13">
        <f>VLOOKUP(A22,'BSE ALL CAP'!$B$4:$Y$1007,20,)</f>
        <v>2.9559238623189377E-3</v>
      </c>
      <c r="U22" s="13">
        <f>VLOOKUP(A22,'BSE ALL CAP'!$B$4:$Y$1007,21,)</f>
        <v>0.1753676854073225</v>
      </c>
      <c r="V22" s="13">
        <f>VLOOKUP(A22,'BSE ALL CAP'!$B$4:$Y$1007,22,)</f>
        <v>0.28227412638059035</v>
      </c>
      <c r="W22" s="13">
        <f>VLOOKUP(A22,'BSE ALL CAP'!$B$4:$Y$1007,23,)</f>
        <v>0.23046548712886317</v>
      </c>
      <c r="X22" s="13">
        <f>VLOOKUP(A22,'BSE ALL CAP'!$B$4:$Y$1007,24,)</f>
        <v>0.25227686703096541</v>
      </c>
      <c r="Y22" s="179">
        <f ca="1">IFERROR(__xludf.DUMMYFUNCTION("GOOGLEFINANCE(""NSE:""&amp;C22,""PE"")"),28.1)</f>
        <v>28.1</v>
      </c>
      <c r="Z22" s="245">
        <f ca="1">IFERROR(__xludf.DUMMYFUNCTION("GOOGLEFINANCE(""NSE:""&amp;C22,""EPS"")"),317.47)</f>
        <v>317.47000000000003</v>
      </c>
      <c r="AA22" s="246">
        <f t="shared" ca="1" si="4"/>
        <v>6.9843400000000013</v>
      </c>
      <c r="AB22" s="247">
        <f t="shared" ca="1" si="5"/>
        <v>196.31700000000001</v>
      </c>
    </row>
    <row r="23" spans="1:28" ht="15.75" customHeight="1">
      <c r="A23" s="15">
        <v>532777</v>
      </c>
      <c r="B23" s="171" t="s">
        <v>187</v>
      </c>
      <c r="C23" s="182" t="s">
        <v>123</v>
      </c>
      <c r="D23" s="173">
        <v>2.35</v>
      </c>
      <c r="E23" s="248">
        <f ca="1">IFERROR(__xludf.DUMMYFUNCTION("GOOGLEFINANCE(""NSE:""&amp;C23,""PRICE"")"),988.65)</f>
        <v>988.65</v>
      </c>
      <c r="F23" s="174">
        <f ca="1">IFERROR(__xludf.DUMMYFUNCTION("GOOGLEFINANCE(""NSE:""&amp;C23,""marketcap"")/10000000"),64015.1286268)</f>
        <v>64015.128626799997</v>
      </c>
      <c r="G23" s="11">
        <f>VLOOKUP(A23,'BSE ALL CAP'!$B$4:$Y$1007,7,)</f>
        <v>2415</v>
      </c>
      <c r="H23" s="11">
        <f>VLOOKUP(A23,'BSE ALL CAP'!$B$4:$Y$1007,8,)</f>
        <v>2099</v>
      </c>
      <c r="I23" s="11">
        <f>VLOOKUP(A23,'BSE ALL CAP'!$B$4:$Y$1007,9,)</f>
        <v>1007</v>
      </c>
      <c r="J23" s="11">
        <f>VLOOKUP(A23,'BSE ALL CAP'!$B$4:$Y$1007,10,)</f>
        <v>632</v>
      </c>
      <c r="K23" s="11">
        <f>VLOOKUP(A23,'BSE ALL CAP'!$B$4:$Y$1007,11,)</f>
        <v>819</v>
      </c>
      <c r="L23" s="11">
        <f>VLOOKUP(A23,'BSE ALL CAP'!$B$4:$Y$1007,12,)</f>
        <v>722</v>
      </c>
      <c r="M23" s="11">
        <f>VLOOKUP(A23,'BSE ALL CAP'!$B$4:$Y$1007,13,)</f>
        <v>316</v>
      </c>
      <c r="N23" s="11">
        <f>VLOOKUP(A23,'BSE ALL CAP'!$B$4:$Y$1007,14,)</f>
        <v>288</v>
      </c>
      <c r="O23" s="13">
        <f>VLOOKUP(A23,'BSE ALL CAP'!$B$4:$Y$1007,15,)</f>
        <v>0.41697722567287787</v>
      </c>
      <c r="P23" s="13">
        <f>VLOOKUP(A23,'BSE ALL CAP'!$B$4:$Y$1007,16,)</f>
        <v>0.30109575988565984</v>
      </c>
      <c r="Q23" s="13">
        <f>VLOOKUP(A23,'BSE ALL CAP'!$B$4:$Y$1007,17,)</f>
        <v>0.11588146578721803</v>
      </c>
      <c r="R23" s="13">
        <f>VLOOKUP(A23,'BSE ALL CAP'!$B$4:$Y$1007,18,)</f>
        <v>0.38583638583638585</v>
      </c>
      <c r="S23" s="13">
        <f>VLOOKUP(A23,'BSE ALL CAP'!$B$4:$Y$1007,19,)</f>
        <v>0.39889196675900279</v>
      </c>
      <c r="T23" s="13">
        <f>VLOOKUP(A23,'BSE ALL CAP'!$B$4:$Y$1007,20,)</f>
        <v>-1.3055580922616938E-2</v>
      </c>
      <c r="U23" s="13">
        <f>VLOOKUP(A23,'BSE ALL CAP'!$B$4:$Y$1007,21,)</f>
        <v>0.15054787994282992</v>
      </c>
      <c r="V23" s="13">
        <f>VLOOKUP(A23,'BSE ALL CAP'!$B$4:$Y$1007,22,)</f>
        <v>0.59335443037974689</v>
      </c>
      <c r="W23" s="13">
        <f>VLOOKUP(A23,'BSE ALL CAP'!$B$4:$Y$1007,23,)</f>
        <v>0.13434903047091407</v>
      </c>
      <c r="X23" s="13">
        <f>VLOOKUP(A23,'BSE ALL CAP'!$B$4:$Y$1007,24,)</f>
        <v>9.7222222222222321E-2</v>
      </c>
      <c r="Y23" s="205">
        <f ca="1">IFERROR(__xludf.DUMMYFUNCTION("GOOGLEFINANCE(""NSE:""&amp;C23,""PE"")"),47.58)</f>
        <v>47.58</v>
      </c>
      <c r="Z23" s="249">
        <f ca="1">IFERROR(__xludf.DUMMYFUNCTION("GOOGLEFINANCE(""NSE:""&amp;C23,""EPS"")"),20.78)</f>
        <v>20.78</v>
      </c>
      <c r="AA23" s="233">
        <f t="shared" ca="1" si="4"/>
        <v>0.48833000000000004</v>
      </c>
      <c r="AB23" s="250">
        <f t="shared" ca="1" si="5"/>
        <v>23.233274999999999</v>
      </c>
    </row>
    <row r="24" spans="1:28" ht="15.75" customHeight="1">
      <c r="A24" s="15">
        <v>500800</v>
      </c>
      <c r="B24" s="1" t="s">
        <v>183</v>
      </c>
      <c r="C24" s="251" t="s">
        <v>127</v>
      </c>
      <c r="D24" s="173">
        <v>2</v>
      </c>
      <c r="E24" s="196">
        <f ca="1">IFERROR(__xludf.DUMMYFUNCTION("GOOGLEFINANCE(""NSE:""&amp;C24,""PRICE"")"),1060.7)</f>
        <v>1060.7</v>
      </c>
      <c r="F24" s="174">
        <f ca="1">IFERROR(__xludf.DUMMYFUNCTION("GOOGLEFINANCE(""NSE:""&amp;C24,""marketcap"")/10000000"),104825.07057)</f>
        <v>104825.07057</v>
      </c>
      <c r="G24" s="11">
        <f>VLOOKUP(A24,'BSE ALL CAP'!$B$4:$Y$1007,7,)</f>
        <v>14856</v>
      </c>
      <c r="H24" s="11">
        <f>VLOOKUP(A24,'BSE ALL CAP'!$B$4:$Y$1007,8,)</f>
        <v>13010</v>
      </c>
      <c r="I24" s="11">
        <f>VLOOKUP(A24,'BSE ALL CAP'!$B$4:$Y$1007,9,)</f>
        <v>1146</v>
      </c>
      <c r="J24" s="11">
        <f>VLOOKUP(A24,'BSE ALL CAP'!$B$4:$Y$1007,10,)</f>
        <v>973</v>
      </c>
      <c r="K24" s="11">
        <f>VLOOKUP(A24,'BSE ALL CAP'!$B$4:$Y$1007,11,)</f>
        <v>5112</v>
      </c>
      <c r="L24" s="11">
        <f>VLOOKUP(A24,'BSE ALL CAP'!$B$4:$Y$1007,12,)</f>
        <v>4443</v>
      </c>
      <c r="M24" s="11">
        <f>VLOOKUP(A24,'BSE ALL CAP'!$B$4:$Y$1007,13,)</f>
        <v>403</v>
      </c>
      <c r="N24" s="11">
        <f>VLOOKUP(A24,'BSE ALL CAP'!$B$4:$Y$1007,14,)</f>
        <v>300</v>
      </c>
      <c r="O24" s="13">
        <f>VLOOKUP(A24,'BSE ALL CAP'!$B$4:$Y$1007,15,)</f>
        <v>7.7140549273020997E-2</v>
      </c>
      <c r="P24" s="13">
        <f>VLOOKUP(A24,'BSE ALL CAP'!$B$4:$Y$1007,16,)</f>
        <v>7.4788624135280549E-2</v>
      </c>
      <c r="Q24" s="13">
        <f>VLOOKUP(A24,'BSE ALL CAP'!$B$4:$Y$1007,17,)</f>
        <v>2.3519251377404488E-3</v>
      </c>
      <c r="R24" s="13">
        <f>VLOOKUP(A24,'BSE ALL CAP'!$B$4:$Y$1007,18,)</f>
        <v>7.8834115805946792E-2</v>
      </c>
      <c r="S24" s="13">
        <f>VLOOKUP(A24,'BSE ALL CAP'!$B$4:$Y$1007,19,)</f>
        <v>6.7521944632005407E-2</v>
      </c>
      <c r="T24" s="13">
        <f>VLOOKUP(A24,'BSE ALL CAP'!$B$4:$Y$1007,20,)</f>
        <v>1.1312171173941385E-2</v>
      </c>
      <c r="U24" s="13">
        <f>VLOOKUP(A24,'BSE ALL CAP'!$B$4:$Y$1007,21,)</f>
        <v>0.14189085318985395</v>
      </c>
      <c r="V24" s="13">
        <f>VLOOKUP(A24,'BSE ALL CAP'!$B$4:$Y$1007,22,)</f>
        <v>0.17780061664953761</v>
      </c>
      <c r="W24" s="13">
        <f>VLOOKUP(A24,'BSE ALL CAP'!$B$4:$Y$1007,23,)</f>
        <v>0.15057393652937212</v>
      </c>
      <c r="X24" s="13">
        <f>VLOOKUP(A24,'BSE ALL CAP'!$B$4:$Y$1007,24,)</f>
        <v>0.34333333333333327</v>
      </c>
      <c r="Y24" s="184">
        <f ca="1">IFERROR(__xludf.DUMMYFUNCTION("GOOGLEFINANCE(""NSE:""&amp;C24,""PE"")"),71.5)</f>
        <v>71.5</v>
      </c>
      <c r="Z24" s="252">
        <f ca="1">IFERROR(__xludf.DUMMYFUNCTION("GOOGLEFINANCE(""NSE:""&amp;C24,""EPS"")"),14.82)</f>
        <v>14.82</v>
      </c>
      <c r="AA24" s="194">
        <f t="shared" ca="1" si="4"/>
        <v>0.2964</v>
      </c>
      <c r="AB24" s="253">
        <f t="shared" ca="1" si="5"/>
        <v>21.214000000000002</v>
      </c>
    </row>
    <row r="25" spans="1:28" ht="14.4">
      <c r="A25" s="15">
        <v>540611</v>
      </c>
      <c r="B25" s="171" t="s">
        <v>172</v>
      </c>
      <c r="C25" s="254" t="s">
        <v>1423</v>
      </c>
      <c r="D25" s="173">
        <v>2</v>
      </c>
      <c r="E25" s="255">
        <f ca="1">IFERROR(__xludf.DUMMYFUNCTION("GOOGLEFINANCE(""NSE:""&amp;C25,""PRICE"")"),881.5)</f>
        <v>881.5</v>
      </c>
      <c r="F25" s="174">
        <f ca="1">IFERROR(__xludf.DUMMYFUNCTION("GOOGLEFINANCE(""NSE:""&amp;C25,""marketcap"")/10000000"),66030.8223284)</f>
        <v>66030.822328399998</v>
      </c>
      <c r="G25" s="11">
        <f>VLOOKUP(A25,'BSE ALL CAP'!$B$4:$Y$1007,7,)</f>
        <v>15864</v>
      </c>
      <c r="H25" s="11">
        <f>VLOOKUP(A25,'BSE ALL CAP'!$B$4:$Y$1007,8,)</f>
        <v>13558</v>
      </c>
      <c r="I25" s="11">
        <f>VLOOKUP(A25,'BSE ALL CAP'!$B$4:$Y$1007,9,)</f>
        <v>1809</v>
      </c>
      <c r="J25" s="11">
        <f>VLOOKUP(A25,'BSE ALL CAP'!$B$4:$Y$1007,10,)</f>
        <v>1602</v>
      </c>
      <c r="K25" s="11">
        <f>VLOOKUP(A25,'BSE ALL CAP'!$B$4:$Y$1007,11,)</f>
        <v>5451</v>
      </c>
      <c r="L25" s="11">
        <f>VLOOKUP(A25,'BSE ALL CAP'!$B$4:$Y$1007,12,)</f>
        <v>4731</v>
      </c>
      <c r="M25" s="11">
        <f>VLOOKUP(A25,'BSE ALL CAP'!$B$4:$Y$1007,13,)</f>
        <v>667</v>
      </c>
      <c r="N25" s="11">
        <f>VLOOKUP(A25,'BSE ALL CAP'!$B$4:$Y$1007,14,)</f>
        <v>528</v>
      </c>
      <c r="O25" s="13">
        <f>VLOOKUP(A25,'BSE ALL CAP'!$B$4:$Y$1007,15,)</f>
        <v>0.11403177004538578</v>
      </c>
      <c r="P25" s="13">
        <f>VLOOKUP(A25,'BSE ALL CAP'!$B$4:$Y$1007,16,)</f>
        <v>0.11815902050449918</v>
      </c>
      <c r="Q25" s="13">
        <f>VLOOKUP(A25,'BSE ALL CAP'!$B$4:$Y$1007,17,)</f>
        <v>-4.1272504591133991E-3</v>
      </c>
      <c r="R25" s="13">
        <f>VLOOKUP(A25,'BSE ALL CAP'!$B$4:$Y$1007,18,)</f>
        <v>0.12236286919831224</v>
      </c>
      <c r="S25" s="13">
        <f>VLOOKUP(A25,'BSE ALL CAP'!$B$4:$Y$1007,19,)</f>
        <v>0.11160431198478123</v>
      </c>
      <c r="T25" s="13">
        <f>VLOOKUP(A25,'BSE ALL CAP'!$B$4:$Y$1007,20,)</f>
        <v>1.0758557213531014E-2</v>
      </c>
      <c r="U25" s="13">
        <f>VLOOKUP(A25,'BSE ALL CAP'!$B$4:$Y$1007,21,)</f>
        <v>0.17008408319811186</v>
      </c>
      <c r="V25" s="13">
        <f>VLOOKUP(A25,'BSE ALL CAP'!$B$4:$Y$1007,22,)</f>
        <v>0.1292134831460674</v>
      </c>
      <c r="W25" s="13">
        <f>VLOOKUP(A25,'BSE ALL CAP'!$B$4:$Y$1007,23,)</f>
        <v>0.15218769816106525</v>
      </c>
      <c r="X25" s="13">
        <f>VLOOKUP(A25,'BSE ALL CAP'!$B$4:$Y$1007,24,)</f>
        <v>0.26325757575757569</v>
      </c>
      <c r="Y25" s="189">
        <f ca="1">IFERROR(__xludf.DUMMYFUNCTION("GOOGLEFINANCE(""NSE:""&amp;C25,""PE"")"),28.51)</f>
        <v>28.51</v>
      </c>
      <c r="Z25" s="179">
        <f ca="1">IFERROR(__xludf.DUMMYFUNCTION("GOOGLEFINANCE(""NSE:""&amp;C25,""EPS"")"),30.97)</f>
        <v>30.97</v>
      </c>
      <c r="AA25" s="233">
        <f t="shared" ca="1" si="4"/>
        <v>0.61939999999999995</v>
      </c>
      <c r="AB25" s="256">
        <f t="shared" ca="1" si="5"/>
        <v>17.63</v>
      </c>
    </row>
    <row r="26" spans="1:28" ht="16.2">
      <c r="A26" s="15">
        <v>540777</v>
      </c>
      <c r="B26" s="171" t="s">
        <v>172</v>
      </c>
      <c r="C26" s="172" t="s">
        <v>138</v>
      </c>
      <c r="D26" s="207">
        <v>2</v>
      </c>
      <c r="E26" s="255">
        <f ca="1">IFERROR(__xludf.DUMMYFUNCTION("GOOGLEFINANCE(""NSE:""&amp;C26,""PRICE"")"),580.7)</f>
        <v>580.70000000000005</v>
      </c>
      <c r="F26" s="174">
        <f ca="1">IFERROR(__xludf.DUMMYFUNCTION("GOOGLEFINANCE(""NSE:""&amp;C26,""marketcap"")/10000000"),125273.1941633)</f>
        <v>125273.1941633</v>
      </c>
      <c r="G26" s="11">
        <f>VLOOKUP(A26,'BSE ALL CAP'!$B$4:$Y$1007,7,)</f>
        <v>78864</v>
      </c>
      <c r="H26" s="11">
        <f>VLOOKUP(A26,'BSE ALL CAP'!$B$4:$Y$1007,8,)</f>
        <v>72218</v>
      </c>
      <c r="I26" s="11">
        <f>VLOOKUP(A26,'BSE ALL CAP'!$B$4:$Y$1007,9,)</f>
        <v>1414</v>
      </c>
      <c r="J26" s="11">
        <f>VLOOKUP(A26,'BSE ALL CAP'!$B$4:$Y$1007,10,)</f>
        <v>1335</v>
      </c>
      <c r="K26" s="11">
        <f>VLOOKUP(A26,'BSE ALL CAP'!$B$4:$Y$1007,11,)</f>
        <v>29157</v>
      </c>
      <c r="L26" s="11">
        <f>VLOOKUP(A26,'BSE ALL CAP'!$B$4:$Y$1007,12,)</f>
        <v>16979</v>
      </c>
      <c r="M26" s="11">
        <f>VLOOKUP(A26,'BSE ALL CAP'!$B$4:$Y$1007,13,)</f>
        <v>418</v>
      </c>
      <c r="N26" s="11">
        <f>VLOOKUP(A26,'BSE ALL CAP'!$B$4:$Y$1007,14,)</f>
        <v>421</v>
      </c>
      <c r="O26" s="13">
        <f>VLOOKUP(A26,'BSE ALL CAP'!$B$4:$Y$1007,15,)</f>
        <v>1.7929600324609454E-2</v>
      </c>
      <c r="P26" s="13">
        <f>VLOOKUP(A26,'BSE ALL CAP'!$B$4:$Y$1007,16,)</f>
        <v>1.8485696086848153E-2</v>
      </c>
      <c r="Q26" s="13">
        <f>VLOOKUP(A26,'BSE ALL CAP'!$B$4:$Y$1007,17,)</f>
        <v>-5.5609576223869875E-4</v>
      </c>
      <c r="R26" s="13">
        <f>VLOOKUP(A26,'BSE ALL CAP'!$B$4:$Y$1007,18,)</f>
        <v>1.4336179991082759E-2</v>
      </c>
      <c r="S26" s="13">
        <f>VLOOKUP(A26,'BSE ALL CAP'!$B$4:$Y$1007,19,)</f>
        <v>2.4795335414335356E-2</v>
      </c>
      <c r="T26" s="13">
        <f>VLOOKUP(A26,'BSE ALL CAP'!$B$4:$Y$1007,20,)</f>
        <v>-1.0459155423252597E-2</v>
      </c>
      <c r="U26" s="13">
        <f>VLOOKUP(A26,'BSE ALL CAP'!$B$4:$Y$1007,21,)</f>
        <v>9.2026918496773691E-2</v>
      </c>
      <c r="V26" s="13">
        <f>VLOOKUP(A26,'BSE ALL CAP'!$B$4:$Y$1007,22,)</f>
        <v>5.9176029962546783E-2</v>
      </c>
      <c r="W26" s="13">
        <f>VLOOKUP(A26,'BSE ALL CAP'!$B$4:$Y$1007,23,)</f>
        <v>0.71723894222274565</v>
      </c>
      <c r="X26" s="13">
        <f>VLOOKUP(A26,'BSE ALL CAP'!$B$4:$Y$1007,24,)</f>
        <v>-7.1258907363420665E-3</v>
      </c>
      <c r="Y26" s="184">
        <f ca="1">IFERROR(__xludf.DUMMYFUNCTION("GOOGLEFINANCE(""NSE:""&amp;C26,""PE"")"),66.27)</f>
        <v>66.27</v>
      </c>
      <c r="Z26" s="257">
        <f ca="1">IFERROR(__xludf.DUMMYFUNCTION("GOOGLEFINANCE(""NSE:""&amp;C26,""EPS"")"),8.76)</f>
        <v>8.76</v>
      </c>
      <c r="AA26" s="202">
        <f t="shared" ca="1" si="4"/>
        <v>0.17519999999999999</v>
      </c>
      <c r="AB26" s="258">
        <f t="shared" ca="1" si="5"/>
        <v>11.614000000000001</v>
      </c>
    </row>
    <row r="27" spans="1:28" ht="16.2">
      <c r="A27" s="15">
        <v>540115</v>
      </c>
      <c r="B27" s="171" t="s">
        <v>174</v>
      </c>
      <c r="C27" s="172" t="s">
        <v>1414</v>
      </c>
      <c r="D27" s="207">
        <v>2</v>
      </c>
      <c r="E27" s="259">
        <f ca="1">IFERROR(__xludf.DUMMYFUNCTION("GOOGLEFINANCE(""NSE:""&amp;C27,""PRICE"")"),3351)</f>
        <v>3351</v>
      </c>
      <c r="F27" s="174">
        <f ca="1">IFERROR(__xludf.DUMMYFUNCTION("GOOGLEFINANCE(""NSE:""&amp;C27,""marketcap"")/10000000"),35468.2092012)</f>
        <v>35468.209201199999</v>
      </c>
      <c r="G27" s="11">
        <f>VLOOKUP(A27,'BSE ALL CAP'!$B$4:$Y$1007,7,)</f>
        <v>8769</v>
      </c>
      <c r="H27" s="11">
        <f>VLOOKUP(A27,'BSE ALL CAP'!$B$4:$Y$1007,8,)</f>
        <v>7687</v>
      </c>
      <c r="I27" s="11">
        <f>VLOOKUP(A27,'BSE ALL CAP'!$B$4:$Y$1007,9,)</f>
        <v>948</v>
      </c>
      <c r="J27" s="11">
        <f>VLOOKUP(A27,'BSE ALL CAP'!$B$4:$Y$1007,10,)</f>
        <v>953</v>
      </c>
      <c r="K27" s="11">
        <f>VLOOKUP(A27,'BSE ALL CAP'!$B$4:$Y$1007,11,)</f>
        <v>2923</v>
      </c>
      <c r="L27" s="11">
        <f>VLOOKUP(A27,'BSE ALL CAP'!$B$4:$Y$1007,12,)</f>
        <v>2653</v>
      </c>
      <c r="M27" s="11">
        <f>VLOOKUP(A27,'BSE ALL CAP'!$B$4:$Y$1007,13,)</f>
        <v>303</v>
      </c>
      <c r="N27" s="11">
        <f>VLOOKUP(A27,'BSE ALL CAP'!$B$4:$Y$1007,14,)</f>
        <v>319</v>
      </c>
      <c r="O27" s="13">
        <f>VLOOKUP(A27,'BSE ALL CAP'!$B$4:$Y$1007,15,)</f>
        <v>0.10810810810810811</v>
      </c>
      <c r="P27" s="13">
        <f>VLOOKUP(A27,'BSE ALL CAP'!$B$4:$Y$1007,16,)</f>
        <v>0.12397554312475609</v>
      </c>
      <c r="Q27" s="13">
        <f>VLOOKUP(A27,'BSE ALL CAP'!$B$4:$Y$1007,17,)</f>
        <v>-1.5867435016647974E-2</v>
      </c>
      <c r="R27" s="13">
        <f>VLOOKUP(A27,'BSE ALL CAP'!$B$4:$Y$1007,18,)</f>
        <v>0.10366062264796443</v>
      </c>
      <c r="S27" s="13">
        <f>VLOOKUP(A27,'BSE ALL CAP'!$B$4:$Y$1007,19,)</f>
        <v>0.12024123633622315</v>
      </c>
      <c r="T27" s="13">
        <f>VLOOKUP(A27,'BSE ALL CAP'!$B$4:$Y$1007,20,)</f>
        <v>-1.6580613688258722E-2</v>
      </c>
      <c r="U27" s="13">
        <f>VLOOKUP(A27,'BSE ALL CAP'!$B$4:$Y$1007,21,)</f>
        <v>0.14075712241446592</v>
      </c>
      <c r="V27" s="13">
        <f>VLOOKUP(A27,'BSE ALL CAP'!$B$4:$Y$1007,22,)</f>
        <v>-5.2465897166841247E-3</v>
      </c>
      <c r="W27" s="13">
        <f>VLOOKUP(A27,'BSE ALL CAP'!$B$4:$Y$1007,23,)</f>
        <v>0.10177157934413872</v>
      </c>
      <c r="X27" s="13">
        <f>VLOOKUP(A27,'BSE ALL CAP'!$B$4:$Y$1007,24,)</f>
        <v>-5.0156739811912265E-2</v>
      </c>
      <c r="Y27" s="208">
        <f ca="1">IFERROR(__xludf.DUMMYFUNCTION("GOOGLEFINANCE(""NSE:""&amp;C27,""PE"")"),28.26)</f>
        <v>28.26</v>
      </c>
      <c r="Z27" s="260">
        <f ca="1">IFERROR(__xludf.DUMMYFUNCTION("GOOGLEFINANCE(""NSE:""&amp;C27,""EPS"")"),118.56)</f>
        <v>118.56</v>
      </c>
      <c r="AA27" s="261">
        <f t="shared" ca="1" si="4"/>
        <v>2.3712</v>
      </c>
      <c r="AB27" s="262">
        <f t="shared" ca="1" si="5"/>
        <v>67.02</v>
      </c>
    </row>
    <row r="28" spans="1:28" ht="14.4">
      <c r="A28" s="15">
        <v>543320</v>
      </c>
      <c r="B28" s="171" t="s">
        <v>187</v>
      </c>
      <c r="C28" s="182" t="s">
        <v>121</v>
      </c>
      <c r="D28" s="173">
        <v>2</v>
      </c>
      <c r="E28" s="179">
        <f ca="1">IFERROR(__xludf.DUMMYFUNCTION("GOOGLEFINANCE(""NSE:""&amp;C28,""PRICE"")"),232.62)</f>
        <v>232.62</v>
      </c>
      <c r="F28" s="174">
        <f ca="1">IFERROR(__xludf.DUMMYFUNCTION("GOOGLEFINANCE(""NSE:""&amp;C28,""marketcap"")/10000000"),211948.5680416)</f>
        <v>211948.5680416</v>
      </c>
      <c r="G28" s="11">
        <f>VLOOKUP(A28,'BSE ALL CAP'!$B$4:$Y$1007,7,)</f>
        <v>37072</v>
      </c>
      <c r="H28" s="11">
        <f>VLOOKUP(A28,'BSE ALL CAP'!$B$4:$Y$1007,8,)</f>
        <v>14410</v>
      </c>
      <c r="I28" s="11">
        <f>VLOOKUP(A28,'BSE ALL CAP'!$B$4:$Y$1007,9,)</f>
        <v>192</v>
      </c>
      <c r="J28" s="11">
        <f>VLOOKUP(A28,'BSE ALL CAP'!$B$4:$Y$1007,10,)</f>
        <v>488</v>
      </c>
      <c r="K28" s="11">
        <f>VLOOKUP(A28,'BSE ALL CAP'!$B$4:$Y$1007,11,)</f>
        <v>16315</v>
      </c>
      <c r="L28" s="11">
        <f>VLOOKUP(A28,'BSE ALL CAP'!$B$4:$Y$1007,12,)</f>
        <v>5405</v>
      </c>
      <c r="M28" s="11">
        <f>VLOOKUP(A28,'BSE ALL CAP'!$B$4:$Y$1007,13,)</f>
        <v>102</v>
      </c>
      <c r="N28" s="11">
        <f>VLOOKUP(A28,'BSE ALL CAP'!$B$4:$Y$1007,14,)</f>
        <v>59</v>
      </c>
      <c r="O28" s="13">
        <f>VLOOKUP(A28,'BSE ALL CAP'!$B$4:$Y$1007,15,)</f>
        <v>5.1791109192921882E-3</v>
      </c>
      <c r="P28" s="13">
        <f>VLOOKUP(A28,'BSE ALL CAP'!$B$4:$Y$1007,16,)</f>
        <v>3.3865371269951421E-2</v>
      </c>
      <c r="Q28" s="13">
        <f>VLOOKUP(A28,'BSE ALL CAP'!$B$4:$Y$1007,17,)</f>
        <v>-2.8686260350659232E-2</v>
      </c>
      <c r="R28" s="13">
        <f>VLOOKUP(A28,'BSE ALL CAP'!$B$4:$Y$1007,18,)</f>
        <v>6.251915415262029E-3</v>
      </c>
      <c r="S28" s="13">
        <f>VLOOKUP(A28,'BSE ALL CAP'!$B$4:$Y$1007,19,)</f>
        <v>1.091581868640148E-2</v>
      </c>
      <c r="T28" s="13">
        <f>VLOOKUP(A28,'BSE ALL CAP'!$B$4:$Y$1007,20,)</f>
        <v>-4.6639032711394508E-3</v>
      </c>
      <c r="U28" s="13">
        <f>VLOOKUP(A28,'BSE ALL CAP'!$B$4:$Y$1007,21,)</f>
        <v>1.5726578764746701</v>
      </c>
      <c r="V28" s="13">
        <f>VLOOKUP(A28,'BSE ALL CAP'!$B$4:$Y$1007,22,)</f>
        <v>-0.60655737704918034</v>
      </c>
      <c r="W28" s="13">
        <f>VLOOKUP(A28,'BSE ALL CAP'!$B$4:$Y$1007,23,)</f>
        <v>2.0185013876040703</v>
      </c>
      <c r="X28" s="13">
        <f>VLOOKUP(A28,'BSE ALL CAP'!$B$4:$Y$1007,24,)</f>
        <v>0.72881355932203395</v>
      </c>
      <c r="Y28" s="263">
        <f ca="1">IFERROR(__xludf.DUMMYFUNCTION("GOOGLEFINANCE(""NSE:""&amp;C28,""PE"")"),925.76)</f>
        <v>925.76</v>
      </c>
      <c r="Z28" s="264">
        <f ca="1">IFERROR(__xludf.DUMMYFUNCTION("GOOGLEFINANCE(""NSE:""&amp;C28,""EPS"")"),0.25)</f>
        <v>0.25</v>
      </c>
      <c r="AA28" s="214">
        <f t="shared" ca="1" si="4"/>
        <v>5.0000000000000001E-3</v>
      </c>
      <c r="AB28" s="265">
        <f t="shared" ca="1" si="5"/>
        <v>4.6524000000000001</v>
      </c>
    </row>
    <row r="29" spans="1:28" ht="14.4">
      <c r="A29" s="15">
        <v>544277</v>
      </c>
      <c r="B29" s="1" t="s">
        <v>1511</v>
      </c>
      <c r="C29" s="182" t="s">
        <v>1398</v>
      </c>
      <c r="D29" s="266">
        <v>2</v>
      </c>
      <c r="E29" s="183">
        <f ca="1">IFERROR(__xludf.DUMMYFUNCTION("GOOGLEFINANCE(""NSE:""&amp;C29,""PRICE"")"),3081.1)</f>
        <v>3081.1</v>
      </c>
      <c r="F29" s="174">
        <f ca="1">IFERROR(__xludf.DUMMYFUNCTION("GOOGLEFINANCE(""NSE:""&amp;C29,""marketcap"")/10000000"),88596.6004)</f>
        <v>88596.600399999996</v>
      </c>
      <c r="G29" s="11">
        <f>VLOOKUP(A29,'BSE ALL CAP'!$B$4:$Y$1008,7,)</f>
        <v>18056</v>
      </c>
      <c r="H29" s="11">
        <f>VLOOKUP(A29,'BSE ALL CAP'!$B$4:$Y$1007,8,)</f>
        <v>10440</v>
      </c>
      <c r="I29" s="11">
        <f>VLOOKUP(A29,'BSE ALL CAP'!$B$4:$Y$1007,9,)</f>
        <v>2757</v>
      </c>
      <c r="J29" s="11">
        <f>VLOOKUP(A29,'BSE ALL CAP'!$B$4:$Y$1007,10,)</f>
        <v>1283</v>
      </c>
      <c r="K29" s="11">
        <f>VLOOKUP(A29,'BSE ALL CAP'!$B$4:$Y$1007,11,)</f>
        <v>7565</v>
      </c>
      <c r="L29" s="11">
        <f>VLOOKUP(A29,'BSE ALL CAP'!$B$4:$Y$1007,12,)</f>
        <v>3457</v>
      </c>
      <c r="M29" s="11">
        <f>VLOOKUP(A29,'BSE ALL CAP'!$B$4:$Y$1007,13,)</f>
        <v>1106</v>
      </c>
      <c r="N29" s="11">
        <f>VLOOKUP(A29,'BSE ALL CAP'!$B$4:$Y$1007,14,)</f>
        <v>506</v>
      </c>
      <c r="O29" s="13">
        <f>VLOOKUP(A29,'BSE ALL CAP'!$B$4:$Y$1007,15,)</f>
        <v>0.15269162605228179</v>
      </c>
      <c r="P29" s="13">
        <f>VLOOKUP(A29,'BSE ALL CAP'!$B$4:$Y$1007,16,)</f>
        <v>0.12289272030651341</v>
      </c>
      <c r="Q29" s="13">
        <f>VLOOKUP(A29,'BSE ALL CAP'!$B$4:$Y$1007,17,)</f>
        <v>2.9798905745768378E-2</v>
      </c>
      <c r="R29" s="13">
        <f>VLOOKUP(A29,'BSE ALL CAP'!$B$4:$Y$1007,18,)</f>
        <v>0.14619960343688038</v>
      </c>
      <c r="S29" s="13">
        <f>VLOOKUP(A29,'BSE ALL CAP'!$B$4:$Y$1007,19,)</f>
        <v>0.14636968469771477</v>
      </c>
      <c r="T29" s="13">
        <f>VLOOKUP(A29,'BSE ALL CAP'!$B$4:$Y$1007,20,)</f>
        <v>-1.7008126083439823E-4</v>
      </c>
      <c r="U29" s="13">
        <f>VLOOKUP(A29,'BSE ALL CAP'!$B$4:$Y$1007,21,)</f>
        <v>0.72950191570881229</v>
      </c>
      <c r="V29" s="13">
        <f>VLOOKUP(A29,'BSE ALL CAP'!$B$4:$Y$1007,22,)</f>
        <v>1.1488698363211225</v>
      </c>
      <c r="W29" s="13">
        <f>VLOOKUP(A29,'BSE ALL CAP'!$B$4:$Y$1007,23,)</f>
        <v>1.1883135666763089</v>
      </c>
      <c r="X29" s="13">
        <f>VLOOKUP(A29,'BSE ALL CAP'!$B$4:$Y$1007,24,)</f>
        <v>1.1857707509881421</v>
      </c>
      <c r="Y29" s="179">
        <f ca="1">IFERROR(__xludf.DUMMYFUNCTION("GOOGLEFINANCE(""NSE:""&amp;C29,""PE"")"),27.21)</f>
        <v>27.21</v>
      </c>
      <c r="Z29" s="212">
        <f ca="1">IFERROR(__xludf.DUMMYFUNCTION("GOOGLEFINANCE(""NSE:""&amp;C29,""EPS"")"),113.15)</f>
        <v>113.15</v>
      </c>
      <c r="AA29" s="267">
        <f t="shared" ca="1" si="4"/>
        <v>2.2630000000000003</v>
      </c>
      <c r="AB29" s="268">
        <f t="shared" ca="1" si="5"/>
        <v>61.622</v>
      </c>
    </row>
    <row r="30" spans="1:28" ht="14.4">
      <c r="A30" s="15">
        <v>544325</v>
      </c>
      <c r="B30" s="171" t="s">
        <v>187</v>
      </c>
      <c r="C30" s="182" t="s">
        <v>79</v>
      </c>
      <c r="D30" s="173">
        <v>2</v>
      </c>
      <c r="E30" s="269">
        <f ca="1">IFERROR(__xludf.DUMMYFUNCTION("GOOGLEFINANCE(""NSE:""&amp;C30,""PRICE"")"),150.7)</f>
        <v>150.69999999999999</v>
      </c>
      <c r="F30" s="174">
        <f ca="1">IFERROR(__xludf.DUMMYFUNCTION("GOOGLEFINANCE(""NSE:""&amp;C30,""marketcap"")/10000000"),31390.4476843)</f>
        <v>31390.447684300001</v>
      </c>
      <c r="G30" s="11">
        <f>VLOOKUP(A30,'BSE ALL CAP'!$B$4:$Y$1008,7,)</f>
        <v>2886</v>
      </c>
      <c r="H30" s="11">
        <f>VLOOKUP(A30,'BSE ALL CAP'!$B$4:$Y$1007,8,)</f>
        <v>2499</v>
      </c>
      <c r="I30" s="11">
        <f>VLOOKUP(A30,'BSE ALL CAP'!$B$4:$Y$1007,9,)</f>
        <v>504</v>
      </c>
      <c r="J30" s="11">
        <f>VLOOKUP(A30,'BSE ALL CAP'!$B$4:$Y$1007,10,)</f>
        <v>380</v>
      </c>
      <c r="K30" s="11">
        <f>VLOOKUP(A30,'BSE ALL CAP'!$B$4:$Y$1007,11,)</f>
        <v>1231</v>
      </c>
      <c r="L30" s="11">
        <f>VLOOKUP(A30,'BSE ALL CAP'!$B$4:$Y$1007,12,)</f>
        <v>1015</v>
      </c>
      <c r="M30" s="11">
        <f>VLOOKUP(A30,'BSE ALL CAP'!$B$4:$Y$1007,13,)</f>
        <v>237</v>
      </c>
      <c r="N30" s="11">
        <f>VLOOKUP(A30,'BSE ALL CAP'!$B$4:$Y$1007,14,)</f>
        <v>216</v>
      </c>
      <c r="O30" s="13">
        <f>VLOOKUP(A30,'BSE ALL CAP'!$B$4:$Y$1007,15,)</f>
        <v>0.17463617463617465</v>
      </c>
      <c r="P30" s="13">
        <f>VLOOKUP(A30,'BSE ALL CAP'!$B$4:$Y$1007,16,)</f>
        <v>0.15206082432973189</v>
      </c>
      <c r="Q30" s="13">
        <f>VLOOKUP(A30,'BSE ALL CAP'!$B$4:$Y$1007,17,)</f>
        <v>2.2575350306442754E-2</v>
      </c>
      <c r="R30" s="13">
        <f>VLOOKUP(A30,'BSE ALL CAP'!$B$4:$Y$1007,18,)</f>
        <v>0.19252640129975629</v>
      </c>
      <c r="S30" s="13">
        <f>VLOOKUP(A30,'BSE ALL CAP'!$B$4:$Y$1007,19,)</f>
        <v>0.21280788177339902</v>
      </c>
      <c r="T30" s="13">
        <f>VLOOKUP(A30,'BSE ALL CAP'!$B$4:$Y$1007,20,)</f>
        <v>-2.0281480473642727E-2</v>
      </c>
      <c r="U30" s="13">
        <f>VLOOKUP(A30,'BSE ALL CAP'!$B$4:$Y$1007,21,)</f>
        <v>0.15486194477791115</v>
      </c>
      <c r="V30" s="13">
        <f>VLOOKUP(A30,'BSE ALL CAP'!$B$4:$Y$1007,22,)</f>
        <v>0.32631578947368411</v>
      </c>
      <c r="W30" s="13">
        <f>VLOOKUP(A30,'BSE ALL CAP'!$B$4:$Y$1007,23,)</f>
        <v>0.21280788177339893</v>
      </c>
      <c r="X30" s="13">
        <f>VLOOKUP(A30,'BSE ALL CAP'!$B$4:$Y$1007,24,)</f>
        <v>9.7222222222222321E-2</v>
      </c>
      <c r="Y30" s="179">
        <f ca="1">IFERROR(__xludf.DUMMYFUNCTION("GOOGLEFINANCE(""NSE:""&amp;C30,""PE"")"),27.66)</f>
        <v>27.66</v>
      </c>
      <c r="Z30" s="270">
        <f ca="1">IFERROR(__xludf.DUMMYFUNCTION("GOOGLEFINANCE(""NSE:""&amp;C30,""EPS"")"),5.45)</f>
        <v>5.45</v>
      </c>
      <c r="AA30" s="214">
        <f t="shared" ca="1" si="4"/>
        <v>0.109</v>
      </c>
      <c r="AB30" s="271">
        <f t="shared" ca="1" si="5"/>
        <v>3.0139999999999998</v>
      </c>
    </row>
    <row r="31" spans="1:28" ht="14.4">
      <c r="A31" s="15">
        <v>540750</v>
      </c>
      <c r="B31" s="171" t="s">
        <v>172</v>
      </c>
      <c r="C31" s="182" t="s">
        <v>1416</v>
      </c>
      <c r="D31" s="173">
        <v>1.9</v>
      </c>
      <c r="E31" s="179">
        <f ca="1">IFERROR(__xludf.DUMMYFUNCTION("GOOGLEFINANCE(""NSE:""&amp;C31,""PRICE"")"),125.46)</f>
        <v>125.46</v>
      </c>
      <c r="F31" s="174">
        <f ca="1">IFERROR(__xludf.DUMMYFUNCTION("GOOGLEFINANCE(""NSE:""&amp;C31,""marketcap"")/10000000"),11158.055891)</f>
        <v>11158.055891</v>
      </c>
      <c r="G31" s="11">
        <f>VLOOKUP(A31,'BSE ALL CAP'!$B$4:$Y$1007,7,)</f>
        <v>441</v>
      </c>
      <c r="H31" s="11">
        <f>VLOOKUP(A31,'BSE ALL CAP'!$B$4:$Y$1007,8,)</f>
        <v>395</v>
      </c>
      <c r="I31" s="11">
        <f>VLOOKUP(A31,'BSE ALL CAP'!$B$4:$Y$1007,9,)</f>
        <v>363</v>
      </c>
      <c r="J31" s="11">
        <f>VLOOKUP(A31,'BSE ALL CAP'!$B$4:$Y$1007,10,)</f>
        <v>312</v>
      </c>
      <c r="K31" s="11">
        <f>VLOOKUP(A31,'BSE ALL CAP'!$B$4:$Y$1007,11,)</f>
        <v>145</v>
      </c>
      <c r="L31" s="11">
        <f>VLOOKUP(A31,'BSE ALL CAP'!$B$4:$Y$1007,12,)</f>
        <v>132</v>
      </c>
      <c r="M31" s="11">
        <f>VLOOKUP(A31,'BSE ALL CAP'!$B$4:$Y$1007,13,)</f>
        <v>119</v>
      </c>
      <c r="N31" s="11">
        <f>VLOOKUP(A31,'BSE ALL CAP'!$B$4:$Y$1007,14,)</f>
        <v>107</v>
      </c>
      <c r="O31" s="13">
        <f>VLOOKUP(A31,'BSE ALL CAP'!$B$4:$Y$1007,15,)</f>
        <v>0.8231292517006803</v>
      </c>
      <c r="P31" s="13">
        <f>VLOOKUP(A31,'BSE ALL CAP'!$B$4:$Y$1007,16,)</f>
        <v>0.78987341772151898</v>
      </c>
      <c r="Q31" s="13">
        <f>VLOOKUP(A31,'BSE ALL CAP'!$B$4:$Y$1007,17,)</f>
        <v>3.325583397916132E-2</v>
      </c>
      <c r="R31" s="13">
        <f>VLOOKUP(A31,'BSE ALL CAP'!$B$4:$Y$1007,18,)</f>
        <v>0.82068965517241377</v>
      </c>
      <c r="S31" s="13">
        <f>VLOOKUP(A31,'BSE ALL CAP'!$B$4:$Y$1007,19,)</f>
        <v>0.81060606060606055</v>
      </c>
      <c r="T31" s="13">
        <f>VLOOKUP(A31,'BSE ALL CAP'!$B$4:$Y$1007,20,)</f>
        <v>1.0083594566353216E-2</v>
      </c>
      <c r="U31" s="13">
        <f>VLOOKUP(A31,'BSE ALL CAP'!$B$4:$Y$1007,21,)</f>
        <v>0.1164556962025316</v>
      </c>
      <c r="V31" s="13">
        <f>VLOOKUP(A31,'BSE ALL CAP'!$B$4:$Y$1007,22,)</f>
        <v>0.16346153846153855</v>
      </c>
      <c r="W31" s="13">
        <f>VLOOKUP(A31,'BSE ALL CAP'!$B$4:$Y$1007,23,)</f>
        <v>9.8484848484848397E-2</v>
      </c>
      <c r="X31" s="13">
        <f>VLOOKUP(A31,'BSE ALL CAP'!$B$4:$Y$1007,24,)</f>
        <v>0.11214953271028039</v>
      </c>
      <c r="Y31" s="179">
        <f ca="1">IFERROR(__xludf.DUMMYFUNCTION("GOOGLEFINANCE(""NSE:""&amp;C31,""PE"")"),23.22)</f>
        <v>23.22</v>
      </c>
      <c r="Z31" s="272">
        <f ca="1">IFERROR(__xludf.DUMMYFUNCTION("GOOGLEFINANCE(""NSE:""&amp;C31,""EPS"")"),5.41)</f>
        <v>5.41</v>
      </c>
      <c r="AA31" s="214">
        <f t="shared" ca="1" si="4"/>
        <v>0.10279000000000001</v>
      </c>
      <c r="AB31" s="273">
        <f t="shared" ca="1" si="5"/>
        <v>2.38374</v>
      </c>
    </row>
    <row r="32" spans="1:28" ht="14.4">
      <c r="A32" s="15">
        <v>532827</v>
      </c>
      <c r="B32" s="171" t="s">
        <v>187</v>
      </c>
      <c r="C32" s="182" t="s">
        <v>97</v>
      </c>
      <c r="D32" s="173">
        <v>1.9</v>
      </c>
      <c r="E32" s="274">
        <f ca="1">IFERROR(__xludf.DUMMYFUNCTION("GOOGLEFINANCE(""NSE:""&amp;C32,""PRICE"")"),34720)</f>
        <v>34720</v>
      </c>
      <c r="F32" s="174">
        <f ca="1">IFERROR(__xludf.DUMMYFUNCTION("GOOGLEFINANCE(""NSE:""&amp;C32,""marketcap"")/10000000"),38653.736485)</f>
        <v>38653.736485000001</v>
      </c>
      <c r="G32" s="11">
        <f>VLOOKUP(A32,'BSE ALL CAP'!$B$4:$Y$1007,7,)</f>
        <v>3994</v>
      </c>
      <c r="H32" s="11">
        <f>VLOOKUP(A32,'BSE ALL CAP'!$B$4:$Y$1007,8,)</f>
        <v>3836</v>
      </c>
      <c r="I32" s="11">
        <f>VLOOKUP(A32,'BSE ALL CAP'!$B$4:$Y$1007,9,)</f>
        <v>585</v>
      </c>
      <c r="J32" s="11">
        <f>VLOOKUP(A32,'BSE ALL CAP'!$B$4:$Y$1007,10,)</f>
        <v>565</v>
      </c>
      <c r="K32" s="11">
        <f>VLOOKUP(A32,'BSE ALL CAP'!$B$4:$Y$1007,11,)</f>
        <v>1386</v>
      </c>
      <c r="L32" s="11">
        <f>VLOOKUP(A32,'BSE ALL CAP'!$B$4:$Y$1007,12,)</f>
        <v>1313</v>
      </c>
      <c r="M32" s="11">
        <f>VLOOKUP(A32,'BSE ALL CAP'!$B$4:$Y$1007,13,)</f>
        <v>189</v>
      </c>
      <c r="N32" s="11">
        <f>VLOOKUP(A32,'BSE ALL CAP'!$B$4:$Y$1007,14,)</f>
        <v>204</v>
      </c>
      <c r="O32" s="13">
        <f>VLOOKUP(A32,'BSE ALL CAP'!$B$4:$Y$1007,15,)</f>
        <v>0.14646970455683525</v>
      </c>
      <c r="P32" s="13">
        <f>VLOOKUP(A32,'BSE ALL CAP'!$B$4:$Y$1007,16,)</f>
        <v>0.14728884254431698</v>
      </c>
      <c r="Q32" s="13">
        <f>VLOOKUP(A32,'BSE ALL CAP'!$B$4:$Y$1007,17,)</f>
        <v>-8.1913798748173283E-4</v>
      </c>
      <c r="R32" s="13">
        <f>VLOOKUP(A32,'BSE ALL CAP'!$B$4:$Y$1007,18,)</f>
        <v>0.13636363636363635</v>
      </c>
      <c r="S32" s="13">
        <f>VLOOKUP(A32,'BSE ALL CAP'!$B$4:$Y$1007,19,)</f>
        <v>0.15536938309215537</v>
      </c>
      <c r="T32" s="13">
        <f>VLOOKUP(A32,'BSE ALL CAP'!$B$4:$Y$1007,20,)</f>
        <v>-1.9005746728519013E-2</v>
      </c>
      <c r="U32" s="13">
        <f>VLOOKUP(A32,'BSE ALL CAP'!$B$4:$Y$1007,21,)</f>
        <v>4.1188738269030134E-2</v>
      </c>
      <c r="V32" s="13">
        <f>VLOOKUP(A32,'BSE ALL CAP'!$B$4:$Y$1007,22,)</f>
        <v>3.539823008849563E-2</v>
      </c>
      <c r="W32" s="13">
        <f>VLOOKUP(A32,'BSE ALL CAP'!$B$4:$Y$1007,23,)</f>
        <v>5.5597867479055596E-2</v>
      </c>
      <c r="X32" s="13">
        <f>VLOOKUP(A32,'BSE ALL CAP'!$B$4:$Y$1007,24,)</f>
        <v>-7.3529411764705843E-2</v>
      </c>
      <c r="Y32" s="176">
        <f ca="1">IFERROR(__xludf.DUMMYFUNCTION("GOOGLEFINANCE(""NSE:""&amp;C32,""PE"")"),51.67)</f>
        <v>51.67</v>
      </c>
      <c r="Z32" s="275">
        <f ca="1">IFERROR(__xludf.DUMMYFUNCTION("GOOGLEFINANCE(""NSE:""&amp;C32,""EPS"")"),671.61)</f>
        <v>671.61</v>
      </c>
      <c r="AA32" s="276">
        <f t="shared" ca="1" si="4"/>
        <v>12.760590000000001</v>
      </c>
      <c r="AB32" s="277">
        <f t="shared" ca="1" si="5"/>
        <v>659.68</v>
      </c>
    </row>
    <row r="33" spans="1:28" ht="14.4">
      <c r="A33" s="15">
        <v>542830</v>
      </c>
      <c r="B33" s="171" t="s">
        <v>187</v>
      </c>
      <c r="C33" s="182" t="s">
        <v>89</v>
      </c>
      <c r="D33" s="173">
        <v>1.8</v>
      </c>
      <c r="E33" s="278">
        <f ca="1">IFERROR(__xludf.DUMMYFUNCTION("GOOGLEFINANCE(""NSE:""&amp;C33,""PRICE"")"),513.1)</f>
        <v>513.1</v>
      </c>
      <c r="F33" s="174">
        <f ca="1">IFERROR(__xludf.DUMMYFUNCTION("GOOGLEFINANCE(""NSE:""&amp;C33,""marketcap"")/10000000"),41056.0009765)</f>
        <v>41056.0009765</v>
      </c>
      <c r="G33" s="11">
        <f>VLOOKUP(A33,'BSE ALL CAP'!$B$4:$Y$1007,7,)</f>
        <v>3755</v>
      </c>
      <c r="H33" s="11">
        <f>VLOOKUP(A33,'BSE ALL CAP'!$B$4:$Y$1007,8,)</f>
        <v>3406</v>
      </c>
      <c r="I33" s="11">
        <f>VLOOKUP(A33,'BSE ALL CAP'!$B$4:$Y$1007,9,)</f>
        <v>1073</v>
      </c>
      <c r="J33" s="11">
        <f>VLOOKUP(A33,'BSE ALL CAP'!$B$4:$Y$1007,10,)</f>
        <v>956</v>
      </c>
      <c r="K33" s="11">
        <f>VLOOKUP(A33,'BSE ALL CAP'!$B$4:$Y$1007,11,)</f>
        <v>1449</v>
      </c>
      <c r="L33" s="11">
        <f>VLOOKUP(A33,'BSE ALL CAP'!$B$4:$Y$1007,12,)</f>
        <v>1224</v>
      </c>
      <c r="M33" s="11">
        <f>VLOOKUP(A33,'BSE ALL CAP'!$B$4:$Y$1007,13,)</f>
        <v>395</v>
      </c>
      <c r="N33" s="11">
        <f>VLOOKUP(A33,'BSE ALL CAP'!$B$4:$Y$1007,14,)</f>
        <v>342</v>
      </c>
      <c r="O33" s="13">
        <f>VLOOKUP(A33,'BSE ALL CAP'!$B$4:$Y$1007,15,)</f>
        <v>0.28575233022636487</v>
      </c>
      <c r="P33" s="13">
        <f>VLOOKUP(A33,'BSE ALL CAP'!$B$4:$Y$1007,16,)</f>
        <v>0.28068115091015855</v>
      </c>
      <c r="Q33" s="13">
        <f>VLOOKUP(A33,'BSE ALL CAP'!$B$4:$Y$1007,17,)</f>
        <v>5.0711793162063201E-3</v>
      </c>
      <c r="R33" s="13">
        <f>VLOOKUP(A33,'BSE ALL CAP'!$B$4:$Y$1007,18,)</f>
        <v>0.2726017943409248</v>
      </c>
      <c r="S33" s="13">
        <f>VLOOKUP(A33,'BSE ALL CAP'!$B$4:$Y$1007,19,)</f>
        <v>0.27941176470588236</v>
      </c>
      <c r="T33" s="13">
        <f>VLOOKUP(A33,'BSE ALL CAP'!$B$4:$Y$1007,20,)</f>
        <v>-6.8099703649575627E-3</v>
      </c>
      <c r="U33" s="13">
        <f>VLOOKUP(A33,'BSE ALL CAP'!$B$4:$Y$1007,21,)</f>
        <v>0.10246623605402227</v>
      </c>
      <c r="V33" s="13">
        <f>VLOOKUP(A33,'BSE ALL CAP'!$B$4:$Y$1007,22,)</f>
        <v>0.12238493723849375</v>
      </c>
      <c r="W33" s="13">
        <f>VLOOKUP(A33,'BSE ALL CAP'!$B$4:$Y$1007,23,)</f>
        <v>0.18382352941176472</v>
      </c>
      <c r="X33" s="13">
        <f>VLOOKUP(A33,'BSE ALL CAP'!$B$4:$Y$1007,24,)</f>
        <v>0.15497076023391809</v>
      </c>
      <c r="Y33" s="208">
        <f ca="1">IFERROR(__xludf.DUMMYFUNCTION("GOOGLEFINANCE(""NSE:""&amp;C33,""PE"")"),28.79)</f>
        <v>28.79</v>
      </c>
      <c r="Z33" s="279">
        <f ca="1">IFERROR(__xludf.DUMMYFUNCTION("GOOGLEFINANCE(""NSE:""&amp;C33,""EPS"")"),17.82)</f>
        <v>17.82</v>
      </c>
      <c r="AA33" s="280">
        <f t="shared" ca="1" si="4"/>
        <v>0.32076000000000005</v>
      </c>
      <c r="AB33" s="281">
        <f t="shared" ca="1" si="5"/>
        <v>9.2358000000000011</v>
      </c>
    </row>
    <row r="34" spans="1:28" ht="14.4">
      <c r="A34" s="15">
        <v>532540</v>
      </c>
      <c r="B34" s="171" t="s">
        <v>174</v>
      </c>
      <c r="C34" s="172" t="s">
        <v>1413</v>
      </c>
      <c r="D34" s="173">
        <v>1.75</v>
      </c>
      <c r="E34" s="282">
        <f ca="1">IFERROR(__xludf.DUMMYFUNCTION("GOOGLEFINANCE(""NSE:""&amp;C34,""PRICE"")"),2472.8)</f>
        <v>2472.8000000000002</v>
      </c>
      <c r="F34" s="174">
        <f ca="1">IFERROR(__xludf.DUMMYFUNCTION("GOOGLEFINANCE(""NSE:""&amp;C34,""marketcap"")/10000000"),895114.7238)</f>
        <v>895114.72380000004</v>
      </c>
      <c r="G34" s="11">
        <f>VLOOKUP(A34,'BSE ALL CAP'!$B$4:$Y$1007,7,)</f>
        <v>196323</v>
      </c>
      <c r="H34" s="11">
        <f>VLOOKUP(A34,'BSE ALL CAP'!$B$4:$Y$1007,8,)</f>
        <v>190845</v>
      </c>
      <c r="I34" s="11">
        <f>VLOOKUP(A34,'BSE ALL CAP'!$B$4:$Y$1007,9,)</f>
        <v>35670</v>
      </c>
      <c r="J34" s="11">
        <f>VLOOKUP(A34,'BSE ALL CAP'!$B$4:$Y$1007,10,)</f>
        <v>36504</v>
      </c>
      <c r="K34" s="11">
        <f>VLOOKUP(A34,'BSE ALL CAP'!$B$4:$Y$1007,11,)</f>
        <v>67087</v>
      </c>
      <c r="L34" s="11">
        <f>VLOOKUP(A34,'BSE ALL CAP'!$B$4:$Y$1007,12,)</f>
        <v>63973</v>
      </c>
      <c r="M34" s="11">
        <f>VLOOKUP(A34,'BSE ALL CAP'!$B$4:$Y$1007,13,)</f>
        <v>10720</v>
      </c>
      <c r="N34" s="11">
        <f>VLOOKUP(A34,'BSE ALL CAP'!$B$4:$Y$1007,14,)</f>
        <v>12444</v>
      </c>
      <c r="O34" s="13">
        <f>VLOOKUP(A34,'BSE ALL CAP'!$B$4:$Y$1007,15,)</f>
        <v>0.18169037759202947</v>
      </c>
      <c r="P34" s="13">
        <f>VLOOKUP(A34,'BSE ALL CAP'!$B$4:$Y$1007,16,)</f>
        <v>0.19127564253713747</v>
      </c>
      <c r="Q34" s="13">
        <f>VLOOKUP(A34,'BSE ALL CAP'!$B$4:$Y$1007,17,)</f>
        <v>-9.5852649451080019E-3</v>
      </c>
      <c r="R34" s="13">
        <f>VLOOKUP(A34,'BSE ALL CAP'!$B$4:$Y$1007,18,)</f>
        <v>0.1597925082355747</v>
      </c>
      <c r="S34" s="13">
        <f>VLOOKUP(A34,'BSE ALL CAP'!$B$4:$Y$1007,19,)</f>
        <v>0.19451956294061556</v>
      </c>
      <c r="T34" s="13">
        <f>VLOOKUP(A34,'BSE ALL CAP'!$B$4:$Y$1007,20,)</f>
        <v>-3.4727054705040866E-2</v>
      </c>
      <c r="U34" s="13">
        <f>VLOOKUP(A34,'BSE ALL CAP'!$B$4:$Y$1007,21,)</f>
        <v>2.8703922030967499E-2</v>
      </c>
      <c r="V34" s="13">
        <f>VLOOKUP(A34,'BSE ALL CAP'!$B$4:$Y$1007,22,)</f>
        <v>-2.2846811308349757E-2</v>
      </c>
      <c r="W34" s="13">
        <f>VLOOKUP(A34,'BSE ALL CAP'!$B$4:$Y$1007,23,)</f>
        <v>4.8676785518890764E-2</v>
      </c>
      <c r="X34" s="13">
        <f>VLOOKUP(A34,'BSE ALL CAP'!$B$4:$Y$1007,24,)</f>
        <v>-0.13854066216650596</v>
      </c>
      <c r="Y34" s="283">
        <f ca="1">IFERROR(__xludf.DUMMYFUNCTION("GOOGLEFINANCE(""NSE:""&amp;C34,""PE"")"),18.73)</f>
        <v>18.73</v>
      </c>
      <c r="Z34" s="284">
        <f ca="1">IFERROR(__xludf.DUMMYFUNCTION("GOOGLEFINANCE(""NSE:""&amp;C34,""EPS"")"),131.88)</f>
        <v>131.88</v>
      </c>
      <c r="AA34" s="261">
        <f t="shared" ca="1" si="4"/>
        <v>2.3079000000000001</v>
      </c>
      <c r="AB34" s="285">
        <f t="shared" ca="1" si="5"/>
        <v>43.274000000000008</v>
      </c>
    </row>
    <row r="35" spans="1:28" ht="14.4">
      <c r="A35" s="15">
        <v>539524</v>
      </c>
      <c r="B35" s="89" t="s">
        <v>190</v>
      </c>
      <c r="C35" s="182" t="s">
        <v>99</v>
      </c>
      <c r="D35" s="173">
        <v>1.75</v>
      </c>
      <c r="E35" s="286">
        <f ca="1">IFERROR(__xludf.DUMMYFUNCTION("GOOGLEFINANCE(""NSE:""&amp;C35,""PRICE"")"),1349)</f>
        <v>1349</v>
      </c>
      <c r="F35" s="174">
        <f ca="1">IFERROR(__xludf.DUMMYFUNCTION("GOOGLEFINANCE(""NSE:""&amp;C35,""marketcap"")/10000000"),22524.72515)</f>
        <v>22524.725149999998</v>
      </c>
      <c r="G35" s="11">
        <f>VLOOKUP(A35,'BSE ALL CAP'!$B$4:$Y$1007,7,)</f>
        <v>2060</v>
      </c>
      <c r="H35" s="11">
        <f>VLOOKUP(A35,'BSE ALL CAP'!$B$4:$Y$1007,8,)</f>
        <v>1858</v>
      </c>
      <c r="I35" s="11">
        <f>VLOOKUP(A35,'BSE ALL CAP'!$B$4:$Y$1007,9,)</f>
        <v>377</v>
      </c>
      <c r="J35" s="11">
        <f>VLOOKUP(A35,'BSE ALL CAP'!$B$4:$Y$1007,10,)</f>
        <v>336</v>
      </c>
      <c r="K35" s="11">
        <f>VLOOKUP(A35,'BSE ALL CAP'!$B$4:$Y$1007,11,)</f>
        <v>659</v>
      </c>
      <c r="L35" s="11">
        <f>VLOOKUP(A35,'BSE ALL CAP'!$B$4:$Y$1007,12,)</f>
        <v>596</v>
      </c>
      <c r="M35" s="11">
        <f>VLOOKUP(A35,'BSE ALL CAP'!$B$4:$Y$1007,13,)</f>
        <v>91</v>
      </c>
      <c r="N35" s="11">
        <f>VLOOKUP(A35,'BSE ALL CAP'!$B$4:$Y$1007,14,)</f>
        <v>98</v>
      </c>
      <c r="O35" s="13">
        <f>VLOOKUP(A35,'BSE ALL CAP'!$B$4:$Y$1007,15,)</f>
        <v>0.18300970873786407</v>
      </c>
      <c r="P35" s="13">
        <f>VLOOKUP(A35,'BSE ALL CAP'!$B$4:$Y$1007,16,)</f>
        <v>0.18083961248654468</v>
      </c>
      <c r="Q35" s="13">
        <f>VLOOKUP(A35,'BSE ALL CAP'!$B$4:$Y$1007,17,)</f>
        <v>2.1700962513193922E-3</v>
      </c>
      <c r="R35" s="13">
        <f>VLOOKUP(A35,'BSE ALL CAP'!$B$4:$Y$1007,18,)</f>
        <v>0.13808801213960548</v>
      </c>
      <c r="S35" s="13">
        <f>VLOOKUP(A35,'BSE ALL CAP'!$B$4:$Y$1007,19,)</f>
        <v>0.16442953020134229</v>
      </c>
      <c r="T35" s="13">
        <f>VLOOKUP(A35,'BSE ALL CAP'!$B$4:$Y$1007,20,)</f>
        <v>-2.6341518061736818E-2</v>
      </c>
      <c r="U35" s="13">
        <f>VLOOKUP(A35,'BSE ALL CAP'!$B$4:$Y$1007,21,)</f>
        <v>0.10871905274488691</v>
      </c>
      <c r="V35" s="13">
        <f>VLOOKUP(A35,'BSE ALL CAP'!$B$4:$Y$1007,22,)</f>
        <v>0.12202380952380953</v>
      </c>
      <c r="W35" s="13">
        <f>VLOOKUP(A35,'BSE ALL CAP'!$B$4:$Y$1007,23,)</f>
        <v>0.10570469798657722</v>
      </c>
      <c r="X35" s="13">
        <f>VLOOKUP(A35,'BSE ALL CAP'!$B$4:$Y$1007,24,)</f>
        <v>-7.1428571428571397E-2</v>
      </c>
      <c r="Y35" s="176">
        <f ca="1">IFERROR(__xludf.DUMMYFUNCTION("GOOGLEFINANCE(""NSE:""&amp;C35,""PE"")"),42.56)</f>
        <v>42.56</v>
      </c>
      <c r="Z35" s="179">
        <f ca="1">IFERROR(__xludf.DUMMYFUNCTION("GOOGLEFINANCE(""NSE:""&amp;C35,""EPS"")"),31.68)</f>
        <v>31.68</v>
      </c>
      <c r="AA35" s="233">
        <f t="shared" ca="1" si="4"/>
        <v>0.5544</v>
      </c>
      <c r="AB35" s="250">
        <f t="shared" ca="1" si="5"/>
        <v>23.607500000000002</v>
      </c>
    </row>
    <row r="36" spans="1:28" ht="14.4">
      <c r="A36" s="15">
        <v>540699</v>
      </c>
      <c r="B36" s="171" t="s">
        <v>187</v>
      </c>
      <c r="C36" s="287" t="s">
        <v>112</v>
      </c>
      <c r="D36" s="173">
        <v>1.75</v>
      </c>
      <c r="E36" s="226">
        <f ca="1">IFERROR(__xludf.DUMMYFUNCTION("GOOGLEFINANCE(""NSE:""&amp;C36,""PRICE"")"),10042)</f>
        <v>10042</v>
      </c>
      <c r="F36" s="174">
        <f ca="1">IFERROR(__xludf.DUMMYFUNCTION("GOOGLEFINANCE(""NSE:""&amp;C36,""marketcap"")/10000000"),61035.9772765)</f>
        <v>61035.977276500002</v>
      </c>
      <c r="G36" s="11">
        <f>VLOOKUP(A36,'BSE ALL CAP'!$B$4:$Y$1007,7,)</f>
        <v>38362</v>
      </c>
      <c r="H36" s="11">
        <f>VLOOKUP(A36,'BSE ALL CAP'!$B$4:$Y$1007,8,)</f>
        <v>28567</v>
      </c>
      <c r="I36" s="11">
        <f>VLOOKUP(A36,'BSE ALL CAP'!$B$4:$Y$1007,9,)</f>
        <v>1346</v>
      </c>
      <c r="J36" s="11">
        <f>VLOOKUP(A36,'BSE ALL CAP'!$B$4:$Y$1007,10,)</f>
        <v>767</v>
      </c>
      <c r="K36" s="11">
        <f>VLOOKUP(A36,'BSE ALL CAP'!$B$4:$Y$1007,11,)</f>
        <v>10671</v>
      </c>
      <c r="L36" s="11">
        <f>VLOOKUP(A36,'BSE ALL CAP'!$B$4:$Y$1007,12,)</f>
        <v>10453</v>
      </c>
      <c r="M36" s="11">
        <f>VLOOKUP(A36,'BSE ALL CAP'!$B$4:$Y$1007,13,)</f>
        <v>320</v>
      </c>
      <c r="N36" s="11">
        <f>VLOOKUP(A36,'BSE ALL CAP'!$B$4:$Y$1007,14,)</f>
        <v>216</v>
      </c>
      <c r="O36" s="13">
        <f>VLOOKUP(A36,'BSE ALL CAP'!$B$4:$Y$1007,15,)</f>
        <v>3.508680465043533E-2</v>
      </c>
      <c r="P36" s="13">
        <f>VLOOKUP(A36,'BSE ALL CAP'!$B$4:$Y$1007,16,)</f>
        <v>2.6849161620051108E-2</v>
      </c>
      <c r="Q36" s="13">
        <f>VLOOKUP(A36,'BSE ALL CAP'!$B$4:$Y$1007,17,)</f>
        <v>8.2376430303842223E-3</v>
      </c>
      <c r="R36" s="13">
        <f>VLOOKUP(A36,'BSE ALL CAP'!$B$4:$Y$1007,18,)</f>
        <v>2.9987817449161278E-2</v>
      </c>
      <c r="S36" s="13">
        <f>VLOOKUP(A36,'BSE ALL CAP'!$B$4:$Y$1007,19,)</f>
        <v>2.0663924232277815E-2</v>
      </c>
      <c r="T36" s="13">
        <f>VLOOKUP(A36,'BSE ALL CAP'!$B$4:$Y$1007,20,)</f>
        <v>9.3238932168834623E-3</v>
      </c>
      <c r="U36" s="13">
        <f>VLOOKUP(A36,'BSE ALL CAP'!$B$4:$Y$1007,21,)</f>
        <v>0.34287814611264755</v>
      </c>
      <c r="V36" s="13">
        <f>VLOOKUP(A36,'BSE ALL CAP'!$B$4:$Y$1007,22,)</f>
        <v>0.7548891786179921</v>
      </c>
      <c r="W36" s="13">
        <f>VLOOKUP(A36,'BSE ALL CAP'!$B$4:$Y$1007,23,)</f>
        <v>2.0855256864058092E-2</v>
      </c>
      <c r="X36" s="13">
        <f>VLOOKUP(A36,'BSE ALL CAP'!$B$4:$Y$1007,24,)</f>
        <v>0.4814814814814814</v>
      </c>
      <c r="Y36" s="176">
        <f ca="1">IFERROR(__xludf.DUMMYFUNCTION("GOOGLEFINANCE(""NSE:""&amp;C36,""PE"")"),36.84)</f>
        <v>36.840000000000003</v>
      </c>
      <c r="Z36" s="288">
        <f ca="1">IFERROR(__xludf.DUMMYFUNCTION("GOOGLEFINANCE(""NSE:""&amp;C36,""EPS"")"),272.62)</f>
        <v>272.62</v>
      </c>
      <c r="AA36" s="289">
        <f t="shared" ca="1" si="4"/>
        <v>4.7708500000000003</v>
      </c>
      <c r="AB36" s="290">
        <f t="shared" ca="1" si="5"/>
        <v>175.73500000000001</v>
      </c>
    </row>
    <row r="37" spans="1:28" ht="14.4">
      <c r="A37" s="15">
        <v>500331</v>
      </c>
      <c r="B37" s="1" t="s">
        <v>196</v>
      </c>
      <c r="C37" s="182" t="s">
        <v>119</v>
      </c>
      <c r="D37" s="173">
        <v>1.65</v>
      </c>
      <c r="E37" s="291">
        <f ca="1">IFERROR(__xludf.DUMMYFUNCTION("GOOGLEFINANCE(""NSE:""&amp;C37,""PRICE"")"),1282.9)</f>
        <v>1282.9000000000001</v>
      </c>
      <c r="F37" s="174">
        <f ca="1">IFERROR(__xludf.DUMMYFUNCTION("GOOGLEFINANCE(""NSE:""&amp;C37,""marketcap"")/10000000"),65251.1421622)</f>
        <v>65251.142162199998</v>
      </c>
      <c r="G37" s="11">
        <f>VLOOKUP(A37,'BSE ALL CAP'!$B$4:$Y$1007,7,)</f>
        <v>11017</v>
      </c>
      <c r="H37" s="11">
        <f>VLOOKUP(A37,'BSE ALL CAP'!$B$4:$Y$1007,8,)</f>
        <v>9999</v>
      </c>
      <c r="I37" s="11">
        <f>VLOOKUP(A37,'BSE ALL CAP'!$B$4:$Y$1007,9,)</f>
        <v>1887</v>
      </c>
      <c r="J37" s="11">
        <f>VLOOKUP(A37,'BSE ALL CAP'!$B$4:$Y$1007,10,)</f>
        <v>1669</v>
      </c>
      <c r="K37" s="11">
        <f>VLOOKUP(A37,'BSE ALL CAP'!$B$4:$Y$1007,11,)</f>
        <v>3710</v>
      </c>
      <c r="L37" s="11">
        <f>VLOOKUP(A37,'BSE ALL CAP'!$B$4:$Y$1007,12,)</f>
        <v>3369</v>
      </c>
      <c r="M37" s="11">
        <f>VLOOKUP(A37,'BSE ALL CAP'!$B$4:$Y$1007,13,)</f>
        <v>624</v>
      </c>
      <c r="N37" s="11">
        <f>VLOOKUP(A37,'BSE ALL CAP'!$B$4:$Y$1007,14,)</f>
        <v>557</v>
      </c>
      <c r="O37" s="13">
        <f>VLOOKUP(A37,'BSE ALL CAP'!$B$4:$Y$1007,15,)</f>
        <v>0.17128074793500953</v>
      </c>
      <c r="P37" s="13">
        <f>VLOOKUP(A37,'BSE ALL CAP'!$B$4:$Y$1007,16,)</f>
        <v>0.16691669166916692</v>
      </c>
      <c r="Q37" s="13">
        <f>VLOOKUP(A37,'BSE ALL CAP'!$B$4:$Y$1007,17,)</f>
        <v>4.364056265842603E-3</v>
      </c>
      <c r="R37" s="13">
        <f>VLOOKUP(A37,'BSE ALL CAP'!$B$4:$Y$1007,18,)</f>
        <v>0.16819407008086254</v>
      </c>
      <c r="S37" s="13">
        <f>VLOOKUP(A37,'BSE ALL CAP'!$B$4:$Y$1007,19,)</f>
        <v>0.16533095874146631</v>
      </c>
      <c r="T37" s="13">
        <f>VLOOKUP(A37,'BSE ALL CAP'!$B$4:$Y$1007,20,)</f>
        <v>2.8631113393962349E-3</v>
      </c>
      <c r="U37" s="13">
        <f>VLOOKUP(A37,'BSE ALL CAP'!$B$4:$Y$1007,21,)</f>
        <v>0.1018101810181018</v>
      </c>
      <c r="V37" s="13">
        <f>VLOOKUP(A37,'BSE ALL CAP'!$B$4:$Y$1007,22,)</f>
        <v>0.13061713600958669</v>
      </c>
      <c r="W37" s="13">
        <f>VLOOKUP(A37,'BSE ALL CAP'!$B$4:$Y$1007,23,)</f>
        <v>0.10121697833184928</v>
      </c>
      <c r="X37" s="13">
        <f>VLOOKUP(A37,'BSE ALL CAP'!$B$4:$Y$1007,24,)</f>
        <v>0.12028725314183131</v>
      </c>
      <c r="Y37" s="220">
        <f ca="1">IFERROR(__xludf.DUMMYFUNCTION("GOOGLEFINANCE(""NSE:""&amp;C37,""PE"")"),57.11)</f>
        <v>57.11</v>
      </c>
      <c r="Z37" s="292">
        <f ca="1">IFERROR(__xludf.DUMMYFUNCTION("GOOGLEFINANCE(""NSE:""&amp;C37,""EPS"")"),22.48)</f>
        <v>22.48</v>
      </c>
      <c r="AA37" s="280">
        <f t="shared" ca="1" si="4"/>
        <v>0.37092000000000003</v>
      </c>
      <c r="AB37" s="293">
        <f t="shared" ca="1" si="5"/>
        <v>21.167850000000001</v>
      </c>
    </row>
    <row r="38" spans="1:28" ht="14.4">
      <c r="A38" s="15">
        <v>540716</v>
      </c>
      <c r="B38" s="171" t="s">
        <v>172</v>
      </c>
      <c r="C38" s="172" t="s">
        <v>87</v>
      </c>
      <c r="D38" s="173">
        <v>1.5</v>
      </c>
      <c r="E38" s="294">
        <f ca="1">IFERROR(__xludf.DUMMYFUNCTION("GOOGLEFINANCE(""NSE:""&amp;C38,""PRICE"")"),1709.7)</f>
        <v>1709.7</v>
      </c>
      <c r="F38" s="174">
        <f ca="1">IFERROR(__xludf.DUMMYFUNCTION("GOOGLEFINANCE(""NSE:""&amp;C38,""marketcap"")/10000000"),85225.311233)</f>
        <v>85225.311233</v>
      </c>
      <c r="G38" s="11">
        <f>VLOOKUP(A38,'BSE ALL CAP'!$B$4:$Y$1007,7,)</f>
        <v>19276</v>
      </c>
      <c r="H38" s="11">
        <f>VLOOKUP(A38,'BSE ALL CAP'!$B$4:$Y$1007,8,)</f>
        <v>17085</v>
      </c>
      <c r="I38" s="11">
        <f>VLOOKUP(A38,'BSE ALL CAP'!$B$4:$Y$1007,9,)</f>
        <v>2225</v>
      </c>
      <c r="J38" s="11">
        <f>VLOOKUP(A38,'BSE ALL CAP'!$B$4:$Y$1007,10,)</f>
        <v>1998</v>
      </c>
      <c r="K38" s="11">
        <f>VLOOKUP(A38,'BSE ALL CAP'!$B$4:$Y$1007,11,)</f>
        <v>6610</v>
      </c>
      <c r="L38" s="11">
        <f>VLOOKUP(A38,'BSE ALL CAP'!$B$4:$Y$1007,12,)</f>
        <v>5882</v>
      </c>
      <c r="M38" s="11">
        <f>VLOOKUP(A38,'BSE ALL CAP'!$B$4:$Y$1007,13,)</f>
        <v>658</v>
      </c>
      <c r="N38" s="11">
        <f>VLOOKUP(A38,'BSE ALL CAP'!$B$4:$Y$1007,14,)</f>
        <v>724</v>
      </c>
      <c r="O38" s="13">
        <f>VLOOKUP(A38,'BSE ALL CAP'!$B$4:$Y$1007,15,)</f>
        <v>0.11542851213944802</v>
      </c>
      <c r="P38" s="13">
        <f>VLOOKUP(A38,'BSE ALL CAP'!$B$4:$Y$1007,16,)</f>
        <v>0.11694468832309043</v>
      </c>
      <c r="Q38" s="13">
        <f>VLOOKUP(A38,'BSE ALL CAP'!$B$4:$Y$1007,17,)</f>
        <v>-1.5161761836424148E-3</v>
      </c>
      <c r="R38" s="13">
        <f>VLOOKUP(A38,'BSE ALL CAP'!$B$4:$Y$1007,18,)</f>
        <v>9.9546142208774585E-2</v>
      </c>
      <c r="S38" s="13">
        <f>VLOOKUP(A38,'BSE ALL CAP'!$B$4:$Y$1007,19,)</f>
        <v>0.12308738524311459</v>
      </c>
      <c r="T38" s="13">
        <f>VLOOKUP(A38,'BSE ALL CAP'!$B$4:$Y$1007,20,)</f>
        <v>-2.3541243034340006E-2</v>
      </c>
      <c r="U38" s="13">
        <f>VLOOKUP(A38,'BSE ALL CAP'!$B$4:$Y$1007,21,)</f>
        <v>0.12824114720515079</v>
      </c>
      <c r="V38" s="13">
        <f>VLOOKUP(A38,'BSE ALL CAP'!$B$4:$Y$1007,22,)</f>
        <v>0.11361361361361366</v>
      </c>
      <c r="W38" s="13">
        <f>VLOOKUP(A38,'BSE ALL CAP'!$B$4:$Y$1007,23,)</f>
        <v>0.12376742604556279</v>
      </c>
      <c r="X38" s="13">
        <f>VLOOKUP(A38,'BSE ALL CAP'!$B$4:$Y$1007,24,)</f>
        <v>-9.1160220994475183E-2</v>
      </c>
      <c r="Y38" s="189">
        <f ca="1">IFERROR(__xludf.DUMMYFUNCTION("GOOGLEFINANCE(""NSE:""&amp;C38,""PE"")"),31.27)</f>
        <v>31.27</v>
      </c>
      <c r="Z38" s="295">
        <f ca="1">IFERROR(__xludf.DUMMYFUNCTION("GOOGLEFINANCE(""NSE:""&amp;C38,""EPS"")"),54.66)</f>
        <v>54.66</v>
      </c>
      <c r="AA38" s="296">
        <f t="shared" ca="1" si="4"/>
        <v>0.81989999999999996</v>
      </c>
      <c r="AB38" s="250">
        <f t="shared" ca="1" si="5"/>
        <v>25.645499999999998</v>
      </c>
    </row>
    <row r="39" spans="1:28" ht="16.2">
      <c r="A39" s="15">
        <v>500112</v>
      </c>
      <c r="B39" s="171" t="s">
        <v>172</v>
      </c>
      <c r="C39" s="251" t="s">
        <v>108</v>
      </c>
      <c r="D39" s="173">
        <v>1.4</v>
      </c>
      <c r="E39" s="297">
        <f ca="1">IFERROR(__xludf.DUMMYFUNCTION("GOOGLEFINANCE(""NSE:""&amp;C39,""PRICE"")"),1024.85)</f>
        <v>1024.8499999999999</v>
      </c>
      <c r="F39" s="174">
        <f ca="1">IFERROR(__xludf.DUMMYFUNCTION("GOOGLEFINANCE(""NSE:""&amp;C39,""marketcap"")/10000000"),946322.8097686)</f>
        <v>946322.80976860004</v>
      </c>
      <c r="G39" s="11">
        <f>VLOOKUP(A39,'BSE ALL CAP'!$B$4:$Y$1007,7,)</f>
        <v>528538</v>
      </c>
      <c r="H39" s="11">
        <f>VLOOKUP(A39,'BSE ALL CAP'!$B$4:$Y$1007,8,)</f>
        <v>483781</v>
      </c>
      <c r="I39" s="11">
        <f>VLOOKUP(A39,'BSE ALL CAP'!$B$4:$Y$1007,9,)</f>
        <v>65007</v>
      </c>
      <c r="J39" s="11">
        <f>VLOOKUP(A39,'BSE ALL CAP'!$B$4:$Y$1007,10,)</f>
        <v>59076</v>
      </c>
      <c r="K39" s="11">
        <f>VLOOKUP(A39,'BSE ALL CAP'!$B$4:$Y$1007,11,)</f>
        <v>185648</v>
      </c>
      <c r="L39" s="11">
        <f>VLOOKUP(A39,'BSE ALL CAP'!$B$4:$Y$1007,12,)</f>
        <v>167853</v>
      </c>
      <c r="M39" s="11">
        <f>VLOOKUP(A39,'BSE ALL CAP'!$B$4:$Y$1007,13,)</f>
        <v>21876</v>
      </c>
      <c r="N39" s="11">
        <f>VLOOKUP(A39,'BSE ALL CAP'!$B$4:$Y$1007,14,)</f>
        <v>19175</v>
      </c>
      <c r="O39" s="13">
        <f>VLOOKUP(A39,'BSE ALL CAP'!$B$4:$Y$1007,15,)</f>
        <v>0.12299399475534399</v>
      </c>
      <c r="P39" s="13">
        <f>VLOOKUP(A39,'BSE ALL CAP'!$B$4:$Y$1007,16,)</f>
        <v>0.12211310489663711</v>
      </c>
      <c r="Q39" s="13">
        <f>VLOOKUP(A39,'BSE ALL CAP'!$B$4:$Y$1007,17,)</f>
        <v>8.8088985870687919E-4</v>
      </c>
      <c r="R39" s="13">
        <f>VLOOKUP(A39,'BSE ALL CAP'!$B$4:$Y$1007,18,)</f>
        <v>0.11783590450745497</v>
      </c>
      <c r="S39" s="13">
        <f>VLOOKUP(A39,'BSE ALL CAP'!$B$4:$Y$1007,19,)</f>
        <v>0.11423686201616891</v>
      </c>
      <c r="T39" s="13">
        <f>VLOOKUP(A39,'BSE ALL CAP'!$B$4:$Y$1007,20,)</f>
        <v>3.5990424912860641E-3</v>
      </c>
      <c r="U39" s="13">
        <f>VLOOKUP(A39,'BSE ALL CAP'!$B$4:$Y$1007,21,)</f>
        <v>9.251500162263504E-2</v>
      </c>
      <c r="V39" s="13">
        <f>VLOOKUP(A39,'BSE ALL CAP'!$B$4:$Y$1007,22,)</f>
        <v>0.10039609993906162</v>
      </c>
      <c r="W39" s="13">
        <f>VLOOKUP(A39,'BSE ALL CAP'!$B$4:$Y$1007,23,)</f>
        <v>0.10601538250731291</v>
      </c>
      <c r="X39" s="13">
        <f>VLOOKUP(A39,'BSE ALL CAP'!$B$4:$Y$1007,24,)</f>
        <v>0.14086049543676671</v>
      </c>
      <c r="Y39" s="298">
        <f ca="1">IFERROR(__xludf.DUMMYFUNCTION("GOOGLEFINANCE(""NSE:""&amp;C39,""PE"")"),11.19)</f>
        <v>11.19</v>
      </c>
      <c r="Z39" s="221">
        <f ca="1">IFERROR(__xludf.DUMMYFUNCTION("GOOGLEFINANCE(""NSE:""&amp;C39,""EPS"")"),91.62)</f>
        <v>91.62</v>
      </c>
      <c r="AA39" s="180">
        <f t="shared" ca="1" si="4"/>
        <v>1.28268</v>
      </c>
      <c r="AB39" s="299">
        <f t="shared" ca="1" si="5"/>
        <v>14.347899999999997</v>
      </c>
    </row>
    <row r="40" spans="1:28" ht="14.4">
      <c r="A40" s="15">
        <v>500820</v>
      </c>
      <c r="B40" s="171" t="s">
        <v>187</v>
      </c>
      <c r="C40" s="182" t="s">
        <v>103</v>
      </c>
      <c r="D40" s="173">
        <v>1.4</v>
      </c>
      <c r="E40" s="300">
        <f ca="1">IFERROR(__xludf.DUMMYFUNCTION("GOOGLEFINANCE(""NSE:""&amp;C40,""PRICE"")"),2183.5)</f>
        <v>2183.5</v>
      </c>
      <c r="F40" s="174">
        <f ca="1">IFERROR(__xludf.DUMMYFUNCTION("GOOGLEFINANCE(""NSE:""&amp;C40,""marketcap"")/10000000"),209356.97328)</f>
        <v>209356.97328000001</v>
      </c>
      <c r="G40" s="11">
        <f>VLOOKUP(A40,'BSE ALL CAP'!$B$4:$Y$1007,7,)</f>
        <v>26288</v>
      </c>
      <c r="H40" s="11">
        <f>VLOOKUP(A40,'BSE ALL CAP'!$B$4:$Y$1007,8,)</f>
        <v>25468</v>
      </c>
      <c r="I40" s="11">
        <f>VLOOKUP(A40,'BSE ALL CAP'!$B$4:$Y$1007,9,)</f>
        <v>3209</v>
      </c>
      <c r="J40" s="11">
        <f>VLOOKUP(A40,'BSE ALL CAP'!$B$4:$Y$1007,10,)</f>
        <v>3009</v>
      </c>
      <c r="K40" s="11">
        <f>VLOOKUP(A40,'BSE ALL CAP'!$B$4:$Y$1007,11,)</f>
        <v>8850</v>
      </c>
      <c r="L40" s="11">
        <f>VLOOKUP(A40,'BSE ALL CAP'!$B$4:$Y$1007,12,)</f>
        <v>8521</v>
      </c>
      <c r="M40" s="11">
        <f>VLOOKUP(A40,'BSE ALL CAP'!$B$4:$Y$1007,13,)</f>
        <v>1074</v>
      </c>
      <c r="N40" s="11">
        <f>VLOOKUP(A40,'BSE ALL CAP'!$B$4:$Y$1007,14,)</f>
        <v>1128</v>
      </c>
      <c r="O40" s="13">
        <f>VLOOKUP(A40,'BSE ALL CAP'!$B$4:$Y$1007,15,)</f>
        <v>0.12207090687766281</v>
      </c>
      <c r="P40" s="13">
        <f>VLOOKUP(A40,'BSE ALL CAP'!$B$4:$Y$1007,16,)</f>
        <v>0.11814826448877022</v>
      </c>
      <c r="Q40" s="13">
        <f>VLOOKUP(A40,'BSE ALL CAP'!$B$4:$Y$1007,17,)</f>
        <v>3.9226423888925888E-3</v>
      </c>
      <c r="R40" s="13">
        <f>VLOOKUP(A40,'BSE ALL CAP'!$B$4:$Y$1007,18,)</f>
        <v>0.12135593220338983</v>
      </c>
      <c r="S40" s="13">
        <f>VLOOKUP(A40,'BSE ALL CAP'!$B$4:$Y$1007,19,)</f>
        <v>0.13237882877596527</v>
      </c>
      <c r="T40" s="13">
        <f>VLOOKUP(A40,'BSE ALL CAP'!$B$4:$Y$1007,20,)</f>
        <v>-1.1022896572575436E-2</v>
      </c>
      <c r="U40" s="13">
        <f>VLOOKUP(A40,'BSE ALL CAP'!$B$4:$Y$1007,21,)</f>
        <v>3.2197267158787568E-2</v>
      </c>
      <c r="V40" s="13">
        <f>VLOOKUP(A40,'BSE ALL CAP'!$B$4:$Y$1007,22,)</f>
        <v>6.6467264872050569E-2</v>
      </c>
      <c r="W40" s="13">
        <f>VLOOKUP(A40,'BSE ALL CAP'!$B$4:$Y$1007,23,)</f>
        <v>3.8610491726323248E-2</v>
      </c>
      <c r="X40" s="13">
        <f>VLOOKUP(A40,'BSE ALL CAP'!$B$4:$Y$1007,24,)</f>
        <v>-4.7872340425531901E-2</v>
      </c>
      <c r="Y40" s="220">
        <f ca="1">IFERROR(__xludf.DUMMYFUNCTION("GOOGLEFINANCE(""NSE:""&amp;C40,""PE"")"),54.47)</f>
        <v>54.47</v>
      </c>
      <c r="Z40" s="208">
        <f ca="1">IFERROR(__xludf.DUMMYFUNCTION("GOOGLEFINANCE(""NSE:""&amp;C40,""EPS"")"),40.1)</f>
        <v>40.1</v>
      </c>
      <c r="AA40" s="233">
        <f t="shared" ca="1" si="4"/>
        <v>0.56140000000000001</v>
      </c>
      <c r="AB40" s="181">
        <f t="shared" ca="1" si="5"/>
        <v>30.568999999999996</v>
      </c>
    </row>
    <row r="41" spans="1:28" ht="14.4">
      <c r="A41" s="15">
        <v>538268</v>
      </c>
      <c r="B41" s="171" t="s">
        <v>187</v>
      </c>
      <c r="C41" s="182" t="s">
        <v>1512</v>
      </c>
      <c r="D41" s="173">
        <v>1.25</v>
      </c>
      <c r="E41" s="278">
        <f ca="1">IFERROR(__xludf.DUMMYFUNCTION("GOOGLEFINANCE(""NSE:""&amp;C41,""PRICE"")"),520.95)</f>
        <v>520.95000000000005</v>
      </c>
      <c r="F41" s="174">
        <f ca="1">IFERROR(__xludf.DUMMYFUNCTION("GOOGLEFINANCE(""NSE:""&amp;C41,""marketcap"")/10000000"),3295.0051805)</f>
        <v>3295.0051804999998</v>
      </c>
      <c r="G41" s="11">
        <f>VLOOKUP(A41,'BSE ALL CAP'!$B$4:$Y$1007,7,)</f>
        <v>3829</v>
      </c>
      <c r="H41" s="11">
        <f>VLOOKUP(A41,'BSE ALL CAP'!$B$4:$Y$1007,8,)</f>
        <v>3617</v>
      </c>
      <c r="I41" s="11">
        <f>VLOOKUP(A41,'BSE ALL CAP'!$B$4:$Y$1007,9,)</f>
        <v>65</v>
      </c>
      <c r="J41" s="11">
        <f>VLOOKUP(A41,'BSE ALL CAP'!$B$4:$Y$1007,10,)</f>
        <v>98</v>
      </c>
      <c r="K41" s="11">
        <f>VLOOKUP(A41,'BSE ALL CAP'!$B$4:$Y$1007,11,)</f>
        <v>1345</v>
      </c>
      <c r="L41" s="11">
        <f>VLOOKUP(A41,'BSE ALL CAP'!$B$4:$Y$1007,12,)</f>
        <v>1215</v>
      </c>
      <c r="M41" s="11">
        <f>VLOOKUP(A41,'BSE ALL CAP'!$B$4:$Y$1007,13,)</f>
        <v>14</v>
      </c>
      <c r="N41" s="11">
        <f>VLOOKUP(A41,'BSE ALL CAP'!$B$4:$Y$1007,14,)</f>
        <v>20</v>
      </c>
      <c r="O41" s="13">
        <f>VLOOKUP(A41,'BSE ALL CAP'!$B$4:$Y$1007,15,)</f>
        <v>1.6975711674066335E-2</v>
      </c>
      <c r="P41" s="13">
        <f>VLOOKUP(A41,'BSE ALL CAP'!$B$4:$Y$1007,16,)</f>
        <v>2.7094277025158972E-2</v>
      </c>
      <c r="Q41" s="13">
        <f>VLOOKUP(A41,'BSE ALL CAP'!$B$4:$Y$1007,17,)</f>
        <v>-1.0118565351092637E-2</v>
      </c>
      <c r="R41" s="13">
        <f>VLOOKUP(A41,'BSE ALL CAP'!$B$4:$Y$1007,18,)</f>
        <v>1.0408921933085501E-2</v>
      </c>
      <c r="S41" s="13">
        <f>VLOOKUP(A41,'BSE ALL CAP'!$B$4:$Y$1007,19,)</f>
        <v>1.646090534979424E-2</v>
      </c>
      <c r="T41" s="13">
        <f>VLOOKUP(A41,'BSE ALL CAP'!$B$4:$Y$1007,20,)</f>
        <v>-6.0519834167087391E-3</v>
      </c>
      <c r="U41" s="13">
        <f>VLOOKUP(A41,'BSE ALL CAP'!$B$4:$Y$1007,21,)</f>
        <v>5.8612109482996999E-2</v>
      </c>
      <c r="V41" s="13">
        <f>VLOOKUP(A41,'BSE ALL CAP'!$B$4:$Y$1007,22,)</f>
        <v>-0.33673469387755106</v>
      </c>
      <c r="W41" s="13">
        <f>VLOOKUP(A41,'BSE ALL CAP'!$B$4:$Y$1007,23,)</f>
        <v>0.10699588477366251</v>
      </c>
      <c r="X41" s="13">
        <f>VLOOKUP(A41,'BSE ALL CAP'!$B$4:$Y$1007,24,)</f>
        <v>-0.30000000000000004</v>
      </c>
      <c r="Y41" s="208">
        <f ca="1">IFERROR(__xludf.DUMMYFUNCTION("GOOGLEFINANCE(""NSE:""&amp;C41,""PE"")"),43.34)</f>
        <v>43.34</v>
      </c>
      <c r="Z41" s="301">
        <f ca="1">IFERROR(__xludf.DUMMYFUNCTION("GOOGLEFINANCE(""NSE:""&amp;C41,""EPS"")"),12.02)</f>
        <v>12.02</v>
      </c>
      <c r="AA41" s="202">
        <f t="shared" ca="1" si="4"/>
        <v>0.15024999999999999</v>
      </c>
      <c r="AB41" s="302">
        <f t="shared" ca="1" si="5"/>
        <v>6.5118750000000007</v>
      </c>
    </row>
    <row r="42" spans="1:28" ht="14.4">
      <c r="A42" s="15">
        <v>500368</v>
      </c>
      <c r="B42" s="1" t="s">
        <v>183</v>
      </c>
      <c r="C42" s="182" t="s">
        <v>1513</v>
      </c>
      <c r="D42" s="173">
        <v>1.25</v>
      </c>
      <c r="E42" s="303">
        <f ca="1">IFERROR(__xludf.DUMMYFUNCTION("GOOGLEFINANCE(""NSE:""&amp;C42,""PRICE"")"),471.7)</f>
        <v>471.7</v>
      </c>
      <c r="F42" s="174">
        <f ca="1">IFERROR(__xludf.DUMMYFUNCTION("GOOGLEFINANCE(""NSE:""&amp;C42,""marketcap"")/10000000"),17097.3945218)</f>
        <v>17097.394521800001</v>
      </c>
      <c r="G42" s="11">
        <f>VLOOKUP(A42,'BSE ALL CAP'!$B$4:$Y$1007,7,)</f>
        <v>29013</v>
      </c>
      <c r="H42" s="11">
        <f>VLOOKUP(A42,'BSE ALL CAP'!$B$4:$Y$1007,8,)</f>
        <v>24246</v>
      </c>
      <c r="I42" s="11">
        <f>VLOOKUP(A42,'BSE ALL CAP'!$B$4:$Y$1007,9,)</f>
        <v>1290</v>
      </c>
      <c r="J42" s="11">
        <f>VLOOKUP(A42,'BSE ALL CAP'!$B$4:$Y$1007,10,)</f>
        <v>942</v>
      </c>
      <c r="K42" s="11">
        <f>VLOOKUP(A42,'BSE ALL CAP'!$B$4:$Y$1007,11,)</f>
        <v>10483</v>
      </c>
      <c r="L42" s="11">
        <f>VLOOKUP(A42,'BSE ALL CAP'!$B$4:$Y$1007,12,)</f>
        <v>8996</v>
      </c>
      <c r="M42" s="11">
        <f>VLOOKUP(A42,'BSE ALL CAP'!$B$4:$Y$1007,13,)</f>
        <v>590</v>
      </c>
      <c r="N42" s="11">
        <f>VLOOKUP(A42,'BSE ALL CAP'!$B$4:$Y$1007,14,)</f>
        <v>370</v>
      </c>
      <c r="O42" s="13">
        <f>VLOOKUP(A42,'BSE ALL CAP'!$B$4:$Y$1007,15,)</f>
        <v>4.446282700858236E-2</v>
      </c>
      <c r="P42" s="13">
        <f>VLOOKUP(A42,'BSE ALL CAP'!$B$4:$Y$1007,16,)</f>
        <v>3.8851769364018809E-2</v>
      </c>
      <c r="Q42" s="13">
        <f>VLOOKUP(A42,'BSE ALL CAP'!$B$4:$Y$1007,17,)</f>
        <v>5.611057644563551E-3</v>
      </c>
      <c r="R42" s="13">
        <f>VLOOKUP(A42,'BSE ALL CAP'!$B$4:$Y$1007,18,)</f>
        <v>5.6281598778975483E-2</v>
      </c>
      <c r="S42" s="13">
        <f>VLOOKUP(A42,'BSE ALL CAP'!$B$4:$Y$1007,19,)</f>
        <v>4.1129390840373502E-2</v>
      </c>
      <c r="T42" s="13">
        <f>VLOOKUP(A42,'BSE ALL CAP'!$B$4:$Y$1007,20,)</f>
        <v>1.5152207938601982E-2</v>
      </c>
      <c r="U42" s="13">
        <f>VLOOKUP(A42,'BSE ALL CAP'!$B$4:$Y$1007,21,)</f>
        <v>0.19660975006186598</v>
      </c>
      <c r="V42" s="13">
        <f>VLOOKUP(A42,'BSE ALL CAP'!$B$4:$Y$1007,22,)</f>
        <v>0.36942675159235661</v>
      </c>
      <c r="W42" s="13">
        <f>VLOOKUP(A42,'BSE ALL CAP'!$B$4:$Y$1007,23,)</f>
        <v>0.16529568697198749</v>
      </c>
      <c r="X42" s="13">
        <f>VLOOKUP(A42,'BSE ALL CAP'!$B$4:$Y$1007,24,)</f>
        <v>0.59459459459459452</v>
      </c>
      <c r="Y42" s="208">
        <f ca="1">IFERROR(__xludf.DUMMYFUNCTION("GOOGLEFINANCE(""NSE:""&amp;C42,""PE"")"),31.15)</f>
        <v>31.15</v>
      </c>
      <c r="Z42" s="301">
        <f ca="1">IFERROR(__xludf.DUMMYFUNCTION("GOOGLEFINANCE(""NSE:""&amp;C42,""EPS"")"),15.14)</f>
        <v>15.14</v>
      </c>
      <c r="AA42" s="202">
        <f t="shared" ca="1" si="4"/>
        <v>0.18925000000000003</v>
      </c>
      <c r="AB42" s="304">
        <f t="shared" ca="1" si="5"/>
        <v>5.8962500000000002</v>
      </c>
    </row>
    <row r="43" spans="1:28" ht="14.4">
      <c r="A43" s="15">
        <v>508869</v>
      </c>
      <c r="B43" s="1" t="s">
        <v>190</v>
      </c>
      <c r="C43" s="182" t="s">
        <v>114</v>
      </c>
      <c r="D43" s="173">
        <v>1.2</v>
      </c>
      <c r="E43" s="305">
        <f ca="1">IFERROR(__xludf.DUMMYFUNCTION("GOOGLEFINANCE(""NSE:""&amp;C43,""PRICE"")"),7368)</f>
        <v>7368</v>
      </c>
      <c r="F43" s="174">
        <f ca="1">IFERROR(__xludf.DUMMYFUNCTION("GOOGLEFINANCE(""NSE:""&amp;C43,""marketcap"")/10000000"),105969.2502)</f>
        <v>105969.25019999999</v>
      </c>
      <c r="G43" s="11">
        <f>VLOOKUP(A43,'BSE ALL CAP'!$B$4:$Y$1007,7,)</f>
        <v>18623</v>
      </c>
      <c r="H43" s="11">
        <f>VLOOKUP(A43,'BSE ALL CAP'!$B$4:$Y$1007,8,)</f>
        <v>16201</v>
      </c>
      <c r="I43" s="11">
        <f>VLOOKUP(A43,'BSE ALL CAP'!$B$4:$Y$1007,9,)</f>
        <v>1451</v>
      </c>
      <c r="J43" s="11">
        <f>VLOOKUP(A43,'BSE ALL CAP'!$B$4:$Y$1007,10,)</f>
        <v>1090</v>
      </c>
      <c r="K43" s="11">
        <f>VLOOKUP(A43,'BSE ALL CAP'!$B$4:$Y$1007,11,)</f>
        <v>6477</v>
      </c>
      <c r="L43" s="11">
        <f>VLOOKUP(A43,'BSE ALL CAP'!$B$4:$Y$1007,12,)</f>
        <v>5526</v>
      </c>
      <c r="M43" s="11">
        <f>VLOOKUP(A43,'BSE ALL CAP'!$B$4:$Y$1007,13,)</f>
        <v>516</v>
      </c>
      <c r="N43" s="11">
        <f>VLOOKUP(A43,'BSE ALL CAP'!$B$4:$Y$1007,14,)</f>
        <v>379</v>
      </c>
      <c r="O43" s="13">
        <f>VLOOKUP(A43,'BSE ALL CAP'!$B$4:$Y$1007,15,)</f>
        <v>7.7914406916178916E-2</v>
      </c>
      <c r="P43" s="13">
        <f>VLOOKUP(A43,'BSE ALL CAP'!$B$4:$Y$1007,16,)</f>
        <v>6.7279797543361525E-2</v>
      </c>
      <c r="Q43" s="13">
        <f>VLOOKUP(A43,'BSE ALL CAP'!$B$4:$Y$1007,17,)</f>
        <v>1.0634609372817391E-2</v>
      </c>
      <c r="R43" s="13">
        <f>VLOOKUP(A43,'BSE ALL CAP'!$B$4:$Y$1007,18,)</f>
        <v>7.9666512274201018E-2</v>
      </c>
      <c r="S43" s="13">
        <f>VLOOKUP(A43,'BSE ALL CAP'!$B$4:$Y$1007,19,)</f>
        <v>6.858487151646761E-2</v>
      </c>
      <c r="T43" s="13">
        <f>VLOOKUP(A43,'BSE ALL CAP'!$B$4:$Y$1007,20,)</f>
        <v>1.1081640757733408E-2</v>
      </c>
      <c r="U43" s="13">
        <f>VLOOKUP(A43,'BSE ALL CAP'!$B$4:$Y$1007,21,)</f>
        <v>0.14949694463304741</v>
      </c>
      <c r="V43" s="13">
        <f>VLOOKUP(A43,'BSE ALL CAP'!$B$4:$Y$1007,22,)</f>
        <v>0.33119266055045871</v>
      </c>
      <c r="W43" s="13">
        <f>VLOOKUP(A43,'BSE ALL CAP'!$B$4:$Y$1007,23,)</f>
        <v>0.17209554831704676</v>
      </c>
      <c r="X43" s="13">
        <f>VLOOKUP(A43,'BSE ALL CAP'!$B$4:$Y$1007,24,)</f>
        <v>0.36147757255936686</v>
      </c>
      <c r="Y43" s="197">
        <f ca="1">IFERROR(__xludf.DUMMYFUNCTION("GOOGLEFINANCE(""NSE:""&amp;C43,""PE"")"),58.77)</f>
        <v>58.77</v>
      </c>
      <c r="Z43" s="190">
        <f ca="1">IFERROR(__xludf.DUMMYFUNCTION("GOOGLEFINANCE(""NSE:""&amp;C43,""EPS"")"),125.33)</f>
        <v>125.33</v>
      </c>
      <c r="AA43" s="306">
        <f t="shared" ca="1" si="4"/>
        <v>1.50396</v>
      </c>
      <c r="AB43" s="262">
        <f t="shared" ca="1" si="5"/>
        <v>88.415999999999997</v>
      </c>
    </row>
    <row r="44" spans="1:28" ht="14.4">
      <c r="A44" s="15">
        <v>500008</v>
      </c>
      <c r="B44" s="171" t="s">
        <v>187</v>
      </c>
      <c r="C44" s="182" t="s">
        <v>1406</v>
      </c>
      <c r="D44" s="173">
        <v>1.1000000000000001</v>
      </c>
      <c r="E44" s="278">
        <f ca="1">IFERROR(__xludf.DUMMYFUNCTION("GOOGLEFINANCE(""NSE:""&amp;C44,""PRICE"")"),718.2)</f>
        <v>718.2</v>
      </c>
      <c r="F44" s="174">
        <f ca="1">IFERROR(__xludf.DUMMYFUNCTION("GOOGLEFINANCE(""NSE:""&amp;C44,""marketcap"")/10000000"),13324.25)</f>
        <v>13324.25</v>
      </c>
      <c r="G44" s="11">
        <f>VLOOKUP(A44,'BSE ALL CAP'!$B$4:$Y$1007,7,)</f>
        <v>10278</v>
      </c>
      <c r="H44" s="11">
        <f>VLOOKUP(A44,'BSE ALL CAP'!$B$4:$Y$1007,8,)</f>
        <v>9786</v>
      </c>
      <c r="I44" s="11">
        <f>VLOOKUP(A44,'BSE ALL CAP'!$B$4:$Y$1007,9,)</f>
        <v>581</v>
      </c>
      <c r="J44" s="11">
        <f>VLOOKUP(A44,'BSE ALL CAP'!$B$4:$Y$1007,10,)</f>
        <v>783</v>
      </c>
      <c r="K44" s="11">
        <f>VLOOKUP(A44,'BSE ALL CAP'!$B$4:$Y$1007,11,)</f>
        <v>3410</v>
      </c>
      <c r="L44" s="11">
        <f>VLOOKUP(A44,'BSE ALL CAP'!$B$4:$Y$1007,12,)</f>
        <v>3272</v>
      </c>
      <c r="M44" s="11">
        <f>VLOOKUP(A44,'BSE ALL CAP'!$B$4:$Y$1007,13,)</f>
        <v>140</v>
      </c>
      <c r="N44" s="11">
        <f>VLOOKUP(A44,'BSE ALL CAP'!$B$4:$Y$1007,14,)</f>
        <v>298</v>
      </c>
      <c r="O44" s="13">
        <f>VLOOKUP(A44,'BSE ALL CAP'!$B$4:$Y$1007,15,)</f>
        <v>5.6528507491729905E-2</v>
      </c>
      <c r="P44" s="13">
        <f>VLOOKUP(A44,'BSE ALL CAP'!$B$4:$Y$1007,16,)</f>
        <v>8.0012262415695895E-2</v>
      </c>
      <c r="Q44" s="13">
        <f>VLOOKUP(A44,'BSE ALL CAP'!$B$4:$Y$1007,17,)</f>
        <v>-2.348375492396599E-2</v>
      </c>
      <c r="R44" s="13">
        <f>VLOOKUP(A44,'BSE ALL CAP'!$B$4:$Y$1007,18,)</f>
        <v>4.1055718475073312E-2</v>
      </c>
      <c r="S44" s="13">
        <f>VLOOKUP(A44,'BSE ALL CAP'!$B$4:$Y$1007,19,)</f>
        <v>9.1075794621026898E-2</v>
      </c>
      <c r="T44" s="13">
        <f>VLOOKUP(A44,'BSE ALL CAP'!$B$4:$Y$1007,20,)</f>
        <v>-5.0020076145953586E-2</v>
      </c>
      <c r="U44" s="13">
        <f>VLOOKUP(A44,'BSE ALL CAP'!$B$4:$Y$1007,21,)</f>
        <v>5.0275904353157541E-2</v>
      </c>
      <c r="V44" s="13">
        <f>VLOOKUP(A44,'BSE ALL CAP'!$B$4:$Y$1007,22,)</f>
        <v>-0.25798212005108556</v>
      </c>
      <c r="W44" s="13">
        <f>VLOOKUP(A44,'BSE ALL CAP'!$B$4:$Y$1007,23,)</f>
        <v>4.2176039119804498E-2</v>
      </c>
      <c r="X44" s="13">
        <f>VLOOKUP(A44,'BSE ALL CAP'!$B$4:$Y$1007,24,)</f>
        <v>-0.53020134228187921</v>
      </c>
      <c r="Y44" s="238">
        <v>16.600000000000001</v>
      </c>
      <c r="Z44" s="197">
        <v>58.24</v>
      </c>
      <c r="AA44" s="307">
        <f t="shared" si="4"/>
        <v>0.6406400000000001</v>
      </c>
      <c r="AB44" s="308">
        <f t="shared" ca="1" si="5"/>
        <v>7.9002000000000017</v>
      </c>
    </row>
    <row r="45" spans="1:28" ht="14.4">
      <c r="A45" s="15">
        <v>500790</v>
      </c>
      <c r="B45" s="1" t="s">
        <v>183</v>
      </c>
      <c r="C45" s="182" t="s">
        <v>106</v>
      </c>
      <c r="D45" s="173">
        <v>1.1000000000000001</v>
      </c>
      <c r="E45" s="269">
        <f ca="1">IFERROR(__xludf.DUMMYFUNCTION("GOOGLEFINANCE(""NSE:""&amp;C45,""PRICE"")"),1212)</f>
        <v>1212</v>
      </c>
      <c r="F45" s="174">
        <f ca="1">IFERROR(__xludf.DUMMYFUNCTION("GOOGLEFINANCE(""NSE:""&amp;C45,""marketcap"")/10000000"),233730.9352322)</f>
        <v>233730.93523219999</v>
      </c>
      <c r="G45" s="11">
        <f>VLOOKUP(A45,'BSE ALL CAP'!$B$4:$Y$1007,7,)</f>
        <v>16406</v>
      </c>
      <c r="H45" s="11">
        <f>VLOOKUP(A45,'BSE ALL CAP'!$B$4:$Y$1007,8,)</f>
        <v>16697</v>
      </c>
      <c r="I45" s="11">
        <f>VLOOKUP(A45,'BSE ALL CAP'!$B$4:$Y$1007,9,)</f>
        <v>2388</v>
      </c>
      <c r="J45" s="11">
        <f>VLOOKUP(A45,'BSE ALL CAP'!$B$4:$Y$1007,10,)</f>
        <v>2334</v>
      </c>
      <c r="K45" s="11">
        <f>VLOOKUP(A45,'BSE ALL CAP'!$B$4:$Y$1007,11,)</f>
        <v>5667</v>
      </c>
      <c r="L45" s="11">
        <f>VLOOKUP(A45,'BSE ALL CAP'!$B$4:$Y$1007,12,)</f>
        <v>4779</v>
      </c>
      <c r="M45" s="11">
        <f>VLOOKUP(A45,'BSE ALL CAP'!$B$4:$Y$1007,13,)</f>
        <v>998</v>
      </c>
      <c r="N45" s="11">
        <f>VLOOKUP(A45,'BSE ALL CAP'!$B$4:$Y$1007,14,)</f>
        <v>688</v>
      </c>
      <c r="O45" s="13">
        <f>VLOOKUP(A45,'BSE ALL CAP'!$B$4:$Y$1007,15,)</f>
        <v>0.1455565037181519</v>
      </c>
      <c r="P45" s="13">
        <f>VLOOKUP(A45,'BSE ALL CAP'!$B$4:$Y$1007,16,)</f>
        <v>0.13978559022578907</v>
      </c>
      <c r="Q45" s="13">
        <f>VLOOKUP(A45,'BSE ALL CAP'!$B$4:$Y$1007,17,)</f>
        <v>5.7709134923628336E-3</v>
      </c>
      <c r="R45" s="13">
        <f>VLOOKUP(A45,'BSE ALL CAP'!$B$4:$Y$1007,18,)</f>
        <v>0.17610728780659962</v>
      </c>
      <c r="S45" s="13">
        <f>VLOOKUP(A45,'BSE ALL CAP'!$B$4:$Y$1007,19,)</f>
        <v>0.14396317221175978</v>
      </c>
      <c r="T45" s="13">
        <f>VLOOKUP(A45,'BSE ALL CAP'!$B$4:$Y$1007,20,)</f>
        <v>3.2144115594839845E-2</v>
      </c>
      <c r="U45" s="13">
        <f>VLOOKUP(A45,'BSE ALL CAP'!$B$4:$Y$1007,21,)</f>
        <v>-1.7428280529436457E-2</v>
      </c>
      <c r="V45" s="13">
        <f>VLOOKUP(A45,'BSE ALL CAP'!$B$4:$Y$1007,22,)</f>
        <v>2.3136246786632286E-2</v>
      </c>
      <c r="W45" s="13">
        <f>VLOOKUP(A45,'BSE ALL CAP'!$B$4:$Y$1007,23,)</f>
        <v>0.18581293157564338</v>
      </c>
      <c r="X45" s="13">
        <f>VLOOKUP(A45,'BSE ALL CAP'!$B$4:$Y$1007,24,)</f>
        <v>0.45058139534883712</v>
      </c>
      <c r="Y45" s="184">
        <f ca="1">IFERROR(__xludf.DUMMYFUNCTION("GOOGLEFINANCE(""NSE:""&amp;C45,""PE"")"),71.63)</f>
        <v>71.63</v>
      </c>
      <c r="Z45" s="309">
        <f ca="1">IFERROR(__xludf.DUMMYFUNCTION("GOOGLEFINANCE(""NSE:""&amp;C45,""EPS"")"),16.92)</f>
        <v>16.920000000000002</v>
      </c>
      <c r="AA45" s="202">
        <f t="shared" ca="1" si="4"/>
        <v>0.18612000000000004</v>
      </c>
      <c r="AB45" s="310">
        <f t="shared" ca="1" si="5"/>
        <v>13.332000000000001</v>
      </c>
    </row>
    <row r="46" spans="1:28" ht="14.4">
      <c r="A46" s="15">
        <v>502355</v>
      </c>
      <c r="B46" s="171" t="s">
        <v>187</v>
      </c>
      <c r="C46" s="182" t="s">
        <v>1402</v>
      </c>
      <c r="D46" s="173">
        <v>1.05</v>
      </c>
      <c r="E46" s="311">
        <f ca="1">IFERROR(__xludf.DUMMYFUNCTION("GOOGLEFINANCE(""NSE:""&amp;C46,""PRICE"")"),2136.2)</f>
        <v>2136.1999999999998</v>
      </c>
      <c r="F46" s="174">
        <f ca="1">IFERROR(__xludf.DUMMYFUNCTION("GOOGLEFINANCE(""NSE:""&amp;C46,""marketcap"")/10000000"),41298.3330169)</f>
        <v>41298.333016899996</v>
      </c>
      <c r="G46" s="11">
        <f>VLOOKUP(A46,'BSE ALL CAP'!$B$4:$Y$1007,7,)</f>
        <v>7890</v>
      </c>
      <c r="H46" s="11">
        <f>VLOOKUP(A46,'BSE ALL CAP'!$B$4:$Y$1007,8,)</f>
        <v>7694</v>
      </c>
      <c r="I46" s="11">
        <f>VLOOKUP(A46,'BSE ALL CAP'!$B$4:$Y$1007,9,)</f>
        <v>944</v>
      </c>
      <c r="J46" s="11">
        <f>VLOOKUP(A46,'BSE ALL CAP'!$B$4:$Y$1007,10,)</f>
        <v>1286</v>
      </c>
      <c r="K46" s="11">
        <f>VLOOKUP(A46,'BSE ALL CAP'!$B$4:$Y$1007,11,)</f>
        <v>2737</v>
      </c>
      <c r="L46" s="11">
        <f>VLOOKUP(A46,'BSE ALL CAP'!$B$4:$Y$1007,12,)</f>
        <v>2560</v>
      </c>
      <c r="M46" s="11">
        <f>VLOOKUP(A46,'BSE ALL CAP'!$B$4:$Y$1007,13,)</f>
        <v>382</v>
      </c>
      <c r="N46" s="11">
        <f>VLOOKUP(A46,'BSE ALL CAP'!$B$4:$Y$1007,14,)</f>
        <v>449</v>
      </c>
      <c r="O46" s="13">
        <f>VLOOKUP(A46,'BSE ALL CAP'!$B$4:$Y$1007,15,)</f>
        <v>0.11964512040557668</v>
      </c>
      <c r="P46" s="13">
        <f>VLOOKUP(A46,'BSE ALL CAP'!$B$4:$Y$1007,16,)</f>
        <v>0.16714322848973226</v>
      </c>
      <c r="Q46" s="13">
        <f>VLOOKUP(A46,'BSE ALL CAP'!$B$4:$Y$1007,17,)</f>
        <v>-4.7498108084155582E-2</v>
      </c>
      <c r="R46" s="13">
        <f>VLOOKUP(A46,'BSE ALL CAP'!$B$4:$Y$1007,18,)</f>
        <v>0.13956887102667154</v>
      </c>
      <c r="S46" s="13">
        <f>VLOOKUP(A46,'BSE ALL CAP'!$B$4:$Y$1007,19,)</f>
        <v>0.17539062499999999</v>
      </c>
      <c r="T46" s="13">
        <f>VLOOKUP(A46,'BSE ALL CAP'!$B$4:$Y$1007,20,)</f>
        <v>-3.5821753973328457E-2</v>
      </c>
      <c r="U46" s="13">
        <f>VLOOKUP(A46,'BSE ALL CAP'!$B$4:$Y$1007,21,)</f>
        <v>2.5474395632960833E-2</v>
      </c>
      <c r="V46" s="13">
        <f>VLOOKUP(A46,'BSE ALL CAP'!$B$4:$Y$1007,22,)</f>
        <v>-0.2659409020217729</v>
      </c>
      <c r="W46" s="13">
        <f>VLOOKUP(A46,'BSE ALL CAP'!$B$4:$Y$1007,23,)</f>
        <v>6.9140624999999956E-2</v>
      </c>
      <c r="X46" s="13">
        <f>VLOOKUP(A46,'BSE ALL CAP'!$B$4:$Y$1007,24,)</f>
        <v>-0.1492204899777283</v>
      </c>
      <c r="Y46" s="179">
        <f ca="1">IFERROR(__xludf.DUMMYFUNCTION("GOOGLEFINANCE(""NSE:""&amp;C46,""PE"")"),31.47)</f>
        <v>31.47</v>
      </c>
      <c r="Z46" s="220">
        <f ca="1">IFERROR(__xludf.DUMMYFUNCTION("GOOGLEFINANCE(""NSE:""&amp;C46,""EPS"")"),67.88)</f>
        <v>67.88</v>
      </c>
      <c r="AA46" s="296">
        <f t="shared" ca="1" si="4"/>
        <v>0.71274000000000004</v>
      </c>
      <c r="AB46" s="250">
        <f t="shared" ca="1" si="5"/>
        <v>22.430099999999999</v>
      </c>
    </row>
    <row r="47" spans="1:28" ht="14.4">
      <c r="A47" s="15">
        <v>543237</v>
      </c>
      <c r="B47" s="1" t="s">
        <v>180</v>
      </c>
      <c r="C47" s="254" t="s">
        <v>1397</v>
      </c>
      <c r="D47" s="173">
        <v>1</v>
      </c>
      <c r="E47" s="303">
        <f ca="1">IFERROR(__xludf.DUMMYFUNCTION("GOOGLEFINANCE(""NSE:""&amp;C47,""PRICE"")"),2317.6)</f>
        <v>2317.6</v>
      </c>
      <c r="F47" s="174">
        <f ca="1">IFERROR(__xludf.DUMMYFUNCTION("GOOGLEFINANCE(""NSE:""&amp;C47,""marketcap"")/10000000"),93503.484)</f>
        <v>93503.483999999997</v>
      </c>
      <c r="G47" s="11">
        <f>VLOOKUP(A47,'BSE ALL CAP'!$B$4:$Y$1007,7,)</f>
        <v>9155</v>
      </c>
      <c r="H47" s="11">
        <f>VLOOKUP(A47,'BSE ALL CAP'!$B$4:$Y$1007,8,)</f>
        <v>8257</v>
      </c>
      <c r="I47" s="11">
        <f>VLOOKUP(A47,'BSE ALL CAP'!$B$4:$Y$1007,9,)</f>
        <v>2081</v>
      </c>
      <c r="J47" s="11">
        <f>VLOOKUP(A47,'BSE ALL CAP'!$B$4:$Y$1007,10,)</f>
        <v>2088</v>
      </c>
      <c r="K47" s="11">
        <f>VLOOKUP(A47,'BSE ALL CAP'!$B$4:$Y$1007,11,)</f>
        <v>3601</v>
      </c>
      <c r="L47" s="11">
        <f>VLOOKUP(A47,'BSE ALL CAP'!$B$4:$Y$1007,12,)</f>
        <v>3143</v>
      </c>
      <c r="M47" s="11">
        <f>VLOOKUP(A47,'BSE ALL CAP'!$B$4:$Y$1007,13,)</f>
        <v>879</v>
      </c>
      <c r="N47" s="11">
        <f>VLOOKUP(A47,'BSE ALL CAP'!$B$4:$Y$1007,14,)</f>
        <v>807</v>
      </c>
      <c r="O47" s="13">
        <f>VLOOKUP(A47,'BSE ALL CAP'!$B$4:$Y$1007,15,)</f>
        <v>0.22730748225013653</v>
      </c>
      <c r="P47" s="13">
        <f>VLOOKUP(A47,'BSE ALL CAP'!$B$4:$Y$1007,16,)</f>
        <v>0.25287634734164949</v>
      </c>
      <c r="Q47" s="13">
        <f>VLOOKUP(A47,'BSE ALL CAP'!$B$4:$Y$1007,17,)</f>
        <v>-2.556886509151296E-2</v>
      </c>
      <c r="R47" s="13">
        <f>VLOOKUP(A47,'BSE ALL CAP'!$B$4:$Y$1007,18,)</f>
        <v>0.24409886142738127</v>
      </c>
      <c r="S47" s="13">
        <f>VLOOKUP(A47,'BSE ALL CAP'!$B$4:$Y$1007,19,)</f>
        <v>0.25676105631562202</v>
      </c>
      <c r="T47" s="13">
        <f>VLOOKUP(A47,'BSE ALL CAP'!$B$4:$Y$1007,20,)</f>
        <v>-1.2662194888240746E-2</v>
      </c>
      <c r="U47" s="13">
        <f>VLOOKUP(A47,'BSE ALL CAP'!$B$4:$Y$1007,21,)</f>
        <v>0.10875620685478982</v>
      </c>
      <c r="V47" s="13">
        <f>VLOOKUP(A47,'BSE ALL CAP'!$B$4:$Y$1007,22,)</f>
        <v>-3.3524904214559115E-3</v>
      </c>
      <c r="W47" s="13">
        <f>VLOOKUP(A47,'BSE ALL CAP'!$B$4:$Y$1007,23,)</f>
        <v>0.14572064906140625</v>
      </c>
      <c r="X47" s="13">
        <f>VLOOKUP(A47,'BSE ALL CAP'!$B$4:$Y$1007,24,)</f>
        <v>8.9219330855018653E-2</v>
      </c>
      <c r="Y47" s="208">
        <f ca="1">IFERROR(__xludf.DUMMYFUNCTION("GOOGLEFINANCE(""NSE:""&amp;C47,""PE"")"),38.77)</f>
        <v>38.770000000000003</v>
      </c>
      <c r="Z47" s="197">
        <f ca="1">IFERROR(__xludf.DUMMYFUNCTION("GOOGLEFINANCE(""NSE:""&amp;C47,""EPS"")"),59.66)</f>
        <v>59.66</v>
      </c>
      <c r="AA47" s="233">
        <f t="shared" ca="1" si="4"/>
        <v>0.59660000000000002</v>
      </c>
      <c r="AB47" s="250">
        <f t="shared" ca="1" si="5"/>
        <v>23.175999999999998</v>
      </c>
    </row>
    <row r="48" spans="1:28" ht="14.4">
      <c r="A48" s="15">
        <v>543463</v>
      </c>
      <c r="B48" s="171" t="s">
        <v>187</v>
      </c>
      <c r="C48" s="6" t="s">
        <v>140</v>
      </c>
      <c r="D48" s="173">
        <v>0.95</v>
      </c>
      <c r="E48" s="274">
        <f ca="1">IFERROR(__xludf.DUMMYFUNCTION("GOOGLEFINANCE(""NSE:""&amp;C48,""PRICE"")"),378.2)</f>
        <v>378.2</v>
      </c>
      <c r="F48" s="174">
        <f ca="1">IFERROR(__xludf.DUMMYFUNCTION("GOOGLEFINANCE(""NSE:""&amp;C48,""marketcap"")/10000000"),9184.068865)</f>
        <v>9184.0688649999993</v>
      </c>
      <c r="G48" s="11">
        <f>VLOOKUP(A48,'BSE ALL CAP'!$B$4:$Y$1007,7,)</f>
        <v>1036</v>
      </c>
      <c r="H48" s="11">
        <f>VLOOKUP(A48,'BSE ALL CAP'!$B$4:$Y$1007,8,)</f>
        <v>1019</v>
      </c>
      <c r="I48" s="11">
        <f>VLOOKUP(A48,'BSE ALL CAP'!$B$4:$Y$1007,9,)</f>
        <v>261</v>
      </c>
      <c r="J48" s="11">
        <f>VLOOKUP(A48,'BSE ALL CAP'!$B$4:$Y$1007,10,)</f>
        <v>287</v>
      </c>
      <c r="K48" s="11">
        <f>VLOOKUP(A48,'BSE ALL CAP'!$B$4:$Y$1007,11,)</f>
        <v>491</v>
      </c>
      <c r="L48" s="11">
        <f>VLOOKUP(A48,'BSE ALL CAP'!$B$4:$Y$1007,12,)</f>
        <v>511</v>
      </c>
      <c r="M48" s="11">
        <f>VLOOKUP(A48,'BSE ALL CAP'!$B$4:$Y$1007,13,)</f>
        <v>134</v>
      </c>
      <c r="N48" s="11">
        <f>VLOOKUP(A48,'BSE ALL CAP'!$B$4:$Y$1007,14,)</f>
        <v>157</v>
      </c>
      <c r="O48" s="13">
        <f>VLOOKUP(A48,'BSE ALL CAP'!$B$4:$Y$1007,15,)</f>
        <v>0.25193050193050193</v>
      </c>
      <c r="P48" s="13">
        <f>VLOOKUP(A48,'BSE ALL CAP'!$B$4:$Y$1007,16,)</f>
        <v>0.28164867517173697</v>
      </c>
      <c r="Q48" s="13">
        <f>VLOOKUP(A48,'BSE ALL CAP'!$B$4:$Y$1007,17,)</f>
        <v>-2.9718173241235046E-2</v>
      </c>
      <c r="R48" s="13">
        <f>VLOOKUP(A48,'BSE ALL CAP'!$B$4:$Y$1007,18,)</f>
        <v>0.27291242362525459</v>
      </c>
      <c r="S48" s="13">
        <f>VLOOKUP(A48,'BSE ALL CAP'!$B$4:$Y$1007,19,)</f>
        <v>0.30724070450097846</v>
      </c>
      <c r="T48" s="13">
        <f>VLOOKUP(A48,'BSE ALL CAP'!$B$4:$Y$1007,20,)</f>
        <v>-3.4328280875723871E-2</v>
      </c>
      <c r="U48" s="13">
        <f>VLOOKUP(A48,'BSE ALL CAP'!$B$4:$Y$1007,21,)</f>
        <v>1.6683022571148287E-2</v>
      </c>
      <c r="V48" s="13">
        <f>VLOOKUP(A48,'BSE ALL CAP'!$B$4:$Y$1007,22,)</f>
        <v>-9.0592334494773552E-2</v>
      </c>
      <c r="W48" s="13">
        <f>VLOOKUP(A48,'BSE ALL CAP'!$B$4:$Y$1007,23,)</f>
        <v>-3.9138943248532287E-2</v>
      </c>
      <c r="X48" s="13">
        <f>VLOOKUP(A48,'BSE ALL CAP'!$B$4:$Y$1007,24,)</f>
        <v>-0.14649681528662417</v>
      </c>
      <c r="Y48" s="208">
        <f ca="1">IFERROR(__xludf.DUMMYFUNCTION("GOOGLEFINANCE(""NSE:""&amp;C48,""PE"")"),25.38)</f>
        <v>25.38</v>
      </c>
      <c r="Z48" s="312">
        <f ca="1">IFERROR(__xludf.DUMMYFUNCTION("GOOGLEFINANCE(""NSE:""&amp;C48,""EPS"")"),14.91)</f>
        <v>14.91</v>
      </c>
      <c r="AA48" s="214">
        <f t="shared" ca="1" si="4"/>
        <v>0.14164499999999999</v>
      </c>
      <c r="AB48" s="313">
        <f t="shared" ca="1" si="5"/>
        <v>3.5928999999999998</v>
      </c>
    </row>
    <row r="49" spans="1:28" ht="14.4">
      <c r="A49" s="15">
        <v>500408</v>
      </c>
      <c r="B49" s="171" t="s">
        <v>174</v>
      </c>
      <c r="C49" s="172" t="s">
        <v>1514</v>
      </c>
      <c r="D49" s="173">
        <v>0.95</v>
      </c>
      <c r="E49" s="314">
        <f ca="1">IFERROR(__xludf.DUMMYFUNCTION("GOOGLEFINANCE(""NSE:""&amp;C49,""PRICE"")"),4259.1)</f>
        <v>4259.1000000000004</v>
      </c>
      <c r="F49" s="174">
        <f ca="1">IFERROR(__xludf.DUMMYFUNCTION("GOOGLEFINANCE(""NSE:""&amp;C49,""marketcap"")/10000000"),26532.775328)</f>
        <v>26532.775328</v>
      </c>
      <c r="G49" s="11">
        <f>VLOOKUP(A49,'BSE ALL CAP'!$B$4:$Y$1007,7,)</f>
        <v>2763</v>
      </c>
      <c r="H49" s="11">
        <f>VLOOKUP(A49,'BSE ALL CAP'!$B$4:$Y$1007,8,)</f>
        <v>2820</v>
      </c>
      <c r="I49" s="11">
        <f>VLOOKUP(A49,'BSE ALL CAP'!$B$4:$Y$1007,9,)</f>
        <v>408</v>
      </c>
      <c r="J49" s="11">
        <f>VLOOKUP(A49,'BSE ALL CAP'!$B$4:$Y$1007,10,)</f>
        <v>612</v>
      </c>
      <c r="K49" s="11">
        <f>VLOOKUP(A49,'BSE ALL CAP'!$B$4:$Y$1007,11,)</f>
        <v>953</v>
      </c>
      <c r="L49" s="11">
        <f>VLOOKUP(A49,'BSE ALL CAP'!$B$4:$Y$1007,12,)</f>
        <v>939</v>
      </c>
      <c r="M49" s="11">
        <f>VLOOKUP(A49,'BSE ALL CAP'!$B$4:$Y$1007,13,)</f>
        <v>108</v>
      </c>
      <c r="N49" s="11">
        <f>VLOOKUP(A49,'BSE ALL CAP'!$B$4:$Y$1007,14,)</f>
        <v>199</v>
      </c>
      <c r="O49" s="13">
        <f>VLOOKUP(A49,'BSE ALL CAP'!$B$4:$Y$1007,15,)</f>
        <v>0.1476655808903366</v>
      </c>
      <c r="P49" s="13">
        <f>VLOOKUP(A49,'BSE ALL CAP'!$B$4:$Y$1007,16,)</f>
        <v>0.21702127659574469</v>
      </c>
      <c r="Q49" s="13">
        <f>VLOOKUP(A49,'BSE ALL CAP'!$B$4:$Y$1007,17,)</f>
        <v>-6.9355695705408088E-2</v>
      </c>
      <c r="R49" s="13">
        <f>VLOOKUP(A49,'BSE ALL CAP'!$B$4:$Y$1007,18,)</f>
        <v>0.11332633788037776</v>
      </c>
      <c r="S49" s="13">
        <f>VLOOKUP(A49,'BSE ALL CAP'!$B$4:$Y$1007,19,)</f>
        <v>0.21192758253461128</v>
      </c>
      <c r="T49" s="13">
        <f>VLOOKUP(A49,'BSE ALL CAP'!$B$4:$Y$1007,20,)</f>
        <v>-9.8601244654233519E-2</v>
      </c>
      <c r="U49" s="13">
        <f>VLOOKUP(A49,'BSE ALL CAP'!$B$4:$Y$1007,21,)</f>
        <v>-2.021276595744681E-2</v>
      </c>
      <c r="V49" s="13">
        <f>VLOOKUP(A49,'BSE ALL CAP'!$B$4:$Y$1007,22,)</f>
        <v>-0.33333333333333337</v>
      </c>
      <c r="W49" s="13">
        <f>VLOOKUP(A49,'BSE ALL CAP'!$B$4:$Y$1007,23,)</f>
        <v>1.4909478168264156E-2</v>
      </c>
      <c r="X49" s="13">
        <f>VLOOKUP(A49,'BSE ALL CAP'!$B$4:$Y$1007,24,)</f>
        <v>-0.457286432160804</v>
      </c>
      <c r="Y49" s="176">
        <f ca="1">IFERROR(__xludf.DUMMYFUNCTION("GOOGLEFINANCE(""NSE:""&amp;C49,""PE"")"),45.66)</f>
        <v>45.66</v>
      </c>
      <c r="Z49" s="315">
        <f ca="1">IFERROR(__xludf.DUMMYFUNCTION("GOOGLEFINANCE(""NSE:""&amp;C49,""EPS"")"),93.19)</f>
        <v>93.19</v>
      </c>
      <c r="AA49" s="229">
        <f t="shared" ca="1" si="4"/>
        <v>0.88530500000000001</v>
      </c>
      <c r="AB49" s="178">
        <f t="shared" ca="1" si="5"/>
        <v>40.461449999999999</v>
      </c>
    </row>
    <row r="50" spans="1:28" ht="14.4">
      <c r="A50" s="15">
        <v>539448</v>
      </c>
      <c r="B50" s="1" t="s">
        <v>206</v>
      </c>
      <c r="C50" s="182" t="s">
        <v>136</v>
      </c>
      <c r="D50" s="173">
        <v>0.95</v>
      </c>
      <c r="E50" s="300">
        <f ca="1">IFERROR(__xludf.DUMMYFUNCTION("GOOGLEFINANCE(""NSE:""&amp;C50,""PRICE"")"),4314)</f>
        <v>4314</v>
      </c>
      <c r="F50" s="174">
        <f ca="1">IFERROR(__xludf.DUMMYFUNCTION("GOOGLEFINANCE(""NSE:""&amp;C50,""marketcap"")/10000000"),166977.85237)</f>
        <v>166977.85237000001</v>
      </c>
      <c r="G50" s="11">
        <f>VLOOKUP(A50,'BSE ALL CAP'!$B$4:$Y$1007,7,)</f>
        <v>62523</v>
      </c>
      <c r="H50" s="11">
        <f>VLOOKUP(A50,'BSE ALL CAP'!$B$4:$Y$1007,8,)</f>
        <v>58651</v>
      </c>
      <c r="I50" s="11">
        <f>VLOOKUP(A50,'BSE ALL CAP'!$B$4:$Y$1007,9,)</f>
        <v>143</v>
      </c>
      <c r="J50" s="11">
        <f>VLOOKUP(A50,'BSE ALL CAP'!$B$4:$Y$1007,10,)</f>
        <v>4190</v>
      </c>
      <c r="K50" s="11">
        <f>VLOOKUP(A50,'BSE ALL CAP'!$B$4:$Y$1007,11,)</f>
        <v>23471</v>
      </c>
      <c r="L50" s="11">
        <f>VLOOKUP(A50,'BSE ALL CAP'!$B$4:$Y$1007,12,)</f>
        <v>22110</v>
      </c>
      <c r="M50" s="11">
        <f>VLOOKUP(A50,'BSE ALL CAP'!$B$4:$Y$1007,13,)</f>
        <v>549</v>
      </c>
      <c r="N50" s="11">
        <f>VLOOKUP(A50,'BSE ALL CAP'!$B$4:$Y$1007,14,)</f>
        <v>2448</v>
      </c>
      <c r="O50" s="13">
        <f>VLOOKUP(A50,'BSE ALL CAP'!$B$4:$Y$1007,15,)</f>
        <v>2.2871583257361291E-3</v>
      </c>
      <c r="P50" s="13">
        <f>VLOOKUP(A50,'BSE ALL CAP'!$B$4:$Y$1007,16,)</f>
        <v>7.1439532147789461E-2</v>
      </c>
      <c r="Q50" s="13">
        <f>VLOOKUP(A50,'BSE ALL CAP'!$B$4:$Y$1007,17,)</f>
        <v>-6.9152373822053331E-2</v>
      </c>
      <c r="R50" s="13">
        <f>VLOOKUP(A50,'BSE ALL CAP'!$B$4:$Y$1007,18,)</f>
        <v>2.3390567082783007E-2</v>
      </c>
      <c r="S50" s="13">
        <f>VLOOKUP(A50,'BSE ALL CAP'!$B$4:$Y$1007,19,)</f>
        <v>0.11071913161465401</v>
      </c>
      <c r="T50" s="13">
        <f>VLOOKUP(A50,'BSE ALL CAP'!$B$4:$Y$1007,20,)</f>
        <v>-8.7328564531871003E-2</v>
      </c>
      <c r="U50" s="13">
        <f>VLOOKUP(A50,'BSE ALL CAP'!$B$4:$Y$1007,21,)</f>
        <v>6.6017629707933345E-2</v>
      </c>
      <c r="V50" s="13">
        <f>VLOOKUP(A50,'BSE ALL CAP'!$B$4:$Y$1007,22,)</f>
        <v>-0.96587112171837708</v>
      </c>
      <c r="W50" s="13">
        <f>VLOOKUP(A50,'BSE ALL CAP'!$B$4:$Y$1007,23,)</f>
        <v>6.1555857078245069E-2</v>
      </c>
      <c r="X50" s="13">
        <f>VLOOKUP(A50,'BSE ALL CAP'!$B$4:$Y$1007,24,)</f>
        <v>-0.77573529411764708</v>
      </c>
      <c r="Y50" s="208">
        <f ca="1">IFERROR(__xludf.DUMMYFUNCTION("GOOGLEFINANCE(""NSE:""&amp;C50,""PE"")"),51.88)</f>
        <v>51.88</v>
      </c>
      <c r="Z50" s="316">
        <f ca="1">IFERROR(__xludf.DUMMYFUNCTION("GOOGLEFINANCE(""NSE:""&amp;C50,""EPS"")"),82.92)</f>
        <v>82.92</v>
      </c>
      <c r="AA50" s="180">
        <f t="shared" ca="1" si="4"/>
        <v>0.78774</v>
      </c>
      <c r="AB50" s="178">
        <f t="shared" ca="1" si="5"/>
        <v>40.982999999999997</v>
      </c>
    </row>
    <row r="51" spans="1:28" ht="14.4">
      <c r="A51" s="15">
        <v>533150</v>
      </c>
      <c r="B51" s="171" t="s">
        <v>187</v>
      </c>
      <c r="C51" s="182" t="s">
        <v>132</v>
      </c>
      <c r="D51" s="173">
        <v>0.9</v>
      </c>
      <c r="E51" s="317">
        <f ca="1">IFERROR(__xludf.DUMMYFUNCTION("GOOGLEFINANCE(""NSE:""&amp;C51,""PRICE"")"),1578.4)</f>
        <v>1578.4</v>
      </c>
      <c r="F51" s="174">
        <f ca="1">IFERROR(__xludf.DUMMYFUNCTION("GOOGLEFINANCE(""NSE:""&amp;C51,""marketcap"")/10000000"),47545.635445)</f>
        <v>47545.635445</v>
      </c>
      <c r="G51" s="11">
        <f>VLOOKUP(A51,'BSE ALL CAP'!$B$4:$Y$1007,7,)</f>
        <v>1673</v>
      </c>
      <c r="H51" s="11">
        <f>VLOOKUP(A51,'BSE ALL CAP'!$B$4:$Y$1007,8,)</f>
        <v>2801</v>
      </c>
      <c r="I51" s="11">
        <f>VLOOKUP(A51,'BSE ALL CAP'!$B$4:$Y$1007,9,)</f>
        <v>1195</v>
      </c>
      <c r="J51" s="11">
        <f>VLOOKUP(A51,'BSE ALL CAP'!$B$4:$Y$1007,10,)</f>
        <v>1010</v>
      </c>
      <c r="K51" s="11">
        <f>VLOOKUP(A51,'BSE ALL CAP'!$B$4:$Y$1007,11,)</f>
        <v>498</v>
      </c>
      <c r="L51" s="11">
        <f>VLOOKUP(A51,'BSE ALL CAP'!$B$4:$Y$1007,12,)</f>
        <v>969</v>
      </c>
      <c r="M51" s="11">
        <f>VLOOKUP(A51,'BSE ALL CAP'!$B$4:$Y$1007,13,)</f>
        <v>194</v>
      </c>
      <c r="N51" s="11">
        <f>VLOOKUP(A51,'BSE ALL CAP'!$B$4:$Y$1007,14,)</f>
        <v>158</v>
      </c>
      <c r="O51" s="13">
        <f>VLOOKUP(A51,'BSE ALL CAP'!$B$4:$Y$1007,15,)</f>
        <v>0.7142857142857143</v>
      </c>
      <c r="P51" s="13">
        <f>VLOOKUP(A51,'BSE ALL CAP'!$B$4:$Y$1007,16,)</f>
        <v>0.36058550517672261</v>
      </c>
      <c r="Q51" s="13">
        <f>VLOOKUP(A51,'BSE ALL CAP'!$B$4:$Y$1007,17,)</f>
        <v>0.35370020910899169</v>
      </c>
      <c r="R51" s="13">
        <f>VLOOKUP(A51,'BSE ALL CAP'!$B$4:$Y$1007,18,)</f>
        <v>0.38955823293172692</v>
      </c>
      <c r="S51" s="13">
        <f>VLOOKUP(A51,'BSE ALL CAP'!$B$4:$Y$1007,19,)</f>
        <v>0.16305469556243551</v>
      </c>
      <c r="T51" s="13">
        <f>VLOOKUP(A51,'BSE ALL CAP'!$B$4:$Y$1007,20,)</f>
        <v>0.22650353736929141</v>
      </c>
      <c r="U51" s="13">
        <f>VLOOKUP(A51,'BSE ALL CAP'!$B$4:$Y$1007,21,)</f>
        <v>-0.40271331667261689</v>
      </c>
      <c r="V51" s="13">
        <f>VLOOKUP(A51,'BSE ALL CAP'!$B$4:$Y$1007,22,)</f>
        <v>0.18316831683168311</v>
      </c>
      <c r="W51" s="13">
        <f>VLOOKUP(A51,'BSE ALL CAP'!$B$4:$Y$1007,23,)</f>
        <v>-0.48606811145510831</v>
      </c>
      <c r="X51" s="13">
        <f>VLOOKUP(A51,'BSE ALL CAP'!$B$4:$Y$1007,24,)</f>
        <v>0.22784810126582289</v>
      </c>
      <c r="Y51" s="208">
        <f ca="1">IFERROR(__xludf.DUMMYFUNCTION("GOOGLEFINANCE(""NSE:""&amp;C51,""PE"")"),30)</f>
        <v>30</v>
      </c>
      <c r="Z51" s="176">
        <f ca="1">IFERROR(__xludf.DUMMYFUNCTION("GOOGLEFINANCE(""NSE:""&amp;C51,""EPS"")"),52.54)</f>
        <v>52.54</v>
      </c>
      <c r="AA51" s="233">
        <f t="shared" ca="1" si="4"/>
        <v>0.47286000000000006</v>
      </c>
      <c r="AB51" s="318">
        <f t="shared" ca="1" si="5"/>
        <v>14.205600000000002</v>
      </c>
    </row>
    <row r="52" spans="1:28" ht="14.4">
      <c r="A52" s="15">
        <v>543983</v>
      </c>
      <c r="B52" s="1" t="s">
        <v>1511</v>
      </c>
      <c r="C52" s="254" t="s">
        <v>1412</v>
      </c>
      <c r="D52" s="173">
        <v>0.9</v>
      </c>
      <c r="E52" s="226">
        <f ca="1">IFERROR(__xludf.DUMMYFUNCTION("GOOGLEFINANCE(""NSE:""&amp;C52,""PRICE"")"),289.95)</f>
        <v>289.95</v>
      </c>
      <c r="F52" s="174">
        <f ca="1">IFERROR(__xludf.DUMMYFUNCTION("GOOGLEFINANCE(""NSE:""&amp;C52,""marketcap"")/10000000"),1610.1156137)</f>
        <v>1610.1156137</v>
      </c>
      <c r="G52" s="20">
        <f>VLOOKUP(A52,'BSE ALL CAP'!$B$4:$Y$1009,7,)</f>
        <v>612</v>
      </c>
      <c r="H52" s="20">
        <f>VLOOKUP(A52,'BSE ALL CAP'!$B$4:$Y$1009,8,)</f>
        <v>685</v>
      </c>
      <c r="I52" s="20">
        <f>VLOOKUP(A52,'BSE ALL CAP'!$B$4:$Y$10009,9,)</f>
        <v>85</v>
      </c>
      <c r="J52" s="20">
        <f>VLOOKUP(A52,'BSE ALL CAP'!$B$4:$Y$1009,10,)</f>
        <v>137</v>
      </c>
      <c r="K52" s="11">
        <f>VLOOKUP(A52,'BSE ALL CAP'!$B$4:$Y$1009,11,)</f>
        <v>200</v>
      </c>
      <c r="L52" s="11">
        <f>VLOOKUP(A52,'BSE ALL CAP'!$B$4:$Y$1009,12,)</f>
        <v>245</v>
      </c>
      <c r="M52" s="11">
        <f>VLOOKUP(A52,'BSE ALL CAP'!$B$4:$Y$1009,13,)</f>
        <v>19</v>
      </c>
      <c r="N52" s="11">
        <f>VLOOKUP(A52,'BSE ALL CAP'!$B$4:$Y$1009,14,)</f>
        <v>50</v>
      </c>
      <c r="O52" s="13">
        <f>VLOOKUP(A52,'BSE ALL CAP'!$B$4:$Y$1009,15,)</f>
        <v>0.1388888888888889</v>
      </c>
      <c r="P52" s="13">
        <f>VLOOKUP(A52,'BSE ALL CAP'!$B$4:$Y$1009,16,)</f>
        <v>0.2</v>
      </c>
      <c r="Q52" s="13">
        <f>VLOOKUP(A52,'BSE ALL CAP'!$B$4:$Y$1009,17,)</f>
        <v>-6.1111111111111116E-2</v>
      </c>
      <c r="R52" s="13">
        <f>VLOOKUP(A52,'BSE ALL CAP'!$B$4:$Y$1009,18,)</f>
        <v>9.5000000000000001E-2</v>
      </c>
      <c r="S52" s="13">
        <f>VLOOKUP(A52,'BSE ALL CAP'!$B$4:$Y$1009,19,)</f>
        <v>0.20408163265306123</v>
      </c>
      <c r="T52" s="13">
        <f>VLOOKUP(A52,'BSE ALL CAP'!$B$4:$Y$1009,20,)</f>
        <v>-0.10908163265306123</v>
      </c>
      <c r="U52" s="13">
        <f>VLOOKUP(A52,'BSE ALL CAP'!$B$4:$Y$1009,21,)</f>
        <v>-0.10656934306569343</v>
      </c>
      <c r="V52" s="13">
        <f>VLOOKUP(A52,'BSE ALL CAP'!$B$4:$Y$1009,22,)</f>
        <v>-0.37956204379562042</v>
      </c>
      <c r="W52" s="13">
        <f>VLOOKUP(A52,'BSE ALL CAP'!$B$4:$Y$1009,23,)</f>
        <v>-0.18367346938775508</v>
      </c>
      <c r="X52" s="13">
        <f>VLOOKUP(A52,'BSE ALL CAP'!$B$4:$Y$1009,24,)</f>
        <v>-0.62</v>
      </c>
      <c r="Y52" s="319">
        <f ca="1">IFERROR(__xludf.DUMMYFUNCTION("GOOGLEFINANCE(""NSE:""&amp;C52,""PE"")"),12.27)</f>
        <v>12.27</v>
      </c>
      <c r="Z52" s="179">
        <f ca="1">IFERROR(__xludf.DUMMYFUNCTION("GOOGLEFINANCE(""NSE:""&amp;C52,""EPS"")"),23.63)</f>
        <v>23.63</v>
      </c>
      <c r="AA52" s="194">
        <f t="shared" ca="1" si="4"/>
        <v>0.21267000000000003</v>
      </c>
      <c r="AB52" s="320">
        <f t="shared" ca="1" si="5"/>
        <v>2.60955</v>
      </c>
    </row>
    <row r="53" spans="1:28" ht="14.4">
      <c r="A53" s="15">
        <v>523642</v>
      </c>
      <c r="B53" s="1" t="s">
        <v>196</v>
      </c>
      <c r="C53" s="182" t="s">
        <v>1401</v>
      </c>
      <c r="D53" s="173">
        <v>0.75</v>
      </c>
      <c r="E53" s="321">
        <f ca="1">IFERROR(__xludf.DUMMYFUNCTION("GOOGLEFINANCE(""NSE:""&amp;C53,""PRICE"")"),2836.9)</f>
        <v>2836.9</v>
      </c>
      <c r="F53" s="174">
        <f ca="1">IFERROR(__xludf.DUMMYFUNCTION("GOOGLEFINANCE(""NSE:""&amp;C53,""marketcap"")/10000000"),42994.8660097)</f>
        <v>42994.866009700003</v>
      </c>
      <c r="G53" s="11">
        <f>VLOOKUP(A53,'BSE ALL CAP'!$B$4:$Y$1007,7,)</f>
        <v>5148</v>
      </c>
      <c r="H53" s="11">
        <f>VLOOKUP(A53,'BSE ALL CAP'!$B$4:$Y$1007,8,)</f>
        <v>6190</v>
      </c>
      <c r="I53" s="11">
        <f>VLOOKUP(A53,'BSE ALL CAP'!$B$4:$Y$1007,9,)</f>
        <v>1120</v>
      </c>
      <c r="J53" s="11">
        <f>VLOOKUP(A53,'BSE ALL CAP'!$B$4:$Y$1007,10,)</f>
        <v>1329</v>
      </c>
      <c r="K53" s="11">
        <f>VLOOKUP(A53,'BSE ALL CAP'!$B$4:$Y$1007,11,)</f>
        <v>1375</v>
      </c>
      <c r="L53" s="11">
        <f>VLOOKUP(A53,'BSE ALL CAP'!$B$4:$Y$1007,12,)</f>
        <v>1900</v>
      </c>
      <c r="M53" s="11">
        <f>VLOOKUP(A53,'BSE ALL CAP'!$B$4:$Y$1007,13,)</f>
        <v>311</v>
      </c>
      <c r="N53" s="11">
        <f>VLOOKUP(A53,'BSE ALL CAP'!$B$4:$Y$1007,14,)</f>
        <v>372</v>
      </c>
      <c r="O53" s="13">
        <f>VLOOKUP(A53,'BSE ALL CAP'!$B$4:$Y$1007,15,)</f>
        <v>0.21756021756021757</v>
      </c>
      <c r="P53" s="13">
        <f>VLOOKUP(A53,'BSE ALL CAP'!$B$4:$Y$1007,16,)</f>
        <v>0.2147011308562197</v>
      </c>
      <c r="Q53" s="13">
        <f>VLOOKUP(A53,'BSE ALL CAP'!$B$4:$Y$1007,17,)</f>
        <v>2.8590867039978707E-3</v>
      </c>
      <c r="R53" s="13">
        <f>VLOOKUP(A53,'BSE ALL CAP'!$B$4:$Y$1007,18,)</f>
        <v>0.22618181818181818</v>
      </c>
      <c r="S53" s="13">
        <f>VLOOKUP(A53,'BSE ALL CAP'!$B$4:$Y$1007,19,)</f>
        <v>0.19578947368421051</v>
      </c>
      <c r="T53" s="13">
        <f>VLOOKUP(A53,'BSE ALL CAP'!$B$4:$Y$1007,20,)</f>
        <v>3.0392344497607665E-2</v>
      </c>
      <c r="U53" s="13">
        <f>VLOOKUP(A53,'BSE ALL CAP'!$B$4:$Y$1007,21,)</f>
        <v>-0.16833602584814211</v>
      </c>
      <c r="V53" s="13">
        <f>VLOOKUP(A53,'BSE ALL CAP'!$B$4:$Y$1007,22,)</f>
        <v>-0.15726109857035364</v>
      </c>
      <c r="W53" s="13">
        <f>VLOOKUP(A53,'BSE ALL CAP'!$B$4:$Y$1007,23,)</f>
        <v>-0.27631578947368418</v>
      </c>
      <c r="X53" s="13">
        <f>VLOOKUP(A53,'BSE ALL CAP'!$B$4:$Y$1007,24,)</f>
        <v>-0.16397849462365588</v>
      </c>
      <c r="Y53" s="179">
        <f ca="1">IFERROR(__xludf.DUMMYFUNCTION("GOOGLEFINANCE(""NSE:""&amp;C53,""PE"")"),29.65)</f>
        <v>29.65</v>
      </c>
      <c r="Z53" s="322">
        <f ca="1">IFERROR(__xludf.DUMMYFUNCTION("GOOGLEFINANCE(""NSE:""&amp;C53,""EPS"")"),95.64)</f>
        <v>95.64</v>
      </c>
      <c r="AA53" s="296">
        <f t="shared" ca="1" si="4"/>
        <v>0.71729999999999994</v>
      </c>
      <c r="AB53" s="323">
        <f t="shared" ca="1" si="5"/>
        <v>21.27675</v>
      </c>
    </row>
    <row r="54" spans="1:28" ht="14.4">
      <c r="A54" s="15">
        <v>543257</v>
      </c>
      <c r="B54" s="171" t="s">
        <v>172</v>
      </c>
      <c r="C54" s="182" t="s">
        <v>1422</v>
      </c>
      <c r="D54" s="173">
        <v>0.7</v>
      </c>
      <c r="E54" s="179">
        <f ca="1">IFERROR(__xludf.DUMMYFUNCTION("GOOGLEFINANCE(""NSE:""&amp;C54,""PRICE"")"),92.65)</f>
        <v>92.65</v>
      </c>
      <c r="F54" s="174">
        <f ca="1">IFERROR(__xludf.DUMMYFUNCTION("GOOGLEFINANCE(""NSE:""&amp;C54,""marketcap"")/10000000"),121053.6045406)</f>
        <v>121053.6045406</v>
      </c>
      <c r="G54" s="11">
        <f>VLOOKUP(A54,'BSE ALL CAP'!$B$4:$Y$1007,7,)</f>
        <v>20009</v>
      </c>
      <c r="H54" s="11">
        <f>VLOOKUP(A54,'BSE ALL CAP'!$B$4:$Y$1007,8,)</f>
        <v>20433</v>
      </c>
      <c r="I54" s="11">
        <f>VLOOKUP(A54,'BSE ALL CAP'!$B$4:$Y$1007,9,)</f>
        <v>5325</v>
      </c>
      <c r="J54" s="11">
        <f>VLOOKUP(A54,'BSE ALL CAP'!$B$4:$Y$1007,10,)</f>
        <v>4820</v>
      </c>
      <c r="K54" s="11">
        <f>VLOOKUP(A54,'BSE ALL CAP'!$B$4:$Y$1007,11,)</f>
        <v>6719</v>
      </c>
      <c r="L54" s="11">
        <f>VLOOKUP(A54,'BSE ALL CAP'!$B$4:$Y$1007,12,)</f>
        <v>6766</v>
      </c>
      <c r="M54" s="11">
        <f>VLOOKUP(A54,'BSE ALL CAP'!$B$4:$Y$1007,13,)</f>
        <v>1802</v>
      </c>
      <c r="N54" s="11">
        <f>VLOOKUP(A54,'BSE ALL CAP'!$B$4:$Y$1007,14,)</f>
        <v>1631</v>
      </c>
      <c r="O54" s="13">
        <f>VLOOKUP(A54,'BSE ALL CAP'!$B$4:$Y$1007,15,)</f>
        <v>0.26613024139137387</v>
      </c>
      <c r="P54" s="13">
        <f>VLOOKUP(A54,'BSE ALL CAP'!$B$4:$Y$1007,16,)</f>
        <v>0.2358929183184065</v>
      </c>
      <c r="Q54" s="13">
        <f>VLOOKUP(A54,'BSE ALL CAP'!$B$4:$Y$1007,17,)</f>
        <v>3.0237323072967365E-2</v>
      </c>
      <c r="R54" s="13">
        <f>VLOOKUP(A54,'BSE ALL CAP'!$B$4:$Y$1007,18,)</f>
        <v>0.26819467182616463</v>
      </c>
      <c r="S54" s="13">
        <f>VLOOKUP(A54,'BSE ALL CAP'!$B$4:$Y$1007,19,)</f>
        <v>0.2410582323381614</v>
      </c>
      <c r="T54" s="13">
        <f>VLOOKUP(A54,'BSE ALL CAP'!$B$4:$Y$1007,20,)</f>
        <v>2.7136439488003233E-2</v>
      </c>
      <c r="U54" s="13">
        <f>VLOOKUP(A54,'BSE ALL CAP'!$B$4:$Y$1007,21,)</f>
        <v>-2.0750746341702153E-2</v>
      </c>
      <c r="V54" s="13">
        <f>VLOOKUP(A54,'BSE ALL CAP'!$B$4:$Y$1007,22,)</f>
        <v>0.10477178423236522</v>
      </c>
      <c r="W54" s="13">
        <f>VLOOKUP(A54,'BSE ALL CAP'!$B$4:$Y$1007,23,)</f>
        <v>-6.9464971918415941E-3</v>
      </c>
      <c r="X54" s="13">
        <f>VLOOKUP(A54,'BSE ALL CAP'!$B$4:$Y$1007,24,)</f>
        <v>0.1048436541998774</v>
      </c>
      <c r="Y54" s="324">
        <f ca="1">IFERROR(__xludf.DUMMYFUNCTION("GOOGLEFINANCE(""NSE:""&amp;C54,""PE"")"),17.28)</f>
        <v>17.28</v>
      </c>
      <c r="Z54" s="272">
        <f ca="1">IFERROR(__xludf.DUMMYFUNCTION("GOOGLEFINANCE(""NSE:""&amp;C54,""EPS"")"),5.37)</f>
        <v>5.37</v>
      </c>
      <c r="AA54" s="214">
        <f t="shared" ca="1" si="4"/>
        <v>3.7589999999999998E-2</v>
      </c>
      <c r="AB54" s="325">
        <f t="shared" ca="1" si="5"/>
        <v>0.64854999999999996</v>
      </c>
    </row>
    <row r="55" spans="1:28" ht="14.4">
      <c r="A55" s="15">
        <v>500233</v>
      </c>
      <c r="B55" s="171" t="s">
        <v>187</v>
      </c>
      <c r="C55" s="182" t="s">
        <v>116</v>
      </c>
      <c r="D55" s="173">
        <v>0.65</v>
      </c>
      <c r="E55" s="326">
        <f ca="1">IFERROR(__xludf.DUMMYFUNCTION("GOOGLEFINANCE(""NSE:""&amp;C55,""PRICE"")"),989.1)</f>
        <v>989.1</v>
      </c>
      <c r="F55" s="174">
        <f ca="1">IFERROR(__xludf.DUMMYFUNCTION("GOOGLEFINANCE(""NSE:""&amp;C55,""marketcap"")/10000000"),15785.3534325)</f>
        <v>15785.3534325</v>
      </c>
      <c r="G55" s="11">
        <f>VLOOKUP(A55,'BSE ALL CAP'!$B$4:$Y$1007,7,)</f>
        <v>3139</v>
      </c>
      <c r="H55" s="11">
        <f>VLOOKUP(A55,'BSE ALL CAP'!$B$4:$Y$1007,8,)</f>
        <v>3114</v>
      </c>
      <c r="I55" s="11">
        <f>VLOOKUP(A55,'BSE ALL CAP'!$B$4:$Y$1007,9,)</f>
        <v>313</v>
      </c>
      <c r="J55" s="11">
        <f>VLOOKUP(A55,'BSE ALL CAP'!$B$4:$Y$1007,10,)</f>
        <v>259</v>
      </c>
      <c r="K55" s="11">
        <f>VLOOKUP(A55,'BSE ALL CAP'!$B$4:$Y$1007,11,)</f>
        <v>1053</v>
      </c>
      <c r="L55" s="11">
        <f>VLOOKUP(A55,'BSE ALL CAP'!$B$4:$Y$1007,12,)</f>
        <v>1050</v>
      </c>
      <c r="M55" s="11">
        <f>VLOOKUP(A55,'BSE ALL CAP'!$B$4:$Y$1007,13,)</f>
        <v>93</v>
      </c>
      <c r="N55" s="11">
        <f>VLOOKUP(A55,'BSE ALL CAP'!$B$4:$Y$1007,14,)</f>
        <v>80</v>
      </c>
      <c r="O55" s="13">
        <f>VLOOKUP(A55,'BSE ALL CAP'!$B$4:$Y$1007,15,)</f>
        <v>9.9713284485504941E-2</v>
      </c>
      <c r="P55" s="13">
        <f>VLOOKUP(A55,'BSE ALL CAP'!$B$4:$Y$1007,16,)</f>
        <v>8.3172768143866413E-2</v>
      </c>
      <c r="Q55" s="13">
        <f>VLOOKUP(A55,'BSE ALL CAP'!$B$4:$Y$1007,17,)</f>
        <v>1.6540516341638528E-2</v>
      </c>
      <c r="R55" s="13">
        <f>VLOOKUP(A55,'BSE ALL CAP'!$B$4:$Y$1007,18,)</f>
        <v>8.8319088319088315E-2</v>
      </c>
      <c r="S55" s="13">
        <f>VLOOKUP(A55,'BSE ALL CAP'!$B$4:$Y$1007,19,)</f>
        <v>7.6190476190476197E-2</v>
      </c>
      <c r="T55" s="13">
        <f>VLOOKUP(A55,'BSE ALL CAP'!$B$4:$Y$1007,20,)</f>
        <v>1.2128612128612118E-2</v>
      </c>
      <c r="U55" s="13">
        <f>VLOOKUP(A55,'BSE ALL CAP'!$B$4:$Y$1007,21,)</f>
        <v>8.0282594733462886E-3</v>
      </c>
      <c r="V55" s="13">
        <f>VLOOKUP(A55,'BSE ALL CAP'!$B$4:$Y$1007,22,)</f>
        <v>0.20849420849420852</v>
      </c>
      <c r="W55" s="13">
        <f>VLOOKUP(A55,'BSE ALL CAP'!$B$4:$Y$1007,23,)</f>
        <v>2.8571428571428914E-3</v>
      </c>
      <c r="X55" s="13">
        <f>VLOOKUP(A55,'BSE ALL CAP'!$B$4:$Y$1007,24,)</f>
        <v>0.16250000000000009</v>
      </c>
      <c r="Y55" s="208">
        <f ca="1">IFERROR(__xludf.DUMMYFUNCTION("GOOGLEFINANCE(""NSE:""&amp;C55,""PE"")"),42.36)</f>
        <v>42.36</v>
      </c>
      <c r="Z55" s="327">
        <f ca="1">IFERROR(__xludf.DUMMYFUNCTION("GOOGLEFINANCE(""NSE:""&amp;C55,""EPS"")"),23.36)</f>
        <v>23.36</v>
      </c>
      <c r="AA55" s="214">
        <f t="shared" ca="1" si="4"/>
        <v>0.15184</v>
      </c>
      <c r="AB55" s="328">
        <f t="shared" ca="1" si="5"/>
        <v>6.4291500000000008</v>
      </c>
    </row>
    <row r="56" spans="1:28" ht="14.4">
      <c r="A56" s="15">
        <v>517354</v>
      </c>
      <c r="B56" s="171" t="s">
        <v>187</v>
      </c>
      <c r="C56" s="182" t="s">
        <v>1399</v>
      </c>
      <c r="D56" s="173">
        <v>0.5</v>
      </c>
      <c r="E56" s="326">
        <f ca="1">IFERROR(__xludf.DUMMYFUNCTION("GOOGLEFINANCE(""NSE:""&amp;C56,""PRICE"")"),1200.8)</f>
        <v>1200.8</v>
      </c>
      <c r="F56" s="174">
        <f ca="1">IFERROR(__xludf.DUMMYFUNCTION("GOOGLEFINANCE(""NSE:""&amp;C56,""marketcap"")/10000000"),75320.9996067)</f>
        <v>75320.999606700003</v>
      </c>
      <c r="G56" s="11">
        <f>VLOOKUP(A56,'BSE ALL CAP'!$B$4:$Y$1007,7,)</f>
        <v>15823</v>
      </c>
      <c r="H56" s="11">
        <f>VLOOKUP(A56,'BSE ALL CAP'!$B$4:$Y$1007,8,)</f>
        <v>15234</v>
      </c>
      <c r="I56" s="11">
        <f>VLOOKUP(A56,'BSE ALL CAP'!$B$4:$Y$1007,9,)</f>
        <v>966</v>
      </c>
      <c r="J56" s="11">
        <f>VLOOKUP(A56,'BSE ALL CAP'!$B$4:$Y$1007,10,)</f>
        <v>953</v>
      </c>
      <c r="K56" s="11">
        <f>VLOOKUP(A56,'BSE ALL CAP'!$B$4:$Y$1007,11,)</f>
        <v>5588</v>
      </c>
      <c r="L56" s="11">
        <f>VLOOKUP(A56,'BSE ALL CAP'!$B$4:$Y$1007,12,)</f>
        <v>4889</v>
      </c>
      <c r="M56" s="11">
        <f>VLOOKUP(A56,'BSE ALL CAP'!$B$4:$Y$1007,13,)</f>
        <v>300</v>
      </c>
      <c r="N56" s="11">
        <f>VLOOKUP(A56,'BSE ALL CAP'!$B$4:$Y$1007,14,)</f>
        <v>278</v>
      </c>
      <c r="O56" s="13">
        <f>VLOOKUP(A56,'BSE ALL CAP'!$B$4:$Y$1007,15,)</f>
        <v>6.1050369714971874E-2</v>
      </c>
      <c r="P56" s="13">
        <f>VLOOKUP(A56,'BSE ALL CAP'!$B$4:$Y$1007,16,)</f>
        <v>6.25574373112774E-2</v>
      </c>
      <c r="Q56" s="13">
        <f>VLOOKUP(A56,'BSE ALL CAP'!$B$4:$Y$1007,17,)</f>
        <v>-1.5070675963055266E-3</v>
      </c>
      <c r="R56" s="13">
        <f>VLOOKUP(A56,'BSE ALL CAP'!$B$4:$Y$1007,18,)</f>
        <v>5.3686471009305653E-2</v>
      </c>
      <c r="S56" s="13">
        <f>VLOOKUP(A56,'BSE ALL CAP'!$B$4:$Y$1007,19,)</f>
        <v>5.6862344037635508E-2</v>
      </c>
      <c r="T56" s="13">
        <f>VLOOKUP(A56,'BSE ALL CAP'!$B$4:$Y$1007,20,)</f>
        <v>-3.175873028329855E-3</v>
      </c>
      <c r="U56" s="13">
        <f>VLOOKUP(A56,'BSE ALL CAP'!$B$4:$Y$1007,21,)</f>
        <v>3.8663515819876482E-2</v>
      </c>
      <c r="V56" s="13">
        <f>VLOOKUP(A56,'BSE ALL CAP'!$B$4:$Y$1007,22,)</f>
        <v>1.3641133263378791E-2</v>
      </c>
      <c r="W56" s="13">
        <f>VLOOKUP(A56,'BSE ALL CAP'!$B$4:$Y$1007,23,)</f>
        <v>0.14297402331765197</v>
      </c>
      <c r="X56" s="13">
        <f>VLOOKUP(A56,'BSE ALL CAP'!$B$4:$Y$1007,24,)</f>
        <v>7.9136690647481966E-2</v>
      </c>
      <c r="Y56" s="197">
        <f ca="1">IFERROR(__xludf.DUMMYFUNCTION("GOOGLEFINANCE(""NSE:""&amp;C56,""PE"")"),50.7)</f>
        <v>50.7</v>
      </c>
      <c r="Z56" s="329">
        <f ca="1">IFERROR(__xludf.DUMMYFUNCTION("GOOGLEFINANCE(""NSE:""&amp;C56,""EPS"")"),23.69)</f>
        <v>23.69</v>
      </c>
      <c r="AA56" s="214">
        <f t="shared" ca="1" si="4"/>
        <v>0.11845000000000001</v>
      </c>
      <c r="AB56" s="330">
        <f t="shared" ca="1" si="5"/>
        <v>6.0039999999999996</v>
      </c>
    </row>
    <row r="57" spans="1:28" ht="14.4">
      <c r="A57" s="15">
        <v>509930</v>
      </c>
      <c r="B57" s="1" t="s">
        <v>180</v>
      </c>
      <c r="C57" s="6" t="s">
        <v>1400</v>
      </c>
      <c r="D57" s="331">
        <v>0.3</v>
      </c>
      <c r="E57" s="332">
        <f ca="1">IFERROR(__xludf.DUMMYFUNCTION("GOOGLEFINANCE(""NSE:""&amp;C57,""PRICE"")"),3709)</f>
        <v>3709</v>
      </c>
      <c r="F57" s="174">
        <f ca="1">IFERROR(__xludf.DUMMYFUNCTION("GOOGLEFINANCE(""NSE:""&amp;C57,""marketcap"")/10000000"),47082.48342)</f>
        <v>47082.483419999997</v>
      </c>
      <c r="G57" s="11">
        <f>VLOOKUP(A57,'BSE ALL CAP'!$B$4:$Y$1007,7,)</f>
        <v>7690</v>
      </c>
      <c r="H57" s="11">
        <f>VLOOKUP(A57,'BSE ALL CAP'!$B$4:$Y$1007,8,)</f>
        <v>7419</v>
      </c>
      <c r="I57" s="11">
        <f>VLOOKUP(A57,'BSE ALL CAP'!$B$4:$Y$1007,9,)</f>
        <v>520</v>
      </c>
      <c r="J57" s="11">
        <f>VLOOKUP(A57,'BSE ALL CAP'!$B$4:$Y$1007,10,)</f>
        <v>666</v>
      </c>
      <c r="K57" s="11">
        <f>VLOOKUP(A57,'BSE ALL CAP'!$B$4:$Y$1007,11,)</f>
        <v>2686</v>
      </c>
      <c r="L57" s="11">
        <f>VLOOKUP(A57,'BSE ALL CAP'!$B$4:$Y$1007,12,)</f>
        <v>2509</v>
      </c>
      <c r="M57" s="11">
        <f>VLOOKUP(A57,'BSE ALL CAP'!$B$4:$Y$1007,13,)</f>
        <v>153</v>
      </c>
      <c r="N57" s="11">
        <f>VLOOKUP(A57,'BSE ALL CAP'!$B$4:$Y$1007,14,)</f>
        <v>186</v>
      </c>
      <c r="O57" s="13">
        <f>VLOOKUP(A57,'BSE ALL CAP'!$B$4:$Y$1007,15,)</f>
        <v>6.7620286085825751E-2</v>
      </c>
      <c r="P57" s="13">
        <f>VLOOKUP(A57,'BSE ALL CAP'!$B$4:$Y$1007,16,)</f>
        <v>8.9769510715729889E-2</v>
      </c>
      <c r="Q57" s="13">
        <f>VLOOKUP(A57,'BSE ALL CAP'!$B$4:$Y$1007,17,)</f>
        <v>-2.2149224629904138E-2</v>
      </c>
      <c r="R57" s="13">
        <f>VLOOKUP(A57,'BSE ALL CAP'!$B$4:$Y$1007,18,)</f>
        <v>5.6962025316455694E-2</v>
      </c>
      <c r="S57" s="13">
        <f>VLOOKUP(A57,'BSE ALL CAP'!$B$4:$Y$1007,19,)</f>
        <v>7.4133120765245114E-2</v>
      </c>
      <c r="T57" s="13">
        <f>VLOOKUP(A57,'BSE ALL CAP'!$B$4:$Y$1007,20,)</f>
        <v>-1.717109544878942E-2</v>
      </c>
      <c r="U57" s="13">
        <f>VLOOKUP(A57,'BSE ALL CAP'!$B$4:$Y$1007,21,)</f>
        <v>3.6527833939884014E-2</v>
      </c>
      <c r="V57" s="13">
        <f>VLOOKUP(A57,'BSE ALL CAP'!$B$4:$Y$1007,22,)</f>
        <v>-0.21921921921921927</v>
      </c>
      <c r="W57" s="13">
        <f>VLOOKUP(A57,'BSE ALL CAP'!$B$4:$Y$1007,23,)</f>
        <v>7.0546034276604219E-2</v>
      </c>
      <c r="X57" s="13">
        <f>VLOOKUP(A57,'BSE ALL CAP'!$B$4:$Y$1007,24,)</f>
        <v>-0.17741935483870963</v>
      </c>
      <c r="Y57" s="176">
        <f ca="1">IFERROR(__xludf.DUMMYFUNCTION("GOOGLEFINANCE(""NSE:""&amp;C57,""PE"")"),57.91)</f>
        <v>57.91</v>
      </c>
      <c r="Z57" s="205">
        <f ca="1">IFERROR(__xludf.DUMMYFUNCTION("GOOGLEFINANCE(""NSE:""&amp;C57,""EPS"")"),64.12)</f>
        <v>64.12</v>
      </c>
      <c r="AA57" s="202">
        <f t="shared" ca="1" si="4"/>
        <v>0.19236000000000003</v>
      </c>
      <c r="AB57" s="333">
        <f t="shared" ca="1" si="5"/>
        <v>11.127000000000001</v>
      </c>
    </row>
    <row r="58" spans="1:28" ht="13.2">
      <c r="A58" s="21">
        <v>544576</v>
      </c>
      <c r="B58" s="171" t="s">
        <v>187</v>
      </c>
      <c r="C58" s="6" t="s">
        <v>94</v>
      </c>
      <c r="D58" s="6"/>
      <c r="E58" s="332">
        <f ca="1">IFERROR(__xludf.DUMMYFUNCTION("GOOGLEFINANCE(""NSE:""&amp;C58,""PRICE"")"),1396.1)</f>
        <v>1396.1</v>
      </c>
      <c r="F58" s="174">
        <f ca="1">IFERROR(__xludf.DUMMYFUNCTION("GOOGLEFINANCE(""NSE:""&amp;C58,""marketcap"")/10000000"),94997.309175)</f>
        <v>94997.309175000002</v>
      </c>
      <c r="G58" s="11">
        <f>VLOOKUP(A58,'BSE ALL CAP'!$B$4:$Y$1007,7,)</f>
        <v>16551</v>
      </c>
      <c r="H58" s="11">
        <f>VLOOKUP(A58,'BSE ALL CAP'!$B$4:$Y$1007,8,)</f>
        <v>16918</v>
      </c>
      <c r="I58" s="11">
        <f>VLOOKUP(A58,'BSE ALL CAP'!$B$4:$Y$1007,9,)</f>
        <v>992</v>
      </c>
      <c r="J58" s="11">
        <f>VLOOKUP(A58,'BSE ALL CAP'!$B$4:$Y$1007,10,)</f>
        <v>1448</v>
      </c>
      <c r="K58" s="11">
        <f>VLOOKUP(A58,'BSE ALL CAP'!$B$4:$Y$1007,11,)</f>
        <v>4114</v>
      </c>
      <c r="L58" s="11">
        <f>VLOOKUP(A58,'BSE ALL CAP'!$B$4:$Y$1007,12,)</f>
        <v>4395</v>
      </c>
      <c r="M58" s="11">
        <f>VLOOKUP(A58,'BSE ALL CAP'!$B$4:$Y$1007,13,)</f>
        <v>89</v>
      </c>
      <c r="N58" s="11">
        <f>VLOOKUP(A58,'BSE ALL CAP'!$B$4:$Y$1007,14,)</f>
        <v>233</v>
      </c>
      <c r="O58" s="13">
        <f>VLOOKUP(A58,'BSE ALL CAP'!$B$4:$Y$1007,15,)</f>
        <v>5.9935955531387829E-2</v>
      </c>
      <c r="P58" s="13">
        <f>VLOOKUP(A58,'BSE ALL CAP'!$B$4:$Y$1007,16,)</f>
        <v>8.5589313157583641E-2</v>
      </c>
      <c r="Q58" s="13">
        <f>VLOOKUP(A58,'BSE ALL CAP'!$B$4:$Y$1007,17,)</f>
        <v>-2.5653357626195812E-2</v>
      </c>
      <c r="R58" s="13">
        <f>VLOOKUP(A58,'BSE ALL CAP'!$B$4:$Y$1007,18,)</f>
        <v>2.1633446767136608E-2</v>
      </c>
      <c r="S58" s="13">
        <f>VLOOKUP(A58,'BSE ALL CAP'!$B$4:$Y$1007,19,)</f>
        <v>5.3014789533560862E-2</v>
      </c>
      <c r="T58" s="13">
        <f>VLOOKUP(A58,'BSE ALL CAP'!$B$4:$Y$1007,20,)</f>
        <v>-3.138134276642425E-2</v>
      </c>
      <c r="U58" s="13">
        <f>VLOOKUP(A58,'BSE ALL CAP'!$B$4:$Y$1007,21,)</f>
        <v>-2.169287149781296E-2</v>
      </c>
      <c r="V58" s="13">
        <f>VLOOKUP(A58,'BSE ALL CAP'!$B$4:$Y$1007,22,)</f>
        <v>-0.31491712707182318</v>
      </c>
      <c r="W58" s="13">
        <f>VLOOKUP(A58,'BSE ALL CAP'!$B$4:$Y$1007,23,)</f>
        <v>-6.3936291240045517E-2</v>
      </c>
      <c r="X58" s="13">
        <f>VLOOKUP(A58,'BSE ALL CAP'!$B$4:$Y$1007,24,)</f>
        <v>-0.61802575107296143</v>
      </c>
      <c r="Y58" s="176">
        <f ca="1">IFERROR(__xludf.DUMMYFUNCTION("GOOGLEFINANCE(""NSE:""&amp;C58,""PE"")"),54.26)</f>
        <v>54.26</v>
      </c>
      <c r="Z58" s="205">
        <f ca="1">IFERROR(__xludf.DUMMYFUNCTION("GOOGLEFINANCE(""NSE:""&amp;C58,""EPS"")"),25.74)</f>
        <v>25.74</v>
      </c>
      <c r="AA58" s="202">
        <f t="shared" ca="1" si="4"/>
        <v>0</v>
      </c>
      <c r="AB58" s="333">
        <f t="shared" ca="1" si="5"/>
        <v>0</v>
      </c>
    </row>
    <row r="59" spans="1:28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 ht="13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 ht="13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  <row r="1001" spans="1:28" ht="13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532424</v>
      </c>
      <c r="B2" s="98" t="s">
        <v>2326</v>
      </c>
      <c r="C2" s="101" t="str">
        <f>VLOOKUP(A2,'BSE ALL CAP'!$B$4:$Y$1038,2,)</f>
        <v>Fast Moving Consumer Goods</v>
      </c>
      <c r="D2" s="101" t="str">
        <f>VLOOKUP(A2,'BSE ALL CAP'!$B$4:$Y$1038,3,)</f>
        <v>Personal Care</v>
      </c>
      <c r="E2" s="101">
        <f ca="1">IFERROR(__xludf.DUMMYFUNCTION("GOOGLEFINANCE(""BOM:""&amp;A2,""PRICE"")"),1002.25)</f>
        <v>1002.25</v>
      </c>
      <c r="F2" s="112">
        <f ca="1">IFERROR(__xludf.DUMMYFUNCTION("GOOGLEFINANCE(""BOM:""&amp;A2,""MARKETCAP"")/10000000"),102534.1637709)</f>
        <v>102534.16377090001</v>
      </c>
      <c r="G2" s="95">
        <f t="shared" ref="G2:G17" ca="1" si="0">F2/$F$19</f>
        <v>0.31505327124725202</v>
      </c>
      <c r="H2" s="101">
        <f>VLOOKUP(A2,'BSE ALL CAP'!$B$4:$Y$1038,7,)</f>
        <v>11586</v>
      </c>
      <c r="I2" s="101">
        <f>VLOOKUP(A2,'BSE ALL CAP'!$B$4:$Y$1038,8,)</f>
        <v>10766</v>
      </c>
      <c r="J2" s="101">
        <f>VLOOKUP(A2,'BSE ALL CAP'!$B$4:$Y$1038,9,)</f>
        <v>1409</v>
      </c>
      <c r="K2" s="101">
        <f>VLOOKUP(A2,'BSE ALL CAP'!$B$4:$Y$1038,10,)</f>
        <v>1440</v>
      </c>
      <c r="L2" s="101">
        <f>VLOOKUP(A2,'BSE ALL CAP'!$B$4:$Y$1038,11,)</f>
        <v>4099</v>
      </c>
      <c r="M2" s="101">
        <f>VLOOKUP(A2,'BSE ALL CAP'!$B$4:$Y$1038,12,)</f>
        <v>3768</v>
      </c>
      <c r="N2" s="101">
        <f>VLOOKUP(A2,'BSE ALL CAP'!$B$4:$Y$1038,13,)</f>
        <v>497</v>
      </c>
      <c r="O2" s="101">
        <f>VLOOKUP(A2,'BSE ALL CAP'!$B$4:$Y$1038,14,)</f>
        <v>498</v>
      </c>
      <c r="P2" s="95">
        <f>VLOOKUP(A2,'BSE ALL CAP'!$B$4:$Y$1038,15,)</f>
        <v>0.12161229069566719</v>
      </c>
      <c r="Q2" s="95">
        <f>VLOOKUP(A2,'BSE ALL CAP'!$B$4:$Y$1038,16,)</f>
        <v>0.13375441203789709</v>
      </c>
      <c r="R2" s="95">
        <f>VLOOKUP(A2,'BSE ALL CAP'!$B$4:$Y$1038,17,)</f>
        <v>-1.2142121342229903E-2</v>
      </c>
      <c r="S2" s="95">
        <f>VLOOKUP(A2,'BSE ALL CAP'!$B$4:$Y$1038,18,)</f>
        <v>0.12124908514271773</v>
      </c>
      <c r="T2" s="95">
        <f>VLOOKUP(A2,'BSE ALL CAP'!$B$4:$Y$1038,19,)</f>
        <v>0.1321656050955414</v>
      </c>
      <c r="U2" s="95">
        <f>VLOOKUP(A2,'BSE ALL CAP'!$B$4:$Y$1038,20,)</f>
        <v>-1.0916519952823667E-2</v>
      </c>
      <c r="V2" s="95">
        <f>VLOOKUP(A2,'BSE ALL CAP'!$B$4:$Y$1038,21,)</f>
        <v>7.6165706854913529E-2</v>
      </c>
      <c r="W2" s="95">
        <f>VLOOKUP(A2,'BSE ALL CAP'!$B$4:$Y$1038,22,)</f>
        <v>-2.1527777777777812E-2</v>
      </c>
      <c r="X2" s="95">
        <f>VLOOKUP(A2,'BSE ALL CAP'!$B$4:$Y$1038,23,)</f>
        <v>8.784501061571115E-2</v>
      </c>
      <c r="Y2" s="95">
        <f>VLOOKUP(A2,'BSE ALL CAP'!$B$4:$Y$1038,24,)</f>
        <v>-2.0080321285140812E-3</v>
      </c>
    </row>
    <row r="3" spans="1:25" ht="15.75" customHeight="1">
      <c r="A3" s="99">
        <v>500096</v>
      </c>
      <c r="B3" s="98" t="s">
        <v>2327</v>
      </c>
      <c r="C3" s="101" t="str">
        <f>VLOOKUP(A3,'BSE ALL CAP'!$B$4:$Y$1038,2,)</f>
        <v>Fast Moving Consumer Goods</v>
      </c>
      <c r="D3" s="101" t="str">
        <f>VLOOKUP(A3,'BSE ALL CAP'!$B$4:$Y$1038,3,)</f>
        <v>Personal Care</v>
      </c>
      <c r="E3" s="101">
        <f ca="1">IFERROR(__xludf.DUMMYFUNCTION("GOOGLEFINANCE(""BOM:""&amp;A3,""PRICE"")"),411.55)</f>
        <v>411.55</v>
      </c>
      <c r="F3" s="112">
        <f ca="1">IFERROR(__xludf.DUMMYFUNCTION("GOOGLEFINANCE(""BOM:""&amp;A3,""MARKETCAP"")/10000000"),72779.9097698)</f>
        <v>72779.909769799997</v>
      </c>
      <c r="G3" s="95">
        <f t="shared" ca="1" si="0"/>
        <v>0.22362837722350362</v>
      </c>
      <c r="H3" s="101">
        <f>VLOOKUP(A3,'BSE ALL CAP'!$B$4:$Y$1038,7,)</f>
        <v>10155</v>
      </c>
      <c r="I3" s="101">
        <f>VLOOKUP(A3,'BSE ALL CAP'!$B$4:$Y$1038,8,)</f>
        <v>9733</v>
      </c>
      <c r="J3" s="101">
        <f>VLOOKUP(A3,'BSE ALL CAP'!$B$4:$Y$1038,9,)</f>
        <v>1507</v>
      </c>
      <c r="K3" s="101">
        <f>VLOOKUP(A3,'BSE ALL CAP'!$B$4:$Y$1038,10,)</f>
        <v>1428</v>
      </c>
      <c r="L3" s="101">
        <f>VLOOKUP(A3,'BSE ALL CAP'!$B$4:$Y$1038,11,)</f>
        <v>3559</v>
      </c>
      <c r="M3" s="101">
        <f>VLOOKUP(A3,'BSE ALL CAP'!$B$4:$Y$1038,12,)</f>
        <v>3355</v>
      </c>
      <c r="N3" s="101">
        <f>VLOOKUP(A3,'BSE ALL CAP'!$B$4:$Y$1038,13,)</f>
        <v>554</v>
      </c>
      <c r="O3" s="101">
        <f>VLOOKUP(A3,'BSE ALL CAP'!$B$4:$Y$1038,14,)</f>
        <v>516</v>
      </c>
      <c r="P3" s="95">
        <f>VLOOKUP(A3,'BSE ALL CAP'!$B$4:$Y$1038,15,)</f>
        <v>0.14839980305268341</v>
      </c>
      <c r="Q3" s="95">
        <f>VLOOKUP(A3,'BSE ALL CAP'!$B$4:$Y$1038,16,)</f>
        <v>0.14671735333401828</v>
      </c>
      <c r="R3" s="95">
        <f>VLOOKUP(A3,'BSE ALL CAP'!$B$4:$Y$1038,17,)</f>
        <v>1.6824497186651299E-3</v>
      </c>
      <c r="S3" s="95">
        <f>VLOOKUP(A3,'BSE ALL CAP'!$B$4:$Y$1038,18,)</f>
        <v>0.15566170272548469</v>
      </c>
      <c r="T3" s="95">
        <f>VLOOKUP(A3,'BSE ALL CAP'!$B$4:$Y$1038,19,)</f>
        <v>0.15380029806259315</v>
      </c>
      <c r="U3" s="95">
        <f>VLOOKUP(A3,'BSE ALL CAP'!$B$4:$Y$1038,20,)</f>
        <v>1.8614046628915304E-3</v>
      </c>
      <c r="V3" s="95">
        <f>VLOOKUP(A3,'BSE ALL CAP'!$B$4:$Y$1038,21,)</f>
        <v>4.3357649234562867E-2</v>
      </c>
      <c r="W3" s="95">
        <f>VLOOKUP(A3,'BSE ALL CAP'!$B$4:$Y$1038,22,)</f>
        <v>5.5322128851540642E-2</v>
      </c>
      <c r="X3" s="95">
        <f>VLOOKUP(A3,'BSE ALL CAP'!$B$4:$Y$1038,23,)</f>
        <v>6.0804769001490344E-2</v>
      </c>
      <c r="Y3" s="95">
        <f>VLOOKUP(A3,'BSE ALL CAP'!$B$4:$Y$1038,24,)</f>
        <v>7.3643410852713087E-2</v>
      </c>
    </row>
    <row r="4" spans="1:25" ht="15.75" customHeight="1">
      <c r="A4" s="99">
        <v>500830</v>
      </c>
      <c r="B4" s="98" t="s">
        <v>2328</v>
      </c>
      <c r="C4" s="101" t="str">
        <f>VLOOKUP(A4,'BSE ALL CAP'!$B$4:$Y$1038,2,)</f>
        <v>Fast Moving Consumer Goods</v>
      </c>
      <c r="D4" s="101" t="str">
        <f>VLOOKUP(A4,'BSE ALL CAP'!$B$4:$Y$1038,3,)</f>
        <v>Personal Care</v>
      </c>
      <c r="E4" s="101">
        <f ca="1">IFERROR(__xludf.DUMMYFUNCTION("GOOGLEFINANCE(""BOM:""&amp;A4,""PRICE"")"),1825)</f>
        <v>1825</v>
      </c>
      <c r="F4" s="112">
        <f ca="1">IFERROR(__xludf.DUMMYFUNCTION("GOOGLEFINANCE(""BOM:""&amp;A4,""MARKETCAP"")/10000000"),49661.851368)</f>
        <v>49661.851368000003</v>
      </c>
      <c r="G4" s="95">
        <f t="shared" ca="1" si="0"/>
        <v>0.15259429788341153</v>
      </c>
      <c r="H4" s="101">
        <f>VLOOKUP(A4,'BSE ALL CAP'!$B$4:$Y$1038,7,)</f>
        <v>4511</v>
      </c>
      <c r="I4" s="101">
        <f>VLOOKUP(A4,'BSE ALL CAP'!$B$4:$Y$1038,8,)</f>
        <v>4697</v>
      </c>
      <c r="J4" s="101">
        <f>VLOOKUP(A4,'BSE ALL CAP'!$B$4:$Y$1038,9,)</f>
        <v>971</v>
      </c>
      <c r="K4" s="101">
        <f>VLOOKUP(A4,'BSE ALL CAP'!$B$4:$Y$1038,10,)</f>
        <v>1081</v>
      </c>
      <c r="L4" s="101">
        <f>VLOOKUP(A4,'BSE ALL CAP'!$B$4:$Y$1038,11,)</f>
        <v>1525</v>
      </c>
      <c r="M4" s="101">
        <f>VLOOKUP(A4,'BSE ALL CAP'!$B$4:$Y$1038,12,)</f>
        <v>1482</v>
      </c>
      <c r="N4" s="101">
        <f>VLOOKUP(A4,'BSE ALL CAP'!$B$4:$Y$1038,13,)</f>
        <v>323</v>
      </c>
      <c r="O4" s="101">
        <f>VLOOKUP(A4,'BSE ALL CAP'!$B$4:$Y$1038,14,)</f>
        <v>322</v>
      </c>
      <c r="P4" s="95">
        <f>VLOOKUP(A4,'BSE ALL CAP'!$B$4:$Y$1038,15,)</f>
        <v>0.21525160718244291</v>
      </c>
      <c r="Q4" s="95">
        <f>VLOOKUP(A4,'BSE ALL CAP'!$B$4:$Y$1038,16,)</f>
        <v>0.23014690227804982</v>
      </c>
      <c r="R4" s="95">
        <f>VLOOKUP(A4,'BSE ALL CAP'!$B$4:$Y$1038,17,)</f>
        <v>-1.4895295095606914E-2</v>
      </c>
      <c r="S4" s="95">
        <f>VLOOKUP(A4,'BSE ALL CAP'!$B$4:$Y$1038,18,)</f>
        <v>0.21180327868852458</v>
      </c>
      <c r="T4" s="95">
        <f>VLOOKUP(A4,'BSE ALL CAP'!$B$4:$Y$1038,19,)</f>
        <v>0.21727395411605938</v>
      </c>
      <c r="U4" s="95">
        <f>VLOOKUP(A4,'BSE ALL CAP'!$B$4:$Y$1038,20,)</f>
        <v>-5.4706754275347935E-3</v>
      </c>
      <c r="V4" s="95">
        <f>VLOOKUP(A4,'BSE ALL CAP'!$B$4:$Y$1038,21,)</f>
        <v>-3.9599744517777258E-2</v>
      </c>
      <c r="W4" s="95">
        <f>VLOOKUP(A4,'BSE ALL CAP'!$B$4:$Y$1038,22,)</f>
        <v>-0.10175763182238673</v>
      </c>
      <c r="X4" s="95">
        <f>VLOOKUP(A4,'BSE ALL CAP'!$B$4:$Y$1038,23,)</f>
        <v>2.9014844804318596E-2</v>
      </c>
      <c r="Y4" s="95">
        <f>VLOOKUP(A4,'BSE ALL CAP'!$B$4:$Y$1038,24,)</f>
        <v>3.1055900621117516E-3</v>
      </c>
    </row>
    <row r="5" spans="1:25" ht="15.75" customHeight="1">
      <c r="A5" s="99">
        <v>500459</v>
      </c>
      <c r="B5" s="98" t="s">
        <v>2329</v>
      </c>
      <c r="C5" s="101" t="str">
        <f>VLOOKUP(A5,'BSE ALL CAP'!$B$4:$Y$1038,2,)</f>
        <v>Fast Moving Consumer Goods</v>
      </c>
      <c r="D5" s="101" t="str">
        <f>VLOOKUP(A5,'BSE ALL CAP'!$B$4:$Y$1038,3,)</f>
        <v>Personal Care</v>
      </c>
      <c r="E5" s="101">
        <f ca="1">IFERROR(__xludf.DUMMYFUNCTION("GOOGLEFINANCE(""BOM:""&amp;A5,""PRICE"")"),9632.95)</f>
        <v>9632.9500000000007</v>
      </c>
      <c r="F5" s="112">
        <f ca="1">IFERROR(__xludf.DUMMYFUNCTION("GOOGLEFINANCE(""BOM:""&amp;A5,""MARKETCAP"")/10000000"),31196.3845665)</f>
        <v>31196.384566500001</v>
      </c>
      <c r="G5" s="95">
        <f t="shared" ca="1" si="0"/>
        <v>9.5856080035174804E-2</v>
      </c>
      <c r="H5" s="101">
        <f>VLOOKUP(A5,'BSE ALL CAP'!$B$4:$Y$1038,7,)</f>
        <v>3349</v>
      </c>
      <c r="I5" s="101">
        <f>VLOOKUP(A5,'BSE ALL CAP'!$B$4:$Y$1038,8,)</f>
        <v>3314</v>
      </c>
      <c r="J5" s="101">
        <f>VLOOKUP(A5,'BSE ALL CAP'!$B$4:$Y$1038,9,)</f>
        <v>703</v>
      </c>
      <c r="K5" s="101">
        <f>VLOOKUP(A5,'BSE ALL CAP'!$B$4:$Y$1038,10,)</f>
        <v>561</v>
      </c>
      <c r="L5" s="101">
        <f>VLOOKUP(A5,'BSE ALL CAP'!$B$4:$Y$1038,11,)</f>
        <v>1251</v>
      </c>
      <c r="M5" s="101">
        <f>VLOOKUP(A5,'BSE ALL CAP'!$B$4:$Y$1038,12,)</f>
        <v>1247</v>
      </c>
      <c r="N5" s="101">
        <f>VLOOKUP(A5,'BSE ALL CAP'!$B$4:$Y$1038,13,)</f>
        <v>301</v>
      </c>
      <c r="O5" s="101">
        <f>VLOOKUP(A5,'BSE ALL CAP'!$B$4:$Y$1038,14,)</f>
        <v>268</v>
      </c>
      <c r="P5" s="95">
        <f>VLOOKUP(A5,'BSE ALL CAP'!$B$4:$Y$1038,15,)</f>
        <v>0.20991340698716035</v>
      </c>
      <c r="Q5" s="95">
        <f>VLOOKUP(A5,'BSE ALL CAP'!$B$4:$Y$1038,16,)</f>
        <v>0.16928183464091731</v>
      </c>
      <c r="R5" s="95">
        <f>VLOOKUP(A5,'BSE ALL CAP'!$B$4:$Y$1038,17,)</f>
        <v>4.0631572346243039E-2</v>
      </c>
      <c r="S5" s="95">
        <f>VLOOKUP(A5,'BSE ALL CAP'!$B$4:$Y$1038,18,)</f>
        <v>0.24060751398880895</v>
      </c>
      <c r="T5" s="95">
        <f>VLOOKUP(A5,'BSE ALL CAP'!$B$4:$Y$1038,19,)</f>
        <v>0.21491579791499599</v>
      </c>
      <c r="U5" s="95">
        <f>VLOOKUP(A5,'BSE ALL CAP'!$B$4:$Y$1038,20,)</f>
        <v>2.5691716073812959E-2</v>
      </c>
      <c r="V5" s="95">
        <f>VLOOKUP(A5,'BSE ALL CAP'!$B$4:$Y$1038,21,)</f>
        <v>1.0561255280627568E-2</v>
      </c>
      <c r="W5" s="95">
        <f>VLOOKUP(A5,'BSE ALL CAP'!$B$4:$Y$1038,22,)</f>
        <v>0.25311942959001787</v>
      </c>
      <c r="X5" s="95">
        <f>VLOOKUP(A5,'BSE ALL CAP'!$B$4:$Y$1038,23,)</f>
        <v>3.2076984763431682E-3</v>
      </c>
      <c r="Y5" s="95">
        <f>VLOOKUP(A5,'BSE ALL CAP'!$B$4:$Y$1038,24,)</f>
        <v>0.12313432835820892</v>
      </c>
    </row>
    <row r="6" spans="1:25" ht="15.75" customHeight="1">
      <c r="A6" s="99">
        <v>507815</v>
      </c>
      <c r="B6" s="98" t="s">
        <v>2330</v>
      </c>
      <c r="C6" s="101" t="str">
        <f>VLOOKUP(A6,'BSE ALL CAP'!$B$4:$Y$1038,2,)</f>
        <v>Fast Moving Consumer Goods</v>
      </c>
      <c r="D6" s="101" t="str">
        <f>VLOOKUP(A6,'BSE ALL CAP'!$B$4:$Y$1038,3,)</f>
        <v>Personal Care</v>
      </c>
      <c r="E6" s="101">
        <f ca="1">IFERROR(__xludf.DUMMYFUNCTION("GOOGLEFINANCE(""BOM:""&amp;A6,""PRICE"")"),7502.3)</f>
        <v>7502.3</v>
      </c>
      <c r="F6" s="112">
        <f ca="1">IFERROR(__xludf.DUMMYFUNCTION("GOOGLEFINANCE(""BOM:""&amp;A6,""MARKETCAP"")/10000000"),24434.0197185)</f>
        <v>24434.0197185</v>
      </c>
      <c r="G6" s="95">
        <f t="shared" ca="1" si="0"/>
        <v>7.5077589350936336E-2</v>
      </c>
      <c r="H6" s="101">
        <f>VLOOKUP(A6,'BSE ALL CAP'!$B$4:$Y$1038,7,)</f>
        <v>2307</v>
      </c>
      <c r="I6" s="101">
        <f>VLOOKUP(A6,'BSE ALL CAP'!$B$4:$Y$1038,8,)</f>
        <v>2112</v>
      </c>
      <c r="J6" s="101">
        <f>VLOOKUP(A6,'BSE ALL CAP'!$B$4:$Y$1038,9,)</f>
        <v>461</v>
      </c>
      <c r="K6" s="101">
        <f>VLOOKUP(A6,'BSE ALL CAP'!$B$4:$Y$1038,10,)</f>
        <v>374</v>
      </c>
      <c r="L6" s="101">
        <f>VLOOKUP(A6,'BSE ALL CAP'!$B$4:$Y$1038,11,)</f>
        <v>790</v>
      </c>
      <c r="M6" s="101">
        <f>VLOOKUP(A6,'BSE ALL CAP'!$B$4:$Y$1038,12,)</f>
        <v>685</v>
      </c>
      <c r="N6" s="101">
        <f>VLOOKUP(A6,'BSE ALL CAP'!$B$4:$Y$1038,13,)</f>
        <v>172</v>
      </c>
      <c r="O6" s="101">
        <f>VLOOKUP(A6,'BSE ALL CAP'!$B$4:$Y$1038,14,)</f>
        <v>125</v>
      </c>
      <c r="P6" s="95">
        <f>VLOOKUP(A6,'BSE ALL CAP'!$B$4:$Y$1038,15,)</f>
        <v>0.199826614651062</v>
      </c>
      <c r="Q6" s="95">
        <f>VLOOKUP(A6,'BSE ALL CAP'!$B$4:$Y$1038,16,)</f>
        <v>0.17708333333333334</v>
      </c>
      <c r="R6" s="95">
        <f>VLOOKUP(A6,'BSE ALL CAP'!$B$4:$Y$1038,17,)</f>
        <v>2.2743281317728653E-2</v>
      </c>
      <c r="S6" s="95">
        <f>VLOOKUP(A6,'BSE ALL CAP'!$B$4:$Y$1038,18,)</f>
        <v>0.21772151898734177</v>
      </c>
      <c r="T6" s="95">
        <f>VLOOKUP(A6,'BSE ALL CAP'!$B$4:$Y$1038,19,)</f>
        <v>0.18248175182481752</v>
      </c>
      <c r="U6" s="95">
        <f>VLOOKUP(A6,'BSE ALL CAP'!$B$4:$Y$1038,20,)</f>
        <v>3.5239767162524249E-2</v>
      </c>
      <c r="V6" s="95">
        <f>VLOOKUP(A6,'BSE ALL CAP'!$B$4:$Y$1038,21,)</f>
        <v>9.2329545454545414E-2</v>
      </c>
      <c r="W6" s="95">
        <f>VLOOKUP(A6,'BSE ALL CAP'!$B$4:$Y$1038,22,)</f>
        <v>0.23262032085561501</v>
      </c>
      <c r="X6" s="95">
        <f>VLOOKUP(A6,'BSE ALL CAP'!$B$4:$Y$1038,23,)</f>
        <v>0.15328467153284664</v>
      </c>
      <c r="Y6" s="95">
        <f>VLOOKUP(A6,'BSE ALL CAP'!$B$4:$Y$1038,24,)</f>
        <v>0.37599999999999989</v>
      </c>
    </row>
    <row r="7" spans="1:25" ht="15.75" customHeight="1">
      <c r="A7" s="99">
        <v>531162</v>
      </c>
      <c r="B7" s="98" t="s">
        <v>2331</v>
      </c>
      <c r="C7" s="101" t="str">
        <f>VLOOKUP(A7,'BSE ALL CAP'!$B$4:$Y$1038,2,)</f>
        <v>Fast Moving Consumer Goods</v>
      </c>
      <c r="D7" s="101" t="str">
        <f>VLOOKUP(A7,'BSE ALL CAP'!$B$4:$Y$1038,3,)</f>
        <v>Personal Care</v>
      </c>
      <c r="E7" s="101">
        <f ca="1">IFERROR(__xludf.DUMMYFUNCTION("GOOGLEFINANCE(""BOM:""&amp;A7,""PRICE"")"),398.7)</f>
        <v>398.7</v>
      </c>
      <c r="F7" s="112">
        <f ca="1">IFERROR(__xludf.DUMMYFUNCTION("GOOGLEFINANCE(""BOM:""&amp;A7,""MARKETCAP"")/10000000"),17401.07622)</f>
        <v>17401.076219999999</v>
      </c>
      <c r="G7" s="95">
        <f t="shared" ca="1" si="0"/>
        <v>5.3467700761506344E-2</v>
      </c>
      <c r="H7" s="101">
        <f>VLOOKUP(A7,'BSE ALL CAP'!$B$4:$Y$1038,7,)</f>
        <v>2854</v>
      </c>
      <c r="I7" s="101">
        <f>VLOOKUP(A7,'BSE ALL CAP'!$B$4:$Y$1038,8,)</f>
        <v>2846</v>
      </c>
      <c r="J7" s="101">
        <f>VLOOKUP(A7,'BSE ALL CAP'!$B$4:$Y$1038,9,)</f>
        <v>632</v>
      </c>
      <c r="K7" s="101">
        <f>VLOOKUP(A7,'BSE ALL CAP'!$B$4:$Y$1038,10,)</f>
        <v>640</v>
      </c>
      <c r="L7" s="101">
        <f>VLOOKUP(A7,'BSE ALL CAP'!$B$4:$Y$1038,11,)</f>
        <v>1151</v>
      </c>
      <c r="M7" s="101">
        <f>VLOOKUP(A7,'BSE ALL CAP'!$B$4:$Y$1038,12,)</f>
        <v>1049</v>
      </c>
      <c r="N7" s="101">
        <f>VLOOKUP(A7,'BSE ALL CAP'!$B$4:$Y$1038,13,)</f>
        <v>319</v>
      </c>
      <c r="O7" s="101">
        <f>VLOOKUP(A7,'BSE ALL CAP'!$B$4:$Y$1038,14,)</f>
        <v>278</v>
      </c>
      <c r="P7" s="95">
        <f>VLOOKUP(A7,'BSE ALL CAP'!$B$4:$Y$1038,15,)</f>
        <v>0.2214435879467414</v>
      </c>
      <c r="Q7" s="95">
        <f>VLOOKUP(A7,'BSE ALL CAP'!$B$4:$Y$1038,16,)</f>
        <v>0.22487702037947996</v>
      </c>
      <c r="R7" s="95">
        <f>VLOOKUP(A7,'BSE ALL CAP'!$B$4:$Y$1038,17,)</f>
        <v>-3.4334324327385535E-3</v>
      </c>
      <c r="S7" s="95">
        <f>VLOOKUP(A7,'BSE ALL CAP'!$B$4:$Y$1038,18,)</f>
        <v>0.27715030408340574</v>
      </c>
      <c r="T7" s="95">
        <f>VLOOKUP(A7,'BSE ALL CAP'!$B$4:$Y$1038,19,)</f>
        <v>0.26501429933269782</v>
      </c>
      <c r="U7" s="95">
        <f>VLOOKUP(A7,'BSE ALL CAP'!$B$4:$Y$1038,20,)</f>
        <v>1.2136004750707918E-2</v>
      </c>
      <c r="V7" s="95">
        <f>VLOOKUP(A7,'BSE ALL CAP'!$B$4:$Y$1038,21,)</f>
        <v>2.8109627547434624E-3</v>
      </c>
      <c r="W7" s="95">
        <f>VLOOKUP(A7,'BSE ALL CAP'!$B$4:$Y$1038,22,)</f>
        <v>-1.2499999999999956E-2</v>
      </c>
      <c r="X7" s="95">
        <f>VLOOKUP(A7,'BSE ALL CAP'!$B$4:$Y$1038,23,)</f>
        <v>9.7235462345090617E-2</v>
      </c>
      <c r="Y7" s="95">
        <f>VLOOKUP(A7,'BSE ALL CAP'!$B$4:$Y$1038,24,)</f>
        <v>0.14748201438848918</v>
      </c>
    </row>
    <row r="8" spans="1:25" ht="15.75" customHeight="1">
      <c r="A8" s="99">
        <v>530843</v>
      </c>
      <c r="B8" s="98" t="s">
        <v>2332</v>
      </c>
      <c r="C8" s="101" t="str">
        <f>VLOOKUP(A8,'BSE ALL CAP'!$B$4:$Y$1038,2,)</f>
        <v>Fast Moving Consumer Goods</v>
      </c>
      <c r="D8" s="101" t="str">
        <f>VLOOKUP(A8,'BSE ALL CAP'!$B$4:$Y$1038,3,)</f>
        <v>Personal Care</v>
      </c>
      <c r="E8" s="101">
        <f ca="1">IFERROR(__xludf.DUMMYFUNCTION("GOOGLEFINANCE(""BOM:""&amp;A8,""PRICE"")"),88.24)</f>
        <v>88.24</v>
      </c>
      <c r="F8" s="112">
        <f ca="1">IFERROR(__xludf.DUMMYFUNCTION("GOOGLEFINANCE(""BOM:""&amp;A8,""MARKETCAP"")/10000000"),11862.5906841)</f>
        <v>11862.5906841</v>
      </c>
      <c r="G8" s="95">
        <f t="shared" ca="1" si="0"/>
        <v>3.6449782814277659E-2</v>
      </c>
      <c r="H8" s="101">
        <f>VLOOKUP(A8,'BSE ALL CAP'!$B$4:$Y$1038,7,)</f>
        <v>237</v>
      </c>
      <c r="I8" s="101">
        <f>VLOOKUP(A8,'BSE ALL CAP'!$B$4:$Y$1038,8,)</f>
        <v>127</v>
      </c>
      <c r="J8" s="101">
        <f>VLOOKUP(A8,'BSE ALL CAP'!$B$4:$Y$1038,9,)</f>
        <v>72</v>
      </c>
      <c r="K8" s="101">
        <f>VLOOKUP(A8,'BSE ALL CAP'!$B$4:$Y$1038,10,)</f>
        <v>29</v>
      </c>
      <c r="L8" s="101">
        <f>VLOOKUP(A8,'BSE ALL CAP'!$B$4:$Y$1038,11,)</f>
        <v>93</v>
      </c>
      <c r="M8" s="101">
        <f>VLOOKUP(A8,'BSE ALL CAP'!$B$4:$Y$1038,12,)</f>
        <v>46</v>
      </c>
      <c r="N8" s="101">
        <f>VLOOKUP(A8,'BSE ALL CAP'!$B$4:$Y$1038,13,)</f>
        <v>32</v>
      </c>
      <c r="O8" s="101">
        <f>VLOOKUP(A8,'BSE ALL CAP'!$B$4:$Y$1038,14,)</f>
        <v>11</v>
      </c>
      <c r="P8" s="95">
        <f>VLOOKUP(A8,'BSE ALL CAP'!$B$4:$Y$1038,15,)</f>
        <v>0.30379746835443039</v>
      </c>
      <c r="Q8" s="95">
        <f>VLOOKUP(A8,'BSE ALL CAP'!$B$4:$Y$1038,16,)</f>
        <v>0.2283464566929134</v>
      </c>
      <c r="R8" s="95">
        <f>VLOOKUP(A8,'BSE ALL CAP'!$B$4:$Y$1038,17,)</f>
        <v>7.5451011661516992E-2</v>
      </c>
      <c r="S8" s="95">
        <f>VLOOKUP(A8,'BSE ALL CAP'!$B$4:$Y$1038,18,)</f>
        <v>0.34408602150537637</v>
      </c>
      <c r="T8" s="95">
        <f>VLOOKUP(A8,'BSE ALL CAP'!$B$4:$Y$1038,19,)</f>
        <v>0.2391304347826087</v>
      </c>
      <c r="U8" s="95">
        <f>VLOOKUP(A8,'BSE ALL CAP'!$B$4:$Y$1038,20,)</f>
        <v>0.10495558672276767</v>
      </c>
      <c r="V8" s="95">
        <f>VLOOKUP(A8,'BSE ALL CAP'!$B$4:$Y$1038,21,)</f>
        <v>0.86614173228346458</v>
      </c>
      <c r="W8" s="95">
        <f>VLOOKUP(A8,'BSE ALL CAP'!$B$4:$Y$1038,22,)</f>
        <v>1.4827586206896552</v>
      </c>
      <c r="X8" s="95">
        <f>VLOOKUP(A8,'BSE ALL CAP'!$B$4:$Y$1038,23,)</f>
        <v>1.0217391304347827</v>
      </c>
      <c r="Y8" s="95">
        <f>VLOOKUP(A8,'BSE ALL CAP'!$B$4:$Y$1038,24,)</f>
        <v>1.9090909090909092</v>
      </c>
    </row>
    <row r="9" spans="1:25" ht="15.75" customHeight="1">
      <c r="A9" s="99">
        <v>544014</v>
      </c>
      <c r="B9" s="98" t="s">
        <v>2333</v>
      </c>
      <c r="C9" s="101" t="str">
        <f>VLOOKUP(A9,'BSE ALL CAP'!$B$4:$Y$1038,2,)</f>
        <v>Fast Moving Consumer Goods</v>
      </c>
      <c r="D9" s="101" t="str">
        <f>VLOOKUP(A9,'BSE ALL CAP'!$B$4:$Y$1038,3,)</f>
        <v>Personal Care</v>
      </c>
      <c r="E9" s="101">
        <f ca="1">IFERROR(__xludf.DUMMYFUNCTION("GOOGLEFINANCE(""BOM:""&amp;A9,""PRICE"")"),307.25)</f>
        <v>307.25</v>
      </c>
      <c r="F9" s="112">
        <f ca="1">IFERROR(__xludf.DUMMYFUNCTION("GOOGLEFINANCE(""BOM:""&amp;A9,""MARKETCAP"")/10000000"),9965.8411725)</f>
        <v>9965.8411725000005</v>
      </c>
      <c r="G9" s="95">
        <f t="shared" ca="1" si="0"/>
        <v>3.0621704480295046E-2</v>
      </c>
      <c r="H9" s="101">
        <f>VLOOKUP(A9,'BSE ALL CAP'!$B$4:$Y$1038,7,)</f>
        <v>1734</v>
      </c>
      <c r="I9" s="101">
        <f>VLOOKUP(A9,'BSE ALL CAP'!$B$4:$Y$1038,8,)</f>
        <v>1533</v>
      </c>
      <c r="J9" s="101">
        <f>VLOOKUP(A9,'BSE ALL CAP'!$B$4:$Y$1038,9,)</f>
        <v>130</v>
      </c>
      <c r="K9" s="101">
        <f>VLOOKUP(A9,'BSE ALL CAP'!$B$4:$Y$1038,10,)</f>
        <v>47</v>
      </c>
      <c r="L9" s="101">
        <f>VLOOKUP(A9,'BSE ALL CAP'!$B$4:$Y$1038,11,)</f>
        <v>601</v>
      </c>
      <c r="M9" s="101">
        <f>VLOOKUP(A9,'BSE ALL CAP'!$B$4:$Y$1038,12,)</f>
        <v>517</v>
      </c>
      <c r="N9" s="101">
        <f>VLOOKUP(A9,'BSE ALL CAP'!$B$4:$Y$1038,13,)</f>
        <v>50</v>
      </c>
      <c r="O9" s="101">
        <f>VLOOKUP(A9,'BSE ALL CAP'!$B$4:$Y$1038,14,)</f>
        <v>26</v>
      </c>
      <c r="P9" s="95">
        <f>VLOOKUP(A9,'BSE ALL CAP'!$B$4:$Y$1038,15,)</f>
        <v>7.4971164936562862E-2</v>
      </c>
      <c r="Q9" s="95">
        <f>VLOOKUP(A9,'BSE ALL CAP'!$B$4:$Y$1038,16,)</f>
        <v>3.0658838878016959E-2</v>
      </c>
      <c r="R9" s="95">
        <f>VLOOKUP(A9,'BSE ALL CAP'!$B$4:$Y$1038,17,)</f>
        <v>4.4312326058545903E-2</v>
      </c>
      <c r="S9" s="95">
        <f>VLOOKUP(A9,'BSE ALL CAP'!$B$4:$Y$1038,18,)</f>
        <v>8.3194675540765387E-2</v>
      </c>
      <c r="T9" s="95">
        <f>VLOOKUP(A9,'BSE ALL CAP'!$B$4:$Y$1038,19,)</f>
        <v>5.0290135396518373E-2</v>
      </c>
      <c r="U9" s="95">
        <f>VLOOKUP(A9,'BSE ALL CAP'!$B$4:$Y$1038,20,)</f>
        <v>3.2904540144247013E-2</v>
      </c>
      <c r="V9" s="95">
        <f>VLOOKUP(A9,'BSE ALL CAP'!$B$4:$Y$1038,21,)</f>
        <v>0.13111545988258322</v>
      </c>
      <c r="W9" s="95">
        <f>VLOOKUP(A9,'BSE ALL CAP'!$B$4:$Y$1038,22,)</f>
        <v>1.7659574468085109</v>
      </c>
      <c r="X9" s="95">
        <f>VLOOKUP(A9,'BSE ALL CAP'!$B$4:$Y$1038,23,)</f>
        <v>0.16247582205029021</v>
      </c>
      <c r="Y9" s="95">
        <f>VLOOKUP(A9,'BSE ALL CAP'!$B$4:$Y$1038,24,)</f>
        <v>0.92307692307692313</v>
      </c>
    </row>
    <row r="10" spans="1:25" ht="15.75" customHeight="1">
      <c r="A10" s="99">
        <v>533229</v>
      </c>
      <c r="B10" s="98" t="s">
        <v>2334</v>
      </c>
      <c r="C10" s="101" t="str">
        <f>VLOOKUP(A10,'BSE ALL CAP'!$B$4:$Y$1038,2,)</f>
        <v>Fast Moving Consumer Goods</v>
      </c>
      <c r="D10" s="101" t="str">
        <f>VLOOKUP(A10,'BSE ALL CAP'!$B$4:$Y$1038,3,)</f>
        <v>Personal Care</v>
      </c>
      <c r="E10" s="101">
        <f ca="1">IFERROR(__xludf.DUMMYFUNCTION("GOOGLEFINANCE(""BOM:""&amp;A10,""PRICE"")"),380.6)</f>
        <v>380.6</v>
      </c>
      <c r="F10" s="112">
        <f ca="1">IFERROR(__xludf.DUMMYFUNCTION("GOOGLEFINANCE(""BOM:""&amp;A10,""MARKETCAP"")/10000000"),4963.4954)</f>
        <v>4963.4953999999998</v>
      </c>
      <c r="G10" s="95">
        <f t="shared" ca="1" si="0"/>
        <v>1.525116512467717E-2</v>
      </c>
      <c r="H10" s="101">
        <f>VLOOKUP(A10,'BSE ALL CAP'!$B$4:$Y$1038,7,)</f>
        <v>838</v>
      </c>
      <c r="I10" s="101">
        <f>VLOOKUP(A10,'BSE ALL CAP'!$B$4:$Y$1038,8,)</f>
        <v>714</v>
      </c>
      <c r="J10" s="101">
        <f>VLOOKUP(A10,'BSE ALL CAP'!$B$4:$Y$1038,9,)</f>
        <v>126</v>
      </c>
      <c r="K10" s="101">
        <f>VLOOKUP(A10,'BSE ALL CAP'!$B$4:$Y$1038,10,)</f>
        <v>94</v>
      </c>
      <c r="L10" s="101">
        <f>VLOOKUP(A10,'BSE ALL CAP'!$B$4:$Y$1038,11,)</f>
        <v>306</v>
      </c>
      <c r="M10" s="101">
        <f>VLOOKUP(A10,'BSE ALL CAP'!$B$4:$Y$1038,12,)</f>
        <v>234</v>
      </c>
      <c r="N10" s="101">
        <f>VLOOKUP(A10,'BSE ALL CAP'!$B$4:$Y$1038,13,)</f>
        <v>46</v>
      </c>
      <c r="O10" s="101">
        <f>VLOOKUP(A10,'BSE ALL CAP'!$B$4:$Y$1038,14,)</f>
        <v>25</v>
      </c>
      <c r="P10" s="95">
        <f>VLOOKUP(A10,'BSE ALL CAP'!$B$4:$Y$1038,15,)</f>
        <v>0.15035799522673032</v>
      </c>
      <c r="Q10" s="95">
        <f>VLOOKUP(A10,'BSE ALL CAP'!$B$4:$Y$1038,16,)</f>
        <v>0.13165266106442577</v>
      </c>
      <c r="R10" s="95">
        <f>VLOOKUP(A10,'BSE ALL CAP'!$B$4:$Y$1038,17,)</f>
        <v>1.8705334162304549E-2</v>
      </c>
      <c r="S10" s="95">
        <f>VLOOKUP(A10,'BSE ALL CAP'!$B$4:$Y$1038,18,)</f>
        <v>0.15032679738562091</v>
      </c>
      <c r="T10" s="95">
        <f>VLOOKUP(A10,'BSE ALL CAP'!$B$4:$Y$1038,19,)</f>
        <v>0.10683760683760683</v>
      </c>
      <c r="U10" s="95">
        <f>VLOOKUP(A10,'BSE ALL CAP'!$B$4:$Y$1038,20,)</f>
        <v>4.3489190548014076E-2</v>
      </c>
      <c r="V10" s="95">
        <f>VLOOKUP(A10,'BSE ALL CAP'!$B$4:$Y$1038,21,)</f>
        <v>0.1736694677871149</v>
      </c>
      <c r="W10" s="95">
        <f>VLOOKUP(A10,'BSE ALL CAP'!$B$4:$Y$1038,22,)</f>
        <v>0.34042553191489366</v>
      </c>
      <c r="X10" s="95">
        <f>VLOOKUP(A10,'BSE ALL CAP'!$B$4:$Y$1038,23,)</f>
        <v>0.30769230769230771</v>
      </c>
      <c r="Y10" s="95">
        <f>VLOOKUP(A10,'BSE ALL CAP'!$B$4:$Y$1038,24,)</f>
        <v>0.84000000000000008</v>
      </c>
    </row>
    <row r="11" spans="1:25" ht="15.75" customHeight="1">
      <c r="A11" s="99">
        <v>531412</v>
      </c>
      <c r="B11" s="98" t="s">
        <v>2335</v>
      </c>
      <c r="C11" s="101"/>
      <c r="D11" s="101"/>
      <c r="E11" s="101">
        <f ca="1">IFERROR(__xludf.DUMMYFUNCTION("GOOGLEFINANCE(""BOM:""&amp;A11,""PRICE"")"),206)</f>
        <v>206</v>
      </c>
      <c r="F11" s="112">
        <f ca="1">IFERROR(__xludf.DUMMYFUNCTION("GOOGLEFINANCE(""BOM:""&amp;A11,""MARKETCAP"")/10000000"),309.147496)</f>
        <v>309.14749599999999</v>
      </c>
      <c r="G11" s="95">
        <f t="shared" ca="1" si="0"/>
        <v>9.4990709760232178E-4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544629</v>
      </c>
      <c r="B12" s="98" t="s">
        <v>2336</v>
      </c>
      <c r="C12" s="101"/>
      <c r="D12" s="101"/>
      <c r="E12" s="101">
        <f ca="1">IFERROR(__xludf.DUMMYFUNCTION("GOOGLEFINANCE(""BOM:""&amp;A12,""PRICE"")"),155)</f>
        <v>155</v>
      </c>
      <c r="F12" s="112">
        <f ca="1">IFERROR(__xludf.DUMMYFUNCTION("GOOGLEFINANCE(""BOM:""&amp;A12,""MARKETCAP"")/10000000"),106.3144535)</f>
        <v>106.3144535</v>
      </c>
      <c r="G12" s="95">
        <f t="shared" ca="1" si="0"/>
        <v>3.2666884016217942E-4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523120</v>
      </c>
      <c r="B13" s="98" t="s">
        <v>2337</v>
      </c>
      <c r="C13" s="101"/>
      <c r="D13" s="101"/>
      <c r="E13" s="101">
        <f ca="1">IFERROR(__xludf.DUMMYFUNCTION("GOOGLEFINANCE(""BOM:""&amp;A13,""PRICE"")"),110.99)</f>
        <v>110.99</v>
      </c>
      <c r="F13" s="112">
        <f ca="1">IFERROR(__xludf.DUMMYFUNCTION("GOOGLEFINANCE(""BOM:""&amp;A13,""MARKETCAP"")/10000000"),119.9876)</f>
        <v>119.9876</v>
      </c>
      <c r="G13" s="95">
        <f t="shared" ca="1" si="0"/>
        <v>3.6868185684501984E-4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532771</v>
      </c>
      <c r="B14" s="98" t="s">
        <v>2338</v>
      </c>
      <c r="C14" s="101"/>
      <c r="D14" s="101"/>
      <c r="E14" s="101">
        <f ca="1">IFERROR(__xludf.DUMMYFUNCTION("GOOGLEFINANCE(""BOM:""&amp;A14,""PRICE"")"),8.25)</f>
        <v>8.25</v>
      </c>
      <c r="F14" s="112">
        <f ca="1">IFERROR(__xludf.DUMMYFUNCTION("GOOGLEFINANCE(""BOM:""&amp;A14,""MARKETCAP"")/10000000"),72.1971597)</f>
        <v>72.1971597</v>
      </c>
      <c r="G14" s="95">
        <f t="shared" ca="1" si="0"/>
        <v>2.2183778071344402E-4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542771</v>
      </c>
      <c r="B15" s="98" t="s">
        <v>2339</v>
      </c>
      <c r="C15" s="101"/>
      <c r="D15" s="101"/>
      <c r="E15" s="101">
        <f ca="1">IFERROR(__xludf.DUMMYFUNCTION("GOOGLEFINANCE(""BOM:""&amp;A15,""PRICE"")"),31.21)</f>
        <v>31.21</v>
      </c>
      <c r="F15" s="112">
        <f ca="1">IFERROR(__xludf.DUMMYFUNCTION("GOOGLEFINANCE(""BOM:""&amp;A15,""MARKETCAP"")/10000000"),18.88882)</f>
        <v>18.888819999999999</v>
      </c>
      <c r="G15" s="95">
        <f t="shared" ca="1" si="0"/>
        <v>5.8039040960993865E-5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507970</v>
      </c>
      <c r="B16" s="98" t="s">
        <v>2340</v>
      </c>
      <c r="C16" s="101"/>
      <c r="D16" s="101"/>
      <c r="E16" s="101">
        <f ca="1">IFERROR(__xludf.DUMMYFUNCTION("GOOGLEFINANCE(""BOM:""&amp;A16,""PRICE"")"),36.5)</f>
        <v>36.5</v>
      </c>
      <c r="F16" s="112">
        <f ca="1">IFERROR(__xludf.DUMMYFUNCTION("GOOGLEFINANCE(""BOM:""&amp;A16,""MARKETCAP"")/10000000"),17.72075)</f>
        <v>17.720749999999999</v>
      </c>
      <c r="G16" s="95">
        <f t="shared" ca="1" si="0"/>
        <v>5.4449951617387002E-5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540108</v>
      </c>
      <c r="B17" s="98" t="s">
        <v>2341</v>
      </c>
      <c r="C17" s="101"/>
      <c r="D17" s="101"/>
      <c r="E17" s="101">
        <f ca="1">IFERROR(__xludf.DUMMYFUNCTION("GOOGLEFINANCE(""BOM:""&amp;A17,""PRICE"")"),6.8)</f>
        <v>6.8</v>
      </c>
      <c r="F17" s="112">
        <f ca="1">IFERROR(__xludf.DUMMYFUNCTION("GOOGLEFINANCE(""BOM:""&amp;A17,""MARKETCAP"")/10000000"),6.654322)</f>
        <v>6.6543219999999996</v>
      </c>
      <c r="G17" s="95">
        <f t="shared" ca="1" si="0"/>
        <v>2.044651106451555E-5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>
      <c r="A18" s="101"/>
      <c r="B18" s="101"/>
      <c r="C18" s="101"/>
      <c r="D18" s="101"/>
      <c r="E18" s="101"/>
      <c r="F18" s="101"/>
      <c r="G18" s="95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>
      <c r="A19" s="101"/>
      <c r="B19" s="101"/>
      <c r="C19" s="101"/>
      <c r="D19" s="101"/>
      <c r="E19" s="101"/>
      <c r="F19" s="112">
        <f ca="1">SUM(F2:F17)</f>
        <v>325450.24327149987</v>
      </c>
      <c r="G19" s="95">
        <f ca="1">F19/$F$19</f>
        <v>1</v>
      </c>
      <c r="H19" s="101">
        <f t="shared" ref="H19:O19" si="1">SUM(H2:H17)</f>
        <v>37571</v>
      </c>
      <c r="I19" s="101">
        <f t="shared" si="1"/>
        <v>35842</v>
      </c>
      <c r="J19" s="101">
        <f t="shared" si="1"/>
        <v>6011</v>
      </c>
      <c r="K19" s="101">
        <f t="shared" si="1"/>
        <v>5694</v>
      </c>
      <c r="L19" s="101">
        <f t="shared" si="1"/>
        <v>13375</v>
      </c>
      <c r="M19" s="101">
        <f t="shared" si="1"/>
        <v>12383</v>
      </c>
      <c r="N19" s="101">
        <f t="shared" si="1"/>
        <v>2294</v>
      </c>
      <c r="O19" s="101">
        <f t="shared" si="1"/>
        <v>2069</v>
      </c>
      <c r="P19" s="95">
        <f t="shared" ref="P19:Q19" si="2">J19/H19</f>
        <v>0.1599904181416518</v>
      </c>
      <c r="Q19" s="95">
        <f t="shared" si="2"/>
        <v>0.158863902684002</v>
      </c>
      <c r="R19" s="95">
        <f>P19-Q19</f>
        <v>1.1265154576498015E-3</v>
      </c>
      <c r="S19" s="95">
        <f t="shared" ref="S19:T19" si="3">N19/L19</f>
        <v>0.17151401869158878</v>
      </c>
      <c r="T19" s="95">
        <f t="shared" si="3"/>
        <v>0.16708390535411452</v>
      </c>
      <c r="U19" s="95">
        <f>S19-T19</f>
        <v>4.4301133374742563E-3</v>
      </c>
      <c r="V19" s="95">
        <f>(H19/I19)-1</f>
        <v>4.8239495563863644E-2</v>
      </c>
      <c r="W19" s="95">
        <f>(J19/K19)-1</f>
        <v>5.5672637864418784E-2</v>
      </c>
      <c r="X19" s="95">
        <f>(L19/M19)-1</f>
        <v>8.0109827989986337E-2</v>
      </c>
      <c r="Y19" s="95">
        <f>(N19/O19)-1</f>
        <v>0.10874818753020787</v>
      </c>
    </row>
    <row r="20" spans="1:25">
      <c r="G20" s="50"/>
    </row>
    <row r="21" spans="1:25">
      <c r="G21" s="50"/>
    </row>
    <row r="22" spans="1:25">
      <c r="G22" s="50"/>
    </row>
    <row r="23" spans="1:25">
      <c r="G23" s="50"/>
    </row>
    <row r="24" spans="1:25">
      <c r="G24" s="50"/>
    </row>
    <row r="25" spans="1:25" ht="13.2">
      <c r="G25" s="50"/>
    </row>
    <row r="26" spans="1:25" ht="13.2">
      <c r="G26" s="50"/>
    </row>
    <row r="27" spans="1:25" ht="13.2">
      <c r="G27" s="50"/>
    </row>
    <row r="28" spans="1:25" ht="13.2">
      <c r="G28" s="50"/>
    </row>
    <row r="29" spans="1:25" ht="13.2">
      <c r="G29" s="50"/>
    </row>
    <row r="30" spans="1:25" ht="13.2">
      <c r="G30" s="50"/>
    </row>
    <row r="31" spans="1:25" ht="13.2">
      <c r="G31" s="50"/>
    </row>
    <row r="32" spans="1:25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17" xr:uid="{00000000-0009-0000-0000-000044000000}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532500</v>
      </c>
      <c r="B2" s="98" t="s">
        <v>77</v>
      </c>
      <c r="C2" s="101" t="str">
        <f>VLOOKUP(A2,'BSE ALL CAP'!$B$4:$Y$1038,2,)</f>
        <v>Consumer Discretionary</v>
      </c>
      <c r="D2" s="101" t="str">
        <f>VLOOKUP(A2,'BSE ALL CAP'!$B$4:$Y$1038,3,)</f>
        <v>Passenger Cars &amp; Utility Vehicles</v>
      </c>
      <c r="E2" s="101">
        <f ca="1">IFERROR(__xludf.DUMMYFUNCTION("GOOGLEFINANCE(""BOM:""&amp;A2,""PRICE"")"),12680.35)</f>
        <v>12680.35</v>
      </c>
      <c r="F2" s="112">
        <f ca="1">IFERROR(__xludf.DUMMYFUNCTION("GOOGLEFINANCE(""BOM:""&amp;A2,""MARKETCAP"")/10000000"),398442.28825)</f>
        <v>398442.28824999998</v>
      </c>
      <c r="G2" s="95">
        <f t="shared" ref="G2:G9" ca="1" si="0">SUM(F2/$F$11)</f>
        <v>0.38061843705888299</v>
      </c>
      <c r="H2" s="101">
        <f>VLOOKUP(A2,'BSE ALL CAP'!$B$4:$Y$1038,7,)</f>
        <v>130853</v>
      </c>
      <c r="I2" s="101">
        <f>VLOOKUP(A2,'BSE ALL CAP'!$B$4:$Y$1038,8,)</f>
        <v>111992</v>
      </c>
      <c r="J2" s="101">
        <f>VLOOKUP(A2,'BSE ALL CAP'!$B$4:$Y$1038,9,)</f>
        <v>11020</v>
      </c>
      <c r="K2" s="101">
        <f>VLOOKUP(A2,'BSE ALL CAP'!$B$4:$Y$1038,10,)</f>
        <v>10589</v>
      </c>
      <c r="L2" s="101">
        <f>VLOOKUP(A2,'BSE ALL CAP'!$B$4:$Y$1038,11,)</f>
        <v>49904</v>
      </c>
      <c r="M2" s="101">
        <f>VLOOKUP(A2,'BSE ALL CAP'!$B$4:$Y$1038,12,)</f>
        <v>38764</v>
      </c>
      <c r="N2" s="101">
        <f>VLOOKUP(A2,'BSE ALL CAP'!$B$4:$Y$1038,13,)</f>
        <v>3879</v>
      </c>
      <c r="O2" s="101">
        <f>VLOOKUP(A2,'BSE ALL CAP'!$B$4:$Y$1038,14,)</f>
        <v>3726</v>
      </c>
      <c r="P2" s="95">
        <f>VLOOKUP(A2,'BSE ALL CAP'!$B$4:$Y$1038,15,)</f>
        <v>8.4216640046464356E-2</v>
      </c>
      <c r="Q2" s="95">
        <f>VLOOKUP(A2,'BSE ALL CAP'!$B$4:$Y$1038,16,)</f>
        <v>9.455139652832345E-2</v>
      </c>
      <c r="R2" s="95">
        <f>VLOOKUP(A2,'BSE ALL CAP'!$B$4:$Y$1038,17,)</f>
        <v>-1.0334756481859095E-2</v>
      </c>
      <c r="S2" s="95">
        <f>VLOOKUP(A2,'BSE ALL CAP'!$B$4:$Y$1038,18,)</f>
        <v>7.7729240141070854E-2</v>
      </c>
      <c r="T2" s="95">
        <f>VLOOKUP(A2,'BSE ALL CAP'!$B$4:$Y$1038,19,)</f>
        <v>9.6120111443607464E-2</v>
      </c>
      <c r="U2" s="95">
        <f>VLOOKUP(A2,'BSE ALL CAP'!$B$4:$Y$1038,20,)</f>
        <v>-1.839087130253661E-2</v>
      </c>
      <c r="V2" s="95">
        <f>VLOOKUP(A2,'BSE ALL CAP'!$B$4:$Y$1038,21,)</f>
        <v>0.16841381527251942</v>
      </c>
      <c r="W2" s="95">
        <f>VLOOKUP(A2,'BSE ALL CAP'!$B$4:$Y$1038,22,)</f>
        <v>4.0702615922183494E-2</v>
      </c>
      <c r="X2" s="95">
        <f>VLOOKUP(A2,'BSE ALL CAP'!$B$4:$Y$1038,23,)</f>
        <v>0.28738004333918066</v>
      </c>
      <c r="Y2" s="95">
        <f>VLOOKUP(A2,'BSE ALL CAP'!$B$4:$Y$1038,24,)</f>
        <v>4.106280193236711E-2</v>
      </c>
    </row>
    <row r="3" spans="1:25" ht="15.75" customHeight="1">
      <c r="A3" s="99">
        <v>500520</v>
      </c>
      <c r="B3" s="98" t="s">
        <v>1388</v>
      </c>
      <c r="C3" s="101" t="str">
        <f>VLOOKUP(A3,'BSE ALL CAP'!$B$4:$Y$1038,2,)</f>
        <v>Consumer Discretionary</v>
      </c>
      <c r="D3" s="101" t="str">
        <f>VLOOKUP(A3,'BSE ALL CAP'!$B$4:$Y$1038,3,)</f>
        <v>Passenger Cars &amp; Utility Vehicles</v>
      </c>
      <c r="E3" s="101">
        <f ca="1">IFERROR(__xludf.DUMMYFUNCTION("GOOGLEFINANCE(""BOM:""&amp;A3,""PRICE"")"),3014.5)</f>
        <v>3014.5</v>
      </c>
      <c r="F3" s="112">
        <f ca="1">IFERROR(__xludf.DUMMYFUNCTION("GOOGLEFINANCE(""BOM:""&amp;A3,""MARKETCAP"")/10000000"),361894.3008433)</f>
        <v>361894.30084330001</v>
      </c>
      <c r="G3" s="95">
        <f t="shared" ca="1" si="0"/>
        <v>0.34570538125478217</v>
      </c>
      <c r="H3" s="101">
        <f>VLOOKUP(A3,'BSE ALL CAP'!$B$4:$Y$1038,7,)</f>
        <v>143664</v>
      </c>
      <c r="I3" s="101">
        <f>VLOOKUP(A3,'BSE ALL CAP'!$B$4:$Y$1038,8,)</f>
        <v>116611</v>
      </c>
      <c r="J3" s="101">
        <f>VLOOKUP(A3,'BSE ALL CAP'!$B$4:$Y$1038,9,)</f>
        <v>13362</v>
      </c>
      <c r="K3" s="101">
        <f>VLOOKUP(A3,'BSE ALL CAP'!$B$4:$Y$1038,10,)</f>
        <v>10531</v>
      </c>
      <c r="L3" s="101">
        <f>VLOOKUP(A3,'BSE ALL CAP'!$B$4:$Y$1038,11,)</f>
        <v>52100</v>
      </c>
      <c r="M3" s="101">
        <f>VLOOKUP(A3,'BSE ALL CAP'!$B$4:$Y$1038,12,)</f>
        <v>41470</v>
      </c>
      <c r="N3" s="101">
        <f>VLOOKUP(A3,'BSE ALL CAP'!$B$4:$Y$1038,13,)</f>
        <v>5021</v>
      </c>
      <c r="O3" s="101">
        <f>VLOOKUP(A3,'BSE ALL CAP'!$B$4:$Y$1038,14,)</f>
        <v>3624</v>
      </c>
      <c r="P3" s="95">
        <f>VLOOKUP(A3,'BSE ALL CAP'!$B$4:$Y$1038,15,)</f>
        <v>9.3008686936184429E-2</v>
      </c>
      <c r="Q3" s="95">
        <f>VLOOKUP(A3,'BSE ALL CAP'!$B$4:$Y$1038,16,)</f>
        <v>9.0308804486712232E-2</v>
      </c>
      <c r="R3" s="95">
        <f>VLOOKUP(A3,'BSE ALL CAP'!$B$4:$Y$1038,17,)</f>
        <v>2.6998824494721962E-3</v>
      </c>
      <c r="S3" s="95">
        <f>VLOOKUP(A3,'BSE ALL CAP'!$B$4:$Y$1038,18,)</f>
        <v>9.6372360844529756E-2</v>
      </c>
      <c r="T3" s="95">
        <f>VLOOKUP(A3,'BSE ALL CAP'!$B$4:$Y$1038,19,)</f>
        <v>8.738847359537015E-2</v>
      </c>
      <c r="U3" s="95">
        <f>VLOOKUP(A3,'BSE ALL CAP'!$B$4:$Y$1038,20,)</f>
        <v>8.9838872491596056E-3</v>
      </c>
      <c r="V3" s="95">
        <f>VLOOKUP(A3,'BSE ALL CAP'!$B$4:$Y$1038,21,)</f>
        <v>0.23199355120871967</v>
      </c>
      <c r="W3" s="95">
        <f>VLOOKUP(A3,'BSE ALL CAP'!$B$4:$Y$1038,22,)</f>
        <v>0.26882537270914453</v>
      </c>
      <c r="X3" s="95">
        <f>VLOOKUP(A3,'BSE ALL CAP'!$B$4:$Y$1038,23,)</f>
        <v>0.25632987701953214</v>
      </c>
      <c r="Y3" s="95">
        <f>VLOOKUP(A3,'BSE ALL CAP'!$B$4:$Y$1038,24,)</f>
        <v>0.38548565121412803</v>
      </c>
    </row>
    <row r="4" spans="1:25" ht="15.75" customHeight="1">
      <c r="A4" s="99">
        <v>544274</v>
      </c>
      <c r="B4" s="98" t="s">
        <v>2342</v>
      </c>
      <c r="C4" s="101" t="str">
        <f>VLOOKUP(A4,'BSE ALL CAP'!$B$4:$Y$1038,2,)</f>
        <v>Consumer Discretionary</v>
      </c>
      <c r="D4" s="101" t="str">
        <f>VLOOKUP(A4,'BSE ALL CAP'!$B$4:$Y$1038,3,)</f>
        <v>Passenger Cars &amp; Utility Vehicles</v>
      </c>
      <c r="E4" s="101">
        <f ca="1">IFERROR(__xludf.DUMMYFUNCTION("GOOGLEFINANCE(""BOM:""&amp;A4,""PRICE"")"),1693.95)</f>
        <v>1693.95</v>
      </c>
      <c r="F4" s="112">
        <f ca="1">IFERROR(__xludf.DUMMYFUNCTION("GOOGLEFINANCE(""BOM:""&amp;A4,""MARKETCAP"")/10000000"),137563.1913)</f>
        <v>137563.19130000001</v>
      </c>
      <c r="G4" s="95">
        <f t="shared" ca="1" si="0"/>
        <v>0.13140946233243639</v>
      </c>
      <c r="H4" s="101">
        <f>VLOOKUP(A4,'BSE ALL CAP'!$B$4:$Y$1038,7,)</f>
        <v>51847</v>
      </c>
      <c r="I4" s="101">
        <f>VLOOKUP(A4,'BSE ALL CAP'!$B$4:$Y$1038,8,)</f>
        <v>51252</v>
      </c>
      <c r="J4" s="101">
        <f>VLOOKUP(A4,'BSE ALL CAP'!$B$4:$Y$1038,9,)</f>
        <v>4175</v>
      </c>
      <c r="K4" s="101">
        <f>VLOOKUP(A4,'BSE ALL CAP'!$B$4:$Y$1038,10,)</f>
        <v>4025</v>
      </c>
      <c r="L4" s="101">
        <f>VLOOKUP(A4,'BSE ALL CAP'!$B$4:$Y$1038,11,)</f>
        <v>17973</v>
      </c>
      <c r="M4" s="101">
        <f>VLOOKUP(A4,'BSE ALL CAP'!$B$4:$Y$1038,12,)</f>
        <v>16647</v>
      </c>
      <c r="N4" s="101">
        <f>VLOOKUP(A4,'BSE ALL CAP'!$B$4:$Y$1038,13,)</f>
        <v>1234</v>
      </c>
      <c r="O4" s="101">
        <f>VLOOKUP(A4,'BSE ALL CAP'!$B$4:$Y$1038,14,)</f>
        <v>1160</v>
      </c>
      <c r="P4" s="95">
        <f>VLOOKUP(A4,'BSE ALL CAP'!$B$4:$Y$1038,15,)</f>
        <v>8.0525392018824624E-2</v>
      </c>
      <c r="Q4" s="95">
        <f>VLOOKUP(A4,'BSE ALL CAP'!$B$4:$Y$1038,16,)</f>
        <v>7.8533520643096849E-2</v>
      </c>
      <c r="R4" s="95">
        <f>VLOOKUP(A4,'BSE ALL CAP'!$B$4:$Y$1038,17,)</f>
        <v>1.9918713757277745E-3</v>
      </c>
      <c r="S4" s="95">
        <f>VLOOKUP(A4,'BSE ALL CAP'!$B$4:$Y$1038,18,)</f>
        <v>6.8658543370611474E-2</v>
      </c>
      <c r="T4" s="95">
        <f>VLOOKUP(A4,'BSE ALL CAP'!$B$4:$Y$1038,19,)</f>
        <v>6.968222502553012E-2</v>
      </c>
      <c r="U4" s="95">
        <f>VLOOKUP(A4,'BSE ALL CAP'!$B$4:$Y$1038,20,)</f>
        <v>-1.0236816549186456E-3</v>
      </c>
      <c r="V4" s="95">
        <f>VLOOKUP(A4,'BSE ALL CAP'!$B$4:$Y$1038,21,)</f>
        <v>1.1609303051588249E-2</v>
      </c>
      <c r="W4" s="95">
        <f>VLOOKUP(A4,'BSE ALL CAP'!$B$4:$Y$1038,22,)</f>
        <v>3.7267080745341685E-2</v>
      </c>
      <c r="X4" s="95">
        <f>VLOOKUP(A4,'BSE ALL CAP'!$B$4:$Y$1038,23,)</f>
        <v>7.9653991710218142E-2</v>
      </c>
      <c r="Y4" s="95">
        <f>VLOOKUP(A4,'BSE ALL CAP'!$B$4:$Y$1038,24,)</f>
        <v>6.3793103448275934E-2</v>
      </c>
    </row>
    <row r="5" spans="1:25" ht="15.75" customHeight="1">
      <c r="A5" s="99">
        <v>500570</v>
      </c>
      <c r="B5" s="98" t="s">
        <v>2343</v>
      </c>
      <c r="C5" s="101" t="str">
        <f>VLOOKUP(A5,'BSE ALL CAP'!$B$4:$Y$1038,2,)</f>
        <v>Consumer Discretionary</v>
      </c>
      <c r="D5" s="101" t="str">
        <f>VLOOKUP(A5,'BSE ALL CAP'!$B$4:$Y$1038,3,)</f>
        <v>Passenger Cars &amp; Utility Vehicles</v>
      </c>
      <c r="E5" s="101">
        <f ca="1">IFERROR(__xludf.DUMMYFUNCTION("GOOGLEFINANCE(""BOM:""&amp;A5,""PRICE"")"),306.95)</f>
        <v>306.95</v>
      </c>
      <c r="F5" s="112">
        <f ca="1">IFERROR(__xludf.DUMMYFUNCTION("GOOGLEFINANCE(""BOM:""&amp;A5,""MARKETCAP"")/10000000"),111686.5)</f>
        <v>111686.5</v>
      </c>
      <c r="G5" s="95">
        <f t="shared" ca="1" si="0"/>
        <v>0.10669033464616676</v>
      </c>
      <c r="H5" s="101">
        <f>VLOOKUP(A5,'BSE ALL CAP'!$B$4:$Y$1038,7,)</f>
        <v>230135</v>
      </c>
      <c r="I5" s="101">
        <f>VLOOKUP(A5,'BSE ALL CAP'!$B$4:$Y$1038,8,)</f>
        <v>267717</v>
      </c>
      <c r="J5" s="101">
        <f>VLOOKUP(A5,'BSE ALL CAP'!$B$4:$Y$1038,9,)</f>
        <v>0</v>
      </c>
      <c r="K5" s="101">
        <f>VLOOKUP(A5,'BSE ALL CAP'!$B$4:$Y$1038,10,)</f>
        <v>0</v>
      </c>
      <c r="L5" s="101">
        <f>VLOOKUP(A5,'BSE ALL CAP'!$B$4:$Y$1038,11,)</f>
        <v>70108</v>
      </c>
      <c r="M5" s="101">
        <f>VLOOKUP(A5,'BSE ALL CAP'!$B$4:$Y$1038,12,)</f>
        <v>94472</v>
      </c>
      <c r="N5" s="101">
        <f>VLOOKUP(A5,'BSE ALL CAP'!$B$4:$Y$1038,13,)</f>
        <v>-3486</v>
      </c>
      <c r="O5" s="101">
        <f>VLOOKUP(A5,'BSE ALL CAP'!$B$4:$Y$1038,14,)</f>
        <v>5485</v>
      </c>
      <c r="P5" s="95">
        <f>VLOOKUP(A5,'BSE ALL CAP'!$B$4:$Y$1038,15,)</f>
        <v>0</v>
      </c>
      <c r="Q5" s="95">
        <f>VLOOKUP(A5,'BSE ALL CAP'!$B$4:$Y$1038,16,)</f>
        <v>0</v>
      </c>
      <c r="R5" s="95">
        <f>VLOOKUP(A5,'BSE ALL CAP'!$B$4:$Y$1038,17,)</f>
        <v>0</v>
      </c>
      <c r="S5" s="95">
        <f>VLOOKUP(A5,'BSE ALL CAP'!$B$4:$Y$1038,18,)</f>
        <v>-4.9723284075997035E-2</v>
      </c>
      <c r="T5" s="95">
        <f>VLOOKUP(A5,'BSE ALL CAP'!$B$4:$Y$1038,19,)</f>
        <v>5.8059530866288421E-2</v>
      </c>
      <c r="U5" s="95">
        <f>VLOOKUP(A5,'BSE ALL CAP'!$B$4:$Y$1038,20,)</f>
        <v>-0.10778281494228545</v>
      </c>
      <c r="V5" s="95">
        <f>VLOOKUP(A5,'BSE ALL CAP'!$B$4:$Y$1038,21,)</f>
        <v>-0.14037957992955252</v>
      </c>
      <c r="W5" s="95" t="e">
        <f>VLOOKUP(A5,'BSE ALL CAP'!$B$4:$Y$1038,22,)</f>
        <v>#DIV/0!</v>
      </c>
      <c r="X5" s="95">
        <f>VLOOKUP(A5,'BSE ALL CAP'!$B$4:$Y$1038,23,)</f>
        <v>-0.25789651960369209</v>
      </c>
      <c r="Y5" s="95">
        <f>VLOOKUP(A5,'BSE ALL CAP'!$B$4:$Y$1038,24,)</f>
        <v>-1.6355515041020965</v>
      </c>
    </row>
    <row r="6" spans="1:25" ht="15.75" customHeight="1">
      <c r="A6" s="99">
        <v>500033</v>
      </c>
      <c r="B6" s="98" t="s">
        <v>2344</v>
      </c>
      <c r="C6" s="101" t="str">
        <f>VLOOKUP(A6,'BSE ALL CAP'!$B$4:$Y$1038,2,)</f>
        <v>Consumer Discretionary</v>
      </c>
      <c r="D6" s="101" t="str">
        <f>VLOOKUP(A6,'BSE ALL CAP'!$B$4:$Y$1038,3,)</f>
        <v>Passenger Cars &amp; Utility Vehicles</v>
      </c>
      <c r="E6" s="101">
        <f ca="1">IFERROR(__xludf.DUMMYFUNCTION("GOOGLEFINANCE(""BOM:""&amp;A6,""PRICE"")"),21260)</f>
        <v>21260</v>
      </c>
      <c r="F6" s="112">
        <f ca="1">IFERROR(__xludf.DUMMYFUNCTION("GOOGLEFINANCE(""BOM:""&amp;A6,""MARKETCAP"")/10000000"),28015.364012)</f>
        <v>28015.364011999998</v>
      </c>
      <c r="G6" s="95">
        <f t="shared" ca="1" si="0"/>
        <v>2.6762129368137211E-2</v>
      </c>
      <c r="H6" s="101">
        <f>VLOOKUP(A6,'BSE ALL CAP'!$B$4:$Y$1038,7,)</f>
        <v>6507</v>
      </c>
      <c r="I6" s="101">
        <f>VLOOKUP(A6,'BSE ALL CAP'!$B$4:$Y$1038,8,)</f>
        <v>5715</v>
      </c>
      <c r="J6" s="101">
        <f>VLOOKUP(A6,'BSE ALL CAP'!$B$4:$Y$1038,9,)</f>
        <v>933</v>
      </c>
      <c r="K6" s="101">
        <f>VLOOKUP(A6,'BSE ALL CAP'!$B$4:$Y$1038,10,)</f>
        <v>366</v>
      </c>
      <c r="L6" s="101">
        <f>VLOOKUP(A6,'BSE ALL CAP'!$B$4:$Y$1038,11,)</f>
        <v>2128</v>
      </c>
      <c r="M6" s="101">
        <f>VLOOKUP(A6,'BSE ALL CAP'!$B$4:$Y$1038,12,)</f>
        <v>1889</v>
      </c>
      <c r="N6" s="101">
        <f>VLOOKUP(A6,'BSE ALL CAP'!$B$4:$Y$1038,13,)</f>
        <v>406</v>
      </c>
      <c r="O6" s="101">
        <f>VLOOKUP(A6,'BSE ALL CAP'!$B$4:$Y$1038,14,)</f>
        <v>115</v>
      </c>
      <c r="P6" s="95">
        <f>VLOOKUP(A6,'BSE ALL CAP'!$B$4:$Y$1038,15,)</f>
        <v>0.14338404794836329</v>
      </c>
      <c r="Q6" s="95">
        <f>VLOOKUP(A6,'BSE ALL CAP'!$B$4:$Y$1038,16,)</f>
        <v>6.4041994750656167E-2</v>
      </c>
      <c r="R6" s="95">
        <f>VLOOKUP(A6,'BSE ALL CAP'!$B$4:$Y$1038,17,)</f>
        <v>7.9342053197707124E-2</v>
      </c>
      <c r="S6" s="95">
        <f>VLOOKUP(A6,'BSE ALL CAP'!$B$4:$Y$1038,18,)</f>
        <v>0.19078947368421054</v>
      </c>
      <c r="T6" s="95">
        <f>VLOOKUP(A6,'BSE ALL CAP'!$B$4:$Y$1038,19,)</f>
        <v>6.0878771836950771E-2</v>
      </c>
      <c r="U6" s="95">
        <f>VLOOKUP(A6,'BSE ALL CAP'!$B$4:$Y$1038,20,)</f>
        <v>0.12991070184725978</v>
      </c>
      <c r="V6" s="95">
        <f>VLOOKUP(A6,'BSE ALL CAP'!$B$4:$Y$1038,21,)</f>
        <v>0.13858267716535444</v>
      </c>
      <c r="W6" s="95">
        <f>VLOOKUP(A6,'BSE ALL CAP'!$B$4:$Y$1038,22,)</f>
        <v>1.5491803278688523</v>
      </c>
      <c r="X6" s="95">
        <f>VLOOKUP(A6,'BSE ALL CAP'!$B$4:$Y$1038,23,)</f>
        <v>0.12652196929592385</v>
      </c>
      <c r="Y6" s="95">
        <f>VLOOKUP(A6,'BSE ALL CAP'!$B$4:$Y$1038,24,)</f>
        <v>2.5304347826086957</v>
      </c>
    </row>
    <row r="7" spans="1:25" ht="15.75" customHeight="1">
      <c r="A7" s="99">
        <v>532439</v>
      </c>
      <c r="B7" s="98" t="s">
        <v>2345</v>
      </c>
      <c r="C7" s="101" t="str">
        <f>VLOOKUP(A7,'BSE ALL CAP'!$B$4:$Y$1038,2,)</f>
        <v>Consumer Discretionary</v>
      </c>
      <c r="D7" s="101" t="str">
        <f>VLOOKUP(A7,'BSE ALL CAP'!$B$4:$Y$1038,3,)</f>
        <v>Passenger Cars &amp; Utility Vehicles</v>
      </c>
      <c r="E7" s="101">
        <f ca="1">IFERROR(__xludf.DUMMYFUNCTION("GOOGLEFINANCE(""BOM:""&amp;A7,""PRICE"")"),1027.25)</f>
        <v>1027.25</v>
      </c>
      <c r="F7" s="112">
        <f ca="1">IFERROR(__xludf.DUMMYFUNCTION("GOOGLEFINANCE(""BOM:""&amp;A7,""MARKETCAP"")/10000000"),8431.1736152)</f>
        <v>8431.1736151999994</v>
      </c>
      <c r="G7" s="95">
        <f t="shared" ca="1" si="0"/>
        <v>8.0540148940616771E-3</v>
      </c>
      <c r="H7" s="101">
        <f>VLOOKUP(A7,'BSE ALL CAP'!$B$4:$Y$1038,7,)</f>
        <v>1667</v>
      </c>
      <c r="I7" s="101">
        <f>VLOOKUP(A7,'BSE ALL CAP'!$B$4:$Y$1038,8,)</f>
        <v>1352</v>
      </c>
      <c r="J7" s="101">
        <f>VLOOKUP(A7,'BSE ALL CAP'!$B$4:$Y$1038,9,)</f>
        <v>122</v>
      </c>
      <c r="K7" s="101">
        <f>VLOOKUP(A7,'BSE ALL CAP'!$B$4:$Y$1038,10,)</f>
        <v>118</v>
      </c>
      <c r="L7" s="101">
        <f>VLOOKUP(A7,'BSE ALL CAP'!$B$4:$Y$1038,11,)</f>
        <v>663</v>
      </c>
      <c r="M7" s="101">
        <f>VLOOKUP(A7,'BSE ALL CAP'!$B$4:$Y$1038,12,)</f>
        <v>513</v>
      </c>
      <c r="N7" s="101">
        <f>VLOOKUP(A7,'BSE ALL CAP'!$B$4:$Y$1038,13,)</f>
        <v>46</v>
      </c>
      <c r="O7" s="101">
        <f>VLOOKUP(A7,'BSE ALL CAP'!$B$4:$Y$1038,14,)</f>
        <v>46</v>
      </c>
      <c r="P7" s="95">
        <f>VLOOKUP(A7,'BSE ALL CAP'!$B$4:$Y$1038,15,)</f>
        <v>7.3185362927414524E-2</v>
      </c>
      <c r="Q7" s="95">
        <f>VLOOKUP(A7,'BSE ALL CAP'!$B$4:$Y$1038,16,)</f>
        <v>8.7278106508875741E-2</v>
      </c>
      <c r="R7" s="95">
        <f>VLOOKUP(A7,'BSE ALL CAP'!$B$4:$Y$1038,17,)</f>
        <v>-1.4092743581461217E-2</v>
      </c>
      <c r="S7" s="95">
        <f>VLOOKUP(A7,'BSE ALL CAP'!$B$4:$Y$1038,18,)</f>
        <v>6.9381598793363503E-2</v>
      </c>
      <c r="T7" s="95">
        <f>VLOOKUP(A7,'BSE ALL CAP'!$B$4:$Y$1038,19,)</f>
        <v>8.9668615984405453E-2</v>
      </c>
      <c r="U7" s="95">
        <f>VLOOKUP(A7,'BSE ALL CAP'!$B$4:$Y$1038,20,)</f>
        <v>-2.0287017191041951E-2</v>
      </c>
      <c r="V7" s="95">
        <f>VLOOKUP(A7,'BSE ALL CAP'!$B$4:$Y$1038,21,)</f>
        <v>0.23298816568047331</v>
      </c>
      <c r="W7" s="95">
        <f>VLOOKUP(A7,'BSE ALL CAP'!$B$4:$Y$1038,22,)</f>
        <v>3.3898305084745672E-2</v>
      </c>
      <c r="X7" s="95">
        <f>VLOOKUP(A7,'BSE ALL CAP'!$B$4:$Y$1038,23,)</f>
        <v>0.29239766081871355</v>
      </c>
      <c r="Y7" s="95">
        <f>VLOOKUP(A7,'BSE ALL CAP'!$B$4:$Y$1038,24,)</f>
        <v>0</v>
      </c>
    </row>
    <row r="8" spans="1:25" ht="15.75" customHeight="1">
      <c r="A8" s="99">
        <v>531357</v>
      </c>
      <c r="B8" s="98" t="s">
        <v>2346</v>
      </c>
      <c r="C8" s="101"/>
      <c r="D8" s="101"/>
      <c r="E8" s="101">
        <f ca="1">IFERROR(__xludf.DUMMYFUNCTION("GOOGLEFINANCE(""BOM:""&amp;A8,""PRICE"")"),27.02)</f>
        <v>27.02</v>
      </c>
      <c r="F8" s="112">
        <f ca="1">IFERROR(__xludf.DUMMYFUNCTION("GOOGLEFINANCE(""BOM:""&amp;A8,""MARKETCAP"")/10000000"),513.3070546)</f>
        <v>513.30705460000001</v>
      </c>
      <c r="G8" s="95">
        <f t="shared" ca="1" si="0"/>
        <v>4.9034486201566163E-4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500500</v>
      </c>
      <c r="B9" s="98" t="s">
        <v>2347</v>
      </c>
      <c r="C9" s="101"/>
      <c r="D9" s="101"/>
      <c r="E9" s="101">
        <f ca="1">IFERROR(__xludf.DUMMYFUNCTION("GOOGLEFINANCE(""BOM:""&amp;A9,""PRICE"")"),13.6)</f>
        <v>13.6</v>
      </c>
      <c r="F9" s="112">
        <f ca="1">IFERROR(__xludf.DUMMYFUNCTION("GOOGLEFINANCE(""BOM:""&amp;A9,""MARKETCAP"")/10000000"),282.5344319)</f>
        <v>282.53443190000002</v>
      </c>
      <c r="G9" s="95">
        <f t="shared" ca="1" si="0"/>
        <v>2.6989558351703756E-4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>
      <c r="A10" s="101"/>
      <c r="B10" s="101"/>
      <c r="C10" s="101"/>
      <c r="D10" s="101"/>
      <c r="E10" s="101"/>
      <c r="F10" s="101"/>
      <c r="G10" s="95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>
      <c r="A11" s="101"/>
      <c r="B11" s="101"/>
      <c r="C11" s="101"/>
      <c r="D11" s="101"/>
      <c r="E11" s="101"/>
      <c r="F11" s="112">
        <f ca="1">SUM(F2:F9)</f>
        <v>1046828.6595070001</v>
      </c>
      <c r="G11" s="95">
        <f ca="1">SUM(F11/$F$11)</f>
        <v>1</v>
      </c>
      <c r="H11" s="101">
        <f t="shared" ref="H11:O11" si="1">SUM(H2:H9)</f>
        <v>564673</v>
      </c>
      <c r="I11" s="101">
        <f t="shared" si="1"/>
        <v>554639</v>
      </c>
      <c r="J11" s="101">
        <f t="shared" si="1"/>
        <v>29612</v>
      </c>
      <c r="K11" s="101">
        <f t="shared" si="1"/>
        <v>25629</v>
      </c>
      <c r="L11" s="101">
        <f t="shared" si="1"/>
        <v>192876</v>
      </c>
      <c r="M11" s="101">
        <f t="shared" si="1"/>
        <v>193755</v>
      </c>
      <c r="N11" s="101">
        <f t="shared" si="1"/>
        <v>7100</v>
      </c>
      <c r="O11" s="101">
        <f t="shared" si="1"/>
        <v>14156</v>
      </c>
      <c r="P11" s="95">
        <f t="shared" ref="P11:Q11" si="2">J11/H11</f>
        <v>5.244097026066414E-2</v>
      </c>
      <c r="Q11" s="95">
        <f t="shared" si="2"/>
        <v>4.6208434675527689E-2</v>
      </c>
      <c r="R11" s="95">
        <f>P11-Q11</f>
        <v>6.2325355851364506E-3</v>
      </c>
      <c r="S11" s="95">
        <f t="shared" ref="S11:T11" si="3">N11/L11</f>
        <v>3.6811215495966318E-2</v>
      </c>
      <c r="T11" s="95">
        <f t="shared" si="3"/>
        <v>7.3061340352507026E-2</v>
      </c>
      <c r="U11" s="95">
        <f>S11-T11</f>
        <v>-3.6250124856540708E-2</v>
      </c>
      <c r="V11" s="95">
        <f>(H11/I11)-1</f>
        <v>1.8091046608694983E-2</v>
      </c>
      <c r="W11" s="95">
        <f>(J11/K11)-1</f>
        <v>0.15540988723711413</v>
      </c>
      <c r="X11" s="95">
        <f>(L11/M11)-1</f>
        <v>-4.5366571185260218E-3</v>
      </c>
      <c r="Y11" s="95">
        <f>(N11/O11)-1</f>
        <v>-0.49844588866911554</v>
      </c>
    </row>
    <row r="12" spans="1:25">
      <c r="G12" s="50"/>
    </row>
    <row r="13" spans="1:25">
      <c r="G13" s="50"/>
    </row>
    <row r="14" spans="1:25">
      <c r="G14" s="50"/>
    </row>
    <row r="15" spans="1:25">
      <c r="G15" s="50"/>
    </row>
    <row r="16" spans="1:25">
      <c r="G16" s="50"/>
    </row>
    <row r="17" spans="7:7">
      <c r="G17" s="50"/>
    </row>
    <row r="18" spans="7:7">
      <c r="G18" s="50"/>
    </row>
    <row r="19" spans="7:7">
      <c r="G19" s="50"/>
    </row>
    <row r="20" spans="7:7">
      <c r="G20" s="50"/>
    </row>
    <row r="21" spans="7:7">
      <c r="G21" s="50"/>
    </row>
    <row r="22" spans="7:7">
      <c r="G22" s="50"/>
    </row>
    <row r="23" spans="7:7">
      <c r="G23" s="50"/>
    </row>
    <row r="24" spans="7:7">
      <c r="G24" s="50"/>
    </row>
    <row r="25" spans="7:7" ht="13.2">
      <c r="G25" s="50"/>
    </row>
    <row r="26" spans="7:7" ht="13.2">
      <c r="G26" s="50"/>
    </row>
    <row r="27" spans="7:7" ht="13.2">
      <c r="G27" s="50"/>
    </row>
    <row r="28" spans="7:7" ht="13.2">
      <c r="G28" s="50"/>
    </row>
    <row r="29" spans="7:7" ht="13.2">
      <c r="G29" s="50"/>
    </row>
    <row r="30" spans="7:7" ht="13.2">
      <c r="G30" s="50"/>
    </row>
    <row r="31" spans="7:7" ht="13.2">
      <c r="G31" s="50"/>
    </row>
    <row r="32" spans="7:7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9" xr:uid="{00000000-0009-0000-0000-000045000000}"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500040</v>
      </c>
      <c r="B2" s="98" t="s">
        <v>2348</v>
      </c>
      <c r="C2" s="101" t="str">
        <f>VLOOKUP(A2,'BSE ALL CAP'!$B$4:$Y$1038,2,)</f>
        <v>Commodities</v>
      </c>
      <c r="D2" s="101" t="str">
        <f>VLOOKUP(A2,'BSE ALL CAP'!$B$4:$Y$1038,3,)</f>
        <v>Paper &amp; Paper Products</v>
      </c>
      <c r="E2" s="101">
        <f ca="1">IFERROR(__xludf.DUMMYFUNCTION("GOOGLEFINANCE(""BOM:""&amp;A2,""PRICE"")"),1172.1)</f>
        <v>1172.0999999999999</v>
      </c>
      <c r="F2" s="112">
        <f ca="1">IFERROR(__xludf.DUMMYFUNCTION("GOOGLEFINANCE(""BOM:""&amp;A2,""MARKETCAP"")/10000000"),12950.288175)</f>
        <v>12950.288175</v>
      </c>
      <c r="G2" s="95">
        <f t="shared" ref="G2:G54" ca="1" si="0">F2/$F$56</f>
        <v>0.3592513859744168</v>
      </c>
      <c r="H2" s="101">
        <f>VLOOKUP(A2,'BSE ALL CAP'!$B$4:$Y$1038,7,)</f>
        <v>360</v>
      </c>
      <c r="I2" s="101">
        <f>VLOOKUP(A2,'BSE ALL CAP'!$B$4:$Y$1038,8,)</f>
        <v>849</v>
      </c>
      <c r="J2" s="101">
        <f>VLOOKUP(A2,'BSE ALL CAP'!$B$4:$Y$1038,9,)</f>
        <v>-227</v>
      </c>
      <c r="K2" s="101">
        <f>VLOOKUP(A2,'BSE ALL CAP'!$B$4:$Y$1038,10,)</f>
        <v>-21</v>
      </c>
      <c r="L2" s="101">
        <f>VLOOKUP(A2,'BSE ALL CAP'!$B$4:$Y$1038,11,)</f>
        <v>90</v>
      </c>
      <c r="M2" s="101">
        <f>VLOOKUP(A2,'BSE ALL CAP'!$B$4:$Y$1038,12,)</f>
        <v>208</v>
      </c>
      <c r="N2" s="101">
        <f>VLOOKUP(A2,'BSE ALL CAP'!$B$4:$Y$1038,13,)</f>
        <v>-107</v>
      </c>
      <c r="O2" s="101">
        <f>VLOOKUP(A2,'BSE ALL CAP'!$B$4:$Y$1038,14,)</f>
        <v>-30</v>
      </c>
      <c r="P2" s="95">
        <f>VLOOKUP(A2,'BSE ALL CAP'!$B$4:$Y$1038,15,)</f>
        <v>-0.63055555555555554</v>
      </c>
      <c r="Q2" s="95">
        <f>VLOOKUP(A2,'BSE ALL CAP'!$B$4:$Y$1038,16,)</f>
        <v>-2.4734982332155476E-2</v>
      </c>
      <c r="R2" s="95">
        <f>VLOOKUP(A2,'BSE ALL CAP'!$B$4:$Y$1038,17,)</f>
        <v>-0.60582057322340011</v>
      </c>
      <c r="S2" s="95">
        <f>VLOOKUP(A2,'BSE ALL CAP'!$B$4:$Y$1038,18,)</f>
        <v>-1.1888888888888889</v>
      </c>
      <c r="T2" s="95">
        <f>VLOOKUP(A2,'BSE ALL CAP'!$B$4:$Y$1038,19,)</f>
        <v>-0.14423076923076922</v>
      </c>
      <c r="U2" s="95">
        <f>VLOOKUP(A2,'BSE ALL CAP'!$B$4:$Y$1038,20,)</f>
        <v>-1.0446581196581197</v>
      </c>
      <c r="V2" s="95">
        <f>VLOOKUP(A2,'BSE ALL CAP'!$B$4:$Y$1038,21,)</f>
        <v>-0.57597173144876324</v>
      </c>
      <c r="W2" s="95">
        <f>VLOOKUP(A2,'BSE ALL CAP'!$B$4:$Y$1038,22,)</f>
        <v>9.8095238095238102</v>
      </c>
      <c r="X2" s="95">
        <f>VLOOKUP(A2,'BSE ALL CAP'!$B$4:$Y$1038,23,)</f>
        <v>-0.56730769230769229</v>
      </c>
      <c r="Y2" s="95">
        <f>VLOOKUP(A2,'BSE ALL CAP'!$B$4:$Y$1038,24,)</f>
        <v>2.5666666666666669</v>
      </c>
    </row>
    <row r="3" spans="1:25" ht="15.75" customHeight="1">
      <c r="A3" s="99">
        <v>532162</v>
      </c>
      <c r="B3" s="98" t="s">
        <v>2349</v>
      </c>
      <c r="C3" s="101" t="str">
        <f>VLOOKUP(A3,'BSE ALL CAP'!$B$4:$Y$1038,2,)</f>
        <v>Commodities</v>
      </c>
      <c r="D3" s="101" t="str">
        <f>VLOOKUP(A3,'BSE ALL CAP'!$B$4:$Y$1038,3,)</f>
        <v>Paper &amp; Paper Products</v>
      </c>
      <c r="E3" s="101">
        <f ca="1">IFERROR(__xludf.DUMMYFUNCTION("GOOGLEFINANCE(""BOM:""&amp;A3,""PRICE"")"),336.5)</f>
        <v>336.5</v>
      </c>
      <c r="F3" s="112">
        <f ca="1">IFERROR(__xludf.DUMMYFUNCTION("GOOGLEFINANCE(""BOM:""&amp;A3,""MARKETCAP"")/10000000"),6103.1875526)</f>
        <v>6103.1875526000003</v>
      </c>
      <c r="G3" s="95">
        <f t="shared" ca="1" si="0"/>
        <v>0.16930732023137848</v>
      </c>
      <c r="H3" s="101">
        <f>VLOOKUP(A3,'BSE ALL CAP'!$B$4:$Y$1038,7,)</f>
        <v>5533</v>
      </c>
      <c r="I3" s="101">
        <f>VLOOKUP(A3,'BSE ALL CAP'!$B$4:$Y$1038,8,)</f>
        <v>5315</v>
      </c>
      <c r="J3" s="101">
        <f>VLOOKUP(A3,'BSE ALL CAP'!$B$4:$Y$1038,9,)</f>
        <v>191</v>
      </c>
      <c r="K3" s="101">
        <f>VLOOKUP(A3,'BSE ALL CAP'!$B$4:$Y$1038,10,)</f>
        <v>335</v>
      </c>
      <c r="L3" s="101">
        <f>VLOOKUP(A3,'BSE ALL CAP'!$B$4:$Y$1038,11,)</f>
        <v>1878</v>
      </c>
      <c r="M3" s="101">
        <f>VLOOKUP(A3,'BSE ALL CAP'!$B$4:$Y$1038,12,)</f>
        <v>1733</v>
      </c>
      <c r="N3" s="101">
        <f>VLOOKUP(A3,'BSE ALL CAP'!$B$4:$Y$1038,13,)</f>
        <v>28</v>
      </c>
      <c r="O3" s="101">
        <f>VLOOKUP(A3,'BSE ALL CAP'!$B$4:$Y$1038,14,)</f>
        <v>65</v>
      </c>
      <c r="P3" s="95">
        <f>VLOOKUP(A3,'BSE ALL CAP'!$B$4:$Y$1038,15,)</f>
        <v>3.4520151816374481E-2</v>
      </c>
      <c r="Q3" s="95">
        <f>VLOOKUP(A3,'BSE ALL CAP'!$B$4:$Y$1038,16,)</f>
        <v>6.3029162746942619E-2</v>
      </c>
      <c r="R3" s="95">
        <f>VLOOKUP(A3,'BSE ALL CAP'!$B$4:$Y$1038,17,)</f>
        <v>-2.8509010930568138E-2</v>
      </c>
      <c r="S3" s="95">
        <f>VLOOKUP(A3,'BSE ALL CAP'!$B$4:$Y$1038,18,)</f>
        <v>1.4909478168264111E-2</v>
      </c>
      <c r="T3" s="95">
        <f>VLOOKUP(A3,'BSE ALL CAP'!$B$4:$Y$1038,19,)</f>
        <v>3.7507212925562611E-2</v>
      </c>
      <c r="U3" s="95">
        <f>VLOOKUP(A3,'BSE ALL CAP'!$B$4:$Y$1038,20,)</f>
        <v>-2.2597734757298499E-2</v>
      </c>
      <c r="V3" s="95">
        <f>VLOOKUP(A3,'BSE ALL CAP'!$B$4:$Y$1038,21,)</f>
        <v>4.1015992474129792E-2</v>
      </c>
      <c r="W3" s="95">
        <f>VLOOKUP(A3,'BSE ALL CAP'!$B$4:$Y$1038,22,)</f>
        <v>-0.42985074626865671</v>
      </c>
      <c r="X3" s="95">
        <f>VLOOKUP(A3,'BSE ALL CAP'!$B$4:$Y$1038,23,)</f>
        <v>8.3669936526254984E-2</v>
      </c>
      <c r="Y3" s="95">
        <f>VLOOKUP(A3,'BSE ALL CAP'!$B$4:$Y$1038,24,)</f>
        <v>-0.56923076923076921</v>
      </c>
    </row>
    <row r="4" spans="1:25" ht="15.75" customHeight="1">
      <c r="A4" s="99">
        <v>516038</v>
      </c>
      <c r="B4" s="98" t="s">
        <v>2350</v>
      </c>
      <c r="C4" s="101" t="e">
        <f>VLOOKUP(A4,'BSE ALL CAP'!$B$4:$Y$1038,2,)</f>
        <v>#N/A</v>
      </c>
      <c r="D4" s="101" t="e">
        <f>VLOOKUP(A4,'BSE ALL CAP'!$B$4:$Y$1038,3,)</f>
        <v>#N/A</v>
      </c>
      <c r="E4" s="101">
        <f ca="1">IFERROR(__xludf.DUMMYFUNCTION("GOOGLEFINANCE(""BOM:""&amp;A4,""PRICE"")"),218.1)</f>
        <v>218.1</v>
      </c>
      <c r="F4" s="112">
        <f ca="1">IFERROR(__xludf.DUMMYFUNCTION("GOOGLEFINANCE(""BOM:""&amp;A4,""MARKETCAP"")/10000000"),3578.3668001)</f>
        <v>3578.3668001000001</v>
      </c>
      <c r="G4" s="95">
        <f t="shared" ca="1" si="0"/>
        <v>9.9266766506588874E-2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500444</v>
      </c>
      <c r="B5" s="98" t="s">
        <v>2351</v>
      </c>
      <c r="C5" s="101" t="str">
        <f>VLOOKUP(A5,'BSE ALL CAP'!$B$4:$Y$1038,2,)</f>
        <v>Commodities</v>
      </c>
      <c r="D5" s="101" t="str">
        <f>VLOOKUP(A5,'BSE ALL CAP'!$B$4:$Y$1038,3,)</f>
        <v>Paper &amp; Paper Products</v>
      </c>
      <c r="E5" s="101">
        <f ca="1">IFERROR(__xludf.DUMMYFUNCTION("GOOGLEFINANCE(""BOM:""&amp;A5,""PRICE"")"),441.4)</f>
        <v>441.4</v>
      </c>
      <c r="F5" s="112">
        <f ca="1">IFERROR(__xludf.DUMMYFUNCTION("GOOGLEFINANCE(""BOM:""&amp;A5,""MARKETCAP"")/10000000"),2915.7292125)</f>
        <v>2915.7292124999999</v>
      </c>
      <c r="G5" s="95">
        <f t="shared" ca="1" si="0"/>
        <v>8.0884668090926079E-2</v>
      </c>
      <c r="H5" s="101">
        <f>VLOOKUP(A5,'BSE ALL CAP'!$B$4:$Y$1038,7,)</f>
        <v>3047</v>
      </c>
      <c r="I5" s="101">
        <f>VLOOKUP(A5,'BSE ALL CAP'!$B$4:$Y$1038,8,)</f>
        <v>3021</v>
      </c>
      <c r="J5" s="101">
        <f>VLOOKUP(A5,'BSE ALL CAP'!$B$4:$Y$1038,9,)</f>
        <v>101</v>
      </c>
      <c r="K5" s="101">
        <f>VLOOKUP(A5,'BSE ALL CAP'!$B$4:$Y$1038,10,)</f>
        <v>289</v>
      </c>
      <c r="L5" s="101">
        <f>VLOOKUP(A5,'BSE ALL CAP'!$B$4:$Y$1038,11,)</f>
        <v>1049</v>
      </c>
      <c r="M5" s="101">
        <f>VLOOKUP(A5,'BSE ALL CAP'!$B$4:$Y$1038,12,)</f>
        <v>1015</v>
      </c>
      <c r="N5" s="101">
        <f>VLOOKUP(A5,'BSE ALL CAP'!$B$4:$Y$1038,13,)</f>
        <v>29</v>
      </c>
      <c r="O5" s="101">
        <f>VLOOKUP(A5,'BSE ALL CAP'!$B$4:$Y$1038,14,)</f>
        <v>67</v>
      </c>
      <c r="P5" s="95">
        <f>VLOOKUP(A5,'BSE ALL CAP'!$B$4:$Y$1038,15,)</f>
        <v>3.314735805710535E-2</v>
      </c>
      <c r="Q5" s="95">
        <f>VLOOKUP(A5,'BSE ALL CAP'!$B$4:$Y$1038,16,)</f>
        <v>9.5663687520688517E-2</v>
      </c>
      <c r="R5" s="95">
        <f>VLOOKUP(A5,'BSE ALL CAP'!$B$4:$Y$1038,17,)</f>
        <v>-6.2516329463583167E-2</v>
      </c>
      <c r="S5" s="95">
        <f>VLOOKUP(A5,'BSE ALL CAP'!$B$4:$Y$1038,18,)</f>
        <v>2.7645376549094377E-2</v>
      </c>
      <c r="T5" s="95">
        <f>VLOOKUP(A5,'BSE ALL CAP'!$B$4:$Y$1038,19,)</f>
        <v>6.6009852216748766E-2</v>
      </c>
      <c r="U5" s="95">
        <f>VLOOKUP(A5,'BSE ALL CAP'!$B$4:$Y$1038,20,)</f>
        <v>-3.8364475667654385E-2</v>
      </c>
      <c r="V5" s="95">
        <f>VLOOKUP(A5,'BSE ALL CAP'!$B$4:$Y$1038,21,)</f>
        <v>8.6064217146639699E-3</v>
      </c>
      <c r="W5" s="95">
        <f>VLOOKUP(A5,'BSE ALL CAP'!$B$4:$Y$1038,22,)</f>
        <v>-0.65051903114186849</v>
      </c>
      <c r="X5" s="95">
        <f>VLOOKUP(A5,'BSE ALL CAP'!$B$4:$Y$1038,23,)</f>
        <v>3.3497536945812811E-2</v>
      </c>
      <c r="Y5" s="95">
        <f>VLOOKUP(A5,'BSE ALL CAP'!$B$4:$Y$1038,24,)</f>
        <v>-0.56716417910447769</v>
      </c>
    </row>
    <row r="6" spans="1:25" ht="15.75" customHeight="1">
      <c r="A6" s="99">
        <v>502450</v>
      </c>
      <c r="B6" s="98" t="s">
        <v>2352</v>
      </c>
      <c r="C6" s="101" t="e">
        <f>VLOOKUP(A6,'BSE ALL CAP'!$B$4:$Y$1038,2,)</f>
        <v>#N/A</v>
      </c>
      <c r="D6" s="101" t="e">
        <f>VLOOKUP(A6,'BSE ALL CAP'!$B$4:$Y$1038,3,)</f>
        <v>#N/A</v>
      </c>
      <c r="E6" s="101">
        <f ca="1">IFERROR(__xludf.DUMMYFUNCTION("GOOGLEFINANCE(""BOM:""&amp;A6,""PRICE"")"),254.6)</f>
        <v>254.6</v>
      </c>
      <c r="F6" s="112">
        <f ca="1">IFERROR(__xludf.DUMMYFUNCTION("GOOGLEFINANCE(""BOM:""&amp;A6,""MARKETCAP"")/10000000"),1609.1202649)</f>
        <v>1609.1202648999999</v>
      </c>
      <c r="G6" s="95">
        <f t="shared" ca="1" si="0"/>
        <v>4.4638287391998183E-2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502330</v>
      </c>
      <c r="B7" s="98" t="s">
        <v>2353</v>
      </c>
      <c r="C7" s="101" t="e">
        <f>VLOOKUP(A7,'BSE ALL CAP'!$B$4:$Y$1038,2,)</f>
        <v>#N/A</v>
      </c>
      <c r="D7" s="101" t="e">
        <f>VLOOKUP(A7,'BSE ALL CAP'!$B$4:$Y$1038,3,)</f>
        <v>#N/A</v>
      </c>
      <c r="E7" s="101">
        <f ca="1">IFERROR(__xludf.DUMMYFUNCTION("GOOGLEFINANCE(""BOM:""&amp;A7,""PRICE"")"),60)</f>
        <v>60</v>
      </c>
      <c r="F7" s="112">
        <f ca="1">IFERROR(__xludf.DUMMYFUNCTION("GOOGLEFINANCE(""BOM:""&amp;A7,""MARKETCAP"")/10000000"),1193.1012)</f>
        <v>1193.1012000000001</v>
      </c>
      <c r="G7" s="95">
        <f t="shared" ca="1" si="0"/>
        <v>3.3097584695850973E-2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531426</v>
      </c>
      <c r="B8" s="98" t="s">
        <v>2354</v>
      </c>
      <c r="C8" s="101" t="e">
        <f>VLOOKUP(A8,'BSE ALL CAP'!$B$4:$Y$1038,2,)</f>
        <v>#N/A</v>
      </c>
      <c r="D8" s="101" t="e">
        <f>VLOOKUP(A8,'BSE ALL CAP'!$B$4:$Y$1038,3,)</f>
        <v>#N/A</v>
      </c>
      <c r="E8" s="101">
        <f ca="1">IFERROR(__xludf.DUMMYFUNCTION("GOOGLEFINANCE(""BOM:""&amp;A8,""PRICE"")"),130.45)</f>
        <v>130.44999999999999</v>
      </c>
      <c r="F8" s="112">
        <f ca="1">IFERROR(__xludf.DUMMYFUNCTION("GOOGLEFINANCE(""BOM:""&amp;A8,""MARKETCAP"")/10000000"),900.4991208)</f>
        <v>900.49912080000001</v>
      </c>
      <c r="G8" s="95">
        <f t="shared" ca="1" si="0"/>
        <v>2.4980568219374298E-2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516082</v>
      </c>
      <c r="B9" s="98" t="s">
        <v>2355</v>
      </c>
      <c r="C9" s="101" t="e">
        <f>VLOOKUP(A9,'BSE ALL CAP'!$B$4:$Y$1038,2,)</f>
        <v>#N/A</v>
      </c>
      <c r="D9" s="101" t="e">
        <f>VLOOKUP(A9,'BSE ALL CAP'!$B$4:$Y$1038,3,)</f>
        <v>#N/A</v>
      </c>
      <c r="E9" s="101">
        <f ca="1">IFERROR(__xludf.DUMMYFUNCTION("GOOGLEFINANCE(""BOM:""&amp;A9,""PRICE"")"),400)</f>
        <v>400</v>
      </c>
      <c r="F9" s="112">
        <f ca="1">IFERROR(__xludf.DUMMYFUNCTION("GOOGLEFINANCE(""BOM:""&amp;A9,""MARKETCAP"")/10000000"),700.5908294)</f>
        <v>700.59082939999996</v>
      </c>
      <c r="G9" s="95">
        <f t="shared" ca="1" si="0"/>
        <v>1.9434951798894328E-2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539785</v>
      </c>
      <c r="B10" s="98" t="s">
        <v>2356</v>
      </c>
      <c r="C10" s="101" t="e">
        <f>VLOOKUP(A10,'BSE ALL CAP'!$B$4:$Y$1038,2,)</f>
        <v>#N/A</v>
      </c>
      <c r="D10" s="101" t="e">
        <f>VLOOKUP(A10,'BSE ALL CAP'!$B$4:$Y$1038,3,)</f>
        <v>#N/A</v>
      </c>
      <c r="E10" s="101">
        <f ca="1">IFERROR(__xludf.DUMMYFUNCTION("GOOGLEFINANCE(""BOM:""&amp;A10,""PRICE"")"),75.48)</f>
        <v>75.48</v>
      </c>
      <c r="F10" s="112">
        <f ca="1">IFERROR(__xludf.DUMMYFUNCTION("GOOGLEFINANCE(""BOM:""&amp;A10,""MARKETCAP"")/10000000"),718.5816028)</f>
        <v>718.58160280000004</v>
      </c>
      <c r="G10" s="95">
        <f t="shared" ca="1" si="0"/>
        <v>1.9934030289763639E-2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532937</v>
      </c>
      <c r="B11" s="98" t="s">
        <v>2357</v>
      </c>
      <c r="C11" s="101" t="e">
        <f>VLOOKUP(A11,'BSE ALL CAP'!$B$4:$Y$1038,2,)</f>
        <v>#N/A</v>
      </c>
      <c r="D11" s="101" t="e">
        <f>VLOOKUP(A11,'BSE ALL CAP'!$B$4:$Y$1038,3,)</f>
        <v>#N/A</v>
      </c>
      <c r="E11" s="101">
        <f ca="1">IFERROR(__xludf.DUMMYFUNCTION("GOOGLEFINANCE(""BOM:""&amp;A11,""PRICE"")"),74)</f>
        <v>74</v>
      </c>
      <c r="F11" s="112">
        <f ca="1">IFERROR(__xludf.DUMMYFUNCTION("GOOGLEFINANCE(""BOM:""&amp;A11,""MARKETCAP"")/10000000"),646.2744224)</f>
        <v>646.27442240000005</v>
      </c>
      <c r="G11" s="95">
        <f t="shared" ca="1" si="0"/>
        <v>1.7928171082340853E-2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539201</v>
      </c>
      <c r="B12" s="98" t="s">
        <v>2358</v>
      </c>
      <c r="C12" s="101" t="e">
        <f>VLOOKUP(A12,'BSE ALL CAP'!$B$4:$Y$1038,2,)</f>
        <v>#N/A</v>
      </c>
      <c r="D12" s="101" t="e">
        <f>VLOOKUP(A12,'BSE ALL CAP'!$B$4:$Y$1038,3,)</f>
        <v>#N/A</v>
      </c>
      <c r="E12" s="101">
        <f ca="1">IFERROR(__xludf.DUMMYFUNCTION("GOOGLEFINANCE(""BOM:""&amp;A12,""PRICE"")"),59.79)</f>
        <v>59.79</v>
      </c>
      <c r="F12" s="112">
        <f ca="1">IFERROR(__xludf.DUMMYFUNCTION("GOOGLEFINANCE(""BOM:""&amp;A12,""MARKETCAP"")/10000000"),602.0999908)</f>
        <v>602.0999908</v>
      </c>
      <c r="G12" s="95">
        <f t="shared" ca="1" si="0"/>
        <v>1.6702736901843776E-2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500356</v>
      </c>
      <c r="B13" s="98" t="s">
        <v>2359</v>
      </c>
      <c r="C13" s="101" t="e">
        <f>VLOOKUP(A13,'BSE ALL CAP'!$B$4:$Y$1038,2,)</f>
        <v>#N/A</v>
      </c>
      <c r="D13" s="101" t="e">
        <f>VLOOKUP(A13,'BSE ALL CAP'!$B$4:$Y$1038,3,)</f>
        <v>#N/A</v>
      </c>
      <c r="E13" s="101">
        <f ca="1">IFERROR(__xludf.DUMMYFUNCTION("GOOGLEFINANCE(""BOM:""&amp;A13,""PRICE"")"),30.58)</f>
        <v>30.58</v>
      </c>
      <c r="F13" s="112">
        <f ca="1">IFERROR(__xludf.DUMMYFUNCTION("GOOGLEFINANCE(""BOM:""&amp;A13,""MARKETCAP"")/10000000"),449.4995238)</f>
        <v>449.49952380000002</v>
      </c>
      <c r="G13" s="95">
        <f t="shared" ca="1" si="0"/>
        <v>1.2469477492533895E-2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516030</v>
      </c>
      <c r="B14" s="98" t="s">
        <v>2360</v>
      </c>
      <c r="C14" s="101" t="e">
        <f>VLOOKUP(A14,'BSE ALL CAP'!$B$4:$Y$1038,2,)</f>
        <v>#N/A</v>
      </c>
      <c r="D14" s="101" t="e">
        <f>VLOOKUP(A14,'BSE ALL CAP'!$B$4:$Y$1038,3,)</f>
        <v>#N/A</v>
      </c>
      <c r="E14" s="101">
        <f ca="1">IFERROR(__xludf.DUMMYFUNCTION("GOOGLEFINANCE(""BOM:""&amp;A14,""PRICE"")"),87.5)</f>
        <v>87.5</v>
      </c>
      <c r="F14" s="112">
        <f ca="1">IFERROR(__xludf.DUMMYFUNCTION("GOOGLEFINANCE(""BOM:""&amp;A14,""MARKETCAP"")/10000000"),394.7791705)</f>
        <v>394.77917050000002</v>
      </c>
      <c r="G14" s="95">
        <f t="shared" ca="1" si="0"/>
        <v>1.0951490981470427E-2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533208</v>
      </c>
      <c r="B15" s="98" t="s">
        <v>2361</v>
      </c>
      <c r="C15" s="101" t="e">
        <f>VLOOKUP(A15,'BSE ALL CAP'!$B$4:$Y$1038,2,)</f>
        <v>#N/A</v>
      </c>
      <c r="D15" s="101" t="e">
        <f>VLOOKUP(A15,'BSE ALL CAP'!$B$4:$Y$1038,3,)</f>
        <v>#N/A</v>
      </c>
      <c r="E15" s="101">
        <f ca="1">IFERROR(__xludf.DUMMYFUNCTION("GOOGLEFINANCE(""BOM:""&amp;A15,""PRICE"")"),65.73)</f>
        <v>65.73</v>
      </c>
      <c r="F15" s="112">
        <f ca="1">IFERROR(__xludf.DUMMYFUNCTION("GOOGLEFINANCE(""BOM:""&amp;A15,""MARKETCAP"")/10000000"),398.3861691)</f>
        <v>398.38616910000002</v>
      </c>
      <c r="G15" s="95">
        <f t="shared" ca="1" si="0"/>
        <v>1.105155201708192E-2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502420</v>
      </c>
      <c r="B16" s="98" t="s">
        <v>2362</v>
      </c>
      <c r="C16" s="101" t="e">
        <f>VLOOKUP(A16,'BSE ALL CAP'!$B$4:$Y$1038,2,)</f>
        <v>#N/A</v>
      </c>
      <c r="D16" s="101" t="e">
        <f>VLOOKUP(A16,'BSE ALL CAP'!$B$4:$Y$1038,3,)</f>
        <v>#N/A</v>
      </c>
      <c r="E16" s="101">
        <f ca="1">IFERROR(__xludf.DUMMYFUNCTION("GOOGLEFINANCE(""BOM:""&amp;A16,""PRICE"")"),16.97)</f>
        <v>16.97</v>
      </c>
      <c r="F16" s="112">
        <f ca="1">IFERROR(__xludf.DUMMYFUNCTION("GOOGLEFINANCE(""BOM:""&amp;A16,""MARKETCAP"")/10000000"),359.8664189)</f>
        <v>359.86641889999999</v>
      </c>
      <c r="G16" s="95">
        <f t="shared" ca="1" si="0"/>
        <v>9.982983236237912E-3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532785</v>
      </c>
      <c r="B17" s="98" t="s">
        <v>2363</v>
      </c>
      <c r="C17" s="101" t="e">
        <f>VLOOKUP(A17,'BSE ALL CAP'!$B$4:$Y$1038,2,)</f>
        <v>#N/A</v>
      </c>
      <c r="D17" s="101" t="e">
        <f>VLOOKUP(A17,'BSE ALL CAP'!$B$4:$Y$1038,3,)</f>
        <v>#N/A</v>
      </c>
      <c r="E17" s="101">
        <f ca="1">IFERROR(__xludf.DUMMYFUNCTION("GOOGLEFINANCE(""BOM:""&amp;A17,""PRICE"")"),107.08)</f>
        <v>107.08</v>
      </c>
      <c r="F17" s="112">
        <f ca="1">IFERROR(__xludf.DUMMYFUNCTION("GOOGLEFINANCE(""BOM:""&amp;A17,""MARKETCAP"")/10000000"),317.849037)</f>
        <v>317.84903700000001</v>
      </c>
      <c r="G17" s="95">
        <f t="shared" ca="1" si="0"/>
        <v>8.817387345350227E-3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543799</v>
      </c>
      <c r="B18" s="98" t="s">
        <v>2364</v>
      </c>
      <c r="C18" s="101" t="e">
        <f>VLOOKUP(A18,'BSE ALL CAP'!$B$4:$Y$1038,2,)</f>
        <v>#N/A</v>
      </c>
      <c r="D18" s="101" t="e">
        <f>VLOOKUP(A18,'BSE ALL CAP'!$B$4:$Y$1038,3,)</f>
        <v>#N/A</v>
      </c>
      <c r="E18" s="101">
        <f ca="1">IFERROR(__xludf.DUMMYFUNCTION("GOOGLEFINANCE(""BOM:""&amp;A18,""PRICE"")"),483.8)</f>
        <v>483.8</v>
      </c>
      <c r="F18" s="112">
        <f ca="1">IFERROR(__xludf.DUMMYFUNCTION("GOOGLEFINANCE(""BOM:""&amp;A18,""MARKETCAP"")/10000000"),269.5807)</f>
        <v>269.58069999999998</v>
      </c>
      <c r="G18" s="95">
        <f t="shared" ca="1" si="0"/>
        <v>7.4783849438897487E-3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538961</v>
      </c>
      <c r="B19" s="98" t="s">
        <v>2365</v>
      </c>
      <c r="C19" s="101" t="e">
        <f>VLOOKUP(A19,'BSE ALL CAP'!$B$4:$Y$1038,2,)</f>
        <v>#N/A</v>
      </c>
      <c r="D19" s="101" t="e">
        <f>VLOOKUP(A19,'BSE ALL CAP'!$B$4:$Y$1038,3,)</f>
        <v>#N/A</v>
      </c>
      <c r="E19" s="101">
        <f ca="1">IFERROR(__xludf.DUMMYFUNCTION("GOOGLEFINANCE(""BOM:""&amp;A19,""PRICE"")"),11.16)</f>
        <v>11.16</v>
      </c>
      <c r="F19" s="112">
        <f ca="1">IFERROR(__xludf.DUMMYFUNCTION("GOOGLEFINANCE(""BOM:""&amp;A19,""MARKETCAP"")/10000000"),287.981003)</f>
        <v>287.98100299999999</v>
      </c>
      <c r="G19" s="95">
        <f t="shared" ca="1" si="0"/>
        <v>7.9888241144913889E-3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538795</v>
      </c>
      <c r="B20" s="98" t="s">
        <v>2366</v>
      </c>
      <c r="C20" s="101" t="e">
        <f>VLOOKUP(A20,'BSE ALL CAP'!$B$4:$Y$1038,2,)</f>
        <v>#N/A</v>
      </c>
      <c r="D20" s="101" t="e">
        <f>VLOOKUP(A20,'BSE ALL CAP'!$B$4:$Y$1038,3,)</f>
        <v>#N/A</v>
      </c>
      <c r="E20" s="101">
        <f ca="1">IFERROR(__xludf.DUMMYFUNCTION("GOOGLEFINANCE(""BOM:""&amp;A20,""PRICE"")"),248)</f>
        <v>248</v>
      </c>
      <c r="F20" s="112">
        <f ca="1">IFERROR(__xludf.DUMMYFUNCTION("GOOGLEFINANCE(""BOM:""&amp;A20,""MARKETCAP"")/10000000"),220.6013568)</f>
        <v>220.60135679999999</v>
      </c>
      <c r="G20" s="95">
        <f t="shared" ca="1" si="0"/>
        <v>6.1196586598920863E-3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516022</v>
      </c>
      <c r="B21" s="98" t="s">
        <v>2367</v>
      </c>
      <c r="C21" s="101" t="e">
        <f>VLOOKUP(A21,'BSE ALL CAP'!$B$4:$Y$1038,2,)</f>
        <v>#N/A</v>
      </c>
      <c r="D21" s="101" t="e">
        <f>VLOOKUP(A21,'BSE ALL CAP'!$B$4:$Y$1038,3,)</f>
        <v>#N/A</v>
      </c>
      <c r="E21" s="101">
        <f ca="1">IFERROR(__xludf.DUMMYFUNCTION("GOOGLEFINANCE(""BOM:""&amp;A21,""PRICE"")"),129.35)</f>
        <v>129.35</v>
      </c>
      <c r="F21" s="112">
        <f ca="1">IFERROR(__xludf.DUMMYFUNCTION("GOOGLEFINANCE(""BOM:""&amp;A21,""MARKETCAP"")/10000000"),204.6098544)</f>
        <v>204.60985439999999</v>
      </c>
      <c r="G21" s="95">
        <f t="shared" ca="1" si="0"/>
        <v>5.6760415508841462E-3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516016</v>
      </c>
      <c r="B22" s="98" t="s">
        <v>2368</v>
      </c>
      <c r="C22" s="101" t="e">
        <f>VLOOKUP(A22,'BSE ALL CAP'!$B$4:$Y$1038,2,)</f>
        <v>#N/A</v>
      </c>
      <c r="D22" s="101" t="e">
        <f>VLOOKUP(A22,'BSE ALL CAP'!$B$4:$Y$1038,3,)</f>
        <v>#N/A</v>
      </c>
      <c r="E22" s="101">
        <f ca="1">IFERROR(__xludf.DUMMYFUNCTION("GOOGLEFINANCE(""BOM:""&amp;A22,""PRICE"")"),139.65)</f>
        <v>139.65</v>
      </c>
      <c r="F22" s="112">
        <f ca="1">IFERROR(__xludf.DUMMYFUNCTION("GOOGLEFINANCE(""BOM:""&amp;A22,""MARKETCAP"")/10000000"),189.8109384)</f>
        <v>189.8109384</v>
      </c>
      <c r="G22" s="95">
        <f t="shared" ca="1" si="0"/>
        <v>5.2655077456069546E-3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516108</v>
      </c>
      <c r="B23" s="98" t="s">
        <v>2369</v>
      </c>
      <c r="C23" s="101" t="e">
        <f>VLOOKUP(A23,'BSE ALL CAP'!$B$4:$Y$1038,2,)</f>
        <v>#N/A</v>
      </c>
      <c r="D23" s="101" t="e">
        <f>VLOOKUP(A23,'BSE ALL CAP'!$B$4:$Y$1038,3,)</f>
        <v>#N/A</v>
      </c>
      <c r="E23" s="101">
        <f ca="1">IFERROR(__xludf.DUMMYFUNCTION("GOOGLEFINANCE(""BOM:""&amp;A23,""PRICE"")"),90)</f>
        <v>90</v>
      </c>
      <c r="F23" s="112">
        <f ca="1">IFERROR(__xludf.DUMMYFUNCTION("GOOGLEFINANCE(""BOM:""&amp;A23,""MARKETCAP"")/10000000"),168.75)</f>
        <v>168.75</v>
      </c>
      <c r="G23" s="95">
        <f t="shared" ca="1" si="0"/>
        <v>4.6812604139739797E-3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532896</v>
      </c>
      <c r="B24" s="98" t="s">
        <v>2370</v>
      </c>
      <c r="C24" s="101" t="e">
        <f>VLOOKUP(A24,'BSE ALL CAP'!$B$4:$Y$1038,2,)</f>
        <v>#N/A</v>
      </c>
      <c r="D24" s="101" t="e">
        <f>VLOOKUP(A24,'BSE ALL CAP'!$B$4:$Y$1038,3,)</f>
        <v>#N/A</v>
      </c>
      <c r="E24" s="101">
        <f ca="1">IFERROR(__xludf.DUMMYFUNCTION("GOOGLEFINANCE(""BOM:""&amp;A24,""PRICE"")"),21.3)</f>
        <v>21.3</v>
      </c>
      <c r="F24" s="112">
        <f ca="1">IFERROR(__xludf.DUMMYFUNCTION("GOOGLEFINANCE(""BOM:""&amp;A24,""MARKETCAP"")/10000000"),145.3190317)</f>
        <v>145.31903170000001</v>
      </c>
      <c r="G24" s="95">
        <f t="shared" ca="1" si="0"/>
        <v>4.0312665510769769E-3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500388</v>
      </c>
      <c r="B25" s="98" t="s">
        <v>2371</v>
      </c>
      <c r="C25" s="101" t="e">
        <f>VLOOKUP(A25,'BSE ALL CAP'!$B$4:$Y$1038,2,)</f>
        <v>#N/A</v>
      </c>
      <c r="D25" s="101" t="e">
        <f>VLOOKUP(A25,'BSE ALL CAP'!$B$4:$Y$1038,3,)</f>
        <v>#N/A</v>
      </c>
      <c r="E25" s="101">
        <f ca="1">IFERROR(__xludf.DUMMYFUNCTION("GOOGLEFINANCE(""BOM:""&amp;A25,""PRICE"")"),85.85)</f>
        <v>85.85</v>
      </c>
      <c r="F25" s="112">
        <f ca="1">IFERROR(__xludf.DUMMYFUNCTION("GOOGLEFINANCE(""BOM:""&amp;A25,""MARKETCAP"")/10000000"),116.0835348)</f>
        <v>116.0835348</v>
      </c>
      <c r="G25" s="95">
        <f t="shared" ca="1" si="0"/>
        <v>3.220250406953546E-3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502587</v>
      </c>
      <c r="B26" s="98" t="s">
        <v>2372</v>
      </c>
      <c r="C26" s="101" t="e">
        <f>VLOOKUP(A26,'BSE ALL CAP'!$B$4:$Y$1038,2,)</f>
        <v>#N/A</v>
      </c>
      <c r="D26" s="101" t="e">
        <f>VLOOKUP(A26,'BSE ALL CAP'!$B$4:$Y$1038,3,)</f>
        <v>#N/A</v>
      </c>
      <c r="E26" s="101">
        <f ca="1">IFERROR(__xludf.DUMMYFUNCTION("GOOGLEFINANCE(""BOM:""&amp;A26,""PRICE"")"),52.9)</f>
        <v>52.9</v>
      </c>
      <c r="F26" s="112">
        <f ca="1">IFERROR(__xludf.DUMMYFUNCTION("GOOGLEFINANCE(""BOM:""&amp;A26,""MARKETCAP"")/10000000"),100.5100028)</f>
        <v>100.5100028</v>
      </c>
      <c r="G26" s="95">
        <f t="shared" ca="1" si="0"/>
        <v>2.7882281322432821E-3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526435</v>
      </c>
      <c r="B27" s="98" t="s">
        <v>2373</v>
      </c>
      <c r="C27" s="101" t="e">
        <f>VLOOKUP(A27,'BSE ALL CAP'!$B$4:$Y$1038,2,)</f>
        <v>#N/A</v>
      </c>
      <c r="D27" s="101" t="e">
        <f>VLOOKUP(A27,'BSE ALL CAP'!$B$4:$Y$1038,3,)</f>
        <v>#N/A</v>
      </c>
      <c r="E27" s="101">
        <f ca="1">IFERROR(__xludf.DUMMYFUNCTION("GOOGLEFINANCE(""BOM:""&amp;A27,""PRICE"")"),77.2)</f>
        <v>77.2</v>
      </c>
      <c r="F27" s="112">
        <f ca="1">IFERROR(__xludf.DUMMYFUNCTION("GOOGLEFINANCE(""BOM:""&amp;A27,""MARKETCAP"")/10000000"),51.4113379)</f>
        <v>51.411337899999999</v>
      </c>
      <c r="G27" s="95">
        <f t="shared" ca="1" si="0"/>
        <v>1.4261917685375416E-3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532728</v>
      </c>
      <c r="B28" s="98" t="s">
        <v>2374</v>
      </c>
      <c r="C28" s="101" t="e">
        <f>VLOOKUP(A28,'BSE ALL CAP'!$B$4:$Y$1038,2,)</f>
        <v>#N/A</v>
      </c>
      <c r="D28" s="101" t="e">
        <f>VLOOKUP(A28,'BSE ALL CAP'!$B$4:$Y$1038,3,)</f>
        <v>#N/A</v>
      </c>
      <c r="E28" s="101">
        <f ca="1">IFERROR(__xludf.DUMMYFUNCTION("GOOGLEFINANCE(""BOM:""&amp;A28,""PRICE"")"),31.53)</f>
        <v>31.53</v>
      </c>
      <c r="F28" s="112">
        <f ca="1">IFERROR(__xludf.DUMMYFUNCTION("GOOGLEFINANCE(""BOM:""&amp;A28,""MARKETCAP"")/10000000"),54.504305)</f>
        <v>54.504305000000002</v>
      </c>
      <c r="G28" s="95">
        <f t="shared" ca="1" si="0"/>
        <v>1.511993157852824E-3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539251</v>
      </c>
      <c r="B29" s="98" t="s">
        <v>2375</v>
      </c>
      <c r="C29" s="101" t="e">
        <f>VLOOKUP(A29,'BSE ALL CAP'!$B$4:$Y$1038,2,)</f>
        <v>#N/A</v>
      </c>
      <c r="D29" s="101" t="e">
        <f>VLOOKUP(A29,'BSE ALL CAP'!$B$4:$Y$1038,3,)</f>
        <v>#N/A</v>
      </c>
      <c r="E29" s="101">
        <f ca="1">IFERROR(__xludf.DUMMYFUNCTION("GOOGLEFINANCE(""BOM:""&amp;A29,""PRICE"")"),15.23)</f>
        <v>15.23</v>
      </c>
      <c r="F29" s="112">
        <f ca="1">IFERROR(__xludf.DUMMYFUNCTION("GOOGLEFINANCE(""BOM:""&amp;A29,""MARKETCAP"")/10000000"),49.9080512)</f>
        <v>49.908051200000003</v>
      </c>
      <c r="G29" s="95">
        <f t="shared" ca="1" si="0"/>
        <v>1.3844893891623502E-3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544392</v>
      </c>
      <c r="B30" s="98" t="s">
        <v>2376</v>
      </c>
      <c r="C30" s="101" t="e">
        <f>VLOOKUP(A30,'BSE ALL CAP'!$B$4:$Y$1038,2,)</f>
        <v>#N/A</v>
      </c>
      <c r="D30" s="101" t="e">
        <f>VLOOKUP(A30,'BSE ALL CAP'!$B$4:$Y$1038,3,)</f>
        <v>#N/A</v>
      </c>
      <c r="E30" s="101">
        <f ca="1">IFERROR(__xludf.DUMMYFUNCTION("GOOGLEFINANCE(""BOM:""&amp;A30,""PRICE"")"),58.65)</f>
        <v>58.65</v>
      </c>
      <c r="F30" s="112">
        <f ca="1">IFERROR(__xludf.DUMMYFUNCTION("GOOGLEFINANCE(""BOM:""&amp;A30,""MARKETCAP"")/10000000"),41.019811)</f>
        <v>41.019810999999997</v>
      </c>
      <c r="G30" s="95">
        <f t="shared" ca="1" si="0"/>
        <v>1.1379224736177446E-3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544214</v>
      </c>
      <c r="B31" s="98" t="s">
        <v>2377</v>
      </c>
      <c r="C31" s="101" t="e">
        <f>VLOOKUP(A31,'BSE ALL CAP'!$B$4:$Y$1038,2,)</f>
        <v>#N/A</v>
      </c>
      <c r="D31" s="101" t="e">
        <f>VLOOKUP(A31,'BSE ALL CAP'!$B$4:$Y$1038,3,)</f>
        <v>#N/A</v>
      </c>
      <c r="E31" s="101">
        <f ca="1">IFERROR(__xludf.DUMMYFUNCTION("GOOGLEFINANCE(""BOM:""&amp;A31,""PRICE"")"),21.12)</f>
        <v>21.12</v>
      </c>
      <c r="F31" s="112">
        <f ca="1">IFERROR(__xludf.DUMMYFUNCTION("GOOGLEFINANCE(""BOM:""&amp;A31,""MARKETCAP"")/10000000"),40.6293)</f>
        <v>40.629300000000001</v>
      </c>
      <c r="G31" s="95">
        <f t="shared" ca="1" si="0"/>
        <v>1.1270893851109511E-3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530169</v>
      </c>
      <c r="B32" s="98" t="s">
        <v>2378</v>
      </c>
      <c r="C32" s="101" t="e">
        <f>VLOOKUP(A32,'BSE ALL CAP'!$B$4:$Y$1038,2,)</f>
        <v>#N/A</v>
      </c>
      <c r="D32" s="101" t="e">
        <f>VLOOKUP(A32,'BSE ALL CAP'!$B$4:$Y$1038,3,)</f>
        <v>#N/A</v>
      </c>
      <c r="E32" s="101">
        <f ca="1">IFERROR(__xludf.DUMMYFUNCTION("GOOGLEFINANCE(""BOM:""&amp;A32,""PRICE"")"),24.7)</f>
        <v>24.7</v>
      </c>
      <c r="F32" s="112">
        <f ca="1">IFERROR(__xludf.DUMMYFUNCTION("GOOGLEFINANCE(""BOM:""&amp;A32,""MARKETCAP"")/10000000"),34.580001)</f>
        <v>34.580001000000003</v>
      </c>
      <c r="G32" s="95">
        <f t="shared" ca="1" si="0"/>
        <v>9.5927697657173711E-4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530255</v>
      </c>
      <c r="B33" s="98" t="s">
        <v>2379</v>
      </c>
      <c r="C33" s="101" t="e">
        <f>VLOOKUP(A33,'BSE ALL CAP'!$B$4:$Y$1038,2,)</f>
        <v>#N/A</v>
      </c>
      <c r="D33" s="101" t="e">
        <f>VLOOKUP(A33,'BSE ALL CAP'!$B$4:$Y$1038,3,)</f>
        <v>#N/A</v>
      </c>
      <c r="E33" s="101">
        <f ca="1">IFERROR(__xludf.DUMMYFUNCTION("GOOGLEFINANCE(""BOM:""&amp;A33,""PRICE"")"),10.92)</f>
        <v>10.92</v>
      </c>
      <c r="F33" s="112">
        <f ca="1">IFERROR(__xludf.DUMMYFUNCTION("GOOGLEFINANCE(""BOM:""&amp;A33,""MARKETCAP"")/10000000"),38.1544802)</f>
        <v>38.154480200000002</v>
      </c>
      <c r="G33" s="95">
        <f t="shared" ca="1" si="0"/>
        <v>1.0584358979319349E-3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532701</v>
      </c>
      <c r="B34" s="98" t="s">
        <v>2380</v>
      </c>
      <c r="C34" s="101" t="e">
        <f>VLOOKUP(A34,'BSE ALL CAP'!$B$4:$Y$1038,2,)</f>
        <v>#N/A</v>
      </c>
      <c r="D34" s="101" t="e">
        <f>VLOOKUP(A34,'BSE ALL CAP'!$B$4:$Y$1038,3,)</f>
        <v>#N/A</v>
      </c>
      <c r="E34" s="101">
        <f ca="1">IFERROR(__xludf.DUMMYFUNCTION("GOOGLEFINANCE(""BOM:""&amp;A34,""PRICE"")"),13.26)</f>
        <v>13.26</v>
      </c>
      <c r="F34" s="112">
        <f ca="1">IFERROR(__xludf.DUMMYFUNCTION("GOOGLEFINANCE(""BOM:""&amp;A34,""MARKETCAP"")/10000000"),26.7205049)</f>
        <v>26.720504900000002</v>
      </c>
      <c r="G34" s="95">
        <f t="shared" ca="1" si="0"/>
        <v>7.4124824788010524E-4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516096</v>
      </c>
      <c r="B35" s="98" t="s">
        <v>2381</v>
      </c>
      <c r="C35" s="101" t="e">
        <f>VLOOKUP(A35,'BSE ALL CAP'!$B$4:$Y$1038,2,)</f>
        <v>#N/A</v>
      </c>
      <c r="D35" s="101" t="e">
        <f>VLOOKUP(A35,'BSE ALL CAP'!$B$4:$Y$1038,3,)</f>
        <v>#N/A</v>
      </c>
      <c r="E35" s="101">
        <f ca="1">IFERROR(__xludf.DUMMYFUNCTION("GOOGLEFINANCE(""BOM:""&amp;A35,""PRICE"")"),150.1)</f>
        <v>150.1</v>
      </c>
      <c r="F35" s="112">
        <f ca="1">IFERROR(__xludf.DUMMYFUNCTION("GOOGLEFINANCE(""BOM:""&amp;A35,""MARKETCAP"")/10000000"),19.6219733)</f>
        <v>19.621973300000001</v>
      </c>
      <c r="G35" s="95">
        <f t="shared" ca="1" si="0"/>
        <v>5.4432928505685559E-4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502589</v>
      </c>
      <c r="B36" s="98" t="s">
        <v>2382</v>
      </c>
      <c r="C36" s="101" t="e">
        <f>VLOOKUP(A36,'BSE ALL CAP'!$B$4:$Y$1038,2,)</f>
        <v>#N/A</v>
      </c>
      <c r="D36" s="101" t="e">
        <f>VLOOKUP(A36,'BSE ALL CAP'!$B$4:$Y$1038,3,)</f>
        <v>#N/A</v>
      </c>
      <c r="E36" s="101">
        <f ca="1">IFERROR(__xludf.DUMMYFUNCTION("GOOGLEFINANCE(""BOM:""&amp;A36,""PRICE"")"),91)</f>
        <v>91</v>
      </c>
      <c r="F36" s="112">
        <f ca="1">IFERROR(__xludf.DUMMYFUNCTION("GOOGLEFINANCE(""BOM:""&amp;A36,""MARKETCAP"")/10000000"),20.761195)</f>
        <v>20.761195000000001</v>
      </c>
      <c r="G36" s="95">
        <f t="shared" ca="1" si="0"/>
        <v>5.759322091869305E-4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531436</v>
      </c>
      <c r="B37" s="98" t="s">
        <v>2383</v>
      </c>
      <c r="C37" s="101" t="e">
        <f>VLOOKUP(A37,'BSE ALL CAP'!$B$4:$Y$1038,2,)</f>
        <v>#N/A</v>
      </c>
      <c r="D37" s="101" t="e">
        <f>VLOOKUP(A37,'BSE ALL CAP'!$B$4:$Y$1038,3,)</f>
        <v>#N/A</v>
      </c>
      <c r="E37" s="101">
        <f ca="1">IFERROR(__xludf.DUMMYFUNCTION("GOOGLEFINANCE(""BOM:""&amp;A37,""PRICE"")"),24.25)</f>
        <v>24.25</v>
      </c>
      <c r="F37" s="112">
        <f ca="1">IFERROR(__xludf.DUMMYFUNCTION("GOOGLEFINANCE(""BOM:""&amp;A37,""MARKETCAP"")/10000000"),17.42411)</f>
        <v>17.424109999999999</v>
      </c>
      <c r="G37" s="95">
        <f t="shared" ca="1" si="0"/>
        <v>4.8335879343246315E-4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544417</v>
      </c>
      <c r="B38" s="98" t="s">
        <v>2384</v>
      </c>
      <c r="C38" s="101" t="e">
        <f>VLOOKUP(A38,'BSE ALL CAP'!$B$4:$Y$1038,2,)</f>
        <v>#N/A</v>
      </c>
      <c r="D38" s="101" t="e">
        <f>VLOOKUP(A38,'BSE ALL CAP'!$B$4:$Y$1038,3,)</f>
        <v>#N/A</v>
      </c>
      <c r="E38" s="101">
        <f ca="1">IFERROR(__xludf.DUMMYFUNCTION("GOOGLEFINANCE(""BOM:""&amp;A38,""PRICE"")"),17)</f>
        <v>17</v>
      </c>
      <c r="F38" s="112">
        <f ca="1">IFERROR(__xludf.DUMMYFUNCTION("GOOGLEFINANCE(""BOM:""&amp;A38,""MARKETCAP"")/10000000"),17.51)</f>
        <v>17.510000000000002</v>
      </c>
      <c r="G38" s="95">
        <f t="shared" ca="1" si="0"/>
        <v>4.8574145095516675E-4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543830</v>
      </c>
      <c r="B39" s="98" t="s">
        <v>2385</v>
      </c>
      <c r="C39" s="101" t="e">
        <f>VLOOKUP(A39,'BSE ALL CAP'!$B$4:$Y$1038,2,)</f>
        <v>#N/A</v>
      </c>
      <c r="D39" s="101" t="e">
        <f>VLOOKUP(A39,'BSE ALL CAP'!$B$4:$Y$1038,3,)</f>
        <v>#N/A</v>
      </c>
      <c r="E39" s="101">
        <f ca="1">IFERROR(__xludf.DUMMYFUNCTION("GOOGLEFINANCE(""BOM:""&amp;A39,""PRICE"")"),54)</f>
        <v>54</v>
      </c>
      <c r="F39" s="112">
        <f ca="1">IFERROR(__xludf.DUMMYFUNCTION("GOOGLEFINANCE(""BOM:""&amp;A39,""MARKETCAP"")/10000000"),17.5176)</f>
        <v>17.517600000000002</v>
      </c>
      <c r="G39" s="95">
        <f t="shared" ca="1" si="0"/>
        <v>4.8595228105381092E-4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540824</v>
      </c>
      <c r="B40" s="98" t="s">
        <v>2386</v>
      </c>
      <c r="C40" s="101" t="e">
        <f>VLOOKUP(A40,'BSE ALL CAP'!$B$4:$Y$1038,2,)</f>
        <v>#N/A</v>
      </c>
      <c r="D40" s="101" t="e">
        <f>VLOOKUP(A40,'BSE ALL CAP'!$B$4:$Y$1038,3,)</f>
        <v>#N/A</v>
      </c>
      <c r="E40" s="101">
        <f ca="1">IFERROR(__xludf.DUMMYFUNCTION("GOOGLEFINANCE(""BOM:""&amp;A40,""PRICE"")"),3.66)</f>
        <v>3.66</v>
      </c>
      <c r="F40" s="112">
        <f ca="1">IFERROR(__xludf.DUMMYFUNCTION("GOOGLEFINANCE(""BOM:""&amp;A40,""MARKETCAP"")/10000000"),17.4375)</f>
        <v>17.4375</v>
      </c>
      <c r="G40" s="95">
        <f t="shared" ca="1" si="0"/>
        <v>4.8373024277731125E-4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500357</v>
      </c>
      <c r="B41" s="98" t="s">
        <v>2387</v>
      </c>
      <c r="C41" s="101" t="e">
        <f>VLOOKUP(A41,'BSE ALL CAP'!$B$4:$Y$1038,2,)</f>
        <v>#N/A</v>
      </c>
      <c r="D41" s="101" t="e">
        <f>VLOOKUP(A41,'BSE ALL CAP'!$B$4:$Y$1038,3,)</f>
        <v>#N/A</v>
      </c>
      <c r="E41" s="101">
        <f ca="1">IFERROR(__xludf.DUMMYFUNCTION("GOOGLEFINANCE(""BOM:""&amp;A41,""PRICE"")"),14.37)</f>
        <v>14.37</v>
      </c>
      <c r="F41" s="112">
        <f ca="1">IFERROR(__xludf.DUMMYFUNCTION("GOOGLEFINANCE(""BOM:""&amp;A41,""MARKETCAP"")/10000000"),13.8882154)</f>
        <v>13.8882154</v>
      </c>
      <c r="G41" s="95">
        <f t="shared" ca="1" si="0"/>
        <v>3.8527023983860032E-4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516106</v>
      </c>
      <c r="B42" s="98" t="s">
        <v>2388</v>
      </c>
      <c r="C42" s="101" t="e">
        <f>VLOOKUP(A42,'BSE ALL CAP'!$B$4:$Y$1038,2,)</f>
        <v>#N/A</v>
      </c>
      <c r="D42" s="101" t="e">
        <f>VLOOKUP(A42,'BSE ALL CAP'!$B$4:$Y$1038,3,)</f>
        <v>#N/A</v>
      </c>
      <c r="E42" s="101">
        <f ca="1">IFERROR(__xludf.DUMMYFUNCTION("GOOGLEFINANCE(""BOM:""&amp;A42,""PRICE"")"),5.44)</f>
        <v>5.44</v>
      </c>
      <c r="F42" s="112">
        <f ca="1">IFERROR(__xludf.DUMMYFUNCTION("GOOGLEFINANCE(""BOM:""&amp;A42,""MARKETCAP"")/10000000"),10.3958401)</f>
        <v>10.395840099999999</v>
      </c>
      <c r="G42" s="95">
        <f t="shared" ca="1" si="0"/>
        <v>2.8838894654893802E-4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4.4">
      <c r="A43" s="99">
        <v>532397</v>
      </c>
      <c r="B43" s="98" t="s">
        <v>2389</v>
      </c>
      <c r="C43" s="101" t="e">
        <f>VLOOKUP(A43,'BSE ALL CAP'!$B$4:$Y$1038,2,)</f>
        <v>#N/A</v>
      </c>
      <c r="D43" s="101" t="e">
        <f>VLOOKUP(A43,'BSE ALL CAP'!$B$4:$Y$1038,3,)</f>
        <v>#N/A</v>
      </c>
      <c r="E43" s="101">
        <f ca="1">IFERROR(__xludf.DUMMYFUNCTION("GOOGLEFINANCE(""BOM:""&amp;A43,""PRICE"")"),12.12)</f>
        <v>12.12</v>
      </c>
      <c r="F43" s="112">
        <f ca="1">IFERROR(__xludf.DUMMYFUNCTION("GOOGLEFINANCE(""BOM:""&amp;A43,""MARKETCAP"")/10000000"),6.373521)</f>
        <v>6.3735210000000002</v>
      </c>
      <c r="G43" s="95">
        <f t="shared" ca="1" si="0"/>
        <v>1.7680658699218877E-4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4.4">
      <c r="A44" s="99">
        <v>516020</v>
      </c>
      <c r="B44" s="98" t="s">
        <v>2390</v>
      </c>
      <c r="C44" s="101" t="e">
        <f>VLOOKUP(A44,'BSE ALL CAP'!$B$4:$Y$1038,2,)</f>
        <v>#N/A</v>
      </c>
      <c r="D44" s="101" t="e">
        <f>VLOOKUP(A44,'BSE ALL CAP'!$B$4:$Y$1038,3,)</f>
        <v>#N/A</v>
      </c>
      <c r="E44" s="101">
        <f ca="1">IFERROR(__xludf.DUMMYFUNCTION("GOOGLEFINANCE(""BOM:""&amp;A44,""PRICE"")"),3.76)</f>
        <v>3.76</v>
      </c>
      <c r="F44" s="112">
        <f ca="1">IFERROR(__xludf.DUMMYFUNCTION("GOOGLEFINANCE(""BOM:""&amp;A44,""MARKETCAP"")/10000000"),6.0631466)</f>
        <v>6.0631465999999996</v>
      </c>
      <c r="G44" s="95">
        <f t="shared" ca="1" si="0"/>
        <v>1.6819655207526475E-4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4.4">
      <c r="A45" s="99">
        <v>526751</v>
      </c>
      <c r="B45" s="98" t="s">
        <v>2391</v>
      </c>
      <c r="C45" s="101" t="e">
        <f>VLOOKUP(A45,'BSE ALL CAP'!$B$4:$Y$1038,2,)</f>
        <v>#N/A</v>
      </c>
      <c r="D45" s="101" t="e">
        <f>VLOOKUP(A45,'BSE ALL CAP'!$B$4:$Y$1038,3,)</f>
        <v>#N/A</v>
      </c>
      <c r="E45" s="101">
        <f ca="1">IFERROR(__xludf.DUMMYFUNCTION("GOOGLEFINANCE(""BOM:""&amp;A45,""PRICE"")"),17.36)</f>
        <v>17.36</v>
      </c>
      <c r="F45" s="112">
        <f ca="1">IFERROR(__xludf.DUMMYFUNCTION("GOOGLEFINANCE(""BOM:""&amp;A45,""MARKETCAP"")/10000000"),5.268413)</f>
        <v>5.2684129999999998</v>
      </c>
      <c r="G45" s="95">
        <f t="shared" ca="1" si="0"/>
        <v>1.4615000427476086E-4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530755</v>
      </c>
      <c r="B46" s="98" t="s">
        <v>2392</v>
      </c>
      <c r="C46" s="101" t="e">
        <f>VLOOKUP(A46,'BSE ALL CAP'!$B$4:$Y$1038,2,)</f>
        <v>#N/A</v>
      </c>
      <c r="D46" s="101" t="e">
        <f>VLOOKUP(A46,'BSE ALL CAP'!$B$4:$Y$1038,3,)</f>
        <v>#N/A</v>
      </c>
      <c r="E46" s="101">
        <f ca="1">IFERROR(__xludf.DUMMYFUNCTION("GOOGLEFINANCE(""BOM:""&amp;A46,""PRICE"")"),10.2)</f>
        <v>10.199999999999999</v>
      </c>
      <c r="F46" s="112">
        <f ca="1">IFERROR(__xludf.DUMMYFUNCTION("GOOGLEFINANCE(""BOM:""&amp;A46,""MARKETCAP"")/10000000"),5.1537528)</f>
        <v>5.1537528000000004</v>
      </c>
      <c r="G46" s="95">
        <f t="shared" ca="1" si="0"/>
        <v>1.4296923831731887E-4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4.4">
      <c r="A47" s="99">
        <v>533019</v>
      </c>
      <c r="B47" s="98" t="s">
        <v>2393</v>
      </c>
      <c r="C47" s="101" t="e">
        <f>VLOOKUP(A47,'BSE ALL CAP'!$B$4:$Y$1038,2,)</f>
        <v>#N/A</v>
      </c>
      <c r="D47" s="101" t="e">
        <f>VLOOKUP(A47,'BSE ALL CAP'!$B$4:$Y$1038,3,)</f>
        <v>#N/A</v>
      </c>
      <c r="E47" s="101">
        <f ca="1">IFERROR(__xludf.DUMMYFUNCTION("GOOGLEFINANCE(""BOM:""&amp;A47,""PRICE"")"),1450)</f>
        <v>1450</v>
      </c>
      <c r="F47" s="112">
        <f ca="1">IFERROR(__xludf.DUMMYFUNCTION("GOOGLEFINANCE(""BOM:""&amp;A47,""MARKETCAP"")/10000000"),4.35203)</f>
        <v>4.3520300000000001</v>
      </c>
      <c r="G47" s="95">
        <f t="shared" ca="1" si="0"/>
        <v>1.2072880450030921E-4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4.4">
      <c r="A48" s="99">
        <v>531568</v>
      </c>
      <c r="B48" s="98" t="s">
        <v>2394</v>
      </c>
      <c r="C48" s="101" t="e">
        <f>VLOOKUP(A48,'BSE ALL CAP'!$B$4:$Y$1038,2,)</f>
        <v>#N/A</v>
      </c>
      <c r="D48" s="101" t="e">
        <f>VLOOKUP(A48,'BSE ALL CAP'!$B$4:$Y$1038,3,)</f>
        <v>#N/A</v>
      </c>
      <c r="E48" s="101">
        <f ca="1">IFERROR(__xludf.DUMMYFUNCTION("GOOGLEFINANCE(""BOM:""&amp;A48,""PRICE"")"),6.02)</f>
        <v>6.02</v>
      </c>
      <c r="F48" s="112">
        <f ca="1">IFERROR(__xludf.DUMMYFUNCTION("GOOGLEFINANCE(""BOM:""&amp;A48,""MARKETCAP"")/10000000"),3.9282907)</f>
        <v>3.9282906999999998</v>
      </c>
      <c r="G48" s="95">
        <f t="shared" ca="1" si="0"/>
        <v>1.0897393628736079E-4</v>
      </c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ht="14.4">
      <c r="A49" s="99">
        <v>541627</v>
      </c>
      <c r="B49" s="98" t="s">
        <v>2395</v>
      </c>
      <c r="C49" s="101" t="e">
        <f>VLOOKUP(A49,'BSE ALL CAP'!$B$4:$Y$1038,2,)</f>
        <v>#N/A</v>
      </c>
      <c r="D49" s="101" t="e">
        <f>VLOOKUP(A49,'BSE ALL CAP'!$B$4:$Y$1038,3,)</f>
        <v>#N/A</v>
      </c>
      <c r="E49" s="101">
        <f ca="1">IFERROR(__xludf.DUMMYFUNCTION("GOOGLEFINANCE(""BOM:""&amp;A49,""PRICE"")"),7.5)</f>
        <v>7.5</v>
      </c>
      <c r="F49" s="112">
        <f ca="1">IFERROR(__xludf.DUMMYFUNCTION("GOOGLEFINANCE(""BOM:""&amp;A49,""MARKETCAP"")/10000000"),3.643425)</f>
        <v>3.6434250000000001</v>
      </c>
      <c r="G49" s="95">
        <f t="shared" ca="1" si="0"/>
        <v>1.0107153317797421E-4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4.4">
      <c r="A50" s="99">
        <v>523315</v>
      </c>
      <c r="B50" s="98" t="s">
        <v>2396</v>
      </c>
      <c r="C50" s="101" t="e">
        <f>VLOOKUP(A50,'BSE ALL CAP'!$B$4:$Y$1038,2,)</f>
        <v>#N/A</v>
      </c>
      <c r="D50" s="101" t="e">
        <f>VLOOKUP(A50,'BSE ALL CAP'!$B$4:$Y$1038,3,)</f>
        <v>#N/A</v>
      </c>
      <c r="E50" s="101">
        <f ca="1">IFERROR(__xludf.DUMMYFUNCTION("GOOGLEFINANCE(""BOM:""&amp;A50,""PRICE"")"),0.78)</f>
        <v>0.78</v>
      </c>
      <c r="F50" s="112">
        <f ca="1">IFERROR(__xludf.DUMMYFUNCTION("GOOGLEFINANCE(""BOM:""&amp;A50,""MARKETCAP"")/10000000"),0.251176)</f>
        <v>0.25117600000000001</v>
      </c>
      <c r="G50" s="95">
        <f t="shared" ca="1" si="0"/>
        <v>6.967823796979724E-6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4.4">
      <c r="A51" s="99">
        <v>531813</v>
      </c>
      <c r="B51" s="98" t="s">
        <v>2397</v>
      </c>
      <c r="C51" s="101" t="e">
        <f>VLOOKUP(A51,'BSE ALL CAP'!$B$4:$Y$1038,2,)</f>
        <v>#N/A</v>
      </c>
      <c r="D51" s="101" t="e">
        <f>VLOOKUP(A51,'BSE ALL CAP'!$B$4:$Y$1038,3,)</f>
        <v>#N/A</v>
      </c>
      <c r="E51" s="101">
        <f ca="1">IFERROR(__xludf.DUMMYFUNCTION("GOOGLEFINANCE(""BOM:""&amp;A51,""PRICE"")"),68.55)</f>
        <v>68.55</v>
      </c>
      <c r="F51" s="112"/>
      <c r="G51" s="95">
        <f t="shared" ca="1" si="0"/>
        <v>0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4.4">
      <c r="A52" s="99">
        <v>531647</v>
      </c>
      <c r="B52" s="98" t="s">
        <v>2398</v>
      </c>
      <c r="C52" s="101" t="e">
        <f>VLOOKUP(A52,'BSE ALL CAP'!$B$4:$Y$1038,2,)</f>
        <v>#N/A</v>
      </c>
      <c r="D52" s="101" t="e">
        <f>VLOOKUP(A52,'BSE ALL CAP'!$B$4:$Y$1038,3,)</f>
        <v>#N/A</v>
      </c>
      <c r="E52" s="101">
        <f ca="1">IFERROR(__xludf.DUMMYFUNCTION("GOOGLEFINANCE(""BOM:""&amp;A52,""PRICE"")"),21.73)</f>
        <v>21.73</v>
      </c>
      <c r="F52" s="112"/>
      <c r="G52" s="95">
        <f t="shared" ca="1" si="0"/>
        <v>0</v>
      </c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ht="14.4">
      <c r="A53" s="99">
        <v>531946</v>
      </c>
      <c r="B53" s="98" t="s">
        <v>2399</v>
      </c>
      <c r="C53" s="101" t="e">
        <f>VLOOKUP(A53,'BSE ALL CAP'!$B$4:$Y$1038,2,)</f>
        <v>#N/A</v>
      </c>
      <c r="D53" s="101" t="e">
        <f>VLOOKUP(A53,'BSE ALL CAP'!$B$4:$Y$1038,3,)</f>
        <v>#N/A</v>
      </c>
      <c r="E53" s="101">
        <f ca="1">IFERROR(__xludf.DUMMYFUNCTION("GOOGLEFINANCE(""BOM:""&amp;A53,""PRICE"")"),8.75)</f>
        <v>8.75</v>
      </c>
      <c r="F53" s="112"/>
      <c r="G53" s="95">
        <f t="shared" ca="1" si="0"/>
        <v>0</v>
      </c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ht="14.4">
      <c r="A54" s="99">
        <v>541633</v>
      </c>
      <c r="B54" s="98" t="s">
        <v>2400</v>
      </c>
      <c r="C54" s="101" t="e">
        <f>VLOOKUP(A54,'BSE ALL CAP'!$B$4:$Y$1038,2,)</f>
        <v>#N/A</v>
      </c>
      <c r="D54" s="101" t="e">
        <f>VLOOKUP(A54,'BSE ALL CAP'!$B$4:$Y$1038,3,)</f>
        <v>#N/A</v>
      </c>
      <c r="E54" s="101">
        <f ca="1">IFERROR(__xludf.DUMMYFUNCTION("GOOGLEFINANCE(""BOM:""&amp;A54,""PRICE"")"),12.58)</f>
        <v>12.58</v>
      </c>
      <c r="F54" s="112"/>
      <c r="G54" s="95">
        <f t="shared" ca="1" si="0"/>
        <v>0</v>
      </c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ht="13.2">
      <c r="A55" s="101"/>
      <c r="B55" s="101"/>
      <c r="C55" s="101"/>
      <c r="D55" s="101"/>
      <c r="E55" s="101"/>
      <c r="F55" s="101"/>
      <c r="G55" s="95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ht="13.2">
      <c r="A56" s="101"/>
      <c r="B56" s="101"/>
      <c r="C56" s="101"/>
      <c r="D56" s="101"/>
      <c r="E56" s="101"/>
      <c r="F56" s="112">
        <f ca="1">SUM(F1:F54)</f>
        <v>36047.983892599994</v>
      </c>
      <c r="G56" s="95">
        <f ca="1">F56/$F$56</f>
        <v>1</v>
      </c>
      <c r="H56" s="101">
        <f t="shared" ref="H56:O56" si="1">SUM(H2:H54)</f>
        <v>8940</v>
      </c>
      <c r="I56" s="101">
        <f t="shared" si="1"/>
        <v>9185</v>
      </c>
      <c r="J56" s="101">
        <f t="shared" si="1"/>
        <v>65</v>
      </c>
      <c r="K56" s="101">
        <f t="shared" si="1"/>
        <v>603</v>
      </c>
      <c r="L56" s="101">
        <f t="shared" si="1"/>
        <v>3017</v>
      </c>
      <c r="M56" s="101">
        <f t="shared" si="1"/>
        <v>2956</v>
      </c>
      <c r="N56" s="101">
        <f t="shared" si="1"/>
        <v>-50</v>
      </c>
      <c r="O56" s="101">
        <f t="shared" si="1"/>
        <v>102</v>
      </c>
      <c r="P56" s="95">
        <f t="shared" ref="P56:Q56" si="2">J56/H56</f>
        <v>7.2706935123042502E-3</v>
      </c>
      <c r="Q56" s="95">
        <f t="shared" si="2"/>
        <v>6.5650517147523138E-2</v>
      </c>
      <c r="R56" s="95">
        <f>P56-Q56</f>
        <v>-5.8379823635218889E-2</v>
      </c>
      <c r="S56" s="95">
        <f t="shared" ref="S56:T56" si="3">N56/L56</f>
        <v>-1.6572754391779913E-2</v>
      </c>
      <c r="T56" s="95">
        <f t="shared" si="3"/>
        <v>3.4506089309878217E-2</v>
      </c>
      <c r="U56" s="95">
        <f>S56-T56</f>
        <v>-5.1078843701658133E-2</v>
      </c>
      <c r="V56" s="95">
        <f>(H56/I56)-1</f>
        <v>-2.6673924877517741E-2</v>
      </c>
      <c r="W56" s="95">
        <f>(J56/K56)-1</f>
        <v>-0.89220563847429524</v>
      </c>
      <c r="X56" s="95">
        <f>(L56/M56)-1</f>
        <v>2.0635994587280049E-2</v>
      </c>
      <c r="Y56" s="95">
        <f>(N56/O56)-1</f>
        <v>-1.4901960784313726</v>
      </c>
    </row>
    <row r="57" spans="1:25" ht="13.2">
      <c r="G57" s="50"/>
    </row>
    <row r="58" spans="1:25" ht="13.2">
      <c r="G58" s="50"/>
    </row>
    <row r="59" spans="1:25" ht="13.2">
      <c r="G59" s="50"/>
    </row>
    <row r="60" spans="1:25" ht="13.2">
      <c r="G60" s="50"/>
    </row>
    <row r="61" spans="1:25" ht="13.2">
      <c r="G61" s="50"/>
    </row>
    <row r="62" spans="1:25" ht="13.2">
      <c r="G62" s="50"/>
    </row>
    <row r="63" spans="1:25" ht="13.2">
      <c r="G63" s="50"/>
    </row>
    <row r="64" spans="1:25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54" xr:uid="{00000000-0009-0000-0000-000046000000}"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500820</v>
      </c>
      <c r="B2" s="98" t="s">
        <v>103</v>
      </c>
      <c r="C2" s="101" t="str">
        <f>VLOOKUP(A2,'BSE ALL CAP'!$B$4:$Y$1038,2,)</f>
        <v>Consumer Discretionary</v>
      </c>
      <c r="D2" s="101" t="str">
        <f>VLOOKUP(A2,'BSE ALL CAP'!$B$4:$Y$1038,3,)</f>
        <v>Paints</v>
      </c>
      <c r="E2" s="101">
        <f ca="1">IFERROR(__xludf.DUMMYFUNCTION("GOOGLEFINANCE(""BOM:""&amp;A2,""PRICE"")"),2184.6)</f>
        <v>2184.6</v>
      </c>
      <c r="F2" s="112">
        <f ca="1">IFERROR(__xludf.DUMMYFUNCTION("GOOGLEFINANCE(""BOM:""&amp;A2,""MARKETCAP"")/10000000"),209356.97328)</f>
        <v>209356.97328000001</v>
      </c>
      <c r="G2" s="95">
        <f t="shared" ref="G2:G10" ca="1" si="0">F2/$F$12</f>
        <v>0.7115132364246799</v>
      </c>
      <c r="H2" s="101">
        <f>VLOOKUP(A2,'BSE ALL CAP'!$B$4:$Y$1038,7,)</f>
        <v>26288</v>
      </c>
      <c r="I2" s="101">
        <f>VLOOKUP(A2,'BSE ALL CAP'!$B$4:$Y$1038,8,)</f>
        <v>25468</v>
      </c>
      <c r="J2" s="101">
        <f>VLOOKUP(A2,'BSE ALL CAP'!$B$4:$Y$1038,9,)</f>
        <v>3209</v>
      </c>
      <c r="K2" s="101">
        <f>VLOOKUP(A2,'BSE ALL CAP'!$B$4:$Y$1038,10,)</f>
        <v>3009</v>
      </c>
      <c r="L2" s="101">
        <f>VLOOKUP(A2,'BSE ALL CAP'!$B$4:$Y$1038,11,)</f>
        <v>8850</v>
      </c>
      <c r="M2" s="101">
        <f>VLOOKUP(A2,'BSE ALL CAP'!$B$4:$Y$1038,12,)</f>
        <v>8521</v>
      </c>
      <c r="N2" s="101">
        <f>VLOOKUP(A2,'BSE ALL CAP'!$B$4:$Y$1038,13,)</f>
        <v>1074</v>
      </c>
      <c r="O2" s="101">
        <f>VLOOKUP(A2,'BSE ALL CAP'!$B$4:$Y$1038,14,)</f>
        <v>1128</v>
      </c>
      <c r="P2" s="95">
        <f>VLOOKUP(A2,'BSE ALL CAP'!$B$4:$Y$1038,15,)</f>
        <v>0.12207090687766281</v>
      </c>
      <c r="Q2" s="95">
        <f>VLOOKUP(A2,'BSE ALL CAP'!$B$4:$Y$1038,16,)</f>
        <v>0.11814826448877022</v>
      </c>
      <c r="R2" s="95">
        <f>VLOOKUP(A2,'BSE ALL CAP'!$B$4:$Y$1038,17,)</f>
        <v>3.9226423888925888E-3</v>
      </c>
      <c r="S2" s="95">
        <f>VLOOKUP(A2,'BSE ALL CAP'!$B$4:$Y$1038,18,)</f>
        <v>0.12135593220338983</v>
      </c>
      <c r="T2" s="95">
        <f>VLOOKUP(A2,'BSE ALL CAP'!$B$4:$Y$1038,19,)</f>
        <v>0.13237882877596527</v>
      </c>
      <c r="U2" s="95">
        <f>VLOOKUP(A2,'BSE ALL CAP'!$B$4:$Y$1038,20,)</f>
        <v>-1.1022896572575436E-2</v>
      </c>
      <c r="V2" s="95">
        <f>VLOOKUP(A2,'BSE ALL CAP'!$B$4:$Y$1038,21,)</f>
        <v>3.2197267158787568E-2</v>
      </c>
      <c r="W2" s="95">
        <f>VLOOKUP(A2,'BSE ALL CAP'!$B$4:$Y$1038,22,)</f>
        <v>6.6467264872050569E-2</v>
      </c>
      <c r="X2" s="95">
        <f>VLOOKUP(A2,'BSE ALL CAP'!$B$4:$Y$1038,23,)</f>
        <v>3.8610491726323248E-2</v>
      </c>
      <c r="Y2" s="95">
        <f>VLOOKUP(A2,'BSE ALL CAP'!$B$4:$Y$1038,24,)</f>
        <v>-4.7872340425531901E-2</v>
      </c>
    </row>
    <row r="3" spans="1:25" ht="15.75" customHeight="1">
      <c r="A3" s="99">
        <v>509480</v>
      </c>
      <c r="B3" s="98" t="s">
        <v>2401</v>
      </c>
      <c r="C3" s="101" t="str">
        <f>VLOOKUP(A3,'BSE ALL CAP'!$B$4:$Y$1038,2,)</f>
        <v>Consumer Discretionary</v>
      </c>
      <c r="D3" s="101" t="str">
        <f>VLOOKUP(A3,'BSE ALL CAP'!$B$4:$Y$1038,3,)</f>
        <v>Paints</v>
      </c>
      <c r="E3" s="101">
        <f ca="1">IFERROR(__xludf.DUMMYFUNCTION("GOOGLEFINANCE(""BOM:""&amp;A3,""PRICE"")"),430.75)</f>
        <v>430.75</v>
      </c>
      <c r="F3" s="112">
        <f ca="1">IFERROR(__xludf.DUMMYFUNCTION("GOOGLEFINANCE(""BOM:""&amp;A3,""MARKETCAP"")/10000000"),50183.1759283)</f>
        <v>50183.175928299999</v>
      </c>
      <c r="G3" s="95">
        <f t="shared" ca="1" si="0"/>
        <v>0.17055077439937769</v>
      </c>
      <c r="H3" s="101">
        <f>VLOOKUP(A3,'BSE ALL CAP'!$B$4:$Y$1038,7,)</f>
        <v>9012</v>
      </c>
      <c r="I3" s="101">
        <f>VLOOKUP(A3,'BSE ALL CAP'!$B$4:$Y$1038,8,)</f>
        <v>8841</v>
      </c>
      <c r="J3" s="101">
        <f>VLOOKUP(A3,'BSE ALL CAP'!$B$4:$Y$1038,9,)</f>
        <v>793</v>
      </c>
      <c r="K3" s="101">
        <f>VLOOKUP(A3,'BSE ALL CAP'!$B$4:$Y$1038,10,)</f>
        <v>920</v>
      </c>
      <c r="L3" s="101">
        <f>VLOOKUP(A3,'BSE ALL CAP'!$B$4:$Y$1038,11,)</f>
        <v>2984</v>
      </c>
      <c r="M3" s="101">
        <f>VLOOKUP(A3,'BSE ALL CAP'!$B$4:$Y$1038,12,)</f>
        <v>2975</v>
      </c>
      <c r="N3" s="101">
        <f>VLOOKUP(A3,'BSE ALL CAP'!$B$4:$Y$1038,13,)</f>
        <v>271</v>
      </c>
      <c r="O3" s="101">
        <f>VLOOKUP(A3,'BSE ALL CAP'!$B$4:$Y$1038,14,)</f>
        <v>296</v>
      </c>
      <c r="P3" s="95">
        <f>VLOOKUP(A3,'BSE ALL CAP'!$B$4:$Y$1038,15,)</f>
        <v>0.06</v>
      </c>
      <c r="Q3" s="95">
        <f>VLOOKUP(A3,'BSE ALL CAP'!$B$4:$Y$1038,16,)</f>
        <v>0.1040606266259473</v>
      </c>
      <c r="R3" s="95">
        <f>VLOOKUP(A3,'BSE ALL CAP'!$B$4:$Y$1038,17,)</f>
        <v>-4.40606266259473E-2</v>
      </c>
      <c r="S3" s="95">
        <f>VLOOKUP(A3,'BSE ALL CAP'!$B$4:$Y$1038,18,)</f>
        <v>9.0817694369973195E-2</v>
      </c>
      <c r="T3" s="95">
        <f>VLOOKUP(A3,'BSE ALL CAP'!$B$4:$Y$1038,19,)</f>
        <v>9.9495798319327727E-2</v>
      </c>
      <c r="U3" s="95">
        <f>VLOOKUP(A3,'BSE ALL CAP'!$B$4:$Y$1038,20,)</f>
        <v>-8.678103949354532E-3</v>
      </c>
      <c r="V3" s="95">
        <f>VLOOKUP(A3,'BSE ALL CAP'!$B$4:$Y$1038,21,)</f>
        <v>1.9341703427214085E-2</v>
      </c>
      <c r="W3" s="95">
        <f>VLOOKUP(A3,'BSE ALL CAP'!$B$4:$Y$1038,22,)</f>
        <v>-0.1380434782608696</v>
      </c>
      <c r="X3" s="95">
        <f>VLOOKUP(A3,'BSE ALL CAP'!$B$4:$Y$1038,23,)</f>
        <v>3.0252100840335583E-3</v>
      </c>
      <c r="Y3" s="95">
        <f>VLOOKUP(A3,'BSE ALL CAP'!$B$4:$Y$1038,24,)</f>
        <v>-8.4459459459459429E-2</v>
      </c>
    </row>
    <row r="4" spans="1:25" ht="15.75" customHeight="1">
      <c r="A4" s="99">
        <v>500165</v>
      </c>
      <c r="B4" s="98" t="s">
        <v>2402</v>
      </c>
      <c r="C4" s="101" t="str">
        <f>VLOOKUP(A4,'BSE ALL CAP'!$B$4:$Y$1038,2,)</f>
        <v>Consumer Discretionary</v>
      </c>
      <c r="D4" s="101" t="str">
        <f>VLOOKUP(A4,'BSE ALL CAP'!$B$4:$Y$1038,3,)</f>
        <v>Paints</v>
      </c>
      <c r="E4" s="101">
        <f ca="1">IFERROR(__xludf.DUMMYFUNCTION("GOOGLEFINANCE(""BOM:""&amp;A4,""PRICE"")"),180.9)</f>
        <v>180.9</v>
      </c>
      <c r="F4" s="112">
        <f ca="1">IFERROR(__xludf.DUMMYFUNCTION("GOOGLEFINANCE(""BOM:""&amp;A4,""MARKETCAP"")/10000000"),14575.2594458)</f>
        <v>14575.2594458</v>
      </c>
      <c r="G4" s="95">
        <f t="shared" ca="1" si="0"/>
        <v>4.9534963452785276E-2</v>
      </c>
      <c r="H4" s="101">
        <f>VLOOKUP(A4,'BSE ALL CAP'!$B$4:$Y$1038,7,)</f>
        <v>6098</v>
      </c>
      <c r="I4" s="101">
        <f>VLOOKUP(A4,'BSE ALL CAP'!$B$4:$Y$1038,8,)</f>
        <v>6006</v>
      </c>
      <c r="J4" s="101">
        <f>VLOOKUP(A4,'BSE ALL CAP'!$B$4:$Y$1038,9,)</f>
        <v>466</v>
      </c>
      <c r="K4" s="101">
        <f>VLOOKUP(A4,'BSE ALL CAP'!$B$4:$Y$1038,10,)</f>
        <v>1007</v>
      </c>
      <c r="L4" s="101">
        <f>VLOOKUP(A4,'BSE ALL CAP'!$B$4:$Y$1038,11,)</f>
        <v>1982</v>
      </c>
      <c r="M4" s="101">
        <f>VLOOKUP(A4,'BSE ALL CAP'!$B$4:$Y$1038,12,)</f>
        <v>1922</v>
      </c>
      <c r="N4" s="101">
        <f>VLOOKUP(A4,'BSE ALL CAP'!$B$4:$Y$1038,13,)</f>
        <v>117</v>
      </c>
      <c r="O4" s="101">
        <f>VLOOKUP(A4,'BSE ALL CAP'!$B$4:$Y$1038,14,)</f>
        <v>662</v>
      </c>
      <c r="P4" s="95">
        <f>VLOOKUP(A4,'BSE ALL CAP'!$B$4:$Y$1038,15,)</f>
        <v>7.6418497868153495E-2</v>
      </c>
      <c r="Q4" s="95">
        <f>VLOOKUP(A4,'BSE ALL CAP'!$B$4:$Y$1038,16,)</f>
        <v>0.16766566766566768</v>
      </c>
      <c r="R4" s="95">
        <f>VLOOKUP(A4,'BSE ALL CAP'!$B$4:$Y$1038,17,)</f>
        <v>-9.1247169797514183E-2</v>
      </c>
      <c r="S4" s="95">
        <f>VLOOKUP(A4,'BSE ALL CAP'!$B$4:$Y$1038,18,)</f>
        <v>5.9031281533804235E-2</v>
      </c>
      <c r="T4" s="95">
        <f>VLOOKUP(A4,'BSE ALL CAP'!$B$4:$Y$1038,19,)</f>
        <v>0.34443288241415193</v>
      </c>
      <c r="U4" s="95">
        <f>VLOOKUP(A4,'BSE ALL CAP'!$B$4:$Y$1038,20,)</f>
        <v>-0.28540160088034772</v>
      </c>
      <c r="V4" s="95">
        <f>VLOOKUP(A4,'BSE ALL CAP'!$B$4:$Y$1038,21,)</f>
        <v>1.5318015318015243E-2</v>
      </c>
      <c r="W4" s="95">
        <f>VLOOKUP(A4,'BSE ALL CAP'!$B$4:$Y$1038,22,)</f>
        <v>-0.5372393247269116</v>
      </c>
      <c r="X4" s="95">
        <f>VLOOKUP(A4,'BSE ALL CAP'!$B$4:$Y$1038,23,)</f>
        <v>3.1217481789802326E-2</v>
      </c>
      <c r="Y4" s="95">
        <f>VLOOKUP(A4,'BSE ALL CAP'!$B$4:$Y$1038,24,)</f>
        <v>-0.82326283987915405</v>
      </c>
    </row>
    <row r="5" spans="1:25" ht="15.75" customHeight="1">
      <c r="A5" s="99">
        <v>500710</v>
      </c>
      <c r="B5" s="98" t="s">
        <v>2403</v>
      </c>
      <c r="C5" s="101" t="str">
        <f>VLOOKUP(A5,'BSE ALL CAP'!$B$4:$Y$1038,2,)</f>
        <v>Consumer Discretionary</v>
      </c>
      <c r="D5" s="101" t="str">
        <f>VLOOKUP(A5,'BSE ALL CAP'!$B$4:$Y$1038,3,)</f>
        <v>Paints</v>
      </c>
      <c r="E5" s="101">
        <f ca="1">IFERROR(__xludf.DUMMYFUNCTION("GOOGLEFINANCE(""BOM:""&amp;A5,""PRICE"")"),2958.45)</f>
        <v>2958.45</v>
      </c>
      <c r="F5" s="112">
        <f ca="1">IFERROR(__xludf.DUMMYFUNCTION("GOOGLEFINANCE(""BOM:""&amp;A5,""MARKETCAP"")/10000000"),13518.1851756)</f>
        <v>13518.1851756</v>
      </c>
      <c r="G5" s="95">
        <f t="shared" ca="1" si="0"/>
        <v>4.5942428065271108E-2</v>
      </c>
      <c r="H5" s="101">
        <f>VLOOKUP(A5,'BSE ALL CAP'!$B$4:$Y$1038,7,)</f>
        <v>2737</v>
      </c>
      <c r="I5" s="101">
        <f>VLOOKUP(A5,'BSE ALL CAP'!$B$4:$Y$1038,8,)</f>
        <v>3069</v>
      </c>
      <c r="J5" s="101">
        <f>VLOOKUP(A5,'BSE ALL CAP'!$B$4:$Y$1038,9,)</f>
        <v>1848</v>
      </c>
      <c r="K5" s="101">
        <f>VLOOKUP(A5,'BSE ALL CAP'!$B$4:$Y$1038,10,)</f>
        <v>321</v>
      </c>
      <c r="L5" s="101">
        <f>VLOOKUP(A5,'BSE ALL CAP'!$B$4:$Y$1038,11,)</f>
        <v>907</v>
      </c>
      <c r="M5" s="101">
        <f>VLOOKUP(A5,'BSE ALL CAP'!$B$4:$Y$1038,12,)</f>
        <v>1050</v>
      </c>
      <c r="N5" s="101">
        <f>VLOOKUP(A5,'BSE ALL CAP'!$B$4:$Y$1038,13,)</f>
        <v>74</v>
      </c>
      <c r="O5" s="101">
        <f>VLOOKUP(A5,'BSE ALL CAP'!$B$4:$Y$1038,14,)</f>
        <v>108</v>
      </c>
      <c r="P5" s="95">
        <f>VLOOKUP(A5,'BSE ALL CAP'!$B$4:$Y$1038,15,)</f>
        <v>0.67519181585677746</v>
      </c>
      <c r="Q5" s="95">
        <f>VLOOKUP(A5,'BSE ALL CAP'!$B$4:$Y$1038,16,)</f>
        <v>0.10459433040078202</v>
      </c>
      <c r="R5" s="95">
        <f>VLOOKUP(A5,'BSE ALL CAP'!$B$4:$Y$1038,17,)</f>
        <v>0.57059748545599542</v>
      </c>
      <c r="S5" s="95">
        <f>VLOOKUP(A5,'BSE ALL CAP'!$B$4:$Y$1038,18,)</f>
        <v>8.1587651598676952E-2</v>
      </c>
      <c r="T5" s="95">
        <f>VLOOKUP(A5,'BSE ALL CAP'!$B$4:$Y$1038,19,)</f>
        <v>0.10285714285714286</v>
      </c>
      <c r="U5" s="95">
        <f>VLOOKUP(A5,'BSE ALL CAP'!$B$4:$Y$1038,20,)</f>
        <v>-2.1269491258465903E-2</v>
      </c>
      <c r="V5" s="95">
        <f>VLOOKUP(A5,'BSE ALL CAP'!$B$4:$Y$1038,21,)</f>
        <v>-0.10817855979146307</v>
      </c>
      <c r="W5" s="95">
        <f>VLOOKUP(A5,'BSE ALL CAP'!$B$4:$Y$1038,22,)</f>
        <v>4.7570093457943923</v>
      </c>
      <c r="X5" s="95">
        <f>VLOOKUP(A5,'BSE ALL CAP'!$B$4:$Y$1038,23,)</f>
        <v>-0.1361904761904762</v>
      </c>
      <c r="Y5" s="95">
        <f>VLOOKUP(A5,'BSE ALL CAP'!$B$4:$Y$1038,24,)</f>
        <v>-0.31481481481481477</v>
      </c>
    </row>
    <row r="6" spans="1:25" ht="15.75" customHeight="1">
      <c r="A6" s="99">
        <v>543258</v>
      </c>
      <c r="B6" s="98" t="s">
        <v>2404</v>
      </c>
      <c r="C6" s="101" t="str">
        <f>VLOOKUP(A6,'BSE ALL CAP'!$B$4:$Y$1038,2,)</f>
        <v>Consumer Discretionary</v>
      </c>
      <c r="D6" s="101" t="str">
        <f>VLOOKUP(A6,'BSE ALL CAP'!$B$4:$Y$1038,3,)</f>
        <v>Paints</v>
      </c>
      <c r="E6" s="101">
        <f ca="1">IFERROR(__xludf.DUMMYFUNCTION("GOOGLEFINANCE(""BOM:""&amp;A6,""PRICE"")"),770.05)</f>
        <v>770.05</v>
      </c>
      <c r="F6" s="112">
        <f ca="1">IFERROR(__xludf.DUMMYFUNCTION("GOOGLEFINANCE(""BOM:""&amp;A6,""MARKETCAP"")/10000000"),3674.8398146)</f>
        <v>3674.8398146</v>
      </c>
      <c r="G6" s="95">
        <f t="shared" ca="1" si="0"/>
        <v>1.2489181176360177E-2</v>
      </c>
      <c r="H6" s="101">
        <f>VLOOKUP(A6,'BSE ALL CAP'!$B$4:$Y$1038,7,)</f>
        <v>979</v>
      </c>
      <c r="I6" s="101">
        <f>VLOOKUP(A6,'BSE ALL CAP'!$B$4:$Y$1038,8,)</f>
        <v>953</v>
      </c>
      <c r="J6" s="101">
        <f>VLOOKUP(A6,'BSE ALL CAP'!$B$4:$Y$1038,9,)</f>
        <v>88</v>
      </c>
      <c r="K6" s="101">
        <f>VLOOKUP(A6,'BSE ALL CAP'!$B$4:$Y$1038,10,)</f>
        <v>84</v>
      </c>
      <c r="L6" s="101">
        <f>VLOOKUP(A6,'BSE ALL CAP'!$B$4:$Y$1038,11,)</f>
        <v>358</v>
      </c>
      <c r="M6" s="101">
        <f>VLOOKUP(A6,'BSE ALL CAP'!$B$4:$Y$1038,12,)</f>
        <v>342</v>
      </c>
      <c r="N6" s="101">
        <f>VLOOKUP(A6,'BSE ALL CAP'!$B$4:$Y$1038,13,)</f>
        <v>37</v>
      </c>
      <c r="O6" s="101">
        <f>VLOOKUP(A6,'BSE ALL CAP'!$B$4:$Y$1038,14,)</f>
        <v>35</v>
      </c>
      <c r="P6" s="95">
        <f>VLOOKUP(A6,'BSE ALL CAP'!$B$4:$Y$1038,15,)</f>
        <v>8.98876404494382E-2</v>
      </c>
      <c r="Q6" s="95">
        <f>VLOOKUP(A6,'BSE ALL CAP'!$B$4:$Y$1038,16,)</f>
        <v>8.8142707240293813E-2</v>
      </c>
      <c r="R6" s="95">
        <f>VLOOKUP(A6,'BSE ALL CAP'!$B$4:$Y$1038,17,)</f>
        <v>1.7449332091443864E-3</v>
      </c>
      <c r="S6" s="95">
        <f>VLOOKUP(A6,'BSE ALL CAP'!$B$4:$Y$1038,18,)</f>
        <v>0.10335195530726257</v>
      </c>
      <c r="T6" s="95">
        <f>VLOOKUP(A6,'BSE ALL CAP'!$B$4:$Y$1038,19,)</f>
        <v>0.1023391812865497</v>
      </c>
      <c r="U6" s="95">
        <f>VLOOKUP(A6,'BSE ALL CAP'!$B$4:$Y$1038,20,)</f>
        <v>1.0127740207128699E-3</v>
      </c>
      <c r="V6" s="95">
        <f>VLOOKUP(A6,'BSE ALL CAP'!$B$4:$Y$1038,21,)</f>
        <v>2.7282266526757581E-2</v>
      </c>
      <c r="W6" s="95">
        <f>VLOOKUP(A6,'BSE ALL CAP'!$B$4:$Y$1038,22,)</f>
        <v>4.7619047619047672E-2</v>
      </c>
      <c r="X6" s="95">
        <f>VLOOKUP(A6,'BSE ALL CAP'!$B$4:$Y$1038,23,)</f>
        <v>4.6783625730994149E-2</v>
      </c>
      <c r="Y6" s="95">
        <f>VLOOKUP(A6,'BSE ALL CAP'!$B$4:$Y$1038,24,)</f>
        <v>5.7142857142857162E-2</v>
      </c>
    </row>
    <row r="7" spans="1:25" ht="15.75" customHeight="1">
      <c r="A7" s="99">
        <v>543686</v>
      </c>
      <c r="B7" s="98" t="s">
        <v>2405</v>
      </c>
      <c r="C7" s="101" t="str">
        <f>VLOOKUP(A7,'BSE ALL CAP'!$B$4:$Y$1038,2,)</f>
        <v>Consumer Discretionary</v>
      </c>
      <c r="D7" s="101" t="str">
        <f>VLOOKUP(A7,'BSE ALL CAP'!$B$4:$Y$1038,3,)</f>
        <v>Paints</v>
      </c>
      <c r="E7" s="101">
        <f ca="1">IFERROR(__xludf.DUMMYFUNCTION("GOOGLEFINANCE(""BOM:""&amp;A7,""PRICE"")"),410)</f>
        <v>410</v>
      </c>
      <c r="F7" s="112">
        <f ca="1">IFERROR(__xludf.DUMMYFUNCTION("GOOGLEFINANCE(""BOM:""&amp;A7,""MARKETCAP"")/10000000"),2330.2081043)</f>
        <v>2330.2081042999998</v>
      </c>
      <c r="G7" s="95">
        <f t="shared" ca="1" si="0"/>
        <v>7.9193631998877301E-3</v>
      </c>
      <c r="H7" s="101">
        <f>VLOOKUP(A7,'BSE ALL CAP'!$B$4:$Y$1038,7,)</f>
        <v>358</v>
      </c>
      <c r="I7" s="101">
        <f>VLOOKUP(A7,'BSE ALL CAP'!$B$4:$Y$1038,8,)</f>
        <v>272</v>
      </c>
      <c r="J7" s="101">
        <f>VLOOKUP(A7,'BSE ALL CAP'!$B$4:$Y$1038,9,)</f>
        <v>47</v>
      </c>
      <c r="K7" s="101">
        <f>VLOOKUP(A7,'BSE ALL CAP'!$B$4:$Y$1038,10,)</f>
        <v>34</v>
      </c>
      <c r="L7" s="101">
        <f>VLOOKUP(A7,'BSE ALL CAP'!$B$4:$Y$1038,11,)</f>
        <v>112</v>
      </c>
      <c r="M7" s="101">
        <f>VLOOKUP(A7,'BSE ALL CAP'!$B$4:$Y$1038,12,)</f>
        <v>88</v>
      </c>
      <c r="N7" s="101">
        <f>VLOOKUP(A7,'BSE ALL CAP'!$B$4:$Y$1038,13,)</f>
        <v>15</v>
      </c>
      <c r="O7" s="101">
        <f>VLOOKUP(A7,'BSE ALL CAP'!$B$4:$Y$1038,14,)</f>
        <v>11</v>
      </c>
      <c r="P7" s="95">
        <f>VLOOKUP(A7,'BSE ALL CAP'!$B$4:$Y$1038,15,)</f>
        <v>0.13128491620111732</v>
      </c>
      <c r="Q7" s="95">
        <f>VLOOKUP(A7,'BSE ALL CAP'!$B$4:$Y$1038,16,)</f>
        <v>0.125</v>
      </c>
      <c r="R7" s="95">
        <f>VLOOKUP(A7,'BSE ALL CAP'!$B$4:$Y$1038,17,)</f>
        <v>6.2849162011173187E-3</v>
      </c>
      <c r="S7" s="95">
        <f>VLOOKUP(A7,'BSE ALL CAP'!$B$4:$Y$1038,18,)</f>
        <v>0.13392857142857142</v>
      </c>
      <c r="T7" s="95">
        <f>VLOOKUP(A7,'BSE ALL CAP'!$B$4:$Y$1038,19,)</f>
        <v>0.125</v>
      </c>
      <c r="U7" s="95">
        <f>VLOOKUP(A7,'BSE ALL CAP'!$B$4:$Y$1038,20,)</f>
        <v>8.9285714285714246E-3</v>
      </c>
      <c r="V7" s="95">
        <f>VLOOKUP(A7,'BSE ALL CAP'!$B$4:$Y$1038,21,)</f>
        <v>0.31617647058823528</v>
      </c>
      <c r="W7" s="95">
        <f>VLOOKUP(A7,'BSE ALL CAP'!$B$4:$Y$1038,22,)</f>
        <v>0.38235294117647056</v>
      </c>
      <c r="X7" s="95">
        <f>VLOOKUP(A7,'BSE ALL CAP'!$B$4:$Y$1038,23,)</f>
        <v>0.27272727272727271</v>
      </c>
      <c r="Y7" s="95">
        <f>VLOOKUP(A7,'BSE ALL CAP'!$B$4:$Y$1038,24,)</f>
        <v>0.36363636363636354</v>
      </c>
    </row>
    <row r="8" spans="1:25" ht="15.75" customHeight="1">
      <c r="A8" s="99">
        <v>509874</v>
      </c>
      <c r="B8" s="98" t="s">
        <v>2406</v>
      </c>
      <c r="C8" s="101"/>
      <c r="D8" s="101"/>
      <c r="E8" s="101">
        <f ca="1">IFERROR(__xludf.DUMMYFUNCTION("GOOGLEFINANCE(""BOM:""&amp;A8,""PRICE"")"),44.25)</f>
        <v>44.25</v>
      </c>
      <c r="F8" s="112">
        <f ca="1">IFERROR(__xludf.DUMMYFUNCTION("GOOGLEFINANCE(""BOM:""&amp;A8,""MARKETCAP"")/10000000"),370.0870749)</f>
        <v>370.0870749</v>
      </c>
      <c r="G8" s="95">
        <f t="shared" ca="1" si="0"/>
        <v>1.2577648993275601E-3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543747</v>
      </c>
      <c r="B9" s="98" t="s">
        <v>2407</v>
      </c>
      <c r="C9" s="101"/>
      <c r="D9" s="101"/>
      <c r="E9" s="101">
        <f ca="1">IFERROR(__xludf.DUMMYFUNCTION("GOOGLEFINANCE(""BOM:""&amp;A9,""PRICE"")"),4.62)</f>
        <v>4.62</v>
      </c>
      <c r="F9" s="112">
        <f ca="1">IFERROR(__xludf.DUMMYFUNCTION("GOOGLEFINANCE(""BOM:""&amp;A9,""MARKETCAP"")/10000000"),151.6690043)</f>
        <v>151.66900430000001</v>
      </c>
      <c r="G9" s="95">
        <f t="shared" ca="1" si="0"/>
        <v>5.1545693665753253E-4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543902</v>
      </c>
      <c r="B10" s="98" t="s">
        <v>2408</v>
      </c>
      <c r="C10" s="101"/>
      <c r="D10" s="101"/>
      <c r="E10" s="101">
        <f ca="1">IFERROR(__xludf.DUMMYFUNCTION("GOOGLEFINANCE(""BOM:""&amp;A10,""PRICE"")"),53.1)</f>
        <v>53.1</v>
      </c>
      <c r="F10" s="112">
        <f ca="1">IFERROR(__xludf.DUMMYFUNCTION("GOOGLEFINANCE(""BOM:""&amp;A10,""MARKETCAP"")/10000000"),81.4553976)</f>
        <v>81.455397599999998</v>
      </c>
      <c r="G10" s="95">
        <f t="shared" ca="1" si="0"/>
        <v>2.7683144565298186E-4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>
      <c r="A11" s="101"/>
      <c r="B11" s="101"/>
      <c r="C11" s="101"/>
      <c r="D11" s="101"/>
      <c r="E11" s="101"/>
      <c r="F11" s="101"/>
      <c r="G11" s="95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>
      <c r="A12" s="101"/>
      <c r="B12" s="101"/>
      <c r="C12" s="101"/>
      <c r="D12" s="101"/>
      <c r="E12" s="101"/>
      <c r="F12" s="112">
        <f ca="1">SUM(F2:F10)</f>
        <v>294241.85322540003</v>
      </c>
      <c r="G12" s="95">
        <f ca="1">F12/$F$12</f>
        <v>1</v>
      </c>
      <c r="H12" s="101">
        <f t="shared" ref="H12:O12" si="1">SUM(H2:H10)</f>
        <v>45472</v>
      </c>
      <c r="I12" s="101">
        <f t="shared" si="1"/>
        <v>44609</v>
      </c>
      <c r="J12" s="101">
        <f t="shared" si="1"/>
        <v>6451</v>
      </c>
      <c r="K12" s="101">
        <f t="shared" si="1"/>
        <v>5375</v>
      </c>
      <c r="L12" s="101">
        <f t="shared" si="1"/>
        <v>15193</v>
      </c>
      <c r="M12" s="101">
        <f t="shared" si="1"/>
        <v>14898</v>
      </c>
      <c r="N12" s="101">
        <f t="shared" si="1"/>
        <v>1588</v>
      </c>
      <c r="O12" s="101">
        <f t="shared" si="1"/>
        <v>2240</v>
      </c>
      <c r="P12" s="95">
        <f t="shared" ref="P12:Q12" si="2">J12/H12</f>
        <v>0.14186752287121746</v>
      </c>
      <c r="Q12" s="95">
        <f t="shared" si="2"/>
        <v>0.12049138066309489</v>
      </c>
      <c r="R12" s="95">
        <f>P12-Q12</f>
        <v>2.1376142208122562E-2</v>
      </c>
      <c r="S12" s="95">
        <f t="shared" ref="S12:T12" si="3">N12/L12</f>
        <v>0.10452181925886922</v>
      </c>
      <c r="T12" s="95">
        <f t="shared" si="3"/>
        <v>0.15035575244999327</v>
      </c>
      <c r="U12" s="95">
        <f>S12-T12</f>
        <v>-4.5833933191124054E-2</v>
      </c>
      <c r="V12" s="95">
        <f>(H12/I12)-1</f>
        <v>1.9345871909256074E-2</v>
      </c>
      <c r="W12" s="95">
        <f>(J12/K12)-1</f>
        <v>0.20018604651162786</v>
      </c>
      <c r="X12" s="95">
        <f>(L12/M12)-1</f>
        <v>1.9801315612834047E-2</v>
      </c>
      <c r="Y12" s="95">
        <f>(N12/O12)-1</f>
        <v>-0.29107142857142854</v>
      </c>
    </row>
    <row r="13" spans="1:25">
      <c r="G13" s="50"/>
    </row>
    <row r="14" spans="1:25">
      <c r="G14" s="50"/>
    </row>
    <row r="15" spans="1:25">
      <c r="G15" s="50"/>
    </row>
    <row r="16" spans="1:25">
      <c r="G16" s="50"/>
    </row>
    <row r="17" spans="7:7">
      <c r="G17" s="50"/>
    </row>
    <row r="18" spans="7:7">
      <c r="G18" s="50"/>
    </row>
    <row r="19" spans="7:7">
      <c r="G19" s="50"/>
    </row>
    <row r="20" spans="7:7">
      <c r="G20" s="50"/>
    </row>
    <row r="21" spans="7:7">
      <c r="G21" s="50"/>
    </row>
    <row r="22" spans="7:7">
      <c r="G22" s="50"/>
    </row>
    <row r="23" spans="7:7">
      <c r="G23" s="50"/>
    </row>
    <row r="24" spans="7:7">
      <c r="G24" s="50"/>
    </row>
    <row r="25" spans="7:7" ht="13.2">
      <c r="G25" s="50"/>
    </row>
    <row r="26" spans="7:7" ht="13.2">
      <c r="G26" s="50"/>
    </row>
    <row r="27" spans="7:7" ht="13.2">
      <c r="G27" s="50"/>
    </row>
    <row r="28" spans="7:7" ht="13.2">
      <c r="G28" s="50"/>
    </row>
    <row r="29" spans="7:7" ht="13.2">
      <c r="G29" s="50"/>
    </row>
    <row r="30" spans="7:7" ht="13.2">
      <c r="G30" s="50"/>
    </row>
    <row r="31" spans="7:7" ht="13.2">
      <c r="G31" s="50"/>
    </row>
    <row r="32" spans="7:7" ht="13.2">
      <c r="G32" s="50"/>
    </row>
    <row r="33" spans="7:7" ht="13.2">
      <c r="G33" s="50"/>
    </row>
    <row r="34" spans="7:7" ht="13.2">
      <c r="G34" s="50"/>
    </row>
    <row r="35" spans="7:7" ht="13.2">
      <c r="G35" s="50"/>
    </row>
    <row r="36" spans="7:7" ht="13.2">
      <c r="G36" s="50"/>
    </row>
    <row r="37" spans="7:7" ht="13.2">
      <c r="G37" s="50"/>
    </row>
    <row r="38" spans="7:7" ht="13.2">
      <c r="G38" s="50"/>
    </row>
    <row r="39" spans="7:7" ht="13.2">
      <c r="G39" s="50"/>
    </row>
    <row r="40" spans="7:7" ht="13.2">
      <c r="G40" s="50"/>
    </row>
    <row r="41" spans="7:7" ht="13.2">
      <c r="G41" s="50"/>
    </row>
    <row r="42" spans="7:7" ht="13.2">
      <c r="G42" s="50"/>
    </row>
    <row r="43" spans="7:7" ht="13.2">
      <c r="G43" s="50"/>
    </row>
    <row r="44" spans="7:7" ht="13.2">
      <c r="G44" s="50"/>
    </row>
    <row r="45" spans="7:7" ht="13.2">
      <c r="G45" s="50"/>
    </row>
    <row r="46" spans="7:7" ht="13.2">
      <c r="G46" s="50"/>
    </row>
    <row r="47" spans="7:7" ht="13.2">
      <c r="G47" s="50"/>
    </row>
    <row r="48" spans="7:7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10" xr:uid="{00000000-0009-0000-0000-000047000000}"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500135</v>
      </c>
      <c r="B2" s="98" t="s">
        <v>2409</v>
      </c>
      <c r="C2" s="101" t="str">
        <f>VLOOKUP(A2,'BSE ALL CAP'!$B$4:$Y$1038,2,)</f>
        <v>Industrials</v>
      </c>
      <c r="D2" s="101" t="str">
        <f>VLOOKUP(A2,'BSE ALL CAP'!$B$4:$Y$1038,3,)</f>
        <v>Packaging</v>
      </c>
      <c r="E2" s="101">
        <f ca="1">IFERROR(__xludf.DUMMYFUNCTION("GOOGLEFINANCE(""BOM:""&amp;A2,""PRICE"")"),216.45)</f>
        <v>216.45</v>
      </c>
      <c r="F2" s="112">
        <f ca="1">IFERROR(__xludf.DUMMYFUNCTION("GOOGLEFINANCE(""BOM:""&amp;A2,""MARKETCAP"")/10000000"),6930.8028289)</f>
        <v>6930.8028289000003</v>
      </c>
      <c r="G2" s="95">
        <f t="shared" ref="G2:G76" ca="1" si="0">F2/$F$78</f>
        <v>0.17491336095144014</v>
      </c>
      <c r="H2" s="101">
        <f>VLOOKUP(A2,'BSE ALL CAP'!$B$4:$Y$1038,7,)</f>
        <v>3462</v>
      </c>
      <c r="I2" s="101">
        <f>VLOOKUP(A2,'BSE ALL CAP'!$B$4:$Y$1038,8,)</f>
        <v>3107</v>
      </c>
      <c r="J2" s="101">
        <f>VLOOKUP(A2,'BSE ALL CAP'!$B$4:$Y$1038,9,)</f>
        <v>290</v>
      </c>
      <c r="K2" s="101">
        <f>VLOOKUP(A2,'BSE ALL CAP'!$B$4:$Y$1038,10,)</f>
        <v>248</v>
      </c>
      <c r="L2" s="101">
        <f>VLOOKUP(A2,'BSE ALL CAP'!$B$4:$Y$1038,11,)</f>
        <v>1148</v>
      </c>
      <c r="M2" s="101">
        <f>VLOOKUP(A2,'BSE ALL CAP'!$B$4:$Y$1038,12,)</f>
        <v>1014</v>
      </c>
      <c r="N2" s="101">
        <f>VLOOKUP(A2,'BSE ALL CAP'!$B$4:$Y$1038,13,)</f>
        <v>83</v>
      </c>
      <c r="O2" s="101">
        <f>VLOOKUP(A2,'BSE ALL CAP'!$B$4:$Y$1038,14,)</f>
        <v>94</v>
      </c>
      <c r="P2" s="95">
        <f>VLOOKUP(A2,'BSE ALL CAP'!$B$4:$Y$1038,15,)</f>
        <v>8.3766608896591571E-2</v>
      </c>
      <c r="Q2" s="95">
        <f>VLOOKUP(A2,'BSE ALL CAP'!$B$4:$Y$1038,16,)</f>
        <v>7.9819761828130026E-2</v>
      </c>
      <c r="R2" s="95">
        <f>VLOOKUP(A2,'BSE ALL CAP'!$B$4:$Y$1038,17,)</f>
        <v>3.9468470684615453E-3</v>
      </c>
      <c r="S2" s="95">
        <f>VLOOKUP(A2,'BSE ALL CAP'!$B$4:$Y$1038,18,)</f>
        <v>7.2299651567944254E-2</v>
      </c>
      <c r="T2" s="95">
        <f>VLOOKUP(A2,'BSE ALL CAP'!$B$4:$Y$1038,19,)</f>
        <v>9.270216962524655E-2</v>
      </c>
      <c r="U2" s="95">
        <f>VLOOKUP(A2,'BSE ALL CAP'!$B$4:$Y$1038,20,)</f>
        <v>-2.0402518057302296E-2</v>
      </c>
      <c r="V2" s="95">
        <f>VLOOKUP(A2,'BSE ALL CAP'!$B$4:$Y$1038,21,)</f>
        <v>0.11425812681042813</v>
      </c>
      <c r="W2" s="95">
        <f>VLOOKUP(A2,'BSE ALL CAP'!$B$4:$Y$1038,22,)</f>
        <v>0.16935483870967749</v>
      </c>
      <c r="X2" s="95">
        <f>VLOOKUP(A2,'BSE ALL CAP'!$B$4:$Y$1038,23,)</f>
        <v>0.13214990138067062</v>
      </c>
      <c r="Y2" s="95">
        <f>VLOOKUP(A2,'BSE ALL CAP'!$B$4:$Y$1038,24,)</f>
        <v>-0.11702127659574468</v>
      </c>
    </row>
    <row r="3" spans="1:25" ht="15.75" customHeight="1">
      <c r="A3" s="99">
        <v>500187</v>
      </c>
      <c r="B3" s="98" t="s">
        <v>2410</v>
      </c>
      <c r="C3" s="101" t="str">
        <f>VLOOKUP(A3,'BSE ALL CAP'!$B$4:$Y$1038,2,)</f>
        <v>Industrials</v>
      </c>
      <c r="D3" s="101" t="str">
        <f>VLOOKUP(A3,'BSE ALL CAP'!$B$4:$Y$1038,3,)</f>
        <v>Packaging</v>
      </c>
      <c r="E3" s="101">
        <f ca="1">IFERROR(__xludf.DUMMYFUNCTION("GOOGLEFINANCE(""BOM:""&amp;A3,""PRICE"")"),497.7)</f>
        <v>497.7</v>
      </c>
      <c r="F3" s="112">
        <f ca="1">IFERROR(__xludf.DUMMYFUNCTION("GOOGLEFINANCE(""BOM:""&amp;A3,""MARKETCAP"")/10000000"),3218.371247)</f>
        <v>3218.371247</v>
      </c>
      <c r="G3" s="95">
        <f t="shared" ca="1" si="0"/>
        <v>8.122235554803571E-2</v>
      </c>
      <c r="H3" s="101">
        <f>VLOOKUP(A3,'BSE ALL CAP'!$B$4:$Y$1038,7,)</f>
        <v>1964</v>
      </c>
      <c r="I3" s="101">
        <f>VLOOKUP(A3,'BSE ALL CAP'!$B$4:$Y$1038,8,)</f>
        <v>1861</v>
      </c>
      <c r="J3" s="101">
        <f>VLOOKUP(A3,'BSE ALL CAP'!$B$4:$Y$1038,9,)</f>
        <v>236</v>
      </c>
      <c r="K3" s="101">
        <f>VLOOKUP(A3,'BSE ALL CAP'!$B$4:$Y$1038,10,)</f>
        <v>225</v>
      </c>
      <c r="L3" s="101">
        <f>VLOOKUP(A3,'BSE ALL CAP'!$B$4:$Y$1038,11,)</f>
        <v>637</v>
      </c>
      <c r="M3" s="101">
        <f>VLOOKUP(A3,'BSE ALL CAP'!$B$4:$Y$1038,12,)</f>
        <v>673</v>
      </c>
      <c r="N3" s="101">
        <f>VLOOKUP(A3,'BSE ALL CAP'!$B$4:$Y$1038,13,)</f>
        <v>71</v>
      </c>
      <c r="O3" s="101">
        <f>VLOOKUP(A3,'BSE ALL CAP'!$B$4:$Y$1038,14,)</f>
        <v>90</v>
      </c>
      <c r="P3" s="95">
        <f>VLOOKUP(A3,'BSE ALL CAP'!$B$4:$Y$1038,15,)</f>
        <v>0.12016293279022404</v>
      </c>
      <c r="Q3" s="95">
        <f>VLOOKUP(A3,'BSE ALL CAP'!$B$4:$Y$1038,16,)</f>
        <v>0.12090274046211714</v>
      </c>
      <c r="R3" s="95">
        <f>VLOOKUP(A3,'BSE ALL CAP'!$B$4:$Y$1038,17,)</f>
        <v>-7.398076718931057E-4</v>
      </c>
      <c r="S3" s="95">
        <f>VLOOKUP(A3,'BSE ALL CAP'!$B$4:$Y$1038,18,)</f>
        <v>0.11145996860282574</v>
      </c>
      <c r="T3" s="95">
        <f>VLOOKUP(A3,'BSE ALL CAP'!$B$4:$Y$1038,19,)</f>
        <v>0.1337295690936107</v>
      </c>
      <c r="U3" s="95">
        <f>VLOOKUP(A3,'BSE ALL CAP'!$B$4:$Y$1038,20,)</f>
        <v>-2.2269600490784955E-2</v>
      </c>
      <c r="V3" s="95">
        <f>VLOOKUP(A3,'BSE ALL CAP'!$B$4:$Y$1038,21,)</f>
        <v>5.5346587855991336E-2</v>
      </c>
      <c r="W3" s="95">
        <f>VLOOKUP(A3,'BSE ALL CAP'!$B$4:$Y$1038,22,)</f>
        <v>4.8888888888888982E-2</v>
      </c>
      <c r="X3" s="95">
        <f>VLOOKUP(A3,'BSE ALL CAP'!$B$4:$Y$1038,23,)</f>
        <v>-5.3491827637444311E-2</v>
      </c>
      <c r="Y3" s="95">
        <f>VLOOKUP(A3,'BSE ALL CAP'!$B$4:$Y$1038,24,)</f>
        <v>-0.21111111111111114</v>
      </c>
    </row>
    <row r="4" spans="1:25" ht="15.75" customHeight="1">
      <c r="A4" s="99">
        <v>500227</v>
      </c>
      <c r="B4" s="98" t="s">
        <v>2411</v>
      </c>
      <c r="C4" s="101" t="e">
        <f>VLOOKUP(A4,'BSE ALL CAP'!$B$4:$Y$1038,2,)</f>
        <v>#N/A</v>
      </c>
      <c r="D4" s="101" t="e">
        <f>VLOOKUP(A4,'BSE ALL CAP'!$B$4:$Y$1038,3,)</f>
        <v>#N/A</v>
      </c>
      <c r="E4" s="101">
        <f ca="1">IFERROR(__xludf.DUMMYFUNCTION("GOOGLEFINANCE(""BOM:""&amp;A4,""PRICE"")"),811)</f>
        <v>811</v>
      </c>
      <c r="F4" s="112">
        <f ca="1">IFERROR(__xludf.DUMMYFUNCTION("GOOGLEFINANCE(""BOM:""&amp;A4,""MARKETCAP"")/10000000"),3550.8589724)</f>
        <v>3550.8589723999999</v>
      </c>
      <c r="G4" s="95">
        <f t="shared" ca="1" si="0"/>
        <v>8.9613381372967968E-2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500148</v>
      </c>
      <c r="B5" s="98" t="s">
        <v>2412</v>
      </c>
      <c r="C5" s="101" t="str">
        <f>VLOOKUP(A5,'BSE ALL CAP'!$B$4:$Y$1038,2,)</f>
        <v>Industrials</v>
      </c>
      <c r="D5" s="101" t="str">
        <f>VLOOKUP(A5,'BSE ALL CAP'!$B$4:$Y$1038,3,)</f>
        <v>Packaging</v>
      </c>
      <c r="E5" s="101">
        <f ca="1">IFERROR(__xludf.DUMMYFUNCTION("GOOGLEFINANCE(""BOM:""&amp;A5,""PRICE"")"),351.9)</f>
        <v>351.9</v>
      </c>
      <c r="F5" s="112">
        <f ca="1">IFERROR(__xludf.DUMMYFUNCTION("GOOGLEFINANCE(""BOM:""&amp;A5,""MARKETCAP"")/10000000"),2544.0103522)</f>
        <v>2544.0103521999999</v>
      </c>
      <c r="G5" s="95">
        <f t="shared" ca="1" si="0"/>
        <v>6.4203442513626197E-2</v>
      </c>
      <c r="H5" s="101">
        <f>VLOOKUP(A5,'BSE ALL CAP'!$B$4:$Y$1038,7,)</f>
        <v>11344</v>
      </c>
      <c r="I5" s="101">
        <f>VLOOKUP(A5,'BSE ALL CAP'!$B$4:$Y$1038,8,)</f>
        <v>11221</v>
      </c>
      <c r="J5" s="101">
        <f>VLOOKUP(A5,'BSE ALL CAP'!$B$4:$Y$1038,9,)</f>
        <v>131</v>
      </c>
      <c r="K5" s="101">
        <f>VLOOKUP(A5,'BSE ALL CAP'!$B$4:$Y$1038,10,)</f>
        <v>-13</v>
      </c>
      <c r="L5" s="101">
        <f>VLOOKUP(A5,'BSE ALL CAP'!$B$4:$Y$1038,11,)</f>
        <v>3612</v>
      </c>
      <c r="M5" s="101">
        <f>VLOOKUP(A5,'BSE ALL CAP'!$B$4:$Y$1038,12,)</f>
        <v>3734</v>
      </c>
      <c r="N5" s="101">
        <f>VLOOKUP(A5,'BSE ALL CAP'!$B$4:$Y$1038,13,)</f>
        <v>38</v>
      </c>
      <c r="O5" s="101">
        <f>VLOOKUP(A5,'BSE ALL CAP'!$B$4:$Y$1038,14,)</f>
        <v>140</v>
      </c>
      <c r="P5" s="95">
        <f>VLOOKUP(A5,'BSE ALL CAP'!$B$4:$Y$1038,15,)</f>
        <v>1.1547954866008462E-2</v>
      </c>
      <c r="Q5" s="95">
        <f>VLOOKUP(A5,'BSE ALL CAP'!$B$4:$Y$1038,16,)</f>
        <v>-1.1585420194278584E-3</v>
      </c>
      <c r="R5" s="95">
        <f>VLOOKUP(A5,'BSE ALL CAP'!$B$4:$Y$1038,17,)</f>
        <v>1.2706496885436321E-2</v>
      </c>
      <c r="S5" s="95">
        <f>VLOOKUP(A5,'BSE ALL CAP'!$B$4:$Y$1038,18,)</f>
        <v>1.0520487264673311E-2</v>
      </c>
      <c r="T5" s="95">
        <f>VLOOKUP(A5,'BSE ALL CAP'!$B$4:$Y$1038,19,)</f>
        <v>3.7493304767005894E-2</v>
      </c>
      <c r="U5" s="95">
        <f>VLOOKUP(A5,'BSE ALL CAP'!$B$4:$Y$1038,20,)</f>
        <v>-2.6972817502332581E-2</v>
      </c>
      <c r="V5" s="95">
        <f>VLOOKUP(A5,'BSE ALL CAP'!$B$4:$Y$1038,21,)</f>
        <v>1.0961589876125055E-2</v>
      </c>
      <c r="W5" s="95">
        <f>VLOOKUP(A5,'BSE ALL CAP'!$B$4:$Y$1038,22,)</f>
        <v>-11.076923076923077</v>
      </c>
      <c r="X5" s="95">
        <f>VLOOKUP(A5,'BSE ALL CAP'!$B$4:$Y$1038,23,)</f>
        <v>-3.2672737011247954E-2</v>
      </c>
      <c r="Y5" s="95">
        <f>VLOOKUP(A5,'BSE ALL CAP'!$B$4:$Y$1038,24,)</f>
        <v>-0.72857142857142865</v>
      </c>
    </row>
    <row r="6" spans="1:25" ht="15.75" customHeight="1">
      <c r="A6" s="99">
        <v>524051</v>
      </c>
      <c r="B6" s="98" t="s">
        <v>2413</v>
      </c>
      <c r="C6" s="101" t="str">
        <f>VLOOKUP(A6,'BSE ALL CAP'!$B$4:$Y$1038,2,)</f>
        <v>Industrials</v>
      </c>
      <c r="D6" s="101" t="str">
        <f>VLOOKUP(A6,'BSE ALL CAP'!$B$4:$Y$1038,3,)</f>
        <v>Packaging</v>
      </c>
      <c r="E6" s="101">
        <f ca="1">IFERROR(__xludf.DUMMYFUNCTION("GOOGLEFINANCE(""BOM:""&amp;A6,""PRICE"")"),794.9)</f>
        <v>794.9</v>
      </c>
      <c r="F6" s="112">
        <f ca="1">IFERROR(__xludf.DUMMYFUNCTION("GOOGLEFINANCE(""BOM:""&amp;A6,""MARKETCAP"")/10000000"),2499.1528678)</f>
        <v>2499.1528678</v>
      </c>
      <c r="G6" s="95">
        <f t="shared" ca="1" si="0"/>
        <v>6.307136971427979E-2</v>
      </c>
      <c r="H6" s="101">
        <f>VLOOKUP(A6,'BSE ALL CAP'!$B$4:$Y$1038,7,)</f>
        <v>5215</v>
      </c>
      <c r="I6" s="101">
        <f>VLOOKUP(A6,'BSE ALL CAP'!$B$4:$Y$1038,8,)</f>
        <v>5145</v>
      </c>
      <c r="J6" s="101">
        <f>VLOOKUP(A6,'BSE ALL CAP'!$B$4:$Y$1038,9,)</f>
        <v>3</v>
      </c>
      <c r="K6" s="101">
        <f>VLOOKUP(A6,'BSE ALL CAP'!$B$4:$Y$1038,10,)</f>
        <v>366</v>
      </c>
      <c r="L6" s="101">
        <f>VLOOKUP(A6,'BSE ALL CAP'!$B$4:$Y$1038,11,)</f>
        <v>1682</v>
      </c>
      <c r="M6" s="101">
        <f>VLOOKUP(A6,'BSE ALL CAP'!$B$4:$Y$1038,12,)</f>
        <v>1721</v>
      </c>
      <c r="N6" s="101">
        <f>VLOOKUP(A6,'BSE ALL CAP'!$B$4:$Y$1038,13,)</f>
        <v>29</v>
      </c>
      <c r="O6" s="101">
        <f>VLOOKUP(A6,'BSE ALL CAP'!$B$4:$Y$1038,14,)</f>
        <v>105</v>
      </c>
      <c r="P6" s="95">
        <f>VLOOKUP(A6,'BSE ALL CAP'!$B$4:$Y$1038,15,)</f>
        <v>5.7526366251198463E-4</v>
      </c>
      <c r="Q6" s="95">
        <f>VLOOKUP(A6,'BSE ALL CAP'!$B$4:$Y$1038,16,)</f>
        <v>7.113702623906705E-2</v>
      </c>
      <c r="R6" s="95">
        <f>VLOOKUP(A6,'BSE ALL CAP'!$B$4:$Y$1038,17,)</f>
        <v>-7.0561762576555068E-2</v>
      </c>
      <c r="S6" s="95">
        <f>VLOOKUP(A6,'BSE ALL CAP'!$B$4:$Y$1038,18,)</f>
        <v>1.7241379310344827E-2</v>
      </c>
      <c r="T6" s="95">
        <f>VLOOKUP(A6,'BSE ALL CAP'!$B$4:$Y$1038,19,)</f>
        <v>6.1011040092969204E-2</v>
      </c>
      <c r="U6" s="95">
        <f>VLOOKUP(A6,'BSE ALL CAP'!$B$4:$Y$1038,20,)</f>
        <v>-4.3769660782624377E-2</v>
      </c>
      <c r="V6" s="95">
        <f>VLOOKUP(A6,'BSE ALL CAP'!$B$4:$Y$1038,21,)</f>
        <v>1.3605442176870763E-2</v>
      </c>
      <c r="W6" s="95">
        <f>VLOOKUP(A6,'BSE ALL CAP'!$B$4:$Y$1038,22,)</f>
        <v>-0.99180327868852458</v>
      </c>
      <c r="X6" s="95">
        <f>VLOOKUP(A6,'BSE ALL CAP'!$B$4:$Y$1038,23,)</f>
        <v>-2.2661243463102831E-2</v>
      </c>
      <c r="Y6" s="95">
        <f>VLOOKUP(A6,'BSE ALL CAP'!$B$4:$Y$1038,24,)</f>
        <v>-0.72380952380952379</v>
      </c>
    </row>
    <row r="7" spans="1:25" ht="15.75" customHeight="1">
      <c r="A7" s="99">
        <v>590013</v>
      </c>
      <c r="B7" s="98" t="s">
        <v>2414</v>
      </c>
      <c r="C7" s="101" t="e">
        <f>VLOOKUP(A7,'BSE ALL CAP'!$B$4:$Y$1038,2,)</f>
        <v>#N/A</v>
      </c>
      <c r="D7" s="101" t="e">
        <f>VLOOKUP(A7,'BSE ALL CAP'!$B$4:$Y$1038,3,)</f>
        <v>#N/A</v>
      </c>
      <c r="E7" s="101">
        <f ca="1">IFERROR(__xludf.DUMMYFUNCTION("GOOGLEFINANCE(""BOM:""&amp;A7,""PRICE"")"),1046.05)</f>
        <v>1046.05</v>
      </c>
      <c r="F7" s="112">
        <f ca="1">IFERROR(__xludf.DUMMYFUNCTION("GOOGLEFINANCE(""BOM:""&amp;A7,""MARKETCAP"")/10000000"),2451.4496709)</f>
        <v>2451.4496709</v>
      </c>
      <c r="G7" s="95">
        <f t="shared" ca="1" si="0"/>
        <v>6.1867479385281407E-2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523301</v>
      </c>
      <c r="B8" s="98" t="s">
        <v>2415</v>
      </c>
      <c r="C8" s="101" t="str">
        <f>VLOOKUP(A8,'BSE ALL CAP'!$B$4:$Y$1038,2,)</f>
        <v>Industrials</v>
      </c>
      <c r="D8" s="101" t="str">
        <f>VLOOKUP(A8,'BSE ALL CAP'!$B$4:$Y$1038,3,)</f>
        <v>Packaging</v>
      </c>
      <c r="E8" s="101">
        <f ca="1">IFERROR(__xludf.DUMMYFUNCTION("GOOGLEFINANCE(""BOM:""&amp;A8,""PRICE"")"),2390.5)</f>
        <v>2390.5</v>
      </c>
      <c r="F8" s="112">
        <f ca="1">IFERROR(__xludf.DUMMYFUNCTION("GOOGLEFINANCE(""BOM:""&amp;A8,""MARKETCAP"")/10000000"),2162.4323245)</f>
        <v>2162.4323245</v>
      </c>
      <c r="G8" s="95">
        <f t="shared" ca="1" si="0"/>
        <v>5.4573519842629994E-2</v>
      </c>
      <c r="H8" s="101">
        <f>VLOOKUP(A8,'BSE ALL CAP'!$B$4:$Y$1038,7,)</f>
        <v>1335</v>
      </c>
      <c r="I8" s="101">
        <f>VLOOKUP(A8,'BSE ALL CAP'!$B$4:$Y$1038,8,)</f>
        <v>1326</v>
      </c>
      <c r="J8" s="101">
        <f>VLOOKUP(A8,'BSE ALL CAP'!$B$4:$Y$1038,9,)</f>
        <v>76</v>
      </c>
      <c r="K8" s="101">
        <f>VLOOKUP(A8,'BSE ALL CAP'!$B$4:$Y$1038,10,)</f>
        <v>104</v>
      </c>
      <c r="L8" s="101">
        <f>VLOOKUP(A8,'BSE ALL CAP'!$B$4:$Y$1038,11,)</f>
        <v>464</v>
      </c>
      <c r="M8" s="101">
        <f>VLOOKUP(A8,'BSE ALL CAP'!$B$4:$Y$1038,12,)</f>
        <v>472</v>
      </c>
      <c r="N8" s="101">
        <f>VLOOKUP(A8,'BSE ALL CAP'!$B$4:$Y$1038,13,)</f>
        <v>25</v>
      </c>
      <c r="O8" s="101">
        <f>VLOOKUP(A8,'BSE ALL CAP'!$B$4:$Y$1038,14,)</f>
        <v>37</v>
      </c>
      <c r="P8" s="95">
        <f>VLOOKUP(A8,'BSE ALL CAP'!$B$4:$Y$1038,15,)</f>
        <v>5.6928838951310859E-2</v>
      </c>
      <c r="Q8" s="95">
        <f>VLOOKUP(A8,'BSE ALL CAP'!$B$4:$Y$1038,16,)</f>
        <v>7.8431372549019607E-2</v>
      </c>
      <c r="R8" s="95">
        <f>VLOOKUP(A8,'BSE ALL CAP'!$B$4:$Y$1038,17,)</f>
        <v>-2.1502533597708748E-2</v>
      </c>
      <c r="S8" s="95">
        <f>VLOOKUP(A8,'BSE ALL CAP'!$B$4:$Y$1038,18,)</f>
        <v>5.3879310344827583E-2</v>
      </c>
      <c r="T8" s="95">
        <f>VLOOKUP(A8,'BSE ALL CAP'!$B$4:$Y$1038,19,)</f>
        <v>7.8389830508474576E-2</v>
      </c>
      <c r="U8" s="95">
        <f>VLOOKUP(A8,'BSE ALL CAP'!$B$4:$Y$1038,20,)</f>
        <v>-2.4510520163646993E-2</v>
      </c>
      <c r="V8" s="95">
        <f>VLOOKUP(A8,'BSE ALL CAP'!$B$4:$Y$1038,21,)</f>
        <v>6.7873303167420573E-3</v>
      </c>
      <c r="W8" s="95">
        <f>VLOOKUP(A8,'BSE ALL CAP'!$B$4:$Y$1038,22,)</f>
        <v>-0.26923076923076927</v>
      </c>
      <c r="X8" s="95">
        <f>VLOOKUP(A8,'BSE ALL CAP'!$B$4:$Y$1038,23,)</f>
        <v>-1.6949152542372836E-2</v>
      </c>
      <c r="Y8" s="95">
        <f>VLOOKUP(A8,'BSE ALL CAP'!$B$4:$Y$1038,24,)</f>
        <v>-0.32432432432432434</v>
      </c>
    </row>
    <row r="9" spans="1:25" ht="15.75" customHeight="1">
      <c r="A9" s="99">
        <v>533080</v>
      </c>
      <c r="B9" s="98" t="s">
        <v>2416</v>
      </c>
      <c r="C9" s="101" t="e">
        <f>VLOOKUP(A9,'BSE ALL CAP'!$B$4:$Y$1038,2,)</f>
        <v>#N/A</v>
      </c>
      <c r="D9" s="101" t="e">
        <f>VLOOKUP(A9,'BSE ALL CAP'!$B$4:$Y$1038,3,)</f>
        <v>#N/A</v>
      </c>
      <c r="E9" s="101">
        <f ca="1">IFERROR(__xludf.DUMMYFUNCTION("GOOGLEFINANCE(""BOM:""&amp;A9,""PRICE"")"),566.3)</f>
        <v>566.29999999999995</v>
      </c>
      <c r="F9" s="112">
        <f ca="1">IFERROR(__xludf.DUMMYFUNCTION("GOOGLEFINANCE(""BOM:""&amp;A9,""MARKETCAP"")/10000000"),1876.9343353)</f>
        <v>1876.9343352999999</v>
      </c>
      <c r="G9" s="95">
        <f t="shared" ca="1" si="0"/>
        <v>4.7368378667985489E-2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508814</v>
      </c>
      <c r="B10" s="98" t="s">
        <v>2417</v>
      </c>
      <c r="C10" s="101" t="e">
        <f>VLOOKUP(A10,'BSE ALL CAP'!$B$4:$Y$1038,2,)</f>
        <v>#N/A</v>
      </c>
      <c r="D10" s="101" t="e">
        <f>VLOOKUP(A10,'BSE ALL CAP'!$B$4:$Y$1038,3,)</f>
        <v>#N/A</v>
      </c>
      <c r="E10" s="101">
        <f ca="1">IFERROR(__xludf.DUMMYFUNCTION("GOOGLEFINANCE(""BOM:""&amp;A10,""PRICE"")"),618.1)</f>
        <v>618.1</v>
      </c>
      <c r="F10" s="112">
        <f ca="1">IFERROR(__xludf.DUMMYFUNCTION("GOOGLEFINANCE(""BOM:""&amp;A10,""MARKETCAP"")/10000000"),1594.29)</f>
        <v>1594.29</v>
      </c>
      <c r="G10" s="95">
        <f t="shared" ca="1" si="0"/>
        <v>4.0235255440895332E-2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509820</v>
      </c>
      <c r="B11" s="98" t="s">
        <v>2418</v>
      </c>
      <c r="C11" s="101" t="e">
        <f>VLOOKUP(A11,'BSE ALL CAP'!$B$4:$Y$1038,2,)</f>
        <v>#N/A</v>
      </c>
      <c r="D11" s="101" t="e">
        <f>VLOOKUP(A11,'BSE ALL CAP'!$B$4:$Y$1038,3,)</f>
        <v>#N/A</v>
      </c>
      <c r="E11" s="101">
        <f ca="1">IFERROR(__xludf.DUMMYFUNCTION("GOOGLEFINANCE(""BOM:""&amp;A11,""PRICE"")"),167.2)</f>
        <v>167.2</v>
      </c>
      <c r="F11" s="112">
        <f ca="1">IFERROR(__xludf.DUMMYFUNCTION("GOOGLEFINANCE(""BOM:""&amp;A11,""MARKETCAP"")/10000000"),1262.3490138)</f>
        <v>1262.3490138</v>
      </c>
      <c r="G11" s="95">
        <f t="shared" ca="1" si="0"/>
        <v>3.1858027727581124E-2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513121</v>
      </c>
      <c r="B12" s="98" t="s">
        <v>2419</v>
      </c>
      <c r="C12" s="101" t="e">
        <f>VLOOKUP(A12,'BSE ALL CAP'!$B$4:$Y$1038,2,)</f>
        <v>#N/A</v>
      </c>
      <c r="D12" s="101" t="e">
        <f>VLOOKUP(A12,'BSE ALL CAP'!$B$4:$Y$1038,3,)</f>
        <v>#N/A</v>
      </c>
      <c r="E12" s="101">
        <f ca="1">IFERROR(__xludf.DUMMYFUNCTION("GOOGLEFINANCE(""BOM:""&amp;A12,""PRICE"")"),66.86)</f>
        <v>66.86</v>
      </c>
      <c r="F12" s="112">
        <f ca="1">IFERROR(__xludf.DUMMYFUNCTION("GOOGLEFINANCE(""BOM:""&amp;A12,""MARKETCAP"")/10000000"),1053.3182484)</f>
        <v>1053.3182483999999</v>
      </c>
      <c r="G12" s="95">
        <f t="shared" ca="1" si="0"/>
        <v>2.6582697492257015E-2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500136</v>
      </c>
      <c r="B13" s="98" t="s">
        <v>2420</v>
      </c>
      <c r="C13" s="101" t="e">
        <f>VLOOKUP(A13,'BSE ALL CAP'!$B$4:$Y$1038,2,)</f>
        <v>#N/A</v>
      </c>
      <c r="D13" s="101" t="e">
        <f>VLOOKUP(A13,'BSE ALL CAP'!$B$4:$Y$1038,3,)</f>
        <v>#N/A</v>
      </c>
      <c r="E13" s="101">
        <f ca="1">IFERROR(__xludf.DUMMYFUNCTION("GOOGLEFINANCE(""BOM:""&amp;A13,""PRICE"")"),80.45)</f>
        <v>80.45</v>
      </c>
      <c r="F13" s="112">
        <f ca="1">IFERROR(__xludf.DUMMYFUNCTION("GOOGLEFINANCE(""BOM:""&amp;A13,""MARKETCAP"")/10000000"),787.7156568)</f>
        <v>787.71565680000003</v>
      </c>
      <c r="G13" s="95">
        <f t="shared" ca="1" si="0"/>
        <v>1.9879658447422139E-2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516064</v>
      </c>
      <c r="B14" s="98" t="s">
        <v>2421</v>
      </c>
      <c r="C14" s="101" t="e">
        <f>VLOOKUP(A14,'BSE ALL CAP'!$B$4:$Y$1038,2,)</f>
        <v>#N/A</v>
      </c>
      <c r="D14" s="101" t="e">
        <f>VLOOKUP(A14,'BSE ALL CAP'!$B$4:$Y$1038,3,)</f>
        <v>#N/A</v>
      </c>
      <c r="E14" s="101">
        <f ca="1">IFERROR(__xludf.DUMMYFUNCTION("GOOGLEFINANCE(""BOM:""&amp;A14,""PRICE"")"),551)</f>
        <v>551</v>
      </c>
      <c r="F14" s="112">
        <f ca="1">IFERROR(__xludf.DUMMYFUNCTION("GOOGLEFINANCE(""BOM:""&amp;A14,""MARKETCAP"")/10000000"),829.931628)</f>
        <v>829.93162800000005</v>
      </c>
      <c r="G14" s="95">
        <f t="shared" ca="1" si="0"/>
        <v>2.0945067115178621E-2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532310</v>
      </c>
      <c r="B15" s="98" t="s">
        <v>2422</v>
      </c>
      <c r="C15" s="101" t="e">
        <f>VLOOKUP(A15,'BSE ALL CAP'!$B$4:$Y$1038,2,)</f>
        <v>#N/A</v>
      </c>
      <c r="D15" s="101" t="e">
        <f>VLOOKUP(A15,'BSE ALL CAP'!$B$4:$Y$1038,3,)</f>
        <v>#N/A</v>
      </c>
      <c r="E15" s="101">
        <f ca="1">IFERROR(__xludf.DUMMYFUNCTION("GOOGLEFINANCE(""BOM:""&amp;A15,""PRICE"")"),48.45)</f>
        <v>48.45</v>
      </c>
      <c r="F15" s="112">
        <f ca="1">IFERROR(__xludf.DUMMYFUNCTION("GOOGLEFINANCE(""BOM:""&amp;A15,""MARKETCAP"")/10000000"),646.1185859)</f>
        <v>646.11858589999997</v>
      </c>
      <c r="G15" s="95">
        <f t="shared" ca="1" si="0"/>
        <v>1.6306159073190305E-2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539986</v>
      </c>
      <c r="B16" s="98" t="s">
        <v>2423</v>
      </c>
      <c r="C16" s="101" t="e">
        <f>VLOOKUP(A16,'BSE ALL CAP'!$B$4:$Y$1038,2,)</f>
        <v>#N/A</v>
      </c>
      <c r="D16" s="101" t="e">
        <f>VLOOKUP(A16,'BSE ALL CAP'!$B$4:$Y$1038,3,)</f>
        <v>#N/A</v>
      </c>
      <c r="E16" s="101">
        <f ca="1">IFERROR(__xludf.DUMMYFUNCTION("GOOGLEFINANCE(""BOM:""&amp;A16,""PRICE"")"),153)</f>
        <v>153</v>
      </c>
      <c r="F16" s="112">
        <f ca="1">IFERROR(__xludf.DUMMYFUNCTION("GOOGLEFINANCE(""BOM:""&amp;A16,""MARKETCAP"")/10000000"),612.5071684)</f>
        <v>612.50716839999995</v>
      </c>
      <c r="G16" s="95">
        <f t="shared" ca="1" si="0"/>
        <v>1.5457904383740406E-2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523391</v>
      </c>
      <c r="B17" s="98" t="s">
        <v>2424</v>
      </c>
      <c r="C17" s="101" t="e">
        <f>VLOOKUP(A17,'BSE ALL CAP'!$B$4:$Y$1038,2,)</f>
        <v>#N/A</v>
      </c>
      <c r="D17" s="101" t="e">
        <f>VLOOKUP(A17,'BSE ALL CAP'!$B$4:$Y$1038,3,)</f>
        <v>#N/A</v>
      </c>
      <c r="E17" s="101">
        <f ca="1">IFERROR(__xludf.DUMMYFUNCTION("GOOGLEFINANCE(""BOM:""&amp;A17,""PRICE"")"),232.7)</f>
        <v>232.7</v>
      </c>
      <c r="F17" s="112">
        <f ca="1">IFERROR(__xludf.DUMMYFUNCTION("GOOGLEFINANCE(""BOM:""&amp;A17,""MARKETCAP"")/10000000"),570.5886578)</f>
        <v>570.58865779999996</v>
      </c>
      <c r="G17" s="95">
        <f t="shared" ca="1" si="0"/>
        <v>1.4400002758758202E-2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543969</v>
      </c>
      <c r="B18" s="98" t="s">
        <v>2425</v>
      </c>
      <c r="C18" s="101" t="e">
        <f>VLOOKUP(A18,'BSE ALL CAP'!$B$4:$Y$1038,2,)</f>
        <v>#N/A</v>
      </c>
      <c r="D18" s="101" t="e">
        <f>VLOOKUP(A18,'BSE ALL CAP'!$B$4:$Y$1038,3,)</f>
        <v>#N/A</v>
      </c>
      <c r="E18" s="101">
        <f ca="1">IFERROR(__xludf.DUMMYFUNCTION("GOOGLEFINANCE(""BOM:""&amp;A18,""PRICE"")"),147.6)</f>
        <v>147.6</v>
      </c>
      <c r="F18" s="112">
        <f ca="1">IFERROR(__xludf.DUMMYFUNCTION("GOOGLEFINANCE(""BOM:""&amp;A18,""MARKETCAP"")/10000000"),538.3455704)</f>
        <v>538.34557040000004</v>
      </c>
      <c r="G18" s="95">
        <f t="shared" ca="1" si="0"/>
        <v>1.3586280752258689E-2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523105</v>
      </c>
      <c r="B19" s="98" t="s">
        <v>2426</v>
      </c>
      <c r="C19" s="101" t="e">
        <f>VLOOKUP(A19,'BSE ALL CAP'!$B$4:$Y$1038,2,)</f>
        <v>#N/A</v>
      </c>
      <c r="D19" s="101" t="e">
        <f>VLOOKUP(A19,'BSE ALL CAP'!$B$4:$Y$1038,3,)</f>
        <v>#N/A</v>
      </c>
      <c r="E19" s="101">
        <f ca="1">IFERROR(__xludf.DUMMYFUNCTION("GOOGLEFINANCE(""BOM:""&amp;A19,""PRICE"")"),6.21)</f>
        <v>6.21</v>
      </c>
      <c r="F19" s="112">
        <f ca="1">IFERROR(__xludf.DUMMYFUNCTION("GOOGLEFINANCE(""BOM:""&amp;A19,""MARKETCAP"")/10000000"),520.2184099)</f>
        <v>520.21840989999998</v>
      </c>
      <c r="G19" s="95">
        <f t="shared" ca="1" si="0"/>
        <v>1.3128803798169024E-2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512453</v>
      </c>
      <c r="B20" s="98" t="s">
        <v>2427</v>
      </c>
      <c r="C20" s="101" t="e">
        <f>VLOOKUP(A20,'BSE ALL CAP'!$B$4:$Y$1038,2,)</f>
        <v>#N/A</v>
      </c>
      <c r="D20" s="101" t="e">
        <f>VLOOKUP(A20,'BSE ALL CAP'!$B$4:$Y$1038,3,)</f>
        <v>#N/A</v>
      </c>
      <c r="E20" s="101">
        <f ca="1">IFERROR(__xludf.DUMMYFUNCTION("GOOGLEFINANCE(""BOM:""&amp;A20,""PRICE"")"),563.45)</f>
        <v>563.45000000000005</v>
      </c>
      <c r="F20" s="112">
        <f ca="1">IFERROR(__xludf.DUMMYFUNCTION("GOOGLEFINANCE(""BOM:""&amp;A20,""MARKETCAP"")/10000000"),493.4695206)</f>
        <v>493.46952060000001</v>
      </c>
      <c r="G20" s="95">
        <f t="shared" ca="1" si="0"/>
        <v>1.2453739416064306E-2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526582</v>
      </c>
      <c r="B21" s="98" t="s">
        <v>2428</v>
      </c>
      <c r="C21" s="101" t="e">
        <f>VLOOKUP(A21,'BSE ALL CAP'!$B$4:$Y$1038,2,)</f>
        <v>#N/A</v>
      </c>
      <c r="D21" s="101" t="e">
        <f>VLOOKUP(A21,'BSE ALL CAP'!$B$4:$Y$1038,3,)</f>
        <v>#N/A</v>
      </c>
      <c r="E21" s="101">
        <f ca="1">IFERROR(__xludf.DUMMYFUNCTION("GOOGLEFINANCE(""BOM:""&amp;A21,""PRICE"")"),61.23)</f>
        <v>61.23</v>
      </c>
      <c r="F21" s="112">
        <f ca="1">IFERROR(__xludf.DUMMYFUNCTION("GOOGLEFINANCE(""BOM:""&amp;A21,""MARKETCAP"")/10000000"),475.1162108)</f>
        <v>475.11621079999998</v>
      </c>
      <c r="G21" s="95">
        <f t="shared" ca="1" si="0"/>
        <v>1.1990555109577476E-2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507779</v>
      </c>
      <c r="B22" s="98" t="s">
        <v>2429</v>
      </c>
      <c r="C22" s="101" t="e">
        <f>VLOOKUP(A22,'BSE ALL CAP'!$B$4:$Y$1038,2,)</f>
        <v>#N/A</v>
      </c>
      <c r="D22" s="101" t="e">
        <f>VLOOKUP(A22,'BSE ALL CAP'!$B$4:$Y$1038,3,)</f>
        <v>#N/A</v>
      </c>
      <c r="E22" s="101">
        <f ca="1">IFERROR(__xludf.DUMMYFUNCTION("GOOGLEFINANCE(""BOM:""&amp;A22,""PRICE"")"),178.2)</f>
        <v>178.2</v>
      </c>
      <c r="F22" s="112">
        <f ca="1">IFERROR(__xludf.DUMMYFUNCTION("GOOGLEFINANCE(""BOM:""&amp;A22,""MARKETCAP"")/10000000"),439.2502847)</f>
        <v>439.25028470000001</v>
      </c>
      <c r="G22" s="95">
        <f t="shared" ca="1" si="0"/>
        <v>1.1085403162153999E-2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515147</v>
      </c>
      <c r="B23" s="98" t="s">
        <v>2430</v>
      </c>
      <c r="C23" s="101" t="e">
        <f>VLOOKUP(A23,'BSE ALL CAP'!$B$4:$Y$1038,2,)</f>
        <v>#N/A</v>
      </c>
      <c r="D23" s="101" t="e">
        <f>VLOOKUP(A23,'BSE ALL CAP'!$B$4:$Y$1038,3,)</f>
        <v>#N/A</v>
      </c>
      <c r="E23" s="101">
        <f ca="1">IFERROR(__xludf.DUMMYFUNCTION("GOOGLEFINANCE(""BOM:""&amp;A23,""PRICE"")"),82.15)</f>
        <v>82.15</v>
      </c>
      <c r="F23" s="112">
        <f ca="1">IFERROR(__xludf.DUMMYFUNCTION("GOOGLEFINANCE(""BOM:""&amp;A23,""MARKETCAP"")/10000000"),441.5701415)</f>
        <v>441.57014149999998</v>
      </c>
      <c r="G23" s="95">
        <f t="shared" ca="1" si="0"/>
        <v>1.1143949619156362E-2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543668</v>
      </c>
      <c r="B24" s="98" t="s">
        <v>2431</v>
      </c>
      <c r="C24" s="101" t="e">
        <f>VLOOKUP(A24,'BSE ALL CAP'!$B$4:$Y$1038,2,)</f>
        <v>#N/A</v>
      </c>
      <c r="D24" s="101" t="e">
        <f>VLOOKUP(A24,'BSE ALL CAP'!$B$4:$Y$1038,3,)</f>
        <v>#N/A</v>
      </c>
      <c r="E24" s="101">
        <f ca="1">IFERROR(__xludf.DUMMYFUNCTION("GOOGLEFINANCE(""BOM:""&amp;A24,""PRICE"")"),166.25)</f>
        <v>166.25</v>
      </c>
      <c r="F24" s="112">
        <f ca="1">IFERROR(__xludf.DUMMYFUNCTION("GOOGLEFINANCE(""BOM:""&amp;A24,""MARKETCAP"")/10000000"),354.8853102)</f>
        <v>354.88531019999999</v>
      </c>
      <c r="G24" s="95">
        <f t="shared" ca="1" si="0"/>
        <v>8.956275902199962E-3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544267</v>
      </c>
      <c r="B25" s="98" t="s">
        <v>2432</v>
      </c>
      <c r="C25" s="101" t="e">
        <f>VLOOKUP(A25,'BSE ALL CAP'!$B$4:$Y$1038,2,)</f>
        <v>#N/A</v>
      </c>
      <c r="D25" s="101" t="e">
        <f>VLOOKUP(A25,'BSE ALL CAP'!$B$4:$Y$1038,3,)</f>
        <v>#N/A</v>
      </c>
      <c r="E25" s="101">
        <f ca="1">IFERROR(__xludf.DUMMYFUNCTION("GOOGLEFINANCE(""BOM:""&amp;A25,""PRICE"")"),150.2)</f>
        <v>150.19999999999999</v>
      </c>
      <c r="F25" s="112">
        <f ca="1">IFERROR(__xludf.DUMMYFUNCTION("GOOGLEFINANCE(""BOM:""&amp;A25,""MARKETCAP"")/10000000"),349.1377901)</f>
        <v>349.13779010000002</v>
      </c>
      <c r="G25" s="95">
        <f t="shared" ca="1" si="0"/>
        <v>8.8112251652730667E-3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533608</v>
      </c>
      <c r="B26" s="98" t="s">
        <v>2433</v>
      </c>
      <c r="C26" s="101" t="e">
        <f>VLOOKUP(A26,'BSE ALL CAP'!$B$4:$Y$1038,2,)</f>
        <v>#N/A</v>
      </c>
      <c r="D26" s="101" t="e">
        <f>VLOOKUP(A26,'BSE ALL CAP'!$B$4:$Y$1038,3,)</f>
        <v>#N/A</v>
      </c>
      <c r="E26" s="101">
        <f ca="1">IFERROR(__xludf.DUMMYFUNCTION("GOOGLEFINANCE(""BOM:""&amp;A26,""PRICE"")"),160.1)</f>
        <v>160.1</v>
      </c>
      <c r="F26" s="112">
        <f ca="1">IFERROR(__xludf.DUMMYFUNCTION("GOOGLEFINANCE(""BOM:""&amp;A26,""MARKETCAP"")/10000000"),283.6139588)</f>
        <v>283.61395879999998</v>
      </c>
      <c r="G26" s="95">
        <f t="shared" ca="1" si="0"/>
        <v>7.157593711885268E-3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506979</v>
      </c>
      <c r="B27" s="98" t="s">
        <v>2434</v>
      </c>
      <c r="C27" s="101" t="e">
        <f>VLOOKUP(A27,'BSE ALL CAP'!$B$4:$Y$1038,2,)</f>
        <v>#N/A</v>
      </c>
      <c r="D27" s="101" t="e">
        <f>VLOOKUP(A27,'BSE ALL CAP'!$B$4:$Y$1038,3,)</f>
        <v>#N/A</v>
      </c>
      <c r="E27" s="101">
        <f ca="1">IFERROR(__xludf.DUMMYFUNCTION("GOOGLEFINANCE(""BOM:""&amp;A27,""PRICE"")"),179.55)</f>
        <v>179.55</v>
      </c>
      <c r="F27" s="112">
        <f ca="1">IFERROR(__xludf.DUMMYFUNCTION("GOOGLEFINANCE(""BOM:""&amp;A27,""MARKETCAP"")/10000000"),212.1106779)</f>
        <v>212.11067790000001</v>
      </c>
      <c r="G27" s="95">
        <f t="shared" ca="1" si="0"/>
        <v>5.3530582936905918E-3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526217</v>
      </c>
      <c r="B28" s="98" t="s">
        <v>2435</v>
      </c>
      <c r="C28" s="101" t="e">
        <f>VLOOKUP(A28,'BSE ALL CAP'!$B$4:$Y$1038,2,)</f>
        <v>#N/A</v>
      </c>
      <c r="D28" s="101" t="e">
        <f>VLOOKUP(A28,'BSE ALL CAP'!$B$4:$Y$1038,3,)</f>
        <v>#N/A</v>
      </c>
      <c r="E28" s="101">
        <f ca="1">IFERROR(__xludf.DUMMYFUNCTION("GOOGLEFINANCE(""BOM:""&amp;A28,""PRICE"")"),138.2)</f>
        <v>138.19999999999999</v>
      </c>
      <c r="F28" s="112">
        <f ca="1">IFERROR(__xludf.DUMMYFUNCTION("GOOGLEFINANCE(""BOM:""&amp;A28,""MARKETCAP"")/10000000"),237.1011663)</f>
        <v>237.10116629999999</v>
      </c>
      <c r="G28" s="95">
        <f t="shared" ca="1" si="0"/>
        <v>5.9837457372339435E-3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543743</v>
      </c>
      <c r="B29" s="98" t="s">
        <v>2436</v>
      </c>
      <c r="C29" s="101" t="e">
        <f>VLOOKUP(A29,'BSE ALL CAP'!$B$4:$Y$1038,2,)</f>
        <v>#N/A</v>
      </c>
      <c r="D29" s="101" t="e">
        <f>VLOOKUP(A29,'BSE ALL CAP'!$B$4:$Y$1038,3,)</f>
        <v>#N/A</v>
      </c>
      <c r="E29" s="101">
        <f ca="1">IFERROR(__xludf.DUMMYFUNCTION("GOOGLEFINANCE(""BOM:""&amp;A29,""PRICE"")"),76.67)</f>
        <v>76.67</v>
      </c>
      <c r="F29" s="112">
        <f ca="1">IFERROR(__xludf.DUMMYFUNCTION("GOOGLEFINANCE(""BOM:""&amp;A29,""MARKETCAP"")/10000000"),198.293859)</f>
        <v>198.293859</v>
      </c>
      <c r="G29" s="95">
        <f t="shared" ca="1" si="0"/>
        <v>5.0043618596528122E-3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544577</v>
      </c>
      <c r="B30" s="98" t="s">
        <v>2437</v>
      </c>
      <c r="C30" s="101" t="e">
        <f>VLOOKUP(A30,'BSE ALL CAP'!$B$4:$Y$1038,2,)</f>
        <v>#N/A</v>
      </c>
      <c r="D30" s="101" t="e">
        <f>VLOOKUP(A30,'BSE ALL CAP'!$B$4:$Y$1038,3,)</f>
        <v>#N/A</v>
      </c>
      <c r="E30" s="101">
        <f ca="1">IFERROR(__xludf.DUMMYFUNCTION("GOOGLEFINANCE(""BOM:""&amp;A30,""PRICE"")"),127)</f>
        <v>127</v>
      </c>
      <c r="F30" s="112">
        <f ca="1">IFERROR(__xludf.DUMMYFUNCTION("GOOGLEFINANCE(""BOM:""&amp;A30,""MARKETCAP"")/10000000"),195.3437726)</f>
        <v>195.34377259999999</v>
      </c>
      <c r="G30" s="95">
        <f t="shared" ca="1" si="0"/>
        <v>4.9299102354961582E-3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544249</v>
      </c>
      <c r="B31" s="98" t="s">
        <v>2438</v>
      </c>
      <c r="C31" s="101" t="e">
        <f>VLOOKUP(A31,'BSE ALL CAP'!$B$4:$Y$1038,2,)</f>
        <v>#N/A</v>
      </c>
      <c r="D31" s="101" t="e">
        <f>VLOOKUP(A31,'BSE ALL CAP'!$B$4:$Y$1038,3,)</f>
        <v>#N/A</v>
      </c>
      <c r="E31" s="101">
        <f ca="1">IFERROR(__xludf.DUMMYFUNCTION("GOOGLEFINANCE(""BOM:""&amp;A31,""PRICE"")"),26.12)</f>
        <v>26.12</v>
      </c>
      <c r="F31" s="112">
        <f ca="1">IFERROR(__xludf.DUMMYFUNCTION("GOOGLEFINANCE(""BOM:""&amp;A31,""MARKETCAP"")/10000000"),213.1446503)</f>
        <v>213.1446503</v>
      </c>
      <c r="G31" s="95">
        <f t="shared" ca="1" si="0"/>
        <v>5.3791527580809061E-3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526717</v>
      </c>
      <c r="B32" s="98" t="s">
        <v>2439</v>
      </c>
      <c r="C32" s="101" t="e">
        <f>VLOOKUP(A32,'BSE ALL CAP'!$B$4:$Y$1038,2,)</f>
        <v>#N/A</v>
      </c>
      <c r="D32" s="101" t="e">
        <f>VLOOKUP(A32,'BSE ALL CAP'!$B$4:$Y$1038,3,)</f>
        <v>#N/A</v>
      </c>
      <c r="E32" s="101">
        <f ca="1">IFERROR(__xludf.DUMMYFUNCTION("GOOGLEFINANCE(""BOM:""&amp;A32,""PRICE"")"),190)</f>
        <v>190</v>
      </c>
      <c r="F32" s="112">
        <f ca="1">IFERROR(__xludf.DUMMYFUNCTION("GOOGLEFINANCE(""BOM:""&amp;A32,""MARKETCAP"")/10000000"),195.2961)</f>
        <v>195.2961</v>
      </c>
      <c r="G32" s="95">
        <f t="shared" ca="1" si="0"/>
        <v>4.9287071173441718E-3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544444</v>
      </c>
      <c r="B33" s="98" t="s">
        <v>2440</v>
      </c>
      <c r="C33" s="101" t="e">
        <f>VLOOKUP(A33,'BSE ALL CAP'!$B$4:$Y$1038,2,)</f>
        <v>#N/A</v>
      </c>
      <c r="D33" s="101" t="e">
        <f>VLOOKUP(A33,'BSE ALL CAP'!$B$4:$Y$1038,3,)</f>
        <v>#N/A</v>
      </c>
      <c r="E33" s="101">
        <f ca="1">IFERROR(__xludf.DUMMYFUNCTION("GOOGLEFINANCE(""BOM:""&amp;A33,""PRICE"")"),71)</f>
        <v>71</v>
      </c>
      <c r="F33" s="112">
        <f ca="1">IFERROR(__xludf.DUMMYFUNCTION("GOOGLEFINANCE(""BOM:""&amp;A33,""MARKETCAP"")/10000000"),170.835656)</f>
        <v>170.835656</v>
      </c>
      <c r="G33" s="95">
        <f t="shared" ca="1" si="0"/>
        <v>4.3113964570893146E-3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533161</v>
      </c>
      <c r="B34" s="98" t="s">
        <v>2441</v>
      </c>
      <c r="C34" s="101" t="e">
        <f>VLOOKUP(A34,'BSE ALL CAP'!$B$4:$Y$1038,2,)</f>
        <v>#N/A</v>
      </c>
      <c r="D34" s="101" t="e">
        <f>VLOOKUP(A34,'BSE ALL CAP'!$B$4:$Y$1038,3,)</f>
        <v>#N/A</v>
      </c>
      <c r="E34" s="101">
        <f ca="1">IFERROR(__xludf.DUMMYFUNCTION("GOOGLEFINANCE(""BOM:""&amp;A34,""PRICE"")"),73)</f>
        <v>73</v>
      </c>
      <c r="F34" s="112">
        <f ca="1">IFERROR(__xludf.DUMMYFUNCTION("GOOGLEFINANCE(""BOM:""&amp;A34,""MARKETCAP"")/10000000"),141.4735559)</f>
        <v>141.47355590000001</v>
      </c>
      <c r="G34" s="95">
        <f t="shared" ca="1" si="0"/>
        <v>3.5703822138809659E-3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540078</v>
      </c>
      <c r="B35" s="98" t="s">
        <v>2442</v>
      </c>
      <c r="C35" s="101" t="e">
        <f>VLOOKUP(A35,'BSE ALL CAP'!$B$4:$Y$1038,2,)</f>
        <v>#N/A</v>
      </c>
      <c r="D35" s="101" t="e">
        <f>VLOOKUP(A35,'BSE ALL CAP'!$B$4:$Y$1038,3,)</f>
        <v>#N/A</v>
      </c>
      <c r="E35" s="101">
        <f ca="1">IFERROR(__xludf.DUMMYFUNCTION("GOOGLEFINANCE(""BOM:""&amp;A35,""PRICE"")"),91.97)</f>
        <v>91.97</v>
      </c>
      <c r="F35" s="112">
        <f ca="1">IFERROR(__xludf.DUMMYFUNCTION("GOOGLEFINANCE(""BOM:""&amp;A35,""MARKETCAP"")/10000000"),124.8764997)</f>
        <v>124.8764997</v>
      </c>
      <c r="G35" s="95">
        <f t="shared" ca="1" si="0"/>
        <v>3.1515206543316393E-3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504840</v>
      </c>
      <c r="B36" s="98" t="s">
        <v>2443</v>
      </c>
      <c r="C36" s="101" t="e">
        <f>VLOOKUP(A36,'BSE ALL CAP'!$B$4:$Y$1038,2,)</f>
        <v>#N/A</v>
      </c>
      <c r="D36" s="101" t="e">
        <f>VLOOKUP(A36,'BSE ALL CAP'!$B$4:$Y$1038,3,)</f>
        <v>#N/A</v>
      </c>
      <c r="E36" s="101">
        <f ca="1">IFERROR(__xludf.DUMMYFUNCTION("GOOGLEFINANCE(""BOM:""&amp;A36,""PRICE"")"),1123)</f>
        <v>1123</v>
      </c>
      <c r="F36" s="112">
        <f ca="1">IFERROR(__xludf.DUMMYFUNCTION("GOOGLEFINANCE(""BOM:""&amp;A36,""MARKETCAP"")/10000000"),103.5555471)</f>
        <v>103.5555471</v>
      </c>
      <c r="G36" s="95">
        <f t="shared" ca="1" si="0"/>
        <v>2.613441651073624E-3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530315</v>
      </c>
      <c r="B37" s="98" t="s">
        <v>2444</v>
      </c>
      <c r="C37" s="101" t="e">
        <f>VLOOKUP(A37,'BSE ALL CAP'!$B$4:$Y$1038,2,)</f>
        <v>#N/A</v>
      </c>
      <c r="D37" s="101" t="e">
        <f>VLOOKUP(A37,'BSE ALL CAP'!$B$4:$Y$1038,3,)</f>
        <v>#N/A</v>
      </c>
      <c r="E37" s="101">
        <f ca="1">IFERROR(__xludf.DUMMYFUNCTION("GOOGLEFINANCE(""BOM:""&amp;A37,""PRICE"")"),98.8)</f>
        <v>98.8</v>
      </c>
      <c r="F37" s="112">
        <f ca="1">IFERROR(__xludf.DUMMYFUNCTION("GOOGLEFINANCE(""BOM:""&amp;A37,""MARKETCAP"")/10000000"),102.7488415)</f>
        <v>102.7488415</v>
      </c>
      <c r="G37" s="95">
        <f t="shared" ca="1" si="0"/>
        <v>2.5930827415392224E-3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524502</v>
      </c>
      <c r="B38" s="98" t="s">
        <v>2445</v>
      </c>
      <c r="C38" s="101" t="e">
        <f>VLOOKUP(A38,'BSE ALL CAP'!$B$4:$Y$1038,2,)</f>
        <v>#N/A</v>
      </c>
      <c r="D38" s="101" t="e">
        <f>VLOOKUP(A38,'BSE ALL CAP'!$B$4:$Y$1038,3,)</f>
        <v>#N/A</v>
      </c>
      <c r="E38" s="101">
        <f ca="1">IFERROR(__xludf.DUMMYFUNCTION("GOOGLEFINANCE(""BOM:""&amp;A38,""PRICE"")"),70.99)</f>
        <v>70.989999999999995</v>
      </c>
      <c r="F38" s="112">
        <f ca="1">IFERROR(__xludf.DUMMYFUNCTION("GOOGLEFINANCE(""BOM:""&amp;A38,""MARKETCAP"")/10000000"),93.34697)</f>
        <v>93.346969999999999</v>
      </c>
      <c r="G38" s="95">
        <f t="shared" ca="1" si="0"/>
        <v>2.3558067745413904E-3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506863</v>
      </c>
      <c r="B39" s="98" t="s">
        <v>2446</v>
      </c>
      <c r="C39" s="101" t="e">
        <f>VLOOKUP(A39,'BSE ALL CAP'!$B$4:$Y$1038,2,)</f>
        <v>#N/A</v>
      </c>
      <c r="D39" s="101" t="e">
        <f>VLOOKUP(A39,'BSE ALL CAP'!$B$4:$Y$1038,3,)</f>
        <v>#N/A</v>
      </c>
      <c r="E39" s="101">
        <f ca="1">IFERROR(__xludf.DUMMYFUNCTION("GOOGLEFINANCE(""BOM:""&amp;A39,""PRICE"")"),94.85)</f>
        <v>94.85</v>
      </c>
      <c r="F39" s="112">
        <f ca="1">IFERROR(__xludf.DUMMYFUNCTION("GOOGLEFINANCE(""BOM:""&amp;A39,""MARKETCAP"")/10000000"),102.6081592)</f>
        <v>102.6081592</v>
      </c>
      <c r="G39" s="95">
        <f t="shared" ca="1" si="0"/>
        <v>2.589532328329259E-3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526137</v>
      </c>
      <c r="B40" s="98" t="s">
        <v>2447</v>
      </c>
      <c r="C40" s="101" t="e">
        <f>VLOOKUP(A40,'BSE ALL CAP'!$B$4:$Y$1038,2,)</f>
        <v>#N/A</v>
      </c>
      <c r="D40" s="101" t="e">
        <f>VLOOKUP(A40,'BSE ALL CAP'!$B$4:$Y$1038,3,)</f>
        <v>#N/A</v>
      </c>
      <c r="E40" s="101">
        <f ca="1">IFERROR(__xludf.DUMMYFUNCTION("GOOGLEFINANCE(""BOM:""&amp;A40,""PRICE"")"),96.51)</f>
        <v>96.51</v>
      </c>
      <c r="F40" s="112">
        <f ca="1">IFERROR(__xludf.DUMMYFUNCTION("GOOGLEFINANCE(""BOM:""&amp;A40,""MARKETCAP"")/10000000"),86.8908502)</f>
        <v>86.890850200000003</v>
      </c>
      <c r="G40" s="95">
        <f t="shared" ca="1" si="0"/>
        <v>2.1928730364447944E-3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513507</v>
      </c>
      <c r="B41" s="98" t="s">
        <v>2448</v>
      </c>
      <c r="C41" s="101" t="e">
        <f>VLOOKUP(A41,'BSE ALL CAP'!$B$4:$Y$1038,2,)</f>
        <v>#N/A</v>
      </c>
      <c r="D41" s="101" t="e">
        <f>VLOOKUP(A41,'BSE ALL CAP'!$B$4:$Y$1038,3,)</f>
        <v>#N/A</v>
      </c>
      <c r="E41" s="101">
        <f ca="1">IFERROR(__xludf.DUMMYFUNCTION("GOOGLEFINANCE(""BOM:""&amp;A41,""PRICE"")"),151.5)</f>
        <v>151.5</v>
      </c>
      <c r="F41" s="112">
        <f ca="1">IFERROR(__xludf.DUMMYFUNCTION("GOOGLEFINANCE(""BOM:""&amp;A41,""MARKETCAP"")/10000000"),85.5975)</f>
        <v>85.597499999999997</v>
      </c>
      <c r="G41" s="95">
        <f t="shared" ca="1" si="0"/>
        <v>2.1602326286949288E-3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523186</v>
      </c>
      <c r="B42" s="98" t="s">
        <v>2449</v>
      </c>
      <c r="C42" s="101" t="e">
        <f>VLOOKUP(A42,'BSE ALL CAP'!$B$4:$Y$1038,2,)</f>
        <v>#N/A</v>
      </c>
      <c r="D42" s="101" t="e">
        <f>VLOOKUP(A42,'BSE ALL CAP'!$B$4:$Y$1038,3,)</f>
        <v>#N/A</v>
      </c>
      <c r="E42" s="101">
        <f ca="1">IFERROR(__xludf.DUMMYFUNCTION("GOOGLEFINANCE(""BOM:""&amp;A42,""PRICE"")"),159)</f>
        <v>159</v>
      </c>
      <c r="F42" s="112">
        <f ca="1">IFERROR(__xludf.DUMMYFUNCTION("GOOGLEFINANCE(""BOM:""&amp;A42,""MARKETCAP"")/10000000"),79.09517)</f>
        <v>79.095169999999996</v>
      </c>
      <c r="G42" s="95">
        <f t="shared" ca="1" si="0"/>
        <v>1.9961326791807271E-3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4.4">
      <c r="A43" s="99">
        <v>543435</v>
      </c>
      <c r="B43" s="98" t="s">
        <v>2450</v>
      </c>
      <c r="C43" s="101" t="e">
        <f>VLOOKUP(A43,'BSE ALL CAP'!$B$4:$Y$1038,2,)</f>
        <v>#N/A</v>
      </c>
      <c r="D43" s="101" t="e">
        <f>VLOOKUP(A43,'BSE ALL CAP'!$B$4:$Y$1038,3,)</f>
        <v>#N/A</v>
      </c>
      <c r="E43" s="101">
        <f ca="1">IFERROR(__xludf.DUMMYFUNCTION("GOOGLEFINANCE(""BOM:""&amp;A43,""PRICE"")"),36.08)</f>
        <v>36.08</v>
      </c>
      <c r="F43" s="112">
        <f ca="1">IFERROR(__xludf.DUMMYFUNCTION("GOOGLEFINANCE(""BOM:""&amp;A43,""MARKETCAP"")/10000000"),92.62783)</f>
        <v>92.627830000000003</v>
      </c>
      <c r="G43" s="95">
        <f t="shared" ca="1" si="0"/>
        <v>2.3376577667713078E-3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4.4">
      <c r="A44" s="99">
        <v>532828</v>
      </c>
      <c r="B44" s="98" t="s">
        <v>2451</v>
      </c>
      <c r="C44" s="101" t="e">
        <f>VLOOKUP(A44,'BSE ALL CAP'!$B$4:$Y$1038,2,)</f>
        <v>#N/A</v>
      </c>
      <c r="D44" s="101" t="e">
        <f>VLOOKUP(A44,'BSE ALL CAP'!$B$4:$Y$1038,3,)</f>
        <v>#N/A</v>
      </c>
      <c r="E44" s="101">
        <f ca="1">IFERROR(__xludf.DUMMYFUNCTION("GOOGLEFINANCE(""BOM:""&amp;A44,""PRICE"")"),38.47)</f>
        <v>38.47</v>
      </c>
      <c r="F44" s="112">
        <f ca="1">IFERROR(__xludf.DUMMYFUNCTION("GOOGLEFINANCE(""BOM:""&amp;A44,""MARKETCAP"")/10000000"),73.0316811)</f>
        <v>73.0316811</v>
      </c>
      <c r="G44" s="95">
        <f t="shared" ca="1" si="0"/>
        <v>1.8431078061936711E-3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4.4">
      <c r="A45" s="99">
        <v>500421</v>
      </c>
      <c r="B45" s="98" t="s">
        <v>2452</v>
      </c>
      <c r="C45" s="101" t="e">
        <f>VLOOKUP(A45,'BSE ALL CAP'!$B$4:$Y$1038,2,)</f>
        <v>#N/A</v>
      </c>
      <c r="D45" s="101" t="e">
        <f>VLOOKUP(A45,'BSE ALL CAP'!$B$4:$Y$1038,3,)</f>
        <v>#N/A</v>
      </c>
      <c r="E45" s="101">
        <f ca="1">IFERROR(__xludf.DUMMYFUNCTION("GOOGLEFINANCE(""BOM:""&amp;A45,""PRICE"")"),14.78)</f>
        <v>14.78</v>
      </c>
      <c r="F45" s="112">
        <f ca="1">IFERROR(__xludf.DUMMYFUNCTION("GOOGLEFINANCE(""BOM:""&amp;A45,""MARKETCAP"")/10000000"),63.4999927)</f>
        <v>63.4999927</v>
      </c>
      <c r="G45" s="95">
        <f t="shared" ca="1" si="0"/>
        <v>1.6025556371673214E-3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526325</v>
      </c>
      <c r="B46" s="98" t="s">
        <v>2453</v>
      </c>
      <c r="C46" s="101" t="e">
        <f>VLOOKUP(A46,'BSE ALL CAP'!$B$4:$Y$1038,2,)</f>
        <v>#N/A</v>
      </c>
      <c r="D46" s="101" t="e">
        <f>VLOOKUP(A46,'BSE ALL CAP'!$B$4:$Y$1038,3,)</f>
        <v>#N/A</v>
      </c>
      <c r="E46" s="101">
        <f ca="1">IFERROR(__xludf.DUMMYFUNCTION("GOOGLEFINANCE(""BOM:""&amp;A46,""PRICE"")"),60.95)</f>
        <v>60.95</v>
      </c>
      <c r="F46" s="112">
        <f ca="1">IFERROR(__xludf.DUMMYFUNCTION("GOOGLEFINANCE(""BOM:""&amp;A46,""MARKETCAP"")/10000000"),59.9000015)</f>
        <v>59.900001500000002</v>
      </c>
      <c r="G46" s="95">
        <f t="shared" ca="1" si="0"/>
        <v>1.5117023008753199E-3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4.4">
      <c r="A47" s="99">
        <v>526965</v>
      </c>
      <c r="B47" s="98" t="s">
        <v>2454</v>
      </c>
      <c r="C47" s="101" t="e">
        <f>VLOOKUP(A47,'BSE ALL CAP'!$B$4:$Y$1038,2,)</f>
        <v>#N/A</v>
      </c>
      <c r="D47" s="101" t="e">
        <f>VLOOKUP(A47,'BSE ALL CAP'!$B$4:$Y$1038,3,)</f>
        <v>#N/A</v>
      </c>
      <c r="E47" s="101">
        <f ca="1">IFERROR(__xludf.DUMMYFUNCTION("GOOGLEFINANCE(""BOM:""&amp;A47,""PRICE"")"),95.6)</f>
        <v>95.6</v>
      </c>
      <c r="F47" s="112">
        <f ca="1">IFERROR(__xludf.DUMMYFUNCTION("GOOGLEFINANCE(""BOM:""&amp;A47,""MARKETCAP"")/10000000"),46.7321376)</f>
        <v>46.732137600000001</v>
      </c>
      <c r="G47" s="95">
        <f t="shared" ca="1" si="0"/>
        <v>1.1793836087757368E-3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4.4">
      <c r="A48" s="99">
        <v>543744</v>
      </c>
      <c r="B48" s="98" t="s">
        <v>2455</v>
      </c>
      <c r="C48" s="101" t="e">
        <f>VLOOKUP(A48,'BSE ALL CAP'!$B$4:$Y$1038,2,)</f>
        <v>#N/A</v>
      </c>
      <c r="D48" s="101" t="e">
        <f>VLOOKUP(A48,'BSE ALL CAP'!$B$4:$Y$1038,3,)</f>
        <v>#N/A</v>
      </c>
      <c r="E48" s="101">
        <f ca="1">IFERROR(__xludf.DUMMYFUNCTION("GOOGLEFINANCE(""BOM:""&amp;A48,""PRICE"")"),168)</f>
        <v>168</v>
      </c>
      <c r="F48" s="112">
        <f ca="1">IFERROR(__xludf.DUMMYFUNCTION("GOOGLEFINANCE(""BOM:""&amp;A48,""MARKETCAP"")/10000000"),42.58719)</f>
        <v>42.58719</v>
      </c>
      <c r="G48" s="95">
        <f t="shared" ca="1" si="0"/>
        <v>1.074777153566756E-3</v>
      </c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ht="14.4">
      <c r="A49" s="99">
        <v>544412</v>
      </c>
      <c r="B49" s="98" t="s">
        <v>2456</v>
      </c>
      <c r="C49" s="101" t="e">
        <f>VLOOKUP(A49,'BSE ALL CAP'!$B$4:$Y$1038,2,)</f>
        <v>#N/A</v>
      </c>
      <c r="D49" s="101" t="e">
        <f>VLOOKUP(A49,'BSE ALL CAP'!$B$4:$Y$1038,3,)</f>
        <v>#N/A</v>
      </c>
      <c r="E49" s="101">
        <f ca="1">IFERROR(__xludf.DUMMYFUNCTION("GOOGLEFINANCE(""BOM:""&amp;A49,""PRICE"")"),16.02)</f>
        <v>16.02</v>
      </c>
      <c r="F49" s="112">
        <f ca="1">IFERROR(__xludf.DUMMYFUNCTION("GOOGLEFINANCE(""BOM:""&amp;A49,""MARKETCAP"")/10000000"),39.6847451)</f>
        <v>39.684745100000001</v>
      </c>
      <c r="G49" s="95">
        <f t="shared" ca="1" si="0"/>
        <v>1.0015278626882935E-3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4.4">
      <c r="A50" s="99">
        <v>542503</v>
      </c>
      <c r="B50" s="98" t="s">
        <v>2457</v>
      </c>
      <c r="C50" s="101" t="e">
        <f>VLOOKUP(A50,'BSE ALL CAP'!$B$4:$Y$1038,2,)</f>
        <v>#N/A</v>
      </c>
      <c r="D50" s="101" t="e">
        <f>VLOOKUP(A50,'BSE ALL CAP'!$B$4:$Y$1038,3,)</f>
        <v>#N/A</v>
      </c>
      <c r="E50" s="101">
        <f ca="1">IFERROR(__xludf.DUMMYFUNCTION("GOOGLEFINANCE(""BOM:""&amp;A50,""PRICE"")"),21.88)</f>
        <v>21.88</v>
      </c>
      <c r="F50" s="112">
        <f ca="1">IFERROR(__xludf.DUMMYFUNCTION("GOOGLEFINANCE(""BOM:""&amp;A50,""MARKETCAP"")/10000000"),42.09709)</f>
        <v>42.097090000000001</v>
      </c>
      <c r="G50" s="95">
        <f t="shared" ca="1" si="0"/>
        <v>1.0624084510775082E-3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4.4">
      <c r="A51" s="99">
        <v>531280</v>
      </c>
      <c r="B51" s="98" t="s">
        <v>2458</v>
      </c>
      <c r="C51" s="101" t="e">
        <f>VLOOKUP(A51,'BSE ALL CAP'!$B$4:$Y$1038,2,)</f>
        <v>#N/A</v>
      </c>
      <c r="D51" s="101" t="e">
        <f>VLOOKUP(A51,'BSE ALL CAP'!$B$4:$Y$1038,3,)</f>
        <v>#N/A</v>
      </c>
      <c r="E51" s="101">
        <f ca="1">IFERROR(__xludf.DUMMYFUNCTION("GOOGLEFINANCE(""BOM:""&amp;A51,""PRICE"")"),61.39)</f>
        <v>61.39</v>
      </c>
      <c r="F51" s="112">
        <f ca="1">IFERROR(__xludf.DUMMYFUNCTION("GOOGLEFINANCE(""BOM:""&amp;A51,""MARKETCAP"")/10000000"),34.0339956)</f>
        <v>34.033995599999997</v>
      </c>
      <c r="G51" s="95">
        <f t="shared" ca="1" si="0"/>
        <v>8.5891933502707019E-4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4.4">
      <c r="A52" s="99">
        <v>523840</v>
      </c>
      <c r="B52" s="98" t="s">
        <v>2459</v>
      </c>
      <c r="C52" s="101" t="e">
        <f>VLOOKUP(A52,'BSE ALL CAP'!$B$4:$Y$1038,2,)</f>
        <v>#N/A</v>
      </c>
      <c r="D52" s="101" t="e">
        <f>VLOOKUP(A52,'BSE ALL CAP'!$B$4:$Y$1038,3,)</f>
        <v>#N/A</v>
      </c>
      <c r="E52" s="101">
        <f ca="1">IFERROR(__xludf.DUMMYFUNCTION("GOOGLEFINANCE(""BOM:""&amp;A52,""PRICE"")"),13.85)</f>
        <v>13.85</v>
      </c>
      <c r="F52" s="112">
        <f ca="1">IFERROR(__xludf.DUMMYFUNCTION("GOOGLEFINANCE(""BOM:""&amp;A52,""MARKETCAP"")/10000000"),31.1140258)</f>
        <v>31.1140258</v>
      </c>
      <c r="G52" s="95">
        <f t="shared" ca="1" si="0"/>
        <v>7.8522776650271145E-4</v>
      </c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ht="14.4">
      <c r="A53" s="99">
        <v>502448</v>
      </c>
      <c r="B53" s="98" t="s">
        <v>2460</v>
      </c>
      <c r="C53" s="101" t="e">
        <f>VLOOKUP(A53,'BSE ALL CAP'!$B$4:$Y$1038,2,)</f>
        <v>#N/A</v>
      </c>
      <c r="D53" s="101" t="e">
        <f>VLOOKUP(A53,'BSE ALL CAP'!$B$4:$Y$1038,3,)</f>
        <v>#N/A</v>
      </c>
      <c r="E53" s="101">
        <f ca="1">IFERROR(__xludf.DUMMYFUNCTION("GOOGLEFINANCE(""BOM:""&amp;A53,""PRICE"")"),1.21)</f>
        <v>1.21</v>
      </c>
      <c r="F53" s="112">
        <f ca="1">IFERROR(__xludf.DUMMYFUNCTION("GOOGLEFINANCE(""BOM:""&amp;A53,""MARKETCAP"")/10000000"),29.7654714)</f>
        <v>29.765471399999999</v>
      </c>
      <c r="G53" s="95">
        <f t="shared" ca="1" si="0"/>
        <v>7.5119416486189112E-4</v>
      </c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ht="14.4">
      <c r="A54" s="99">
        <v>523021</v>
      </c>
      <c r="B54" s="98" t="s">
        <v>2461</v>
      </c>
      <c r="C54" s="101" t="e">
        <f>VLOOKUP(A54,'BSE ALL CAP'!$B$4:$Y$1038,2,)</f>
        <v>#N/A</v>
      </c>
      <c r="D54" s="101" t="e">
        <f>VLOOKUP(A54,'BSE ALL CAP'!$B$4:$Y$1038,3,)</f>
        <v>#N/A</v>
      </c>
      <c r="E54" s="101">
        <f ca="1">IFERROR(__xludf.DUMMYFUNCTION("GOOGLEFINANCE(""BOM:""&amp;A54,""PRICE"")"),36.94)</f>
        <v>36.94</v>
      </c>
      <c r="F54" s="112">
        <f ca="1">IFERROR(__xludf.DUMMYFUNCTION("GOOGLEFINANCE(""BOM:""&amp;A54,""MARKETCAP"")/10000000"),27.3023566)</f>
        <v>27.3023566</v>
      </c>
      <c r="G54" s="95">
        <f t="shared" ca="1" si="0"/>
        <v>6.8903229145225438E-4</v>
      </c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ht="14.4">
      <c r="A55" s="99">
        <v>539354</v>
      </c>
      <c r="B55" s="98" t="s">
        <v>2462</v>
      </c>
      <c r="C55" s="101" t="e">
        <f>VLOOKUP(A55,'BSE ALL CAP'!$B$4:$Y$1038,2,)</f>
        <v>#N/A</v>
      </c>
      <c r="D55" s="101" t="e">
        <f>VLOOKUP(A55,'BSE ALL CAP'!$B$4:$Y$1038,3,)</f>
        <v>#N/A</v>
      </c>
      <c r="E55" s="101">
        <f ca="1">IFERROR(__xludf.DUMMYFUNCTION("GOOGLEFINANCE(""BOM:""&amp;A55,""PRICE"")"),27.53)</f>
        <v>27.53</v>
      </c>
      <c r="F55" s="112">
        <f ca="1">IFERROR(__xludf.DUMMYFUNCTION("GOOGLEFINANCE(""BOM:""&amp;A55,""MARKETCAP"")/10000000"),27.5300006)</f>
        <v>27.530000600000001</v>
      </c>
      <c r="G55" s="95">
        <f t="shared" ca="1" si="0"/>
        <v>6.9477736574211828E-4</v>
      </c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ht="14.4">
      <c r="A56" s="99">
        <v>526554</v>
      </c>
      <c r="B56" s="98" t="s">
        <v>2463</v>
      </c>
      <c r="C56" s="101" t="e">
        <f>VLOOKUP(A56,'BSE ALL CAP'!$B$4:$Y$1038,2,)</f>
        <v>#N/A</v>
      </c>
      <c r="D56" s="101" t="e">
        <f>VLOOKUP(A56,'BSE ALL CAP'!$B$4:$Y$1038,3,)</f>
        <v>#N/A</v>
      </c>
      <c r="E56" s="101">
        <f ca="1">IFERROR(__xludf.DUMMYFUNCTION("GOOGLEFINANCE(""BOM:""&amp;A56,""PRICE"")"),28.27)</f>
        <v>28.27</v>
      </c>
      <c r="F56" s="112">
        <f ca="1">IFERROR(__xludf.DUMMYFUNCTION("GOOGLEFINANCE(""BOM:""&amp;A56,""MARKETCAP"")/10000000"),21.3062512)</f>
        <v>21.306251199999998</v>
      </c>
      <c r="G56" s="95">
        <f t="shared" ca="1" si="0"/>
        <v>5.3770798256269734E-4</v>
      </c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ht="14.4">
      <c r="A57" s="99">
        <v>523836</v>
      </c>
      <c r="B57" s="98" t="s">
        <v>2464</v>
      </c>
      <c r="C57" s="101" t="e">
        <f>VLOOKUP(A57,'BSE ALL CAP'!$B$4:$Y$1038,2,)</f>
        <v>#N/A</v>
      </c>
      <c r="D57" s="101" t="e">
        <f>VLOOKUP(A57,'BSE ALL CAP'!$B$4:$Y$1038,3,)</f>
        <v>#N/A</v>
      </c>
      <c r="E57" s="101">
        <f ca="1">IFERROR(__xludf.DUMMYFUNCTION("GOOGLEFINANCE(""BOM:""&amp;A57,""PRICE"")"),39.15)</f>
        <v>39.15</v>
      </c>
      <c r="F57" s="112">
        <f ca="1">IFERROR(__xludf.DUMMYFUNCTION("GOOGLEFINANCE(""BOM:""&amp;A57,""MARKETCAP"")/10000000"),20.5208833)</f>
        <v>20.520883300000001</v>
      </c>
      <c r="G57" s="95">
        <f t="shared" ca="1" si="0"/>
        <v>5.1788757468735497E-4</v>
      </c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ht="14.4">
      <c r="A58" s="99">
        <v>543285</v>
      </c>
      <c r="B58" s="98" t="s">
        <v>2465</v>
      </c>
      <c r="C58" s="101" t="e">
        <f>VLOOKUP(A58,'BSE ALL CAP'!$B$4:$Y$1038,2,)</f>
        <v>#N/A</v>
      </c>
      <c r="D58" s="101" t="e">
        <f>VLOOKUP(A58,'BSE ALL CAP'!$B$4:$Y$1038,3,)</f>
        <v>#N/A</v>
      </c>
      <c r="E58" s="101">
        <f ca="1">IFERROR(__xludf.DUMMYFUNCTION("GOOGLEFINANCE(""BOM:""&amp;A58,""PRICE"")"),19.81)</f>
        <v>19.809999999999999</v>
      </c>
      <c r="F58" s="112">
        <f ca="1">IFERROR(__xludf.DUMMYFUNCTION("GOOGLEFINANCE(""BOM:""&amp;A58,""MARKETCAP"")/10000000"),20.7846316)</f>
        <v>20.784631600000001</v>
      </c>
      <c r="G58" s="95">
        <f t="shared" ca="1" si="0"/>
        <v>5.2454381679048674E-4</v>
      </c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ht="14.4">
      <c r="A59" s="99">
        <v>530111</v>
      </c>
      <c r="B59" s="98" t="s">
        <v>2466</v>
      </c>
      <c r="C59" s="101" t="e">
        <f>VLOOKUP(A59,'BSE ALL CAP'!$B$4:$Y$1038,2,)</f>
        <v>#N/A</v>
      </c>
      <c r="D59" s="101" t="e">
        <f>VLOOKUP(A59,'BSE ALL CAP'!$B$4:$Y$1038,3,)</f>
        <v>#N/A</v>
      </c>
      <c r="E59" s="101">
        <f ca="1">IFERROR(__xludf.DUMMYFUNCTION("GOOGLEFINANCE(""BOM:""&amp;A59,""PRICE"")"),31.23)</f>
        <v>31.23</v>
      </c>
      <c r="F59" s="112">
        <f ca="1">IFERROR(__xludf.DUMMYFUNCTION("GOOGLEFINANCE(""BOM:""&amp;A59,""MARKETCAP"")/10000000"),14.271329)</f>
        <v>14.271329</v>
      </c>
      <c r="G59" s="95">
        <f t="shared" ca="1" si="0"/>
        <v>3.6016695067776712E-4</v>
      </c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ht="14.4">
      <c r="A60" s="99">
        <v>542865</v>
      </c>
      <c r="B60" s="98" t="s">
        <v>2467</v>
      </c>
      <c r="C60" s="101" t="e">
        <f>VLOOKUP(A60,'BSE ALL CAP'!$B$4:$Y$1038,2,)</f>
        <v>#N/A</v>
      </c>
      <c r="D60" s="101" t="e">
        <f>VLOOKUP(A60,'BSE ALL CAP'!$B$4:$Y$1038,3,)</f>
        <v>#N/A</v>
      </c>
      <c r="E60" s="101">
        <f ca="1">IFERROR(__xludf.DUMMYFUNCTION("GOOGLEFINANCE(""BOM:""&amp;A60,""PRICE"")"),10.65)</f>
        <v>10.65</v>
      </c>
      <c r="F60" s="112">
        <f ca="1">IFERROR(__xludf.DUMMYFUNCTION("GOOGLEFINANCE(""BOM:""&amp;A60,""MARKETCAP"")/10000000"),11.7714445)</f>
        <v>11.771444499999999</v>
      </c>
      <c r="G60" s="95">
        <f t="shared" ca="1" si="0"/>
        <v>2.9707711668882226E-4</v>
      </c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ht="14.4">
      <c r="A61" s="99">
        <v>542666</v>
      </c>
      <c r="B61" s="98" t="s">
        <v>2468</v>
      </c>
      <c r="C61" s="101" t="e">
        <f>VLOOKUP(A61,'BSE ALL CAP'!$B$4:$Y$1038,2,)</f>
        <v>#N/A</v>
      </c>
      <c r="D61" s="101" t="e">
        <f>VLOOKUP(A61,'BSE ALL CAP'!$B$4:$Y$1038,3,)</f>
        <v>#N/A</v>
      </c>
      <c r="E61" s="101">
        <f ca="1">IFERROR(__xludf.DUMMYFUNCTION("GOOGLEFINANCE(""BOM:""&amp;A61,""PRICE"")"),5.15)</f>
        <v>5.15</v>
      </c>
      <c r="F61" s="112">
        <f ca="1">IFERROR(__xludf.DUMMYFUNCTION("GOOGLEFINANCE(""BOM:""&amp;A61,""MARKETCAP"")/10000000"),11.3293976)</f>
        <v>11.3293976</v>
      </c>
      <c r="G61" s="95">
        <f t="shared" ca="1" si="0"/>
        <v>2.859211350679403E-4</v>
      </c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</row>
    <row r="62" spans="1:25" ht="14.4">
      <c r="A62" s="99">
        <v>526001</v>
      </c>
      <c r="B62" s="98" t="s">
        <v>2469</v>
      </c>
      <c r="C62" s="101" t="e">
        <f>VLOOKUP(A62,'BSE ALL CAP'!$B$4:$Y$1038,2,)</f>
        <v>#N/A</v>
      </c>
      <c r="D62" s="101" t="e">
        <f>VLOOKUP(A62,'BSE ALL CAP'!$B$4:$Y$1038,3,)</f>
        <v>#N/A</v>
      </c>
      <c r="E62" s="101">
        <f ca="1">IFERROR(__xludf.DUMMYFUNCTION("GOOGLEFINANCE(""BOM:""&amp;A62,""PRICE"")"),24.51)</f>
        <v>24.51</v>
      </c>
      <c r="F62" s="112">
        <f ca="1">IFERROR(__xludf.DUMMYFUNCTION("GOOGLEFINANCE(""BOM:""&amp;A62,""MARKETCAP"")/10000000"),11.3372795)</f>
        <v>11.337279499999999</v>
      </c>
      <c r="G62" s="95">
        <f t="shared" ca="1" si="0"/>
        <v>2.861200513628801E-4</v>
      </c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</row>
    <row r="63" spans="1:25" ht="14.4">
      <c r="A63" s="99">
        <v>531397</v>
      </c>
      <c r="B63" s="98" t="s">
        <v>2470</v>
      </c>
      <c r="C63" s="101" t="e">
        <f>VLOOKUP(A63,'BSE ALL CAP'!$B$4:$Y$1038,2,)</f>
        <v>#N/A</v>
      </c>
      <c r="D63" s="101" t="e">
        <f>VLOOKUP(A63,'BSE ALL CAP'!$B$4:$Y$1038,3,)</f>
        <v>#N/A</v>
      </c>
      <c r="E63" s="101">
        <f ca="1">IFERROR(__xludf.DUMMYFUNCTION("GOOGLEFINANCE(""BOM:""&amp;A63,""PRICE"")"),24.15)</f>
        <v>24.15</v>
      </c>
      <c r="F63" s="112">
        <f ca="1">IFERROR(__xludf.DUMMYFUNCTION("GOOGLEFINANCE(""BOM:""&amp;A63,""MARKETCAP"")/10000000"),11.8071763)</f>
        <v>11.8071763</v>
      </c>
      <c r="G63" s="95">
        <f t="shared" ca="1" si="0"/>
        <v>2.9797888368250782E-4</v>
      </c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</row>
    <row r="64" spans="1:25" ht="14.4">
      <c r="A64" s="99">
        <v>543979</v>
      </c>
      <c r="B64" s="98" t="s">
        <v>2471</v>
      </c>
      <c r="C64" s="101" t="e">
        <f>VLOOKUP(A64,'BSE ALL CAP'!$B$4:$Y$1038,2,)</f>
        <v>#N/A</v>
      </c>
      <c r="D64" s="101" t="e">
        <f>VLOOKUP(A64,'BSE ALL CAP'!$B$4:$Y$1038,3,)</f>
        <v>#N/A</v>
      </c>
      <c r="E64" s="101">
        <f ca="1">IFERROR(__xludf.DUMMYFUNCTION("GOOGLEFINANCE(""BOM:""&amp;A64,""PRICE"")"),39)</f>
        <v>39</v>
      </c>
      <c r="F64" s="112">
        <f ca="1">IFERROR(__xludf.DUMMYFUNCTION("GOOGLEFINANCE(""BOM:""&amp;A64,""MARKETCAP"")/10000000"),10.608)</f>
        <v>10.608000000000001</v>
      </c>
      <c r="G64" s="95">
        <f t="shared" ca="1" si="0"/>
        <v>2.6771515202191428E-4</v>
      </c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</row>
    <row r="65" spans="1:25" ht="14.4">
      <c r="A65" s="99">
        <v>530063</v>
      </c>
      <c r="B65" s="98" t="s">
        <v>2472</v>
      </c>
      <c r="C65" s="101" t="e">
        <f>VLOOKUP(A65,'BSE ALL CAP'!$B$4:$Y$1038,2,)</f>
        <v>#N/A</v>
      </c>
      <c r="D65" s="101" t="e">
        <f>VLOOKUP(A65,'BSE ALL CAP'!$B$4:$Y$1038,3,)</f>
        <v>#N/A</v>
      </c>
      <c r="E65" s="101">
        <f ca="1">IFERROR(__xludf.DUMMYFUNCTION("GOOGLEFINANCE(""BOM:""&amp;A65,""PRICE"")"),4.54)</f>
        <v>4.54</v>
      </c>
      <c r="F65" s="112">
        <f ca="1">IFERROR(__xludf.DUMMYFUNCTION("GOOGLEFINANCE(""BOM:""&amp;A65,""MARKETCAP"")/10000000"),7.7179999)</f>
        <v>7.7179998999999997</v>
      </c>
      <c r="G65" s="95">
        <f t="shared" ca="1" si="0"/>
        <v>1.9477993179992638E-4</v>
      </c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</row>
    <row r="66" spans="1:25" ht="14.4">
      <c r="A66" s="99">
        <v>526143</v>
      </c>
      <c r="B66" s="98" t="s">
        <v>2473</v>
      </c>
      <c r="C66" s="101" t="e">
        <f>VLOOKUP(A66,'BSE ALL CAP'!$B$4:$Y$1038,2,)</f>
        <v>#N/A</v>
      </c>
      <c r="D66" s="101" t="e">
        <f>VLOOKUP(A66,'BSE ALL CAP'!$B$4:$Y$1038,3,)</f>
        <v>#N/A</v>
      </c>
      <c r="E66" s="101">
        <f ca="1">IFERROR(__xludf.DUMMYFUNCTION("GOOGLEFINANCE(""BOM:""&amp;A66,""PRICE"")"),5.63)</f>
        <v>5.63</v>
      </c>
      <c r="F66" s="112">
        <f ca="1">IFERROR(__xludf.DUMMYFUNCTION("GOOGLEFINANCE(""BOM:""&amp;A66,""MARKETCAP"")/10000000"),7.0358674)</f>
        <v>7.0358673999999999</v>
      </c>
      <c r="G66" s="95">
        <f t="shared" ca="1" si="0"/>
        <v>1.7756488599142447E-4</v>
      </c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</row>
    <row r="67" spans="1:25" ht="14.4">
      <c r="A67" s="99">
        <v>531671</v>
      </c>
      <c r="B67" s="98" t="s">
        <v>2474</v>
      </c>
      <c r="C67" s="101" t="e">
        <f>VLOOKUP(A67,'BSE ALL CAP'!$B$4:$Y$1038,2,)</f>
        <v>#N/A</v>
      </c>
      <c r="D67" s="101" t="e">
        <f>VLOOKUP(A67,'BSE ALL CAP'!$B$4:$Y$1038,3,)</f>
        <v>#N/A</v>
      </c>
      <c r="E67" s="101">
        <f ca="1">IFERROR(__xludf.DUMMYFUNCTION("GOOGLEFINANCE(""BOM:""&amp;A67,""PRICE"")"),1.5)</f>
        <v>1.5</v>
      </c>
      <c r="F67" s="112">
        <f ca="1">IFERROR(__xludf.DUMMYFUNCTION("GOOGLEFINANCE(""BOM:""&amp;A67,""MARKETCAP"")/10000000"),7.834495)</f>
        <v>7.8344950000000004</v>
      </c>
      <c r="G67" s="95">
        <f t="shared" ca="1" si="0"/>
        <v>1.9771993023566433E-4</v>
      </c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</row>
    <row r="68" spans="1:25" ht="14.4">
      <c r="A68" s="99">
        <v>526494</v>
      </c>
      <c r="B68" s="98" t="s">
        <v>2475</v>
      </c>
      <c r="C68" s="101" t="e">
        <f>VLOOKUP(A68,'BSE ALL CAP'!$B$4:$Y$1038,2,)</f>
        <v>#N/A</v>
      </c>
      <c r="D68" s="101" t="e">
        <f>VLOOKUP(A68,'BSE ALL CAP'!$B$4:$Y$1038,3,)</f>
        <v>#N/A</v>
      </c>
      <c r="E68" s="101">
        <f ca="1">IFERROR(__xludf.DUMMYFUNCTION("GOOGLEFINANCE(""BOM:""&amp;A68,""PRICE"")"),10.3)</f>
        <v>10.3</v>
      </c>
      <c r="F68" s="112">
        <f ca="1">IFERROR(__xludf.DUMMYFUNCTION("GOOGLEFINANCE(""BOM:""&amp;A68,""MARKETCAP"")/10000000"),6.7071541)</f>
        <v>6.7071541000000003</v>
      </c>
      <c r="G68" s="95">
        <f t="shared" ca="1" si="0"/>
        <v>1.6926911571605446E-4</v>
      </c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</row>
    <row r="69" spans="1:25" ht="14.4">
      <c r="A69" s="99">
        <v>534639</v>
      </c>
      <c r="B69" s="98" t="s">
        <v>2476</v>
      </c>
      <c r="C69" s="101" t="e">
        <f>VLOOKUP(A69,'BSE ALL CAP'!$B$4:$Y$1038,2,)</f>
        <v>#N/A</v>
      </c>
      <c r="D69" s="101" t="e">
        <f>VLOOKUP(A69,'BSE ALL CAP'!$B$4:$Y$1038,3,)</f>
        <v>#N/A</v>
      </c>
      <c r="E69" s="101">
        <f ca="1">IFERROR(__xludf.DUMMYFUNCTION("GOOGLEFINANCE(""BOM:""&amp;A69,""PRICE"")"),19.91)</f>
        <v>19.91</v>
      </c>
      <c r="F69" s="112">
        <f ca="1">IFERROR(__xludf.DUMMYFUNCTION("GOOGLEFINANCE(""BOM:""&amp;A69,""MARKETCAP"")/10000000"),6.134858)</f>
        <v>6.1348580000000004</v>
      </c>
      <c r="G69" s="95">
        <f t="shared" ca="1" si="0"/>
        <v>1.548260220685197E-4</v>
      </c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</row>
    <row r="70" spans="1:25" ht="14.4">
      <c r="A70" s="99">
        <v>530931</v>
      </c>
      <c r="B70" s="98" t="s">
        <v>2477</v>
      </c>
      <c r="C70" s="101" t="e">
        <f>VLOOKUP(A70,'BSE ALL CAP'!$B$4:$Y$1038,2,)</f>
        <v>#N/A</v>
      </c>
      <c r="D70" s="101" t="e">
        <f>VLOOKUP(A70,'BSE ALL CAP'!$B$4:$Y$1038,3,)</f>
        <v>#N/A</v>
      </c>
      <c r="E70" s="101">
        <f ca="1">IFERROR(__xludf.DUMMYFUNCTION("GOOGLEFINANCE(""BOM:""&amp;A70,""PRICE"")"),9.55)</f>
        <v>9.5500000000000007</v>
      </c>
      <c r="F70" s="112">
        <f ca="1">IFERROR(__xludf.DUMMYFUNCTION("GOOGLEFINANCE(""BOM:""&amp;A70,""MARKETCAP"")/10000000"),5.8216801)</f>
        <v>5.8216801</v>
      </c>
      <c r="G70" s="95">
        <f t="shared" ca="1" si="0"/>
        <v>1.4692232022949219E-4</v>
      </c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</row>
    <row r="71" spans="1:25" ht="14.4">
      <c r="A71" s="99">
        <v>530683</v>
      </c>
      <c r="B71" s="98" t="s">
        <v>2478</v>
      </c>
      <c r="C71" s="101" t="e">
        <f>VLOOKUP(A71,'BSE ALL CAP'!$B$4:$Y$1038,2,)</f>
        <v>#N/A</v>
      </c>
      <c r="D71" s="101" t="e">
        <f>VLOOKUP(A71,'BSE ALL CAP'!$B$4:$Y$1038,3,)</f>
        <v>#N/A</v>
      </c>
      <c r="E71" s="101">
        <f ca="1">IFERROR(__xludf.DUMMYFUNCTION("GOOGLEFINANCE(""BOM:""&amp;A71,""PRICE"")"),11.45)</f>
        <v>11.45</v>
      </c>
      <c r="F71" s="112">
        <f ca="1">IFERROR(__xludf.DUMMYFUNCTION("GOOGLEFINANCE(""BOM:""&amp;A71,""MARKETCAP"")/10000000"),5.58073)</f>
        <v>5.58073</v>
      </c>
      <c r="G71" s="95">
        <f t="shared" ca="1" si="0"/>
        <v>1.4084143856931162E-4</v>
      </c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</row>
    <row r="72" spans="1:25" ht="14.4">
      <c r="A72" s="99">
        <v>530281</v>
      </c>
      <c r="B72" s="98" t="s">
        <v>2479</v>
      </c>
      <c r="C72" s="101" t="e">
        <f>VLOOKUP(A72,'BSE ALL CAP'!$B$4:$Y$1038,2,)</f>
        <v>#N/A</v>
      </c>
      <c r="D72" s="101" t="e">
        <f>VLOOKUP(A72,'BSE ALL CAP'!$B$4:$Y$1038,3,)</f>
        <v>#N/A</v>
      </c>
      <c r="E72" s="101">
        <f ca="1">IFERROR(__xludf.DUMMYFUNCTION("GOOGLEFINANCE(""BOM:""&amp;A72,""PRICE"")"),16.38)</f>
        <v>16.38</v>
      </c>
      <c r="F72" s="112">
        <f ca="1">IFERROR(__xludf.DUMMYFUNCTION("GOOGLEFINANCE(""BOM:""&amp;A72,""MARKETCAP"")/10000000"),4.9713297)</f>
        <v>4.9713297000000001</v>
      </c>
      <c r="G72" s="95">
        <f t="shared" ca="1" si="0"/>
        <v>1.2546194253266945E-4</v>
      </c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</row>
    <row r="73" spans="1:25" ht="14.4">
      <c r="A73" s="99">
        <v>539982</v>
      </c>
      <c r="B73" s="98" t="s">
        <v>2480</v>
      </c>
      <c r="C73" s="101" t="e">
        <f>VLOOKUP(A73,'BSE ALL CAP'!$B$4:$Y$1038,2,)</f>
        <v>#N/A</v>
      </c>
      <c r="D73" s="101" t="e">
        <f>VLOOKUP(A73,'BSE ALL CAP'!$B$4:$Y$1038,3,)</f>
        <v>#N/A</v>
      </c>
      <c r="E73" s="101">
        <f ca="1">IFERROR(__xludf.DUMMYFUNCTION("GOOGLEFINANCE(""BOM:""&amp;A73,""PRICE"")"),5.73)</f>
        <v>5.73</v>
      </c>
      <c r="F73" s="112"/>
      <c r="G73" s="95">
        <f t="shared" ca="1" si="0"/>
        <v>0</v>
      </c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</row>
    <row r="74" spans="1:25" ht="14.4">
      <c r="A74" s="99">
        <v>531989</v>
      </c>
      <c r="B74" s="98" t="s">
        <v>2481</v>
      </c>
      <c r="C74" s="101" t="e">
        <f>VLOOKUP(A74,'BSE ALL CAP'!$B$4:$Y$1038,2,)</f>
        <v>#N/A</v>
      </c>
      <c r="D74" s="101" t="e">
        <f>VLOOKUP(A74,'BSE ALL CAP'!$B$4:$Y$1038,3,)</f>
        <v>#N/A</v>
      </c>
      <c r="E74" s="101">
        <f ca="1">IFERROR(__xludf.DUMMYFUNCTION("GOOGLEFINANCE(""BOM:""&amp;A74,""PRICE"")"),32.5)</f>
        <v>32.5</v>
      </c>
      <c r="F74" s="112"/>
      <c r="G74" s="95">
        <f t="shared" ca="1" si="0"/>
        <v>0</v>
      </c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</row>
    <row r="75" spans="1:25" ht="14.4">
      <c r="A75" s="99">
        <v>516078</v>
      </c>
      <c r="B75" s="98" t="s">
        <v>2482</v>
      </c>
      <c r="C75" s="101" t="e">
        <f>VLOOKUP(A75,'BSE ALL CAP'!$B$4:$Y$1038,2,)</f>
        <v>#N/A</v>
      </c>
      <c r="D75" s="101" t="e">
        <f>VLOOKUP(A75,'BSE ALL CAP'!$B$4:$Y$1038,3,)</f>
        <v>#N/A</v>
      </c>
      <c r="E75" s="101">
        <f ca="1">IFERROR(__xludf.DUMMYFUNCTION("GOOGLEFINANCE(""BOM:""&amp;A75,""PRICE"")"),56.67)</f>
        <v>56.67</v>
      </c>
      <c r="F75" s="112"/>
      <c r="G75" s="95">
        <f t="shared" ca="1" si="0"/>
        <v>0</v>
      </c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</row>
    <row r="76" spans="1:25" ht="14.4">
      <c r="A76" s="99">
        <v>526799</v>
      </c>
      <c r="B76" s="98" t="s">
        <v>2483</v>
      </c>
      <c r="C76" s="101" t="e">
        <f>VLOOKUP(A76,'BSE ALL CAP'!$B$4:$Y$1038,2,)</f>
        <v>#N/A</v>
      </c>
      <c r="D76" s="101" t="e">
        <f>VLOOKUP(A76,'BSE ALL CAP'!$B$4:$Y$1038,3,)</f>
        <v>#N/A</v>
      </c>
      <c r="E76" s="101">
        <f ca="1">IFERROR(__xludf.DUMMYFUNCTION("GOOGLEFINANCE(""BOM:""&amp;A76,""PRICE"")"),16.82)</f>
        <v>16.82</v>
      </c>
      <c r="F76" s="112"/>
      <c r="G76" s="95">
        <f t="shared" ca="1" si="0"/>
        <v>0</v>
      </c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</row>
    <row r="77" spans="1:25" ht="13.2">
      <c r="A77" s="101"/>
      <c r="B77" s="101"/>
      <c r="C77" s="101"/>
      <c r="D77" s="101"/>
      <c r="E77" s="101"/>
      <c r="F77" s="101"/>
      <c r="G77" s="95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ht="13.2">
      <c r="A78" s="101"/>
      <c r="B78" s="101"/>
      <c r="C78" s="101"/>
      <c r="D78" s="101"/>
      <c r="E78" s="101"/>
      <c r="F78" s="112">
        <f ca="1">SUM(F1:F76)</f>
        <v>39624.204756000006</v>
      </c>
      <c r="G78" s="95">
        <f ca="1">F78/$F$78</f>
        <v>1</v>
      </c>
      <c r="H78" s="101">
        <f t="shared" ref="H78:O78" si="1">SUM(H2:H76)</f>
        <v>23320</v>
      </c>
      <c r="I78" s="101">
        <f t="shared" si="1"/>
        <v>22660</v>
      </c>
      <c r="J78" s="101">
        <f t="shared" si="1"/>
        <v>736</v>
      </c>
      <c r="K78" s="101">
        <f t="shared" si="1"/>
        <v>930</v>
      </c>
      <c r="L78" s="101">
        <f t="shared" si="1"/>
        <v>7543</v>
      </c>
      <c r="M78" s="101">
        <f t="shared" si="1"/>
        <v>7614</v>
      </c>
      <c r="N78" s="101">
        <f t="shared" si="1"/>
        <v>246</v>
      </c>
      <c r="O78" s="101">
        <f t="shared" si="1"/>
        <v>466</v>
      </c>
      <c r="P78" s="95">
        <f t="shared" ref="P78:Q78" si="2">J78/H78</f>
        <v>3.1560891938250429E-2</v>
      </c>
      <c r="Q78" s="95">
        <f t="shared" si="2"/>
        <v>4.1041482789055603E-2</v>
      </c>
      <c r="R78" s="95">
        <f>P78-Q78</f>
        <v>-9.4805908508051734E-3</v>
      </c>
      <c r="S78" s="95">
        <f t="shared" ref="S78:T78" si="3">N78/L78</f>
        <v>3.2613018692827789E-2</v>
      </c>
      <c r="T78" s="95">
        <f t="shared" si="3"/>
        <v>6.1203047018649856E-2</v>
      </c>
      <c r="U78" s="95">
        <f>S78-T78</f>
        <v>-2.8590028325822067E-2</v>
      </c>
      <c r="V78" s="95">
        <f>(H78/I78)-1</f>
        <v>2.9126213592232997E-2</v>
      </c>
      <c r="W78" s="95">
        <f>(J78/K78)-1</f>
        <v>-0.20860215053763442</v>
      </c>
      <c r="X78" s="95">
        <f>(L78/M78)-1</f>
        <v>-9.3249277646441087E-3</v>
      </c>
      <c r="Y78" s="95">
        <f>(N78/O78)-1</f>
        <v>-0.47210300429184548</v>
      </c>
    </row>
    <row r="79" spans="1:25" ht="13.2">
      <c r="G79" s="50"/>
    </row>
    <row r="80" spans="1:25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76" xr:uid="{00000000-0009-0000-0000-000048000000}"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500825</v>
      </c>
      <c r="B2" s="98" t="s">
        <v>2484</v>
      </c>
      <c r="C2" s="101" t="str">
        <f>VLOOKUP(A2,'BSE ALL CAP'!$B$4:$Y$1038,2,)</f>
        <v>Fast Moving Consumer Goods</v>
      </c>
      <c r="D2" s="101" t="str">
        <f>VLOOKUP(A2,'BSE ALL CAP'!$B$4:$Y$1038,3,)</f>
        <v>Packaged Foods</v>
      </c>
      <c r="E2" s="101">
        <f ca="1">IFERROR(__xludf.DUMMYFUNCTION("GOOGLEFINANCE(""BOM:""&amp;A2,""PRICE"")"),5504.8)</f>
        <v>5504.8</v>
      </c>
      <c r="F2" s="112">
        <f ca="1">IFERROR(__xludf.DUMMYFUNCTION("GOOGLEFINANCE(""BOM:""&amp;A2,""MARKETCAP"")/10000000"),132706.33479)</f>
        <v>132706.33478999999</v>
      </c>
      <c r="G2" s="95">
        <f t="shared" ref="G2:G46" ca="1" si="0">F2/$F$48</f>
        <v>0.30991396017581813</v>
      </c>
      <c r="H2" s="101">
        <f>VLOOKUP(A2,'BSE ALL CAP'!$B$4:$Y$1038,7,)</f>
        <v>14433</v>
      </c>
      <c r="I2" s="101">
        <f>VLOOKUP(A2,'BSE ALL CAP'!$B$4:$Y$1038,8,)</f>
        <v>13510</v>
      </c>
      <c r="J2" s="101">
        <f>VLOOKUP(A2,'BSE ALL CAP'!$B$4:$Y$1038,9,)</f>
        <v>1857</v>
      </c>
      <c r="K2" s="101">
        <f>VLOOKUP(A2,'BSE ALL CAP'!$B$4:$Y$1038,10,)</f>
        <v>1619</v>
      </c>
      <c r="L2" s="101">
        <f>VLOOKUP(A2,'BSE ALL CAP'!$B$4:$Y$1038,11,)</f>
        <v>4970</v>
      </c>
      <c r="M2" s="101">
        <f>VLOOKUP(A2,'BSE ALL CAP'!$B$4:$Y$1038,12,)</f>
        <v>4593</v>
      </c>
      <c r="N2" s="101">
        <f>VLOOKUP(A2,'BSE ALL CAP'!$B$4:$Y$1038,13,)</f>
        <v>682</v>
      </c>
      <c r="O2" s="101">
        <f>VLOOKUP(A2,'BSE ALL CAP'!$B$4:$Y$1038,14,)</f>
        <v>582</v>
      </c>
      <c r="P2" s="95">
        <f>VLOOKUP(A2,'BSE ALL CAP'!$B$4:$Y$1038,15,)</f>
        <v>0.12866347952608606</v>
      </c>
      <c r="Q2" s="95">
        <f>VLOOKUP(A2,'BSE ALL CAP'!$B$4:$Y$1038,16,)</f>
        <v>0.11983715766099186</v>
      </c>
      <c r="R2" s="95">
        <f>VLOOKUP(A2,'BSE ALL CAP'!$B$4:$Y$1038,17,)</f>
        <v>8.8263218650942027E-3</v>
      </c>
      <c r="S2" s="95">
        <f>VLOOKUP(A2,'BSE ALL CAP'!$B$4:$Y$1038,18,)</f>
        <v>0.13722334004024145</v>
      </c>
      <c r="T2" s="95">
        <f>VLOOKUP(A2,'BSE ALL CAP'!$B$4:$Y$1038,19,)</f>
        <v>0.12671456564337036</v>
      </c>
      <c r="U2" s="95">
        <f>VLOOKUP(A2,'BSE ALL CAP'!$B$4:$Y$1038,20,)</f>
        <v>1.050877439687109E-2</v>
      </c>
      <c r="V2" s="95">
        <f>VLOOKUP(A2,'BSE ALL CAP'!$B$4:$Y$1038,21,)</f>
        <v>6.8319763138416034E-2</v>
      </c>
      <c r="W2" s="95">
        <f>VLOOKUP(A2,'BSE ALL CAP'!$B$4:$Y$1038,22,)</f>
        <v>0.14700432365657812</v>
      </c>
      <c r="X2" s="95">
        <f>VLOOKUP(A2,'BSE ALL CAP'!$B$4:$Y$1038,23,)</f>
        <v>8.2081428260396327E-2</v>
      </c>
      <c r="Y2" s="95">
        <f>VLOOKUP(A2,'BSE ALL CAP'!$B$4:$Y$1038,24,)</f>
        <v>0.17182130584192445</v>
      </c>
    </row>
    <row r="3" spans="1:25" ht="15.75" customHeight="1">
      <c r="A3" s="99">
        <v>500790</v>
      </c>
      <c r="B3" s="98" t="s">
        <v>106</v>
      </c>
      <c r="C3" s="101" t="str">
        <f>VLOOKUP(A3,'BSE ALL CAP'!$B$4:$Y$1038,2,)</f>
        <v>Fast Moving Consumer Goods</v>
      </c>
      <c r="D3" s="101" t="str">
        <f>VLOOKUP(A3,'BSE ALL CAP'!$B$4:$Y$1038,3,)</f>
        <v>Packaged Foods</v>
      </c>
      <c r="E3" s="101">
        <f ca="1">IFERROR(__xludf.DUMMYFUNCTION("GOOGLEFINANCE(""BOM:""&amp;A3,""PRICE"")"),1212)</f>
        <v>1212</v>
      </c>
      <c r="F3" s="112">
        <f ca="1">IFERROR(__xludf.DUMMYFUNCTION("GOOGLEFINANCE(""BOM:""&amp;A3,""MARKETCAP"")/10000000"),233673.0999355)</f>
        <v>233673.09993550001</v>
      </c>
      <c r="G3" s="95">
        <f t="shared" ca="1" si="0"/>
        <v>0.54570534181483232</v>
      </c>
      <c r="H3" s="101">
        <f>VLOOKUP(A3,'BSE ALL CAP'!$B$4:$Y$1038,7,)</f>
        <v>16406</v>
      </c>
      <c r="I3" s="101">
        <f>VLOOKUP(A3,'BSE ALL CAP'!$B$4:$Y$1038,8,)</f>
        <v>16697</v>
      </c>
      <c r="J3" s="101">
        <f>VLOOKUP(A3,'BSE ALL CAP'!$B$4:$Y$1038,9,)</f>
        <v>2388</v>
      </c>
      <c r="K3" s="101">
        <f>VLOOKUP(A3,'BSE ALL CAP'!$B$4:$Y$1038,10,)</f>
        <v>2334</v>
      </c>
      <c r="L3" s="101">
        <f>VLOOKUP(A3,'BSE ALL CAP'!$B$4:$Y$1038,11,)</f>
        <v>5667</v>
      </c>
      <c r="M3" s="101">
        <f>VLOOKUP(A3,'BSE ALL CAP'!$B$4:$Y$1038,12,)</f>
        <v>4779</v>
      </c>
      <c r="N3" s="101">
        <f>VLOOKUP(A3,'BSE ALL CAP'!$B$4:$Y$1038,13,)</f>
        <v>998</v>
      </c>
      <c r="O3" s="101">
        <f>VLOOKUP(A3,'BSE ALL CAP'!$B$4:$Y$1038,14,)</f>
        <v>688</v>
      </c>
      <c r="P3" s="95">
        <f>VLOOKUP(A3,'BSE ALL CAP'!$B$4:$Y$1038,15,)</f>
        <v>0.1455565037181519</v>
      </c>
      <c r="Q3" s="95">
        <f>VLOOKUP(A3,'BSE ALL CAP'!$B$4:$Y$1038,16,)</f>
        <v>0.13978559022578907</v>
      </c>
      <c r="R3" s="95">
        <f>VLOOKUP(A3,'BSE ALL CAP'!$B$4:$Y$1038,17,)</f>
        <v>5.7709134923628336E-3</v>
      </c>
      <c r="S3" s="95">
        <f>VLOOKUP(A3,'BSE ALL CAP'!$B$4:$Y$1038,18,)</f>
        <v>0.17610728780659962</v>
      </c>
      <c r="T3" s="95">
        <f>VLOOKUP(A3,'BSE ALL CAP'!$B$4:$Y$1038,19,)</f>
        <v>0.14396317221175978</v>
      </c>
      <c r="U3" s="95">
        <f>VLOOKUP(A3,'BSE ALL CAP'!$B$4:$Y$1038,20,)</f>
        <v>3.2144115594839845E-2</v>
      </c>
      <c r="V3" s="95">
        <f>VLOOKUP(A3,'BSE ALL CAP'!$B$4:$Y$1038,21,)</f>
        <v>-1.7428280529436457E-2</v>
      </c>
      <c r="W3" s="95">
        <f>VLOOKUP(A3,'BSE ALL CAP'!$B$4:$Y$1038,22,)</f>
        <v>2.3136246786632286E-2</v>
      </c>
      <c r="X3" s="95">
        <f>VLOOKUP(A3,'BSE ALL CAP'!$B$4:$Y$1038,23,)</f>
        <v>0.18581293157564338</v>
      </c>
      <c r="Y3" s="95">
        <f>VLOOKUP(A3,'BSE ALL CAP'!$B$4:$Y$1038,24,)</f>
        <v>0.45058139534883712</v>
      </c>
    </row>
    <row r="4" spans="1:25" ht="15.75" customHeight="1">
      <c r="A4" s="99">
        <v>543653</v>
      </c>
      <c r="B4" s="98" t="s">
        <v>2485</v>
      </c>
      <c r="C4" s="101" t="str">
        <f>VLOOKUP(A4,'BSE ALL CAP'!$B$4:$Y$1038,2,)</f>
        <v>Fast Moving Consumer Goods</v>
      </c>
      <c r="D4" s="101" t="str">
        <f>VLOOKUP(A4,'BSE ALL CAP'!$B$4:$Y$1038,3,)</f>
        <v>Packaged Foods</v>
      </c>
      <c r="E4" s="101">
        <f ca="1">IFERROR(__xludf.DUMMYFUNCTION("GOOGLEFINANCE(""BOM:""&amp;A4,""PRICE"")"),631.2)</f>
        <v>631.20000000000005</v>
      </c>
      <c r="F4" s="112">
        <f ca="1">IFERROR(__xludf.DUMMYFUNCTION("GOOGLEFINANCE(""BOM:""&amp;A4,""MARKETCAP"")/10000000"),15791.3718679)</f>
        <v>15791.371867899999</v>
      </c>
      <c r="G4" s="95">
        <f t="shared" ca="1" si="0"/>
        <v>3.6878168626496323E-2</v>
      </c>
      <c r="H4" s="101">
        <f>VLOOKUP(A4,'BSE ALL CAP'!$B$4:$Y$1038,7,)</f>
        <v>2272</v>
      </c>
      <c r="I4" s="101">
        <f>VLOOKUP(A4,'BSE ALL CAP'!$B$4:$Y$1038,8,)</f>
        <v>2005</v>
      </c>
      <c r="J4" s="101">
        <f>VLOOKUP(A4,'BSE ALL CAP'!$B$4:$Y$1038,9,)</f>
        <v>198</v>
      </c>
      <c r="K4" s="101">
        <f>VLOOKUP(A4,'BSE ALL CAP'!$B$4:$Y$1038,10,)</f>
        <v>154</v>
      </c>
      <c r="L4" s="101">
        <f>VLOOKUP(A4,'BSE ALL CAP'!$B$4:$Y$1038,11,)</f>
        <v>790</v>
      </c>
      <c r="M4" s="101">
        <f>VLOOKUP(A4,'BSE ALL CAP'!$B$4:$Y$1038,12,)</f>
        <v>713</v>
      </c>
      <c r="N4" s="101">
        <f>VLOOKUP(A4,'BSE ALL CAP'!$B$4:$Y$1038,13,)</f>
        <v>62</v>
      </c>
      <c r="O4" s="101">
        <f>VLOOKUP(A4,'BSE ALL CAP'!$B$4:$Y$1038,14,)</f>
        <v>27</v>
      </c>
      <c r="P4" s="95">
        <f>VLOOKUP(A4,'BSE ALL CAP'!$B$4:$Y$1038,15,)</f>
        <v>8.7147887323943657E-2</v>
      </c>
      <c r="Q4" s="95">
        <f>VLOOKUP(A4,'BSE ALL CAP'!$B$4:$Y$1038,16,)</f>
        <v>7.680798004987531E-2</v>
      </c>
      <c r="R4" s="95">
        <f>VLOOKUP(A4,'BSE ALL CAP'!$B$4:$Y$1038,17,)</f>
        <v>1.0339907274068347E-2</v>
      </c>
      <c r="S4" s="95">
        <f>VLOOKUP(A4,'BSE ALL CAP'!$B$4:$Y$1038,18,)</f>
        <v>7.848101265822785E-2</v>
      </c>
      <c r="T4" s="95">
        <f>VLOOKUP(A4,'BSE ALL CAP'!$B$4:$Y$1038,19,)</f>
        <v>3.7868162692847124E-2</v>
      </c>
      <c r="U4" s="95">
        <f>VLOOKUP(A4,'BSE ALL CAP'!$B$4:$Y$1038,20,)</f>
        <v>4.0612849965380726E-2</v>
      </c>
      <c r="V4" s="95">
        <f>VLOOKUP(A4,'BSE ALL CAP'!$B$4:$Y$1038,21,)</f>
        <v>0.13316708229426433</v>
      </c>
      <c r="W4" s="95">
        <f>VLOOKUP(A4,'BSE ALL CAP'!$B$4:$Y$1038,22,)</f>
        <v>0.28571428571428581</v>
      </c>
      <c r="X4" s="95">
        <f>VLOOKUP(A4,'BSE ALL CAP'!$B$4:$Y$1038,23,)</f>
        <v>0.1079943899018232</v>
      </c>
      <c r="Y4" s="95">
        <f>VLOOKUP(A4,'BSE ALL CAP'!$B$4:$Y$1038,24,)</f>
        <v>1.2962962962962963</v>
      </c>
    </row>
    <row r="5" spans="1:25" ht="15.75" customHeight="1">
      <c r="A5" s="99">
        <v>501425</v>
      </c>
      <c r="B5" s="98" t="s">
        <v>2486</v>
      </c>
      <c r="C5" s="101" t="str">
        <f>VLOOKUP(A5,'BSE ALL CAP'!$B$4:$Y$1038,2,)</f>
        <v>Fast Moving Consumer Goods</v>
      </c>
      <c r="D5" s="101" t="str">
        <f>VLOOKUP(A5,'BSE ALL CAP'!$B$4:$Y$1038,3,)</f>
        <v>Packaged Foods</v>
      </c>
      <c r="E5" s="101">
        <f ca="1">IFERROR(__xludf.DUMMYFUNCTION("GOOGLEFINANCE(""BOM:""&amp;A5,""PRICE"")"),1430.7)</f>
        <v>1430.7</v>
      </c>
      <c r="F5" s="112">
        <f ca="1">IFERROR(__xludf.DUMMYFUNCTION("GOOGLEFINANCE(""BOM:""&amp;A5,""MARKETCAP"")/10000000"),9983.6613413)</f>
        <v>9983.6613412999995</v>
      </c>
      <c r="G5" s="95">
        <f t="shared" ca="1" si="0"/>
        <v>2.3315209693890629E-2</v>
      </c>
      <c r="H5" s="101">
        <f>VLOOKUP(A5,'BSE ALL CAP'!$B$4:$Y$1038,7,)</f>
        <v>9655</v>
      </c>
      <c r="I5" s="101">
        <f>VLOOKUP(A5,'BSE ALL CAP'!$B$4:$Y$1038,8,)</f>
        <v>9095</v>
      </c>
      <c r="J5" s="101">
        <f>VLOOKUP(A5,'BSE ALL CAP'!$B$4:$Y$1038,9,)</f>
        <v>1064</v>
      </c>
      <c r="K5" s="101">
        <f>VLOOKUP(A5,'BSE ALL CAP'!$B$4:$Y$1038,10,)</f>
        <v>987</v>
      </c>
      <c r="L5" s="101">
        <f>VLOOKUP(A5,'BSE ALL CAP'!$B$4:$Y$1038,11,)</f>
        <v>4943</v>
      </c>
      <c r="M5" s="101">
        <f>VLOOKUP(A5,'BSE ALL CAP'!$B$4:$Y$1038,12,)</f>
        <v>4761</v>
      </c>
      <c r="N5" s="101">
        <f>VLOOKUP(A5,'BSE ALL CAP'!$B$4:$Y$1038,13,)</f>
        <v>566</v>
      </c>
      <c r="O5" s="101">
        <f>VLOOKUP(A5,'BSE ALL CAP'!$B$4:$Y$1038,14,)</f>
        <v>516</v>
      </c>
      <c r="P5" s="95">
        <f>VLOOKUP(A5,'BSE ALL CAP'!$B$4:$Y$1038,15,)</f>
        <v>0.11020196789228379</v>
      </c>
      <c r="Q5" s="95">
        <f>VLOOKUP(A5,'BSE ALL CAP'!$B$4:$Y$1038,16,)</f>
        <v>0.108521165475536</v>
      </c>
      <c r="R5" s="95">
        <f>VLOOKUP(A5,'BSE ALL CAP'!$B$4:$Y$1038,17,)</f>
        <v>1.6808024167477842E-3</v>
      </c>
      <c r="S5" s="95">
        <f>VLOOKUP(A5,'BSE ALL CAP'!$B$4:$Y$1038,18,)</f>
        <v>0.11450536111673074</v>
      </c>
      <c r="T5" s="95">
        <f>VLOOKUP(A5,'BSE ALL CAP'!$B$4:$Y$1038,19,)</f>
        <v>0.10838059231253938</v>
      </c>
      <c r="U5" s="95">
        <f>VLOOKUP(A5,'BSE ALL CAP'!$B$4:$Y$1038,20,)</f>
        <v>6.1247688041913551E-3</v>
      </c>
      <c r="V5" s="95">
        <f>VLOOKUP(A5,'BSE ALL CAP'!$B$4:$Y$1038,21,)</f>
        <v>6.1572292468389245E-2</v>
      </c>
      <c r="W5" s="95">
        <f>VLOOKUP(A5,'BSE ALL CAP'!$B$4:$Y$1038,22,)</f>
        <v>7.8014184397163122E-2</v>
      </c>
      <c r="X5" s="95">
        <f>VLOOKUP(A5,'BSE ALL CAP'!$B$4:$Y$1038,23,)</f>
        <v>3.8227263180004245E-2</v>
      </c>
      <c r="Y5" s="95">
        <f>VLOOKUP(A5,'BSE ALL CAP'!$B$4:$Y$1038,24,)</f>
        <v>9.68992248062015E-2</v>
      </c>
    </row>
    <row r="6" spans="1:25" ht="15.75" customHeight="1">
      <c r="A6" s="99">
        <v>543253</v>
      </c>
      <c r="B6" s="98" t="s">
        <v>2487</v>
      </c>
      <c r="C6" s="101" t="e">
        <f>VLOOKUP(A6,'BSE ALL CAP'!$B$4:$Y$1038,2,)</f>
        <v>#N/A</v>
      </c>
      <c r="D6" s="101" t="e">
        <f>VLOOKUP(A6,'BSE ALL CAP'!$B$4:$Y$1038,3,)</f>
        <v>#N/A</v>
      </c>
      <c r="E6" s="101">
        <f ca="1">IFERROR(__xludf.DUMMYFUNCTION("GOOGLEFINANCE(""BOM:""&amp;A6,""PRICE"")"),188)</f>
        <v>188</v>
      </c>
      <c r="F6" s="112">
        <f ca="1">IFERROR(__xludf.DUMMYFUNCTION("GOOGLEFINANCE(""BOM:""&amp;A6,""MARKETCAP"")/10000000"),5777.5611163)</f>
        <v>5777.5611163000003</v>
      </c>
      <c r="G6" s="95">
        <f t="shared" ca="1" si="0"/>
        <v>1.3492549911379808E-2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544140</v>
      </c>
      <c r="B7" s="98" t="s">
        <v>2488</v>
      </c>
      <c r="C7" s="101" t="str">
        <f>VLOOKUP(A7,'BSE ALL CAP'!$B$4:$Y$1038,2,)</f>
        <v>Fast Moving Consumer Goods</v>
      </c>
      <c r="D7" s="101" t="str">
        <f>VLOOKUP(A7,'BSE ALL CAP'!$B$4:$Y$1038,3,)</f>
        <v>Packaged Foods</v>
      </c>
      <c r="E7" s="101">
        <f ca="1">IFERROR(__xludf.DUMMYFUNCTION("GOOGLEFINANCE(""BOM:""&amp;A7,""PRICE"")"),263.9)</f>
        <v>263.89999999999998</v>
      </c>
      <c r="F7" s="112">
        <f ca="1">IFERROR(__xludf.DUMMYFUNCTION("GOOGLEFINANCE(""BOM:""&amp;A7,""MARKETCAP"")/10000000"),3280.1225699)</f>
        <v>3280.1225699000001</v>
      </c>
      <c r="G7" s="95">
        <f t="shared" ca="1" si="0"/>
        <v>7.660190277340044E-3</v>
      </c>
      <c r="H7" s="101">
        <f>VLOOKUP(A7,'BSE ALL CAP'!$B$4:$Y$1038,7,)</f>
        <v>1098</v>
      </c>
      <c r="I7" s="101">
        <f>VLOOKUP(A7,'BSE ALL CAP'!$B$4:$Y$1038,8,)</f>
        <v>1150</v>
      </c>
      <c r="J7" s="101">
        <f>VLOOKUP(A7,'BSE ALL CAP'!$B$4:$Y$1038,9,)</f>
        <v>43</v>
      </c>
      <c r="K7" s="101">
        <f>VLOOKUP(A7,'BSE ALL CAP'!$B$4:$Y$1038,10,)</f>
        <v>58</v>
      </c>
      <c r="L7" s="101">
        <f>VLOOKUP(A7,'BSE ALL CAP'!$B$4:$Y$1038,11,)</f>
        <v>4007</v>
      </c>
      <c r="M7" s="101">
        <f>VLOOKUP(A7,'BSE ALL CAP'!$B$4:$Y$1038,12,)</f>
        <v>3935</v>
      </c>
      <c r="N7" s="101">
        <f>VLOOKUP(A7,'BSE ALL CAP'!$B$4:$Y$1038,13,)</f>
        <v>15</v>
      </c>
      <c r="O7" s="101">
        <f>VLOOKUP(A7,'BSE ALL CAP'!$B$4:$Y$1038,14,)</f>
        <v>5</v>
      </c>
      <c r="P7" s="95">
        <f>VLOOKUP(A7,'BSE ALL CAP'!$B$4:$Y$1038,15,)</f>
        <v>3.9162112932604735E-2</v>
      </c>
      <c r="Q7" s="95">
        <f>VLOOKUP(A7,'BSE ALL CAP'!$B$4:$Y$1038,16,)</f>
        <v>5.0434782608695654E-2</v>
      </c>
      <c r="R7" s="95">
        <f>VLOOKUP(A7,'BSE ALL CAP'!$B$4:$Y$1038,17,)</f>
        <v>-1.1272669676090918E-2</v>
      </c>
      <c r="S7" s="95">
        <f>VLOOKUP(A7,'BSE ALL CAP'!$B$4:$Y$1038,18,)</f>
        <v>3.7434489643124532E-3</v>
      </c>
      <c r="T7" s="95">
        <f>VLOOKUP(A7,'BSE ALL CAP'!$B$4:$Y$1038,19,)</f>
        <v>1.2706480304955528E-3</v>
      </c>
      <c r="U7" s="95">
        <f>VLOOKUP(A7,'BSE ALL CAP'!$B$4:$Y$1038,20,)</f>
        <v>2.4728009338169004E-3</v>
      </c>
      <c r="V7" s="95">
        <f>VLOOKUP(A7,'BSE ALL CAP'!$B$4:$Y$1038,21,)</f>
        <v>-4.5217391304347876E-2</v>
      </c>
      <c r="W7" s="95">
        <f>VLOOKUP(A7,'BSE ALL CAP'!$B$4:$Y$1038,22,)</f>
        <v>-0.25862068965517238</v>
      </c>
      <c r="X7" s="95">
        <f>VLOOKUP(A7,'BSE ALL CAP'!$B$4:$Y$1038,23,)</f>
        <v>1.8297331639135939E-2</v>
      </c>
      <c r="Y7" s="95">
        <f>VLOOKUP(A7,'BSE ALL CAP'!$B$4:$Y$1038,24,)</f>
        <v>2</v>
      </c>
    </row>
    <row r="8" spans="1:25" ht="15.75" customHeight="1">
      <c r="A8" s="99">
        <v>531335</v>
      </c>
      <c r="B8" s="98" t="s">
        <v>2489</v>
      </c>
      <c r="C8" s="101" t="str">
        <f>VLOOKUP(A8,'BSE ALL CAP'!$B$4:$Y$1038,2,)</f>
        <v>Fast Moving Consumer Goods</v>
      </c>
      <c r="D8" s="101" t="str">
        <f>VLOOKUP(A8,'BSE ALL CAP'!$B$4:$Y$1038,3,)</f>
        <v>Packaged Foods</v>
      </c>
      <c r="E8" s="101">
        <f ca="1">IFERROR(__xludf.DUMMYFUNCTION("GOOGLEFINANCE(""BOM:""&amp;A8,""PRICE"")"),502.6)</f>
        <v>502.6</v>
      </c>
      <c r="F8" s="112">
        <f ca="1">IFERROR(__xludf.DUMMYFUNCTION("GOOGLEFINANCE(""BOM:""&amp;A8,""MARKETCAP"")/10000000"),16033.7088648)</f>
        <v>16033.708864800001</v>
      </c>
      <c r="G8" s="95">
        <f t="shared" ca="1" si="0"/>
        <v>3.7444107083957609E-2</v>
      </c>
      <c r="H8" s="101">
        <f>VLOOKUP(A8,'BSE ALL CAP'!$B$4:$Y$1038,7,)</f>
        <v>2476</v>
      </c>
      <c r="I8" s="101">
        <f>VLOOKUP(A8,'BSE ALL CAP'!$B$4:$Y$1038,8,)</f>
        <v>1795</v>
      </c>
      <c r="J8" s="101">
        <f>VLOOKUP(A8,'BSE ALL CAP'!$B$4:$Y$1038,9,)</f>
        <v>35</v>
      </c>
      <c r="K8" s="101">
        <f>VLOOKUP(A8,'BSE ALL CAP'!$B$4:$Y$1038,10,)</f>
        <v>175</v>
      </c>
      <c r="L8" s="101">
        <f>VLOOKUP(A8,'BSE ALL CAP'!$B$4:$Y$1038,11,)</f>
        <v>964</v>
      </c>
      <c r="M8" s="101">
        <f>VLOOKUP(A8,'BSE ALL CAP'!$B$4:$Y$1038,12,)</f>
        <v>461</v>
      </c>
      <c r="N8" s="101">
        <f>VLOOKUP(A8,'BSE ALL CAP'!$B$4:$Y$1038,13,)</f>
        <v>-39</v>
      </c>
      <c r="O8" s="101">
        <f>VLOOKUP(A8,'BSE ALL CAP'!$B$4:$Y$1038,14,)</f>
        <v>6</v>
      </c>
      <c r="P8" s="95">
        <f>VLOOKUP(A8,'BSE ALL CAP'!$B$4:$Y$1038,15,)</f>
        <v>1.4135702746365105E-2</v>
      </c>
      <c r="Q8" s="95">
        <f>VLOOKUP(A8,'BSE ALL CAP'!$B$4:$Y$1038,16,)</f>
        <v>9.7493036211699163E-2</v>
      </c>
      <c r="R8" s="95">
        <f>VLOOKUP(A8,'BSE ALL CAP'!$B$4:$Y$1038,17,)</f>
        <v>-8.3357333465334055E-2</v>
      </c>
      <c r="S8" s="95">
        <f>VLOOKUP(A8,'BSE ALL CAP'!$B$4:$Y$1038,18,)</f>
        <v>-4.0456431535269712E-2</v>
      </c>
      <c r="T8" s="95">
        <f>VLOOKUP(A8,'BSE ALL CAP'!$B$4:$Y$1038,19,)</f>
        <v>1.3015184381778741E-2</v>
      </c>
      <c r="U8" s="95">
        <f>VLOOKUP(A8,'BSE ALL CAP'!$B$4:$Y$1038,20,)</f>
        <v>-5.3471615917048451E-2</v>
      </c>
      <c r="V8" s="95">
        <f>VLOOKUP(A8,'BSE ALL CAP'!$B$4:$Y$1038,21,)</f>
        <v>0.37938718662952642</v>
      </c>
      <c r="W8" s="95">
        <f>VLOOKUP(A8,'BSE ALL CAP'!$B$4:$Y$1038,22,)</f>
        <v>-0.8</v>
      </c>
      <c r="X8" s="95">
        <f>VLOOKUP(A8,'BSE ALL CAP'!$B$4:$Y$1038,23,)</f>
        <v>1.0911062906724514</v>
      </c>
      <c r="Y8" s="95">
        <f>VLOOKUP(A8,'BSE ALL CAP'!$B$4:$Y$1038,24,)</f>
        <v>-7.5</v>
      </c>
    </row>
    <row r="9" spans="1:25" ht="15.75" customHeight="1">
      <c r="A9" s="99">
        <v>540724</v>
      </c>
      <c r="B9" s="98" t="s">
        <v>2490</v>
      </c>
      <c r="C9" s="101" t="str">
        <f>VLOOKUP(A9,'BSE ALL CAP'!$B$4:$Y$1038,2,)</f>
        <v>Fast Moving Consumer Goods</v>
      </c>
      <c r="D9" s="101" t="str">
        <f>VLOOKUP(A9,'BSE ALL CAP'!$B$4:$Y$1038,3,)</f>
        <v>Packaged Foods</v>
      </c>
      <c r="E9" s="101">
        <f ca="1">IFERROR(__xludf.DUMMYFUNCTION("GOOGLEFINANCE(""BOM:""&amp;A9,""PRICE"")"),945)</f>
        <v>945</v>
      </c>
      <c r="F9" s="112">
        <f ca="1">IFERROR(__xludf.DUMMYFUNCTION("GOOGLEFINANCE(""BOM:""&amp;A9,""MARKETCAP"")/10000000"),2267.250769)</f>
        <v>2267.2507690000002</v>
      </c>
      <c r="G9" s="95">
        <f t="shared" ca="1" si="0"/>
        <v>5.2947936934914655E-3</v>
      </c>
      <c r="H9" s="101">
        <f>VLOOKUP(A9,'BSE ALL CAP'!$B$4:$Y$1038,7,)</f>
        <v>1297</v>
      </c>
      <c r="I9" s="101">
        <f>VLOOKUP(A9,'BSE ALL CAP'!$B$4:$Y$1038,8,)</f>
        <v>1300</v>
      </c>
      <c r="J9" s="101">
        <f>VLOOKUP(A9,'BSE ALL CAP'!$B$4:$Y$1038,9,)</f>
        <v>8</v>
      </c>
      <c r="K9" s="101">
        <f>VLOOKUP(A9,'BSE ALL CAP'!$B$4:$Y$1038,10,)</f>
        <v>-22</v>
      </c>
      <c r="L9" s="101">
        <f>VLOOKUP(A9,'BSE ALL CAP'!$B$4:$Y$1038,11,)</f>
        <v>459</v>
      </c>
      <c r="M9" s="101">
        <f>VLOOKUP(A9,'BSE ALL CAP'!$B$4:$Y$1038,12,)</f>
        <v>442</v>
      </c>
      <c r="N9" s="101">
        <f>VLOOKUP(A9,'BSE ALL CAP'!$B$4:$Y$1038,13,)</f>
        <v>3</v>
      </c>
      <c r="O9" s="101">
        <f>VLOOKUP(A9,'BSE ALL CAP'!$B$4:$Y$1038,14,)</f>
        <v>-37</v>
      </c>
      <c r="P9" s="95">
        <f>VLOOKUP(A9,'BSE ALL CAP'!$B$4:$Y$1038,15,)</f>
        <v>6.1680801850424053E-3</v>
      </c>
      <c r="Q9" s="95">
        <f>VLOOKUP(A9,'BSE ALL CAP'!$B$4:$Y$1038,16,)</f>
        <v>-1.6923076923076923E-2</v>
      </c>
      <c r="R9" s="95">
        <f>VLOOKUP(A9,'BSE ALL CAP'!$B$4:$Y$1038,17,)</f>
        <v>2.3091157108119327E-2</v>
      </c>
      <c r="S9" s="95">
        <f>VLOOKUP(A9,'BSE ALL CAP'!$B$4:$Y$1038,18,)</f>
        <v>6.5359477124183009E-3</v>
      </c>
      <c r="T9" s="95">
        <f>VLOOKUP(A9,'BSE ALL CAP'!$B$4:$Y$1038,19,)</f>
        <v>-8.3710407239818999E-2</v>
      </c>
      <c r="U9" s="95">
        <f>VLOOKUP(A9,'BSE ALL CAP'!$B$4:$Y$1038,20,)</f>
        <v>9.0246354952237304E-2</v>
      </c>
      <c r="V9" s="95">
        <f>VLOOKUP(A9,'BSE ALL CAP'!$B$4:$Y$1038,21,)</f>
        <v>-2.3076923076923439E-3</v>
      </c>
      <c r="W9" s="95">
        <f>VLOOKUP(A9,'BSE ALL CAP'!$B$4:$Y$1038,22,)</f>
        <v>-1.3636363636363638</v>
      </c>
      <c r="X9" s="95">
        <f>VLOOKUP(A9,'BSE ALL CAP'!$B$4:$Y$1038,23,)</f>
        <v>3.8461538461538547E-2</v>
      </c>
      <c r="Y9" s="95">
        <f>VLOOKUP(A9,'BSE ALL CAP'!$B$4:$Y$1038,24,)</f>
        <v>-1.0810810810810811</v>
      </c>
    </row>
    <row r="10" spans="1:25" ht="15.75" customHeight="1">
      <c r="A10" s="99">
        <v>519183</v>
      </c>
      <c r="B10" s="98" t="s">
        <v>2491</v>
      </c>
      <c r="C10" s="101" t="str">
        <f>VLOOKUP(A10,'BSE ALL CAP'!$B$4:$Y$1038,2,)</f>
        <v>Fast Moving Consumer Goods</v>
      </c>
      <c r="D10" s="101" t="str">
        <f>VLOOKUP(A10,'BSE ALL CAP'!$B$4:$Y$1038,3,)</f>
        <v>Packaged Foods</v>
      </c>
      <c r="E10" s="101">
        <f ca="1">IFERROR(__xludf.DUMMYFUNCTION("GOOGLEFINANCE(""BOM:""&amp;A10,""PRICE"")"),178)</f>
        <v>178</v>
      </c>
      <c r="F10" s="112">
        <f ca="1">IFERROR(__xludf.DUMMYFUNCTION("GOOGLEFINANCE(""BOM:""&amp;A10,""MARKETCAP"")/10000000"),1953.4846447)</f>
        <v>1953.4846447</v>
      </c>
      <c r="G10" s="95">
        <f t="shared" ca="1" si="0"/>
        <v>4.5620441807820052E-3</v>
      </c>
      <c r="H10" s="101">
        <f>VLOOKUP(A10,'BSE ALL CAP'!$B$4:$Y$1038,7,)</f>
        <v>486</v>
      </c>
      <c r="I10" s="101">
        <f>VLOOKUP(A10,'BSE ALL CAP'!$B$4:$Y$1038,8,)</f>
        <v>430</v>
      </c>
      <c r="J10" s="101">
        <f>VLOOKUP(A10,'BSE ALL CAP'!$B$4:$Y$1038,9,)</f>
        <v>64</v>
      </c>
      <c r="K10" s="101">
        <f>VLOOKUP(A10,'BSE ALL CAP'!$B$4:$Y$1038,10,)</f>
        <v>52</v>
      </c>
      <c r="L10" s="101">
        <f>VLOOKUP(A10,'BSE ALL CAP'!$B$4:$Y$1038,11,)</f>
        <v>191</v>
      </c>
      <c r="M10" s="101">
        <f>VLOOKUP(A10,'BSE ALL CAP'!$B$4:$Y$1038,12,)</f>
        <v>147</v>
      </c>
      <c r="N10" s="101">
        <f>VLOOKUP(A10,'BSE ALL CAP'!$B$4:$Y$1038,13,)</f>
        <v>22</v>
      </c>
      <c r="O10" s="101">
        <f>VLOOKUP(A10,'BSE ALL CAP'!$B$4:$Y$1038,14,)</f>
        <v>18</v>
      </c>
      <c r="P10" s="95">
        <f>VLOOKUP(A10,'BSE ALL CAP'!$B$4:$Y$1038,15,)</f>
        <v>0.13168724279835392</v>
      </c>
      <c r="Q10" s="95">
        <f>VLOOKUP(A10,'BSE ALL CAP'!$B$4:$Y$1038,16,)</f>
        <v>0.12093023255813953</v>
      </c>
      <c r="R10" s="95">
        <f>VLOOKUP(A10,'BSE ALL CAP'!$B$4:$Y$1038,17,)</f>
        <v>1.0757010240214387E-2</v>
      </c>
      <c r="S10" s="95">
        <f>VLOOKUP(A10,'BSE ALL CAP'!$B$4:$Y$1038,18,)</f>
        <v>0.11518324607329843</v>
      </c>
      <c r="T10" s="95">
        <f>VLOOKUP(A10,'BSE ALL CAP'!$B$4:$Y$1038,19,)</f>
        <v>0.12244897959183673</v>
      </c>
      <c r="U10" s="95">
        <f>VLOOKUP(A10,'BSE ALL CAP'!$B$4:$Y$1038,20,)</f>
        <v>-7.265733518538306E-3</v>
      </c>
      <c r="V10" s="95">
        <f>VLOOKUP(A10,'BSE ALL CAP'!$B$4:$Y$1038,21,)</f>
        <v>0.13023255813953494</v>
      </c>
      <c r="W10" s="95">
        <f>VLOOKUP(A10,'BSE ALL CAP'!$B$4:$Y$1038,22,)</f>
        <v>0.23076923076923084</v>
      </c>
      <c r="X10" s="95">
        <f>VLOOKUP(A10,'BSE ALL CAP'!$B$4:$Y$1038,23,)</f>
        <v>0.29931972789115657</v>
      </c>
      <c r="Y10" s="95">
        <f>VLOOKUP(A10,'BSE ALL CAP'!$B$4:$Y$1038,24,)</f>
        <v>0.22222222222222232</v>
      </c>
    </row>
    <row r="11" spans="1:25" ht="15.75" customHeight="1">
      <c r="A11" s="99">
        <v>519091</v>
      </c>
      <c r="B11" s="98" t="s">
        <v>2492</v>
      </c>
      <c r="C11" s="101"/>
      <c r="D11" s="101"/>
      <c r="E11" s="101">
        <f ca="1">IFERROR(__xludf.DUMMYFUNCTION("GOOGLEFINANCE(""BOM:""&amp;A11,""PRICE"")"),6810)</f>
        <v>6810</v>
      </c>
      <c r="F11" s="112">
        <f ca="1">IFERROR(__xludf.DUMMYFUNCTION("GOOGLEFINANCE(""BOM:""&amp;A11,""MARKETCAP"")/10000000"),1744.1095203)</f>
        <v>1744.1095203</v>
      </c>
      <c r="G11" s="95">
        <f t="shared" ca="1" si="0"/>
        <v>4.0730827904475464E-3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523475</v>
      </c>
      <c r="B12" s="98" t="s">
        <v>2493</v>
      </c>
      <c r="C12" s="101"/>
      <c r="D12" s="101"/>
      <c r="E12" s="101">
        <f ca="1">IFERROR(__xludf.DUMMYFUNCTION("GOOGLEFINANCE(""BOM:""&amp;A12,""PRICE"")"),656)</f>
        <v>656</v>
      </c>
      <c r="F12" s="112">
        <f ca="1">IFERROR(__xludf.DUMMYFUNCTION("GOOGLEFINANCE(""BOM:""&amp;A12,""MARKETCAP"")/10000000"),842.372224)</f>
        <v>842.37222399999996</v>
      </c>
      <c r="G12" s="95">
        <f t="shared" ca="1" si="0"/>
        <v>1.9672226822861779E-3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544528</v>
      </c>
      <c r="B13" s="98" t="s">
        <v>2494</v>
      </c>
      <c r="C13" s="101"/>
      <c r="D13" s="101"/>
      <c r="E13" s="101">
        <f ca="1">IFERROR(__xludf.DUMMYFUNCTION("GOOGLEFINANCE(""BOM:""&amp;A13,""PRICE"")"),192)</f>
        <v>192</v>
      </c>
      <c r="F13" s="112">
        <f ca="1">IFERROR(__xludf.DUMMYFUNCTION("GOOGLEFINANCE(""BOM:""&amp;A13,""MARKETCAP"")/10000000"),779.969742)</f>
        <v>779.969742</v>
      </c>
      <c r="G13" s="95">
        <f t="shared" ca="1" si="0"/>
        <v>1.8214918823810818E-3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532070</v>
      </c>
      <c r="B14" s="98" t="s">
        <v>2495</v>
      </c>
      <c r="C14" s="101"/>
      <c r="D14" s="101"/>
      <c r="E14" s="101">
        <f ca="1">IFERROR(__xludf.DUMMYFUNCTION("GOOGLEFINANCE(""BOM:""&amp;A14,""PRICE"")"),190)</f>
        <v>190</v>
      </c>
      <c r="F14" s="112">
        <f ca="1">IFERROR(__xludf.DUMMYFUNCTION("GOOGLEFINANCE(""BOM:""&amp;A14,""MARKETCAP"")/10000000"),397.49577)</f>
        <v>397.49576999999999</v>
      </c>
      <c r="G14" s="95">
        <f t="shared" ca="1" si="0"/>
        <v>9.2828641849521587E-4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507552</v>
      </c>
      <c r="B15" s="98" t="s">
        <v>2496</v>
      </c>
      <c r="C15" s="101"/>
      <c r="D15" s="101"/>
      <c r="E15" s="101">
        <f ca="1">IFERROR(__xludf.DUMMYFUNCTION("GOOGLEFINANCE(""BOM:""&amp;A15,""PRICE"")"),54.71)</f>
        <v>54.71</v>
      </c>
      <c r="F15" s="112">
        <f ca="1">IFERROR(__xludf.DUMMYFUNCTION("GOOGLEFINANCE(""BOM:""&amp;A15,""MARKETCAP"")/10000000"),409.2051341)</f>
        <v>409.20513410000001</v>
      </c>
      <c r="G15" s="95">
        <f t="shared" ca="1" si="0"/>
        <v>9.5563172499557299E-4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539594</v>
      </c>
      <c r="B16" s="98" t="s">
        <v>2497</v>
      </c>
      <c r="C16" s="101"/>
      <c r="D16" s="101"/>
      <c r="E16" s="101">
        <f ca="1">IFERROR(__xludf.DUMMYFUNCTION("GOOGLEFINANCE(""BOM:""&amp;A16,""PRICE"")"),4.77)</f>
        <v>4.7699999999999996</v>
      </c>
      <c r="F16" s="112">
        <f ca="1">IFERROR(__xludf.DUMMYFUNCTION("GOOGLEFINANCE(""BOM:""&amp;A16,""MARKETCAP"")/10000000"),512.9433366)</f>
        <v>512.94333659999995</v>
      </c>
      <c r="G16" s="95">
        <f t="shared" ca="1" si="0"/>
        <v>1.1978953457124836E-3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531676</v>
      </c>
      <c r="B17" s="98" t="s">
        <v>2498</v>
      </c>
      <c r="C17" s="101"/>
      <c r="D17" s="101"/>
      <c r="E17" s="101">
        <f ca="1">IFERROR(__xludf.DUMMYFUNCTION("GOOGLEFINANCE(""BOM:""&amp;A17,""PRICE"")"),245.9)</f>
        <v>245.9</v>
      </c>
      <c r="F17" s="112">
        <f ca="1">IFERROR(__xludf.DUMMYFUNCTION("GOOGLEFINANCE(""BOM:""&amp;A17,""MARKETCAP"")/10000000"),389.0137903)</f>
        <v>389.01379029999998</v>
      </c>
      <c r="G17" s="95">
        <f t="shared" ca="1" si="0"/>
        <v>9.0847814089401737E-4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543737</v>
      </c>
      <c r="B18" s="98" t="s">
        <v>2499</v>
      </c>
      <c r="C18" s="101"/>
      <c r="D18" s="101"/>
      <c r="E18" s="101">
        <f ca="1">IFERROR(__xludf.DUMMYFUNCTION("GOOGLEFINANCE(""BOM:""&amp;A18,""PRICE"")"),512.1)</f>
        <v>512.1</v>
      </c>
      <c r="F18" s="112">
        <f ca="1">IFERROR(__xludf.DUMMYFUNCTION("GOOGLEFINANCE(""BOM:""&amp;A18,""MARKETCAP"")/10000000"),229.4425533)</f>
        <v>229.44255329999999</v>
      </c>
      <c r="G18" s="95">
        <f t="shared" ca="1" si="0"/>
        <v>5.3582559143523626E-4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544151</v>
      </c>
      <c r="B19" s="98" t="s">
        <v>2500</v>
      </c>
      <c r="C19" s="101"/>
      <c r="D19" s="101"/>
      <c r="E19" s="101">
        <f ca="1">IFERROR(__xludf.DUMMYFUNCTION("GOOGLEFINANCE(""BOM:""&amp;A19,""PRICE"")"),75)</f>
        <v>75</v>
      </c>
      <c r="F19" s="112">
        <f ca="1">IFERROR(__xludf.DUMMYFUNCTION("GOOGLEFINANCE(""BOM:""&amp;A19,""MARKETCAP"")/10000000"),180.614025)</f>
        <v>180.614025</v>
      </c>
      <c r="G19" s="95">
        <f t="shared" ca="1" si="0"/>
        <v>4.2179454236017497E-4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519295</v>
      </c>
      <c r="B20" s="98" t="s">
        <v>2501</v>
      </c>
      <c r="C20" s="101"/>
      <c r="D20" s="101"/>
      <c r="E20" s="101">
        <f ca="1">IFERROR(__xludf.DUMMYFUNCTION("GOOGLEFINANCE(""BOM:""&amp;A20,""PRICE"")"),189)</f>
        <v>189</v>
      </c>
      <c r="F20" s="112">
        <f ca="1">IFERROR(__xludf.DUMMYFUNCTION("GOOGLEFINANCE(""BOM:""&amp;A20,""MARKETCAP"")/10000000"),151.3672083)</f>
        <v>151.36720829999999</v>
      </c>
      <c r="G20" s="95">
        <f t="shared" ca="1" si="0"/>
        <v>3.5349338099981869E-4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530617</v>
      </c>
      <c r="B21" s="98" t="s">
        <v>2502</v>
      </c>
      <c r="C21" s="101"/>
      <c r="D21" s="101"/>
      <c r="E21" s="101">
        <f ca="1">IFERROR(__xludf.DUMMYFUNCTION("GOOGLEFINANCE(""BOM:""&amp;A21,""PRICE"")"),17)</f>
        <v>17</v>
      </c>
      <c r="F21" s="112">
        <f ca="1">IFERROR(__xludf.DUMMYFUNCTION("GOOGLEFINANCE(""BOM:""&amp;A21,""MARKETCAP"")/10000000"),148.558597)</f>
        <v>148.55859699999999</v>
      </c>
      <c r="G21" s="95">
        <f t="shared" ca="1" si="0"/>
        <v>3.4693432824657258E-4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539528</v>
      </c>
      <c r="B22" s="98" t="s">
        <v>2503</v>
      </c>
      <c r="C22" s="101"/>
      <c r="D22" s="101"/>
      <c r="E22" s="101">
        <f ca="1">IFERROR(__xludf.DUMMYFUNCTION("GOOGLEFINANCE(""BOM:""&amp;A22,""PRICE"")"),32.04)</f>
        <v>32.04</v>
      </c>
      <c r="F22" s="112">
        <f ca="1">IFERROR(__xludf.DUMMYFUNCTION("GOOGLEFINANCE(""BOM:""&amp;A22,""MARKETCAP"")/10000000"),155.9440992)</f>
        <v>155.94409920000001</v>
      </c>
      <c r="G22" s="95">
        <f t="shared" ca="1" si="0"/>
        <v>3.6418196181516765E-4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540648</v>
      </c>
      <c r="B23" s="98" t="s">
        <v>2504</v>
      </c>
      <c r="C23" s="101"/>
      <c r="D23" s="101"/>
      <c r="E23" s="101">
        <f ca="1">IFERROR(__xludf.DUMMYFUNCTION("GOOGLEFINANCE(""BOM:""&amp;A23,""PRICE"")"),86.82)</f>
        <v>86.82</v>
      </c>
      <c r="F23" s="112">
        <f ca="1">IFERROR(__xludf.DUMMYFUNCTION("GOOGLEFINANCE(""BOM:""&amp;A23,""MARKETCAP"")/10000000"),86.3067455)</f>
        <v>86.306745500000005</v>
      </c>
      <c r="G23" s="95">
        <f t="shared" ca="1" si="0"/>
        <v>2.0155530126062245E-4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540332</v>
      </c>
      <c r="B24" s="98" t="s">
        <v>2505</v>
      </c>
      <c r="C24" s="101"/>
      <c r="D24" s="101"/>
      <c r="E24" s="101">
        <f ca="1">IFERROR(__xludf.DUMMYFUNCTION("GOOGLEFINANCE(""BOM:""&amp;A24,""PRICE"")"),61.5)</f>
        <v>61.5</v>
      </c>
      <c r="F24" s="112">
        <f ca="1">IFERROR(__xludf.DUMMYFUNCTION("GOOGLEFINANCE(""BOM:""&amp;A24,""MARKETCAP"")/10000000"),78.89697)</f>
        <v>78.896969999999996</v>
      </c>
      <c r="G24" s="95">
        <f t="shared" ca="1" si="0"/>
        <v>1.8425098136622809E-4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506186</v>
      </c>
      <c r="B25" s="98" t="s">
        <v>2506</v>
      </c>
      <c r="C25" s="101"/>
      <c r="D25" s="101"/>
      <c r="E25" s="101">
        <f ca="1">IFERROR(__xludf.DUMMYFUNCTION("GOOGLEFINANCE(""BOM:""&amp;A25,""PRICE"")"),15.85)</f>
        <v>15.85</v>
      </c>
      <c r="F25" s="112">
        <f ca="1">IFERROR(__xludf.DUMMYFUNCTION("GOOGLEFINANCE(""BOM:""&amp;A25,""MARKETCAP"")/10000000"),75.16429)</f>
        <v>75.164289999999994</v>
      </c>
      <c r="G25" s="95">
        <f t="shared" ca="1" si="0"/>
        <v>1.755339171605166E-4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514171</v>
      </c>
      <c r="B26" s="98" t="s">
        <v>2507</v>
      </c>
      <c r="C26" s="101"/>
      <c r="D26" s="101"/>
      <c r="E26" s="101">
        <f ca="1">IFERROR(__xludf.DUMMYFUNCTION("GOOGLEFINANCE(""BOM:""&amp;A26,""PRICE"")"),44.2)</f>
        <v>44.2</v>
      </c>
      <c r="F26" s="112">
        <f ca="1">IFERROR(__xludf.DUMMYFUNCTION("GOOGLEFINANCE(""BOM:""&amp;A26,""MARKETCAP"")/10000000"),64.1006091)</f>
        <v>64.1006091</v>
      </c>
      <c r="G26" s="95">
        <f t="shared" ca="1" si="0"/>
        <v>1.4969649826663775E-4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544621</v>
      </c>
      <c r="B27" s="98" t="s">
        <v>2508</v>
      </c>
      <c r="C27" s="101"/>
      <c r="D27" s="101"/>
      <c r="E27" s="101">
        <f ca="1">IFERROR(__xludf.DUMMYFUNCTION("GOOGLEFINANCE(""BOM:""&amp;A27,""PRICE"")"),53.58)</f>
        <v>53.58</v>
      </c>
      <c r="F27" s="112">
        <f ca="1">IFERROR(__xludf.DUMMYFUNCTION("GOOGLEFINANCE(""BOM:""&amp;A27,""MARKETCAP"")/10000000"),46.4331207)</f>
        <v>46.433120700000003</v>
      </c>
      <c r="G27" s="95">
        <f t="shared" ca="1" si="0"/>
        <v>1.0843696604408915E-4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526345</v>
      </c>
      <c r="B28" s="98" t="s">
        <v>2509</v>
      </c>
      <c r="C28" s="101"/>
      <c r="D28" s="101"/>
      <c r="E28" s="101">
        <f ca="1">IFERROR(__xludf.DUMMYFUNCTION("GOOGLEFINANCE(""BOM:""&amp;A28,""PRICE"")"),24)</f>
        <v>24</v>
      </c>
      <c r="F28" s="112">
        <f ca="1">IFERROR(__xludf.DUMMYFUNCTION("GOOGLEFINANCE(""BOM:""&amp;A28,""MARKETCAP"")/10000000"),41.194848)</f>
        <v>41.194848</v>
      </c>
      <c r="G28" s="95">
        <f t="shared" ca="1" si="0"/>
        <v>9.6203836107173677E-5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540850</v>
      </c>
      <c r="B29" s="98" t="s">
        <v>2510</v>
      </c>
      <c r="C29" s="101"/>
      <c r="D29" s="101"/>
      <c r="E29" s="101">
        <f ca="1">IFERROR(__xludf.DUMMYFUNCTION("GOOGLEFINANCE(""BOM:""&amp;A29,""PRICE"")"),30.22)</f>
        <v>30.22</v>
      </c>
      <c r="F29" s="112">
        <f ca="1">IFERROR(__xludf.DUMMYFUNCTION("GOOGLEFINANCE(""BOM:""&amp;A29,""MARKETCAP"")/10000000"),46.1008204)</f>
        <v>46.100820400000003</v>
      </c>
      <c r="G29" s="95">
        <f t="shared" ca="1" si="0"/>
        <v>1.0766093299258804E-4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511153</v>
      </c>
      <c r="B30" s="98" t="s">
        <v>2511</v>
      </c>
      <c r="C30" s="101"/>
      <c r="D30" s="101"/>
      <c r="E30" s="101">
        <f ca="1">IFERROR(__xludf.DUMMYFUNCTION("GOOGLEFINANCE(""BOM:""&amp;A30,""PRICE"")"),14.78)</f>
        <v>14.78</v>
      </c>
      <c r="F30" s="112">
        <f ca="1">IFERROR(__xludf.DUMMYFUNCTION("GOOGLEFINANCE(""BOM:""&amp;A30,""MARKETCAP"")/10000000"),41.3084734)</f>
        <v>41.308473399999997</v>
      </c>
      <c r="G30" s="95">
        <f t="shared" ca="1" si="0"/>
        <v>9.6469189662045686E-5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541418</v>
      </c>
      <c r="B31" s="98" t="s">
        <v>2512</v>
      </c>
      <c r="C31" s="101"/>
      <c r="D31" s="101"/>
      <c r="E31" s="101">
        <f ca="1">IFERROR(__xludf.DUMMYFUNCTION("GOOGLEFINANCE(""BOM:""&amp;A31,""PRICE"")"),26.12)</f>
        <v>26.12</v>
      </c>
      <c r="F31" s="112">
        <f ca="1">IFERROR(__xludf.DUMMYFUNCTION("GOOGLEFINANCE(""BOM:""&amp;A31,""MARKETCAP"")/10000000"),46.8253889)</f>
        <v>46.8253889</v>
      </c>
      <c r="G31" s="95">
        <f t="shared" ca="1" si="0"/>
        <v>1.0935304432705443E-4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530217</v>
      </c>
      <c r="B32" s="98" t="s">
        <v>2513</v>
      </c>
      <c r="C32" s="101"/>
      <c r="D32" s="101"/>
      <c r="E32" s="101">
        <f ca="1">IFERROR(__xludf.DUMMYFUNCTION("GOOGLEFINANCE(""BOM:""&amp;A32,""PRICE"")"),9.3)</f>
        <v>9.3000000000000007</v>
      </c>
      <c r="F32" s="112">
        <f ca="1">IFERROR(__xludf.DUMMYFUNCTION("GOOGLEFINANCE(""BOM:""&amp;A32,""MARKETCAP"")/10000000"),35.84028)</f>
        <v>35.84028</v>
      </c>
      <c r="G32" s="95">
        <f t="shared" ca="1" si="0"/>
        <v>8.3699117500208158E-5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511740</v>
      </c>
      <c r="B33" s="98" t="s">
        <v>2514</v>
      </c>
      <c r="C33" s="101"/>
      <c r="D33" s="101"/>
      <c r="E33" s="101">
        <f ca="1">IFERROR(__xludf.DUMMYFUNCTION("GOOGLEFINANCE(""BOM:""&amp;A33,""PRICE"")"),116)</f>
        <v>116</v>
      </c>
      <c r="F33" s="112">
        <f ca="1">IFERROR(__xludf.DUMMYFUNCTION("GOOGLEFINANCE(""BOM:""&amp;A33,""MARKETCAP"")/10000000"),34.34889)</f>
        <v>34.348889999999997</v>
      </c>
      <c r="G33" s="95">
        <f t="shared" ca="1" si="0"/>
        <v>8.0216219854078281E-5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519475</v>
      </c>
      <c r="B34" s="98" t="s">
        <v>2515</v>
      </c>
      <c r="C34" s="101"/>
      <c r="D34" s="101"/>
      <c r="E34" s="101">
        <f ca="1">IFERROR(__xludf.DUMMYFUNCTION("GOOGLEFINANCE(""BOM:""&amp;A34,""PRICE"")"),68.51)</f>
        <v>68.510000000000005</v>
      </c>
      <c r="F34" s="112">
        <f ca="1">IFERROR(__xludf.DUMMYFUNCTION("GOOGLEFINANCE(""BOM:""&amp;A34,""MARKETCAP"")/10000000"),27.59755)</f>
        <v>27.597549999999998</v>
      </c>
      <c r="G34" s="95">
        <f t="shared" ca="1" si="0"/>
        <v>6.444956847903726E-5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519612</v>
      </c>
      <c r="B35" s="98" t="s">
        <v>2516</v>
      </c>
      <c r="C35" s="101"/>
      <c r="D35" s="101"/>
      <c r="E35" s="101">
        <f ca="1">IFERROR(__xludf.DUMMYFUNCTION("GOOGLEFINANCE(""BOM:""&amp;A35,""PRICE"")"),77.5)</f>
        <v>77.5</v>
      </c>
      <c r="F35" s="112">
        <f ca="1">IFERROR(__xludf.DUMMYFUNCTION("GOOGLEFINANCE(""BOM:""&amp;A35,""MARKETCAP"")/10000000"),27.130425)</f>
        <v>27.130424999999999</v>
      </c>
      <c r="G35" s="95">
        <f t="shared" ca="1" si="0"/>
        <v>6.33586743715614E-5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519415</v>
      </c>
      <c r="B36" s="98" t="s">
        <v>2517</v>
      </c>
      <c r="C36" s="101"/>
      <c r="D36" s="101"/>
      <c r="E36" s="101">
        <f ca="1">IFERROR(__xludf.DUMMYFUNCTION("GOOGLEFINANCE(""BOM:""&amp;A36,""PRICE"")"),48.36)</f>
        <v>48.36</v>
      </c>
      <c r="F36" s="112">
        <f ca="1">IFERROR(__xludf.DUMMYFUNCTION("GOOGLEFINANCE(""BOM:""&amp;A36,""MARKETCAP"")/10000000"),25.65305)</f>
        <v>25.65305</v>
      </c>
      <c r="G36" s="95">
        <f t="shared" ca="1" si="0"/>
        <v>5.9908506467826557E-5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543924</v>
      </c>
      <c r="B37" s="98" t="s">
        <v>2518</v>
      </c>
      <c r="C37" s="101"/>
      <c r="D37" s="101"/>
      <c r="E37" s="101">
        <f ca="1">IFERROR(__xludf.DUMMYFUNCTION("GOOGLEFINANCE(""BOM:""&amp;A37,""PRICE"")"),48)</f>
        <v>48</v>
      </c>
      <c r="F37" s="112">
        <f ca="1">IFERROR(__xludf.DUMMYFUNCTION("GOOGLEFINANCE(""BOM:""&amp;A37,""MARKETCAP"")/10000000"),22.7952)</f>
        <v>22.795200000000001</v>
      </c>
      <c r="G37" s="95">
        <f t="shared" ca="1" si="0"/>
        <v>5.3234464776523649E-5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538520</v>
      </c>
      <c r="B38" s="98" t="s">
        <v>2519</v>
      </c>
      <c r="C38" s="101"/>
      <c r="D38" s="101"/>
      <c r="E38" s="101">
        <f ca="1">IFERROR(__xludf.DUMMYFUNCTION("GOOGLEFINANCE(""BOM:""&amp;A38,""PRICE"")"),2.03)</f>
        <v>2.0299999999999998</v>
      </c>
      <c r="F38" s="112">
        <f ca="1">IFERROR(__xludf.DUMMYFUNCTION("GOOGLEFINANCE(""BOM:""&amp;A38,""MARKETCAP"")/10000000"),15.3569497)</f>
        <v>15.356949699999999</v>
      </c>
      <c r="G38" s="95">
        <f t="shared" ca="1" si="0"/>
        <v>3.5863646639621296E-5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519500</v>
      </c>
      <c r="B39" s="98" t="s">
        <v>2520</v>
      </c>
      <c r="C39" s="101"/>
      <c r="D39" s="101"/>
      <c r="E39" s="101">
        <f ca="1">IFERROR(__xludf.DUMMYFUNCTION("GOOGLEFINANCE(""BOM:""&amp;A39,""PRICE"")"),9.4)</f>
        <v>9.4</v>
      </c>
      <c r="F39" s="112">
        <f ca="1">IFERROR(__xludf.DUMMYFUNCTION("GOOGLEFINANCE(""BOM:""&amp;A39,""MARKETCAP"")/10000000"),14.5216646)</f>
        <v>14.521664599999999</v>
      </c>
      <c r="G39" s="95">
        <f t="shared" ca="1" si="0"/>
        <v>3.3912974777373758E-5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544628</v>
      </c>
      <c r="B40" s="98" t="s">
        <v>2521</v>
      </c>
      <c r="C40" s="101"/>
      <c r="D40" s="101"/>
      <c r="E40" s="101">
        <f ca="1">IFERROR(__xludf.DUMMYFUNCTION("GOOGLEFINANCE(""BOM:""&amp;A40,""PRICE"")"),16.88)</f>
        <v>16.88</v>
      </c>
      <c r="F40" s="112">
        <f ca="1">IFERROR(__xludf.DUMMYFUNCTION("GOOGLEFINANCE(""BOM:""&amp;A40,""MARKETCAP"")/10000000"),14.5167992)</f>
        <v>14.516799199999999</v>
      </c>
      <c r="G40" s="95">
        <f t="shared" ca="1" si="0"/>
        <v>3.3901612430698859E-5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540681</v>
      </c>
      <c r="B41" s="98" t="s">
        <v>2522</v>
      </c>
      <c r="C41" s="101"/>
      <c r="D41" s="101"/>
      <c r="E41" s="101">
        <f ca="1">IFERROR(__xludf.DUMMYFUNCTION("GOOGLEFINANCE(""BOM:""&amp;A41,""PRICE"")"),11.78)</f>
        <v>11.78</v>
      </c>
      <c r="F41" s="112">
        <f ca="1">IFERROR(__xludf.DUMMYFUNCTION("GOOGLEFINANCE(""BOM:""&amp;A41,""MARKETCAP"")/10000000"),12.20408)</f>
        <v>12.204079999999999</v>
      </c>
      <c r="G41" s="95">
        <f t="shared" ca="1" si="0"/>
        <v>2.8500634646323641E-5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519604</v>
      </c>
      <c r="B42" s="98" t="s">
        <v>2523</v>
      </c>
      <c r="C42" s="101"/>
      <c r="D42" s="101"/>
      <c r="E42" s="101">
        <f ca="1">IFERROR(__xludf.DUMMYFUNCTION("GOOGLEFINANCE(""BOM:""&amp;A42,""PRICE"")"),16.19)</f>
        <v>16.190000000000001</v>
      </c>
      <c r="F42" s="112">
        <f ca="1">IFERROR(__xludf.DUMMYFUNCTION("GOOGLEFINANCE(""BOM:""&amp;A42,""MARKETCAP"")/10000000"),11.2196703)</f>
        <v>11.219670300000001</v>
      </c>
      <c r="G42" s="95">
        <f t="shared" ca="1" si="0"/>
        <v>2.6201706648310107E-5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4.4">
      <c r="A43" s="99">
        <v>519031</v>
      </c>
      <c r="B43" s="98" t="s">
        <v>2524</v>
      </c>
      <c r="C43" s="101"/>
      <c r="D43" s="101"/>
      <c r="E43" s="101">
        <f ca="1">IFERROR(__xludf.DUMMYFUNCTION("GOOGLEFINANCE(""BOM:""&amp;A43,""PRICE"")"),162.05)</f>
        <v>162.05000000000001</v>
      </c>
      <c r="F43" s="112">
        <f ca="1">IFERROR(__xludf.DUMMYFUNCTION("GOOGLEFINANCE(""BOM:""&amp;A43,""MARKETCAP"")/10000000"),9.6824876)</f>
        <v>9.6824876</v>
      </c>
      <c r="G43" s="95">
        <f t="shared" ca="1" si="0"/>
        <v>2.2611867634033786E-5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4.4">
      <c r="A44" s="99">
        <v>530735</v>
      </c>
      <c r="B44" s="98" t="s">
        <v>2525</v>
      </c>
      <c r="C44" s="101"/>
      <c r="D44" s="101"/>
      <c r="E44" s="101">
        <f ca="1">IFERROR(__xludf.DUMMYFUNCTION("GOOGLEFINANCE(""BOM:""&amp;A44,""PRICE"")"),29.39)</f>
        <v>29.39</v>
      </c>
      <c r="F44" s="112">
        <f ca="1">IFERROR(__xludf.DUMMYFUNCTION("GOOGLEFINANCE(""BOM:""&amp;A44,""MARKETCAP"")/10000000"),8.880482)</f>
        <v>8.8804820000000007</v>
      </c>
      <c r="G44" s="95">
        <f t="shared" ca="1" si="0"/>
        <v>2.0738914606037776E-5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4.4">
      <c r="A45" s="99">
        <v>544160</v>
      </c>
      <c r="B45" s="98" t="s">
        <v>2526</v>
      </c>
      <c r="C45" s="101"/>
      <c r="D45" s="101"/>
      <c r="E45" s="101">
        <f ca="1">IFERROR(__xludf.DUMMYFUNCTION("GOOGLEFINANCE(""BOM:""&amp;A45,""PRICE"")"),12.02)</f>
        <v>12.02</v>
      </c>
      <c r="F45" s="112">
        <f ca="1">IFERROR(__xludf.DUMMYFUNCTION("GOOGLEFINANCE(""BOM:""&amp;A45,""MARKETCAP"")/10000000"),6.0063124)</f>
        <v>6.0063123999999997</v>
      </c>
      <c r="G45" s="95">
        <f t="shared" ca="1" si="0"/>
        <v>1.4026761155620358E-5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531925</v>
      </c>
      <c r="B46" s="98" t="s">
        <v>2527</v>
      </c>
      <c r="C46" s="101"/>
      <c r="D46" s="101"/>
      <c r="E46" s="101">
        <f ca="1">IFERROR(__xludf.DUMMYFUNCTION("GOOGLEFINANCE(""BOM:""&amp;A46,""PRICE"")"),1.17)</f>
        <v>1.17</v>
      </c>
      <c r="F46" s="112">
        <f ca="1">IFERROR(__xludf.DUMMYFUNCTION("GOOGLEFINANCE(""BOM:""&amp;A46,""MARKETCAP"")/10000000"),4.0809598)</f>
        <v>4.0809597999999996</v>
      </c>
      <c r="G46" s="95">
        <f t="shared" ca="1" si="0"/>
        <v>9.5304147683507467E-6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3.2">
      <c r="A47" s="101"/>
      <c r="B47" s="101"/>
      <c r="C47" s="101"/>
      <c r="D47" s="101"/>
      <c r="E47" s="101"/>
      <c r="F47" s="101"/>
      <c r="G47" s="95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3.2">
      <c r="A48" s="101"/>
      <c r="B48" s="101"/>
      <c r="C48" s="101"/>
      <c r="D48" s="101"/>
      <c r="E48" s="101"/>
      <c r="F48" s="112">
        <f ca="1">SUM(F1:F46)</f>
        <v>428203.79796610004</v>
      </c>
      <c r="G48" s="95">
        <f ca="1">F48/$F$48</f>
        <v>1</v>
      </c>
      <c r="H48" s="101">
        <f t="shared" ref="H48:O48" si="1">SUM(H2:H46)</f>
        <v>48123</v>
      </c>
      <c r="I48" s="101">
        <f t="shared" si="1"/>
        <v>45982</v>
      </c>
      <c r="J48" s="101">
        <f t="shared" si="1"/>
        <v>5657</v>
      </c>
      <c r="K48" s="101">
        <f t="shared" si="1"/>
        <v>5357</v>
      </c>
      <c r="L48" s="101">
        <f t="shared" si="1"/>
        <v>21991</v>
      </c>
      <c r="M48" s="101">
        <f t="shared" si="1"/>
        <v>19831</v>
      </c>
      <c r="N48" s="101">
        <f t="shared" si="1"/>
        <v>2309</v>
      </c>
      <c r="O48" s="101">
        <f t="shared" si="1"/>
        <v>1805</v>
      </c>
      <c r="P48" s="95">
        <f t="shared" ref="P48:Q48" si="2">J48/H48</f>
        <v>0.1175529372649253</v>
      </c>
      <c r="Q48" s="95">
        <f t="shared" si="2"/>
        <v>0.11650210952111696</v>
      </c>
      <c r="R48" s="95">
        <f>P48-Q48</f>
        <v>1.0508277438083385E-3</v>
      </c>
      <c r="S48" s="95">
        <f t="shared" ref="S48:T48" si="3">N48/L48</f>
        <v>0.10499749897685416</v>
      </c>
      <c r="T48" s="95">
        <f t="shared" si="3"/>
        <v>9.1019111492108312E-2</v>
      </c>
      <c r="U48" s="95">
        <f>S48-T48</f>
        <v>1.3978387484745849E-2</v>
      </c>
      <c r="V48" s="95">
        <f>(H48/I48)-1</f>
        <v>4.6561698055761047E-2</v>
      </c>
      <c r="W48" s="95">
        <f>(J48/K48)-1</f>
        <v>5.6001493373156519E-2</v>
      </c>
      <c r="X48" s="95">
        <f>(L48/M48)-1</f>
        <v>0.10892037718723202</v>
      </c>
      <c r="Y48" s="95">
        <f>(N48/O48)-1</f>
        <v>0.27922437673130185</v>
      </c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46" xr:uid="{00000000-0009-0000-0000-000049000000}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outlinePr summaryBelow="0" summaryRight="0"/>
  </sheetPr>
  <dimension ref="A1:Y2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3">
        <v>539098</v>
      </c>
      <c r="B2" s="90" t="s">
        <v>2528</v>
      </c>
      <c r="C2" s="101" t="e">
        <f>VLOOKUP(A2,'BSE ALL CAP'!$B$4:$Y$1038,2,)</f>
        <v>#N/A</v>
      </c>
      <c r="D2" s="101" t="e">
        <f>VLOOKUP(A2,'BSE ALL CAP'!$B$4:$Y$1038,3,)</f>
        <v>#N/A</v>
      </c>
      <c r="E2" s="101">
        <f ca="1">IFERROR(__xludf.DUMMYFUNCTION("GOOGLEFINANCE(""BOM:""&amp;A2,""PRICE"")"),64)</f>
        <v>64</v>
      </c>
      <c r="F2" s="112">
        <f ca="1">IFERROR(__xludf.DUMMYFUNCTION("GOOGLEFINANCE(""BOM:""&amp;A2,""MARKETCAP"")/10000000"),70.1696)</f>
        <v>70.169600000000003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532889</v>
      </c>
      <c r="B2" s="98" t="s">
        <v>2529</v>
      </c>
      <c r="C2" s="101" t="str">
        <f>VLOOKUP(A2,'BSE ALL CAP'!$B$4:$Y$1038,2,)</f>
        <v>Consumer Discretionary</v>
      </c>
      <c r="D2" s="101" t="str">
        <f>VLOOKUP(A2,'BSE ALL CAP'!$B$4:$Y$1038,3,)</f>
        <v>Other Textile Products</v>
      </c>
      <c r="E2" s="101">
        <f ca="1">IFERROR(__xludf.DUMMYFUNCTION("GOOGLEFINANCE(""BOM:""&amp;A2,""PRICE"")"),836.15)</f>
        <v>836.15</v>
      </c>
      <c r="F2" s="112">
        <f ca="1">IFERROR(__xludf.DUMMYFUNCTION("GOOGLEFINANCE(""BOM:""&amp;A2,""MARKETCAP"")/10000000"),28572.2247355)</f>
        <v>28572.2247355</v>
      </c>
      <c r="G2" s="95">
        <f t="shared" ref="G2:G256" ca="1" si="0">F2/$F$259</f>
        <v>0.19108467763379458</v>
      </c>
      <c r="H2" s="101">
        <f>VLOOKUP(A2,'BSE ALL CAP'!$B$4:$Y$1038,7,)</f>
        <v>4661</v>
      </c>
      <c r="I2" s="101">
        <f>VLOOKUP(A2,'BSE ALL CAP'!$B$4:$Y$1038,8,)</f>
        <v>4434</v>
      </c>
      <c r="J2" s="101">
        <f>VLOOKUP(A2,'BSE ALL CAP'!$B$4:$Y$1038,9,)</f>
        <v>639</v>
      </c>
      <c r="K2" s="101">
        <f>VLOOKUP(A2,'BSE ALL CAP'!$B$4:$Y$1038,10,)</f>
        <v>610</v>
      </c>
      <c r="L2" s="101">
        <f>VLOOKUP(A2,'BSE ALL CAP'!$B$4:$Y$1038,11,)</f>
        <v>1406</v>
      </c>
      <c r="M2" s="101">
        <f>VLOOKUP(A2,'BSE ALL CAP'!$B$4:$Y$1038,12,)</f>
        <v>1467</v>
      </c>
      <c r="N2" s="101">
        <f>VLOOKUP(A2,'BSE ALL CAP'!$B$4:$Y$1038,13,)</f>
        <v>208</v>
      </c>
      <c r="O2" s="101">
        <f>VLOOKUP(A2,'BSE ALL CAP'!$B$4:$Y$1038,14,)</f>
        <v>202</v>
      </c>
      <c r="P2" s="95">
        <f>VLOOKUP(A2,'BSE ALL CAP'!$B$4:$Y$1038,15,)</f>
        <v>0.13709504398197811</v>
      </c>
      <c r="Q2" s="95">
        <f>VLOOKUP(A2,'BSE ALL CAP'!$B$4:$Y$1038,16,)</f>
        <v>0.13757329724853407</v>
      </c>
      <c r="R2" s="95">
        <f>VLOOKUP(A2,'BSE ALL CAP'!$B$4:$Y$1038,17,)</f>
        <v>-4.7825326655595579E-4</v>
      </c>
      <c r="S2" s="95">
        <f>VLOOKUP(A2,'BSE ALL CAP'!$B$4:$Y$1038,18,)</f>
        <v>0.14793741109530584</v>
      </c>
      <c r="T2" s="95">
        <f>VLOOKUP(A2,'BSE ALL CAP'!$B$4:$Y$1038,19,)</f>
        <v>0.13769597818677573</v>
      </c>
      <c r="U2" s="95">
        <f>VLOOKUP(A2,'BSE ALL CAP'!$B$4:$Y$1038,20,)</f>
        <v>1.0241432908530107E-2</v>
      </c>
      <c r="V2" s="95">
        <f>VLOOKUP(A2,'BSE ALL CAP'!$B$4:$Y$1038,21,)</f>
        <v>5.1195308976093923E-2</v>
      </c>
      <c r="W2" s="95">
        <f>VLOOKUP(A2,'BSE ALL CAP'!$B$4:$Y$1038,22,)</f>
        <v>4.7540983606557452E-2</v>
      </c>
      <c r="X2" s="95">
        <f>VLOOKUP(A2,'BSE ALL CAP'!$B$4:$Y$1038,23,)</f>
        <v>-4.1581458759372913E-2</v>
      </c>
      <c r="Y2" s="95">
        <f>VLOOKUP(A2,'BSE ALL CAP'!$B$4:$Y$1038,24,)</f>
        <v>2.9702970297029729E-2</v>
      </c>
    </row>
    <row r="3" spans="1:25" ht="15.75" customHeight="1">
      <c r="A3" s="99">
        <v>502986</v>
      </c>
      <c r="B3" s="98" t="s">
        <v>2530</v>
      </c>
      <c r="C3" s="101" t="str">
        <f>VLOOKUP(A3,'BSE ALL CAP'!$B$4:$Y$1038,2,)</f>
        <v>Consumer Discretionary</v>
      </c>
      <c r="D3" s="101" t="str">
        <f>VLOOKUP(A3,'BSE ALL CAP'!$B$4:$Y$1038,3,)</f>
        <v>Other Textile Products</v>
      </c>
      <c r="E3" s="101">
        <f ca="1">IFERROR(__xludf.DUMMYFUNCTION("GOOGLEFINANCE(""BOM:""&amp;A3,""PRICE"")"),539.7)</f>
        <v>539.70000000000005</v>
      </c>
      <c r="F3" s="112">
        <f ca="1">IFERROR(__xludf.DUMMYFUNCTION("GOOGLEFINANCE(""BOM:""&amp;A3,""MARKETCAP"")/10000000"),15605.3016596)</f>
        <v>15605.3016596</v>
      </c>
      <c r="G3" s="95">
        <f t="shared" ca="1" si="0"/>
        <v>0.10436478309292575</v>
      </c>
      <c r="H3" s="101">
        <f>VLOOKUP(A3,'BSE ALL CAP'!$B$4:$Y$1038,7,)</f>
        <v>7371</v>
      </c>
      <c r="I3" s="101">
        <f>VLOOKUP(A3,'BSE ALL CAP'!$B$4:$Y$1038,8,)</f>
        <v>7276</v>
      </c>
      <c r="J3" s="101">
        <f>VLOOKUP(A3,'BSE ALL CAP'!$B$4:$Y$1038,9,)</f>
        <v>563</v>
      </c>
      <c r="K3" s="101">
        <f>VLOOKUP(A3,'BSE ALL CAP'!$B$4:$Y$1038,10,)</f>
        <v>648</v>
      </c>
      <c r="L3" s="101">
        <f>VLOOKUP(A3,'BSE ALL CAP'!$B$4:$Y$1038,11,)</f>
        <v>2505</v>
      </c>
      <c r="M3" s="101">
        <f>VLOOKUP(A3,'BSE ALL CAP'!$B$4:$Y$1038,12,)</f>
        <v>2465</v>
      </c>
      <c r="N3" s="101">
        <f>VLOOKUP(A3,'BSE ALL CAP'!$B$4:$Y$1038,13,)</f>
        <v>168</v>
      </c>
      <c r="O3" s="101">
        <f>VLOOKUP(A3,'BSE ALL CAP'!$B$4:$Y$1038,14,)</f>
        <v>211</v>
      </c>
      <c r="P3" s="95">
        <f>VLOOKUP(A3,'BSE ALL CAP'!$B$4:$Y$1038,15,)</f>
        <v>7.6380409713743047E-2</v>
      </c>
      <c r="Q3" s="95">
        <f>VLOOKUP(A3,'BSE ALL CAP'!$B$4:$Y$1038,16,)</f>
        <v>8.905992303463442E-2</v>
      </c>
      <c r="R3" s="95">
        <f>VLOOKUP(A3,'BSE ALL CAP'!$B$4:$Y$1038,17,)</f>
        <v>-1.2679513320891372E-2</v>
      </c>
      <c r="S3" s="95">
        <f>VLOOKUP(A3,'BSE ALL CAP'!$B$4:$Y$1038,18,)</f>
        <v>6.706586826347305E-2</v>
      </c>
      <c r="T3" s="95">
        <f>VLOOKUP(A3,'BSE ALL CAP'!$B$4:$Y$1038,19,)</f>
        <v>8.559837728194726E-2</v>
      </c>
      <c r="U3" s="95">
        <f>VLOOKUP(A3,'BSE ALL CAP'!$B$4:$Y$1038,20,)</f>
        <v>-1.8532509018474211E-2</v>
      </c>
      <c r="V3" s="95">
        <f>VLOOKUP(A3,'BSE ALL CAP'!$B$4:$Y$1038,21,)</f>
        <v>1.3056624518966498E-2</v>
      </c>
      <c r="W3" s="95">
        <f>VLOOKUP(A3,'BSE ALL CAP'!$B$4:$Y$1038,22,)</f>
        <v>-0.13117283950617287</v>
      </c>
      <c r="X3" s="95">
        <f>VLOOKUP(A3,'BSE ALL CAP'!$B$4:$Y$1038,23,)</f>
        <v>1.6227180527383478E-2</v>
      </c>
      <c r="Y3" s="95">
        <f>VLOOKUP(A3,'BSE ALL CAP'!$B$4:$Y$1038,24,)</f>
        <v>-0.20379146919431279</v>
      </c>
    </row>
    <row r="4" spans="1:25" ht="15.75" customHeight="1">
      <c r="A4" s="99">
        <v>521064</v>
      </c>
      <c r="B4" s="98" t="s">
        <v>2531</v>
      </c>
      <c r="C4" s="101" t="str">
        <f>VLOOKUP(A4,'BSE ALL CAP'!$B$4:$Y$1038,2,)</f>
        <v>Consumer Discretionary</v>
      </c>
      <c r="D4" s="101" t="str">
        <f>VLOOKUP(A4,'BSE ALL CAP'!$B$4:$Y$1038,3,)</f>
        <v>Other Textile Products</v>
      </c>
      <c r="E4" s="101">
        <f ca="1">IFERROR(__xludf.DUMMYFUNCTION("GOOGLEFINANCE(""BOM:""&amp;A4,""PRICE"")"),24.19)</f>
        <v>24.19</v>
      </c>
      <c r="F4" s="112">
        <f ca="1">IFERROR(__xludf.DUMMYFUNCTION("GOOGLEFINANCE(""BOM:""&amp;A4,""MARKETCAP"")/10000000"),12330.8224087)</f>
        <v>12330.8224087</v>
      </c>
      <c r="G4" s="95">
        <f t="shared" ca="1" si="0"/>
        <v>8.2465794901804557E-2</v>
      </c>
      <c r="H4" s="101">
        <f>VLOOKUP(A4,'BSE ALL CAP'!$B$4:$Y$1038,7,)</f>
        <v>5068</v>
      </c>
      <c r="I4" s="101">
        <f>VLOOKUP(A4,'BSE ALL CAP'!$B$4:$Y$1038,8,)</f>
        <v>5122</v>
      </c>
      <c r="J4" s="101">
        <f>VLOOKUP(A4,'BSE ALL CAP'!$B$4:$Y$1038,9,)</f>
        <v>275</v>
      </c>
      <c r="K4" s="101">
        <f>VLOOKUP(A4,'BSE ALL CAP'!$B$4:$Y$1038,10,)</f>
        <v>237</v>
      </c>
      <c r="L4" s="101">
        <f>VLOOKUP(A4,'BSE ALL CAP'!$B$4:$Y$1038,11,)</f>
        <v>1574</v>
      </c>
      <c r="M4" s="101">
        <f>VLOOKUP(A4,'BSE ALL CAP'!$B$4:$Y$1038,12,)</f>
        <v>1667</v>
      </c>
      <c r="N4" s="101">
        <f>VLOOKUP(A4,'BSE ALL CAP'!$B$4:$Y$1038,13,)</f>
        <v>44</v>
      </c>
      <c r="O4" s="101">
        <f>VLOOKUP(A4,'BSE ALL CAP'!$B$4:$Y$1038,14,)</f>
        <v>80</v>
      </c>
      <c r="P4" s="95">
        <f>VLOOKUP(A4,'BSE ALL CAP'!$B$4:$Y$1038,15,)</f>
        <v>5.4262036306235203E-2</v>
      </c>
      <c r="Q4" s="95">
        <f>VLOOKUP(A4,'BSE ALL CAP'!$B$4:$Y$1038,16,)</f>
        <v>4.6270987895353374E-2</v>
      </c>
      <c r="R4" s="95">
        <f>VLOOKUP(A4,'BSE ALL CAP'!$B$4:$Y$1038,17,)</f>
        <v>7.9910484108818292E-3</v>
      </c>
      <c r="S4" s="95">
        <f>VLOOKUP(A4,'BSE ALL CAP'!$B$4:$Y$1038,18,)</f>
        <v>2.795425667090216E-2</v>
      </c>
      <c r="T4" s="95">
        <f>VLOOKUP(A4,'BSE ALL CAP'!$B$4:$Y$1038,19,)</f>
        <v>4.799040191961608E-2</v>
      </c>
      <c r="U4" s="95">
        <f>VLOOKUP(A4,'BSE ALL CAP'!$B$4:$Y$1038,20,)</f>
        <v>-2.0036145248713919E-2</v>
      </c>
      <c r="V4" s="95">
        <f>VLOOKUP(A4,'BSE ALL CAP'!$B$4:$Y$1038,21,)</f>
        <v>-1.0542756735650083E-2</v>
      </c>
      <c r="W4" s="95">
        <f>VLOOKUP(A4,'BSE ALL CAP'!$B$4:$Y$1038,22,)</f>
        <v>0.16033755274261607</v>
      </c>
      <c r="X4" s="95">
        <f>VLOOKUP(A4,'BSE ALL CAP'!$B$4:$Y$1038,23,)</f>
        <v>-5.578884223155367E-2</v>
      </c>
      <c r="Y4" s="95">
        <f>VLOOKUP(A4,'BSE ALL CAP'!$B$4:$Y$1038,24,)</f>
        <v>-0.44999999999999996</v>
      </c>
    </row>
    <row r="5" spans="1:25" ht="15.75" customHeight="1">
      <c r="A5" s="99">
        <v>514162</v>
      </c>
      <c r="B5" s="98" t="s">
        <v>2532</v>
      </c>
      <c r="C5" s="101" t="str">
        <f>VLOOKUP(A5,'BSE ALL CAP'!$B$4:$Y$1038,2,)</f>
        <v>Consumer Discretionary</v>
      </c>
      <c r="D5" s="101" t="str">
        <f>VLOOKUP(A5,'BSE ALL CAP'!$B$4:$Y$1038,3,)</f>
        <v>Other Textile Products</v>
      </c>
      <c r="E5" s="101">
        <f ca="1">IFERROR(__xludf.DUMMYFUNCTION("GOOGLEFINANCE(""BOM:""&amp;A5,""PRICE"")"),117.65)</f>
        <v>117.65</v>
      </c>
      <c r="F5" s="112">
        <f ca="1">IFERROR(__xludf.DUMMYFUNCTION("GOOGLEFINANCE(""BOM:""&amp;A5,""MARKETCAP"")/10000000"),11082.7)</f>
        <v>11082.7</v>
      </c>
      <c r="G5" s="95">
        <f t="shared" ca="1" si="0"/>
        <v>7.4118630117760625E-2</v>
      </c>
      <c r="H5" s="101">
        <f>VLOOKUP(A5,'BSE ALL CAP'!$B$4:$Y$1038,7,)</f>
        <v>6964</v>
      </c>
      <c r="I5" s="101">
        <f>VLOOKUP(A5,'BSE ALL CAP'!$B$4:$Y$1038,8,)</f>
        <v>7899</v>
      </c>
      <c r="J5" s="101">
        <f>VLOOKUP(A5,'BSE ALL CAP'!$B$4:$Y$1038,9,)</f>
        <v>107</v>
      </c>
      <c r="K5" s="101">
        <f>VLOOKUP(A5,'BSE ALL CAP'!$B$4:$Y$1038,10,)</f>
        <v>511</v>
      </c>
      <c r="L5" s="101">
        <f>VLOOKUP(A5,'BSE ALL CAP'!$B$4:$Y$1038,11,)</f>
        <v>2262</v>
      </c>
      <c r="M5" s="101">
        <f>VLOOKUP(A5,'BSE ALL CAP'!$B$4:$Y$1038,12,)</f>
        <v>2489</v>
      </c>
      <c r="N5" s="101">
        <f>VLOOKUP(A5,'BSE ALL CAP'!$B$4:$Y$1038,13,)</f>
        <v>3</v>
      </c>
      <c r="O5" s="101">
        <f>VLOOKUP(A5,'BSE ALL CAP'!$B$4:$Y$1038,14,)</f>
        <v>123</v>
      </c>
      <c r="P5" s="95">
        <f>VLOOKUP(A5,'BSE ALL CAP'!$B$4:$Y$1038,15,)</f>
        <v>1.5364732912119471E-2</v>
      </c>
      <c r="Q5" s="95">
        <f>VLOOKUP(A5,'BSE ALL CAP'!$B$4:$Y$1038,16,)</f>
        <v>6.4691733130776044E-2</v>
      </c>
      <c r="R5" s="95">
        <f>VLOOKUP(A5,'BSE ALL CAP'!$B$4:$Y$1038,17,)</f>
        <v>-4.9327000218656575E-2</v>
      </c>
      <c r="S5" s="95">
        <f>VLOOKUP(A5,'BSE ALL CAP'!$B$4:$Y$1038,18,)</f>
        <v>1.3262599469496021E-3</v>
      </c>
      <c r="T5" s="95">
        <f>VLOOKUP(A5,'BSE ALL CAP'!$B$4:$Y$1038,19,)</f>
        <v>4.9417436721574927E-2</v>
      </c>
      <c r="U5" s="95">
        <f>VLOOKUP(A5,'BSE ALL CAP'!$B$4:$Y$1038,20,)</f>
        <v>-4.8091176774625322E-2</v>
      </c>
      <c r="V5" s="95">
        <f>VLOOKUP(A5,'BSE ALL CAP'!$B$4:$Y$1038,21,)</f>
        <v>-0.11836941384985444</v>
      </c>
      <c r="W5" s="95">
        <f>VLOOKUP(A5,'BSE ALL CAP'!$B$4:$Y$1038,22,)</f>
        <v>-0.79060665362035221</v>
      </c>
      <c r="X5" s="95">
        <f>VLOOKUP(A5,'BSE ALL CAP'!$B$4:$Y$1038,23,)</f>
        <v>-9.1201285656890341E-2</v>
      </c>
      <c r="Y5" s="95">
        <f>VLOOKUP(A5,'BSE ALL CAP'!$B$4:$Y$1038,24,)</f>
        <v>-0.97560975609756095</v>
      </c>
    </row>
    <row r="6" spans="1:25" ht="15.75" customHeight="1">
      <c r="A6" s="99">
        <v>521070</v>
      </c>
      <c r="B6" s="98" t="s">
        <v>2533</v>
      </c>
      <c r="C6" s="101" t="str">
        <f>VLOOKUP(A6,'BSE ALL CAP'!$B$4:$Y$1038,2,)</f>
        <v>Consumer Discretionary</v>
      </c>
      <c r="D6" s="101" t="str">
        <f>VLOOKUP(A6,'BSE ALL CAP'!$B$4:$Y$1038,3,)</f>
        <v>Other Textile Products</v>
      </c>
      <c r="E6" s="101">
        <f ca="1">IFERROR(__xludf.DUMMYFUNCTION("GOOGLEFINANCE(""BOM:""&amp;A6,""PRICE"")"),12.65)</f>
        <v>12.65</v>
      </c>
      <c r="F6" s="112">
        <f ca="1">IFERROR(__xludf.DUMMYFUNCTION("GOOGLEFINANCE(""BOM:""&amp;A6,""MARKETCAP"")/10000000"),6285.9937642)</f>
        <v>6285.9937642000004</v>
      </c>
      <c r="G6" s="95">
        <f t="shared" ca="1" si="0"/>
        <v>4.2039326764352514E-2</v>
      </c>
      <c r="H6" s="101">
        <f>VLOOKUP(A6,'BSE ALL CAP'!$B$4:$Y$1038,7,)</f>
        <v>2731</v>
      </c>
      <c r="I6" s="101">
        <f>VLOOKUP(A6,'BSE ALL CAP'!$B$4:$Y$1038,8,)</f>
        <v>2755</v>
      </c>
      <c r="J6" s="101">
        <f>VLOOKUP(A6,'BSE ALL CAP'!$B$4:$Y$1038,9,)</f>
        <v>-551</v>
      </c>
      <c r="K6" s="101">
        <f>VLOOKUP(A6,'BSE ALL CAP'!$B$4:$Y$1038,10,)</f>
        <v>-741</v>
      </c>
      <c r="L6" s="101">
        <f>VLOOKUP(A6,'BSE ALL CAP'!$B$4:$Y$1038,11,)</f>
        <v>858</v>
      </c>
      <c r="M6" s="101">
        <f>VLOOKUP(A6,'BSE ALL CAP'!$B$4:$Y$1038,12,)</f>
        <v>863</v>
      </c>
      <c r="N6" s="101">
        <f>VLOOKUP(A6,'BSE ALL CAP'!$B$4:$Y$1038,13,)</f>
        <v>-217</v>
      </c>
      <c r="O6" s="101">
        <f>VLOOKUP(A6,'BSE ALL CAP'!$B$4:$Y$1038,14,)</f>
        <v>-272</v>
      </c>
      <c r="P6" s="95">
        <f>VLOOKUP(A6,'BSE ALL CAP'!$B$4:$Y$1038,15,)</f>
        <v>-0.20175759794946907</v>
      </c>
      <c r="Q6" s="95">
        <f>VLOOKUP(A6,'BSE ALL CAP'!$B$4:$Y$1038,16,)</f>
        <v>-0.26896551724137929</v>
      </c>
      <c r="R6" s="95">
        <f>VLOOKUP(A6,'BSE ALL CAP'!$B$4:$Y$1038,17,)</f>
        <v>6.7207919291910223E-2</v>
      </c>
      <c r="S6" s="95">
        <f>VLOOKUP(A6,'BSE ALL CAP'!$B$4:$Y$1038,18,)</f>
        <v>-0.2529137529137529</v>
      </c>
      <c r="T6" s="95">
        <f>VLOOKUP(A6,'BSE ALL CAP'!$B$4:$Y$1038,19,)</f>
        <v>-0.31517960602549244</v>
      </c>
      <c r="U6" s="95">
        <f>VLOOKUP(A6,'BSE ALL CAP'!$B$4:$Y$1038,20,)</f>
        <v>6.2265853111739544E-2</v>
      </c>
      <c r="V6" s="95">
        <f>VLOOKUP(A6,'BSE ALL CAP'!$B$4:$Y$1038,21,)</f>
        <v>-8.7114337568058309E-3</v>
      </c>
      <c r="W6" s="95">
        <f>VLOOKUP(A6,'BSE ALL CAP'!$B$4:$Y$1038,22,)</f>
        <v>-0.25641025641025639</v>
      </c>
      <c r="X6" s="95">
        <f>VLOOKUP(A6,'BSE ALL CAP'!$B$4:$Y$1038,23,)</f>
        <v>-5.7937427578215184E-3</v>
      </c>
      <c r="Y6" s="95">
        <f>VLOOKUP(A6,'BSE ALL CAP'!$B$4:$Y$1038,24,)</f>
        <v>-0.20220588235294112</v>
      </c>
    </row>
    <row r="7" spans="1:25" ht="15.75" customHeight="1">
      <c r="A7" s="99">
        <v>509557</v>
      </c>
      <c r="B7" s="98" t="s">
        <v>2534</v>
      </c>
      <c r="C7" s="101" t="str">
        <f>VLOOKUP(A7,'BSE ALL CAP'!$B$4:$Y$1038,2,)</f>
        <v>Consumer Discretionary</v>
      </c>
      <c r="D7" s="101" t="str">
        <f>VLOOKUP(A7,'BSE ALL CAP'!$B$4:$Y$1038,3,)</f>
        <v>Other Textile Products</v>
      </c>
      <c r="E7" s="101">
        <f ca="1">IFERROR(__xludf.DUMMYFUNCTION("GOOGLEFINANCE(""BOM:""&amp;A7,""PRICE"")"),600.2)</f>
        <v>600.20000000000005</v>
      </c>
      <c r="F7" s="112">
        <f ca="1">IFERROR(__xludf.DUMMYFUNCTION("GOOGLEFINANCE(""BOM:""&amp;A7,""MARKETCAP"")/10000000"),5959.9212759)</f>
        <v>5959.9212759000002</v>
      </c>
      <c r="G7" s="95">
        <f t="shared" ca="1" si="0"/>
        <v>3.985862656026095E-2</v>
      </c>
      <c r="H7" s="101">
        <f>VLOOKUP(A7,'BSE ALL CAP'!$B$4:$Y$1038,7,)</f>
        <v>1102</v>
      </c>
      <c r="I7" s="101">
        <f>VLOOKUP(A7,'BSE ALL CAP'!$B$4:$Y$1038,8,)</f>
        <v>1107</v>
      </c>
      <c r="J7" s="101">
        <f>VLOOKUP(A7,'BSE ALL CAP'!$B$4:$Y$1038,9,)</f>
        <v>141</v>
      </c>
      <c r="K7" s="101">
        <f>VLOOKUP(A7,'BSE ALL CAP'!$B$4:$Y$1038,10,)</f>
        <v>160</v>
      </c>
      <c r="L7" s="101">
        <f>VLOOKUP(A7,'BSE ALL CAP'!$B$4:$Y$1038,11,)</f>
        <v>387</v>
      </c>
      <c r="M7" s="101">
        <f>VLOOKUP(A7,'BSE ALL CAP'!$B$4:$Y$1038,12,)</f>
        <v>350</v>
      </c>
      <c r="N7" s="101">
        <f>VLOOKUP(A7,'BSE ALL CAP'!$B$4:$Y$1038,13,)</f>
        <v>56</v>
      </c>
      <c r="O7" s="101">
        <f>VLOOKUP(A7,'BSE ALL CAP'!$B$4:$Y$1038,14,)</f>
        <v>47</v>
      </c>
      <c r="P7" s="95">
        <f>VLOOKUP(A7,'BSE ALL CAP'!$B$4:$Y$1038,15,)</f>
        <v>0.1279491833030853</v>
      </c>
      <c r="Q7" s="95">
        <f>VLOOKUP(A7,'BSE ALL CAP'!$B$4:$Y$1038,16,)</f>
        <v>0.14453477868112014</v>
      </c>
      <c r="R7" s="95">
        <f>VLOOKUP(A7,'BSE ALL CAP'!$B$4:$Y$1038,17,)</f>
        <v>-1.6585595378034834E-2</v>
      </c>
      <c r="S7" s="95">
        <f>VLOOKUP(A7,'BSE ALL CAP'!$B$4:$Y$1038,18,)</f>
        <v>0.14470284237726097</v>
      </c>
      <c r="T7" s="95">
        <f>VLOOKUP(A7,'BSE ALL CAP'!$B$4:$Y$1038,19,)</f>
        <v>0.13428571428571429</v>
      </c>
      <c r="U7" s="95">
        <f>VLOOKUP(A7,'BSE ALL CAP'!$B$4:$Y$1038,20,)</f>
        <v>1.0417128091546685E-2</v>
      </c>
      <c r="V7" s="95">
        <f>VLOOKUP(A7,'BSE ALL CAP'!$B$4:$Y$1038,21,)</f>
        <v>-4.5167118337849921E-3</v>
      </c>
      <c r="W7" s="95">
        <f>VLOOKUP(A7,'BSE ALL CAP'!$B$4:$Y$1038,22,)</f>
        <v>-0.11875000000000002</v>
      </c>
      <c r="X7" s="95">
        <f>VLOOKUP(A7,'BSE ALL CAP'!$B$4:$Y$1038,23,)</f>
        <v>0.10571428571428565</v>
      </c>
      <c r="Y7" s="95">
        <f>VLOOKUP(A7,'BSE ALL CAP'!$B$4:$Y$1038,24,)</f>
        <v>0.1914893617021276</v>
      </c>
    </row>
    <row r="8" spans="1:25" ht="15.75" customHeight="1">
      <c r="A8" s="99">
        <v>521016</v>
      </c>
      <c r="B8" s="98" t="s">
        <v>2535</v>
      </c>
      <c r="C8" s="101" t="str">
        <f>VLOOKUP(A8,'BSE ALL CAP'!$B$4:$Y$1038,2,)</f>
        <v>Consumer Discretionary</v>
      </c>
      <c r="D8" s="101" t="str">
        <f>VLOOKUP(A8,'BSE ALL CAP'!$B$4:$Y$1038,3,)</f>
        <v>Other Textile Products</v>
      </c>
      <c r="E8" s="101">
        <f ca="1">IFERROR(__xludf.DUMMYFUNCTION("GOOGLEFINANCE(""BOM:""&amp;A8,""PRICE"")"),253.55)</f>
        <v>253.55</v>
      </c>
      <c r="F8" s="112">
        <f ca="1">IFERROR(__xludf.DUMMYFUNCTION("GOOGLEFINANCE(""BOM:""&amp;A8,""MARKETCAP"")/10000000"),5026.4199467)</f>
        <v>5026.4199466999999</v>
      </c>
      <c r="G8" s="95">
        <f t="shared" ca="1" si="0"/>
        <v>3.3615577507826733E-2</v>
      </c>
      <c r="H8" s="101">
        <f>VLOOKUP(A8,'BSE ALL CAP'!$B$4:$Y$1038,7,)</f>
        <v>3083</v>
      </c>
      <c r="I8" s="101">
        <f>VLOOKUP(A8,'BSE ALL CAP'!$B$4:$Y$1038,8,)</f>
        <v>3128</v>
      </c>
      <c r="J8" s="101">
        <f>VLOOKUP(A8,'BSE ALL CAP'!$B$4:$Y$1038,9,)</f>
        <v>102</v>
      </c>
      <c r="K8" s="101">
        <f>VLOOKUP(A8,'BSE ALL CAP'!$B$4:$Y$1038,10,)</f>
        <v>228</v>
      </c>
      <c r="L8" s="101">
        <f>VLOOKUP(A8,'BSE ALL CAP'!$B$4:$Y$1038,11,)</f>
        <v>1062</v>
      </c>
      <c r="M8" s="101">
        <f>VLOOKUP(A8,'BSE ALL CAP'!$B$4:$Y$1038,12,)</f>
        <v>1151</v>
      </c>
      <c r="N8" s="101">
        <f>VLOOKUP(A8,'BSE ALL CAP'!$B$4:$Y$1038,13,)</f>
        <v>24</v>
      </c>
      <c r="O8" s="101">
        <f>VLOOKUP(A8,'BSE ALL CAP'!$B$4:$Y$1038,14,)</f>
        <v>70</v>
      </c>
      <c r="P8" s="95">
        <f>VLOOKUP(A8,'BSE ALL CAP'!$B$4:$Y$1038,15,)</f>
        <v>3.3084657800843333E-2</v>
      </c>
      <c r="Q8" s="95">
        <f>VLOOKUP(A8,'BSE ALL CAP'!$B$4:$Y$1038,16,)</f>
        <v>7.2890025575447576E-2</v>
      </c>
      <c r="R8" s="95">
        <f>VLOOKUP(A8,'BSE ALL CAP'!$B$4:$Y$1038,17,)</f>
        <v>-3.9805367774604243E-2</v>
      </c>
      <c r="S8" s="95">
        <f>VLOOKUP(A8,'BSE ALL CAP'!$B$4:$Y$1038,18,)</f>
        <v>2.2598870056497175E-2</v>
      </c>
      <c r="T8" s="95">
        <f>VLOOKUP(A8,'BSE ALL CAP'!$B$4:$Y$1038,19,)</f>
        <v>6.0816681146828845E-2</v>
      </c>
      <c r="U8" s="95">
        <f>VLOOKUP(A8,'BSE ALL CAP'!$B$4:$Y$1038,20,)</f>
        <v>-3.821781109033167E-2</v>
      </c>
      <c r="V8" s="95">
        <f>VLOOKUP(A8,'BSE ALL CAP'!$B$4:$Y$1038,21,)</f>
        <v>-1.4386189258312032E-2</v>
      </c>
      <c r="W8" s="95">
        <f>VLOOKUP(A8,'BSE ALL CAP'!$B$4:$Y$1038,22,)</f>
        <v>-0.55263157894736836</v>
      </c>
      <c r="X8" s="95">
        <f>VLOOKUP(A8,'BSE ALL CAP'!$B$4:$Y$1038,23,)</f>
        <v>-7.7324066029539562E-2</v>
      </c>
      <c r="Y8" s="95">
        <f>VLOOKUP(A8,'BSE ALL CAP'!$B$4:$Y$1038,24,)</f>
        <v>-0.65714285714285714</v>
      </c>
    </row>
    <row r="9" spans="1:25" ht="15.75" customHeight="1">
      <c r="A9" s="99">
        <v>544240</v>
      </c>
      <c r="B9" s="98" t="s">
        <v>2536</v>
      </c>
      <c r="C9" s="101" t="str">
        <f>VLOOKUP(A9,'BSE ALL CAP'!$B$4:$Y$1038,2,)</f>
        <v>Consumer Discretionary</v>
      </c>
      <c r="D9" s="101" t="str">
        <f>VLOOKUP(A9,'BSE ALL CAP'!$B$4:$Y$1038,3,)</f>
        <v>Other Textile Products</v>
      </c>
      <c r="E9" s="101">
        <f ca="1">IFERROR(__xludf.DUMMYFUNCTION("GOOGLEFINANCE(""BOM:""&amp;A9,""PRICE"")"),794.3)</f>
        <v>794.3</v>
      </c>
      <c r="F9" s="112">
        <f ca="1">IFERROR(__xludf.DUMMYFUNCTION("GOOGLEFINANCE(""BOM:""&amp;A9,""MARKETCAP"")/10000000"),4843.8374043)</f>
        <v>4843.8374043000003</v>
      </c>
      <c r="G9" s="95">
        <f t="shared" ca="1" si="0"/>
        <v>3.2394506114925552E-2</v>
      </c>
      <c r="H9" s="101">
        <f>VLOOKUP(A9,'BSE ALL CAP'!$B$4:$Y$1038,7,)</f>
        <v>5111</v>
      </c>
      <c r="I9" s="101">
        <f>VLOOKUP(A9,'BSE ALL CAP'!$B$4:$Y$1038,8,)</f>
        <v>4682</v>
      </c>
      <c r="J9" s="101">
        <f>VLOOKUP(A9,'BSE ALL CAP'!$B$4:$Y$1038,9,)</f>
        <v>98</v>
      </c>
      <c r="K9" s="101">
        <f>VLOOKUP(A9,'BSE ALL CAP'!$B$4:$Y$1038,10,)</f>
        <v>83</v>
      </c>
      <c r="L9" s="101">
        <f>VLOOKUP(A9,'BSE ALL CAP'!$B$4:$Y$1038,11,)</f>
        <v>1848</v>
      </c>
      <c r="M9" s="101">
        <f>VLOOKUP(A9,'BSE ALL CAP'!$B$4:$Y$1038,12,)</f>
        <v>1754</v>
      </c>
      <c r="N9" s="101">
        <f>VLOOKUP(A9,'BSE ALL CAP'!$B$4:$Y$1038,13,)</f>
        <v>42</v>
      </c>
      <c r="O9" s="101">
        <f>VLOOKUP(A9,'BSE ALL CAP'!$B$4:$Y$1038,14,)</f>
        <v>64</v>
      </c>
      <c r="P9" s="95">
        <f>VLOOKUP(A9,'BSE ALL CAP'!$B$4:$Y$1038,15,)</f>
        <v>1.9174329876736451E-2</v>
      </c>
      <c r="Q9" s="95">
        <f>VLOOKUP(A9,'BSE ALL CAP'!$B$4:$Y$1038,16,)</f>
        <v>1.7727466894489535E-2</v>
      </c>
      <c r="R9" s="95">
        <f>VLOOKUP(A9,'BSE ALL CAP'!$B$4:$Y$1038,17,)</f>
        <v>1.4468629822469159E-3</v>
      </c>
      <c r="S9" s="95">
        <f>VLOOKUP(A9,'BSE ALL CAP'!$B$4:$Y$1038,18,)</f>
        <v>2.2727272727272728E-2</v>
      </c>
      <c r="T9" s="95">
        <f>VLOOKUP(A9,'BSE ALL CAP'!$B$4:$Y$1038,19,)</f>
        <v>3.6488027366020526E-2</v>
      </c>
      <c r="U9" s="95">
        <f>VLOOKUP(A9,'BSE ALL CAP'!$B$4:$Y$1038,20,)</f>
        <v>-1.3760754638747798E-2</v>
      </c>
      <c r="V9" s="95">
        <f>VLOOKUP(A9,'BSE ALL CAP'!$B$4:$Y$1038,21,)</f>
        <v>9.1627509611277302E-2</v>
      </c>
      <c r="W9" s="95">
        <f>VLOOKUP(A9,'BSE ALL CAP'!$B$4:$Y$1038,22,)</f>
        <v>0.18072289156626509</v>
      </c>
      <c r="X9" s="95">
        <f>VLOOKUP(A9,'BSE ALL CAP'!$B$4:$Y$1038,23,)</f>
        <v>5.3591790193842748E-2</v>
      </c>
      <c r="Y9" s="95">
        <f>VLOOKUP(A9,'BSE ALL CAP'!$B$4:$Y$1038,24,)</f>
        <v>-0.34375</v>
      </c>
    </row>
    <row r="10" spans="1:25" ht="15.75" customHeight="1">
      <c r="A10" s="99">
        <v>544314</v>
      </c>
      <c r="B10" s="98" t="s">
        <v>2537</v>
      </c>
      <c r="C10" s="101" t="str">
        <f>VLOOKUP(A10,'BSE ALL CAP'!$B$4:$Y$1038,2,)</f>
        <v>Consumer Discretionary</v>
      </c>
      <c r="D10" s="101" t="str">
        <f>VLOOKUP(A10,'BSE ALL CAP'!$B$4:$Y$1038,3,)</f>
        <v>Other Textile Products</v>
      </c>
      <c r="E10" s="101">
        <f ca="1">IFERROR(__xludf.DUMMYFUNCTION("GOOGLEFINANCE(""BOM:""&amp;A10,""PRICE"")"),423)</f>
        <v>423</v>
      </c>
      <c r="F10" s="112">
        <f ca="1">IFERROR(__xludf.DUMMYFUNCTION("GOOGLEFINANCE(""BOM:""&amp;A10,""MARKETCAP"")/10000000"),3579.9977292)</f>
        <v>3579.9977291999999</v>
      </c>
      <c r="G10" s="95">
        <f t="shared" ca="1" si="0"/>
        <v>2.3942227752533022E-2</v>
      </c>
      <c r="H10" s="101">
        <f>VLOOKUP(A10,'BSE ALL CAP'!$B$4:$Y$1038,7,)</f>
        <v>2642</v>
      </c>
      <c r="I10" s="101">
        <f>VLOOKUP(A10,'BSE ALL CAP'!$B$4:$Y$1038,8,)</f>
        <v>2266</v>
      </c>
      <c r="J10" s="101">
        <f>VLOOKUP(A10,'BSE ALL CAP'!$B$4:$Y$1038,9,)</f>
        <v>56</v>
      </c>
      <c r="K10" s="101">
        <f>VLOOKUP(A10,'BSE ALL CAP'!$B$4:$Y$1038,10,)</f>
        <v>117</v>
      </c>
      <c r="L10" s="101">
        <f>VLOOKUP(A10,'BSE ALL CAP'!$B$4:$Y$1038,11,)</f>
        <v>1079</v>
      </c>
      <c r="M10" s="101">
        <f>VLOOKUP(A10,'BSE ALL CAP'!$B$4:$Y$1038,12,)</f>
        <v>743</v>
      </c>
      <c r="N10" s="101">
        <f>VLOOKUP(A10,'BSE ALL CAP'!$B$4:$Y$1038,13,)</f>
        <v>-5</v>
      </c>
      <c r="O10" s="101">
        <f>VLOOKUP(A10,'BSE ALL CAP'!$B$4:$Y$1038,14,)</f>
        <v>34</v>
      </c>
      <c r="P10" s="95">
        <f>VLOOKUP(A10,'BSE ALL CAP'!$B$4:$Y$1038,15,)</f>
        <v>2.1196063588190765E-2</v>
      </c>
      <c r="Q10" s="95">
        <f>VLOOKUP(A10,'BSE ALL CAP'!$B$4:$Y$1038,16,)</f>
        <v>5.1632833186231242E-2</v>
      </c>
      <c r="R10" s="95">
        <f>VLOOKUP(A10,'BSE ALL CAP'!$B$4:$Y$1038,17,)</f>
        <v>-3.0436769598040477E-2</v>
      </c>
      <c r="S10" s="95">
        <f>VLOOKUP(A10,'BSE ALL CAP'!$B$4:$Y$1038,18,)</f>
        <v>-4.6339202965708986E-3</v>
      </c>
      <c r="T10" s="95">
        <f>VLOOKUP(A10,'BSE ALL CAP'!$B$4:$Y$1038,19,)</f>
        <v>4.5760430686406457E-2</v>
      </c>
      <c r="U10" s="95">
        <f>VLOOKUP(A10,'BSE ALL CAP'!$B$4:$Y$1038,20,)</f>
        <v>-5.0394350982977357E-2</v>
      </c>
      <c r="V10" s="95">
        <f>VLOOKUP(A10,'BSE ALL CAP'!$B$4:$Y$1038,21,)</f>
        <v>0.16593115622241839</v>
      </c>
      <c r="W10" s="95">
        <f>VLOOKUP(A10,'BSE ALL CAP'!$B$4:$Y$1038,22,)</f>
        <v>-0.52136752136752129</v>
      </c>
      <c r="X10" s="95">
        <f>VLOOKUP(A10,'BSE ALL CAP'!$B$4:$Y$1038,23,)</f>
        <v>0.45222072678331093</v>
      </c>
      <c r="Y10" s="95">
        <f>VLOOKUP(A10,'BSE ALL CAP'!$B$4:$Y$1038,24,)</f>
        <v>-1.1470588235294117</v>
      </c>
    </row>
    <row r="11" spans="1:25" ht="15.75" customHeight="1">
      <c r="A11" s="99">
        <v>514167</v>
      </c>
      <c r="B11" s="98" t="s">
        <v>2538</v>
      </c>
      <c r="C11" s="101" t="str">
        <f>VLOOKUP(A11,'BSE ALL CAP'!$B$4:$Y$1038,2,)</f>
        <v>Consumer Discretionary</v>
      </c>
      <c r="D11" s="101" t="str">
        <f>VLOOKUP(A11,'BSE ALL CAP'!$B$4:$Y$1038,3,)</f>
        <v>Other Textile Products</v>
      </c>
      <c r="E11" s="101">
        <f ca="1">IFERROR(__xludf.DUMMYFUNCTION("GOOGLEFINANCE(""BOM:""&amp;A11,""PRICE"")"),1082.75)</f>
        <v>1082.75</v>
      </c>
      <c r="F11" s="112">
        <f ca="1">IFERROR(__xludf.DUMMYFUNCTION("GOOGLEFINANCE(""BOM:""&amp;A11,""MARKETCAP"")/10000000"),2893.055437)</f>
        <v>2893.055437</v>
      </c>
      <c r="G11" s="95">
        <f t="shared" ca="1" si="0"/>
        <v>1.9348110644985365E-2</v>
      </c>
      <c r="H11" s="101">
        <f>VLOOKUP(A11,'BSE ALL CAP'!$B$4:$Y$1038,7,)</f>
        <v>1057</v>
      </c>
      <c r="I11" s="101">
        <f>VLOOKUP(A11,'BSE ALL CAP'!$B$4:$Y$1038,8,)</f>
        <v>1121</v>
      </c>
      <c r="J11" s="101">
        <f>VLOOKUP(A11,'BSE ALL CAP'!$B$4:$Y$1038,9,)</f>
        <v>15</v>
      </c>
      <c r="K11" s="101">
        <f>VLOOKUP(A11,'BSE ALL CAP'!$B$4:$Y$1038,10,)</f>
        <v>79</v>
      </c>
      <c r="L11" s="101">
        <f>VLOOKUP(A11,'BSE ALL CAP'!$B$4:$Y$1038,11,)</f>
        <v>357</v>
      </c>
      <c r="M11" s="101">
        <f>VLOOKUP(A11,'BSE ALL CAP'!$B$4:$Y$1038,12,)</f>
        <v>397</v>
      </c>
      <c r="N11" s="101">
        <f>VLOOKUP(A11,'BSE ALL CAP'!$B$4:$Y$1038,13,)</f>
        <v>4</v>
      </c>
      <c r="O11" s="101">
        <f>VLOOKUP(A11,'BSE ALL CAP'!$B$4:$Y$1038,14,)</f>
        <v>29</v>
      </c>
      <c r="P11" s="95">
        <f>VLOOKUP(A11,'BSE ALL CAP'!$B$4:$Y$1038,15,)</f>
        <v>1.4191106906338695E-2</v>
      </c>
      <c r="Q11" s="95">
        <f>VLOOKUP(A11,'BSE ALL CAP'!$B$4:$Y$1038,16,)</f>
        <v>7.0472792149866195E-2</v>
      </c>
      <c r="R11" s="95">
        <f>VLOOKUP(A11,'BSE ALL CAP'!$B$4:$Y$1038,17,)</f>
        <v>-5.6281685243527502E-2</v>
      </c>
      <c r="S11" s="95">
        <f>VLOOKUP(A11,'BSE ALL CAP'!$B$4:$Y$1038,18,)</f>
        <v>1.1204481792717087E-2</v>
      </c>
      <c r="T11" s="95">
        <f>VLOOKUP(A11,'BSE ALL CAP'!$B$4:$Y$1038,19,)</f>
        <v>7.3047858942065488E-2</v>
      </c>
      <c r="U11" s="95">
        <f>VLOOKUP(A11,'BSE ALL CAP'!$B$4:$Y$1038,20,)</f>
        <v>-6.18433771493484E-2</v>
      </c>
      <c r="V11" s="95">
        <f>VLOOKUP(A11,'BSE ALL CAP'!$B$4:$Y$1038,21,)</f>
        <v>-5.7091882247992887E-2</v>
      </c>
      <c r="W11" s="95">
        <f>VLOOKUP(A11,'BSE ALL CAP'!$B$4:$Y$1038,22,)</f>
        <v>-0.810126582278481</v>
      </c>
      <c r="X11" s="95">
        <f>VLOOKUP(A11,'BSE ALL CAP'!$B$4:$Y$1038,23,)</f>
        <v>-0.10075566750629728</v>
      </c>
      <c r="Y11" s="95">
        <f>VLOOKUP(A11,'BSE ALL CAP'!$B$4:$Y$1038,24,)</f>
        <v>-0.86206896551724133</v>
      </c>
    </row>
    <row r="12" spans="1:25" ht="15.75" customHeight="1">
      <c r="A12" s="99">
        <v>514234</v>
      </c>
      <c r="B12" s="98" t="s">
        <v>2539</v>
      </c>
      <c r="C12" s="101" t="str">
        <f>VLOOKUP(A12,'BSE ALL CAP'!$B$4:$Y$1038,2,)</f>
        <v>Consumer Discretionary</v>
      </c>
      <c r="D12" s="101" t="str">
        <f>VLOOKUP(A12,'BSE ALL CAP'!$B$4:$Y$1038,3,)</f>
        <v>Other Textile Products</v>
      </c>
      <c r="E12" s="101">
        <f ca="1">IFERROR(__xludf.DUMMYFUNCTION("GOOGLEFINANCE(""BOM:""&amp;A12,""PRICE"")"),440.75)</f>
        <v>440.75</v>
      </c>
      <c r="F12" s="112">
        <f ca="1">IFERROR(__xludf.DUMMYFUNCTION("GOOGLEFINANCE(""BOM:""&amp;A12,""MARKETCAP"")/10000000"),2173.1264589)</f>
        <v>2173.1264589000002</v>
      </c>
      <c r="G12" s="95">
        <f t="shared" ca="1" si="0"/>
        <v>1.4533385926383285E-2</v>
      </c>
      <c r="H12" s="101">
        <f>VLOOKUP(A12,'BSE ALL CAP'!$B$4:$Y$1038,7,)</f>
        <v>2350</v>
      </c>
      <c r="I12" s="101">
        <f>VLOOKUP(A12,'BSE ALL CAP'!$B$4:$Y$1038,8,)</f>
        <v>2122</v>
      </c>
      <c r="J12" s="101">
        <f>VLOOKUP(A12,'BSE ALL CAP'!$B$4:$Y$1038,9,)</f>
        <v>49</v>
      </c>
      <c r="K12" s="101">
        <f>VLOOKUP(A12,'BSE ALL CAP'!$B$4:$Y$1038,10,)</f>
        <v>22</v>
      </c>
      <c r="L12" s="101">
        <f>VLOOKUP(A12,'BSE ALL CAP'!$B$4:$Y$1038,11,)</f>
        <v>774</v>
      </c>
      <c r="M12" s="101">
        <f>VLOOKUP(A12,'BSE ALL CAP'!$B$4:$Y$1038,12,)</f>
        <v>753</v>
      </c>
      <c r="N12" s="101">
        <f>VLOOKUP(A12,'BSE ALL CAP'!$B$4:$Y$1038,13,)</f>
        <v>24</v>
      </c>
      <c r="O12" s="101">
        <f>VLOOKUP(A12,'BSE ALL CAP'!$B$4:$Y$1038,14,)</f>
        <v>2</v>
      </c>
      <c r="P12" s="95">
        <f>VLOOKUP(A12,'BSE ALL CAP'!$B$4:$Y$1038,15,)</f>
        <v>2.0851063829787235E-2</v>
      </c>
      <c r="Q12" s="95">
        <f>VLOOKUP(A12,'BSE ALL CAP'!$B$4:$Y$1038,16,)</f>
        <v>1.0367577756833177E-2</v>
      </c>
      <c r="R12" s="95">
        <f>VLOOKUP(A12,'BSE ALL CAP'!$B$4:$Y$1038,17,)</f>
        <v>1.0483486072954058E-2</v>
      </c>
      <c r="S12" s="95">
        <f>VLOOKUP(A12,'BSE ALL CAP'!$B$4:$Y$1038,18,)</f>
        <v>3.1007751937984496E-2</v>
      </c>
      <c r="T12" s="95">
        <f>VLOOKUP(A12,'BSE ALL CAP'!$B$4:$Y$1038,19,)</f>
        <v>2.6560424966799467E-3</v>
      </c>
      <c r="U12" s="95">
        <f>VLOOKUP(A12,'BSE ALL CAP'!$B$4:$Y$1038,20,)</f>
        <v>2.8351709441304548E-2</v>
      </c>
      <c r="V12" s="95">
        <f>VLOOKUP(A12,'BSE ALL CAP'!$B$4:$Y$1038,21,)</f>
        <v>0.10744580584354391</v>
      </c>
      <c r="W12" s="95">
        <f>VLOOKUP(A12,'BSE ALL CAP'!$B$4:$Y$1038,22,)</f>
        <v>1.2272727272727271</v>
      </c>
      <c r="X12" s="95">
        <f>VLOOKUP(A12,'BSE ALL CAP'!$B$4:$Y$1038,23,)</f>
        <v>2.7888446215139417E-2</v>
      </c>
      <c r="Y12" s="95">
        <f>VLOOKUP(A12,'BSE ALL CAP'!$B$4:$Y$1038,24,)</f>
        <v>11</v>
      </c>
    </row>
    <row r="13" spans="1:25" ht="15.75" customHeight="1">
      <c r="A13" s="99">
        <v>503811</v>
      </c>
      <c r="B13" s="98" t="s">
        <v>2540</v>
      </c>
      <c r="C13" s="101" t="str">
        <f>VLOOKUP(A13,'BSE ALL CAP'!$B$4:$Y$1038,2,)</f>
        <v>Consumer Discretionary</v>
      </c>
      <c r="D13" s="101" t="str">
        <f>VLOOKUP(A13,'BSE ALL CAP'!$B$4:$Y$1038,3,)</f>
        <v>Other Textile Products</v>
      </c>
      <c r="E13" s="101">
        <f ca="1">IFERROR(__xludf.DUMMYFUNCTION("GOOGLEFINANCE(""BOM:""&amp;A13,""PRICE"")"),500)</f>
        <v>500</v>
      </c>
      <c r="F13" s="112">
        <f ca="1">IFERROR(__xludf.DUMMYFUNCTION("GOOGLEFINANCE(""BOM:""&amp;A13,""MARKETCAP"")/10000000"),2275.0832184)</f>
        <v>2275.0832184000001</v>
      </c>
      <c r="G13" s="95">
        <f t="shared" ca="1" si="0"/>
        <v>1.5215250033991176E-2</v>
      </c>
      <c r="H13" s="101">
        <f>VLOOKUP(A13,'BSE ALL CAP'!$B$4:$Y$1038,7,)</f>
        <v>1719</v>
      </c>
      <c r="I13" s="101">
        <f>VLOOKUP(A13,'BSE ALL CAP'!$B$4:$Y$1038,8,)</f>
        <v>1485</v>
      </c>
      <c r="J13" s="101">
        <f>VLOOKUP(A13,'BSE ALL CAP'!$B$4:$Y$1038,9,)</f>
        <v>133</v>
      </c>
      <c r="K13" s="101">
        <f>VLOOKUP(A13,'BSE ALL CAP'!$B$4:$Y$1038,10,)</f>
        <v>125</v>
      </c>
      <c r="L13" s="101">
        <f>VLOOKUP(A13,'BSE ALL CAP'!$B$4:$Y$1038,11,)</f>
        <v>624</v>
      </c>
      <c r="M13" s="101">
        <f>VLOOKUP(A13,'BSE ALL CAP'!$B$4:$Y$1038,12,)</f>
        <v>570</v>
      </c>
      <c r="N13" s="101">
        <f>VLOOKUP(A13,'BSE ALL CAP'!$B$4:$Y$1038,13,)</f>
        <v>41</v>
      </c>
      <c r="O13" s="101">
        <f>VLOOKUP(A13,'BSE ALL CAP'!$B$4:$Y$1038,14,)</f>
        <v>45</v>
      </c>
      <c r="P13" s="95">
        <f>VLOOKUP(A13,'BSE ALL CAP'!$B$4:$Y$1038,15,)</f>
        <v>7.7370564281559043E-2</v>
      </c>
      <c r="Q13" s="95">
        <f>VLOOKUP(A13,'BSE ALL CAP'!$B$4:$Y$1038,16,)</f>
        <v>8.4175084175084181E-2</v>
      </c>
      <c r="R13" s="95">
        <f>VLOOKUP(A13,'BSE ALL CAP'!$B$4:$Y$1038,17,)</f>
        <v>-6.8045198935251378E-3</v>
      </c>
      <c r="S13" s="95">
        <f>VLOOKUP(A13,'BSE ALL CAP'!$B$4:$Y$1038,18,)</f>
        <v>6.5705128205128208E-2</v>
      </c>
      <c r="T13" s="95">
        <f>VLOOKUP(A13,'BSE ALL CAP'!$B$4:$Y$1038,19,)</f>
        <v>7.8947368421052627E-2</v>
      </c>
      <c r="U13" s="95">
        <f>VLOOKUP(A13,'BSE ALL CAP'!$B$4:$Y$1038,20,)</f>
        <v>-1.324224021592442E-2</v>
      </c>
      <c r="V13" s="95">
        <f>VLOOKUP(A13,'BSE ALL CAP'!$B$4:$Y$1038,21,)</f>
        <v>0.15757575757575748</v>
      </c>
      <c r="W13" s="95">
        <f>VLOOKUP(A13,'BSE ALL CAP'!$B$4:$Y$1038,22,)</f>
        <v>6.4000000000000057E-2</v>
      </c>
      <c r="X13" s="95">
        <f>VLOOKUP(A13,'BSE ALL CAP'!$B$4:$Y$1038,23,)</f>
        <v>9.473684210526323E-2</v>
      </c>
      <c r="Y13" s="95">
        <f>VLOOKUP(A13,'BSE ALL CAP'!$B$4:$Y$1038,24,)</f>
        <v>-8.8888888888888906E-2</v>
      </c>
    </row>
    <row r="14" spans="1:25" ht="15.75" customHeight="1">
      <c r="A14" s="99">
        <v>500020</v>
      </c>
      <c r="B14" s="98" t="s">
        <v>2541</v>
      </c>
      <c r="C14" s="101" t="str">
        <f>VLOOKUP(A14,'BSE ALL CAP'!$B$4:$Y$1038,2,)</f>
        <v>Consumer Discretionary</v>
      </c>
      <c r="D14" s="101" t="str">
        <f>VLOOKUP(A14,'BSE ALL CAP'!$B$4:$Y$1038,3,)</f>
        <v>Other Textile Products</v>
      </c>
      <c r="E14" s="101">
        <f ca="1">IFERROR(__xludf.DUMMYFUNCTION("GOOGLEFINANCE(""BOM:""&amp;A14,""PRICE"")"),102.81)</f>
        <v>102.81</v>
      </c>
      <c r="F14" s="112">
        <f ca="1">IFERROR(__xludf.DUMMYFUNCTION("GOOGLEFINANCE(""BOM:""&amp;A14,""MARKETCAP"")/10000000"),2122.3526765)</f>
        <v>2122.3526765000001</v>
      </c>
      <c r="G14" s="95">
        <f t="shared" ca="1" si="0"/>
        <v>1.4193822174104033E-2</v>
      </c>
      <c r="H14" s="101">
        <f>VLOOKUP(A14,'BSE ALL CAP'!$B$4:$Y$1038,7,)</f>
        <v>1064</v>
      </c>
      <c r="I14" s="101">
        <f>VLOOKUP(A14,'BSE ALL CAP'!$B$4:$Y$1038,8,)</f>
        <v>1246</v>
      </c>
      <c r="J14" s="101">
        <f>VLOOKUP(A14,'BSE ALL CAP'!$B$4:$Y$1038,9,)</f>
        <v>6</v>
      </c>
      <c r="K14" s="101">
        <f>VLOOKUP(A14,'BSE ALL CAP'!$B$4:$Y$1038,10,)</f>
        <v>479</v>
      </c>
      <c r="L14" s="101">
        <f>VLOOKUP(A14,'BSE ALL CAP'!$B$4:$Y$1038,11,)</f>
        <v>324</v>
      </c>
      <c r="M14" s="101">
        <f>VLOOKUP(A14,'BSE ALL CAP'!$B$4:$Y$1038,12,)</f>
        <v>415</v>
      </c>
      <c r="N14" s="101">
        <f>VLOOKUP(A14,'BSE ALL CAP'!$B$4:$Y$1038,13,)</f>
        <v>-10</v>
      </c>
      <c r="O14" s="101">
        <f>VLOOKUP(A14,'BSE ALL CAP'!$B$4:$Y$1038,14,)</f>
        <v>70</v>
      </c>
      <c r="P14" s="95">
        <f>VLOOKUP(A14,'BSE ALL CAP'!$B$4:$Y$1038,15,)</f>
        <v>5.6390977443609019E-3</v>
      </c>
      <c r="Q14" s="95">
        <f>VLOOKUP(A14,'BSE ALL CAP'!$B$4:$Y$1038,16,)</f>
        <v>0.38443017656500805</v>
      </c>
      <c r="R14" s="95">
        <f>VLOOKUP(A14,'BSE ALL CAP'!$B$4:$Y$1038,17,)</f>
        <v>-0.37879107882064716</v>
      </c>
      <c r="S14" s="95">
        <f>VLOOKUP(A14,'BSE ALL CAP'!$B$4:$Y$1038,18,)</f>
        <v>-3.0864197530864196E-2</v>
      </c>
      <c r="T14" s="95">
        <f>VLOOKUP(A14,'BSE ALL CAP'!$B$4:$Y$1038,19,)</f>
        <v>0.16867469879518071</v>
      </c>
      <c r="U14" s="95">
        <f>VLOOKUP(A14,'BSE ALL CAP'!$B$4:$Y$1038,20,)</f>
        <v>-0.19953889632604491</v>
      </c>
      <c r="V14" s="95">
        <f>VLOOKUP(A14,'BSE ALL CAP'!$B$4:$Y$1038,21,)</f>
        <v>-0.1460674157303371</v>
      </c>
      <c r="W14" s="95">
        <f>VLOOKUP(A14,'BSE ALL CAP'!$B$4:$Y$1038,22,)</f>
        <v>-0.98747390396659707</v>
      </c>
      <c r="X14" s="95">
        <f>VLOOKUP(A14,'BSE ALL CAP'!$B$4:$Y$1038,23,)</f>
        <v>-0.21927710843373494</v>
      </c>
      <c r="Y14" s="95">
        <f>VLOOKUP(A14,'BSE ALL CAP'!$B$4:$Y$1038,24,)</f>
        <v>-1.1428571428571428</v>
      </c>
    </row>
    <row r="15" spans="1:25" ht="15.75" customHeight="1">
      <c r="A15" s="99">
        <v>532698</v>
      </c>
      <c r="B15" s="98" t="s">
        <v>2542</v>
      </c>
      <c r="C15" s="101" t="e">
        <f>VLOOKUP(A15,'BSE ALL CAP'!$B$4:$Y$1038,2,)</f>
        <v>#N/A</v>
      </c>
      <c r="D15" s="101" t="e">
        <f>VLOOKUP(A15,'BSE ALL CAP'!$B$4:$Y$1038,3,)</f>
        <v>#N/A</v>
      </c>
      <c r="E15" s="101">
        <f ca="1">IFERROR(__xludf.DUMMYFUNCTION("GOOGLEFINANCE(""BOM:""&amp;A15,""PRICE"")"),377.1)</f>
        <v>377.1</v>
      </c>
      <c r="F15" s="112">
        <f ca="1">IFERROR(__xludf.DUMMYFUNCTION("GOOGLEFINANCE(""BOM:""&amp;A15,""MARKETCAP"")/10000000"),2118.6499806)</f>
        <v>2118.6499806000002</v>
      </c>
      <c r="G15" s="95">
        <f t="shared" ca="1" si="0"/>
        <v>1.4169059368303042E-2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531543</v>
      </c>
      <c r="B16" s="98" t="s">
        <v>2543</v>
      </c>
      <c r="C16" s="101" t="str">
        <f>VLOOKUP(A16,'BSE ALL CAP'!$B$4:$Y$1038,2,)</f>
        <v>Consumer Discretionary</v>
      </c>
      <c r="D16" s="101" t="str">
        <f>VLOOKUP(A16,'BSE ALL CAP'!$B$4:$Y$1038,3,)</f>
        <v>Other Textile Products</v>
      </c>
      <c r="E16" s="101">
        <f ca="1">IFERROR(__xludf.DUMMYFUNCTION("GOOGLEFINANCE(""BOM:""&amp;A16,""PRICE"")"),20.82)</f>
        <v>20.82</v>
      </c>
      <c r="F16" s="112">
        <f ca="1">IFERROR(__xludf.DUMMYFUNCTION("GOOGLEFINANCE(""BOM:""&amp;A16,""MARKETCAP"")/10000000"),2091.4257471)</f>
        <v>2091.4257471000001</v>
      </c>
      <c r="G16" s="95">
        <f t="shared" ca="1" si="0"/>
        <v>1.3986989755931864E-2</v>
      </c>
      <c r="H16" s="101">
        <f>VLOOKUP(A16,'BSE ALL CAP'!$B$4:$Y$1038,7,)</f>
        <v>1645</v>
      </c>
      <c r="I16" s="101">
        <f>VLOOKUP(A16,'BSE ALL CAP'!$B$4:$Y$1038,8,)</f>
        <v>1682</v>
      </c>
      <c r="J16" s="101">
        <f>VLOOKUP(A16,'BSE ALL CAP'!$B$4:$Y$1038,9,)</f>
        <v>43</v>
      </c>
      <c r="K16" s="101">
        <f>VLOOKUP(A16,'BSE ALL CAP'!$B$4:$Y$1038,10,)</f>
        <v>53</v>
      </c>
      <c r="L16" s="101">
        <f>VLOOKUP(A16,'BSE ALL CAP'!$B$4:$Y$1038,11,)</f>
        <v>532</v>
      </c>
      <c r="M16" s="101">
        <f>VLOOKUP(A16,'BSE ALL CAP'!$B$4:$Y$1038,12,)</f>
        <v>624</v>
      </c>
      <c r="N16" s="101">
        <f>VLOOKUP(A16,'BSE ALL CAP'!$B$4:$Y$1038,13,)</f>
        <v>14</v>
      </c>
      <c r="O16" s="101">
        <f>VLOOKUP(A16,'BSE ALL CAP'!$B$4:$Y$1038,14,)</f>
        <v>18</v>
      </c>
      <c r="P16" s="95">
        <f>VLOOKUP(A16,'BSE ALL CAP'!$B$4:$Y$1038,15,)</f>
        <v>2.6139817629179333E-2</v>
      </c>
      <c r="Q16" s="95">
        <f>VLOOKUP(A16,'BSE ALL CAP'!$B$4:$Y$1038,16,)</f>
        <v>3.151010701545779E-2</v>
      </c>
      <c r="R16" s="95">
        <f>VLOOKUP(A16,'BSE ALL CAP'!$B$4:$Y$1038,17,)</f>
        <v>-5.3702893862784574E-3</v>
      </c>
      <c r="S16" s="95">
        <f>VLOOKUP(A16,'BSE ALL CAP'!$B$4:$Y$1038,18,)</f>
        <v>2.6315789473684209E-2</v>
      </c>
      <c r="T16" s="95">
        <f>VLOOKUP(A16,'BSE ALL CAP'!$B$4:$Y$1038,19,)</f>
        <v>2.8846153846153848E-2</v>
      </c>
      <c r="U16" s="95">
        <f>VLOOKUP(A16,'BSE ALL CAP'!$B$4:$Y$1038,20,)</f>
        <v>-2.5303643724696387E-3</v>
      </c>
      <c r="V16" s="95">
        <f>VLOOKUP(A16,'BSE ALL CAP'!$B$4:$Y$1038,21,)</f>
        <v>-2.199762187871579E-2</v>
      </c>
      <c r="W16" s="95">
        <f>VLOOKUP(A16,'BSE ALL CAP'!$B$4:$Y$1038,22,)</f>
        <v>-0.18867924528301883</v>
      </c>
      <c r="X16" s="95">
        <f>VLOOKUP(A16,'BSE ALL CAP'!$B$4:$Y$1038,23,)</f>
        <v>-0.14743589743589747</v>
      </c>
      <c r="Y16" s="95">
        <f>VLOOKUP(A16,'BSE ALL CAP'!$B$4:$Y$1038,24,)</f>
        <v>-0.22222222222222221</v>
      </c>
    </row>
    <row r="17" spans="1:25" ht="15.75" customHeight="1">
      <c r="A17" s="99">
        <v>526227</v>
      </c>
      <c r="B17" s="98" t="s">
        <v>2544</v>
      </c>
      <c r="C17" s="101"/>
      <c r="D17" s="101"/>
      <c r="E17" s="101">
        <f ca="1">IFERROR(__xludf.DUMMYFUNCTION("GOOGLEFINANCE(""BOM:""&amp;A17,""PRICE"")"),42.04)</f>
        <v>42.04</v>
      </c>
      <c r="F17" s="112">
        <f ca="1">IFERROR(__xludf.DUMMYFUNCTION("GOOGLEFINANCE(""BOM:""&amp;A17,""MARKETCAP"")/10000000"),1866.8211338)</f>
        <v>1866.8211338000001</v>
      </c>
      <c r="G17" s="95">
        <f t="shared" ca="1" si="0"/>
        <v>1.2484884108758761E-2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540718</v>
      </c>
      <c r="B18" s="98" t="s">
        <v>2545</v>
      </c>
      <c r="C18" s="101"/>
      <c r="D18" s="101"/>
      <c r="E18" s="101">
        <f ca="1">IFERROR(__xludf.DUMMYFUNCTION("GOOGLEFINANCE(""BOM:""&amp;A18,""PRICE"")"),1126.95)</f>
        <v>1126.95</v>
      </c>
      <c r="F18" s="112">
        <f ca="1">IFERROR(__xludf.DUMMYFUNCTION("GOOGLEFINANCE(""BOM:""&amp;A18,""MARKETCAP"")/10000000"),1725.6049233)</f>
        <v>1725.6049233000001</v>
      </c>
      <c r="G18" s="95">
        <f t="shared" ca="1" si="0"/>
        <v>1.1540461533692998E-2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544448</v>
      </c>
      <c r="B19" s="98" t="s">
        <v>2546</v>
      </c>
      <c r="C19" s="101"/>
      <c r="D19" s="101"/>
      <c r="E19" s="101">
        <f ca="1">IFERROR(__xludf.DUMMYFUNCTION("GOOGLEFINANCE(""BOM:""&amp;A19,""PRICE"")"),999.9)</f>
        <v>999.9</v>
      </c>
      <c r="F19" s="112">
        <f ca="1">IFERROR(__xludf.DUMMYFUNCTION("GOOGLEFINANCE(""BOM:""&amp;A19,""MARKETCAP"")/10000000"),1576.8216)</f>
        <v>1576.8216</v>
      </c>
      <c r="G19" s="95">
        <f t="shared" ca="1" si="0"/>
        <v>1.0545431792983251E-2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514211</v>
      </c>
      <c r="B20" s="98" t="s">
        <v>2547</v>
      </c>
      <c r="C20" s="101"/>
      <c r="D20" s="101"/>
      <c r="E20" s="101">
        <f ca="1">IFERROR(__xludf.DUMMYFUNCTION("GOOGLEFINANCE(""BOM:""&amp;A20,""PRICE"")"),29.03)</f>
        <v>29.03</v>
      </c>
      <c r="F20" s="112">
        <f ca="1">IFERROR(__xludf.DUMMYFUNCTION("GOOGLEFINANCE(""BOM:""&amp;A20,""MARKETCAP"")/10000000"),1525.8181922)</f>
        <v>1525.8181922000001</v>
      </c>
      <c r="G20" s="95">
        <f t="shared" ca="1" si="0"/>
        <v>1.020433235715322E-2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539221</v>
      </c>
      <c r="B21" s="98" t="s">
        <v>2548</v>
      </c>
      <c r="C21" s="101"/>
      <c r="D21" s="101"/>
      <c r="E21" s="101">
        <f ca="1">IFERROR(__xludf.DUMMYFUNCTION("GOOGLEFINANCE(""BOM:""&amp;A21,""PRICE"")"),131.3)</f>
        <v>131.30000000000001</v>
      </c>
      <c r="F21" s="112">
        <f ca="1">IFERROR(__xludf.DUMMYFUNCTION("GOOGLEFINANCE(""BOM:""&amp;A21,""MARKETCAP"")/10000000"),1671.6321987)</f>
        <v>1671.6321986999999</v>
      </c>
      <c r="G21" s="95">
        <f t="shared" ca="1" si="0"/>
        <v>1.117950396820127E-2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530699</v>
      </c>
      <c r="B22" s="98" t="s">
        <v>2549</v>
      </c>
      <c r="C22" s="101"/>
      <c r="D22" s="101"/>
      <c r="E22" s="101">
        <f ca="1">IFERROR(__xludf.DUMMYFUNCTION("GOOGLEFINANCE(""BOM:""&amp;A22,""PRICE"")"),20.15)</f>
        <v>20.149999999999999</v>
      </c>
      <c r="F22" s="112">
        <f ca="1">IFERROR(__xludf.DUMMYFUNCTION("GOOGLEFINANCE(""BOM:""&amp;A22,""MARKETCAP"")/10000000"),1128.8478385)</f>
        <v>1128.8478385000001</v>
      </c>
      <c r="G22" s="95">
        <f t="shared" ca="1" si="0"/>
        <v>7.5494830141585607E-3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508933</v>
      </c>
      <c r="B23" s="98" t="s">
        <v>2550</v>
      </c>
      <c r="C23" s="101"/>
      <c r="D23" s="101"/>
      <c r="E23" s="101">
        <f ca="1">IFERROR(__xludf.DUMMYFUNCTION("GOOGLEFINANCE(""BOM:""&amp;A23,""PRICE"")"),185.8)</f>
        <v>185.8</v>
      </c>
      <c r="F23" s="112">
        <f ca="1">IFERROR(__xludf.DUMMYFUNCTION("GOOGLEFINANCE(""BOM:""&amp;A23,""MARKETCAP"")/10000000"),1093.152965)</f>
        <v>1093.152965</v>
      </c>
      <c r="G23" s="95">
        <f t="shared" ca="1" si="0"/>
        <v>7.3107636473935343E-3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512233</v>
      </c>
      <c r="B24" s="98" t="s">
        <v>2551</v>
      </c>
      <c r="C24" s="101"/>
      <c r="D24" s="101"/>
      <c r="E24" s="101">
        <f ca="1">IFERROR(__xludf.DUMMYFUNCTION("GOOGLEFINANCE(""BOM:""&amp;A24,""PRICE"")"),26.16)</f>
        <v>26.16</v>
      </c>
      <c r="F24" s="112">
        <f ca="1">IFERROR(__xludf.DUMMYFUNCTION("GOOGLEFINANCE(""BOM:""&amp;A24,""MARKETCAP"")/10000000"),1001.503)</f>
        <v>1001.503</v>
      </c>
      <c r="G24" s="95">
        <f t="shared" ca="1" si="0"/>
        <v>6.6978290866690979E-3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514043</v>
      </c>
      <c r="B25" s="98" t="s">
        <v>2552</v>
      </c>
      <c r="C25" s="101"/>
      <c r="D25" s="101"/>
      <c r="E25" s="101">
        <f ca="1">IFERROR(__xludf.DUMMYFUNCTION("GOOGLEFINANCE(""BOM:""&amp;A25,""PRICE"")"),84.03)</f>
        <v>84.03</v>
      </c>
      <c r="F25" s="112">
        <f ca="1">IFERROR(__xludf.DUMMYFUNCTION("GOOGLEFINANCE(""BOM:""&amp;A25,""MARKETCAP"")/10000000"),1057.4927238)</f>
        <v>1057.4927238</v>
      </c>
      <c r="G25" s="95">
        <f t="shared" ca="1" si="0"/>
        <v>7.0722758937402791E-3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530079</v>
      </c>
      <c r="B26" s="98" t="s">
        <v>2553</v>
      </c>
      <c r="C26" s="101"/>
      <c r="D26" s="101"/>
      <c r="E26" s="101">
        <f ca="1">IFERROR(__xludf.DUMMYFUNCTION("GOOGLEFINANCE(""BOM:""&amp;A26,""PRICE"")"),435)</f>
        <v>435</v>
      </c>
      <c r="F26" s="112">
        <f ca="1">IFERROR(__xludf.DUMMYFUNCTION("GOOGLEFINANCE(""BOM:""&amp;A26,""MARKETCAP"")/10000000"),1049.4745659)</f>
        <v>1049.4745659</v>
      </c>
      <c r="G26" s="95">
        <f t="shared" ca="1" si="0"/>
        <v>7.0186522388893946E-3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544522</v>
      </c>
      <c r="B27" s="98" t="s">
        <v>2554</v>
      </c>
      <c r="C27" s="101"/>
      <c r="D27" s="101"/>
      <c r="E27" s="101">
        <f ca="1">IFERROR(__xludf.DUMMYFUNCTION("GOOGLEFINANCE(""BOM:""&amp;A27,""PRICE"")"),404.2)</f>
        <v>404.2</v>
      </c>
      <c r="F27" s="112">
        <f ca="1">IFERROR(__xludf.DUMMYFUNCTION("GOOGLEFINANCE(""BOM:""&amp;A27,""MARKETCAP"")/10000000"),891.1738815)</f>
        <v>891.17388149999999</v>
      </c>
      <c r="G27" s="95">
        <f t="shared" ca="1" si="0"/>
        <v>5.9599725061138106E-3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500280</v>
      </c>
      <c r="B28" s="98" t="s">
        <v>2555</v>
      </c>
      <c r="C28" s="101"/>
      <c r="D28" s="101"/>
      <c r="E28" s="101">
        <f ca="1">IFERROR(__xludf.DUMMYFUNCTION("GOOGLEFINANCE(""BOM:""&amp;A28,""PRICE"")"),401.95)</f>
        <v>401.95</v>
      </c>
      <c r="F28" s="112">
        <f ca="1">IFERROR(__xludf.DUMMYFUNCTION("GOOGLEFINANCE(""BOM:""&amp;A28,""MARKETCAP"")/10000000"),880.578777)</f>
        <v>880.57877699999995</v>
      </c>
      <c r="G28" s="95">
        <f t="shared" ca="1" si="0"/>
        <v>5.8891148061404721E-3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544404</v>
      </c>
      <c r="B29" s="98" t="s">
        <v>2556</v>
      </c>
      <c r="C29" s="101"/>
      <c r="D29" s="101"/>
      <c r="E29" s="101">
        <f ca="1">IFERROR(__xludf.DUMMYFUNCTION("GOOGLEFINANCE(""BOM:""&amp;A29,""PRICE"")"),310.55)</f>
        <v>310.55</v>
      </c>
      <c r="F29" s="112">
        <f ca="1">IFERROR(__xludf.DUMMYFUNCTION("GOOGLEFINANCE(""BOM:""&amp;A29,""MARKETCAP"")/10000000"),831.0665788)</f>
        <v>831.0665788</v>
      </c>
      <c r="G29" s="95">
        <f t="shared" ca="1" si="0"/>
        <v>5.5579882481083089E-3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500207</v>
      </c>
      <c r="B30" s="98" t="s">
        <v>2557</v>
      </c>
      <c r="C30" s="101"/>
      <c r="D30" s="101"/>
      <c r="E30" s="101">
        <f ca="1">IFERROR(__xludf.DUMMYFUNCTION("GOOGLEFINANCE(""BOM:""&amp;A30,""PRICE"")"),33.31)</f>
        <v>33.31</v>
      </c>
      <c r="F30" s="112">
        <f ca="1">IFERROR(__xludf.DUMMYFUNCTION("GOOGLEFINANCE(""BOM:""&amp;A30,""MARKETCAP"")/10000000"),873.6470126)</f>
        <v>873.64701260000004</v>
      </c>
      <c r="G30" s="95">
        <f t="shared" ca="1" si="0"/>
        <v>5.8427567091400064E-3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500264</v>
      </c>
      <c r="B31" s="98" t="s">
        <v>2558</v>
      </c>
      <c r="C31" s="101"/>
      <c r="D31" s="101"/>
      <c r="E31" s="101">
        <f ca="1">IFERROR(__xludf.DUMMYFUNCTION("GOOGLEFINANCE(""BOM:""&amp;A31,""PRICE"")"),116)</f>
        <v>116</v>
      </c>
      <c r="F31" s="112">
        <f ca="1">IFERROR(__xludf.DUMMYFUNCTION("GOOGLEFINANCE(""BOM:""&amp;A31,""MARKETCAP"")/10000000"),839.2665279)</f>
        <v>839.26652790000003</v>
      </c>
      <c r="G31" s="95">
        <f t="shared" ca="1" si="0"/>
        <v>5.6128276820303106E-3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500296</v>
      </c>
      <c r="B32" s="98" t="s">
        <v>2559</v>
      </c>
      <c r="C32" s="101"/>
      <c r="D32" s="101"/>
      <c r="E32" s="101">
        <f ca="1">IFERROR(__xludf.DUMMYFUNCTION("GOOGLEFINANCE(""BOM:""&amp;A32,""PRICE"")"),228)</f>
        <v>228</v>
      </c>
      <c r="F32" s="112">
        <f ca="1">IFERROR(__xludf.DUMMYFUNCTION("GOOGLEFINANCE(""BOM:""&amp;A32,""MARKETCAP"")/10000000"),823.0462355)</f>
        <v>823.04623549999997</v>
      </c>
      <c r="G32" s="95">
        <f t="shared" ca="1" si="0"/>
        <v>5.5043499777887878E-3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532893</v>
      </c>
      <c r="B33" s="98" t="s">
        <v>2560</v>
      </c>
      <c r="C33" s="101"/>
      <c r="D33" s="101"/>
      <c r="E33" s="101">
        <f ca="1">IFERROR(__xludf.DUMMYFUNCTION("GOOGLEFINANCE(""BOM:""&amp;A33,""PRICE"")"),82)</f>
        <v>82</v>
      </c>
      <c r="F33" s="112">
        <f ca="1">IFERROR(__xludf.DUMMYFUNCTION("GOOGLEFINANCE(""BOM:""&amp;A33,""MARKETCAP"")/10000000"),824.6658)</f>
        <v>824.66579999999999</v>
      </c>
      <c r="G33" s="95">
        <f t="shared" ca="1" si="0"/>
        <v>5.5151812645805763E-3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539300</v>
      </c>
      <c r="B34" s="98" t="s">
        <v>2561</v>
      </c>
      <c r="C34" s="101"/>
      <c r="D34" s="101"/>
      <c r="E34" s="101">
        <f ca="1">IFERROR(__xludf.DUMMYFUNCTION("GOOGLEFINANCE(""BOM:""&amp;A34,""PRICE"")"),236)</f>
        <v>236</v>
      </c>
      <c r="F34" s="112">
        <f ca="1">IFERROR(__xludf.DUMMYFUNCTION("GOOGLEFINANCE(""BOM:""&amp;A34,""MARKETCAP"")/10000000"),737.8056)</f>
        <v>737.80560000000003</v>
      </c>
      <c r="G34" s="95">
        <f t="shared" ca="1" si="0"/>
        <v>4.934279585769934E-3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503169</v>
      </c>
      <c r="B35" s="98" t="s">
        <v>2562</v>
      </c>
      <c r="C35" s="101"/>
      <c r="D35" s="101"/>
      <c r="E35" s="101">
        <f ca="1">IFERROR(__xludf.DUMMYFUNCTION("GOOGLEFINANCE(""BOM:""&amp;A35,""PRICE"")"),207.3)</f>
        <v>207.3</v>
      </c>
      <c r="F35" s="112">
        <f ca="1">IFERROR(__xludf.DUMMYFUNCTION("GOOGLEFINANCE(""BOM:""&amp;A35,""MARKETCAP"")/10000000"),690.536)</f>
        <v>690.53599999999994</v>
      </c>
      <c r="G35" s="95">
        <f t="shared" ca="1" si="0"/>
        <v>4.6181510252012543E-3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531978</v>
      </c>
      <c r="B36" s="98" t="s">
        <v>2563</v>
      </c>
      <c r="C36" s="101"/>
      <c r="D36" s="101"/>
      <c r="E36" s="101">
        <f ca="1">IFERROR(__xludf.DUMMYFUNCTION("GOOGLEFINANCE(""BOM:""&amp;A36,""PRICE"")"),1288.8)</f>
        <v>1288.8</v>
      </c>
      <c r="F36" s="112">
        <f ca="1">IFERROR(__xludf.DUMMYFUNCTION("GOOGLEFINANCE(""BOM:""&amp;A36,""MARKETCAP"")/10000000"),740.9867779)</f>
        <v>740.98677789999999</v>
      </c>
      <c r="G36" s="95">
        <f t="shared" ca="1" si="0"/>
        <v>4.9555545952991E-3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532503</v>
      </c>
      <c r="B37" s="98" t="s">
        <v>2564</v>
      </c>
      <c r="C37" s="101"/>
      <c r="D37" s="101"/>
      <c r="E37" s="101">
        <f ca="1">IFERROR(__xludf.DUMMYFUNCTION("GOOGLEFINANCE(""BOM:""&amp;A37,""PRICE"")"),749.95)</f>
        <v>749.95</v>
      </c>
      <c r="F37" s="112">
        <f ca="1">IFERROR(__xludf.DUMMYFUNCTION("GOOGLEFINANCE(""BOM:""&amp;A37,""MARKETCAP"")/10000000"),691.4689102)</f>
        <v>691.46891019999998</v>
      </c>
      <c r="G37" s="95">
        <f t="shared" ca="1" si="0"/>
        <v>4.6243901209132099E-3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543918</v>
      </c>
      <c r="B38" s="98" t="s">
        <v>2565</v>
      </c>
      <c r="C38" s="101"/>
      <c r="D38" s="101"/>
      <c r="E38" s="101">
        <f ca="1">IFERROR(__xludf.DUMMYFUNCTION("GOOGLEFINANCE(""BOM:""&amp;A38,""PRICE"")"),74.42)</f>
        <v>74.42</v>
      </c>
      <c r="F38" s="112">
        <f ca="1">IFERROR(__xludf.DUMMYFUNCTION("GOOGLEFINANCE(""BOM:""&amp;A38,""MARKETCAP"")/10000000"),710.2023745)</f>
        <v>710.20237450000002</v>
      </c>
      <c r="G38" s="95">
        <f t="shared" ca="1" si="0"/>
        <v>4.7496753592825578E-3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522122</v>
      </c>
      <c r="B39" s="98" t="s">
        <v>2566</v>
      </c>
      <c r="C39" s="101"/>
      <c r="D39" s="101"/>
      <c r="E39" s="101">
        <f ca="1">IFERROR(__xludf.DUMMYFUNCTION("GOOGLEFINANCE(""BOM:""&amp;A39,""PRICE"")"),1482.95)</f>
        <v>1482.95</v>
      </c>
      <c r="F39" s="112">
        <f ca="1">IFERROR(__xludf.DUMMYFUNCTION("GOOGLEFINANCE(""BOM:""&amp;A39,""MARKETCAP"")/10000000"),651.3945154)</f>
        <v>651.39451540000005</v>
      </c>
      <c r="G39" s="95">
        <f t="shared" ca="1" si="0"/>
        <v>4.3563814907622263E-3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526885</v>
      </c>
      <c r="B40" s="98" t="s">
        <v>2567</v>
      </c>
      <c r="C40" s="101"/>
      <c r="D40" s="101"/>
      <c r="E40" s="101">
        <f ca="1">IFERROR(__xludf.DUMMYFUNCTION("GOOGLEFINANCE(""BOM:""&amp;A40,""PRICE"")"),78.67)</f>
        <v>78.67</v>
      </c>
      <c r="F40" s="112">
        <f ca="1">IFERROR(__xludf.DUMMYFUNCTION("GOOGLEFINANCE(""BOM:""&amp;A40,""MARKETCAP"")/10000000"),652.1584172)</f>
        <v>652.15841720000003</v>
      </c>
      <c r="G40" s="95">
        <f t="shared" ca="1" si="0"/>
        <v>4.361490295923468E-3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500350</v>
      </c>
      <c r="B41" s="98" t="s">
        <v>2568</v>
      </c>
      <c r="C41" s="101"/>
      <c r="D41" s="101"/>
      <c r="E41" s="101">
        <f ca="1">IFERROR(__xludf.DUMMYFUNCTION("GOOGLEFINANCE(""BOM:""&amp;A41,""PRICE"")"),130.85)</f>
        <v>130.85</v>
      </c>
      <c r="F41" s="112">
        <f ca="1">IFERROR(__xludf.DUMMYFUNCTION("GOOGLEFINANCE(""BOM:""&amp;A41,""MARKETCAP"")/10000000"),614.0645791)</f>
        <v>614.06457909999995</v>
      </c>
      <c r="G41" s="95">
        <f t="shared" ca="1" si="0"/>
        <v>4.1067271880255943E-3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538119</v>
      </c>
      <c r="B42" s="98" t="s">
        <v>2569</v>
      </c>
      <c r="C42" s="101"/>
      <c r="D42" s="101"/>
      <c r="E42" s="101">
        <f ca="1">IFERROR(__xludf.DUMMYFUNCTION("GOOGLEFINANCE(""BOM:""&amp;A42,""PRICE"")"),18.53)</f>
        <v>18.53</v>
      </c>
      <c r="F42" s="112">
        <f ca="1">IFERROR(__xludf.DUMMYFUNCTION("GOOGLEFINANCE(""BOM:""&amp;A42,""MARKETCAP"")/10000000"),497.7328632)</f>
        <v>497.7328632</v>
      </c>
      <c r="G42" s="95">
        <f t="shared" ca="1" si="0"/>
        <v>3.3287265724935931E-3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4.4">
      <c r="A43" s="99">
        <v>502958</v>
      </c>
      <c r="B43" s="98" t="s">
        <v>2570</v>
      </c>
      <c r="C43" s="101"/>
      <c r="D43" s="101"/>
      <c r="E43" s="101">
        <f ca="1">IFERROR(__xludf.DUMMYFUNCTION("GOOGLEFINANCE(""BOM:""&amp;A43,""PRICE"")"),7150)</f>
        <v>7150</v>
      </c>
      <c r="F43" s="112">
        <f ca="1">IFERROR(__xludf.DUMMYFUNCTION("GOOGLEFINANCE(""BOM:""&amp;A43,""MARKETCAP"")/10000000"),497.31825)</f>
        <v>497.31824999999998</v>
      </c>
      <c r="G43" s="95">
        <f t="shared" ca="1" si="0"/>
        <v>3.3259537317225948E-3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4.4">
      <c r="A44" s="99">
        <v>533407</v>
      </c>
      <c r="B44" s="98" t="s">
        <v>2571</v>
      </c>
      <c r="C44" s="101"/>
      <c r="D44" s="101"/>
      <c r="E44" s="101">
        <f ca="1">IFERROR(__xludf.DUMMYFUNCTION("GOOGLEFINANCE(""BOM:""&amp;A44,""PRICE"")"),129.95)</f>
        <v>129.94999999999999</v>
      </c>
      <c r="F44" s="112">
        <f ca="1">IFERROR(__xludf.DUMMYFUNCTION("GOOGLEFINANCE(""BOM:""&amp;A44,""MARKETCAP"")/10000000"),437.0117)</f>
        <v>437.01170000000002</v>
      </c>
      <c r="G44" s="95">
        <f t="shared" ca="1" si="0"/>
        <v>2.92263695213565E-3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4.4">
      <c r="A45" s="99">
        <v>512519</v>
      </c>
      <c r="B45" s="98" t="s">
        <v>2572</v>
      </c>
      <c r="C45" s="101"/>
      <c r="D45" s="101"/>
      <c r="E45" s="101">
        <f ca="1">IFERROR(__xludf.DUMMYFUNCTION("GOOGLEFINANCE(""BOM:""&amp;A45,""PRICE"")"),86.23)</f>
        <v>86.23</v>
      </c>
      <c r="F45" s="112">
        <f ca="1">IFERROR(__xludf.DUMMYFUNCTION("GOOGLEFINANCE(""BOM:""&amp;A45,""MARKETCAP"")/10000000"),453.5440063)</f>
        <v>453.54400629999998</v>
      </c>
      <c r="G45" s="95">
        <f t="shared" ca="1" si="0"/>
        <v>3.0332013358727555E-3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532782</v>
      </c>
      <c r="B46" s="98" t="s">
        <v>2573</v>
      </c>
      <c r="C46" s="101"/>
      <c r="D46" s="101"/>
      <c r="E46" s="101">
        <f ca="1">IFERROR(__xludf.DUMMYFUNCTION("GOOGLEFINANCE(""BOM:""&amp;A46,""PRICE"")"),28.28)</f>
        <v>28.28</v>
      </c>
      <c r="F46" s="112">
        <f ca="1">IFERROR(__xludf.DUMMYFUNCTION("GOOGLEFINANCE(""BOM:""&amp;A46,""MARKETCAP"")/10000000"),461.0136704)</f>
        <v>461.01367040000002</v>
      </c>
      <c r="G46" s="95">
        <f t="shared" ca="1" si="0"/>
        <v>3.0831567863073808E-3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4.4">
      <c r="A47" s="99">
        <v>540396</v>
      </c>
      <c r="B47" s="98" t="s">
        <v>2574</v>
      </c>
      <c r="C47" s="101"/>
      <c r="D47" s="101"/>
      <c r="E47" s="101">
        <f ca="1">IFERROR(__xludf.DUMMYFUNCTION("GOOGLEFINANCE(""BOM:""&amp;A47,""PRICE"")"),232.75)</f>
        <v>232.75</v>
      </c>
      <c r="F47" s="112">
        <f ca="1">IFERROR(__xludf.DUMMYFUNCTION("GOOGLEFINANCE(""BOM:""&amp;A47,""MARKETCAP"")/10000000"),420.0120079)</f>
        <v>420.01200790000001</v>
      </c>
      <c r="G47" s="95">
        <f t="shared" ca="1" si="0"/>
        <v>2.8089467962281803E-3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4.4">
      <c r="A48" s="99">
        <v>512626</v>
      </c>
      <c r="B48" s="98" t="s">
        <v>2575</v>
      </c>
      <c r="C48" s="101"/>
      <c r="D48" s="101"/>
      <c r="E48" s="101">
        <f ca="1">IFERROR(__xludf.DUMMYFUNCTION("GOOGLEFINANCE(""BOM:""&amp;A48,""PRICE"")"),151.3)</f>
        <v>151.30000000000001</v>
      </c>
      <c r="F48" s="112">
        <f ca="1">IFERROR(__xludf.DUMMYFUNCTION("GOOGLEFINANCE(""BOM:""&amp;A48,""MARKETCAP"")/10000000"),403.4996949)</f>
        <v>403.49969490000001</v>
      </c>
      <c r="G48" s="95">
        <f t="shared" ca="1" si="0"/>
        <v>2.6985161232301121E-3</v>
      </c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ht="14.4">
      <c r="A49" s="99">
        <v>519136</v>
      </c>
      <c r="B49" s="98" t="s">
        <v>2576</v>
      </c>
      <c r="C49" s="101"/>
      <c r="D49" s="101"/>
      <c r="E49" s="101">
        <f ca="1">IFERROR(__xludf.DUMMYFUNCTION("GOOGLEFINANCE(""BOM:""&amp;A49,""PRICE"")"),93.41)</f>
        <v>93.41</v>
      </c>
      <c r="F49" s="112">
        <f ca="1">IFERROR(__xludf.DUMMYFUNCTION("GOOGLEFINANCE(""BOM:""&amp;A49,""MARKETCAP"")/10000000"),403.972173)</f>
        <v>403.972173</v>
      </c>
      <c r="G49" s="95">
        <f t="shared" ca="1" si="0"/>
        <v>2.7016759515691123E-3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4.4">
      <c r="A50" s="99">
        <v>514316</v>
      </c>
      <c r="B50" s="98" t="s">
        <v>2577</v>
      </c>
      <c r="C50" s="101"/>
      <c r="D50" s="101"/>
      <c r="E50" s="101">
        <f ca="1">IFERROR(__xludf.DUMMYFUNCTION("GOOGLEFINANCE(""BOM:""&amp;A50,""PRICE"")"),102)</f>
        <v>102</v>
      </c>
      <c r="F50" s="112">
        <f ca="1">IFERROR(__xludf.DUMMYFUNCTION("GOOGLEFINANCE(""BOM:""&amp;A50,""MARKETCAP"")/10000000"),395.25)</f>
        <v>395.25</v>
      </c>
      <c r="G50" s="95">
        <f t="shared" ca="1" si="0"/>
        <v>2.6433440004732496E-3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4.4">
      <c r="A51" s="99">
        <v>521113</v>
      </c>
      <c r="B51" s="98" t="s">
        <v>2578</v>
      </c>
      <c r="C51" s="101"/>
      <c r="D51" s="101"/>
      <c r="E51" s="101">
        <f ca="1">IFERROR(__xludf.DUMMYFUNCTION("GOOGLEFINANCE(""BOM:""&amp;A51,""PRICE"")"),79.5)</f>
        <v>79.5</v>
      </c>
      <c r="F51" s="112">
        <f ca="1">IFERROR(__xludf.DUMMYFUNCTION("GOOGLEFINANCE(""BOM:""&amp;A51,""MARKETCAP"")/10000000"),394.375809)</f>
        <v>394.375809</v>
      </c>
      <c r="G51" s="95">
        <f t="shared" ca="1" si="0"/>
        <v>2.6374976056974934E-3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4.4">
      <c r="A52" s="99">
        <v>503722</v>
      </c>
      <c r="B52" s="98" t="s">
        <v>2579</v>
      </c>
      <c r="C52" s="101"/>
      <c r="D52" s="101"/>
      <c r="E52" s="101">
        <f ca="1">IFERROR(__xludf.DUMMYFUNCTION("GOOGLEFINANCE(""BOM:""&amp;A52,""PRICE"")"),103.83)</f>
        <v>103.83</v>
      </c>
      <c r="F52" s="112">
        <f ca="1">IFERROR(__xludf.DUMMYFUNCTION("GOOGLEFINANCE(""BOM:""&amp;A52,""MARKETCAP"")/10000000"),355.260522)</f>
        <v>355.26052199999998</v>
      </c>
      <c r="G52" s="95">
        <f t="shared" ca="1" si="0"/>
        <v>2.37590327497456E-3</v>
      </c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ht="14.4">
      <c r="A53" s="99">
        <v>542285</v>
      </c>
      <c r="B53" s="98" t="s">
        <v>2580</v>
      </c>
      <c r="C53" s="101"/>
      <c r="D53" s="101"/>
      <c r="E53" s="101">
        <f ca="1">IFERROR(__xludf.DUMMYFUNCTION("GOOGLEFINANCE(""BOM:""&amp;A53,""PRICE"")"),8.69)</f>
        <v>8.69</v>
      </c>
      <c r="F53" s="112">
        <f ca="1">IFERROR(__xludf.DUMMYFUNCTION("GOOGLEFINANCE(""BOM:""&amp;A53,""MARKETCAP"")/10000000"),332.7709037)</f>
        <v>332.77090370000002</v>
      </c>
      <c r="G53" s="95">
        <f t="shared" ca="1" si="0"/>
        <v>2.2254977149334765E-3</v>
      </c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ht="14.4">
      <c r="A54" s="99">
        <v>514175</v>
      </c>
      <c r="B54" s="98" t="s">
        <v>2581</v>
      </c>
      <c r="C54" s="101"/>
      <c r="D54" s="101"/>
      <c r="E54" s="101">
        <f ca="1">IFERROR(__xludf.DUMMYFUNCTION("GOOGLEFINANCE(""BOM:""&amp;A54,""PRICE"")"),6.9)</f>
        <v>6.9</v>
      </c>
      <c r="F54" s="112">
        <f ca="1">IFERROR(__xludf.DUMMYFUNCTION("GOOGLEFINANCE(""BOM:""&amp;A54,""MARKETCAP"")/10000000"),333.2831146)</f>
        <v>333.28311459999998</v>
      </c>
      <c r="G54" s="95">
        <f t="shared" ca="1" si="0"/>
        <v>2.2289232673926591E-3</v>
      </c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ht="14.4">
      <c r="A55" s="99">
        <v>521034</v>
      </c>
      <c r="B55" s="98" t="s">
        <v>2582</v>
      </c>
      <c r="C55" s="101"/>
      <c r="D55" s="101"/>
      <c r="E55" s="101">
        <f ca="1">IFERROR(__xludf.DUMMYFUNCTION("GOOGLEFINANCE(""BOM:""&amp;A55,""PRICE"")"),100.35)</f>
        <v>100.35</v>
      </c>
      <c r="F55" s="112">
        <f ca="1">IFERROR(__xludf.DUMMYFUNCTION("GOOGLEFINANCE(""BOM:""&amp;A55,""MARKETCAP"")/10000000"),340.636305)</f>
        <v>340.63630499999999</v>
      </c>
      <c r="G55" s="95">
        <f t="shared" ca="1" si="0"/>
        <v>2.2780997676537028E-3</v>
      </c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ht="14.4">
      <c r="A56" s="99">
        <v>532641</v>
      </c>
      <c r="B56" s="98" t="s">
        <v>2583</v>
      </c>
      <c r="C56" s="101"/>
      <c r="D56" s="101"/>
      <c r="E56" s="101">
        <f ca="1">IFERROR(__xludf.DUMMYFUNCTION("GOOGLEFINANCE(""BOM:""&amp;A56,""PRICE"")"),2.61)</f>
        <v>2.61</v>
      </c>
      <c r="F56" s="112">
        <f ca="1">IFERROR(__xludf.DUMMYFUNCTION("GOOGLEFINANCE(""BOM:""&amp;A56,""MARKETCAP"")/10000000"),374.7824462)</f>
        <v>374.78244619999998</v>
      </c>
      <c r="G56" s="95">
        <f t="shared" ca="1" si="0"/>
        <v>2.506461557610268E-3</v>
      </c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ht="14.4">
      <c r="A57" s="99">
        <v>514324</v>
      </c>
      <c r="B57" s="98" t="s">
        <v>2584</v>
      </c>
      <c r="C57" s="101"/>
      <c r="D57" s="101"/>
      <c r="E57" s="101">
        <f ca="1">IFERROR(__xludf.DUMMYFUNCTION("GOOGLEFINANCE(""BOM:""&amp;A57,""PRICE"")"),755)</f>
        <v>755</v>
      </c>
      <c r="F57" s="112">
        <f ca="1">IFERROR(__xludf.DUMMYFUNCTION("GOOGLEFINANCE(""BOM:""&amp;A57,""MARKETCAP"")/10000000"),317.4094745)</f>
        <v>317.40947449999999</v>
      </c>
      <c r="G57" s="95">
        <f t="shared" ca="1" si="0"/>
        <v>2.1227638965539328E-3</v>
      </c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ht="14.4">
      <c r="A58" s="99">
        <v>590025</v>
      </c>
      <c r="B58" s="98" t="s">
        <v>2585</v>
      </c>
      <c r="C58" s="101"/>
      <c r="D58" s="101"/>
      <c r="E58" s="101">
        <f ca="1">IFERROR(__xludf.DUMMYFUNCTION("GOOGLEFINANCE(""BOM:""&amp;A58,""PRICE"")"),35.7)</f>
        <v>35.700000000000003</v>
      </c>
      <c r="F58" s="112">
        <f ca="1">IFERROR(__xludf.DUMMYFUNCTION("GOOGLEFINANCE(""BOM:""&amp;A58,""MARKETCAP"")/10000000"),304.8285292)</f>
        <v>304.82852919999999</v>
      </c>
      <c r="G58" s="95">
        <f t="shared" ca="1" si="0"/>
        <v>2.0386253354431495E-3</v>
      </c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ht="14.4">
      <c r="A59" s="99">
        <v>502937</v>
      </c>
      <c r="B59" s="98" t="s">
        <v>2586</v>
      </c>
      <c r="C59" s="101"/>
      <c r="D59" s="101"/>
      <c r="E59" s="101">
        <f ca="1">IFERROR(__xludf.DUMMYFUNCTION("GOOGLEFINANCE(""BOM:""&amp;A59,""PRICE"")"),9.39)</f>
        <v>9.39</v>
      </c>
      <c r="F59" s="112">
        <f ca="1">IFERROR(__xludf.DUMMYFUNCTION("GOOGLEFINANCE(""BOM:""&amp;A59,""MARKETCAP"")/10000000"),292.6452077)</f>
        <v>292.64520770000001</v>
      </c>
      <c r="G59" s="95">
        <f t="shared" ca="1" si="0"/>
        <v>1.9571459937787303E-3</v>
      </c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ht="14.4">
      <c r="A60" s="99">
        <v>514274</v>
      </c>
      <c r="B60" s="98" t="s">
        <v>2587</v>
      </c>
      <c r="C60" s="101"/>
      <c r="D60" s="101"/>
      <c r="E60" s="101">
        <f ca="1">IFERROR(__xludf.DUMMYFUNCTION("GOOGLEFINANCE(""BOM:""&amp;A60,""PRICE"")"),54.5)</f>
        <v>54.5</v>
      </c>
      <c r="F60" s="112">
        <f ca="1">IFERROR(__xludf.DUMMYFUNCTION("GOOGLEFINANCE(""BOM:""&amp;A60,""MARKETCAP"")/10000000"),278.6155171)</f>
        <v>278.61551709999998</v>
      </c>
      <c r="G60" s="95">
        <f t="shared" ca="1" si="0"/>
        <v>1.8633185466541101E-3</v>
      </c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ht="14.4">
      <c r="A61" s="99">
        <v>514286</v>
      </c>
      <c r="B61" s="98" t="s">
        <v>2588</v>
      </c>
      <c r="C61" s="101"/>
      <c r="D61" s="101"/>
      <c r="E61" s="101">
        <f ca="1">IFERROR(__xludf.DUMMYFUNCTION("GOOGLEFINANCE(""BOM:""&amp;A61,""PRICE"")"),13.42)</f>
        <v>13.42</v>
      </c>
      <c r="F61" s="112">
        <f ca="1">IFERROR(__xludf.DUMMYFUNCTION("GOOGLEFINANCE(""BOM:""&amp;A61,""MARKETCAP"")/10000000"),255.099468)</f>
        <v>255.099468</v>
      </c>
      <c r="G61" s="95">
        <f t="shared" ca="1" si="0"/>
        <v>1.7060484459499501E-3</v>
      </c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</row>
    <row r="62" spans="1:25" ht="14.4">
      <c r="A62" s="99">
        <v>540198</v>
      </c>
      <c r="B62" s="98" t="s">
        <v>2589</v>
      </c>
      <c r="C62" s="101"/>
      <c r="D62" s="101"/>
      <c r="E62" s="101">
        <f ca="1">IFERROR(__xludf.DUMMYFUNCTION("GOOGLEFINANCE(""BOM:""&amp;A62,""PRICE"")"),417.5)</f>
        <v>417.5</v>
      </c>
      <c r="F62" s="112">
        <f ca="1">IFERROR(__xludf.DUMMYFUNCTION("GOOGLEFINANCE(""BOM:""&amp;A62,""MARKETCAP"")/10000000"),225.45)</f>
        <v>225.45</v>
      </c>
      <c r="G62" s="95">
        <f t="shared" ca="1" si="0"/>
        <v>1.5077594052035272E-3</v>
      </c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</row>
    <row r="63" spans="1:25" ht="14.4">
      <c r="A63" s="99">
        <v>514142</v>
      </c>
      <c r="B63" s="98" t="s">
        <v>2590</v>
      </c>
      <c r="C63" s="101"/>
      <c r="D63" s="101"/>
      <c r="E63" s="101">
        <f ca="1">IFERROR(__xludf.DUMMYFUNCTION("GOOGLEFINANCE(""BOM:""&amp;A63,""PRICE"")"),9)</f>
        <v>9</v>
      </c>
      <c r="F63" s="112">
        <f ca="1">IFERROR(__xludf.DUMMYFUNCTION("GOOGLEFINANCE(""BOM:""&amp;A63,""MARKETCAP"")/10000000"),224.213869)</f>
        <v>224.21386899999999</v>
      </c>
      <c r="G63" s="95">
        <f t="shared" ca="1" si="0"/>
        <v>1.4994924362910693E-3</v>
      </c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</row>
    <row r="64" spans="1:25" ht="14.4">
      <c r="A64" s="99">
        <v>532090</v>
      </c>
      <c r="B64" s="98" t="s">
        <v>2591</v>
      </c>
      <c r="C64" s="101"/>
      <c r="D64" s="101"/>
      <c r="E64" s="101">
        <f ca="1">IFERROR(__xludf.DUMMYFUNCTION("GOOGLEFINANCE(""BOM:""&amp;A64,""PRICE"")"),20.26)</f>
        <v>20.260000000000002</v>
      </c>
      <c r="F64" s="112">
        <f ca="1">IFERROR(__xludf.DUMMYFUNCTION("GOOGLEFINANCE(""BOM:""&amp;A64,""MARKETCAP"")/10000000"),216.7516124)</f>
        <v>216.7516124</v>
      </c>
      <c r="G64" s="95">
        <f t="shared" ca="1" si="0"/>
        <v>1.4495865255672188E-3</v>
      </c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</row>
    <row r="65" spans="1:25" ht="14.4">
      <c r="A65" s="99">
        <v>514318</v>
      </c>
      <c r="B65" s="98" t="s">
        <v>2592</v>
      </c>
      <c r="C65" s="101"/>
      <c r="D65" s="101"/>
      <c r="E65" s="101">
        <f ca="1">IFERROR(__xludf.DUMMYFUNCTION("GOOGLEFINANCE(""BOM:""&amp;A65,""PRICE"")"),415)</f>
        <v>415</v>
      </c>
      <c r="F65" s="112">
        <f ca="1">IFERROR(__xludf.DUMMYFUNCTION("GOOGLEFINANCE(""BOM:""&amp;A65,""MARKETCAP"")/10000000"),182.064567)</f>
        <v>182.06456700000001</v>
      </c>
      <c r="G65" s="95">
        <f t="shared" ca="1" si="0"/>
        <v>1.2176072887494244E-3</v>
      </c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</row>
    <row r="66" spans="1:25" ht="14.4">
      <c r="A66" s="99">
        <v>542729</v>
      </c>
      <c r="B66" s="98" t="s">
        <v>2593</v>
      </c>
      <c r="C66" s="101"/>
      <c r="D66" s="101"/>
      <c r="E66" s="101">
        <f ca="1">IFERROR(__xludf.DUMMYFUNCTION("GOOGLEFINANCE(""BOM:""&amp;A66,""PRICE"")"),113.78)</f>
        <v>113.78</v>
      </c>
      <c r="F66" s="112">
        <f ca="1">IFERROR(__xludf.DUMMYFUNCTION("GOOGLEFINANCE(""BOM:""&amp;A66,""MARKETCAP"")/10000000"),222.1091391)</f>
        <v>222.10913909999999</v>
      </c>
      <c r="G66" s="95">
        <f t="shared" ca="1" si="0"/>
        <v>1.4854164713226147E-3</v>
      </c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</row>
    <row r="67" spans="1:25" ht="14.4">
      <c r="A67" s="99">
        <v>544594</v>
      </c>
      <c r="B67" s="98" t="s">
        <v>2594</v>
      </c>
      <c r="C67" s="101"/>
      <c r="D67" s="101"/>
      <c r="E67" s="101">
        <f ca="1">IFERROR(__xludf.DUMMYFUNCTION("GOOGLEFINANCE(""BOM:""&amp;A67,""PRICE"")"),109)</f>
        <v>109</v>
      </c>
      <c r="F67" s="112">
        <f ca="1">IFERROR(__xludf.DUMMYFUNCTION("GOOGLEFINANCE(""BOM:""&amp;A67,""MARKETCAP"")/10000000"),195.031629)</f>
        <v>195.03162900000001</v>
      </c>
      <c r="G67" s="95">
        <f t="shared" ca="1" si="0"/>
        <v>1.3043281123837436E-3</v>
      </c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</row>
    <row r="68" spans="1:25" ht="14.4">
      <c r="A68" s="99">
        <v>531307</v>
      </c>
      <c r="B68" s="98" t="s">
        <v>2595</v>
      </c>
      <c r="C68" s="101"/>
      <c r="D68" s="101"/>
      <c r="E68" s="101">
        <f ca="1">IFERROR(__xludf.DUMMYFUNCTION("GOOGLEFINANCE(""BOM:""&amp;A68,""PRICE"")"),15.46)</f>
        <v>15.46</v>
      </c>
      <c r="F68" s="112">
        <f ca="1">IFERROR(__xludf.DUMMYFUNCTION("GOOGLEFINANCE(""BOM:""&amp;A68,""MARKETCAP"")/10000000"),187.3971536)</f>
        <v>187.3971536</v>
      </c>
      <c r="G68" s="95">
        <f t="shared" ca="1" si="0"/>
        <v>1.2532704406687516E-3</v>
      </c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</row>
    <row r="69" spans="1:25" ht="14.4">
      <c r="A69" s="99">
        <v>512527</v>
      </c>
      <c r="B69" s="98" t="s">
        <v>2596</v>
      </c>
      <c r="C69" s="101"/>
      <c r="D69" s="101"/>
      <c r="E69" s="101">
        <f ca="1">IFERROR(__xludf.DUMMYFUNCTION("GOOGLEFINANCE(""BOM:""&amp;A69,""PRICE"")"),576)</f>
        <v>576</v>
      </c>
      <c r="F69" s="112">
        <f ca="1">IFERROR(__xludf.DUMMYFUNCTION("GOOGLEFINANCE(""BOM:""&amp;A69,""MARKETCAP"")/10000000"),176.9184)</f>
        <v>176.91839999999999</v>
      </c>
      <c r="G69" s="95">
        <f t="shared" ca="1" si="0"/>
        <v>1.1831908696099344E-3</v>
      </c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</row>
    <row r="70" spans="1:25" ht="14.4">
      <c r="A70" s="99">
        <v>531971</v>
      </c>
      <c r="B70" s="98" t="s">
        <v>2597</v>
      </c>
      <c r="C70" s="101"/>
      <c r="D70" s="101"/>
      <c r="E70" s="101">
        <f ca="1">IFERROR(__xludf.DUMMYFUNCTION("GOOGLEFINANCE(""BOM:""&amp;A70,""PRICE"")"),208.15)</f>
        <v>208.15</v>
      </c>
      <c r="F70" s="112">
        <f ca="1">IFERROR(__xludf.DUMMYFUNCTION("GOOGLEFINANCE(""BOM:""&amp;A70,""MARKETCAP"")/10000000"),177.4479)</f>
        <v>177.4479</v>
      </c>
      <c r="G70" s="95">
        <f t="shared" ca="1" si="0"/>
        <v>1.1867320477206254E-3</v>
      </c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</row>
    <row r="71" spans="1:25" ht="14.4">
      <c r="A71" s="99">
        <v>514450</v>
      </c>
      <c r="B71" s="98" t="s">
        <v>2598</v>
      </c>
      <c r="C71" s="101"/>
      <c r="D71" s="101"/>
      <c r="E71" s="101">
        <f ca="1">IFERROR(__xludf.DUMMYFUNCTION("GOOGLEFINANCE(""BOM:""&amp;A71,""PRICE"")"),163)</f>
        <v>163</v>
      </c>
      <c r="F71" s="112">
        <f ca="1">IFERROR(__xludf.DUMMYFUNCTION("GOOGLEFINANCE(""BOM:""&amp;A71,""MARKETCAP"")/10000000"),173.110401)</f>
        <v>173.110401</v>
      </c>
      <c r="G71" s="95">
        <f t="shared" ca="1" si="0"/>
        <v>1.1577238201211093E-3</v>
      </c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</row>
    <row r="72" spans="1:25" ht="14.4">
      <c r="A72" s="99">
        <v>514010</v>
      </c>
      <c r="B72" s="98" t="s">
        <v>2599</v>
      </c>
      <c r="C72" s="101"/>
      <c r="D72" s="101"/>
      <c r="E72" s="101">
        <f ca="1">IFERROR(__xludf.DUMMYFUNCTION("GOOGLEFINANCE(""BOM:""&amp;A72,""PRICE"")"),20.5)</f>
        <v>20.5</v>
      </c>
      <c r="F72" s="112">
        <f ca="1">IFERROR(__xludf.DUMMYFUNCTION("GOOGLEFINANCE(""BOM:""&amp;A72,""MARKETCAP"")/10000000"),215.6257)</f>
        <v>215.62569999999999</v>
      </c>
      <c r="G72" s="95">
        <f t="shared" ca="1" si="0"/>
        <v>1.4420566741121942E-3</v>
      </c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</row>
    <row r="73" spans="1:25" ht="14.4">
      <c r="A73" s="99">
        <v>542862</v>
      </c>
      <c r="B73" s="98" t="s">
        <v>2600</v>
      </c>
      <c r="C73" s="101"/>
      <c r="D73" s="101"/>
      <c r="E73" s="101">
        <f ca="1">IFERROR(__xludf.DUMMYFUNCTION("GOOGLEFINANCE(""BOM:""&amp;A73,""PRICE"")"),19.43)</f>
        <v>19.43</v>
      </c>
      <c r="F73" s="112">
        <f ca="1">IFERROR(__xludf.DUMMYFUNCTION("GOOGLEFINANCE(""BOM:""&amp;A73,""MARKETCAP"")/10000000"),173.5146242)</f>
        <v>173.51462419999999</v>
      </c>
      <c r="G73" s="95">
        <f t="shared" ca="1" si="0"/>
        <v>1.160427174885365E-3</v>
      </c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</row>
    <row r="74" spans="1:25" ht="14.4">
      <c r="A74" s="99">
        <v>511108</v>
      </c>
      <c r="B74" s="98" t="s">
        <v>2601</v>
      </c>
      <c r="C74" s="101"/>
      <c r="D74" s="101"/>
      <c r="E74" s="101">
        <f ca="1">IFERROR(__xludf.DUMMYFUNCTION("GOOGLEFINANCE(""BOM:""&amp;A74,""PRICE"")"),140)</f>
        <v>140</v>
      </c>
      <c r="F74" s="112">
        <f ca="1">IFERROR(__xludf.DUMMYFUNCTION("GOOGLEFINANCE(""BOM:""&amp;A74,""MARKETCAP"")/10000000"),178.2039411)</f>
        <v>178.20394110000001</v>
      </c>
      <c r="G74" s="95">
        <f t="shared" ca="1" si="0"/>
        <v>1.1917882822703944E-3</v>
      </c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</row>
    <row r="75" spans="1:25" ht="14.4">
      <c r="A75" s="99">
        <v>523054</v>
      </c>
      <c r="B75" s="98" t="s">
        <v>2602</v>
      </c>
      <c r="C75" s="101"/>
      <c r="D75" s="101"/>
      <c r="E75" s="101">
        <f ca="1">IFERROR(__xludf.DUMMYFUNCTION("GOOGLEFINANCE(""BOM:""&amp;A75,""PRICE"")"),2395)</f>
        <v>2395</v>
      </c>
      <c r="F75" s="112">
        <f ca="1">IFERROR(__xludf.DUMMYFUNCTION("GOOGLEFINANCE(""BOM:""&amp;A75,""MARKETCAP"")/10000000"),170.3563)</f>
        <v>170.3563</v>
      </c>
      <c r="G75" s="95">
        <f t="shared" ca="1" si="0"/>
        <v>1.1393050058135892E-3</v>
      </c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</row>
    <row r="76" spans="1:25" ht="14.4">
      <c r="A76" s="99">
        <v>521018</v>
      </c>
      <c r="B76" s="98" t="s">
        <v>2603</v>
      </c>
      <c r="C76" s="101"/>
      <c r="D76" s="101"/>
      <c r="E76" s="101">
        <f ca="1">IFERROR(__xludf.DUMMYFUNCTION("GOOGLEFINANCE(""BOM:""&amp;A76,""PRICE"")"),37.8)</f>
        <v>37.799999999999997</v>
      </c>
      <c r="F76" s="112">
        <f ca="1">IFERROR(__xludf.DUMMYFUNCTION("GOOGLEFINANCE(""BOM:""&amp;A76,""MARKETCAP"")/10000000"),168.647049)</f>
        <v>168.64704900000001</v>
      </c>
      <c r="G76" s="95">
        <f t="shared" ca="1" si="0"/>
        <v>1.1278739156778449E-3</v>
      </c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</row>
    <row r="77" spans="1:25" ht="14.4">
      <c r="A77" s="99">
        <v>532674</v>
      </c>
      <c r="B77" s="98" t="s">
        <v>2604</v>
      </c>
      <c r="C77" s="101"/>
      <c r="D77" s="101"/>
      <c r="E77" s="101">
        <f ca="1">IFERROR(__xludf.DUMMYFUNCTION("GOOGLEFINANCE(""BOM:""&amp;A77,""PRICE"")"),20.82)</f>
        <v>20.82</v>
      </c>
      <c r="F77" s="112">
        <f ca="1">IFERROR(__xludf.DUMMYFUNCTION("GOOGLEFINANCE(""BOM:""&amp;A77,""MARKETCAP"")/10000000"),167.7549328)</f>
        <v>167.75493280000001</v>
      </c>
      <c r="G77" s="95">
        <f t="shared" ca="1" si="0"/>
        <v>1.1219076411554034E-3</v>
      </c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ht="14.4">
      <c r="A78" s="99">
        <v>500282</v>
      </c>
      <c r="B78" s="98" t="s">
        <v>2605</v>
      </c>
      <c r="C78" s="101"/>
      <c r="D78" s="101"/>
      <c r="E78" s="101">
        <f ca="1">IFERROR(__xludf.DUMMYFUNCTION("GOOGLEFINANCE(""BOM:""&amp;A78,""PRICE"")"),49.7)</f>
        <v>49.7</v>
      </c>
      <c r="F78" s="112">
        <f ca="1">IFERROR(__xludf.DUMMYFUNCTION("GOOGLEFINANCE(""BOM:""&amp;A78,""MARKETCAP"")/10000000"),166.6425124)</f>
        <v>166.64251239999999</v>
      </c>
      <c r="G78" s="95">
        <f t="shared" ca="1" si="0"/>
        <v>1.1144680211924835E-3</v>
      </c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ht="14.4">
      <c r="A79" s="99">
        <v>530331</v>
      </c>
      <c r="B79" s="98" t="s">
        <v>2606</v>
      </c>
      <c r="C79" s="101"/>
      <c r="D79" s="101"/>
      <c r="E79" s="101">
        <f ca="1">IFERROR(__xludf.DUMMYFUNCTION("GOOGLEFINANCE(""BOM:""&amp;A79,""PRICE"")"),423)</f>
        <v>423</v>
      </c>
      <c r="F79" s="112">
        <f ca="1">IFERROR(__xludf.DUMMYFUNCTION("GOOGLEFINANCE(""BOM:""&amp;A79,""MARKETCAP"")/10000000"),139.7929977)</f>
        <v>139.7929977</v>
      </c>
      <c r="G79" s="95">
        <f t="shared" ca="1" si="0"/>
        <v>9.3490444472730117E-4</v>
      </c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</row>
    <row r="80" spans="1:25" ht="14.4">
      <c r="A80" s="99">
        <v>590056</v>
      </c>
      <c r="B80" s="98" t="s">
        <v>2607</v>
      </c>
      <c r="C80" s="101"/>
      <c r="D80" s="101"/>
      <c r="E80" s="101">
        <f ca="1">IFERROR(__xludf.DUMMYFUNCTION("GOOGLEFINANCE(""BOM:""&amp;A80,""PRICE"")"),265)</f>
        <v>265</v>
      </c>
      <c r="F80" s="112">
        <f ca="1">IFERROR(__xludf.DUMMYFUNCTION("GOOGLEFINANCE(""BOM:""&amp;A80,""MARKETCAP"")/10000000"),145.1632796)</f>
        <v>145.16327960000001</v>
      </c>
      <c r="G80" s="95">
        <f t="shared" ca="1" si="0"/>
        <v>9.7081969442044502E-4</v>
      </c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5" ht="14.4">
      <c r="A81" s="99">
        <v>514470</v>
      </c>
      <c r="B81" s="98" t="s">
        <v>2608</v>
      </c>
      <c r="C81" s="101"/>
      <c r="D81" s="101"/>
      <c r="E81" s="101">
        <f ca="1">IFERROR(__xludf.DUMMYFUNCTION("GOOGLEFINANCE(""BOM:""&amp;A81,""PRICE"")"),68.08)</f>
        <v>68.08</v>
      </c>
      <c r="F81" s="112">
        <f ca="1">IFERROR(__xludf.DUMMYFUNCTION("GOOGLEFINANCE(""BOM:""&amp;A81,""MARKETCAP"")/10000000"),134.9345636)</f>
        <v>134.93456359999999</v>
      </c>
      <c r="G81" s="95">
        <f t="shared" ca="1" si="0"/>
        <v>9.0241231916138168E-4</v>
      </c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5" ht="14.4">
      <c r="A82" s="99">
        <v>514138</v>
      </c>
      <c r="B82" s="98" t="s">
        <v>2609</v>
      </c>
      <c r="C82" s="101"/>
      <c r="D82" s="101"/>
      <c r="E82" s="101">
        <f ca="1">IFERROR(__xludf.DUMMYFUNCTION("GOOGLEFINANCE(""BOM:""&amp;A82,""PRICE"")"),314.75)</f>
        <v>314.75</v>
      </c>
      <c r="F82" s="112">
        <f ca="1">IFERROR(__xludf.DUMMYFUNCTION("GOOGLEFINANCE(""BOM:""&amp;A82,""MARKETCAP"")/10000000"),134.303762)</f>
        <v>134.30376200000001</v>
      </c>
      <c r="G82" s="95">
        <f t="shared" ca="1" si="0"/>
        <v>8.9819365850395247E-4</v>
      </c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</row>
    <row r="83" spans="1:25" ht="14.4">
      <c r="A83" s="99">
        <v>503804</v>
      </c>
      <c r="B83" s="98" t="s">
        <v>2610</v>
      </c>
      <c r="C83" s="101"/>
      <c r="D83" s="101"/>
      <c r="E83" s="101">
        <f ca="1">IFERROR(__xludf.DUMMYFUNCTION("GOOGLEFINANCE(""BOM:""&amp;A83,""PRICE"")"),240.55)</f>
        <v>240.55</v>
      </c>
      <c r="F83" s="112">
        <f ca="1">IFERROR(__xludf.DUMMYFUNCTION("GOOGLEFINANCE(""BOM:""&amp;A83,""MARKETCAP"")/10000000"),134.7219776)</f>
        <v>134.7219776</v>
      </c>
      <c r="G83" s="95">
        <f t="shared" ca="1" si="0"/>
        <v>9.0099059132410259E-4</v>
      </c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5" ht="14.4">
      <c r="A84" s="99">
        <v>503816</v>
      </c>
      <c r="B84" s="98" t="s">
        <v>2611</v>
      </c>
      <c r="C84" s="101"/>
      <c r="D84" s="101"/>
      <c r="E84" s="101">
        <f ca="1">IFERROR(__xludf.DUMMYFUNCTION("GOOGLEFINANCE(""BOM:""&amp;A84,""PRICE"")"),36.74)</f>
        <v>36.74</v>
      </c>
      <c r="F84" s="112">
        <f ca="1">IFERROR(__xludf.DUMMYFUNCTION("GOOGLEFINANCE(""BOM:""&amp;A84,""MARKETCAP"")/10000000"),143.2860065)</f>
        <v>143.28600650000001</v>
      </c>
      <c r="G84" s="95">
        <f t="shared" ca="1" si="0"/>
        <v>9.5826490988879464E-4</v>
      </c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</row>
    <row r="85" spans="1:25" ht="14.4">
      <c r="A85" s="99">
        <v>531609</v>
      </c>
      <c r="B85" s="98" t="s">
        <v>2612</v>
      </c>
      <c r="C85" s="101"/>
      <c r="D85" s="101"/>
      <c r="E85" s="101">
        <f ca="1">IFERROR(__xludf.DUMMYFUNCTION("GOOGLEFINANCE(""BOM:""&amp;A85,""PRICE"")"),221)</f>
        <v>221</v>
      </c>
      <c r="F85" s="112">
        <f ca="1">IFERROR(__xludf.DUMMYFUNCTION("GOOGLEFINANCE(""BOM:""&amp;A85,""MARKETCAP"")/10000000"),115.3841)</f>
        <v>115.3841</v>
      </c>
      <c r="G85" s="95">
        <f t="shared" ca="1" si="0"/>
        <v>7.7166317137256297E-4</v>
      </c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</row>
    <row r="86" spans="1:25" ht="14.4">
      <c r="A86" s="99">
        <v>514045</v>
      </c>
      <c r="B86" s="98" t="s">
        <v>2613</v>
      </c>
      <c r="C86" s="101"/>
      <c r="D86" s="101"/>
      <c r="E86" s="101">
        <f ca="1">IFERROR(__xludf.DUMMYFUNCTION("GOOGLEFINANCE(""BOM:""&amp;A86,""PRICE"")"),111)</f>
        <v>111</v>
      </c>
      <c r="F86" s="112">
        <f ca="1">IFERROR(__xludf.DUMMYFUNCTION("GOOGLEFINANCE(""BOM:""&amp;A86,""MARKETCAP"")/10000000"),115.3236559)</f>
        <v>115.32365590000001</v>
      </c>
      <c r="G86" s="95">
        <f t="shared" ca="1" si="0"/>
        <v>7.7125893468920053E-4</v>
      </c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</row>
    <row r="87" spans="1:25" ht="14.4">
      <c r="A87" s="99">
        <v>523011</v>
      </c>
      <c r="B87" s="98" t="s">
        <v>2614</v>
      </c>
      <c r="C87" s="101"/>
      <c r="D87" s="101"/>
      <c r="E87" s="101">
        <f ca="1">IFERROR(__xludf.DUMMYFUNCTION("GOOGLEFINANCE(""BOM:""&amp;A87,""PRICE"")"),71)</f>
        <v>71</v>
      </c>
      <c r="F87" s="112">
        <f ca="1">IFERROR(__xludf.DUMMYFUNCTION("GOOGLEFINANCE(""BOM:""&amp;A87,""MARKETCAP"")/10000000"),110.0218321)</f>
        <v>110.0218321</v>
      </c>
      <c r="G87" s="95">
        <f t="shared" ca="1" si="0"/>
        <v>7.3580151752716046E-4</v>
      </c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</row>
    <row r="88" spans="1:25" ht="14.4">
      <c r="A88" s="99">
        <v>514272</v>
      </c>
      <c r="B88" s="98" t="s">
        <v>2615</v>
      </c>
      <c r="C88" s="101"/>
      <c r="D88" s="101"/>
      <c r="E88" s="101">
        <f ca="1">IFERROR(__xludf.DUMMYFUNCTION("GOOGLEFINANCE(""BOM:""&amp;A88,""PRICE"")"),119)</f>
        <v>119</v>
      </c>
      <c r="F88" s="112">
        <f ca="1">IFERROR(__xludf.DUMMYFUNCTION("GOOGLEFINANCE(""BOM:""&amp;A88,""MARKETCAP"")/10000000"),107.7382089)</f>
        <v>107.7382089</v>
      </c>
      <c r="G88" s="95">
        <f t="shared" ca="1" si="0"/>
        <v>7.2052915399759313E-4</v>
      </c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</row>
    <row r="89" spans="1:25" ht="14.4">
      <c r="A89" s="99">
        <v>509692</v>
      </c>
      <c r="B89" s="98" t="s">
        <v>2616</v>
      </c>
      <c r="C89" s="101"/>
      <c r="D89" s="101"/>
      <c r="E89" s="101">
        <f ca="1">IFERROR(__xludf.DUMMYFUNCTION("GOOGLEFINANCE(""BOM:""&amp;A89,""PRICE"")"),171.65)</f>
        <v>171.65</v>
      </c>
      <c r="F89" s="112">
        <f ca="1">IFERROR(__xludf.DUMMYFUNCTION("GOOGLEFINANCE(""BOM:""&amp;A89,""MARKETCAP"")/10000000"),101.7119554)</f>
        <v>101.71195539999999</v>
      </c>
      <c r="G89" s="95">
        <f t="shared" ca="1" si="0"/>
        <v>6.8022691229093673E-4</v>
      </c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</row>
    <row r="90" spans="1:25" ht="14.4">
      <c r="A90" s="99">
        <v>530705</v>
      </c>
      <c r="B90" s="98" t="s">
        <v>2617</v>
      </c>
      <c r="C90" s="101"/>
      <c r="D90" s="101"/>
      <c r="E90" s="101">
        <f ca="1">IFERROR(__xludf.DUMMYFUNCTION("GOOGLEFINANCE(""BOM:""&amp;A90,""PRICE"")"),46.35)</f>
        <v>46.35</v>
      </c>
      <c r="F90" s="112">
        <f ca="1">IFERROR(__xludf.DUMMYFUNCTION("GOOGLEFINANCE(""BOM:""&amp;A90,""MARKETCAP"")/10000000"),109.1550343)</f>
        <v>109.1550343</v>
      </c>
      <c r="G90" s="95">
        <f t="shared" ca="1" si="0"/>
        <v>7.3000456682696213E-4</v>
      </c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</row>
    <row r="91" spans="1:25" ht="14.4">
      <c r="A91" s="99">
        <v>544676</v>
      </c>
      <c r="B91" s="98" t="s">
        <v>2618</v>
      </c>
      <c r="C91" s="101"/>
      <c r="D91" s="101"/>
      <c r="E91" s="101">
        <f ca="1">IFERROR(__xludf.DUMMYFUNCTION("GOOGLEFINANCE(""BOM:""&amp;A91,""PRICE"")"),47.01)</f>
        <v>47.01</v>
      </c>
      <c r="F91" s="112">
        <f ca="1">IFERROR(__xludf.DUMMYFUNCTION("GOOGLEFINANCE(""BOM:""&amp;A91,""MARKETCAP"")/10000000"),106.632215)</f>
        <v>106.632215</v>
      </c>
      <c r="G91" s="95">
        <f t="shared" ca="1" si="0"/>
        <v>7.1313251303586E-4</v>
      </c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</row>
    <row r="92" spans="1:25" ht="14.4">
      <c r="A92" s="99">
        <v>500220</v>
      </c>
      <c r="B92" s="98" t="s">
        <v>2619</v>
      </c>
      <c r="C92" s="101"/>
      <c r="D92" s="101"/>
      <c r="E92" s="101">
        <f ca="1">IFERROR(__xludf.DUMMYFUNCTION("GOOGLEFINANCE(""BOM:""&amp;A92,""PRICE"")"),155)</f>
        <v>155</v>
      </c>
      <c r="F92" s="112">
        <f ca="1">IFERROR(__xludf.DUMMYFUNCTION("GOOGLEFINANCE(""BOM:""&amp;A92,""MARKETCAP"")/10000000"),105.3689535)</f>
        <v>105.3689535</v>
      </c>
      <c r="G92" s="95">
        <f t="shared" ca="1" si="0"/>
        <v>7.0468410137980984E-4</v>
      </c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</row>
    <row r="93" spans="1:25" ht="14.4">
      <c r="A93" s="99">
        <v>507910</v>
      </c>
      <c r="B93" s="98" t="s">
        <v>2620</v>
      </c>
      <c r="C93" s="101"/>
      <c r="D93" s="101"/>
      <c r="E93" s="101">
        <f ca="1">IFERROR(__xludf.DUMMYFUNCTION("GOOGLEFINANCE(""BOM:""&amp;A93,""PRICE"")"),34.97)</f>
        <v>34.97</v>
      </c>
      <c r="F93" s="112">
        <f ca="1">IFERROR(__xludf.DUMMYFUNCTION("GOOGLEFINANCE(""BOM:""&amp;A93,""MARKETCAP"")/10000000"),103.650156)</f>
        <v>103.650156</v>
      </c>
      <c r="G93" s="95">
        <f t="shared" ca="1" si="0"/>
        <v>6.9318916637752404E-4</v>
      </c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</row>
    <row r="94" spans="1:25" ht="14.4">
      <c r="A94" s="99">
        <v>514036</v>
      </c>
      <c r="B94" s="98" t="s">
        <v>2621</v>
      </c>
      <c r="C94" s="101"/>
      <c r="D94" s="101"/>
      <c r="E94" s="101">
        <f ca="1">IFERROR(__xludf.DUMMYFUNCTION("GOOGLEFINANCE(""BOM:""&amp;A94,""PRICE"")"),191.45)</f>
        <v>191.45</v>
      </c>
      <c r="F94" s="112">
        <f ca="1">IFERROR(__xludf.DUMMYFUNCTION("GOOGLEFINANCE(""BOM:""&amp;A94,""MARKETCAP"")/10000000"),89.5858956)</f>
        <v>89.585895600000001</v>
      </c>
      <c r="G94" s="95">
        <f t="shared" ca="1" si="0"/>
        <v>5.9913052412721799E-4</v>
      </c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</row>
    <row r="95" spans="1:25" ht="14.4">
      <c r="A95" s="99">
        <v>590075</v>
      </c>
      <c r="B95" s="98" t="s">
        <v>2622</v>
      </c>
      <c r="C95" s="101"/>
      <c r="D95" s="101"/>
      <c r="E95" s="101">
        <f ca="1">IFERROR(__xludf.DUMMYFUNCTION("GOOGLEFINANCE(""BOM:""&amp;A95,""PRICE"")"),95.82)</f>
        <v>95.82</v>
      </c>
      <c r="F95" s="112">
        <f ca="1">IFERROR(__xludf.DUMMYFUNCTION("GOOGLEFINANCE(""BOM:""&amp;A95,""MARKETCAP"")/10000000"),98.8465447)</f>
        <v>98.846544699999995</v>
      </c>
      <c r="G95" s="95">
        <f t="shared" ca="1" si="0"/>
        <v>6.6106368349210854E-4</v>
      </c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</row>
    <row r="96" spans="1:25" ht="14.4">
      <c r="A96" s="99">
        <v>532886</v>
      </c>
      <c r="B96" s="98" t="s">
        <v>2623</v>
      </c>
      <c r="C96" s="101"/>
      <c r="D96" s="101"/>
      <c r="E96" s="101">
        <f ca="1">IFERROR(__xludf.DUMMYFUNCTION("GOOGLEFINANCE(""BOM:""&amp;A96,""PRICE"")"),28.41)</f>
        <v>28.41</v>
      </c>
      <c r="F96" s="112">
        <f ca="1">IFERROR(__xludf.DUMMYFUNCTION("GOOGLEFINANCE(""BOM:""&amp;A96,""MARKETCAP"")/10000000"),95.2953979)</f>
        <v>95.295397899999998</v>
      </c>
      <c r="G96" s="95">
        <f t="shared" ca="1" si="0"/>
        <v>6.3731440433061634E-4</v>
      </c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</row>
    <row r="97" spans="1:25" ht="14.4">
      <c r="A97" s="99">
        <v>523537</v>
      </c>
      <c r="B97" s="98" t="s">
        <v>2624</v>
      </c>
      <c r="C97" s="101"/>
      <c r="D97" s="101"/>
      <c r="E97" s="101">
        <f ca="1">IFERROR(__xludf.DUMMYFUNCTION("GOOGLEFINANCE(""BOM:""&amp;A97,""PRICE"")"),40.32)</f>
        <v>40.32</v>
      </c>
      <c r="F97" s="112">
        <f ca="1">IFERROR(__xludf.DUMMYFUNCTION("GOOGLEFINANCE(""BOM:""&amp;A97,""MARKETCAP"")/10000000"),87.1370028)</f>
        <v>87.137002800000005</v>
      </c>
      <c r="G97" s="95">
        <f t="shared" ca="1" si="0"/>
        <v>5.8275287430892037E-4</v>
      </c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</row>
    <row r="98" spans="1:25" ht="14.4">
      <c r="A98" s="99">
        <v>521200</v>
      </c>
      <c r="B98" s="98" t="s">
        <v>2625</v>
      </c>
      <c r="C98" s="101"/>
      <c r="D98" s="101"/>
      <c r="E98" s="101">
        <f ca="1">IFERROR(__xludf.DUMMYFUNCTION("GOOGLEFINANCE(""BOM:""&amp;A98,""PRICE"")"),52.5)</f>
        <v>52.5</v>
      </c>
      <c r="F98" s="112">
        <f ca="1">IFERROR(__xludf.DUMMYFUNCTION("GOOGLEFINANCE(""BOM:""&amp;A98,""MARKETCAP"")/10000000"),98.4268358)</f>
        <v>98.426835800000006</v>
      </c>
      <c r="G98" s="95">
        <f t="shared" ca="1" si="0"/>
        <v>6.5825676381403087E-4</v>
      </c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</row>
    <row r="99" spans="1:25" ht="14.4">
      <c r="A99" s="99">
        <v>503162</v>
      </c>
      <c r="B99" s="98" t="s">
        <v>2626</v>
      </c>
      <c r="C99" s="101"/>
      <c r="D99" s="101"/>
      <c r="E99" s="101">
        <f ca="1">IFERROR(__xludf.DUMMYFUNCTION("GOOGLEFINANCE(""BOM:""&amp;A99,""PRICE"")"),112.8)</f>
        <v>112.8</v>
      </c>
      <c r="F99" s="112">
        <f ca="1">IFERROR(__xludf.DUMMYFUNCTION("GOOGLEFINANCE(""BOM:""&amp;A99,""MARKETCAP"")/10000000"),84.8575273)</f>
        <v>84.857527300000001</v>
      </c>
      <c r="G99" s="95">
        <f t="shared" ca="1" si="0"/>
        <v>5.6750824967349779E-4</v>
      </c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</row>
    <row r="100" spans="1:25" ht="14.4">
      <c r="A100" s="99">
        <v>544059</v>
      </c>
      <c r="B100" s="98" t="s">
        <v>2627</v>
      </c>
      <c r="C100" s="101"/>
      <c r="D100" s="101"/>
      <c r="E100" s="101">
        <f ca="1">IFERROR(__xludf.DUMMYFUNCTION("GOOGLEFINANCE(""BOM:""&amp;A100,""PRICE"")"),50)</f>
        <v>50</v>
      </c>
      <c r="F100" s="112">
        <f ca="1">IFERROR(__xludf.DUMMYFUNCTION("GOOGLEFINANCE(""BOM:""&amp;A100,""MARKETCAP"")/10000000"),84.26)</f>
        <v>84.26</v>
      </c>
      <c r="G100" s="95">
        <f t="shared" ca="1" si="0"/>
        <v>5.6351212012618857E-4</v>
      </c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</row>
    <row r="101" spans="1:25" ht="14.4">
      <c r="A101" s="99">
        <v>530043</v>
      </c>
      <c r="B101" s="98" t="s">
        <v>2628</v>
      </c>
      <c r="C101" s="101"/>
      <c r="D101" s="101"/>
      <c r="E101" s="101">
        <f ca="1">IFERROR(__xludf.DUMMYFUNCTION("GOOGLEFINANCE(""BOM:""&amp;A101,""PRICE"")"),272)</f>
        <v>272</v>
      </c>
      <c r="F101" s="112">
        <f ca="1">IFERROR(__xludf.DUMMYFUNCTION("GOOGLEFINANCE(""BOM:""&amp;A101,""MARKETCAP"")/10000000"),82.688)</f>
        <v>82.688000000000002</v>
      </c>
      <c r="G101" s="95">
        <f t="shared" ca="1" si="0"/>
        <v>5.5299893412051127E-4</v>
      </c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</row>
    <row r="102" spans="1:25" ht="14.4">
      <c r="A102" s="99">
        <v>512608</v>
      </c>
      <c r="B102" s="98" t="s">
        <v>2629</v>
      </c>
      <c r="C102" s="101"/>
      <c r="D102" s="101"/>
      <c r="E102" s="101">
        <f ca="1">IFERROR(__xludf.DUMMYFUNCTION("GOOGLEFINANCE(""BOM:""&amp;A102,""PRICE"")"),3.17)</f>
        <v>3.17</v>
      </c>
      <c r="F102" s="112">
        <f ca="1">IFERROR(__xludf.DUMMYFUNCTION("GOOGLEFINANCE(""BOM:""&amp;A102,""MARKETCAP"")/10000000"),105.8801374)</f>
        <v>105.8801374</v>
      </c>
      <c r="G102" s="95">
        <f t="shared" ca="1" si="0"/>
        <v>7.0810278549164661E-4</v>
      </c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</row>
    <row r="103" spans="1:25" ht="14.4">
      <c r="A103" s="99">
        <v>521097</v>
      </c>
      <c r="B103" s="98" t="s">
        <v>2630</v>
      </c>
      <c r="C103" s="101"/>
      <c r="D103" s="101"/>
      <c r="E103" s="101">
        <f ca="1">IFERROR(__xludf.DUMMYFUNCTION("GOOGLEFINANCE(""BOM:""&amp;A103,""PRICE"")"),130)</f>
        <v>130</v>
      </c>
      <c r="F103" s="112">
        <f ca="1">IFERROR(__xludf.DUMMYFUNCTION("GOOGLEFINANCE(""BOM:""&amp;A103,""MARKETCAP"")/10000000"),87.75)</f>
        <v>87.75</v>
      </c>
      <c r="G103" s="95">
        <f t="shared" ca="1" si="0"/>
        <v>5.8685246310316932E-4</v>
      </c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</row>
    <row r="104" spans="1:25" ht="14.4">
      <c r="A104" s="99">
        <v>539979</v>
      </c>
      <c r="B104" s="98" t="s">
        <v>2631</v>
      </c>
      <c r="C104" s="101"/>
      <c r="D104" s="101"/>
      <c r="E104" s="101">
        <f ca="1">IFERROR(__xludf.DUMMYFUNCTION("GOOGLEFINANCE(""BOM:""&amp;A104,""PRICE"")"),40)</f>
        <v>40</v>
      </c>
      <c r="F104" s="112">
        <f ca="1">IFERROR(__xludf.DUMMYFUNCTION("GOOGLEFINANCE(""BOM:""&amp;A104,""MARKETCAP"")/10000000"),80.5999984)</f>
        <v>80.599998400000004</v>
      </c>
      <c r="G104" s="95">
        <f t="shared" ca="1" si="0"/>
        <v>5.3903484429802286E-4</v>
      </c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</row>
    <row r="105" spans="1:25" ht="14.4">
      <c r="A105" s="99">
        <v>514302</v>
      </c>
      <c r="B105" s="98" t="s">
        <v>2632</v>
      </c>
      <c r="C105" s="101"/>
      <c r="D105" s="101"/>
      <c r="E105" s="101">
        <f ca="1">IFERROR(__xludf.DUMMYFUNCTION("GOOGLEFINANCE(""BOM:""&amp;A105,""PRICE"")"),158.95)</f>
        <v>158.94999999999999</v>
      </c>
      <c r="F105" s="112">
        <f ca="1">IFERROR(__xludf.DUMMYFUNCTION("GOOGLEFINANCE(""BOM:""&amp;A105,""MARKETCAP"")/10000000"),93.3036482)</f>
        <v>93.303648199999998</v>
      </c>
      <c r="G105" s="95">
        <f t="shared" ca="1" si="0"/>
        <v>6.2399402578554514E-4</v>
      </c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</row>
    <row r="106" spans="1:25" ht="14.4">
      <c r="A106" s="99">
        <v>532455</v>
      </c>
      <c r="B106" s="98" t="s">
        <v>2633</v>
      </c>
      <c r="C106" s="101"/>
      <c r="D106" s="101"/>
      <c r="E106" s="101">
        <f ca="1">IFERROR(__xludf.DUMMYFUNCTION("GOOGLEFINANCE(""BOM:""&amp;A106,""PRICE"")"),18.66)</f>
        <v>18.66</v>
      </c>
      <c r="F106" s="112">
        <f ca="1">IFERROR(__xludf.DUMMYFUNCTION("GOOGLEFINANCE(""BOM:""&amp;A106,""MARKETCAP"")/10000000"),79.7810532)</f>
        <v>79.781053200000002</v>
      </c>
      <c r="G106" s="95">
        <f t="shared" ca="1" si="0"/>
        <v>5.3355792113259244E-4</v>
      </c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</row>
    <row r="107" spans="1:25" ht="14.4">
      <c r="A107" s="99">
        <v>514280</v>
      </c>
      <c r="B107" s="98" t="s">
        <v>2634</v>
      </c>
      <c r="C107" s="101"/>
      <c r="D107" s="101"/>
      <c r="E107" s="101">
        <f ca="1">IFERROR(__xludf.DUMMYFUNCTION("GOOGLEFINANCE(""BOM:""&amp;A107,""PRICE"")"),135)</f>
        <v>135</v>
      </c>
      <c r="F107" s="112">
        <f ca="1">IFERROR(__xludf.DUMMYFUNCTION("GOOGLEFINANCE(""BOM:""&amp;A107,""MARKETCAP"")/10000000"),76.815)</f>
        <v>76.814999999999998</v>
      </c>
      <c r="G107" s="95">
        <f t="shared" ca="1" si="0"/>
        <v>5.1372161770108199E-4</v>
      </c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</row>
    <row r="108" spans="1:25" ht="14.4">
      <c r="A108" s="99">
        <v>530185</v>
      </c>
      <c r="B108" s="98" t="s">
        <v>2635</v>
      </c>
      <c r="C108" s="101"/>
      <c r="D108" s="101"/>
      <c r="E108" s="101">
        <f ca="1">IFERROR(__xludf.DUMMYFUNCTION("GOOGLEFINANCE(""BOM:""&amp;A108,""PRICE"")"),3.59)</f>
        <v>3.59</v>
      </c>
      <c r="F108" s="112">
        <f ca="1">IFERROR(__xludf.DUMMYFUNCTION("GOOGLEFINANCE(""BOM:""&amp;A108,""MARKETCAP"")/10000000"),76.1681)</f>
        <v>76.168099999999995</v>
      </c>
      <c r="G108" s="95">
        <f t="shared" ca="1" si="0"/>
        <v>5.0939529452864393E-4</v>
      </c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</row>
    <row r="109" spans="1:25" ht="14.4">
      <c r="A109" s="99">
        <v>540726</v>
      </c>
      <c r="B109" s="98" t="s">
        <v>2636</v>
      </c>
      <c r="C109" s="101"/>
      <c r="D109" s="101"/>
      <c r="E109" s="101">
        <f ca="1">IFERROR(__xludf.DUMMYFUNCTION("GOOGLEFINANCE(""BOM:""&amp;A109,""PRICE"")"),50.07)</f>
        <v>50.07</v>
      </c>
      <c r="F109" s="112">
        <f ca="1">IFERROR(__xludf.DUMMYFUNCTION("GOOGLEFINANCE(""BOM:""&amp;A109,""MARKETCAP"")/10000000"),75.0837698)</f>
        <v>75.083769799999999</v>
      </c>
      <c r="G109" s="95">
        <f t="shared" ca="1" si="0"/>
        <v>5.0214353556924621E-4</v>
      </c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</row>
    <row r="110" spans="1:25" ht="14.4">
      <c r="A110" s="99">
        <v>514030</v>
      </c>
      <c r="B110" s="98" t="s">
        <v>2637</v>
      </c>
      <c r="C110" s="101"/>
      <c r="D110" s="101"/>
      <c r="E110" s="101">
        <f ca="1">IFERROR(__xludf.DUMMYFUNCTION("GOOGLEFINANCE(""BOM:""&amp;A110,""PRICE"")"),101.46)</f>
        <v>101.46</v>
      </c>
      <c r="F110" s="112">
        <f ca="1">IFERROR(__xludf.DUMMYFUNCTION("GOOGLEFINANCE(""BOM:""&amp;A110,""MARKETCAP"")/10000000"),72.943327)</f>
        <v>72.943326999999996</v>
      </c>
      <c r="G110" s="95">
        <f t="shared" ca="1" si="0"/>
        <v>4.8782873067680811E-4</v>
      </c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</row>
    <row r="111" spans="1:25" ht="14.4">
      <c r="A111" s="99">
        <v>514386</v>
      </c>
      <c r="B111" s="98" t="s">
        <v>2638</v>
      </c>
      <c r="C111" s="101"/>
      <c r="D111" s="101"/>
      <c r="E111" s="101">
        <f ca="1">IFERROR(__xludf.DUMMYFUNCTION("GOOGLEFINANCE(""BOM:""&amp;A111,""PRICE"")"),7.44)</f>
        <v>7.44</v>
      </c>
      <c r="F111" s="112">
        <f ca="1">IFERROR(__xludf.DUMMYFUNCTION("GOOGLEFINANCE(""BOM:""&amp;A111,""MARKETCAP"")/10000000"),74.1827525)</f>
        <v>74.182752500000007</v>
      </c>
      <c r="G111" s="95">
        <f t="shared" ca="1" si="0"/>
        <v>4.9611773247176967E-4</v>
      </c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ht="14.4">
      <c r="A112" s="99">
        <v>532820</v>
      </c>
      <c r="B112" s="98" t="s">
        <v>2639</v>
      </c>
      <c r="C112" s="101"/>
      <c r="D112" s="101"/>
      <c r="E112" s="101">
        <f ca="1">IFERROR(__xludf.DUMMYFUNCTION("GOOGLEFINANCE(""BOM:""&amp;A112,""PRICE"")"),13.5)</f>
        <v>13.5</v>
      </c>
      <c r="F112" s="112">
        <f ca="1">IFERROR(__xludf.DUMMYFUNCTION("GOOGLEFINANCE(""BOM:""&amp;A112,""MARKETCAP"")/10000000"),64.787121)</f>
        <v>64.787120999999999</v>
      </c>
      <c r="G112" s="95">
        <f t="shared" ca="1" si="0"/>
        <v>4.3328184086852492E-4</v>
      </c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</row>
    <row r="113" spans="1:25" ht="14.4">
      <c r="A113" s="99">
        <v>514300</v>
      </c>
      <c r="B113" s="98" t="s">
        <v>2640</v>
      </c>
      <c r="C113" s="101"/>
      <c r="D113" s="101"/>
      <c r="E113" s="101">
        <f ca="1">IFERROR(__xludf.DUMMYFUNCTION("GOOGLEFINANCE(""BOM:""&amp;A113,""PRICE"")"),22.11)</f>
        <v>22.11</v>
      </c>
      <c r="F113" s="112">
        <f ca="1">IFERROR(__xludf.DUMMYFUNCTION("GOOGLEFINANCE(""BOM:""&amp;A113,""MARKETCAP"")/10000000"),72.4033181)</f>
        <v>72.403318100000007</v>
      </c>
      <c r="G113" s="95">
        <f t="shared" ca="1" si="0"/>
        <v>4.842172713826471E-4</v>
      </c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</row>
    <row r="114" spans="1:25" ht="14.4">
      <c r="A114" s="99">
        <v>542019</v>
      </c>
      <c r="B114" s="98" t="s">
        <v>2641</v>
      </c>
      <c r="C114" s="101"/>
      <c r="D114" s="101"/>
      <c r="E114" s="101">
        <f ca="1">IFERROR(__xludf.DUMMYFUNCTION("GOOGLEFINANCE(""BOM:""&amp;A114,""PRICE"")"),53)</f>
        <v>53</v>
      </c>
      <c r="F114" s="112">
        <f ca="1">IFERROR(__xludf.DUMMYFUNCTION("GOOGLEFINANCE(""BOM:""&amp;A114,""MARKETCAP"")/10000000"),64.2466)</f>
        <v>64.246600000000001</v>
      </c>
      <c r="G114" s="95">
        <f t="shared" ca="1" si="0"/>
        <v>4.2966695676357921E-4</v>
      </c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</row>
    <row r="115" spans="1:25" ht="14.4">
      <c r="A115" s="99">
        <v>535387</v>
      </c>
      <c r="B115" s="98" t="s">
        <v>2642</v>
      </c>
      <c r="C115" s="101"/>
      <c r="D115" s="101"/>
      <c r="E115" s="101">
        <f ca="1">IFERROR(__xludf.DUMMYFUNCTION("GOOGLEFINANCE(""BOM:""&amp;A115,""PRICE"")"),67.14)</f>
        <v>67.14</v>
      </c>
      <c r="F115" s="112">
        <f ca="1">IFERROR(__xludf.DUMMYFUNCTION("GOOGLEFINANCE(""BOM:""&amp;A115,""MARKETCAP"")/10000000"),70.322301)</f>
        <v>70.322300999999996</v>
      </c>
      <c r="G115" s="95">
        <f t="shared" ca="1" si="0"/>
        <v>4.702998923411107E-4</v>
      </c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</row>
    <row r="116" spans="1:25" ht="14.4">
      <c r="A116" s="99">
        <v>521109</v>
      </c>
      <c r="B116" s="98" t="s">
        <v>2643</v>
      </c>
      <c r="C116" s="101"/>
      <c r="D116" s="101"/>
      <c r="E116" s="101">
        <f ca="1">IFERROR(__xludf.DUMMYFUNCTION("GOOGLEFINANCE(""BOM:""&amp;A116,""PRICE"")"),21.28)</f>
        <v>21.28</v>
      </c>
      <c r="F116" s="112">
        <f ca="1">IFERROR(__xludf.DUMMYFUNCTION("GOOGLEFINANCE(""BOM:""&amp;A116,""MARKETCAP"")/10000000"),65.623425)</f>
        <v>65.623424999999997</v>
      </c>
      <c r="G116" s="95">
        <f t="shared" ca="1" si="0"/>
        <v>4.3887485582354524E-4</v>
      </c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</row>
    <row r="117" spans="1:25" ht="14.4">
      <c r="A117" s="99">
        <v>507872</v>
      </c>
      <c r="B117" s="98" t="s">
        <v>2644</v>
      </c>
      <c r="C117" s="101"/>
      <c r="D117" s="101"/>
      <c r="E117" s="101">
        <f ca="1">IFERROR(__xludf.DUMMYFUNCTION("GOOGLEFINANCE(""BOM:""&amp;A117,""PRICE"")"),36.3)</f>
        <v>36.299999999999997</v>
      </c>
      <c r="F117" s="112">
        <f ca="1">IFERROR(__xludf.DUMMYFUNCTION("GOOGLEFINANCE(""BOM:""&amp;A117,""MARKETCAP"")/10000000"),57.834284)</f>
        <v>57.834283999999997</v>
      </c>
      <c r="G117" s="95">
        <f t="shared" ca="1" si="0"/>
        <v>3.8678281501091977E-4</v>
      </c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</row>
    <row r="118" spans="1:25" ht="14.4">
      <c r="A118" s="99">
        <v>526479</v>
      </c>
      <c r="B118" s="98" t="s">
        <v>2645</v>
      </c>
      <c r="C118" s="101"/>
      <c r="D118" s="101"/>
      <c r="E118" s="101">
        <f ca="1">IFERROR(__xludf.DUMMYFUNCTION("GOOGLEFINANCE(""BOM:""&amp;A118,""PRICE"")"),77)</f>
        <v>77</v>
      </c>
      <c r="F118" s="112">
        <f ca="1">IFERROR(__xludf.DUMMYFUNCTION("GOOGLEFINANCE(""BOM:""&amp;A118,""MARKETCAP"")/10000000"),60.757158)</f>
        <v>60.757157999999997</v>
      </c>
      <c r="G118" s="95">
        <f t="shared" ca="1" si="0"/>
        <v>4.0633034556636382E-4</v>
      </c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</row>
    <row r="119" spans="1:25" ht="14.4">
      <c r="A119" s="99">
        <v>521216</v>
      </c>
      <c r="B119" s="98" t="s">
        <v>2646</v>
      </c>
      <c r="C119" s="101"/>
      <c r="D119" s="101"/>
      <c r="E119" s="101">
        <f ca="1">IFERROR(__xludf.DUMMYFUNCTION("GOOGLEFINANCE(""BOM:""&amp;A119,""PRICE"")"),79.9)</f>
        <v>79.900000000000006</v>
      </c>
      <c r="F119" s="112">
        <f ca="1">IFERROR(__xludf.DUMMYFUNCTION("GOOGLEFINANCE(""BOM:""&amp;A119,""MARKETCAP"")/10000000"),62.7948219)</f>
        <v>62.794821900000002</v>
      </c>
      <c r="G119" s="95">
        <f t="shared" ca="1" si="0"/>
        <v>4.1995778805857363E-4</v>
      </c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</row>
    <row r="120" spans="1:25" ht="14.4">
      <c r="A120" s="99">
        <v>512477</v>
      </c>
      <c r="B120" s="98" t="s">
        <v>2647</v>
      </c>
      <c r="C120" s="101"/>
      <c r="D120" s="101"/>
      <c r="E120" s="101">
        <f ca="1">IFERROR(__xludf.DUMMYFUNCTION("GOOGLEFINANCE(""BOM:""&amp;A120,""PRICE"")"),379)</f>
        <v>379</v>
      </c>
      <c r="F120" s="112">
        <f ca="1">IFERROR(__xludf.DUMMYFUNCTION("GOOGLEFINANCE(""BOM:""&amp;A120,""MARKETCAP"")/10000000"),56.85)</f>
        <v>56.85</v>
      </c>
      <c r="G120" s="95">
        <f t="shared" ca="1" si="0"/>
        <v>3.8020014276256612E-4</v>
      </c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</row>
    <row r="121" spans="1:25" ht="14.4">
      <c r="A121" s="99">
        <v>543244</v>
      </c>
      <c r="B121" s="98" t="s">
        <v>2648</v>
      </c>
      <c r="C121" s="101"/>
      <c r="D121" s="101"/>
      <c r="E121" s="101">
        <f ca="1">IFERROR(__xludf.DUMMYFUNCTION("GOOGLEFINANCE(""BOM:""&amp;A121,""PRICE"")"),20.5)</f>
        <v>20.5</v>
      </c>
      <c r="F121" s="112">
        <f ca="1">IFERROR(__xludf.DUMMYFUNCTION("GOOGLEFINANCE(""BOM:""&amp;A121,""MARKETCAP"")/10000000"),55.0712)</f>
        <v>55.071199999999997</v>
      </c>
      <c r="G121" s="95">
        <f t="shared" ca="1" si="0"/>
        <v>3.6830392439939893E-4</v>
      </c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</row>
    <row r="122" spans="1:25" ht="14.4">
      <c r="A122" s="99">
        <v>531952</v>
      </c>
      <c r="B122" s="98" t="s">
        <v>2649</v>
      </c>
      <c r="C122" s="101"/>
      <c r="D122" s="101"/>
      <c r="E122" s="101">
        <f ca="1">IFERROR(__xludf.DUMMYFUNCTION("GOOGLEFINANCE(""BOM:""&amp;A122,""PRICE"")"),56.89)</f>
        <v>56.89</v>
      </c>
      <c r="F122" s="112">
        <f ca="1">IFERROR(__xludf.DUMMYFUNCTION("GOOGLEFINANCE(""BOM:""&amp;A122,""MARKETCAP"")/10000000"),54.9151768)</f>
        <v>54.915176799999998</v>
      </c>
      <c r="G122" s="95">
        <f t="shared" ca="1" si="0"/>
        <v>3.6726047597522527E-4</v>
      </c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</row>
    <row r="123" spans="1:25" ht="14.4">
      <c r="A123" s="99">
        <v>503837</v>
      </c>
      <c r="B123" s="98" t="s">
        <v>2650</v>
      </c>
      <c r="C123" s="101"/>
      <c r="D123" s="101"/>
      <c r="E123" s="101">
        <f ca="1">IFERROR(__xludf.DUMMYFUNCTION("GOOGLEFINANCE(""BOM:""&amp;A123,""PRICE"")"),12.44)</f>
        <v>12.44</v>
      </c>
      <c r="F123" s="112">
        <f ca="1">IFERROR(__xludf.DUMMYFUNCTION("GOOGLEFINANCE(""BOM:""&amp;A123,""MARKETCAP"")/10000000"),50.677187)</f>
        <v>50.677187000000004</v>
      </c>
      <c r="G123" s="95">
        <f t="shared" ca="1" si="0"/>
        <v>3.3891774375031242E-4</v>
      </c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</row>
    <row r="124" spans="1:25" ht="14.4">
      <c r="A124" s="99">
        <v>521220</v>
      </c>
      <c r="B124" s="98" t="s">
        <v>2651</v>
      </c>
      <c r="C124" s="101"/>
      <c r="D124" s="101"/>
      <c r="E124" s="101">
        <f ca="1">IFERROR(__xludf.DUMMYFUNCTION("GOOGLEFINANCE(""BOM:""&amp;A124,""PRICE"")"),21.7)</f>
        <v>21.7</v>
      </c>
      <c r="F124" s="112">
        <f ca="1">IFERROR(__xludf.DUMMYFUNCTION("GOOGLEFINANCE(""BOM:""&amp;A124,""MARKETCAP"")/10000000"),51.6794007)</f>
        <v>51.679400700000002</v>
      </c>
      <c r="G124" s="95">
        <f t="shared" ca="1" si="0"/>
        <v>3.4562032584034932E-4</v>
      </c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</row>
    <row r="125" spans="1:25" ht="14.4">
      <c r="A125" s="99">
        <v>521151</v>
      </c>
      <c r="B125" s="98" t="s">
        <v>2652</v>
      </c>
      <c r="C125" s="101"/>
      <c r="D125" s="101"/>
      <c r="E125" s="101">
        <f ca="1">IFERROR(__xludf.DUMMYFUNCTION("GOOGLEFINANCE(""BOM:""&amp;A125,""PRICE"")"),59.5)</f>
        <v>59.5</v>
      </c>
      <c r="F125" s="112">
        <f ca="1">IFERROR(__xludf.DUMMYFUNCTION("GOOGLEFINANCE(""BOM:""&amp;A125,""MARKETCAP"")/10000000"),51.05754)</f>
        <v>51.057540000000003</v>
      </c>
      <c r="G125" s="95">
        <f t="shared" ca="1" si="0"/>
        <v>3.4146145993149392E-4</v>
      </c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</row>
    <row r="126" spans="1:25" ht="14.4">
      <c r="A126" s="99">
        <v>544503</v>
      </c>
      <c r="B126" s="98" t="s">
        <v>2653</v>
      </c>
      <c r="C126" s="101"/>
      <c r="D126" s="101"/>
      <c r="E126" s="101">
        <f ca="1">IFERROR(__xludf.DUMMYFUNCTION("GOOGLEFINANCE(""BOM:""&amp;A126,""PRICE"")"),104)</f>
        <v>104</v>
      </c>
      <c r="F126" s="112">
        <f ca="1">IFERROR(__xludf.DUMMYFUNCTION("GOOGLEFINANCE(""BOM:""&amp;A126,""MARKETCAP"")/10000000"),51.34584)</f>
        <v>51.345840000000003</v>
      </c>
      <c r="G126" s="95">
        <f t="shared" ca="1" si="0"/>
        <v>3.433895461436038E-4</v>
      </c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</row>
    <row r="127" spans="1:25" ht="14.4">
      <c r="A127" s="99">
        <v>514322</v>
      </c>
      <c r="B127" s="98" t="s">
        <v>2654</v>
      </c>
      <c r="C127" s="101"/>
      <c r="D127" s="101"/>
      <c r="E127" s="101">
        <f ca="1">IFERROR(__xludf.DUMMYFUNCTION("GOOGLEFINANCE(""BOM:""&amp;A127,""PRICE"")"),76.99)</f>
        <v>76.989999999999995</v>
      </c>
      <c r="F127" s="112">
        <f ca="1">IFERROR(__xludf.DUMMYFUNCTION("GOOGLEFINANCE(""BOM:""&amp;A127,""MARKETCAP"")/10000000"),45.1882783)</f>
        <v>45.1882783</v>
      </c>
      <c r="G127" s="95">
        <f t="shared" ca="1" si="0"/>
        <v>3.0220914443015952E-4</v>
      </c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</row>
    <row r="128" spans="1:25" ht="14.4">
      <c r="A128" s="99">
        <v>531395</v>
      </c>
      <c r="B128" s="98" t="s">
        <v>2655</v>
      </c>
      <c r="C128" s="101"/>
      <c r="D128" s="101"/>
      <c r="E128" s="101">
        <f ca="1">IFERROR(__xludf.DUMMYFUNCTION("GOOGLEFINANCE(""BOM:""&amp;A128,""PRICE"")"),1.84)</f>
        <v>1.84</v>
      </c>
      <c r="F128" s="112">
        <f ca="1">IFERROR(__xludf.DUMMYFUNCTION("GOOGLEFINANCE(""BOM:""&amp;A128,""MARKETCAP"")/10000000"),40.3824807)</f>
        <v>40.382480700000002</v>
      </c>
      <c r="G128" s="95">
        <f t="shared" ca="1" si="0"/>
        <v>2.7006904005710765E-4</v>
      </c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</row>
    <row r="129" spans="1:25" ht="14.4">
      <c r="A129" s="99">
        <v>532140</v>
      </c>
      <c r="B129" s="98" t="s">
        <v>2656</v>
      </c>
      <c r="C129" s="101"/>
      <c r="D129" s="101"/>
      <c r="E129" s="101">
        <f ca="1">IFERROR(__xludf.DUMMYFUNCTION("GOOGLEFINANCE(""BOM:""&amp;A129,""PRICE"")"),2.29)</f>
        <v>2.29</v>
      </c>
      <c r="F129" s="112">
        <f ca="1">IFERROR(__xludf.DUMMYFUNCTION("GOOGLEFINANCE(""BOM:""&amp;A129,""MARKETCAP"")/10000000"),46.0282893)</f>
        <v>46.028289299999997</v>
      </c>
      <c r="G129" s="95">
        <f t="shared" ca="1" si="0"/>
        <v>3.078269509758433E-4</v>
      </c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</row>
    <row r="130" spans="1:25" ht="14.4">
      <c r="A130" s="99">
        <v>540961</v>
      </c>
      <c r="B130" s="98" t="s">
        <v>2657</v>
      </c>
      <c r="C130" s="101"/>
      <c r="D130" s="101"/>
      <c r="E130" s="101">
        <f ca="1">IFERROR(__xludf.DUMMYFUNCTION("GOOGLEFINANCE(""BOM:""&amp;A130,""PRICE"")"),45.9)</f>
        <v>45.9</v>
      </c>
      <c r="F130" s="112">
        <f ca="1">IFERROR(__xludf.DUMMYFUNCTION("GOOGLEFINANCE(""BOM:""&amp;A130,""MARKETCAP"")/10000000"),40.7720504)</f>
        <v>40.772050399999998</v>
      </c>
      <c r="G130" s="95">
        <f t="shared" ca="1" si="0"/>
        <v>2.7267439547585821E-4</v>
      </c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</row>
    <row r="131" spans="1:25" ht="14.4">
      <c r="A131" s="99">
        <v>532957</v>
      </c>
      <c r="B131" s="98" t="s">
        <v>2658</v>
      </c>
      <c r="C131" s="101"/>
      <c r="D131" s="101"/>
      <c r="E131" s="101">
        <f ca="1">IFERROR(__xludf.DUMMYFUNCTION("GOOGLEFINANCE(""BOM:""&amp;A131,""PRICE"")"),61.69)</f>
        <v>61.69</v>
      </c>
      <c r="F131" s="112">
        <f ca="1">IFERROR(__xludf.DUMMYFUNCTION("GOOGLEFINANCE(""BOM:""&amp;A131,""MARKETCAP"")/10000000"),40.0942239)</f>
        <v>40.094223900000003</v>
      </c>
      <c r="G131" s="95">
        <f t="shared" ca="1" si="0"/>
        <v>2.6814124275697962E-4</v>
      </c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</row>
    <row r="132" spans="1:25" ht="14.4">
      <c r="A132" s="99">
        <v>507817</v>
      </c>
      <c r="B132" s="98" t="s">
        <v>2659</v>
      </c>
      <c r="C132" s="101"/>
      <c r="D132" s="101"/>
      <c r="E132" s="101">
        <f ca="1">IFERROR(__xludf.DUMMYFUNCTION("GOOGLEFINANCE(""BOM:""&amp;A132,""PRICE"")"),142)</f>
        <v>142</v>
      </c>
      <c r="F132" s="112">
        <f ca="1">IFERROR(__xludf.DUMMYFUNCTION("GOOGLEFINANCE(""BOM:""&amp;A132,""MARKETCAP"")/10000000"),43.39875)</f>
        <v>43.39875</v>
      </c>
      <c r="G132" s="95">
        <f t="shared" ca="1" si="0"/>
        <v>2.9024117758516999E-4</v>
      </c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</row>
    <row r="133" spans="1:25" ht="14.4">
      <c r="A133" s="99">
        <v>502873</v>
      </c>
      <c r="B133" s="98" t="s">
        <v>2660</v>
      </c>
      <c r="C133" s="101"/>
      <c r="D133" s="101"/>
      <c r="E133" s="101">
        <f ca="1">IFERROR(__xludf.DUMMYFUNCTION("GOOGLEFINANCE(""BOM:""&amp;A133,""PRICE"")"),106.4)</f>
        <v>106.4</v>
      </c>
      <c r="F133" s="112">
        <f ca="1">IFERROR(__xludf.DUMMYFUNCTION("GOOGLEFINANCE(""BOM:""&amp;A133,""MARKETCAP"")/10000000"),41.7300805)</f>
        <v>41.7300805</v>
      </c>
      <c r="G133" s="95">
        <f t="shared" ca="1" si="0"/>
        <v>2.7908148748625111E-4</v>
      </c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</row>
    <row r="134" spans="1:25" ht="14.4">
      <c r="A134" s="99">
        <v>521240</v>
      </c>
      <c r="B134" s="98" t="s">
        <v>2661</v>
      </c>
      <c r="C134" s="101"/>
      <c r="D134" s="101"/>
      <c r="E134" s="101">
        <f ca="1">IFERROR(__xludf.DUMMYFUNCTION("GOOGLEFINANCE(""BOM:""&amp;A134,""PRICE"")"),88.5)</f>
        <v>88.5</v>
      </c>
      <c r="F134" s="112">
        <f ca="1">IFERROR(__xludf.DUMMYFUNCTION("GOOGLEFINANCE(""BOM:""&amp;A134,""MARKETCAP"")/10000000"),37.74171)</f>
        <v>37.741709999999998</v>
      </c>
      <c r="G134" s="95">
        <f t="shared" ca="1" si="0"/>
        <v>2.5240815356382352E-4</v>
      </c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</row>
    <row r="135" spans="1:25" ht="14.4">
      <c r="A135" s="99">
        <v>530037</v>
      </c>
      <c r="B135" s="98" t="s">
        <v>2662</v>
      </c>
      <c r="C135" s="101"/>
      <c r="D135" s="101"/>
      <c r="E135" s="101">
        <f ca="1">IFERROR(__xludf.DUMMYFUNCTION("GOOGLEFINANCE(""BOM:""&amp;A135,""PRICE"")"),79.5)</f>
        <v>79.5</v>
      </c>
      <c r="F135" s="112">
        <f ca="1">IFERROR(__xludf.DUMMYFUNCTION("GOOGLEFINANCE(""BOM:""&amp;A135,""MARKETCAP"")/10000000"),35.601682)</f>
        <v>35.601681999999997</v>
      </c>
      <c r="G135" s="95">
        <f t="shared" ca="1" si="0"/>
        <v>2.3809612276143321E-4</v>
      </c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</row>
    <row r="136" spans="1:25" ht="14.4">
      <c r="A136" s="99">
        <v>500170</v>
      </c>
      <c r="B136" s="98" t="s">
        <v>2663</v>
      </c>
      <c r="C136" s="101"/>
      <c r="D136" s="101"/>
      <c r="E136" s="101">
        <f ca="1">IFERROR(__xludf.DUMMYFUNCTION("GOOGLEFINANCE(""BOM:""&amp;A136,""PRICE"")"),21)</f>
        <v>21</v>
      </c>
      <c r="F136" s="112">
        <f ca="1">IFERROR(__xludf.DUMMYFUNCTION("GOOGLEFINANCE(""BOM:""&amp;A136,""MARKETCAP"")/10000000"),36.834777)</f>
        <v>36.834777000000003</v>
      </c>
      <c r="G136" s="95">
        <f t="shared" ca="1" si="0"/>
        <v>2.4634278758183442E-4</v>
      </c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</row>
    <row r="137" spans="1:25" ht="14.4">
      <c r="A137" s="99">
        <v>533101</v>
      </c>
      <c r="B137" s="98" t="s">
        <v>2664</v>
      </c>
      <c r="C137" s="101"/>
      <c r="D137" s="101"/>
      <c r="E137" s="101">
        <f ca="1">IFERROR(__xludf.DUMMYFUNCTION("GOOGLEFINANCE(""BOM:""&amp;A137,""PRICE"")"),112.1)</f>
        <v>112.1</v>
      </c>
      <c r="F137" s="112">
        <f ca="1">IFERROR(__xludf.DUMMYFUNCTION("GOOGLEFINANCE(""BOM:""&amp;A137,""MARKETCAP"")/10000000"),32.8670917)</f>
        <v>32.867091700000003</v>
      </c>
      <c r="G137" s="95">
        <f t="shared" ca="1" si="0"/>
        <v>2.198077916715981E-4</v>
      </c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</row>
    <row r="138" spans="1:25" ht="14.4">
      <c r="A138" s="99">
        <v>500239</v>
      </c>
      <c r="B138" s="98" t="s">
        <v>2665</v>
      </c>
      <c r="C138" s="101"/>
      <c r="D138" s="101"/>
      <c r="E138" s="101">
        <f ca="1">IFERROR(__xludf.DUMMYFUNCTION("GOOGLEFINANCE(""BOM:""&amp;A138,""PRICE"")"),14.25)</f>
        <v>14.25</v>
      </c>
      <c r="F138" s="112">
        <f ca="1">IFERROR(__xludf.DUMMYFUNCTION("GOOGLEFINANCE(""BOM:""&amp;A138,""MARKETCAP"")/10000000"),36.5338935)</f>
        <v>36.533893499999998</v>
      </c>
      <c r="G138" s="95">
        <f t="shared" ca="1" si="0"/>
        <v>2.443305457233489E-4</v>
      </c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</row>
    <row r="139" spans="1:25" ht="14.4">
      <c r="A139" s="99">
        <v>533301</v>
      </c>
      <c r="B139" s="98" t="s">
        <v>2666</v>
      </c>
      <c r="C139" s="101"/>
      <c r="D139" s="101"/>
      <c r="E139" s="101">
        <f ca="1">IFERROR(__xludf.DUMMYFUNCTION("GOOGLEFINANCE(""BOM:""&amp;A139,""PRICE"")"),10.5)</f>
        <v>10.5</v>
      </c>
      <c r="F139" s="112">
        <f ca="1">IFERROR(__xludf.DUMMYFUNCTION("GOOGLEFINANCE(""BOM:""&amp;A139,""MARKETCAP"")/10000000"),36.4003214)</f>
        <v>36.400321400000003</v>
      </c>
      <c r="G139" s="95">
        <f t="shared" ca="1" si="0"/>
        <v>2.4343724525740176E-4</v>
      </c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</row>
    <row r="140" spans="1:25" ht="14.4">
      <c r="A140" s="99">
        <v>521244</v>
      </c>
      <c r="B140" s="98" t="s">
        <v>2667</v>
      </c>
      <c r="C140" s="101"/>
      <c r="D140" s="101"/>
      <c r="E140" s="101">
        <f ca="1">IFERROR(__xludf.DUMMYFUNCTION("GOOGLEFINANCE(""BOM:""&amp;A140,""PRICE"")"),108)</f>
        <v>108</v>
      </c>
      <c r="F140" s="112">
        <f ca="1">IFERROR(__xludf.DUMMYFUNCTION("GOOGLEFINANCE(""BOM:""&amp;A140,""MARKETCAP"")/10000000"),36.83912)</f>
        <v>36.839120000000001</v>
      </c>
      <c r="G140" s="95">
        <f t="shared" ca="1" si="0"/>
        <v>2.4637183259889717E-4</v>
      </c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</row>
    <row r="141" spans="1:25" ht="14.4">
      <c r="A141" s="99">
        <v>526851</v>
      </c>
      <c r="B141" s="98" t="s">
        <v>2668</v>
      </c>
      <c r="C141" s="101"/>
      <c r="D141" s="101"/>
      <c r="E141" s="101">
        <f ca="1">IFERROR(__xludf.DUMMYFUNCTION("GOOGLEFINANCE(""BOM:""&amp;A141,""PRICE"")"),97.6)</f>
        <v>97.6</v>
      </c>
      <c r="F141" s="112">
        <f ca="1">IFERROR(__xludf.DUMMYFUNCTION("GOOGLEFINANCE(""BOM:""&amp;A141,""MARKETCAP"")/10000000"),35.12331)</f>
        <v>35.123309999999996</v>
      </c>
      <c r="G141" s="95">
        <f t="shared" ca="1" si="0"/>
        <v>2.3489687733146638E-4</v>
      </c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</row>
    <row r="142" spans="1:25" ht="14.4">
      <c r="A142" s="99">
        <v>544337</v>
      </c>
      <c r="B142" s="98" t="s">
        <v>2669</v>
      </c>
      <c r="C142" s="101"/>
      <c r="D142" s="101"/>
      <c r="E142" s="101">
        <f ca="1">IFERROR(__xludf.DUMMYFUNCTION("GOOGLEFINANCE(""BOM:""&amp;A142,""PRICE"")"),159.6)</f>
        <v>159.6</v>
      </c>
      <c r="F142" s="112">
        <f ca="1">IFERROR(__xludf.DUMMYFUNCTION("GOOGLEFINANCE(""BOM:""&amp;A142,""MARKETCAP"")/10000000"),33.1699246)</f>
        <v>33.169924600000002</v>
      </c>
      <c r="G142" s="95">
        <f t="shared" ca="1" si="0"/>
        <v>2.218330706832639E-4</v>
      </c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</row>
    <row r="143" spans="1:25" ht="14.4">
      <c r="A143" s="99">
        <v>521133</v>
      </c>
      <c r="B143" s="98" t="s">
        <v>2670</v>
      </c>
      <c r="C143" s="101"/>
      <c r="D143" s="101"/>
      <c r="E143" s="101">
        <f ca="1">IFERROR(__xludf.DUMMYFUNCTION("GOOGLEFINANCE(""BOM:""&amp;A143,""PRICE"")"),5.58)</f>
        <v>5.58</v>
      </c>
      <c r="F143" s="112">
        <f ca="1">IFERROR(__xludf.DUMMYFUNCTION("GOOGLEFINANCE(""BOM:""&amp;A143,""MARKETCAP"")/10000000"),34.24557)</f>
        <v>34.245570000000001</v>
      </c>
      <c r="G143" s="95">
        <f t="shared" ca="1" si="0"/>
        <v>2.2902674763386897E-4</v>
      </c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</row>
    <row r="144" spans="1:25" ht="14.4">
      <c r="A144" s="99">
        <v>514087</v>
      </c>
      <c r="B144" s="98" t="s">
        <v>2671</v>
      </c>
      <c r="C144" s="101"/>
      <c r="D144" s="101"/>
      <c r="E144" s="101">
        <f ca="1">IFERROR(__xludf.DUMMYFUNCTION("GOOGLEFINANCE(""BOM:""&amp;A144,""PRICE"")"),53.94)</f>
        <v>53.94</v>
      </c>
      <c r="F144" s="112">
        <f ca="1">IFERROR(__xludf.DUMMYFUNCTION("GOOGLEFINANCE(""BOM:""&amp;A144,""MARKETCAP"")/10000000"),37.1054329)</f>
        <v>37.105432899999997</v>
      </c>
      <c r="G144" s="95">
        <f t="shared" ca="1" si="0"/>
        <v>2.4815287398147434E-4</v>
      </c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</row>
    <row r="145" spans="1:25" ht="14.4">
      <c r="A145" s="99">
        <v>531223</v>
      </c>
      <c r="B145" s="98" t="s">
        <v>2672</v>
      </c>
      <c r="C145" s="101"/>
      <c r="D145" s="101"/>
      <c r="E145" s="101">
        <f ca="1">IFERROR(__xludf.DUMMYFUNCTION("GOOGLEFINANCE(""BOM:""&amp;A145,""PRICE"")"),24.35)</f>
        <v>24.35</v>
      </c>
      <c r="F145" s="112">
        <f ca="1">IFERROR(__xludf.DUMMYFUNCTION("GOOGLEFINANCE(""BOM:""&amp;A145,""MARKETCAP"")/10000000"),35.9162505)</f>
        <v>35.916250499999997</v>
      </c>
      <c r="G145" s="95">
        <f t="shared" ca="1" si="0"/>
        <v>2.4019988685305336E-4</v>
      </c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</row>
    <row r="146" spans="1:25" ht="14.4">
      <c r="A146" s="99">
        <v>540310</v>
      </c>
      <c r="B146" s="98" t="s">
        <v>2673</v>
      </c>
      <c r="C146" s="101"/>
      <c r="D146" s="101"/>
      <c r="E146" s="101">
        <f ca="1">IFERROR(__xludf.DUMMYFUNCTION("GOOGLEFINANCE(""BOM:""&amp;A146,""PRICE"")"),53.9)</f>
        <v>53.9</v>
      </c>
      <c r="F146" s="112">
        <f ca="1">IFERROR(__xludf.DUMMYFUNCTION("GOOGLEFINANCE(""BOM:""&amp;A146,""MARKETCAP"")/10000000"),32.9509574)</f>
        <v>32.9509574</v>
      </c>
      <c r="G146" s="95">
        <f t="shared" ca="1" si="0"/>
        <v>2.2036866680111229E-4</v>
      </c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</row>
    <row r="147" spans="1:25" ht="14.4">
      <c r="A147" s="99">
        <v>541303</v>
      </c>
      <c r="B147" s="98" t="s">
        <v>2674</v>
      </c>
      <c r="C147" s="101"/>
      <c r="D147" s="101"/>
      <c r="E147" s="101">
        <f ca="1">IFERROR(__xludf.DUMMYFUNCTION("GOOGLEFINANCE(""BOM:""&amp;A147,""PRICE"")"),0.5)</f>
        <v>0.5</v>
      </c>
      <c r="F147" s="112">
        <f ca="1">IFERROR(__xludf.DUMMYFUNCTION("GOOGLEFINANCE(""BOM:""&amp;A147,""MARKETCAP"")/10000000"),40.1608876)</f>
        <v>40.160887600000002</v>
      </c>
      <c r="G147" s="95">
        <f t="shared" ca="1" si="0"/>
        <v>2.6858707474039349E-4</v>
      </c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</row>
    <row r="148" spans="1:25" ht="14.4">
      <c r="A148" s="99">
        <v>540467</v>
      </c>
      <c r="B148" s="98" t="s">
        <v>2675</v>
      </c>
      <c r="C148" s="101"/>
      <c r="D148" s="101"/>
      <c r="E148" s="101">
        <f ca="1">IFERROR(__xludf.DUMMYFUNCTION("GOOGLEFINANCE(""BOM:""&amp;A148,""PRICE"")"),104.53)</f>
        <v>104.53</v>
      </c>
      <c r="F148" s="112">
        <f ca="1">IFERROR(__xludf.DUMMYFUNCTION("GOOGLEFINANCE(""BOM:""&amp;A148,""MARKETCAP"")/10000000"),31.3705)</f>
        <v>31.3705</v>
      </c>
      <c r="G148" s="95">
        <f t="shared" ca="1" si="0"/>
        <v>2.0979891958721334E-4</v>
      </c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</row>
    <row r="149" spans="1:25" ht="14.4">
      <c r="A149" s="99">
        <v>510245</v>
      </c>
      <c r="B149" s="98" t="s">
        <v>2676</v>
      </c>
      <c r="C149" s="101"/>
      <c r="D149" s="101"/>
      <c r="E149" s="101">
        <f ca="1">IFERROR(__xludf.DUMMYFUNCTION("GOOGLEFINANCE(""BOM:""&amp;A149,""PRICE"")"),3.38)</f>
        <v>3.38</v>
      </c>
      <c r="F149" s="112">
        <f ca="1">IFERROR(__xludf.DUMMYFUNCTION("GOOGLEFINANCE(""BOM:""&amp;A149,""MARKETCAP"")/10000000"),30.420001)</f>
        <v>30.420000999999999</v>
      </c>
      <c r="G149" s="95">
        <f t="shared" ca="1" si="0"/>
        <v>2.0344219389687603E-4</v>
      </c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</row>
    <row r="150" spans="1:25" ht="14.4">
      <c r="A150" s="99">
        <v>505590</v>
      </c>
      <c r="B150" s="98" t="s">
        <v>2677</v>
      </c>
      <c r="C150" s="101"/>
      <c r="D150" s="101"/>
      <c r="E150" s="101">
        <f ca="1">IFERROR(__xludf.DUMMYFUNCTION("GOOGLEFINANCE(""BOM:""&amp;A150,""PRICE"")"),2.51)</f>
        <v>2.5099999999999998</v>
      </c>
      <c r="F150" s="112">
        <f ca="1">IFERROR(__xludf.DUMMYFUNCTION("GOOGLEFINANCE(""BOM:""&amp;A150,""MARKETCAP"")/10000000"),30.3600012)</f>
        <v>30.360001199999999</v>
      </c>
      <c r="G150" s="95">
        <f t="shared" ca="1" si="0"/>
        <v>2.0304092859299344E-4</v>
      </c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</row>
    <row r="151" spans="1:25" ht="14.4">
      <c r="A151" s="99">
        <v>512036</v>
      </c>
      <c r="B151" s="98" t="s">
        <v>2678</v>
      </c>
      <c r="C151" s="101"/>
      <c r="D151" s="101"/>
      <c r="E151" s="101">
        <f ca="1">IFERROR(__xludf.DUMMYFUNCTION("GOOGLEFINANCE(""BOM:""&amp;A151,""PRICE"")"),153.85)</f>
        <v>153.85</v>
      </c>
      <c r="F151" s="112">
        <f ca="1">IFERROR(__xludf.DUMMYFUNCTION("GOOGLEFINANCE(""BOM:""&amp;A151,""MARKETCAP"")/10000000"),29.46227)</f>
        <v>29.46227</v>
      </c>
      <c r="G151" s="95">
        <f t="shared" ca="1" si="0"/>
        <v>1.9703710220069073E-4</v>
      </c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</row>
    <row r="152" spans="1:25" ht="14.4">
      <c r="A152" s="99">
        <v>544585</v>
      </c>
      <c r="B152" s="98" t="s">
        <v>2679</v>
      </c>
      <c r="C152" s="101"/>
      <c r="D152" s="101"/>
      <c r="E152" s="101">
        <f ca="1">IFERROR(__xludf.DUMMYFUNCTION("GOOGLEFINANCE(""BOM:""&amp;A152,""PRICE"")"),54.5)</f>
        <v>54.5</v>
      </c>
      <c r="F152" s="112">
        <f ca="1">IFERROR(__xludf.DUMMYFUNCTION("GOOGLEFINANCE(""BOM:""&amp;A152,""MARKETCAP"")/10000000"),29.03433)</f>
        <v>29.034330000000001</v>
      </c>
      <c r="G152" s="95">
        <f t="shared" ca="1" si="0"/>
        <v>1.941751347584073E-4</v>
      </c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</row>
    <row r="153" spans="1:25" ht="14.4">
      <c r="A153" s="99">
        <v>590022</v>
      </c>
      <c r="B153" s="98" t="s">
        <v>2680</v>
      </c>
      <c r="C153" s="101"/>
      <c r="D153" s="101"/>
      <c r="E153" s="101">
        <f ca="1">IFERROR(__xludf.DUMMYFUNCTION("GOOGLEFINANCE(""BOM:""&amp;A153,""PRICE"")"),62.62)</f>
        <v>62.62</v>
      </c>
      <c r="F153" s="112">
        <f ca="1">IFERROR(__xludf.DUMMYFUNCTION("GOOGLEFINANCE(""BOM:""&amp;A153,""MARKETCAP"")/10000000"),31.3348658)</f>
        <v>31.334865799999999</v>
      </c>
      <c r="G153" s="95">
        <f t="shared" ca="1" si="0"/>
        <v>2.0956060599130783E-4</v>
      </c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</row>
    <row r="154" spans="1:25" ht="14.4">
      <c r="A154" s="99">
        <v>531453</v>
      </c>
      <c r="B154" s="98" t="s">
        <v>2681</v>
      </c>
      <c r="C154" s="101"/>
      <c r="D154" s="101"/>
      <c r="E154" s="101">
        <f ca="1">IFERROR(__xludf.DUMMYFUNCTION("GOOGLEFINANCE(""BOM:""&amp;A154,""PRICE"")"),20.96)</f>
        <v>20.96</v>
      </c>
      <c r="F154" s="112">
        <f ca="1">IFERROR(__xludf.DUMMYFUNCTION("GOOGLEFINANCE(""BOM:""&amp;A154,""MARKETCAP"")/10000000"),29.2353815)</f>
        <v>29.235381499999999</v>
      </c>
      <c r="G154" s="95">
        <f t="shared" ca="1" si="0"/>
        <v>1.9551972242775871E-4</v>
      </c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</row>
    <row r="155" spans="1:25" ht="14.4">
      <c r="A155" s="99">
        <v>541006</v>
      </c>
      <c r="B155" s="98" t="s">
        <v>2682</v>
      </c>
      <c r="C155" s="101"/>
      <c r="D155" s="101"/>
      <c r="E155" s="101">
        <f ca="1">IFERROR(__xludf.DUMMYFUNCTION("GOOGLEFINANCE(""BOM:""&amp;A155,""PRICE"")"),11)</f>
        <v>11</v>
      </c>
      <c r="F155" s="112">
        <f ca="1">IFERROR(__xludf.DUMMYFUNCTION("GOOGLEFINANCE(""BOM:""&amp;A155,""MARKETCAP"")/10000000"),27.5)</f>
        <v>27.5</v>
      </c>
      <c r="G155" s="95">
        <f t="shared" ca="1" si="0"/>
        <v>1.8391387732577956E-4</v>
      </c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</row>
    <row r="156" spans="1:25" ht="14.4">
      <c r="A156" s="99">
        <v>521178</v>
      </c>
      <c r="B156" s="98" t="s">
        <v>2683</v>
      </c>
      <c r="C156" s="101"/>
      <c r="D156" s="101"/>
      <c r="E156" s="101">
        <f ca="1">IFERROR(__xludf.DUMMYFUNCTION("GOOGLEFINANCE(""BOM:""&amp;A156,""PRICE"")"),36.1)</f>
        <v>36.1</v>
      </c>
      <c r="F156" s="112">
        <f ca="1">IFERROR(__xludf.DUMMYFUNCTION("GOOGLEFINANCE(""BOM:""&amp;A156,""MARKETCAP"")/10000000"),25.6971702)</f>
        <v>25.697170199999999</v>
      </c>
      <c r="G156" s="95">
        <f t="shared" ca="1" si="0"/>
        <v>1.7185695301027192E-4</v>
      </c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</row>
    <row r="157" spans="1:25" ht="14.4">
      <c r="A157" s="99">
        <v>514312</v>
      </c>
      <c r="B157" s="98" t="s">
        <v>2684</v>
      </c>
      <c r="C157" s="101"/>
      <c r="D157" s="101"/>
      <c r="E157" s="101">
        <f ca="1">IFERROR(__xludf.DUMMYFUNCTION("GOOGLEFINANCE(""BOM:""&amp;A157,""PRICE"")"),41.2)</f>
        <v>41.2</v>
      </c>
      <c r="F157" s="112">
        <f ca="1">IFERROR(__xludf.DUMMYFUNCTION("GOOGLEFINANCE(""BOM:""&amp;A157,""MARKETCAP"")/10000000"),25.5219955)</f>
        <v>25.521995499999999</v>
      </c>
      <c r="G157" s="95">
        <f t="shared" ca="1" si="0"/>
        <v>1.7068542361803991E-4</v>
      </c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</row>
    <row r="158" spans="1:25" ht="14.4">
      <c r="A158" s="99">
        <v>502933</v>
      </c>
      <c r="B158" s="98" t="s">
        <v>2685</v>
      </c>
      <c r="C158" s="101"/>
      <c r="D158" s="101"/>
      <c r="E158" s="101">
        <f ca="1">IFERROR(__xludf.DUMMYFUNCTION("GOOGLEFINANCE(""BOM:""&amp;A158,""PRICE"")"),95.25)</f>
        <v>95.25</v>
      </c>
      <c r="F158" s="112">
        <f ca="1">IFERROR(__xludf.DUMMYFUNCTION("GOOGLEFINANCE(""BOM:""&amp;A158,""MARKETCAP"")/10000000"),27.14625)</f>
        <v>27.146249999999998</v>
      </c>
      <c r="G158" s="95">
        <f t="shared" ca="1" si="0"/>
        <v>1.8154807608563428E-4</v>
      </c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</row>
    <row r="159" spans="1:25" ht="14.4">
      <c r="A159" s="99">
        <v>514177</v>
      </c>
      <c r="B159" s="98" t="s">
        <v>2686</v>
      </c>
      <c r="C159" s="101"/>
      <c r="D159" s="101"/>
      <c r="E159" s="101">
        <f ca="1">IFERROR(__xludf.DUMMYFUNCTION("GOOGLEFINANCE(""BOM:""&amp;A159,""PRICE"")"),68)</f>
        <v>68</v>
      </c>
      <c r="F159" s="112">
        <f ca="1">IFERROR(__xludf.DUMMYFUNCTION("GOOGLEFINANCE(""BOM:""&amp;A159,""MARKETCAP"")/10000000"),24.21276)</f>
        <v>24.212759999999999</v>
      </c>
      <c r="G159" s="95">
        <f t="shared" ca="1" si="0"/>
        <v>1.6192954808576517E-4</v>
      </c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</row>
    <row r="160" spans="1:25" ht="14.4">
      <c r="A160" s="99">
        <v>532730</v>
      </c>
      <c r="B160" s="98" t="s">
        <v>2687</v>
      </c>
      <c r="C160" s="101"/>
      <c r="D160" s="101"/>
      <c r="E160" s="101">
        <f ca="1">IFERROR(__xludf.DUMMYFUNCTION("GOOGLEFINANCE(""BOM:""&amp;A160,""PRICE"")"),11.37)</f>
        <v>11.37</v>
      </c>
      <c r="F160" s="112">
        <f ca="1">IFERROR(__xludf.DUMMYFUNCTION("GOOGLEFINANCE(""BOM:""&amp;A160,""MARKETCAP"")/10000000"),32.4490669)</f>
        <v>32.449066899999998</v>
      </c>
      <c r="G160" s="95">
        <f t="shared" ca="1" si="0"/>
        <v>2.1701213487936775E-4</v>
      </c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</row>
    <row r="161" spans="1:25" ht="14.4">
      <c r="A161" s="99">
        <v>531628</v>
      </c>
      <c r="B161" s="98" t="s">
        <v>2688</v>
      </c>
      <c r="C161" s="101"/>
      <c r="D161" s="101"/>
      <c r="E161" s="101">
        <f ca="1">IFERROR(__xludf.DUMMYFUNCTION("GOOGLEFINANCE(""BOM:""&amp;A161,""PRICE"")"),34.78)</f>
        <v>34.78</v>
      </c>
      <c r="F161" s="112">
        <f ca="1">IFERROR(__xludf.DUMMYFUNCTION("GOOGLEFINANCE(""BOM:""&amp;A161,""MARKETCAP"")/10000000"),24.836)</f>
        <v>24.835999999999999</v>
      </c>
      <c r="G161" s="95">
        <f t="shared" ca="1" si="0"/>
        <v>1.6609763844592948E-4</v>
      </c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</row>
    <row r="162" spans="1:25" ht="14.4">
      <c r="A162" s="99">
        <v>514028</v>
      </c>
      <c r="B162" s="98" t="s">
        <v>2689</v>
      </c>
      <c r="C162" s="101"/>
      <c r="D162" s="101"/>
      <c r="E162" s="101">
        <f ca="1">IFERROR(__xludf.DUMMYFUNCTION("GOOGLEFINANCE(""BOM:""&amp;A162,""PRICE"")"),40.85)</f>
        <v>40.85</v>
      </c>
      <c r="F162" s="112">
        <f ca="1">IFERROR(__xludf.DUMMYFUNCTION("GOOGLEFINANCE(""BOM:""&amp;A162,""MARKETCAP"")/10000000"),26.9691608)</f>
        <v>26.969160800000001</v>
      </c>
      <c r="G162" s="95">
        <f t="shared" ca="1" si="0"/>
        <v>1.8036374294365173E-4</v>
      </c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</row>
    <row r="163" spans="1:25" ht="14.4">
      <c r="A163" s="99">
        <v>531301</v>
      </c>
      <c r="B163" s="98" t="s">
        <v>2690</v>
      </c>
      <c r="C163" s="101"/>
      <c r="D163" s="101"/>
      <c r="E163" s="101">
        <f ca="1">IFERROR(__xludf.DUMMYFUNCTION("GOOGLEFINANCE(""BOM:""&amp;A163,""PRICE"")"),109.85)</f>
        <v>109.85</v>
      </c>
      <c r="F163" s="112">
        <f ca="1">IFERROR(__xludf.DUMMYFUNCTION("GOOGLEFINANCE(""BOM:""&amp;A163,""MARKETCAP"")/10000000"),25.74258)</f>
        <v>25.74258</v>
      </c>
      <c r="G163" s="95">
        <f t="shared" ca="1" si="0"/>
        <v>1.721606436425115E-4</v>
      </c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</row>
    <row r="164" spans="1:25" ht="14.4">
      <c r="A164" s="99">
        <v>503092</v>
      </c>
      <c r="B164" s="98" t="s">
        <v>2691</v>
      </c>
      <c r="C164" s="101"/>
      <c r="D164" s="101"/>
      <c r="E164" s="101">
        <f ca="1">IFERROR(__xludf.DUMMYFUNCTION("GOOGLEFINANCE(""BOM:""&amp;A164,""PRICE"")"),28.87)</f>
        <v>28.87</v>
      </c>
      <c r="F164" s="112">
        <f ca="1">IFERROR(__xludf.DUMMYFUNCTION("GOOGLEFINANCE(""BOM:""&amp;A164,""MARKETCAP"")/10000000"),26.956116)</f>
        <v>26.956116000000002</v>
      </c>
      <c r="G164" s="95">
        <f t="shared" ca="1" si="0"/>
        <v>1.8027650222558121E-4</v>
      </c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</row>
    <row r="165" spans="1:25" ht="14.4">
      <c r="A165" s="99">
        <v>544195</v>
      </c>
      <c r="B165" s="98" t="s">
        <v>2692</v>
      </c>
      <c r="C165" s="101"/>
      <c r="D165" s="101"/>
      <c r="E165" s="101">
        <f ca="1">IFERROR(__xludf.DUMMYFUNCTION("GOOGLEFINANCE(""BOM:""&amp;A165,""PRICE"")"),15)</f>
        <v>15</v>
      </c>
      <c r="F165" s="112">
        <f ca="1">IFERROR(__xludf.DUMMYFUNCTION("GOOGLEFINANCE(""BOM:""&amp;A165,""MARKETCAP"")/10000000"),25.785)</f>
        <v>25.785</v>
      </c>
      <c r="G165" s="95">
        <f t="shared" ca="1" si="0"/>
        <v>1.7244433915800821E-4</v>
      </c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</row>
    <row r="166" spans="1:25" ht="14.4">
      <c r="A166" s="99">
        <v>514260</v>
      </c>
      <c r="B166" s="98" t="s">
        <v>2693</v>
      </c>
      <c r="C166" s="101"/>
      <c r="D166" s="101"/>
      <c r="E166" s="101">
        <f ca="1">IFERROR(__xludf.DUMMYFUNCTION("GOOGLEFINANCE(""BOM:""&amp;A166,""PRICE"")"),69.87)</f>
        <v>69.87</v>
      </c>
      <c r="F166" s="112">
        <f ca="1">IFERROR(__xludf.DUMMYFUNCTION("GOOGLEFINANCE(""BOM:""&amp;A166,""MARKETCAP"")/10000000"),24.01711)</f>
        <v>24.017109999999999</v>
      </c>
      <c r="G166" s="95">
        <f t="shared" ca="1" si="0"/>
        <v>1.6062108444580921E-4</v>
      </c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</row>
    <row r="167" spans="1:25" ht="14.4">
      <c r="A167" s="99">
        <v>543537</v>
      </c>
      <c r="B167" s="98" t="s">
        <v>2694</v>
      </c>
      <c r="C167" s="101"/>
      <c r="D167" s="101"/>
      <c r="E167" s="101">
        <f ca="1">IFERROR(__xludf.DUMMYFUNCTION("GOOGLEFINANCE(""BOM:""&amp;A167,""PRICE"")"),76)</f>
        <v>76</v>
      </c>
      <c r="F167" s="112">
        <f ca="1">IFERROR(__xludf.DUMMYFUNCTION("GOOGLEFINANCE(""BOM:""&amp;A167,""MARKETCAP"")/10000000"),23.94114)</f>
        <v>23.941140000000001</v>
      </c>
      <c r="G167" s="95">
        <f t="shared" ca="1" si="0"/>
        <v>1.6011301399997504E-4</v>
      </c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</row>
    <row r="168" spans="1:25" ht="14.4">
      <c r="A168" s="99">
        <v>521131</v>
      </c>
      <c r="B168" s="98" t="s">
        <v>2695</v>
      </c>
      <c r="C168" s="101"/>
      <c r="D168" s="101"/>
      <c r="E168" s="101">
        <f ca="1">IFERROR(__xludf.DUMMYFUNCTION("GOOGLEFINANCE(""BOM:""&amp;A168,""PRICE"")"),25.77)</f>
        <v>25.77</v>
      </c>
      <c r="F168" s="112">
        <f ca="1">IFERROR(__xludf.DUMMYFUNCTION("GOOGLEFINANCE(""BOM:""&amp;A168,""MARKETCAP"")/10000000"),24.4815004)</f>
        <v>24.481500400000002</v>
      </c>
      <c r="G168" s="95">
        <f t="shared" ca="1" si="0"/>
        <v>1.6372682404787721E-4</v>
      </c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</row>
    <row r="169" spans="1:25" ht="14.4">
      <c r="A169" s="99">
        <v>535730</v>
      </c>
      <c r="B169" s="98" t="s">
        <v>2696</v>
      </c>
      <c r="C169" s="101"/>
      <c r="D169" s="101"/>
      <c r="E169" s="101">
        <f ca="1">IFERROR(__xludf.DUMMYFUNCTION("GOOGLEFINANCE(""BOM:""&amp;A169,""PRICE"")"),0.51)</f>
        <v>0.51</v>
      </c>
      <c r="F169" s="112">
        <f ca="1">IFERROR(__xludf.DUMMYFUNCTION("GOOGLEFINANCE(""BOM:""&amp;A169,""MARKETCAP"")/10000000"),23.9839378)</f>
        <v>23.9839378</v>
      </c>
      <c r="G169" s="95">
        <f t="shared" ca="1" si="0"/>
        <v>1.6039923615775734E-4</v>
      </c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</row>
    <row r="170" spans="1:25" ht="14.4">
      <c r="A170" s="99">
        <v>521141</v>
      </c>
      <c r="B170" s="98" t="s">
        <v>2697</v>
      </c>
      <c r="C170" s="101"/>
      <c r="D170" s="101"/>
      <c r="E170" s="101">
        <f ca="1">IFERROR(__xludf.DUMMYFUNCTION("GOOGLEFINANCE(""BOM:""&amp;A170,""PRICE"")"),14.24)</f>
        <v>14.24</v>
      </c>
      <c r="F170" s="112">
        <f ca="1">IFERROR(__xludf.DUMMYFUNCTION("GOOGLEFINANCE(""BOM:""&amp;A170,""MARKETCAP"")/10000000"),23.8390127)</f>
        <v>23.839012700000001</v>
      </c>
      <c r="G170" s="95">
        <f t="shared" ca="1" si="0"/>
        <v>1.5943000935547276E-4</v>
      </c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</row>
    <row r="171" spans="1:25" ht="14.4">
      <c r="A171" s="99">
        <v>509895</v>
      </c>
      <c r="B171" s="98" t="s">
        <v>2698</v>
      </c>
      <c r="C171" s="101"/>
      <c r="D171" s="101"/>
      <c r="E171" s="101">
        <f ca="1">IFERROR(__xludf.DUMMYFUNCTION("GOOGLEFINANCE(""BOM:""&amp;A171,""PRICE"")"),149)</f>
        <v>149</v>
      </c>
      <c r="F171" s="112">
        <f ca="1">IFERROR(__xludf.DUMMYFUNCTION("GOOGLEFINANCE(""BOM:""&amp;A171,""MARKETCAP"")/10000000"),24.8017652)</f>
        <v>24.801765199999998</v>
      </c>
      <c r="G171" s="95">
        <f t="shared" ca="1" si="0"/>
        <v>1.6586868372565775E-4</v>
      </c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</row>
    <row r="172" spans="1:25" ht="14.4">
      <c r="A172" s="99">
        <v>521180</v>
      </c>
      <c r="B172" s="98" t="s">
        <v>2699</v>
      </c>
      <c r="C172" s="101"/>
      <c r="D172" s="101"/>
      <c r="E172" s="101">
        <f ca="1">IFERROR(__xludf.DUMMYFUNCTION("GOOGLEFINANCE(""BOM:""&amp;A172,""PRICE"")"),4.64)</f>
        <v>4.6399999999999997</v>
      </c>
      <c r="F172" s="112">
        <f ca="1">IFERROR(__xludf.DUMMYFUNCTION("GOOGLEFINANCE(""BOM:""&amp;A172,""MARKETCAP"")/10000000"),25.739999)</f>
        <v>25.739999000000001</v>
      </c>
      <c r="G172" s="95">
        <f t="shared" ca="1" si="0"/>
        <v>1.7214338248915231E-4</v>
      </c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</row>
    <row r="173" spans="1:25" ht="14.4">
      <c r="A173" s="99">
        <v>544233</v>
      </c>
      <c r="B173" s="98" t="s">
        <v>2700</v>
      </c>
      <c r="C173" s="101"/>
      <c r="D173" s="101"/>
      <c r="E173" s="101">
        <f ca="1">IFERROR(__xludf.DUMMYFUNCTION("GOOGLEFINANCE(""BOM:""&amp;A173,""PRICE"")"),21.55)</f>
        <v>21.55</v>
      </c>
      <c r="F173" s="112">
        <f ca="1">IFERROR(__xludf.DUMMYFUNCTION("GOOGLEFINANCE(""BOM:""&amp;A173,""MARKETCAP"")/10000000"),24.2566968)</f>
        <v>24.2566968</v>
      </c>
      <c r="G173" s="95">
        <f t="shared" ca="1" si="0"/>
        <v>1.6222338762195742E-4</v>
      </c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</row>
    <row r="174" spans="1:25" ht="14.4">
      <c r="A174" s="99">
        <v>506981</v>
      </c>
      <c r="B174" s="98" t="s">
        <v>2701</v>
      </c>
      <c r="C174" s="101"/>
      <c r="D174" s="101"/>
      <c r="E174" s="101">
        <f ca="1">IFERROR(__xludf.DUMMYFUNCTION("GOOGLEFINANCE(""BOM:""&amp;A174,""PRICE"")"),120)</f>
        <v>120</v>
      </c>
      <c r="F174" s="112">
        <f ca="1">IFERROR(__xludf.DUMMYFUNCTION("GOOGLEFINANCE(""BOM:""&amp;A174,""MARKETCAP"")/10000000"),23.645988)</f>
        <v>23.645987999999999</v>
      </c>
      <c r="G174" s="95">
        <f t="shared" ca="1" si="0"/>
        <v>1.581391031374129E-4</v>
      </c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</row>
    <row r="175" spans="1:25" ht="14.4">
      <c r="A175" s="99">
        <v>531503</v>
      </c>
      <c r="B175" s="98" t="s">
        <v>2702</v>
      </c>
      <c r="C175" s="101"/>
      <c r="D175" s="101"/>
      <c r="E175" s="101">
        <f ca="1">IFERROR(__xludf.DUMMYFUNCTION("GOOGLEFINANCE(""BOM:""&amp;A175,""PRICE"")"),26.6)</f>
        <v>26.6</v>
      </c>
      <c r="F175" s="112">
        <f ca="1">IFERROR(__xludf.DUMMYFUNCTION("GOOGLEFINANCE(""BOM:""&amp;A175,""MARKETCAP"")/10000000"),21.0798539)</f>
        <v>21.0798539</v>
      </c>
      <c r="G175" s="95">
        <f t="shared" ca="1" si="0"/>
        <v>1.4097736960763476E-4</v>
      </c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</row>
    <row r="176" spans="1:25" ht="14.4">
      <c r="A176" s="99">
        <v>514128</v>
      </c>
      <c r="B176" s="98" t="s">
        <v>2703</v>
      </c>
      <c r="C176" s="101"/>
      <c r="D176" s="101"/>
      <c r="E176" s="101">
        <f ca="1">IFERROR(__xludf.DUMMYFUNCTION("GOOGLEFINANCE(""BOM:""&amp;A176,""PRICE"")"),38.5)</f>
        <v>38.5</v>
      </c>
      <c r="F176" s="112">
        <f ca="1">IFERROR(__xludf.DUMMYFUNCTION("GOOGLEFINANCE(""BOM:""&amp;A176,""MARKETCAP"")/10000000"),22.3608038)</f>
        <v>22.360803799999999</v>
      </c>
      <c r="G176" s="95">
        <f t="shared" ca="1" si="0"/>
        <v>1.4954407734469181E-4</v>
      </c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</row>
    <row r="177" spans="1:25" ht="14.4">
      <c r="A177" s="99">
        <v>530459</v>
      </c>
      <c r="B177" s="98" t="s">
        <v>2704</v>
      </c>
      <c r="C177" s="101"/>
      <c r="D177" s="101"/>
      <c r="E177" s="101">
        <f ca="1">IFERROR(__xludf.DUMMYFUNCTION("GOOGLEFINANCE(""BOM:""&amp;A177,""PRICE"")"),29.96)</f>
        <v>29.96</v>
      </c>
      <c r="F177" s="112">
        <f ca="1">IFERROR(__xludf.DUMMYFUNCTION("GOOGLEFINANCE(""BOM:""&amp;A177,""MARKETCAP"")/10000000"),22.951756)</f>
        <v>22.951756</v>
      </c>
      <c r="G177" s="95">
        <f t="shared" ca="1" si="0"/>
        <v>1.5349623408709908E-4</v>
      </c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</row>
    <row r="178" spans="1:25" ht="14.4">
      <c r="A178" s="99">
        <v>544624</v>
      </c>
      <c r="B178" s="98" t="s">
        <v>2705</v>
      </c>
      <c r="C178" s="101"/>
      <c r="D178" s="101"/>
      <c r="E178" s="101">
        <f ca="1">IFERROR(__xludf.DUMMYFUNCTION("GOOGLEFINANCE(""BOM:""&amp;A178,""PRICE"")"),9.66)</f>
        <v>9.66</v>
      </c>
      <c r="F178" s="112">
        <f ca="1">IFERROR(__xludf.DUMMYFUNCTION("GOOGLEFINANCE(""BOM:""&amp;A178,""MARKETCAP"")/10000000"),21.6764117)</f>
        <v>21.676411699999999</v>
      </c>
      <c r="G178" s="95">
        <f t="shared" ca="1" si="0"/>
        <v>1.449670153547961E-4</v>
      </c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</row>
    <row r="179" spans="1:25" ht="14.4">
      <c r="A179" s="99">
        <v>514326</v>
      </c>
      <c r="B179" s="98" t="s">
        <v>2706</v>
      </c>
      <c r="C179" s="101"/>
      <c r="D179" s="101"/>
      <c r="E179" s="101">
        <f ca="1">IFERROR(__xludf.DUMMYFUNCTION("GOOGLEFINANCE(""BOM:""&amp;A179,""PRICE"")"),7.3)</f>
        <v>7.3</v>
      </c>
      <c r="F179" s="112">
        <f ca="1">IFERROR(__xludf.DUMMYFUNCTION("GOOGLEFINANCE(""BOM:""&amp;A179,""MARKETCAP"")/10000000"),22.5716005)</f>
        <v>22.571600499999999</v>
      </c>
      <c r="G179" s="95">
        <f t="shared" ca="1" si="0"/>
        <v>1.5095383874194561E-4</v>
      </c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</row>
    <row r="180" spans="1:25" ht="14.4">
      <c r="A180" s="99">
        <v>533638</v>
      </c>
      <c r="B180" s="98" t="s">
        <v>2707</v>
      </c>
      <c r="C180" s="101"/>
      <c r="D180" s="101"/>
      <c r="E180" s="101">
        <f ca="1">IFERROR(__xludf.DUMMYFUNCTION("GOOGLEFINANCE(""BOM:""&amp;A180,""PRICE"")"),6.26)</f>
        <v>6.26</v>
      </c>
      <c r="F180" s="112">
        <f ca="1">IFERROR(__xludf.DUMMYFUNCTION("GOOGLEFINANCE(""BOM:""&amp;A180,""MARKETCAP"")/10000000"),19.672733)</f>
        <v>19.672733000000001</v>
      </c>
      <c r="G180" s="95">
        <f t="shared" ca="1" si="0"/>
        <v>1.3156685831362965E-4</v>
      </c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</row>
    <row r="181" spans="1:25" ht="14.4">
      <c r="A181" s="99">
        <v>521068</v>
      </c>
      <c r="B181" s="98" t="s">
        <v>2708</v>
      </c>
      <c r="C181" s="101"/>
      <c r="D181" s="101"/>
      <c r="E181" s="101">
        <f ca="1">IFERROR(__xludf.DUMMYFUNCTION("GOOGLEFINANCE(""BOM:""&amp;A181,""PRICE"")"),51.69)</f>
        <v>51.69</v>
      </c>
      <c r="F181" s="112">
        <f ca="1">IFERROR(__xludf.DUMMYFUNCTION("GOOGLEFINANCE(""BOM:""&amp;A181,""MARKETCAP"")/10000000"),19.30621)</f>
        <v>19.30621</v>
      </c>
      <c r="G181" s="95">
        <f t="shared" ca="1" si="0"/>
        <v>1.2911563409329958E-4</v>
      </c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</row>
    <row r="182" spans="1:25" ht="14.4">
      <c r="A182" s="99">
        <v>514266</v>
      </c>
      <c r="B182" s="98" t="s">
        <v>2709</v>
      </c>
      <c r="C182" s="101"/>
      <c r="D182" s="101"/>
      <c r="E182" s="101">
        <f ca="1">IFERROR(__xludf.DUMMYFUNCTION("GOOGLEFINANCE(""BOM:""&amp;A182,""PRICE"")"),49.5)</f>
        <v>49.5</v>
      </c>
      <c r="F182" s="112">
        <f ca="1">IFERROR(__xludf.DUMMYFUNCTION("GOOGLEFINANCE(""BOM:""&amp;A182,""MARKETCAP"")/10000000"),19.5234732)</f>
        <v>19.523473200000002</v>
      </c>
      <c r="G182" s="95">
        <f t="shared" ca="1" si="0"/>
        <v>1.3056864200283437E-4</v>
      </c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</row>
    <row r="183" spans="1:25" ht="14.4">
      <c r="A183" s="99">
        <v>531437</v>
      </c>
      <c r="B183" s="98" t="s">
        <v>2710</v>
      </c>
      <c r="C183" s="101"/>
      <c r="D183" s="101"/>
      <c r="E183" s="101">
        <f ca="1">IFERROR(__xludf.DUMMYFUNCTION("GOOGLEFINANCE(""BOM:""&amp;A183,""PRICE"")"),20)</f>
        <v>20</v>
      </c>
      <c r="F183" s="112">
        <f ca="1">IFERROR(__xludf.DUMMYFUNCTION("GOOGLEFINANCE(""BOM:""&amp;A183,""MARKETCAP"")/10000000"),20.51948)</f>
        <v>20.519480000000001</v>
      </c>
      <c r="G183" s="95">
        <f t="shared" ca="1" si="0"/>
        <v>1.3722971372759227E-4</v>
      </c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</row>
    <row r="184" spans="1:25" ht="14.4">
      <c r="A184" s="99">
        <v>514454</v>
      </c>
      <c r="B184" s="98" t="s">
        <v>2711</v>
      </c>
      <c r="C184" s="101"/>
      <c r="D184" s="101"/>
      <c r="E184" s="101">
        <f ca="1">IFERROR(__xludf.DUMMYFUNCTION("GOOGLEFINANCE(""BOM:""&amp;A184,""PRICE"")"),24.32)</f>
        <v>24.32</v>
      </c>
      <c r="F184" s="112">
        <f ca="1">IFERROR(__xludf.DUMMYFUNCTION("GOOGLEFINANCE(""BOM:""&amp;A184,""MARKETCAP"")/10000000"),17.8975717)</f>
        <v>17.8975717</v>
      </c>
      <c r="G184" s="95">
        <f t="shared" ca="1" si="0"/>
        <v>1.196949747659325E-4</v>
      </c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</row>
    <row r="185" spans="1:25" ht="14.4">
      <c r="A185" s="99">
        <v>532621</v>
      </c>
      <c r="B185" s="98" t="s">
        <v>2712</v>
      </c>
      <c r="C185" s="101"/>
      <c r="D185" s="101"/>
      <c r="E185" s="101">
        <f ca="1">IFERROR(__xludf.DUMMYFUNCTION("GOOGLEFINANCE(""BOM:""&amp;A185,""PRICE"")"),7.17)</f>
        <v>7.17</v>
      </c>
      <c r="F185" s="112">
        <f ca="1">IFERROR(__xludf.DUMMYFUNCTION("GOOGLEFINANCE(""BOM:""&amp;A185,""MARKETCAP"")/10000000"),21.4204827)</f>
        <v>21.420482700000001</v>
      </c>
      <c r="G185" s="95">
        <f t="shared" ca="1" si="0"/>
        <v>1.4325541918351939E-4</v>
      </c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</row>
    <row r="186" spans="1:25" ht="14.4">
      <c r="A186" s="99">
        <v>544178</v>
      </c>
      <c r="B186" s="98" t="s">
        <v>2713</v>
      </c>
      <c r="C186" s="101"/>
      <c r="D186" s="101"/>
      <c r="E186" s="101">
        <f ca="1">IFERROR(__xludf.DUMMYFUNCTION("GOOGLEFINANCE(""BOM:""&amp;A186,""PRICE"")"),37)</f>
        <v>37</v>
      </c>
      <c r="F186" s="112">
        <f ca="1">IFERROR(__xludf.DUMMYFUNCTION("GOOGLEFINANCE(""BOM:""&amp;A186,""MARKETCAP"")/10000000"),18.88332)</f>
        <v>18.883320000000001</v>
      </c>
      <c r="G186" s="95">
        <f t="shared" ca="1" si="0"/>
        <v>1.2628743992667052E-4</v>
      </c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</row>
    <row r="187" spans="1:25" ht="14.4">
      <c r="A187" s="99">
        <v>538838</v>
      </c>
      <c r="B187" s="98" t="s">
        <v>2714</v>
      </c>
      <c r="C187" s="101"/>
      <c r="D187" s="101"/>
      <c r="E187" s="101">
        <f ca="1">IFERROR(__xludf.DUMMYFUNCTION("GOOGLEFINANCE(""BOM:""&amp;A187,""PRICE"")"),26.99)</f>
        <v>26.99</v>
      </c>
      <c r="F187" s="112">
        <f ca="1">IFERROR(__xludf.DUMMYFUNCTION("GOOGLEFINANCE(""BOM:""&amp;A187,""MARKETCAP"")/10000000"),19.2731566)</f>
        <v>19.2731566</v>
      </c>
      <c r="G187" s="95">
        <f t="shared" ca="1" si="0"/>
        <v>1.2889458031319775E-4</v>
      </c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</row>
    <row r="188" spans="1:25" ht="14.4">
      <c r="A188" s="99">
        <v>521082</v>
      </c>
      <c r="B188" s="98" t="s">
        <v>2715</v>
      </c>
      <c r="C188" s="101"/>
      <c r="D188" s="101"/>
      <c r="E188" s="101">
        <f ca="1">IFERROR(__xludf.DUMMYFUNCTION("GOOGLEFINANCE(""BOM:""&amp;A188,""PRICE"")"),12.57)</f>
        <v>12.57</v>
      </c>
      <c r="F188" s="112">
        <f ca="1">IFERROR(__xludf.DUMMYFUNCTION("GOOGLEFINANCE(""BOM:""&amp;A188,""MARKETCAP"")/10000000"),20.2176339)</f>
        <v>20.217633899999999</v>
      </c>
      <c r="G188" s="95">
        <f t="shared" ca="1" si="0"/>
        <v>1.3521103421462261E-4</v>
      </c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</row>
    <row r="189" spans="1:25" ht="14.4">
      <c r="A189" s="99">
        <v>539985</v>
      </c>
      <c r="B189" s="98" t="s">
        <v>2716</v>
      </c>
      <c r="C189" s="101"/>
      <c r="D189" s="101"/>
      <c r="E189" s="101">
        <f ca="1">IFERROR(__xludf.DUMMYFUNCTION("GOOGLEFINANCE(""BOM:""&amp;A189,""PRICE"")"),26.1)</f>
        <v>26.1</v>
      </c>
      <c r="F189" s="112">
        <f ca="1">IFERROR(__xludf.DUMMYFUNCTION("GOOGLEFINANCE(""BOM:""&amp;A189,""MARKETCAP"")/10000000"),17.5614009)</f>
        <v>17.561400899999999</v>
      </c>
      <c r="G189" s="95">
        <f t="shared" ca="1" si="0"/>
        <v>1.1744673930150671E-4</v>
      </c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</row>
    <row r="190" spans="1:25" ht="14.4">
      <c r="A190" s="99">
        <v>530361</v>
      </c>
      <c r="B190" s="98" t="s">
        <v>2717</v>
      </c>
      <c r="C190" s="101"/>
      <c r="D190" s="101"/>
      <c r="E190" s="101">
        <f ca="1">IFERROR(__xludf.DUMMYFUNCTION("GOOGLEFINANCE(""BOM:""&amp;A190,""PRICE"")"),28.8)</f>
        <v>28.8</v>
      </c>
      <c r="F190" s="112">
        <f ca="1">IFERROR(__xludf.DUMMYFUNCTION("GOOGLEFINANCE(""BOM:""&amp;A190,""MARKETCAP"")/10000000"),17.9949249)</f>
        <v>17.994924900000001</v>
      </c>
      <c r="G190" s="95">
        <f t="shared" ca="1" si="0"/>
        <v>1.2034605129255331E-4</v>
      </c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</row>
    <row r="191" spans="1:25" ht="14.4">
      <c r="A191" s="99">
        <v>533018</v>
      </c>
      <c r="B191" s="98" t="s">
        <v>2718</v>
      </c>
      <c r="C191" s="101"/>
      <c r="D191" s="101"/>
      <c r="E191" s="101">
        <f ca="1">IFERROR(__xludf.DUMMYFUNCTION("GOOGLEFINANCE(""BOM:""&amp;A191,""PRICE"")"),5415)</f>
        <v>5415</v>
      </c>
      <c r="F191" s="112">
        <f ca="1">IFERROR(__xludf.DUMMYFUNCTION("GOOGLEFINANCE(""BOM:""&amp;A191,""MARKETCAP"")/10000000"),17.10228)</f>
        <v>17.10228</v>
      </c>
      <c r="G191" s="95">
        <f t="shared" ca="1" si="0"/>
        <v>1.1437624094222302E-4</v>
      </c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</row>
    <row r="192" spans="1:25" ht="14.4">
      <c r="A192" s="99">
        <v>503863</v>
      </c>
      <c r="B192" s="98" t="s">
        <v>2719</v>
      </c>
      <c r="C192" s="101"/>
      <c r="D192" s="101"/>
      <c r="E192" s="101">
        <f ca="1">IFERROR(__xludf.DUMMYFUNCTION("GOOGLEFINANCE(""BOM:""&amp;A192,""PRICE"")"),20.08)</f>
        <v>20.079999999999998</v>
      </c>
      <c r="F192" s="112">
        <f ca="1">IFERROR(__xludf.DUMMYFUNCTION("GOOGLEFINANCE(""BOM:""&amp;A192,""MARKETCAP"")/10000000"),16.66696)</f>
        <v>16.66696</v>
      </c>
      <c r="G192" s="95">
        <f t="shared" ca="1" si="0"/>
        <v>1.1146491770304271E-4</v>
      </c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</row>
    <row r="193" spans="1:25" ht="14.4">
      <c r="A193" s="99">
        <v>530231</v>
      </c>
      <c r="B193" s="98" t="s">
        <v>2720</v>
      </c>
      <c r="C193" s="101"/>
      <c r="D193" s="101"/>
      <c r="E193" s="101">
        <f ca="1">IFERROR(__xludf.DUMMYFUNCTION("GOOGLEFINANCE(""BOM:""&amp;A193,""PRICE"")"),44.1)</f>
        <v>44.1</v>
      </c>
      <c r="F193" s="112">
        <f ca="1">IFERROR(__xludf.DUMMYFUNCTION("GOOGLEFINANCE(""BOM:""&amp;A193,""MARKETCAP"")/10000000"),18.7006043)</f>
        <v>18.700604299999998</v>
      </c>
      <c r="G193" s="95">
        <f t="shared" ca="1" si="0"/>
        <v>1.2506547800538709E-4</v>
      </c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</row>
    <row r="194" spans="1:25" ht="14.4">
      <c r="A194" s="99">
        <v>521242</v>
      </c>
      <c r="B194" s="98" t="s">
        <v>2721</v>
      </c>
      <c r="C194" s="101"/>
      <c r="D194" s="101"/>
      <c r="E194" s="101">
        <f ca="1">IFERROR(__xludf.DUMMYFUNCTION("GOOGLEFINANCE(""BOM:""&amp;A194,""PRICE"")"),42.68)</f>
        <v>42.68</v>
      </c>
      <c r="F194" s="112">
        <f ca="1">IFERROR(__xludf.DUMMYFUNCTION("GOOGLEFINANCE(""BOM:""&amp;A194,""MARKETCAP"")/10000000"),16.4286)</f>
        <v>16.428599999999999</v>
      </c>
      <c r="G194" s="95">
        <f t="shared" ca="1" si="0"/>
        <v>1.0987081909215642E-4</v>
      </c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</row>
    <row r="195" spans="1:25" ht="14.4">
      <c r="A195" s="99">
        <v>544373</v>
      </c>
      <c r="B195" s="98" t="s">
        <v>2722</v>
      </c>
      <c r="C195" s="101"/>
      <c r="D195" s="101"/>
      <c r="E195" s="101">
        <f ca="1">IFERROR(__xludf.DUMMYFUNCTION("GOOGLEFINANCE(""BOM:""&amp;A195,""PRICE"")"),36.25)</f>
        <v>36.25</v>
      </c>
      <c r="F195" s="112">
        <f ca="1">IFERROR(__xludf.DUMMYFUNCTION("GOOGLEFINANCE(""BOM:""&amp;A195,""MARKETCAP"")/10000000"),16.05875)</f>
        <v>16.05875</v>
      </c>
      <c r="G195" s="95">
        <f t="shared" ca="1" si="0"/>
        <v>1.0739734463655863E-4</v>
      </c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</row>
    <row r="196" spans="1:25" ht="14.4">
      <c r="A196" s="99">
        <v>521048</v>
      </c>
      <c r="B196" s="98" t="s">
        <v>2723</v>
      </c>
      <c r="C196" s="101"/>
      <c r="D196" s="101"/>
      <c r="E196" s="101">
        <f ca="1">IFERROR(__xludf.DUMMYFUNCTION("GOOGLEFINANCE(""BOM:""&amp;A196,""PRICE"")"),26)</f>
        <v>26</v>
      </c>
      <c r="F196" s="112">
        <f ca="1">IFERROR(__xludf.DUMMYFUNCTION("GOOGLEFINANCE(""BOM:""&amp;A196,""MARKETCAP"")/10000000"),16.1869526)</f>
        <v>16.186952600000001</v>
      </c>
      <c r="G196" s="95">
        <f t="shared" ca="1" si="0"/>
        <v>1.0825473508198577E-4</v>
      </c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</row>
    <row r="197" spans="1:25" ht="14.4">
      <c r="A197" s="99">
        <v>526773</v>
      </c>
      <c r="B197" s="98" t="s">
        <v>2724</v>
      </c>
      <c r="C197" s="101"/>
      <c r="D197" s="101"/>
      <c r="E197" s="101">
        <f ca="1">IFERROR(__xludf.DUMMYFUNCTION("GOOGLEFINANCE(""BOM:""&amp;A197,""PRICE"")"),1.01)</f>
        <v>1.01</v>
      </c>
      <c r="F197" s="112">
        <f ca="1">IFERROR(__xludf.DUMMYFUNCTION("GOOGLEFINANCE(""BOM:""&amp;A197,""MARKETCAP"")/10000000"),14.9845618)</f>
        <v>14.9845618</v>
      </c>
      <c r="G197" s="95">
        <f t="shared" ca="1" si="0"/>
        <v>1.0021341311511864E-4</v>
      </c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</row>
    <row r="198" spans="1:25" ht="14.4">
      <c r="A198" s="99">
        <v>521226</v>
      </c>
      <c r="B198" s="98" t="s">
        <v>2725</v>
      </c>
      <c r="C198" s="101"/>
      <c r="D198" s="101"/>
      <c r="E198" s="101">
        <f ca="1">IFERROR(__xludf.DUMMYFUNCTION("GOOGLEFINANCE(""BOM:""&amp;A198,""PRICE"")"),18)</f>
        <v>18</v>
      </c>
      <c r="F198" s="112">
        <f ca="1">IFERROR(__xludf.DUMMYFUNCTION("GOOGLEFINANCE(""BOM:""&amp;A198,""MARKETCAP"")/10000000"),14.8837)</f>
        <v>14.883699999999999</v>
      </c>
      <c r="G198" s="95">
        <f t="shared" ca="1" si="0"/>
        <v>9.9538871852861995E-5</v>
      </c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</row>
    <row r="199" spans="1:25" ht="14.4">
      <c r="A199" s="99">
        <v>530179</v>
      </c>
      <c r="B199" s="98" t="s">
        <v>2726</v>
      </c>
      <c r="C199" s="101"/>
      <c r="D199" s="101"/>
      <c r="E199" s="101">
        <f ca="1">IFERROR(__xludf.DUMMYFUNCTION("GOOGLEFINANCE(""BOM:""&amp;A199,""PRICE"")"),25.57)</f>
        <v>25.57</v>
      </c>
      <c r="F199" s="112">
        <f ca="1">IFERROR(__xludf.DUMMYFUNCTION("GOOGLEFINANCE(""BOM:""&amp;A199,""MARKETCAP"")/10000000"),14.7019827)</f>
        <v>14.7019827</v>
      </c>
      <c r="G199" s="95">
        <f t="shared" ca="1" si="0"/>
        <v>9.8323587008492121E-5</v>
      </c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</row>
    <row r="200" spans="1:25" ht="14.4">
      <c r="A200" s="99">
        <v>514264</v>
      </c>
      <c r="B200" s="98" t="s">
        <v>2727</v>
      </c>
      <c r="C200" s="101"/>
      <c r="D200" s="101"/>
      <c r="E200" s="101">
        <f ca="1">IFERROR(__xludf.DUMMYFUNCTION("GOOGLEFINANCE(""BOM:""&amp;A200,""PRICE"")"),19.1)</f>
        <v>19.100000000000001</v>
      </c>
      <c r="F200" s="112">
        <f ca="1">IFERROR(__xludf.DUMMYFUNCTION("GOOGLEFINANCE(""BOM:""&amp;A200,""MARKETCAP"")/10000000"),14.30647)</f>
        <v>14.306469999999999</v>
      </c>
      <c r="G200" s="95">
        <f t="shared" ca="1" si="0"/>
        <v>9.5678486128907095E-5</v>
      </c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</row>
    <row r="201" spans="1:25" ht="14.4">
      <c r="A201" s="99">
        <v>509563</v>
      </c>
      <c r="B201" s="98" t="s">
        <v>2728</v>
      </c>
      <c r="C201" s="101"/>
      <c r="D201" s="101"/>
      <c r="E201" s="101">
        <f ca="1">IFERROR(__xludf.DUMMYFUNCTION("GOOGLEFINANCE(""BOM:""&amp;A201,""PRICE"")"),24.4)</f>
        <v>24.4</v>
      </c>
      <c r="F201" s="112">
        <f ca="1">IFERROR(__xludf.DUMMYFUNCTION("GOOGLEFINANCE(""BOM:""&amp;A201,""MARKETCAP"")/10000000"),14.0694863)</f>
        <v>14.069486299999999</v>
      </c>
      <c r="G201" s="95">
        <f t="shared" ca="1" si="0"/>
        <v>9.4093591905997667E-5</v>
      </c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</row>
    <row r="202" spans="1:25" ht="14.4">
      <c r="A202" s="99">
        <v>516098</v>
      </c>
      <c r="B202" s="98" t="s">
        <v>2729</v>
      </c>
      <c r="C202" s="101"/>
      <c r="D202" s="101"/>
      <c r="E202" s="101">
        <f ca="1">IFERROR(__xludf.DUMMYFUNCTION("GOOGLEFINANCE(""BOM:""&amp;A202,""PRICE"")"),7.67)</f>
        <v>7.67</v>
      </c>
      <c r="F202" s="112">
        <f ca="1">IFERROR(__xludf.DUMMYFUNCTION("GOOGLEFINANCE(""BOM:""&amp;A202,""MARKETCAP"")/10000000"),14.9206659)</f>
        <v>14.920665899999999</v>
      </c>
      <c r="G202" s="95">
        <f t="shared" ca="1" si="0"/>
        <v>9.9786091561874249E-5</v>
      </c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</row>
    <row r="203" spans="1:25" ht="14.4">
      <c r="A203" s="99">
        <v>521234</v>
      </c>
      <c r="B203" s="98" t="s">
        <v>2730</v>
      </c>
      <c r="C203" s="101"/>
      <c r="D203" s="101"/>
      <c r="E203" s="101">
        <f ca="1">IFERROR(__xludf.DUMMYFUNCTION("GOOGLEFINANCE(""BOM:""&amp;A203,""PRICE"")"),32)</f>
        <v>32</v>
      </c>
      <c r="F203" s="112">
        <f ca="1">IFERROR(__xludf.DUMMYFUNCTION("GOOGLEFINANCE(""BOM:""&amp;A203,""MARKETCAP"")/10000000"),13.76)</f>
        <v>13.76</v>
      </c>
      <c r="G203" s="95">
        <f t="shared" ca="1" si="0"/>
        <v>9.2023816436462785E-5</v>
      </c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</row>
    <row r="204" spans="1:25" ht="14.4">
      <c r="A204" s="99">
        <v>530201</v>
      </c>
      <c r="B204" s="98" t="s">
        <v>2731</v>
      </c>
      <c r="C204" s="101"/>
      <c r="D204" s="101"/>
      <c r="E204" s="101">
        <f ca="1">IFERROR(__xludf.DUMMYFUNCTION("GOOGLEFINANCE(""BOM:""&amp;A204,""PRICE"")"),2.68)</f>
        <v>2.68</v>
      </c>
      <c r="F204" s="112">
        <f ca="1">IFERROR(__xludf.DUMMYFUNCTION("GOOGLEFINANCE(""BOM:""&amp;A204,""MARKETCAP"")/10000000"),14.1532304)</f>
        <v>14.1532304</v>
      </c>
      <c r="G204" s="95">
        <f t="shared" ca="1" si="0"/>
        <v>9.4653653801785229E-5</v>
      </c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</row>
    <row r="205" spans="1:25" ht="14.4">
      <c r="A205" s="99">
        <v>514113</v>
      </c>
      <c r="B205" s="98" t="s">
        <v>2732</v>
      </c>
      <c r="C205" s="101"/>
      <c r="D205" s="101"/>
      <c r="E205" s="101">
        <f ca="1">IFERROR(__xludf.DUMMYFUNCTION("GOOGLEFINANCE(""BOM:""&amp;A205,""PRICE"")"),17.96)</f>
        <v>17.96</v>
      </c>
      <c r="F205" s="112">
        <f ca="1">IFERROR(__xludf.DUMMYFUNCTION("GOOGLEFINANCE(""BOM:""&amp;A205,""MARKETCAP"")/10000000"),12.2385737)</f>
        <v>12.2385737</v>
      </c>
      <c r="G205" s="95">
        <f t="shared" ca="1" si="0"/>
        <v>8.1848856076520429E-5</v>
      </c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</row>
    <row r="206" spans="1:25" ht="14.4">
      <c r="A206" s="99">
        <v>514197</v>
      </c>
      <c r="B206" s="98" t="s">
        <v>2733</v>
      </c>
      <c r="C206" s="101"/>
      <c r="D206" s="101"/>
      <c r="E206" s="101">
        <f ca="1">IFERROR(__xludf.DUMMYFUNCTION("GOOGLEFINANCE(""BOM:""&amp;A206,""PRICE"")"),3.99)</f>
        <v>3.99</v>
      </c>
      <c r="F206" s="112">
        <f ca="1">IFERROR(__xludf.DUMMYFUNCTION("GOOGLEFINANCE(""BOM:""&amp;A206,""MARKETCAP"")/10000000"),12.7006448)</f>
        <v>12.700644799999999</v>
      </c>
      <c r="G206" s="95">
        <f t="shared" ca="1" si="0"/>
        <v>8.4939084716563633E-5</v>
      </c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</row>
    <row r="207" spans="1:25" ht="14.4">
      <c r="A207" s="99">
        <v>500192</v>
      </c>
      <c r="B207" s="98" t="s">
        <v>2734</v>
      </c>
      <c r="C207" s="101"/>
      <c r="D207" s="101"/>
      <c r="E207" s="101">
        <f ca="1">IFERROR(__xludf.DUMMYFUNCTION("GOOGLEFINANCE(""BOM:""&amp;A207,""PRICE"")"),1.57)</f>
        <v>1.57</v>
      </c>
      <c r="F207" s="112">
        <f ca="1">IFERROR(__xludf.DUMMYFUNCTION("GOOGLEFINANCE(""BOM:""&amp;A207,""MARKETCAP"")/10000000"),11.6781251)</f>
        <v>11.678125100000001</v>
      </c>
      <c r="G207" s="95">
        <f t="shared" ca="1" si="0"/>
        <v>7.810070061950935E-5</v>
      </c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</row>
    <row r="208" spans="1:25" ht="14.4">
      <c r="A208" s="99">
        <v>531411</v>
      </c>
      <c r="B208" s="98" t="s">
        <v>2735</v>
      </c>
      <c r="C208" s="101"/>
      <c r="D208" s="101"/>
      <c r="E208" s="101">
        <f ca="1">IFERROR(__xludf.DUMMYFUNCTION("GOOGLEFINANCE(""BOM:""&amp;A208,""PRICE"")"),0.93)</f>
        <v>0.93</v>
      </c>
      <c r="F208" s="112">
        <f ca="1">IFERROR(__xludf.DUMMYFUNCTION("GOOGLEFINANCE(""BOM:""&amp;A208,""MARKETCAP"")/10000000"),12.1486737)</f>
        <v>12.1486737</v>
      </c>
      <c r="G208" s="95">
        <f t="shared" ca="1" si="0"/>
        <v>8.1247624892099061E-5</v>
      </c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</row>
    <row r="209" spans="1:25" ht="14.4">
      <c r="A209" s="99">
        <v>507808</v>
      </c>
      <c r="B209" s="98" t="s">
        <v>2736</v>
      </c>
      <c r="C209" s="101"/>
      <c r="D209" s="101"/>
      <c r="E209" s="101">
        <f ca="1">IFERROR(__xludf.DUMMYFUNCTION("GOOGLEFINANCE(""BOM:""&amp;A209,""PRICE"")"),41.8)</f>
        <v>41.8</v>
      </c>
      <c r="F209" s="112">
        <f ca="1">IFERROR(__xludf.DUMMYFUNCTION("GOOGLEFINANCE(""BOM:""&amp;A209,""MARKETCAP"")/10000000"),12.54)</f>
        <v>12.54</v>
      </c>
      <c r="G209" s="95">
        <f t="shared" ca="1" si="0"/>
        <v>8.386472806055547E-5</v>
      </c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</row>
    <row r="210" spans="1:25" ht="14.4">
      <c r="A210" s="99">
        <v>521014</v>
      </c>
      <c r="B210" s="98" t="s">
        <v>2737</v>
      </c>
      <c r="C210" s="101"/>
      <c r="D210" s="101"/>
      <c r="E210" s="101">
        <f ca="1">IFERROR(__xludf.DUMMYFUNCTION("GOOGLEFINANCE(""BOM:""&amp;A210,""PRICE"")"),14.25)</f>
        <v>14.25</v>
      </c>
      <c r="F210" s="112">
        <f ca="1">IFERROR(__xludf.DUMMYFUNCTION("GOOGLEFINANCE(""BOM:""&amp;A210,""MARKETCAP"")/10000000"),10.8848316)</f>
        <v>10.8848316</v>
      </c>
      <c r="G210" s="95">
        <f t="shared" ca="1" si="0"/>
        <v>7.2795330312515225E-5</v>
      </c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</row>
    <row r="211" spans="1:25" ht="14.4">
      <c r="A211" s="99">
        <v>540938</v>
      </c>
      <c r="B211" s="98" t="s">
        <v>2738</v>
      </c>
      <c r="C211" s="101"/>
      <c r="D211" s="101"/>
      <c r="E211" s="101">
        <f ca="1">IFERROR(__xludf.DUMMYFUNCTION("GOOGLEFINANCE(""BOM:""&amp;A211,""PRICE"")"),7.16)</f>
        <v>7.16</v>
      </c>
      <c r="F211" s="112">
        <f ca="1">IFERROR(__xludf.DUMMYFUNCTION("GOOGLEFINANCE(""BOM:""&amp;A211,""MARKETCAP"")/10000000"),11.993)</f>
        <v>11.993</v>
      </c>
      <c r="G211" s="95">
        <f t="shared" ca="1" si="0"/>
        <v>8.020651384611179E-5</v>
      </c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</row>
    <row r="212" spans="1:25" ht="14.4">
      <c r="A212" s="99">
        <v>514348</v>
      </c>
      <c r="B212" s="98" t="s">
        <v>2739</v>
      </c>
      <c r="C212" s="101"/>
      <c r="D212" s="101"/>
      <c r="E212" s="101">
        <f ca="1">IFERROR(__xludf.DUMMYFUNCTION("GOOGLEFINANCE(""BOM:""&amp;A212,""PRICE"")"),1.71)</f>
        <v>1.71</v>
      </c>
      <c r="F212" s="112">
        <f ca="1">IFERROR(__xludf.DUMMYFUNCTION("GOOGLEFINANCE(""BOM:""&amp;A212,""MARKETCAP"")/10000000"),11.1875863)</f>
        <v>11.1875863</v>
      </c>
      <c r="G212" s="95">
        <f t="shared" ca="1" si="0"/>
        <v>7.4820086339991707E-5</v>
      </c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</row>
    <row r="213" spans="1:25" ht="14.4">
      <c r="A213" s="99">
        <v>532015</v>
      </c>
      <c r="B213" s="98" t="s">
        <v>2740</v>
      </c>
      <c r="C213" s="101"/>
      <c r="D213" s="101"/>
      <c r="E213" s="101">
        <f ca="1">IFERROR(__xludf.DUMMYFUNCTION("GOOGLEFINANCE(""BOM:""&amp;A213,""PRICE"")"),11.53)</f>
        <v>11.53</v>
      </c>
      <c r="F213" s="112">
        <f ca="1">IFERROR(__xludf.DUMMYFUNCTION("GOOGLEFINANCE(""BOM:""&amp;A213,""MARKETCAP"")/10000000"),10.3792469)</f>
        <v>10.3792469</v>
      </c>
      <c r="G213" s="95">
        <f t="shared" ca="1" si="0"/>
        <v>6.9414092403657368E-5</v>
      </c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</row>
    <row r="214" spans="1:25" ht="14.4">
      <c r="A214" s="99">
        <v>539864</v>
      </c>
      <c r="B214" s="98" t="s">
        <v>2741</v>
      </c>
      <c r="C214" s="101"/>
      <c r="D214" s="101"/>
      <c r="E214" s="101">
        <f ca="1">IFERROR(__xludf.DUMMYFUNCTION("GOOGLEFINANCE(""BOM:""&amp;A214,""PRICE"")"),19.28)</f>
        <v>19.28</v>
      </c>
      <c r="F214" s="112">
        <f ca="1">IFERROR(__xludf.DUMMYFUNCTION("GOOGLEFINANCE(""BOM:""&amp;A214,""MARKETCAP"")/10000000"),9.5337636)</f>
        <v>9.5337636000000003</v>
      </c>
      <c r="G214" s="95">
        <f t="shared" ca="1" si="0"/>
        <v>6.375968833394118E-5</v>
      </c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</row>
    <row r="215" spans="1:25" ht="14.4">
      <c r="A215" s="99">
        <v>512618</v>
      </c>
      <c r="B215" s="98" t="s">
        <v>2742</v>
      </c>
      <c r="C215" s="101"/>
      <c r="D215" s="101"/>
      <c r="E215" s="101">
        <f ca="1">IFERROR(__xludf.DUMMYFUNCTION("GOOGLEFINANCE(""BOM:""&amp;A215,""PRICE"")"),9.31)</f>
        <v>9.31</v>
      </c>
      <c r="F215" s="112">
        <f ca="1">IFERROR(__xludf.DUMMYFUNCTION("GOOGLEFINANCE(""BOM:""&amp;A215,""MARKETCAP"")/10000000"),9.29965)</f>
        <v>9.2996499999999997</v>
      </c>
      <c r="G215" s="95">
        <f t="shared" ca="1" si="0"/>
        <v>6.2193988700824939E-5</v>
      </c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</row>
    <row r="216" spans="1:25" ht="14.4">
      <c r="A216" s="99">
        <v>530899</v>
      </c>
      <c r="B216" s="98" t="s">
        <v>2743</v>
      </c>
      <c r="C216" s="101"/>
      <c r="D216" s="101"/>
      <c r="E216" s="101">
        <f ca="1">IFERROR(__xludf.DUMMYFUNCTION("GOOGLEFINANCE(""BOM:""&amp;A216,""PRICE"")"),42.81)</f>
        <v>42.81</v>
      </c>
      <c r="F216" s="112">
        <f ca="1">IFERROR(__xludf.DUMMYFUNCTION("GOOGLEFINANCE(""BOM:""&amp;A216,""MARKETCAP"")/10000000"),11.2907911)</f>
        <v>11.2907911</v>
      </c>
      <c r="G216" s="95">
        <f t="shared" ca="1" si="0"/>
        <v>7.5510297064596487E-5</v>
      </c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</row>
    <row r="217" spans="1:25" ht="14.4">
      <c r="A217" s="99">
        <v>530035</v>
      </c>
      <c r="B217" s="98" t="s">
        <v>2744</v>
      </c>
      <c r="C217" s="101"/>
      <c r="D217" s="101"/>
      <c r="E217" s="101">
        <f ca="1">IFERROR(__xludf.DUMMYFUNCTION("GOOGLEFINANCE(""BOM:""&amp;A217,""PRICE"")"),30.72)</f>
        <v>30.72</v>
      </c>
      <c r="F217" s="112">
        <f ca="1">IFERROR(__xludf.DUMMYFUNCTION("GOOGLEFINANCE(""BOM:""&amp;A217,""MARKETCAP"")/10000000"),10.82757)</f>
        <v>10.82757</v>
      </c>
      <c r="G217" s="95">
        <f t="shared" ca="1" si="0"/>
        <v>7.2412377480592395E-5</v>
      </c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</row>
    <row r="218" spans="1:25" ht="14.4">
      <c r="A218" s="99">
        <v>530151</v>
      </c>
      <c r="B218" s="98" t="s">
        <v>2745</v>
      </c>
      <c r="C218" s="101"/>
      <c r="D218" s="101"/>
      <c r="E218" s="101">
        <f ca="1">IFERROR(__xludf.DUMMYFUNCTION("GOOGLEFINANCE(""BOM:""&amp;A218,""PRICE"")"),5.48)</f>
        <v>5.48</v>
      </c>
      <c r="F218" s="112">
        <f ca="1">IFERROR(__xludf.DUMMYFUNCTION("GOOGLEFINANCE(""BOM:""&amp;A218,""MARKETCAP"")/10000000"),10.03114)</f>
        <v>10.031140000000001</v>
      </c>
      <c r="G218" s="95">
        <f t="shared" ca="1" si="0"/>
        <v>6.7086030959917099E-5</v>
      </c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</row>
    <row r="219" spans="1:25" ht="14.4">
      <c r="A219" s="99">
        <v>532744</v>
      </c>
      <c r="B219" s="98" t="s">
        <v>2746</v>
      </c>
      <c r="C219" s="101"/>
      <c r="D219" s="101"/>
      <c r="E219" s="101">
        <f ca="1">IFERROR(__xludf.DUMMYFUNCTION("GOOGLEFINANCE(""BOM:""&amp;A219,""PRICE"")"),8.31)</f>
        <v>8.31</v>
      </c>
      <c r="F219" s="112">
        <f ca="1">IFERROR(__xludf.DUMMYFUNCTION("GOOGLEFINANCE(""BOM:""&amp;A219,""MARKETCAP"")/10000000"),9.673231)</f>
        <v>9.6732309999999995</v>
      </c>
      <c r="G219" s="95">
        <f t="shared" ca="1" si="0"/>
        <v>6.4692415253742833E-5</v>
      </c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</row>
    <row r="220" spans="1:25" ht="14.4">
      <c r="A220" s="99">
        <v>521161</v>
      </c>
      <c r="B220" s="98" t="s">
        <v>2747</v>
      </c>
      <c r="C220" s="101"/>
      <c r="D220" s="101"/>
      <c r="E220" s="101">
        <f ca="1">IFERROR(__xludf.DUMMYFUNCTION("GOOGLEFINANCE(""BOM:""&amp;A220,""PRICE"")"),28.5)</f>
        <v>28.5</v>
      </c>
      <c r="F220" s="112">
        <f ca="1">IFERROR(__xludf.DUMMYFUNCTION("GOOGLEFINANCE(""BOM:""&amp;A220,""MARKETCAP"")/10000000"),9.4983346)</f>
        <v>9.4983345999999997</v>
      </c>
      <c r="G220" s="95">
        <f t="shared" ca="1" si="0"/>
        <v>6.3522747069949352E-5</v>
      </c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</row>
    <row r="221" spans="1:25" ht="14.4">
      <c r="A221" s="99">
        <v>500277</v>
      </c>
      <c r="B221" s="98" t="s">
        <v>2748</v>
      </c>
      <c r="C221" s="101"/>
      <c r="D221" s="101"/>
      <c r="E221" s="101">
        <f ca="1">IFERROR(__xludf.DUMMYFUNCTION("GOOGLEFINANCE(""BOM:""&amp;A221,""PRICE"")"),6.7)</f>
        <v>6.7</v>
      </c>
      <c r="F221" s="112">
        <f ca="1">IFERROR(__xludf.DUMMYFUNCTION("GOOGLEFINANCE(""BOM:""&amp;A221,""MARKETCAP"")/10000000"),10.9209996)</f>
        <v>10.9209996</v>
      </c>
      <c r="G221" s="95">
        <f t="shared" ca="1" si="0"/>
        <v>7.3037213843974089E-5</v>
      </c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</row>
    <row r="222" spans="1:25" ht="14.4">
      <c r="A222" s="99">
        <v>531323</v>
      </c>
      <c r="B222" s="98" t="s">
        <v>2749</v>
      </c>
      <c r="C222" s="101"/>
      <c r="D222" s="101"/>
      <c r="E222" s="101">
        <f ca="1">IFERROR(__xludf.DUMMYFUNCTION("GOOGLEFINANCE(""BOM:""&amp;A222,""PRICE"")"),14.52)</f>
        <v>14.52</v>
      </c>
      <c r="F222" s="112">
        <f ca="1">IFERROR(__xludf.DUMMYFUNCTION("GOOGLEFINANCE(""BOM:""&amp;A222,""MARKETCAP"")/10000000"),8.9652276)</f>
        <v>8.9652276000000004</v>
      </c>
      <c r="G222" s="95">
        <f t="shared" ca="1" si="0"/>
        <v>5.9957446146330656E-5</v>
      </c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</row>
    <row r="223" spans="1:25" ht="14.4">
      <c r="A223" s="99">
        <v>521080</v>
      </c>
      <c r="B223" s="98" t="s">
        <v>2750</v>
      </c>
      <c r="C223" s="101"/>
      <c r="D223" s="101"/>
      <c r="E223" s="101">
        <f ca="1">IFERROR(__xludf.DUMMYFUNCTION("GOOGLEFINANCE(""BOM:""&amp;A223,""PRICE"")"),7.38)</f>
        <v>7.38</v>
      </c>
      <c r="F223" s="112">
        <f ca="1">IFERROR(__xludf.DUMMYFUNCTION("GOOGLEFINANCE(""BOM:""&amp;A223,""MARKETCAP"")/10000000"),10.1844001)</f>
        <v>10.1844001</v>
      </c>
      <c r="G223" s="95">
        <f t="shared" ca="1" si="0"/>
        <v>6.81110003864748E-5</v>
      </c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</row>
    <row r="224" spans="1:25" ht="14.4">
      <c r="A224" s="99">
        <v>514240</v>
      </c>
      <c r="B224" s="98" t="s">
        <v>2751</v>
      </c>
      <c r="C224" s="101"/>
      <c r="D224" s="101"/>
      <c r="E224" s="101">
        <f ca="1">IFERROR(__xludf.DUMMYFUNCTION("GOOGLEFINANCE(""BOM:""&amp;A224,""PRICE"")"),5.63)</f>
        <v>5.63</v>
      </c>
      <c r="F224" s="112">
        <f ca="1">IFERROR(__xludf.DUMMYFUNCTION("GOOGLEFINANCE(""BOM:""&amp;A224,""MARKETCAP"")/10000000"),8.5857501)</f>
        <v>8.5857501000000003</v>
      </c>
      <c r="G224" s="95">
        <f t="shared" ca="1" si="0"/>
        <v>5.7419585114225436E-5</v>
      </c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</row>
    <row r="225" spans="1:25" ht="14.4">
      <c r="A225" s="99">
        <v>514140</v>
      </c>
      <c r="B225" s="98" t="s">
        <v>2752</v>
      </c>
      <c r="C225" s="101"/>
      <c r="D225" s="101"/>
      <c r="E225" s="101">
        <f ca="1">IFERROR(__xludf.DUMMYFUNCTION("GOOGLEFINANCE(""BOM:""&amp;A225,""PRICE"")"),18.29)</f>
        <v>18.29</v>
      </c>
      <c r="F225" s="112">
        <f ca="1">IFERROR(__xludf.DUMMYFUNCTION("GOOGLEFINANCE(""BOM:""&amp;A225,""MARKETCAP"")/10000000"),8.9777841)</f>
        <v>8.9777840999999992</v>
      </c>
      <c r="G225" s="95">
        <f t="shared" ca="1" si="0"/>
        <v>6.0041421222717598E-5</v>
      </c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</row>
    <row r="226" spans="1:25" ht="14.4">
      <c r="A226" s="99">
        <v>521036</v>
      </c>
      <c r="B226" s="98" t="s">
        <v>2753</v>
      </c>
      <c r="C226" s="101"/>
      <c r="D226" s="101"/>
      <c r="E226" s="101">
        <f ca="1">IFERROR(__xludf.DUMMYFUNCTION("GOOGLEFINANCE(""BOM:""&amp;A226,""PRICE"")"),7.79)</f>
        <v>7.79</v>
      </c>
      <c r="F226" s="112">
        <f ca="1">IFERROR(__xludf.DUMMYFUNCTION("GOOGLEFINANCE(""BOM:""&amp;A226,""MARKETCAP"")/10000000"),8.8830226)</f>
        <v>8.8830226000000003</v>
      </c>
      <c r="G226" s="95">
        <f t="shared" ca="1" si="0"/>
        <v>5.940767740867372E-5</v>
      </c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</row>
    <row r="227" spans="1:25" ht="14.4">
      <c r="A227" s="99">
        <v>538081</v>
      </c>
      <c r="B227" s="98" t="s">
        <v>2754</v>
      </c>
      <c r="C227" s="101"/>
      <c r="D227" s="101"/>
      <c r="E227" s="101">
        <f ca="1">IFERROR(__xludf.DUMMYFUNCTION("GOOGLEFINANCE(""BOM:""&amp;A227,""PRICE"")"),5.6)</f>
        <v>5.6</v>
      </c>
      <c r="F227" s="112">
        <f ca="1">IFERROR(__xludf.DUMMYFUNCTION("GOOGLEFINANCE(""BOM:""&amp;A227,""MARKETCAP"")/10000000"),8.5622822)</f>
        <v>8.5622822000000003</v>
      </c>
      <c r="G227" s="95">
        <f t="shared" ca="1" si="0"/>
        <v>5.7262637023982034E-5</v>
      </c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</row>
    <row r="228" spans="1:25" ht="14.4">
      <c r="A228" s="99">
        <v>531456</v>
      </c>
      <c r="B228" s="98" t="s">
        <v>2755</v>
      </c>
      <c r="C228" s="101"/>
      <c r="D228" s="101"/>
      <c r="E228" s="101">
        <f ca="1">IFERROR(__xludf.DUMMYFUNCTION("GOOGLEFINANCE(""BOM:""&amp;A228,""PRICE"")"),1.6)</f>
        <v>1.6</v>
      </c>
      <c r="F228" s="112">
        <f ca="1">IFERROR(__xludf.DUMMYFUNCTION("GOOGLEFINANCE(""BOM:""&amp;A228,""MARKETCAP"")/10000000"),7.9065601)</f>
        <v>7.9065601000000001</v>
      </c>
      <c r="G228" s="95">
        <f t="shared" ca="1" si="0"/>
        <v>5.2877313610920119E-5</v>
      </c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</row>
    <row r="229" spans="1:25" ht="14.4">
      <c r="A229" s="99">
        <v>530889</v>
      </c>
      <c r="B229" s="98" t="s">
        <v>2756</v>
      </c>
      <c r="C229" s="101"/>
      <c r="D229" s="101"/>
      <c r="E229" s="101">
        <f ca="1">IFERROR(__xludf.DUMMYFUNCTION("GOOGLEFINANCE(""BOM:""&amp;A229,""PRICE"")"),17.19)</f>
        <v>17.190000000000001</v>
      </c>
      <c r="F229" s="112">
        <f ca="1">IFERROR(__xludf.DUMMYFUNCTION("GOOGLEFINANCE(""BOM:""&amp;A229,""MARKETCAP"")/10000000"),8.5950002)</f>
        <v>8.5950001999999994</v>
      </c>
      <c r="G229" s="95">
        <f t="shared" ca="1" si="0"/>
        <v>5.74814477235582E-5</v>
      </c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</row>
    <row r="230" spans="1:25" ht="14.4">
      <c r="A230" s="99">
        <v>531304</v>
      </c>
      <c r="B230" s="98" t="s">
        <v>2757</v>
      </c>
      <c r="C230" s="101"/>
      <c r="D230" s="101"/>
      <c r="E230" s="101">
        <f ca="1">IFERROR(__xludf.DUMMYFUNCTION("GOOGLEFINANCE(""BOM:""&amp;A230,""PRICE"")"),23.9)</f>
        <v>23.9</v>
      </c>
      <c r="F230" s="112">
        <f ca="1">IFERROR(__xludf.DUMMYFUNCTION("GOOGLEFINANCE(""BOM:""&amp;A230,""MARKETCAP"")/10000000"),7.6568428)</f>
        <v>7.6568427999999997</v>
      </c>
      <c r="G230" s="95">
        <f t="shared" ca="1" si="0"/>
        <v>5.1207259906253759E-5</v>
      </c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</row>
    <row r="231" spans="1:25" ht="14.4">
      <c r="A231" s="99">
        <v>539111</v>
      </c>
      <c r="B231" s="98" t="s">
        <v>2758</v>
      </c>
      <c r="C231" s="101"/>
      <c r="D231" s="101"/>
      <c r="E231" s="101">
        <f ca="1">IFERROR(__xludf.DUMMYFUNCTION("GOOGLEFINANCE(""BOM:""&amp;A231,""PRICE"")"),15.03)</f>
        <v>15.03</v>
      </c>
      <c r="F231" s="112">
        <f ca="1">IFERROR(__xludf.DUMMYFUNCTION("GOOGLEFINANCE(""BOM:""&amp;A231,""MARKETCAP"")/10000000"),7.4542425)</f>
        <v>7.4542425000000003</v>
      </c>
      <c r="G231" s="95">
        <f t="shared" ca="1" si="0"/>
        <v>4.985231420733136E-5</v>
      </c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</row>
    <row r="232" spans="1:25" ht="14.4">
      <c r="A232" s="99">
        <v>531352</v>
      </c>
      <c r="B232" s="98" t="s">
        <v>2759</v>
      </c>
      <c r="C232" s="101"/>
      <c r="D232" s="101"/>
      <c r="E232" s="101">
        <f ca="1">IFERROR(__xludf.DUMMYFUNCTION("GOOGLEFINANCE(""BOM:""&amp;A232,""PRICE"")"),17.51)</f>
        <v>17.510000000000002</v>
      </c>
      <c r="F232" s="112">
        <f ca="1">IFERROR(__xludf.DUMMYFUNCTION("GOOGLEFINANCE(""BOM:""&amp;A232,""MARKETCAP"")/10000000"),6.5669487)</f>
        <v>6.5669487000000002</v>
      </c>
      <c r="G232" s="95">
        <f t="shared" ca="1" si="0"/>
        <v>4.3918290822417725E-5</v>
      </c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</row>
    <row r="233" spans="1:25" ht="14.4">
      <c r="A233" s="99">
        <v>526133</v>
      </c>
      <c r="B233" s="98" t="s">
        <v>2760</v>
      </c>
      <c r="C233" s="101"/>
      <c r="D233" s="101"/>
      <c r="E233" s="101">
        <f ca="1">IFERROR(__xludf.DUMMYFUNCTION("GOOGLEFINANCE(""BOM:""&amp;A233,""PRICE"")"),6.22)</f>
        <v>6.22</v>
      </c>
      <c r="F233" s="112">
        <f ca="1">IFERROR(__xludf.DUMMYFUNCTION("GOOGLEFINANCE(""BOM:""&amp;A233,""MARKETCAP"")/10000000"),7.0543008)</f>
        <v>7.0543008</v>
      </c>
      <c r="G233" s="95">
        <f t="shared" ca="1" si="0"/>
        <v>4.7177593161830857E-5</v>
      </c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</row>
    <row r="234" spans="1:25" ht="14.4">
      <c r="A234" s="99">
        <v>530795</v>
      </c>
      <c r="B234" s="98" t="s">
        <v>2761</v>
      </c>
      <c r="C234" s="101"/>
      <c r="D234" s="101"/>
      <c r="E234" s="101">
        <f ca="1">IFERROR(__xludf.DUMMYFUNCTION("GOOGLEFINANCE(""BOM:""&amp;A234,""PRICE"")"),13.3)</f>
        <v>13.3</v>
      </c>
      <c r="F234" s="112">
        <f ca="1">IFERROR(__xludf.DUMMYFUNCTION("GOOGLEFINANCE(""BOM:""&amp;A234,""MARKETCAP"")/10000000"),6.577914)</f>
        <v>6.5779139999999998</v>
      </c>
      <c r="G234" s="95">
        <f t="shared" ca="1" si="0"/>
        <v>4.3991624307473739E-5</v>
      </c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</row>
    <row r="235" spans="1:25" ht="14.4">
      <c r="A235" s="99">
        <v>530443</v>
      </c>
      <c r="B235" s="98" t="s">
        <v>2762</v>
      </c>
      <c r="C235" s="101"/>
      <c r="D235" s="101"/>
      <c r="E235" s="101">
        <f ca="1">IFERROR(__xludf.DUMMYFUNCTION("GOOGLEFINANCE(""BOM:""&amp;A235,""PRICE"")"),16.27)</f>
        <v>16.27</v>
      </c>
      <c r="F235" s="112">
        <f ca="1">IFERROR(__xludf.DUMMYFUNCTION("GOOGLEFINANCE(""BOM:""&amp;A235,""MARKETCAP"")/10000000"),6.9145874)</f>
        <v>6.9145874000000003</v>
      </c>
      <c r="G235" s="95">
        <f t="shared" ca="1" si="0"/>
        <v>4.6243221048799312E-5</v>
      </c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</row>
    <row r="236" spans="1:25" ht="14.4">
      <c r="A236" s="99">
        <v>509835</v>
      </c>
      <c r="B236" s="98" t="s">
        <v>2763</v>
      </c>
      <c r="C236" s="101"/>
      <c r="D236" s="101"/>
      <c r="E236" s="101">
        <f ca="1">IFERROR(__xludf.DUMMYFUNCTION("GOOGLEFINANCE(""BOM:""&amp;A236,""PRICE"")"),14.94)</f>
        <v>14.94</v>
      </c>
      <c r="F236" s="112">
        <f ca="1">IFERROR(__xludf.DUMMYFUNCTION("GOOGLEFINANCE(""BOM:""&amp;A236,""MARKETCAP"")/10000000"),6.8622406)</f>
        <v>6.8622405999999998</v>
      </c>
      <c r="G236" s="95">
        <f t="shared" ca="1" si="0"/>
        <v>4.589313730503214E-5</v>
      </c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</row>
    <row r="237" spans="1:25" ht="14.4">
      <c r="A237" s="99">
        <v>532825</v>
      </c>
      <c r="B237" s="98" t="s">
        <v>2764</v>
      </c>
      <c r="C237" s="101"/>
      <c r="D237" s="101"/>
      <c r="E237" s="101">
        <f ca="1">IFERROR(__xludf.DUMMYFUNCTION("GOOGLEFINANCE(""BOM:""&amp;A237,""PRICE"")"),4.3)</f>
        <v>4.3</v>
      </c>
      <c r="F237" s="112">
        <f ca="1">IFERROR(__xludf.DUMMYFUNCTION("GOOGLEFINANCE(""BOM:""&amp;A237,""MARKETCAP"")/10000000"),6.7080002)</f>
        <v>6.7080001999999999</v>
      </c>
      <c r="G237" s="95">
        <f t="shared" ca="1" si="0"/>
        <v>4.4861611850331078E-5</v>
      </c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</row>
    <row r="238" spans="1:25" ht="14.4">
      <c r="A238" s="99">
        <v>531991</v>
      </c>
      <c r="B238" s="98" t="s">
        <v>2765</v>
      </c>
      <c r="C238" s="101"/>
      <c r="D238" s="101"/>
      <c r="E238" s="101">
        <f ca="1">IFERROR(__xludf.DUMMYFUNCTION("GOOGLEFINANCE(""BOM:""&amp;A238,""PRICE"")"),0.5)</f>
        <v>0.5</v>
      </c>
      <c r="F238" s="112">
        <f ca="1">IFERROR(__xludf.DUMMYFUNCTION("GOOGLEFINANCE(""BOM:""&amp;A238,""MARKETCAP"")/10000000"),6.015)</f>
        <v>6.0149999999999997</v>
      </c>
      <c r="G238" s="95">
        <f t="shared" ca="1" si="0"/>
        <v>4.0226980804165963E-5</v>
      </c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</row>
    <row r="239" spans="1:25" ht="14.4">
      <c r="A239" s="99">
        <v>519014</v>
      </c>
      <c r="B239" s="98" t="s">
        <v>2766</v>
      </c>
      <c r="C239" s="101"/>
      <c r="D239" s="101"/>
      <c r="E239" s="101">
        <f ca="1">IFERROR(__xludf.DUMMYFUNCTION("GOOGLEFINANCE(""BOM:""&amp;A239,""PRICE"")"),13.2)</f>
        <v>13.2</v>
      </c>
      <c r="F239" s="112"/>
      <c r="G239" s="95">
        <f t="shared" ca="1" si="0"/>
        <v>0</v>
      </c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</row>
    <row r="240" spans="1:25" ht="14.4">
      <c r="A240" s="99">
        <v>521054</v>
      </c>
      <c r="B240" s="98" t="s">
        <v>2767</v>
      </c>
      <c r="C240" s="101"/>
      <c r="D240" s="101"/>
      <c r="E240" s="101">
        <f ca="1">IFERROR(__xludf.DUMMYFUNCTION("GOOGLEFINANCE(""BOM:""&amp;A240,""PRICE"")"),9.19)</f>
        <v>9.19</v>
      </c>
      <c r="F240" s="112">
        <f ca="1">IFERROR(__xludf.DUMMYFUNCTION("GOOGLEFINANCE(""BOM:""&amp;A240,""MARKETCAP"")/10000000"),5.3081437)</f>
        <v>5.3081436999999996</v>
      </c>
      <c r="G240" s="95">
        <f t="shared" ca="1" si="0"/>
        <v>3.5499683246160346E-5</v>
      </c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</row>
    <row r="241" spans="1:25" ht="14.4">
      <c r="A241" s="99">
        <v>531496</v>
      </c>
      <c r="B241" s="98" t="s">
        <v>2768</v>
      </c>
      <c r="C241" s="101"/>
      <c r="D241" s="101"/>
      <c r="E241" s="101">
        <f ca="1">IFERROR(__xludf.DUMMYFUNCTION("GOOGLEFINANCE(""BOM:""&amp;A241,""PRICE"")"),9.28)</f>
        <v>9.2799999999999994</v>
      </c>
      <c r="F241" s="112">
        <f ca="1">IFERROR(__xludf.DUMMYFUNCTION("GOOGLEFINANCE(""BOM:""&amp;A241,""MARKETCAP"")/10000000"),4.6399998)</f>
        <v>4.6399998</v>
      </c>
      <c r="G241" s="95">
        <f t="shared" ca="1" si="0"/>
        <v>3.1031285600321518E-5</v>
      </c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</row>
    <row r="242" spans="1:25" ht="14.4">
      <c r="A242" s="99">
        <v>539096</v>
      </c>
      <c r="B242" s="98" t="s">
        <v>2769</v>
      </c>
      <c r="C242" s="101"/>
      <c r="D242" s="101"/>
      <c r="E242" s="101">
        <f ca="1">IFERROR(__xludf.DUMMYFUNCTION("GOOGLEFINANCE(""BOM:""&amp;A242,""PRICE"")"),8.7)</f>
        <v>8.6999999999999993</v>
      </c>
      <c r="F242" s="112">
        <f ca="1">IFERROR(__xludf.DUMMYFUNCTION("GOOGLEFINANCE(""BOM:""&amp;A242,""MARKETCAP"")/10000000"),3.0443639)</f>
        <v>3.0443639</v>
      </c>
      <c r="G242" s="95">
        <f t="shared" ca="1" si="0"/>
        <v>2.0360027957804794E-5</v>
      </c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</row>
    <row r="243" spans="1:25" ht="14.4">
      <c r="A243" s="99">
        <v>532665</v>
      </c>
      <c r="B243" s="98" t="s">
        <v>2770</v>
      </c>
      <c r="C243" s="101"/>
      <c r="D243" s="101"/>
      <c r="E243" s="101">
        <f ca="1">IFERROR(__xludf.DUMMYFUNCTION("GOOGLEFINANCE(""BOM:""&amp;A243,""PRICE"")"),9.2)</f>
        <v>9.1999999999999993</v>
      </c>
      <c r="F243" s="112">
        <f ca="1">IFERROR(__xludf.DUMMYFUNCTION("GOOGLEFINANCE(""BOM:""&amp;A243,""MARKETCAP"")/10000000"),3.1433234)</f>
        <v>3.1433233999999999</v>
      </c>
      <c r="G243" s="95">
        <f t="shared" ca="1" si="0"/>
        <v>2.1021847061194628E-5</v>
      </c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</row>
    <row r="244" spans="1:25" ht="14.4">
      <c r="A244" s="99">
        <v>502850</v>
      </c>
      <c r="B244" s="98" t="s">
        <v>2771</v>
      </c>
      <c r="C244" s="101"/>
      <c r="D244" s="101"/>
      <c r="E244" s="101">
        <f ca="1">IFERROR(__xludf.DUMMYFUNCTION("GOOGLEFINANCE(""BOM:""&amp;A244,""PRICE"")"),15.03)</f>
        <v>15.03</v>
      </c>
      <c r="F244" s="112">
        <f ca="1">IFERROR(__xludf.DUMMYFUNCTION("GOOGLEFINANCE(""BOM:""&amp;A244,""MARKETCAP"")/10000000"),3.006)</f>
        <v>3.0059999999999998</v>
      </c>
      <c r="G244" s="95">
        <f t="shared" ca="1" si="0"/>
        <v>2.010345873604703E-5</v>
      </c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</row>
    <row r="245" spans="1:25" ht="14.4">
      <c r="A245" s="99">
        <v>543274</v>
      </c>
      <c r="B245" s="98" t="s">
        <v>2772</v>
      </c>
      <c r="C245" s="101"/>
      <c r="D245" s="101"/>
      <c r="E245" s="101">
        <f ca="1">IFERROR(__xludf.DUMMYFUNCTION("GOOGLEFINANCE(""BOM:""&amp;A245,""PRICE"")"),0.91)</f>
        <v>0.91</v>
      </c>
      <c r="F245" s="112">
        <f ca="1">IFERROR(__xludf.DUMMYFUNCTION("GOOGLEFINANCE(""BOM:""&amp;A245,""MARKETCAP"")/10000000"),2.2497948)</f>
        <v>2.2497948000000001</v>
      </c>
      <c r="G245" s="95">
        <f t="shared" ca="1" si="0"/>
        <v>1.5046126722013701E-5</v>
      </c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</row>
    <row r="246" spans="1:25" ht="14.4">
      <c r="A246" s="99">
        <v>531499</v>
      </c>
      <c r="B246" s="98" t="s">
        <v>2773</v>
      </c>
      <c r="C246" s="101"/>
      <c r="D246" s="101"/>
      <c r="E246" s="101">
        <f ca="1">IFERROR(__xludf.DUMMYFUNCTION("GOOGLEFINANCE(""BOM:""&amp;A246,""PRICE"")"),1.96)</f>
        <v>1.96</v>
      </c>
      <c r="F246" s="112">
        <f ca="1">IFERROR(__xludf.DUMMYFUNCTION("GOOGLEFINANCE(""BOM:""&amp;A246,""MARKETCAP"")/10000000"),1.7947038)</f>
        <v>1.7947038</v>
      </c>
      <c r="G246" s="95">
        <f t="shared" ca="1" si="0"/>
        <v>1.2002579436702197E-5</v>
      </c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</row>
    <row r="247" spans="1:25" ht="14.4">
      <c r="A247" s="99">
        <v>506867</v>
      </c>
      <c r="B247" s="98" t="s">
        <v>2774</v>
      </c>
      <c r="C247" s="101"/>
      <c r="D247" s="101"/>
      <c r="E247" s="101">
        <f ca="1">IFERROR(__xludf.DUMMYFUNCTION("GOOGLEFINANCE(""BOM:""&amp;A247,""PRICE"")"),31.08)</f>
        <v>31.08</v>
      </c>
      <c r="F247" s="112">
        <f ca="1">IFERROR(__xludf.DUMMYFUNCTION("GOOGLEFINANCE(""BOM:""&amp;A247,""MARKETCAP"")/10000000"),0.76146)</f>
        <v>0.76146000000000003</v>
      </c>
      <c r="G247" s="95">
        <f t="shared" ca="1" si="0"/>
        <v>5.0924749464904765E-6</v>
      </c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</row>
    <row r="248" spans="1:25" ht="14.4">
      <c r="A248" s="99">
        <v>539562</v>
      </c>
      <c r="B248" s="98" t="s">
        <v>2775</v>
      </c>
      <c r="C248" s="101"/>
      <c r="D248" s="101"/>
      <c r="E248" s="101">
        <f ca="1">IFERROR(__xludf.DUMMYFUNCTION("GOOGLEFINANCE(""BOM:""&amp;A248,""PRICE"")"),23.84)</f>
        <v>23.84</v>
      </c>
      <c r="F248" s="112"/>
      <c r="G248" s="95">
        <f t="shared" ca="1" si="0"/>
        <v>0</v>
      </c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</row>
    <row r="249" spans="1:25" ht="14.4">
      <c r="A249" s="99">
        <v>544702</v>
      </c>
      <c r="B249" s="98" t="s">
        <v>2776</v>
      </c>
      <c r="C249" s="101"/>
      <c r="D249" s="101"/>
      <c r="E249" s="101">
        <f ca="1">IFERROR(__xludf.DUMMYFUNCTION("GOOGLEFINANCE(""BOM:""&amp;A249,""PRICE"")"),64.38)</f>
        <v>64.38</v>
      </c>
      <c r="F249" s="112"/>
      <c r="G249" s="95">
        <f t="shared" ca="1" si="0"/>
        <v>0</v>
      </c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</row>
    <row r="250" spans="1:25" ht="14.4">
      <c r="A250" s="99">
        <v>514221</v>
      </c>
      <c r="B250" s="98" t="s">
        <v>2777</v>
      </c>
      <c r="C250" s="101"/>
      <c r="D250" s="101"/>
      <c r="E250" s="101">
        <f ca="1">IFERROR(__xludf.DUMMYFUNCTION("GOOGLEFINANCE(""BOM:""&amp;A250,""PRICE"")"),0.22)</f>
        <v>0.22</v>
      </c>
      <c r="F250" s="112"/>
      <c r="G250" s="95">
        <f t="shared" ca="1" si="0"/>
        <v>0</v>
      </c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</row>
    <row r="251" spans="1:25" ht="14.4">
      <c r="A251" s="99">
        <v>514414</v>
      </c>
      <c r="B251" s="98" t="s">
        <v>2778</v>
      </c>
      <c r="C251" s="101"/>
      <c r="D251" s="101"/>
      <c r="E251" s="101">
        <f ca="1">IFERROR(__xludf.DUMMYFUNCTION("GOOGLEFINANCE(""BOM:""&amp;A251,""PRICE"")"),13.4)</f>
        <v>13.4</v>
      </c>
      <c r="F251" s="112"/>
      <c r="G251" s="95">
        <f t="shared" ca="1" si="0"/>
        <v>0</v>
      </c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</row>
    <row r="252" spans="1:25" ht="14.4">
      <c r="A252" s="99">
        <v>531562</v>
      </c>
      <c r="B252" s="98" t="s">
        <v>2779</v>
      </c>
      <c r="C252" s="101"/>
      <c r="D252" s="101"/>
      <c r="E252" s="101">
        <f ca="1">IFERROR(__xludf.DUMMYFUNCTION("GOOGLEFINANCE(""BOM:""&amp;A252,""PRICE"")"),0)</f>
        <v>0</v>
      </c>
      <c r="F252" s="112"/>
      <c r="G252" s="95">
        <f t="shared" ca="1" si="0"/>
        <v>0</v>
      </c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</row>
    <row r="253" spans="1:25" ht="14.4">
      <c r="A253" s="99">
        <v>506975</v>
      </c>
      <c r="B253" s="98" t="s">
        <v>2780</v>
      </c>
      <c r="C253" s="101"/>
      <c r="D253" s="101"/>
      <c r="E253" s="101">
        <f ca="1">IFERROR(__xludf.DUMMYFUNCTION("GOOGLEFINANCE(""BOM:""&amp;A253,""PRICE"")"),11.77)</f>
        <v>11.77</v>
      </c>
      <c r="F253" s="112"/>
      <c r="G253" s="95">
        <f t="shared" ca="1" si="0"/>
        <v>0</v>
      </c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</row>
    <row r="254" spans="1:25" ht="14.4">
      <c r="A254" s="99">
        <v>544716</v>
      </c>
      <c r="B254" s="98" t="s">
        <v>2781</v>
      </c>
      <c r="C254" s="101"/>
      <c r="D254" s="101"/>
      <c r="E254" s="101">
        <f ca="1">IFERROR(__xludf.DUMMYFUNCTION("GOOGLEFINANCE(""BOM:""&amp;A254,""PRICE"")"),45.79)</f>
        <v>45.79</v>
      </c>
      <c r="F254" s="112"/>
      <c r="G254" s="95">
        <f t="shared" ca="1" si="0"/>
        <v>0</v>
      </c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</row>
    <row r="255" spans="1:25" ht="14.4">
      <c r="A255" s="99">
        <v>540318</v>
      </c>
      <c r="B255" s="98" t="s">
        <v>2782</v>
      </c>
      <c r="C255" s="101"/>
      <c r="D255" s="101"/>
      <c r="E255" s="101">
        <f ca="1">IFERROR(__xludf.DUMMYFUNCTION("GOOGLEFINANCE(""BOM:""&amp;A255,""PRICE"")"),0)</f>
        <v>0</v>
      </c>
      <c r="F255" s="112"/>
      <c r="G255" s="95">
        <f t="shared" ca="1" si="0"/>
        <v>0</v>
      </c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</row>
    <row r="256" spans="1:25" ht="14.4">
      <c r="A256" s="99">
        <v>521188</v>
      </c>
      <c r="B256" s="98" t="s">
        <v>2783</v>
      </c>
      <c r="C256" s="101"/>
      <c r="D256" s="101"/>
      <c r="E256" s="101">
        <f ca="1">IFERROR(__xludf.DUMMYFUNCTION("GOOGLEFINANCE(""BOM:""&amp;A256,""PRICE"")"),15.5)</f>
        <v>15.5</v>
      </c>
      <c r="F256" s="112"/>
      <c r="G256" s="95">
        <f t="shared" ca="1" si="0"/>
        <v>0</v>
      </c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</row>
    <row r="257" spans="1:25" ht="14.4">
      <c r="A257" s="99">
        <v>512408</v>
      </c>
      <c r="B257" s="98" t="s">
        <v>2784</v>
      </c>
      <c r="C257" s="101"/>
      <c r="D257" s="101"/>
      <c r="E257" s="101">
        <f ca="1">IFERROR(__xludf.DUMMYFUNCTION("GOOGLEFINANCE(""BOM:""&amp;A257,""PRICE"")"),10.05)</f>
        <v>10.050000000000001</v>
      </c>
      <c r="F257" s="112"/>
      <c r="G257" s="95">
        <f t="shared" ref="G257" ca="1" si="1">F257/$F$259</f>
        <v>0</v>
      </c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</row>
    <row r="258" spans="1:25" ht="13.2">
      <c r="A258" s="101"/>
      <c r="B258" s="101"/>
      <c r="C258" s="101"/>
      <c r="D258" s="101"/>
      <c r="E258" s="101"/>
      <c r="F258" s="101"/>
      <c r="G258" s="95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</row>
    <row r="259" spans="1:25" ht="13.2">
      <c r="A259" s="101"/>
      <c r="B259" s="101"/>
      <c r="C259" s="101"/>
      <c r="D259" s="101"/>
      <c r="E259" s="101"/>
      <c r="F259" s="112">
        <f ca="1">SUM(F2:F257)</f>
        <v>149526.50881959996</v>
      </c>
      <c r="G259" s="95">
        <f ca="1">F259/$F$259</f>
        <v>1</v>
      </c>
      <c r="H259" s="101">
        <f t="shared" ref="H259:O259" si="2">SUM(H2:H257)</f>
        <v>46568</v>
      </c>
      <c r="I259" s="101">
        <f t="shared" si="2"/>
        <v>46325</v>
      </c>
      <c r="J259" s="101">
        <f t="shared" si="2"/>
        <v>1676</v>
      </c>
      <c r="K259" s="101">
        <f t="shared" si="2"/>
        <v>2611</v>
      </c>
      <c r="L259" s="101">
        <f t="shared" si="2"/>
        <v>15592</v>
      </c>
      <c r="M259" s="101">
        <f t="shared" si="2"/>
        <v>15708</v>
      </c>
      <c r="N259" s="101">
        <f t="shared" si="2"/>
        <v>396</v>
      </c>
      <c r="O259" s="101">
        <f t="shared" si="2"/>
        <v>723</v>
      </c>
      <c r="P259" s="95">
        <f t="shared" ref="P259:Q259" si="3">J259/H259</f>
        <v>3.5990379659852259E-2</v>
      </c>
      <c r="Q259" s="95">
        <f t="shared" si="3"/>
        <v>5.636265515380464E-2</v>
      </c>
      <c r="R259" s="95">
        <f>P259-Q259</f>
        <v>-2.0372275493952381E-2</v>
      </c>
      <c r="S259" s="95">
        <f t="shared" ref="S259:T259" si="4">N259/L259</f>
        <v>2.5397639815289891E-2</v>
      </c>
      <c r="T259" s="95">
        <f t="shared" si="4"/>
        <v>4.602750190985485E-2</v>
      </c>
      <c r="U259" s="95">
        <f>S259-T259</f>
        <v>-2.0629862094564959E-2</v>
      </c>
      <c r="V259" s="95">
        <f>(H259/I259)-1</f>
        <v>5.245547760388547E-3</v>
      </c>
      <c r="W259" s="95">
        <f>(J259/K259)-1</f>
        <v>-0.35810034469551899</v>
      </c>
      <c r="X259" s="95">
        <f>(L259/M259)-1</f>
        <v>-7.3847720906544678E-3</v>
      </c>
      <c r="Y259" s="95">
        <f>(N259/O259)-1</f>
        <v>-0.4522821576763485</v>
      </c>
    </row>
    <row r="260" spans="1:25" ht="13.2">
      <c r="G260" s="50"/>
    </row>
    <row r="261" spans="1:25" ht="13.2">
      <c r="G261" s="50"/>
    </row>
    <row r="262" spans="1:25" ht="13.2">
      <c r="G262" s="50"/>
    </row>
    <row r="263" spans="1:25" ht="13.2">
      <c r="G263" s="50"/>
    </row>
    <row r="264" spans="1:25" ht="13.2">
      <c r="G264" s="50"/>
    </row>
    <row r="265" spans="1:25" ht="13.2">
      <c r="G265" s="50"/>
    </row>
    <row r="266" spans="1:25" ht="13.2">
      <c r="G266" s="50"/>
    </row>
    <row r="267" spans="1:25" ht="13.2">
      <c r="G267" s="50"/>
    </row>
    <row r="268" spans="1:25" ht="13.2">
      <c r="G268" s="50"/>
    </row>
    <row r="269" spans="1:25" ht="13.2">
      <c r="G269" s="50"/>
    </row>
    <row r="270" spans="1:25" ht="13.2">
      <c r="G270" s="50"/>
    </row>
    <row r="271" spans="1:25" ht="13.2">
      <c r="G271" s="50"/>
    </row>
    <row r="272" spans="1:25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257" xr:uid="{00000000-0009-0000-0000-00004B000000}"/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338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543265</v>
      </c>
      <c r="B2" s="98" t="s">
        <v>2785</v>
      </c>
      <c r="C2" s="101" t="str">
        <f>VLOOKUP(A2,'BSE ALL CAP'!$B$4:$Y$1038,2,)</f>
        <v>Telecommunication</v>
      </c>
      <c r="D2" s="101" t="str">
        <f>VLOOKUP(A2,'BSE ALL CAP'!$B$4:$Y$1038,3,)</f>
        <v>Other Telecom Services</v>
      </c>
      <c r="E2" s="101">
        <f ca="1">IFERROR(__xludf.DUMMYFUNCTION("GOOGLEFINANCE(""BOM:""&amp;A2,""PRICE"")"),264.35)</f>
        <v>264.35000000000002</v>
      </c>
      <c r="F2" s="112">
        <f ca="1">IFERROR(__xludf.DUMMYFUNCTION("GOOGLEFINANCE(""BOM:""&amp;A2,""MARKETCAP"")/10000000"),8491.709008)</f>
        <v>8491.7090079999998</v>
      </c>
      <c r="G2" s="339">
        <f t="shared" ref="G2:G8" ca="1" si="0">F2/$F$10</f>
        <v>0.55580133455276581</v>
      </c>
      <c r="H2" s="101">
        <f>VLOOKUP(A2,'BSE ALL CAP'!$B$4:$Y$1038,7,)</f>
        <v>2647</v>
      </c>
      <c r="I2" s="101">
        <f>VLOOKUP(A2,'BSE ALL CAP'!$B$4:$Y$1038,8,)</f>
        <v>2222</v>
      </c>
      <c r="J2" s="101">
        <f>VLOOKUP(A2,'BSE ALL CAP'!$B$4:$Y$1038,9,)</f>
        <v>204</v>
      </c>
      <c r="K2" s="101">
        <f>VLOOKUP(A2,'BSE ALL CAP'!$B$4:$Y$1038,10,)</f>
        <v>186</v>
      </c>
      <c r="L2" s="101">
        <f>VLOOKUP(A2,'BSE ALL CAP'!$B$4:$Y$1038,11,)</f>
        <v>913</v>
      </c>
      <c r="M2" s="101">
        <f>VLOOKUP(A2,'BSE ALL CAP'!$B$4:$Y$1038,12,)</f>
        <v>767</v>
      </c>
      <c r="N2" s="101">
        <f>VLOOKUP(A2,'BSE ALL CAP'!$B$4:$Y$1038,13,)</f>
        <v>62</v>
      </c>
      <c r="O2" s="101">
        <f>VLOOKUP(A2,'BSE ALL CAP'!$B$4:$Y$1038,14,)</f>
        <v>65</v>
      </c>
      <c r="P2" s="95">
        <f>VLOOKUP(A2,'BSE ALL CAP'!$B$4:$Y$1038,15,)</f>
        <v>7.7068379297317718E-2</v>
      </c>
      <c r="Q2" s="95">
        <f>VLOOKUP(A2,'BSE ALL CAP'!$B$4:$Y$1038,16,)</f>
        <v>8.3708370837083712E-2</v>
      </c>
      <c r="R2" s="95">
        <f>VLOOKUP(A2,'BSE ALL CAP'!$B$4:$Y$1038,17,)</f>
        <v>-6.6399915397659937E-3</v>
      </c>
      <c r="S2" s="95">
        <f>VLOOKUP(A2,'BSE ALL CAP'!$B$4:$Y$1038,18,)</f>
        <v>6.7907995618838993E-2</v>
      </c>
      <c r="T2" s="95">
        <f>VLOOKUP(A2,'BSE ALL CAP'!$B$4:$Y$1038,19,)</f>
        <v>8.4745762711864403E-2</v>
      </c>
      <c r="U2" s="95">
        <f>VLOOKUP(A2,'BSE ALL CAP'!$B$4:$Y$1038,20,)</f>
        <v>-1.683776709302541E-2</v>
      </c>
      <c r="V2" s="95">
        <f>VLOOKUP(A2,'BSE ALL CAP'!$B$4:$Y$1038,21,)</f>
        <v>0.19126912691269138</v>
      </c>
      <c r="W2" s="95">
        <f>VLOOKUP(A2,'BSE ALL CAP'!$B$4:$Y$1038,22,)</f>
        <v>9.6774193548387011E-2</v>
      </c>
      <c r="X2" s="95">
        <f>VLOOKUP(A2,'BSE ALL CAP'!$B$4:$Y$1038,23,)</f>
        <v>0.19035202086049541</v>
      </c>
      <c r="Y2" s="95">
        <f>VLOOKUP(A2,'BSE ALL CAP'!$B$4:$Y$1038,24,)</f>
        <v>-4.6153846153846101E-2</v>
      </c>
    </row>
    <row r="3" spans="1:25" ht="15.75" customHeight="1">
      <c r="A3" s="99">
        <v>543228</v>
      </c>
      <c r="B3" s="98" t="s">
        <v>2786</v>
      </c>
      <c r="C3" s="101" t="str">
        <f>VLOOKUP(A3,'BSE ALL CAP'!$B$4:$Y$1038,2,)</f>
        <v>Telecommunication</v>
      </c>
      <c r="D3" s="101" t="str">
        <f>VLOOKUP(A3,'BSE ALL CAP'!$B$4:$Y$1038,3,)</f>
        <v>Other Telecom Services</v>
      </c>
      <c r="E3" s="101">
        <f ca="1">IFERROR(__xludf.DUMMYFUNCTION("GOOGLEFINANCE(""BOM:""&amp;A3,""PRICE"")"),462.4)</f>
        <v>462.4</v>
      </c>
      <c r="F3" s="112">
        <f ca="1">IFERROR(__xludf.DUMMYFUNCTION("GOOGLEFINANCE(""BOM:""&amp;A3,""MARKETCAP"")/10000000"),2911.4331212)</f>
        <v>2911.4331212000002</v>
      </c>
      <c r="G3" s="339">
        <f t="shared" ca="1" si="0"/>
        <v>0.19055980518169027</v>
      </c>
      <c r="H3" s="101">
        <f>VLOOKUP(A3,'BSE ALL CAP'!$B$4:$Y$1038,7,)</f>
        <v>3277</v>
      </c>
      <c r="I3" s="101">
        <f>VLOOKUP(A3,'BSE ALL CAP'!$B$4:$Y$1038,8,)</f>
        <v>3401</v>
      </c>
      <c r="J3" s="101">
        <f>VLOOKUP(A3,'BSE ALL CAP'!$B$4:$Y$1038,9,)</f>
        <v>143</v>
      </c>
      <c r="K3" s="101">
        <f>VLOOKUP(A3,'BSE ALL CAP'!$B$4:$Y$1038,10,)</f>
        <v>274</v>
      </c>
      <c r="L3" s="101">
        <f>VLOOKUP(A3,'BSE ALL CAP'!$B$4:$Y$1038,11,)</f>
        <v>1107</v>
      </c>
      <c r="M3" s="101">
        <f>VLOOKUP(A3,'BSE ALL CAP'!$B$4:$Y$1038,12,)</f>
        <v>1184</v>
      </c>
      <c r="N3" s="101">
        <f>VLOOKUP(A3,'BSE ALL CAP'!$B$4:$Y$1038,13,)</f>
        <v>103</v>
      </c>
      <c r="O3" s="101">
        <f>VLOOKUP(A3,'BSE ALL CAP'!$B$4:$Y$1038,14,)</f>
        <v>85</v>
      </c>
      <c r="P3" s="95">
        <f>VLOOKUP(A3,'BSE ALL CAP'!$B$4:$Y$1038,15,)</f>
        <v>4.3637473298748855E-2</v>
      </c>
      <c r="Q3" s="95">
        <f>VLOOKUP(A3,'BSE ALL CAP'!$B$4:$Y$1038,16,)</f>
        <v>8.0564539841223165E-2</v>
      </c>
      <c r="R3" s="95">
        <f>VLOOKUP(A3,'BSE ALL CAP'!$B$4:$Y$1038,17,)</f>
        <v>-3.692706654247431E-2</v>
      </c>
      <c r="S3" s="95">
        <f>VLOOKUP(A3,'BSE ALL CAP'!$B$4:$Y$1038,18,)</f>
        <v>9.3044263775971095E-2</v>
      </c>
      <c r="T3" s="95">
        <f>VLOOKUP(A3,'BSE ALL CAP'!$B$4:$Y$1038,19,)</f>
        <v>7.1790540540540543E-2</v>
      </c>
      <c r="U3" s="95">
        <f>VLOOKUP(A3,'BSE ALL CAP'!$B$4:$Y$1038,20,)</f>
        <v>2.1253723235430552E-2</v>
      </c>
      <c r="V3" s="95">
        <f>VLOOKUP(A3,'BSE ALL CAP'!$B$4:$Y$1038,21,)</f>
        <v>-3.6459864745663095E-2</v>
      </c>
      <c r="W3" s="95">
        <f>VLOOKUP(A3,'BSE ALL CAP'!$B$4:$Y$1038,22,)</f>
        <v>-0.47810218978102192</v>
      </c>
      <c r="X3" s="95">
        <f>VLOOKUP(A3,'BSE ALL CAP'!$B$4:$Y$1038,23,)</f>
        <v>-6.5033783783783772E-2</v>
      </c>
      <c r="Y3" s="95">
        <f>VLOOKUP(A3,'BSE ALL CAP'!$B$4:$Y$1038,24,)</f>
        <v>0.21176470588235285</v>
      </c>
    </row>
    <row r="4" spans="1:25" ht="15.75" customHeight="1">
      <c r="A4" s="99">
        <v>532408</v>
      </c>
      <c r="B4" s="98" t="s">
        <v>2787</v>
      </c>
      <c r="C4" s="101"/>
      <c r="D4" s="101"/>
      <c r="E4" s="101">
        <f ca="1">IFERROR(__xludf.DUMMYFUNCTION("GOOGLEFINANCE(""BOM:""&amp;A4,""PRICE"")"),158)</f>
        <v>158</v>
      </c>
      <c r="F4" s="112">
        <f ca="1">IFERROR(__xludf.DUMMYFUNCTION("GOOGLEFINANCE(""BOM:""&amp;A4,""MARKETCAP"")/10000000"),2778.243)</f>
        <v>2778.2429999999999</v>
      </c>
      <c r="G4" s="339">
        <f t="shared" ca="1" si="0"/>
        <v>0.18184221405339512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544395</v>
      </c>
      <c r="B5" s="98" t="s">
        <v>2788</v>
      </c>
      <c r="C5" s="101"/>
      <c r="D5" s="101"/>
      <c r="E5" s="101">
        <f ca="1">IFERROR(__xludf.DUMMYFUNCTION("GOOGLEFINANCE(""BOM:""&amp;A5,""PRICE"")"),18.61)</f>
        <v>18.61</v>
      </c>
      <c r="F5" s="112">
        <f ca="1">IFERROR(__xludf.DUMMYFUNCTION("GOOGLEFINANCE(""BOM:""&amp;A5,""MARKETCAP"")/10000000"),907.2561397)</f>
        <v>907.25613969999995</v>
      </c>
      <c r="G5" s="339">
        <f t="shared" ca="1" si="0"/>
        <v>5.9381942168695953E-2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500160</v>
      </c>
      <c r="B6" s="98" t="s">
        <v>2789</v>
      </c>
      <c r="C6" s="101"/>
      <c r="D6" s="101"/>
      <c r="E6" s="101">
        <f ca="1">IFERROR(__xludf.DUMMYFUNCTION("GOOGLEFINANCE(""BOM:""&amp;A6,""PRICE"")"),6.23)</f>
        <v>6.23</v>
      </c>
      <c r="F6" s="112">
        <f ca="1">IFERROR(__xludf.DUMMYFUNCTION("GOOGLEFINANCE(""BOM:""&amp;A6,""MARKETCAP"")/10000000"),97.9958444)</f>
        <v>97.995844399999996</v>
      </c>
      <c r="G6" s="339">
        <f t="shared" ca="1" si="0"/>
        <v>6.4140470483424247E-3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543622</v>
      </c>
      <c r="B7" s="98" t="s">
        <v>2790</v>
      </c>
      <c r="C7" s="101"/>
      <c r="D7" s="101"/>
      <c r="E7" s="101">
        <f ca="1">IFERROR(__xludf.DUMMYFUNCTION("GOOGLEFINANCE(""BOM:""&amp;A7,""PRICE"")"),56.22)</f>
        <v>56.22</v>
      </c>
      <c r="F7" s="112">
        <f ca="1">IFERROR(__xludf.DUMMYFUNCTION("GOOGLEFINANCE(""BOM:""&amp;A7,""MARKETCAP"")/10000000"),54.3995919)</f>
        <v>54.399591899999997</v>
      </c>
      <c r="G7" s="339">
        <f t="shared" ca="1" si="0"/>
        <v>3.5605748794101666E-3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511658</v>
      </c>
      <c r="B8" s="98" t="s">
        <v>2791</v>
      </c>
      <c r="C8" s="101"/>
      <c r="D8" s="101"/>
      <c r="E8" s="101">
        <f ca="1">IFERROR(__xludf.DUMMYFUNCTION("GOOGLEFINANCE(""BOM:""&amp;A8,""PRICE"")"),15.42)</f>
        <v>15.42</v>
      </c>
      <c r="F8" s="112">
        <f ca="1">IFERROR(__xludf.DUMMYFUNCTION("GOOGLEFINANCE(""BOM:""&amp;A8,""MARKETCAP"")/10000000"),37.2803482)</f>
        <v>37.280348199999999</v>
      </c>
      <c r="G8" s="339">
        <f t="shared" ca="1" si="0"/>
        <v>2.4400821157002837E-3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A9" s="101"/>
      <c r="B9" s="101"/>
      <c r="C9" s="101"/>
      <c r="D9" s="101"/>
      <c r="E9" s="101"/>
      <c r="F9" s="101"/>
      <c r="G9" s="339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>
      <c r="A10" s="101"/>
      <c r="B10" s="101"/>
      <c r="C10" s="101"/>
      <c r="D10" s="101"/>
      <c r="E10" s="101"/>
      <c r="F10" s="112">
        <f ca="1">SUM(F2:F8)</f>
        <v>15278.3170534</v>
      </c>
      <c r="G10" s="339">
        <f ca="1">F10/$F$10</f>
        <v>1</v>
      </c>
      <c r="H10" s="101">
        <f t="shared" ref="H10:O10" si="1">SUM(H2:H8)</f>
        <v>5924</v>
      </c>
      <c r="I10" s="101">
        <f t="shared" si="1"/>
        <v>5623</v>
      </c>
      <c r="J10" s="101">
        <f t="shared" si="1"/>
        <v>347</v>
      </c>
      <c r="K10" s="101">
        <f t="shared" si="1"/>
        <v>460</v>
      </c>
      <c r="L10" s="101">
        <f t="shared" si="1"/>
        <v>2020</v>
      </c>
      <c r="M10" s="101">
        <f t="shared" si="1"/>
        <v>1951</v>
      </c>
      <c r="N10" s="101">
        <f t="shared" si="1"/>
        <v>165</v>
      </c>
      <c r="O10" s="101">
        <f t="shared" si="1"/>
        <v>150</v>
      </c>
      <c r="P10" s="95">
        <f t="shared" ref="P10:Q10" si="2">J10/H10</f>
        <v>5.8575286968264688E-2</v>
      </c>
      <c r="Q10" s="95">
        <f t="shared" si="2"/>
        <v>8.180686466299128E-2</v>
      </c>
      <c r="R10" s="95">
        <f>P10-Q10</f>
        <v>-2.3231577694726592E-2</v>
      </c>
      <c r="S10" s="95">
        <f t="shared" ref="S10:T10" si="3">N10/L10</f>
        <v>8.1683168316831686E-2</v>
      </c>
      <c r="T10" s="95">
        <f t="shared" si="3"/>
        <v>7.6883649410558683E-2</v>
      </c>
      <c r="U10" s="95">
        <f>S10-T10</f>
        <v>4.7995189062730037E-3</v>
      </c>
      <c r="V10" s="95">
        <f>(H10/I10)-1</f>
        <v>5.3530144051218143E-2</v>
      </c>
      <c r="W10" s="95">
        <f>(J10/K10)-1</f>
        <v>-0.2456521739130435</v>
      </c>
      <c r="X10" s="95">
        <f>(L10/M10)-1</f>
        <v>3.5366478728857009E-2</v>
      </c>
      <c r="Y10" s="95">
        <f>(N10/O10)-1</f>
        <v>0.10000000000000009</v>
      </c>
    </row>
    <row r="11" spans="1:25">
      <c r="G11" s="9"/>
    </row>
    <row r="12" spans="1:25">
      <c r="G12" s="9"/>
    </row>
    <row r="13" spans="1:25">
      <c r="G13" s="9"/>
    </row>
    <row r="14" spans="1:25">
      <c r="G14" s="9"/>
    </row>
    <row r="15" spans="1:25">
      <c r="G15" s="9"/>
    </row>
    <row r="16" spans="1:25">
      <c r="G16" s="9"/>
    </row>
    <row r="17" spans="7:7">
      <c r="G17" s="9"/>
    </row>
    <row r="18" spans="7:7">
      <c r="G18" s="9"/>
    </row>
    <row r="19" spans="7:7">
      <c r="G19" s="9"/>
    </row>
    <row r="20" spans="7:7">
      <c r="G20" s="9"/>
    </row>
    <row r="21" spans="7:7">
      <c r="G21" s="9"/>
    </row>
    <row r="22" spans="7:7">
      <c r="G22" s="9"/>
    </row>
    <row r="23" spans="7:7">
      <c r="G23" s="9"/>
    </row>
    <row r="24" spans="7:7">
      <c r="G24" s="9"/>
    </row>
    <row r="25" spans="7:7" ht="13.2">
      <c r="G25" s="9"/>
    </row>
    <row r="26" spans="7:7" ht="13.2">
      <c r="G26" s="9"/>
    </row>
    <row r="27" spans="7:7" ht="13.2">
      <c r="G27" s="9"/>
    </row>
    <row r="28" spans="7:7" ht="13.2">
      <c r="G28" s="9"/>
    </row>
    <row r="29" spans="7:7" ht="13.2">
      <c r="G29" s="9"/>
    </row>
    <row r="30" spans="7:7" ht="13.2">
      <c r="G30" s="9"/>
    </row>
    <row r="31" spans="7:7" ht="13.2">
      <c r="G31" s="9"/>
    </row>
    <row r="32" spans="7:7" ht="13.2">
      <c r="G32" s="9"/>
    </row>
    <row r="33" spans="7:7" ht="13.2">
      <c r="G33" s="9"/>
    </row>
    <row r="34" spans="7:7" ht="13.2">
      <c r="G34" s="9"/>
    </row>
    <row r="35" spans="7:7" ht="13.2">
      <c r="G35" s="9"/>
    </row>
    <row r="36" spans="7:7" ht="13.2">
      <c r="G36" s="9"/>
    </row>
    <row r="37" spans="7:7" ht="13.2">
      <c r="G37" s="9"/>
    </row>
    <row r="38" spans="7:7" ht="13.2">
      <c r="G38" s="9"/>
    </row>
    <row r="39" spans="7:7" ht="13.2">
      <c r="G39" s="9"/>
    </row>
    <row r="40" spans="7:7" ht="13.2">
      <c r="G40" s="9"/>
    </row>
    <row r="41" spans="7:7" ht="13.2">
      <c r="G41" s="9"/>
    </row>
    <row r="42" spans="7:7" ht="13.2">
      <c r="G42" s="9"/>
    </row>
    <row r="43" spans="7:7" ht="13.2">
      <c r="G43" s="9"/>
    </row>
    <row r="44" spans="7:7" ht="13.2">
      <c r="G44" s="9"/>
    </row>
    <row r="45" spans="7:7" ht="13.2">
      <c r="G45" s="9"/>
    </row>
    <row r="46" spans="7:7" ht="13.2">
      <c r="G46" s="9"/>
    </row>
    <row r="47" spans="7:7" ht="13.2">
      <c r="G47" s="9"/>
    </row>
    <row r="48" spans="7:7" ht="13.2">
      <c r="G48" s="9"/>
    </row>
    <row r="49" spans="7:7" ht="13.2">
      <c r="G49" s="9"/>
    </row>
    <row r="50" spans="7:7" ht="13.2">
      <c r="G50" s="9"/>
    </row>
    <row r="51" spans="7:7" ht="13.2">
      <c r="G51" s="9"/>
    </row>
    <row r="52" spans="7:7" ht="13.2">
      <c r="G52" s="9"/>
    </row>
    <row r="53" spans="7:7" ht="13.2">
      <c r="G53" s="9"/>
    </row>
    <row r="54" spans="7:7" ht="13.2">
      <c r="G54" s="9"/>
    </row>
    <row r="55" spans="7:7" ht="13.2">
      <c r="G55" s="9"/>
    </row>
    <row r="56" spans="7:7" ht="13.2">
      <c r="G56" s="9"/>
    </row>
    <row r="57" spans="7:7" ht="13.2">
      <c r="G57" s="9"/>
    </row>
    <row r="58" spans="7:7" ht="13.2">
      <c r="G58" s="9"/>
    </row>
    <row r="59" spans="7:7" ht="13.2">
      <c r="G59" s="9"/>
    </row>
    <row r="60" spans="7:7" ht="13.2">
      <c r="G60" s="9"/>
    </row>
    <row r="61" spans="7:7" ht="13.2">
      <c r="G61" s="9"/>
    </row>
    <row r="62" spans="7:7" ht="13.2">
      <c r="G62" s="9"/>
    </row>
    <row r="63" spans="7:7" ht="13.2">
      <c r="G63" s="9"/>
    </row>
    <row r="64" spans="7:7" ht="13.2">
      <c r="G64" s="9"/>
    </row>
    <row r="65" spans="7:7" ht="13.2">
      <c r="G65" s="9"/>
    </row>
    <row r="66" spans="7:7" ht="13.2">
      <c r="G66" s="9"/>
    </row>
    <row r="67" spans="7:7" ht="13.2">
      <c r="G67" s="9"/>
    </row>
    <row r="68" spans="7:7" ht="13.2">
      <c r="G68" s="9"/>
    </row>
    <row r="69" spans="7:7" ht="13.2">
      <c r="G69" s="9"/>
    </row>
    <row r="70" spans="7:7" ht="13.2">
      <c r="G70" s="9"/>
    </row>
    <row r="71" spans="7:7" ht="13.2">
      <c r="G71" s="9"/>
    </row>
    <row r="72" spans="7:7" ht="13.2">
      <c r="G72" s="9"/>
    </row>
    <row r="73" spans="7:7" ht="13.2">
      <c r="G73" s="9"/>
    </row>
    <row r="74" spans="7:7" ht="13.2">
      <c r="G74" s="9"/>
    </row>
    <row r="75" spans="7:7" ht="13.2">
      <c r="G75" s="9"/>
    </row>
    <row r="76" spans="7:7" ht="13.2">
      <c r="G76" s="9"/>
    </row>
    <row r="77" spans="7:7" ht="13.2">
      <c r="G77" s="9"/>
    </row>
    <row r="78" spans="7:7" ht="13.2">
      <c r="G78" s="9"/>
    </row>
    <row r="79" spans="7:7" ht="13.2">
      <c r="G79" s="9"/>
    </row>
    <row r="80" spans="7:7" ht="13.2">
      <c r="G80" s="9"/>
    </row>
    <row r="81" spans="7:7" ht="13.2">
      <c r="G81" s="9"/>
    </row>
    <row r="82" spans="7:7" ht="13.2">
      <c r="G82" s="9"/>
    </row>
    <row r="83" spans="7:7" ht="13.2">
      <c r="G83" s="9"/>
    </row>
    <row r="84" spans="7:7" ht="13.2">
      <c r="G84" s="9"/>
    </row>
    <row r="85" spans="7:7" ht="13.2">
      <c r="G85" s="9"/>
    </row>
    <row r="86" spans="7:7" ht="13.2">
      <c r="G86" s="9"/>
    </row>
    <row r="87" spans="7:7" ht="13.2">
      <c r="G87" s="9"/>
    </row>
    <row r="88" spans="7:7" ht="13.2">
      <c r="G88" s="9"/>
    </row>
    <row r="89" spans="7:7" ht="13.2">
      <c r="G89" s="9"/>
    </row>
    <row r="90" spans="7:7" ht="13.2">
      <c r="G90" s="9"/>
    </row>
    <row r="91" spans="7:7" ht="13.2">
      <c r="G91" s="9"/>
    </row>
    <row r="92" spans="7:7" ht="13.2">
      <c r="G92" s="9"/>
    </row>
    <row r="93" spans="7:7" ht="13.2">
      <c r="G93" s="9"/>
    </row>
    <row r="94" spans="7:7" ht="13.2">
      <c r="G94" s="9"/>
    </row>
    <row r="95" spans="7:7" ht="13.2">
      <c r="G95" s="9"/>
    </row>
    <row r="96" spans="7:7" ht="13.2">
      <c r="G96" s="9"/>
    </row>
    <row r="97" spans="7:7" ht="13.2">
      <c r="G97" s="9"/>
    </row>
    <row r="98" spans="7:7" ht="13.2">
      <c r="G98" s="9"/>
    </row>
    <row r="99" spans="7:7" ht="13.2">
      <c r="G99" s="9"/>
    </row>
    <row r="100" spans="7:7" ht="13.2">
      <c r="G100" s="9"/>
    </row>
    <row r="101" spans="7:7" ht="13.2">
      <c r="G101" s="9"/>
    </row>
    <row r="102" spans="7:7" ht="13.2">
      <c r="G102" s="9"/>
    </row>
    <row r="103" spans="7:7" ht="13.2">
      <c r="G103" s="9"/>
    </row>
    <row r="104" spans="7:7" ht="13.2">
      <c r="G104" s="9"/>
    </row>
    <row r="105" spans="7:7" ht="13.2">
      <c r="G105" s="9"/>
    </row>
    <row r="106" spans="7:7" ht="13.2">
      <c r="G106" s="9"/>
    </row>
    <row r="107" spans="7:7" ht="13.2">
      <c r="G107" s="9"/>
    </row>
    <row r="108" spans="7:7" ht="13.2">
      <c r="G108" s="9"/>
    </row>
    <row r="109" spans="7:7" ht="13.2">
      <c r="G109" s="9"/>
    </row>
    <row r="110" spans="7:7" ht="13.2">
      <c r="G110" s="9"/>
    </row>
    <row r="111" spans="7:7" ht="13.2">
      <c r="G111" s="9"/>
    </row>
    <row r="112" spans="7:7" ht="13.2">
      <c r="G112" s="9"/>
    </row>
    <row r="113" spans="7:7" ht="13.2">
      <c r="G113" s="9"/>
    </row>
    <row r="114" spans="7:7" ht="13.2">
      <c r="G114" s="9"/>
    </row>
    <row r="115" spans="7:7" ht="13.2">
      <c r="G115" s="9"/>
    </row>
    <row r="116" spans="7:7" ht="13.2">
      <c r="G116" s="9"/>
    </row>
    <row r="117" spans="7:7" ht="13.2">
      <c r="G117" s="9"/>
    </row>
    <row r="118" spans="7:7" ht="13.2">
      <c r="G118" s="9"/>
    </row>
    <row r="119" spans="7:7" ht="13.2">
      <c r="G119" s="9"/>
    </row>
    <row r="120" spans="7:7" ht="13.2">
      <c r="G120" s="9"/>
    </row>
    <row r="121" spans="7:7" ht="13.2">
      <c r="G121" s="9"/>
    </row>
    <row r="122" spans="7:7" ht="13.2">
      <c r="G122" s="9"/>
    </row>
    <row r="123" spans="7:7" ht="13.2">
      <c r="G123" s="9"/>
    </row>
    <row r="124" spans="7:7" ht="13.2">
      <c r="G124" s="9"/>
    </row>
    <row r="125" spans="7:7" ht="13.2">
      <c r="G125" s="9"/>
    </row>
    <row r="126" spans="7:7" ht="13.2">
      <c r="G126" s="9"/>
    </row>
    <row r="127" spans="7:7" ht="13.2">
      <c r="G127" s="9"/>
    </row>
    <row r="128" spans="7:7" ht="13.2">
      <c r="G128" s="9"/>
    </row>
    <row r="129" spans="7:7" ht="13.2">
      <c r="G129" s="9"/>
    </row>
    <row r="130" spans="7:7" ht="13.2">
      <c r="G130" s="9"/>
    </row>
    <row r="131" spans="7:7" ht="13.2">
      <c r="G131" s="9"/>
    </row>
    <row r="132" spans="7:7" ht="13.2">
      <c r="G132" s="9"/>
    </row>
    <row r="133" spans="7:7" ht="13.2">
      <c r="G133" s="9"/>
    </row>
    <row r="134" spans="7:7" ht="13.2">
      <c r="G134" s="9"/>
    </row>
    <row r="135" spans="7:7" ht="13.2">
      <c r="G135" s="9"/>
    </row>
    <row r="136" spans="7:7" ht="13.2">
      <c r="G136" s="9"/>
    </row>
    <row r="137" spans="7:7" ht="13.2">
      <c r="G137" s="9"/>
    </row>
    <row r="138" spans="7:7" ht="13.2">
      <c r="G138" s="9"/>
    </row>
    <row r="139" spans="7:7" ht="13.2">
      <c r="G139" s="9"/>
    </row>
    <row r="140" spans="7:7" ht="13.2">
      <c r="G140" s="9"/>
    </row>
    <row r="141" spans="7:7" ht="13.2">
      <c r="G141" s="9"/>
    </row>
    <row r="142" spans="7:7" ht="13.2">
      <c r="G142" s="9"/>
    </row>
    <row r="143" spans="7:7" ht="13.2">
      <c r="G143" s="9"/>
    </row>
    <row r="144" spans="7:7" ht="13.2">
      <c r="G144" s="9"/>
    </row>
    <row r="145" spans="7:7" ht="13.2">
      <c r="G145" s="9"/>
    </row>
    <row r="146" spans="7:7" ht="13.2">
      <c r="G146" s="9"/>
    </row>
    <row r="147" spans="7:7" ht="13.2">
      <c r="G147" s="9"/>
    </row>
    <row r="148" spans="7:7" ht="13.2">
      <c r="G148" s="9"/>
    </row>
    <row r="149" spans="7:7" ht="13.2">
      <c r="G149" s="9"/>
    </row>
    <row r="150" spans="7:7" ht="13.2">
      <c r="G150" s="9"/>
    </row>
    <row r="151" spans="7:7" ht="13.2">
      <c r="G151" s="9"/>
    </row>
    <row r="152" spans="7:7" ht="13.2">
      <c r="G152" s="9"/>
    </row>
    <row r="153" spans="7:7" ht="13.2">
      <c r="G153" s="9"/>
    </row>
    <row r="154" spans="7:7" ht="13.2">
      <c r="G154" s="9"/>
    </row>
    <row r="155" spans="7:7" ht="13.2">
      <c r="G155" s="9"/>
    </row>
    <row r="156" spans="7:7" ht="13.2">
      <c r="G156" s="9"/>
    </row>
    <row r="157" spans="7:7" ht="13.2">
      <c r="G157" s="9"/>
    </row>
    <row r="158" spans="7:7" ht="13.2">
      <c r="G158" s="9"/>
    </row>
    <row r="159" spans="7:7" ht="13.2">
      <c r="G159" s="9"/>
    </row>
    <row r="160" spans="7:7" ht="13.2">
      <c r="G160" s="9"/>
    </row>
    <row r="161" spans="7:7" ht="13.2">
      <c r="G161" s="9"/>
    </row>
    <row r="162" spans="7:7" ht="13.2">
      <c r="G162" s="9"/>
    </row>
    <row r="163" spans="7:7" ht="13.2">
      <c r="G163" s="9"/>
    </row>
    <row r="164" spans="7:7" ht="13.2">
      <c r="G164" s="9"/>
    </row>
    <row r="165" spans="7:7" ht="13.2">
      <c r="G165" s="9"/>
    </row>
    <row r="166" spans="7:7" ht="13.2">
      <c r="G166" s="9"/>
    </row>
    <row r="167" spans="7:7" ht="13.2">
      <c r="G167" s="9"/>
    </row>
    <row r="168" spans="7:7" ht="13.2">
      <c r="G168" s="9"/>
    </row>
    <row r="169" spans="7:7" ht="13.2">
      <c r="G169" s="9"/>
    </row>
    <row r="170" spans="7:7" ht="13.2">
      <c r="G170" s="9"/>
    </row>
    <row r="171" spans="7:7" ht="13.2">
      <c r="G171" s="9"/>
    </row>
    <row r="172" spans="7:7" ht="13.2">
      <c r="G172" s="9"/>
    </row>
    <row r="173" spans="7:7" ht="13.2">
      <c r="G173" s="9"/>
    </row>
    <row r="174" spans="7:7" ht="13.2">
      <c r="G174" s="9"/>
    </row>
    <row r="175" spans="7:7" ht="13.2">
      <c r="G175" s="9"/>
    </row>
    <row r="176" spans="7:7" ht="13.2">
      <c r="G176" s="9"/>
    </row>
    <row r="177" spans="7:7" ht="13.2">
      <c r="G177" s="9"/>
    </row>
    <row r="178" spans="7:7" ht="13.2">
      <c r="G178" s="9"/>
    </row>
    <row r="179" spans="7:7" ht="13.2">
      <c r="G179" s="9"/>
    </row>
    <row r="180" spans="7:7" ht="13.2">
      <c r="G180" s="9"/>
    </row>
    <row r="181" spans="7:7" ht="13.2">
      <c r="G181" s="9"/>
    </row>
    <row r="182" spans="7:7" ht="13.2">
      <c r="G182" s="9"/>
    </row>
    <row r="183" spans="7:7" ht="13.2">
      <c r="G183" s="9"/>
    </row>
    <row r="184" spans="7:7" ht="13.2">
      <c r="G184" s="9"/>
    </row>
    <row r="185" spans="7:7" ht="13.2">
      <c r="G185" s="9"/>
    </row>
    <row r="186" spans="7:7" ht="13.2">
      <c r="G186" s="9"/>
    </row>
    <row r="187" spans="7:7" ht="13.2">
      <c r="G187" s="9"/>
    </row>
    <row r="188" spans="7:7" ht="13.2">
      <c r="G188" s="9"/>
    </row>
    <row r="189" spans="7:7" ht="13.2">
      <c r="G189" s="9"/>
    </row>
    <row r="190" spans="7:7" ht="13.2">
      <c r="G190" s="9"/>
    </row>
    <row r="191" spans="7:7" ht="13.2">
      <c r="G191" s="9"/>
    </row>
    <row r="192" spans="7:7" ht="13.2">
      <c r="G192" s="9"/>
    </row>
    <row r="193" spans="7:7" ht="13.2">
      <c r="G193" s="9"/>
    </row>
    <row r="194" spans="7:7" ht="13.2">
      <c r="G194" s="9"/>
    </row>
    <row r="195" spans="7:7" ht="13.2">
      <c r="G195" s="9"/>
    </row>
    <row r="196" spans="7:7" ht="13.2">
      <c r="G196" s="9"/>
    </row>
    <row r="197" spans="7:7" ht="13.2">
      <c r="G197" s="9"/>
    </row>
    <row r="198" spans="7:7" ht="13.2">
      <c r="G198" s="9"/>
    </row>
    <row r="199" spans="7:7" ht="13.2">
      <c r="G199" s="9"/>
    </row>
    <row r="200" spans="7:7" ht="13.2">
      <c r="G200" s="9"/>
    </row>
    <row r="201" spans="7:7" ht="13.2">
      <c r="G201" s="9"/>
    </row>
    <row r="202" spans="7:7" ht="13.2">
      <c r="G202" s="9"/>
    </row>
    <row r="203" spans="7:7" ht="13.2">
      <c r="G203" s="9"/>
    </row>
    <row r="204" spans="7:7" ht="13.2">
      <c r="G204" s="9"/>
    </row>
    <row r="205" spans="7:7" ht="13.2">
      <c r="G205" s="9"/>
    </row>
    <row r="206" spans="7:7" ht="13.2">
      <c r="G206" s="9"/>
    </row>
    <row r="207" spans="7:7" ht="13.2">
      <c r="G207" s="9"/>
    </row>
    <row r="208" spans="7:7" ht="13.2">
      <c r="G208" s="9"/>
    </row>
    <row r="209" spans="7:7" ht="13.2">
      <c r="G209" s="9"/>
    </row>
    <row r="210" spans="7:7" ht="13.2">
      <c r="G210" s="9"/>
    </row>
    <row r="211" spans="7:7" ht="13.2">
      <c r="G211" s="9"/>
    </row>
    <row r="212" spans="7:7" ht="13.2">
      <c r="G212" s="9"/>
    </row>
    <row r="213" spans="7:7" ht="13.2">
      <c r="G213" s="9"/>
    </row>
    <row r="214" spans="7:7" ht="13.2">
      <c r="G214" s="9"/>
    </row>
    <row r="215" spans="7:7" ht="13.2">
      <c r="G215" s="9"/>
    </row>
    <row r="216" spans="7:7" ht="13.2">
      <c r="G216" s="9"/>
    </row>
    <row r="217" spans="7:7" ht="13.2">
      <c r="G217" s="9"/>
    </row>
    <row r="218" spans="7:7" ht="13.2">
      <c r="G218" s="9"/>
    </row>
    <row r="219" spans="7:7" ht="13.2">
      <c r="G219" s="9"/>
    </row>
    <row r="220" spans="7:7" ht="13.2">
      <c r="G220" s="9"/>
    </row>
    <row r="221" spans="7:7" ht="13.2">
      <c r="G221" s="9"/>
    </row>
    <row r="222" spans="7:7" ht="13.2">
      <c r="G222" s="9"/>
    </row>
    <row r="223" spans="7:7" ht="13.2">
      <c r="G223" s="9"/>
    </row>
    <row r="224" spans="7:7" ht="13.2">
      <c r="G224" s="9"/>
    </row>
    <row r="225" spans="7:7" ht="13.2">
      <c r="G225" s="9"/>
    </row>
    <row r="226" spans="7:7" ht="13.2">
      <c r="G226" s="9"/>
    </row>
    <row r="227" spans="7:7" ht="13.2">
      <c r="G227" s="9"/>
    </row>
    <row r="228" spans="7:7" ht="13.2">
      <c r="G228" s="9"/>
    </row>
    <row r="229" spans="7:7" ht="13.2">
      <c r="G229" s="9"/>
    </row>
    <row r="230" spans="7:7" ht="13.2">
      <c r="G230" s="9"/>
    </row>
    <row r="231" spans="7:7" ht="13.2">
      <c r="G231" s="9"/>
    </row>
    <row r="232" spans="7:7" ht="13.2">
      <c r="G232" s="9"/>
    </row>
    <row r="233" spans="7:7" ht="13.2">
      <c r="G233" s="9"/>
    </row>
    <row r="234" spans="7:7" ht="13.2">
      <c r="G234" s="9"/>
    </row>
    <row r="235" spans="7:7" ht="13.2">
      <c r="G235" s="9"/>
    </row>
    <row r="236" spans="7:7" ht="13.2">
      <c r="G236" s="9"/>
    </row>
    <row r="237" spans="7:7" ht="13.2">
      <c r="G237" s="9"/>
    </row>
    <row r="238" spans="7:7" ht="13.2">
      <c r="G238" s="9"/>
    </row>
    <row r="239" spans="7:7" ht="13.2">
      <c r="G239" s="9"/>
    </row>
    <row r="240" spans="7:7" ht="13.2">
      <c r="G240" s="9"/>
    </row>
    <row r="241" spans="7:7" ht="13.2">
      <c r="G241" s="9"/>
    </row>
    <row r="242" spans="7:7" ht="13.2">
      <c r="G242" s="9"/>
    </row>
    <row r="243" spans="7:7" ht="13.2">
      <c r="G243" s="9"/>
    </row>
    <row r="244" spans="7:7" ht="13.2">
      <c r="G244" s="9"/>
    </row>
    <row r="245" spans="7:7" ht="13.2">
      <c r="G245" s="9"/>
    </row>
    <row r="246" spans="7:7" ht="13.2">
      <c r="G246" s="9"/>
    </row>
    <row r="247" spans="7:7" ht="13.2">
      <c r="G247" s="9"/>
    </row>
    <row r="248" spans="7:7" ht="13.2">
      <c r="G248" s="9"/>
    </row>
    <row r="249" spans="7:7" ht="13.2">
      <c r="G249" s="9"/>
    </row>
    <row r="250" spans="7:7" ht="13.2">
      <c r="G250" s="9"/>
    </row>
    <row r="251" spans="7:7" ht="13.2">
      <c r="G251" s="9"/>
    </row>
    <row r="252" spans="7:7" ht="13.2">
      <c r="G252" s="9"/>
    </row>
    <row r="253" spans="7:7" ht="13.2">
      <c r="G253" s="9"/>
    </row>
    <row r="254" spans="7:7" ht="13.2">
      <c r="G254" s="9"/>
    </row>
    <row r="255" spans="7:7" ht="13.2">
      <c r="G255" s="9"/>
    </row>
    <row r="256" spans="7:7" ht="13.2">
      <c r="G256" s="9"/>
    </row>
    <row r="257" spans="7:7" ht="13.2">
      <c r="G257" s="9"/>
    </row>
    <row r="258" spans="7:7" ht="13.2">
      <c r="G258" s="9"/>
    </row>
    <row r="259" spans="7:7" ht="13.2">
      <c r="G259" s="9"/>
    </row>
    <row r="260" spans="7:7" ht="13.2">
      <c r="G260" s="9"/>
    </row>
    <row r="261" spans="7:7" ht="13.2">
      <c r="G261" s="9"/>
    </row>
    <row r="262" spans="7:7" ht="13.2">
      <c r="G262" s="9"/>
    </row>
    <row r="263" spans="7:7" ht="13.2">
      <c r="G263" s="9"/>
    </row>
    <row r="264" spans="7:7" ht="13.2">
      <c r="G264" s="9"/>
    </row>
    <row r="265" spans="7:7" ht="13.2">
      <c r="G265" s="9"/>
    </row>
    <row r="266" spans="7:7" ht="13.2">
      <c r="G266" s="9"/>
    </row>
    <row r="267" spans="7:7" ht="13.2">
      <c r="G267" s="9"/>
    </row>
    <row r="268" spans="7:7" ht="13.2">
      <c r="G268" s="9"/>
    </row>
    <row r="269" spans="7:7" ht="13.2">
      <c r="G269" s="9"/>
    </row>
    <row r="270" spans="7:7" ht="13.2">
      <c r="G270" s="9"/>
    </row>
    <row r="271" spans="7:7" ht="13.2">
      <c r="G271" s="9"/>
    </row>
    <row r="272" spans="7:7" ht="13.2">
      <c r="G272" s="9"/>
    </row>
    <row r="273" spans="7:7" ht="13.2">
      <c r="G273" s="9"/>
    </row>
    <row r="274" spans="7:7" ht="13.2">
      <c r="G274" s="9"/>
    </row>
    <row r="275" spans="7:7" ht="13.2">
      <c r="G275" s="9"/>
    </row>
    <row r="276" spans="7:7" ht="13.2">
      <c r="G276" s="9"/>
    </row>
    <row r="277" spans="7:7" ht="13.2">
      <c r="G277" s="9"/>
    </row>
    <row r="278" spans="7:7" ht="13.2">
      <c r="G278" s="9"/>
    </row>
    <row r="279" spans="7:7" ht="13.2">
      <c r="G279" s="9"/>
    </row>
    <row r="280" spans="7:7" ht="13.2">
      <c r="G280" s="9"/>
    </row>
    <row r="281" spans="7:7" ht="13.2">
      <c r="G281" s="9"/>
    </row>
    <row r="282" spans="7:7" ht="13.2">
      <c r="G282" s="9"/>
    </row>
    <row r="283" spans="7:7" ht="13.2">
      <c r="G283" s="9"/>
    </row>
    <row r="284" spans="7:7" ht="13.2">
      <c r="G284" s="9"/>
    </row>
    <row r="285" spans="7:7" ht="13.2">
      <c r="G285" s="9"/>
    </row>
    <row r="286" spans="7:7" ht="13.2">
      <c r="G286" s="9"/>
    </row>
    <row r="287" spans="7:7" ht="13.2">
      <c r="G287" s="9"/>
    </row>
    <row r="288" spans="7:7" ht="13.2">
      <c r="G288" s="9"/>
    </row>
    <row r="289" spans="7:7" ht="13.2">
      <c r="G289" s="9"/>
    </row>
    <row r="290" spans="7:7" ht="13.2">
      <c r="G290" s="9"/>
    </row>
    <row r="291" spans="7:7" ht="13.2">
      <c r="G291" s="9"/>
    </row>
    <row r="292" spans="7:7" ht="13.2">
      <c r="G292" s="9"/>
    </row>
    <row r="293" spans="7:7" ht="13.2">
      <c r="G293" s="9"/>
    </row>
    <row r="294" spans="7:7" ht="13.2">
      <c r="G294" s="9"/>
    </row>
    <row r="295" spans="7:7" ht="13.2">
      <c r="G295" s="9"/>
    </row>
    <row r="296" spans="7:7" ht="13.2">
      <c r="G296" s="9"/>
    </row>
    <row r="297" spans="7:7" ht="13.2">
      <c r="G297" s="9"/>
    </row>
    <row r="298" spans="7:7" ht="13.2">
      <c r="G298" s="9"/>
    </row>
    <row r="299" spans="7:7" ht="13.2">
      <c r="G299" s="9"/>
    </row>
    <row r="300" spans="7:7" ht="13.2">
      <c r="G300" s="9"/>
    </row>
    <row r="301" spans="7:7" ht="13.2">
      <c r="G301" s="9"/>
    </row>
    <row r="302" spans="7:7" ht="13.2">
      <c r="G302" s="9"/>
    </row>
    <row r="303" spans="7:7" ht="13.2">
      <c r="G303" s="9"/>
    </row>
    <row r="304" spans="7:7" ht="13.2">
      <c r="G304" s="9"/>
    </row>
    <row r="305" spans="7:7" ht="13.2">
      <c r="G305" s="9"/>
    </row>
    <row r="306" spans="7:7" ht="13.2">
      <c r="G306" s="9"/>
    </row>
    <row r="307" spans="7:7" ht="13.2">
      <c r="G307" s="9"/>
    </row>
    <row r="308" spans="7:7" ht="13.2">
      <c r="G308" s="9"/>
    </row>
    <row r="309" spans="7:7" ht="13.2">
      <c r="G309" s="9"/>
    </row>
    <row r="310" spans="7:7" ht="13.2">
      <c r="G310" s="9"/>
    </row>
    <row r="311" spans="7:7" ht="13.2">
      <c r="G311" s="9"/>
    </row>
    <row r="312" spans="7:7" ht="13.2">
      <c r="G312" s="9"/>
    </row>
    <row r="313" spans="7:7" ht="13.2">
      <c r="G313" s="9"/>
    </row>
    <row r="314" spans="7:7" ht="13.2">
      <c r="G314" s="9"/>
    </row>
    <row r="315" spans="7:7" ht="13.2">
      <c r="G315" s="9"/>
    </row>
    <row r="316" spans="7:7" ht="13.2">
      <c r="G316" s="9"/>
    </row>
    <row r="317" spans="7:7" ht="13.2">
      <c r="G317" s="9"/>
    </row>
    <row r="318" spans="7:7" ht="13.2">
      <c r="G318" s="9"/>
    </row>
    <row r="319" spans="7:7" ht="13.2">
      <c r="G319" s="9"/>
    </row>
    <row r="320" spans="7:7" ht="13.2">
      <c r="G320" s="9"/>
    </row>
    <row r="321" spans="7:7" ht="13.2">
      <c r="G321" s="9"/>
    </row>
    <row r="322" spans="7:7" ht="13.2">
      <c r="G322" s="9"/>
    </row>
    <row r="323" spans="7:7" ht="13.2">
      <c r="G323" s="9"/>
    </row>
    <row r="324" spans="7:7" ht="13.2">
      <c r="G324" s="9"/>
    </row>
    <row r="325" spans="7:7" ht="13.2">
      <c r="G325" s="9"/>
    </row>
    <row r="326" spans="7:7" ht="13.2">
      <c r="G326" s="9"/>
    </row>
    <row r="327" spans="7:7" ht="13.2">
      <c r="G327" s="9"/>
    </row>
    <row r="328" spans="7:7" ht="13.2">
      <c r="G328" s="9"/>
    </row>
    <row r="329" spans="7:7" ht="13.2">
      <c r="G329" s="9"/>
    </row>
    <row r="330" spans="7:7" ht="13.2">
      <c r="G330" s="9"/>
    </row>
    <row r="331" spans="7:7" ht="13.2">
      <c r="G331" s="9"/>
    </row>
    <row r="332" spans="7:7" ht="13.2">
      <c r="G332" s="9"/>
    </row>
    <row r="333" spans="7:7" ht="13.2">
      <c r="G333" s="9"/>
    </row>
    <row r="334" spans="7:7" ht="13.2">
      <c r="G334" s="9"/>
    </row>
    <row r="335" spans="7:7" ht="13.2">
      <c r="G335" s="9"/>
    </row>
    <row r="336" spans="7:7" ht="13.2">
      <c r="G336" s="9"/>
    </row>
    <row r="337" spans="7:7" ht="13.2">
      <c r="G337" s="9"/>
    </row>
    <row r="338" spans="7:7" ht="13.2">
      <c r="G338" s="9"/>
    </row>
    <row r="339" spans="7:7" ht="13.2">
      <c r="G339" s="9"/>
    </row>
    <row r="340" spans="7:7" ht="13.2">
      <c r="G340" s="9"/>
    </row>
    <row r="341" spans="7:7" ht="13.2">
      <c r="G341" s="9"/>
    </row>
    <row r="342" spans="7:7" ht="13.2">
      <c r="G342" s="9"/>
    </row>
    <row r="343" spans="7:7" ht="13.2">
      <c r="G343" s="9"/>
    </row>
    <row r="344" spans="7:7" ht="13.2">
      <c r="G344" s="9"/>
    </row>
    <row r="345" spans="7:7" ht="13.2">
      <c r="G345" s="9"/>
    </row>
    <row r="346" spans="7:7" ht="13.2">
      <c r="G346" s="9"/>
    </row>
    <row r="347" spans="7:7" ht="13.2">
      <c r="G347" s="9"/>
    </row>
    <row r="348" spans="7:7" ht="13.2">
      <c r="G348" s="9"/>
    </row>
    <row r="349" spans="7:7" ht="13.2">
      <c r="G349" s="9"/>
    </row>
    <row r="350" spans="7:7" ht="13.2">
      <c r="G350" s="9"/>
    </row>
    <row r="351" spans="7:7" ht="13.2">
      <c r="G351" s="9"/>
    </row>
    <row r="352" spans="7:7" ht="13.2">
      <c r="G352" s="9"/>
    </row>
    <row r="353" spans="7:7" ht="13.2">
      <c r="G353" s="9"/>
    </row>
    <row r="354" spans="7:7" ht="13.2">
      <c r="G354" s="9"/>
    </row>
    <row r="355" spans="7:7" ht="13.2">
      <c r="G355" s="9"/>
    </row>
    <row r="356" spans="7:7" ht="13.2">
      <c r="G356" s="9"/>
    </row>
    <row r="357" spans="7:7" ht="13.2">
      <c r="G357" s="9"/>
    </row>
    <row r="358" spans="7:7" ht="13.2">
      <c r="G358" s="9"/>
    </row>
    <row r="359" spans="7:7" ht="13.2">
      <c r="G359" s="9"/>
    </row>
    <row r="360" spans="7:7" ht="13.2">
      <c r="G360" s="9"/>
    </row>
    <row r="361" spans="7:7" ht="13.2">
      <c r="G361" s="9"/>
    </row>
    <row r="362" spans="7:7" ht="13.2">
      <c r="G362" s="9"/>
    </row>
    <row r="363" spans="7:7" ht="13.2">
      <c r="G363" s="9"/>
    </row>
    <row r="364" spans="7:7" ht="13.2">
      <c r="G364" s="9"/>
    </row>
    <row r="365" spans="7:7" ht="13.2">
      <c r="G365" s="9"/>
    </row>
    <row r="366" spans="7:7" ht="13.2">
      <c r="G366" s="9"/>
    </row>
    <row r="367" spans="7:7" ht="13.2">
      <c r="G367" s="9"/>
    </row>
    <row r="368" spans="7:7" ht="13.2">
      <c r="G368" s="9"/>
    </row>
    <row r="369" spans="7:7" ht="13.2">
      <c r="G369" s="9"/>
    </row>
    <row r="370" spans="7:7" ht="13.2">
      <c r="G370" s="9"/>
    </row>
    <row r="371" spans="7:7" ht="13.2">
      <c r="G371" s="9"/>
    </row>
    <row r="372" spans="7:7" ht="13.2">
      <c r="G372" s="9"/>
    </row>
    <row r="373" spans="7:7" ht="13.2">
      <c r="G373" s="9"/>
    </row>
    <row r="374" spans="7:7" ht="13.2">
      <c r="G374" s="9"/>
    </row>
    <row r="375" spans="7:7" ht="13.2">
      <c r="G375" s="9"/>
    </row>
    <row r="376" spans="7:7" ht="13.2">
      <c r="G376" s="9"/>
    </row>
    <row r="377" spans="7:7" ht="13.2">
      <c r="G377" s="9"/>
    </row>
    <row r="378" spans="7:7" ht="13.2">
      <c r="G378" s="9"/>
    </row>
    <row r="379" spans="7:7" ht="13.2">
      <c r="G379" s="9"/>
    </row>
    <row r="380" spans="7:7" ht="13.2">
      <c r="G380" s="9"/>
    </row>
    <row r="381" spans="7:7" ht="13.2">
      <c r="G381" s="9"/>
    </row>
    <row r="382" spans="7:7" ht="13.2">
      <c r="G382" s="9"/>
    </row>
    <row r="383" spans="7:7" ht="13.2">
      <c r="G383" s="9"/>
    </row>
    <row r="384" spans="7:7" ht="13.2">
      <c r="G384" s="9"/>
    </row>
    <row r="385" spans="7:7" ht="13.2">
      <c r="G385" s="9"/>
    </row>
    <row r="386" spans="7:7" ht="13.2">
      <c r="G386" s="9"/>
    </row>
    <row r="387" spans="7:7" ht="13.2">
      <c r="G387" s="9"/>
    </row>
    <row r="388" spans="7:7" ht="13.2">
      <c r="G388" s="9"/>
    </row>
    <row r="389" spans="7:7" ht="13.2">
      <c r="G389" s="9"/>
    </row>
    <row r="390" spans="7:7" ht="13.2">
      <c r="G390" s="9"/>
    </row>
    <row r="391" spans="7:7" ht="13.2">
      <c r="G391" s="9"/>
    </row>
    <row r="392" spans="7:7" ht="13.2">
      <c r="G392" s="9"/>
    </row>
    <row r="393" spans="7:7" ht="13.2">
      <c r="G393" s="9"/>
    </row>
    <row r="394" spans="7:7" ht="13.2">
      <c r="G394" s="9"/>
    </row>
    <row r="395" spans="7:7" ht="13.2">
      <c r="G395" s="9"/>
    </row>
    <row r="396" spans="7:7" ht="13.2">
      <c r="G396" s="9"/>
    </row>
    <row r="397" spans="7:7" ht="13.2">
      <c r="G397" s="9"/>
    </row>
    <row r="398" spans="7:7" ht="13.2">
      <c r="G398" s="9"/>
    </row>
    <row r="399" spans="7:7" ht="13.2">
      <c r="G399" s="9"/>
    </row>
    <row r="400" spans="7:7" ht="13.2">
      <c r="G400" s="9"/>
    </row>
    <row r="401" spans="7:7" ht="13.2">
      <c r="G401" s="9"/>
    </row>
    <row r="402" spans="7:7" ht="13.2">
      <c r="G402" s="9"/>
    </row>
    <row r="403" spans="7:7" ht="13.2">
      <c r="G403" s="9"/>
    </row>
    <row r="404" spans="7:7" ht="13.2">
      <c r="G404" s="9"/>
    </row>
    <row r="405" spans="7:7" ht="13.2">
      <c r="G405" s="9"/>
    </row>
    <row r="406" spans="7:7" ht="13.2">
      <c r="G406" s="9"/>
    </row>
    <row r="407" spans="7:7" ht="13.2">
      <c r="G407" s="9"/>
    </row>
    <row r="408" spans="7:7" ht="13.2">
      <c r="G408" s="9"/>
    </row>
    <row r="409" spans="7:7" ht="13.2">
      <c r="G409" s="9"/>
    </row>
    <row r="410" spans="7:7" ht="13.2">
      <c r="G410" s="9"/>
    </row>
    <row r="411" spans="7:7" ht="13.2">
      <c r="G411" s="9"/>
    </row>
    <row r="412" spans="7:7" ht="13.2">
      <c r="G412" s="9"/>
    </row>
    <row r="413" spans="7:7" ht="13.2">
      <c r="G413" s="9"/>
    </row>
    <row r="414" spans="7:7" ht="13.2">
      <c r="G414" s="9"/>
    </row>
    <row r="415" spans="7:7" ht="13.2">
      <c r="G415" s="9"/>
    </row>
    <row r="416" spans="7:7" ht="13.2">
      <c r="G416" s="9"/>
    </row>
    <row r="417" spans="7:7" ht="13.2">
      <c r="G417" s="9"/>
    </row>
    <row r="418" spans="7:7" ht="13.2">
      <c r="G418" s="9"/>
    </row>
    <row r="419" spans="7:7" ht="13.2">
      <c r="G419" s="9"/>
    </row>
    <row r="420" spans="7:7" ht="13.2">
      <c r="G420" s="9"/>
    </row>
    <row r="421" spans="7:7" ht="13.2">
      <c r="G421" s="9"/>
    </row>
    <row r="422" spans="7:7" ht="13.2">
      <c r="G422" s="9"/>
    </row>
    <row r="423" spans="7:7" ht="13.2">
      <c r="G423" s="9"/>
    </row>
    <row r="424" spans="7:7" ht="13.2">
      <c r="G424" s="9"/>
    </row>
    <row r="425" spans="7:7" ht="13.2">
      <c r="G425" s="9"/>
    </row>
    <row r="426" spans="7:7" ht="13.2">
      <c r="G426" s="9"/>
    </row>
    <row r="427" spans="7:7" ht="13.2">
      <c r="G427" s="9"/>
    </row>
    <row r="428" spans="7:7" ht="13.2">
      <c r="G428" s="9"/>
    </row>
    <row r="429" spans="7:7" ht="13.2">
      <c r="G429" s="9"/>
    </row>
    <row r="430" spans="7:7" ht="13.2">
      <c r="G430" s="9"/>
    </row>
    <row r="431" spans="7:7" ht="13.2">
      <c r="G431" s="9"/>
    </row>
    <row r="432" spans="7:7" ht="13.2">
      <c r="G432" s="9"/>
    </row>
    <row r="433" spans="7:7" ht="13.2">
      <c r="G433" s="9"/>
    </row>
    <row r="434" spans="7:7" ht="13.2">
      <c r="G434" s="9"/>
    </row>
    <row r="435" spans="7:7" ht="13.2">
      <c r="G435" s="9"/>
    </row>
    <row r="436" spans="7:7" ht="13.2">
      <c r="G436" s="9"/>
    </row>
    <row r="437" spans="7:7" ht="13.2">
      <c r="G437" s="9"/>
    </row>
    <row r="438" spans="7:7" ht="13.2">
      <c r="G438" s="9"/>
    </row>
    <row r="439" spans="7:7" ht="13.2">
      <c r="G439" s="9"/>
    </row>
    <row r="440" spans="7:7" ht="13.2">
      <c r="G440" s="9"/>
    </row>
    <row r="441" spans="7:7" ht="13.2">
      <c r="G441" s="9"/>
    </row>
    <row r="442" spans="7:7" ht="13.2">
      <c r="G442" s="9"/>
    </row>
    <row r="443" spans="7:7" ht="13.2">
      <c r="G443" s="9"/>
    </row>
    <row r="444" spans="7:7" ht="13.2">
      <c r="G444" s="9"/>
    </row>
    <row r="445" spans="7:7" ht="13.2">
      <c r="G445" s="9"/>
    </row>
    <row r="446" spans="7:7" ht="13.2">
      <c r="G446" s="9"/>
    </row>
    <row r="447" spans="7:7" ht="13.2">
      <c r="G447" s="9"/>
    </row>
    <row r="448" spans="7:7" ht="13.2">
      <c r="G448" s="9"/>
    </row>
    <row r="449" spans="7:7" ht="13.2">
      <c r="G449" s="9"/>
    </row>
    <row r="450" spans="7:7" ht="13.2">
      <c r="G450" s="9"/>
    </row>
    <row r="451" spans="7:7" ht="13.2">
      <c r="G451" s="9"/>
    </row>
    <row r="452" spans="7:7" ht="13.2">
      <c r="G452" s="9"/>
    </row>
    <row r="453" spans="7:7" ht="13.2">
      <c r="G453" s="9"/>
    </row>
    <row r="454" spans="7:7" ht="13.2">
      <c r="G454" s="9"/>
    </row>
    <row r="455" spans="7:7" ht="13.2">
      <c r="G455" s="9"/>
    </row>
    <row r="456" spans="7:7" ht="13.2">
      <c r="G456" s="9"/>
    </row>
    <row r="457" spans="7:7" ht="13.2">
      <c r="G457" s="9"/>
    </row>
    <row r="458" spans="7:7" ht="13.2">
      <c r="G458" s="9"/>
    </row>
    <row r="459" spans="7:7" ht="13.2">
      <c r="G459" s="9"/>
    </row>
    <row r="460" spans="7:7" ht="13.2">
      <c r="G460" s="9"/>
    </row>
    <row r="461" spans="7:7" ht="13.2">
      <c r="G461" s="9"/>
    </row>
    <row r="462" spans="7:7" ht="13.2">
      <c r="G462" s="9"/>
    </row>
    <row r="463" spans="7:7" ht="13.2">
      <c r="G463" s="9"/>
    </row>
    <row r="464" spans="7:7" ht="13.2">
      <c r="G464" s="9"/>
    </row>
    <row r="465" spans="7:7" ht="13.2">
      <c r="G465" s="9"/>
    </row>
    <row r="466" spans="7:7" ht="13.2">
      <c r="G466" s="9"/>
    </row>
    <row r="467" spans="7:7" ht="13.2">
      <c r="G467" s="9"/>
    </row>
    <row r="468" spans="7:7" ht="13.2">
      <c r="G468" s="9"/>
    </row>
    <row r="469" spans="7:7" ht="13.2">
      <c r="G469" s="9"/>
    </row>
    <row r="470" spans="7:7" ht="13.2">
      <c r="G470" s="9"/>
    </row>
    <row r="471" spans="7:7" ht="13.2">
      <c r="G471" s="9"/>
    </row>
    <row r="472" spans="7:7" ht="13.2">
      <c r="G472" s="9"/>
    </row>
    <row r="473" spans="7:7" ht="13.2">
      <c r="G473" s="9"/>
    </row>
    <row r="474" spans="7:7" ht="13.2">
      <c r="G474" s="9"/>
    </row>
    <row r="475" spans="7:7" ht="13.2">
      <c r="G475" s="9"/>
    </row>
    <row r="476" spans="7:7" ht="13.2">
      <c r="G476" s="9"/>
    </row>
    <row r="477" spans="7:7" ht="13.2">
      <c r="G477" s="9"/>
    </row>
    <row r="478" spans="7:7" ht="13.2">
      <c r="G478" s="9"/>
    </row>
    <row r="479" spans="7:7" ht="13.2">
      <c r="G479" s="9"/>
    </row>
    <row r="480" spans="7:7" ht="13.2">
      <c r="G480" s="9"/>
    </row>
    <row r="481" spans="7:7" ht="13.2">
      <c r="G481" s="9"/>
    </row>
    <row r="482" spans="7:7" ht="13.2">
      <c r="G482" s="9"/>
    </row>
    <row r="483" spans="7:7" ht="13.2">
      <c r="G483" s="9"/>
    </row>
    <row r="484" spans="7:7" ht="13.2">
      <c r="G484" s="9"/>
    </row>
    <row r="485" spans="7:7" ht="13.2">
      <c r="G485" s="9"/>
    </row>
    <row r="486" spans="7:7" ht="13.2">
      <c r="G486" s="9"/>
    </row>
    <row r="487" spans="7:7" ht="13.2">
      <c r="G487" s="9"/>
    </row>
    <row r="488" spans="7:7" ht="13.2">
      <c r="G488" s="9"/>
    </row>
    <row r="489" spans="7:7" ht="13.2">
      <c r="G489" s="9"/>
    </row>
    <row r="490" spans="7:7" ht="13.2">
      <c r="G490" s="9"/>
    </row>
    <row r="491" spans="7:7" ht="13.2">
      <c r="G491" s="9"/>
    </row>
    <row r="492" spans="7:7" ht="13.2">
      <c r="G492" s="9"/>
    </row>
    <row r="493" spans="7:7" ht="13.2">
      <c r="G493" s="9"/>
    </row>
    <row r="494" spans="7:7" ht="13.2">
      <c r="G494" s="9"/>
    </row>
    <row r="495" spans="7:7" ht="13.2">
      <c r="G495" s="9"/>
    </row>
    <row r="496" spans="7:7" ht="13.2">
      <c r="G496" s="9"/>
    </row>
    <row r="497" spans="7:7" ht="13.2">
      <c r="G497" s="9"/>
    </row>
    <row r="498" spans="7:7" ht="13.2">
      <c r="G498" s="9"/>
    </row>
    <row r="499" spans="7:7" ht="13.2">
      <c r="G499" s="9"/>
    </row>
    <row r="500" spans="7:7" ht="13.2">
      <c r="G500" s="9"/>
    </row>
    <row r="501" spans="7:7" ht="13.2">
      <c r="G501" s="9"/>
    </row>
    <row r="502" spans="7:7" ht="13.2">
      <c r="G502" s="9"/>
    </row>
    <row r="503" spans="7:7" ht="13.2">
      <c r="G503" s="9"/>
    </row>
    <row r="504" spans="7:7" ht="13.2">
      <c r="G504" s="9"/>
    </row>
    <row r="505" spans="7:7" ht="13.2">
      <c r="G505" s="9"/>
    </row>
    <row r="506" spans="7:7" ht="13.2">
      <c r="G506" s="9"/>
    </row>
    <row r="507" spans="7:7" ht="13.2">
      <c r="G507" s="9"/>
    </row>
    <row r="508" spans="7:7" ht="13.2">
      <c r="G508" s="9"/>
    </row>
    <row r="509" spans="7:7" ht="13.2">
      <c r="G509" s="9"/>
    </row>
    <row r="510" spans="7:7" ht="13.2">
      <c r="G510" s="9"/>
    </row>
    <row r="511" spans="7:7" ht="13.2">
      <c r="G511" s="9"/>
    </row>
    <row r="512" spans="7:7" ht="13.2">
      <c r="G512" s="9"/>
    </row>
    <row r="513" spans="7:7" ht="13.2">
      <c r="G513" s="9"/>
    </row>
    <row r="514" spans="7:7" ht="13.2">
      <c r="G514" s="9"/>
    </row>
    <row r="515" spans="7:7" ht="13.2">
      <c r="G515" s="9"/>
    </row>
    <row r="516" spans="7:7" ht="13.2">
      <c r="G516" s="9"/>
    </row>
    <row r="517" spans="7:7" ht="13.2">
      <c r="G517" s="9"/>
    </row>
    <row r="518" spans="7:7" ht="13.2">
      <c r="G518" s="9"/>
    </row>
    <row r="519" spans="7:7" ht="13.2">
      <c r="G519" s="9"/>
    </row>
    <row r="520" spans="7:7" ht="13.2">
      <c r="G520" s="9"/>
    </row>
    <row r="521" spans="7:7" ht="13.2">
      <c r="G521" s="9"/>
    </row>
    <row r="522" spans="7:7" ht="13.2">
      <c r="G522" s="9"/>
    </row>
    <row r="523" spans="7:7" ht="13.2">
      <c r="G523" s="9"/>
    </row>
    <row r="524" spans="7:7" ht="13.2">
      <c r="G524" s="9"/>
    </row>
    <row r="525" spans="7:7" ht="13.2">
      <c r="G525" s="9"/>
    </row>
    <row r="526" spans="7:7" ht="13.2">
      <c r="G526" s="9"/>
    </row>
    <row r="527" spans="7:7" ht="13.2">
      <c r="G527" s="9"/>
    </row>
    <row r="528" spans="7:7" ht="13.2">
      <c r="G528" s="9"/>
    </row>
    <row r="529" spans="7:7" ht="13.2">
      <c r="G529" s="9"/>
    </row>
    <row r="530" spans="7:7" ht="13.2">
      <c r="G530" s="9"/>
    </row>
    <row r="531" spans="7:7" ht="13.2">
      <c r="G531" s="9"/>
    </row>
    <row r="532" spans="7:7" ht="13.2">
      <c r="G532" s="9"/>
    </row>
    <row r="533" spans="7:7" ht="13.2">
      <c r="G533" s="9"/>
    </row>
    <row r="534" spans="7:7" ht="13.2">
      <c r="G534" s="9"/>
    </row>
    <row r="535" spans="7:7" ht="13.2">
      <c r="G535" s="9"/>
    </row>
    <row r="536" spans="7:7" ht="13.2">
      <c r="G536" s="9"/>
    </row>
    <row r="537" spans="7:7" ht="13.2">
      <c r="G537" s="9"/>
    </row>
    <row r="538" spans="7:7" ht="13.2">
      <c r="G538" s="9"/>
    </row>
    <row r="539" spans="7:7" ht="13.2">
      <c r="G539" s="9"/>
    </row>
    <row r="540" spans="7:7" ht="13.2">
      <c r="G540" s="9"/>
    </row>
    <row r="541" spans="7:7" ht="13.2">
      <c r="G541" s="9"/>
    </row>
    <row r="542" spans="7:7" ht="13.2">
      <c r="G542" s="9"/>
    </row>
    <row r="543" spans="7:7" ht="13.2">
      <c r="G543" s="9"/>
    </row>
    <row r="544" spans="7:7" ht="13.2">
      <c r="G544" s="9"/>
    </row>
    <row r="545" spans="7:7" ht="13.2">
      <c r="G545" s="9"/>
    </row>
    <row r="546" spans="7:7" ht="13.2">
      <c r="G546" s="9"/>
    </row>
    <row r="547" spans="7:7" ht="13.2">
      <c r="G547" s="9"/>
    </row>
    <row r="548" spans="7:7" ht="13.2">
      <c r="G548" s="9"/>
    </row>
    <row r="549" spans="7:7" ht="13.2">
      <c r="G549" s="9"/>
    </row>
    <row r="550" spans="7:7" ht="13.2">
      <c r="G550" s="9"/>
    </row>
    <row r="551" spans="7:7" ht="13.2">
      <c r="G551" s="9"/>
    </row>
    <row r="552" spans="7:7" ht="13.2">
      <c r="G552" s="9"/>
    </row>
    <row r="553" spans="7:7" ht="13.2">
      <c r="G553" s="9"/>
    </row>
    <row r="554" spans="7:7" ht="13.2">
      <c r="G554" s="9"/>
    </row>
    <row r="555" spans="7:7" ht="13.2">
      <c r="G555" s="9"/>
    </row>
    <row r="556" spans="7:7" ht="13.2">
      <c r="G556" s="9"/>
    </row>
    <row r="557" spans="7:7" ht="13.2">
      <c r="G557" s="9"/>
    </row>
    <row r="558" spans="7:7" ht="13.2">
      <c r="G558" s="9"/>
    </row>
    <row r="559" spans="7:7" ht="13.2">
      <c r="G559" s="9"/>
    </row>
    <row r="560" spans="7:7" ht="13.2">
      <c r="G560" s="9"/>
    </row>
    <row r="561" spans="7:7" ht="13.2">
      <c r="G561" s="9"/>
    </row>
    <row r="562" spans="7:7" ht="13.2">
      <c r="G562" s="9"/>
    </row>
    <row r="563" spans="7:7" ht="13.2">
      <c r="G563" s="9"/>
    </row>
    <row r="564" spans="7:7" ht="13.2">
      <c r="G564" s="9"/>
    </row>
    <row r="565" spans="7:7" ht="13.2">
      <c r="G565" s="9"/>
    </row>
    <row r="566" spans="7:7" ht="13.2">
      <c r="G566" s="9"/>
    </row>
    <row r="567" spans="7:7" ht="13.2">
      <c r="G567" s="9"/>
    </row>
    <row r="568" spans="7:7" ht="13.2">
      <c r="G568" s="9"/>
    </row>
    <row r="569" spans="7:7" ht="13.2">
      <c r="G569" s="9"/>
    </row>
    <row r="570" spans="7:7" ht="13.2">
      <c r="G570" s="9"/>
    </row>
    <row r="571" spans="7:7" ht="13.2">
      <c r="G571" s="9"/>
    </row>
    <row r="572" spans="7:7" ht="13.2">
      <c r="G572" s="9"/>
    </row>
    <row r="573" spans="7:7" ht="13.2">
      <c r="G573" s="9"/>
    </row>
    <row r="574" spans="7:7" ht="13.2">
      <c r="G574" s="9"/>
    </row>
    <row r="575" spans="7:7" ht="13.2">
      <c r="G575" s="9"/>
    </row>
    <row r="576" spans="7:7" ht="13.2">
      <c r="G576" s="9"/>
    </row>
    <row r="577" spans="7:7" ht="13.2">
      <c r="G577" s="9"/>
    </row>
    <row r="578" spans="7:7" ht="13.2">
      <c r="G578" s="9"/>
    </row>
    <row r="579" spans="7:7" ht="13.2">
      <c r="G579" s="9"/>
    </row>
    <row r="580" spans="7:7" ht="13.2">
      <c r="G580" s="9"/>
    </row>
    <row r="581" spans="7:7" ht="13.2">
      <c r="G581" s="9"/>
    </row>
    <row r="582" spans="7:7" ht="13.2">
      <c r="G582" s="9"/>
    </row>
    <row r="583" spans="7:7" ht="13.2">
      <c r="G583" s="9"/>
    </row>
    <row r="584" spans="7:7" ht="13.2">
      <c r="G584" s="9"/>
    </row>
    <row r="585" spans="7:7" ht="13.2">
      <c r="G585" s="9"/>
    </row>
    <row r="586" spans="7:7" ht="13.2">
      <c r="G586" s="9"/>
    </row>
    <row r="587" spans="7:7" ht="13.2">
      <c r="G587" s="9"/>
    </row>
    <row r="588" spans="7:7" ht="13.2">
      <c r="G588" s="9"/>
    </row>
    <row r="589" spans="7:7" ht="13.2">
      <c r="G589" s="9"/>
    </row>
    <row r="590" spans="7:7" ht="13.2">
      <c r="G590" s="9"/>
    </row>
    <row r="591" spans="7:7" ht="13.2">
      <c r="G591" s="9"/>
    </row>
    <row r="592" spans="7:7" ht="13.2">
      <c r="G592" s="9"/>
    </row>
    <row r="593" spans="7:7" ht="13.2">
      <c r="G593" s="9"/>
    </row>
    <row r="594" spans="7:7" ht="13.2">
      <c r="G594" s="9"/>
    </row>
    <row r="595" spans="7:7" ht="13.2">
      <c r="G595" s="9"/>
    </row>
    <row r="596" spans="7:7" ht="13.2">
      <c r="G596" s="9"/>
    </row>
    <row r="597" spans="7:7" ht="13.2">
      <c r="G597" s="9"/>
    </row>
    <row r="598" spans="7:7" ht="13.2">
      <c r="G598" s="9"/>
    </row>
    <row r="599" spans="7:7" ht="13.2">
      <c r="G599" s="9"/>
    </row>
    <row r="600" spans="7:7" ht="13.2">
      <c r="G600" s="9"/>
    </row>
    <row r="601" spans="7:7" ht="13.2">
      <c r="G601" s="9"/>
    </row>
    <row r="602" spans="7:7" ht="13.2">
      <c r="G602" s="9"/>
    </row>
    <row r="603" spans="7:7" ht="13.2">
      <c r="G603" s="9"/>
    </row>
    <row r="604" spans="7:7" ht="13.2">
      <c r="G604" s="9"/>
    </row>
    <row r="605" spans="7:7" ht="13.2">
      <c r="G605" s="9"/>
    </row>
    <row r="606" spans="7:7" ht="13.2">
      <c r="G606" s="9"/>
    </row>
    <row r="607" spans="7:7" ht="13.2">
      <c r="G607" s="9"/>
    </row>
    <row r="608" spans="7:7" ht="13.2">
      <c r="G608" s="9"/>
    </row>
    <row r="609" spans="7:7" ht="13.2">
      <c r="G609" s="9"/>
    </row>
    <row r="610" spans="7:7" ht="13.2">
      <c r="G610" s="9"/>
    </row>
    <row r="611" spans="7:7" ht="13.2">
      <c r="G611" s="9"/>
    </row>
    <row r="612" spans="7:7" ht="13.2">
      <c r="G612" s="9"/>
    </row>
    <row r="613" spans="7:7" ht="13.2">
      <c r="G613" s="9"/>
    </row>
    <row r="614" spans="7:7" ht="13.2">
      <c r="G614" s="9"/>
    </row>
    <row r="615" spans="7:7" ht="13.2">
      <c r="G615" s="9"/>
    </row>
    <row r="616" spans="7:7" ht="13.2">
      <c r="G616" s="9"/>
    </row>
    <row r="617" spans="7:7" ht="13.2">
      <c r="G617" s="9"/>
    </row>
    <row r="618" spans="7:7" ht="13.2">
      <c r="G618" s="9"/>
    </row>
    <row r="619" spans="7:7" ht="13.2">
      <c r="G619" s="9"/>
    </row>
    <row r="620" spans="7:7" ht="13.2">
      <c r="G620" s="9"/>
    </row>
    <row r="621" spans="7:7" ht="13.2">
      <c r="G621" s="9"/>
    </row>
    <row r="622" spans="7:7" ht="13.2">
      <c r="G622" s="9"/>
    </row>
    <row r="623" spans="7:7" ht="13.2">
      <c r="G623" s="9"/>
    </row>
    <row r="624" spans="7:7" ht="13.2">
      <c r="G624" s="9"/>
    </row>
    <row r="625" spans="7:7" ht="13.2">
      <c r="G625" s="9"/>
    </row>
    <row r="626" spans="7:7" ht="13.2">
      <c r="G626" s="9"/>
    </row>
    <row r="627" spans="7:7" ht="13.2">
      <c r="G627" s="9"/>
    </row>
    <row r="628" spans="7:7" ht="13.2">
      <c r="G628" s="9"/>
    </row>
    <row r="629" spans="7:7" ht="13.2">
      <c r="G629" s="9"/>
    </row>
    <row r="630" spans="7:7" ht="13.2">
      <c r="G630" s="9"/>
    </row>
    <row r="631" spans="7:7" ht="13.2">
      <c r="G631" s="9"/>
    </row>
    <row r="632" spans="7:7" ht="13.2">
      <c r="G632" s="9"/>
    </row>
    <row r="633" spans="7:7" ht="13.2">
      <c r="G633" s="9"/>
    </row>
    <row r="634" spans="7:7" ht="13.2">
      <c r="G634" s="9"/>
    </row>
    <row r="635" spans="7:7" ht="13.2">
      <c r="G635" s="9"/>
    </row>
    <row r="636" spans="7:7" ht="13.2">
      <c r="G636" s="9"/>
    </row>
    <row r="637" spans="7:7" ht="13.2">
      <c r="G637" s="9"/>
    </row>
    <row r="638" spans="7:7" ht="13.2">
      <c r="G638" s="9"/>
    </row>
    <row r="639" spans="7:7" ht="13.2">
      <c r="G639" s="9"/>
    </row>
    <row r="640" spans="7:7" ht="13.2">
      <c r="G640" s="9"/>
    </row>
    <row r="641" spans="7:7" ht="13.2">
      <c r="G641" s="9"/>
    </row>
    <row r="642" spans="7:7" ht="13.2">
      <c r="G642" s="9"/>
    </row>
    <row r="643" spans="7:7" ht="13.2">
      <c r="G643" s="9"/>
    </row>
    <row r="644" spans="7:7" ht="13.2">
      <c r="G644" s="9"/>
    </row>
    <row r="645" spans="7:7" ht="13.2">
      <c r="G645" s="9"/>
    </row>
    <row r="646" spans="7:7" ht="13.2">
      <c r="G646" s="9"/>
    </row>
    <row r="647" spans="7:7" ht="13.2">
      <c r="G647" s="9"/>
    </row>
    <row r="648" spans="7:7" ht="13.2">
      <c r="G648" s="9"/>
    </row>
    <row r="649" spans="7:7" ht="13.2">
      <c r="G649" s="9"/>
    </row>
    <row r="650" spans="7:7" ht="13.2">
      <c r="G650" s="9"/>
    </row>
    <row r="651" spans="7:7" ht="13.2">
      <c r="G651" s="9"/>
    </row>
    <row r="652" spans="7:7" ht="13.2">
      <c r="G652" s="9"/>
    </row>
    <row r="653" spans="7:7" ht="13.2">
      <c r="G653" s="9"/>
    </row>
    <row r="654" spans="7:7" ht="13.2">
      <c r="G654" s="9"/>
    </row>
    <row r="655" spans="7:7" ht="13.2">
      <c r="G655" s="9"/>
    </row>
    <row r="656" spans="7:7" ht="13.2">
      <c r="G656" s="9"/>
    </row>
    <row r="657" spans="7:7" ht="13.2">
      <c r="G657" s="9"/>
    </row>
    <row r="658" spans="7:7" ht="13.2">
      <c r="G658" s="9"/>
    </row>
    <row r="659" spans="7:7" ht="13.2">
      <c r="G659" s="9"/>
    </row>
    <row r="660" spans="7:7" ht="13.2">
      <c r="G660" s="9"/>
    </row>
    <row r="661" spans="7:7" ht="13.2">
      <c r="G661" s="9"/>
    </row>
    <row r="662" spans="7:7" ht="13.2">
      <c r="G662" s="9"/>
    </row>
    <row r="663" spans="7:7" ht="13.2">
      <c r="G663" s="9"/>
    </row>
    <row r="664" spans="7:7" ht="13.2">
      <c r="G664" s="9"/>
    </row>
    <row r="665" spans="7:7" ht="13.2">
      <c r="G665" s="9"/>
    </row>
    <row r="666" spans="7:7" ht="13.2">
      <c r="G666" s="9"/>
    </row>
    <row r="667" spans="7:7" ht="13.2">
      <c r="G667" s="9"/>
    </row>
    <row r="668" spans="7:7" ht="13.2">
      <c r="G668" s="9"/>
    </row>
    <row r="669" spans="7:7" ht="13.2">
      <c r="G669" s="9"/>
    </row>
    <row r="670" spans="7:7" ht="13.2">
      <c r="G670" s="9"/>
    </row>
    <row r="671" spans="7:7" ht="13.2">
      <c r="G671" s="9"/>
    </row>
    <row r="672" spans="7:7" ht="13.2">
      <c r="G672" s="9"/>
    </row>
    <row r="673" spans="7:7" ht="13.2">
      <c r="G673" s="9"/>
    </row>
    <row r="674" spans="7:7" ht="13.2">
      <c r="G674" s="9"/>
    </row>
    <row r="675" spans="7:7" ht="13.2">
      <c r="G675" s="9"/>
    </row>
    <row r="676" spans="7:7" ht="13.2">
      <c r="G676" s="9"/>
    </row>
    <row r="677" spans="7:7" ht="13.2">
      <c r="G677" s="9"/>
    </row>
    <row r="678" spans="7:7" ht="13.2">
      <c r="G678" s="9"/>
    </row>
    <row r="679" spans="7:7" ht="13.2">
      <c r="G679" s="9"/>
    </row>
    <row r="680" spans="7:7" ht="13.2">
      <c r="G680" s="9"/>
    </row>
    <row r="681" spans="7:7" ht="13.2">
      <c r="G681" s="9"/>
    </row>
    <row r="682" spans="7:7" ht="13.2">
      <c r="G682" s="9"/>
    </row>
    <row r="683" spans="7:7" ht="13.2">
      <c r="G683" s="9"/>
    </row>
    <row r="684" spans="7:7" ht="13.2">
      <c r="G684" s="9"/>
    </row>
    <row r="685" spans="7:7" ht="13.2">
      <c r="G685" s="9"/>
    </row>
    <row r="686" spans="7:7" ht="13.2">
      <c r="G686" s="9"/>
    </row>
    <row r="687" spans="7:7" ht="13.2">
      <c r="G687" s="9"/>
    </row>
    <row r="688" spans="7:7" ht="13.2">
      <c r="G688" s="9"/>
    </row>
    <row r="689" spans="7:7" ht="13.2">
      <c r="G689" s="9"/>
    </row>
    <row r="690" spans="7:7" ht="13.2">
      <c r="G690" s="9"/>
    </row>
    <row r="691" spans="7:7" ht="13.2">
      <c r="G691" s="9"/>
    </row>
    <row r="692" spans="7:7" ht="13.2">
      <c r="G692" s="9"/>
    </row>
    <row r="693" spans="7:7" ht="13.2">
      <c r="G693" s="9"/>
    </row>
    <row r="694" spans="7:7" ht="13.2">
      <c r="G694" s="9"/>
    </row>
    <row r="695" spans="7:7" ht="13.2">
      <c r="G695" s="9"/>
    </row>
    <row r="696" spans="7:7" ht="13.2">
      <c r="G696" s="9"/>
    </row>
    <row r="697" spans="7:7" ht="13.2">
      <c r="G697" s="9"/>
    </row>
    <row r="698" spans="7:7" ht="13.2">
      <c r="G698" s="9"/>
    </row>
    <row r="699" spans="7:7" ht="13.2">
      <c r="G699" s="9"/>
    </row>
    <row r="700" spans="7:7" ht="13.2">
      <c r="G700" s="9"/>
    </row>
    <row r="701" spans="7:7" ht="13.2">
      <c r="G701" s="9"/>
    </row>
    <row r="702" spans="7:7" ht="13.2">
      <c r="G702" s="9"/>
    </row>
    <row r="703" spans="7:7" ht="13.2">
      <c r="G703" s="9"/>
    </row>
    <row r="704" spans="7:7" ht="13.2">
      <c r="G704" s="9"/>
    </row>
    <row r="705" spans="7:7" ht="13.2">
      <c r="G705" s="9"/>
    </row>
    <row r="706" spans="7:7" ht="13.2">
      <c r="G706" s="9"/>
    </row>
    <row r="707" spans="7:7" ht="13.2">
      <c r="G707" s="9"/>
    </row>
    <row r="708" spans="7:7" ht="13.2">
      <c r="G708" s="9"/>
    </row>
    <row r="709" spans="7:7" ht="13.2">
      <c r="G709" s="9"/>
    </row>
    <row r="710" spans="7:7" ht="13.2">
      <c r="G710" s="9"/>
    </row>
    <row r="711" spans="7:7" ht="13.2">
      <c r="G711" s="9"/>
    </row>
    <row r="712" spans="7:7" ht="13.2">
      <c r="G712" s="9"/>
    </row>
    <row r="713" spans="7:7" ht="13.2">
      <c r="G713" s="9"/>
    </row>
    <row r="714" spans="7:7" ht="13.2">
      <c r="G714" s="9"/>
    </row>
    <row r="715" spans="7:7" ht="13.2">
      <c r="G715" s="9"/>
    </row>
    <row r="716" spans="7:7" ht="13.2">
      <c r="G716" s="9"/>
    </row>
    <row r="717" spans="7:7" ht="13.2">
      <c r="G717" s="9"/>
    </row>
    <row r="718" spans="7:7" ht="13.2">
      <c r="G718" s="9"/>
    </row>
    <row r="719" spans="7:7" ht="13.2">
      <c r="G719" s="9"/>
    </row>
    <row r="720" spans="7:7" ht="13.2">
      <c r="G720" s="9"/>
    </row>
    <row r="721" spans="7:7" ht="13.2">
      <c r="G721" s="9"/>
    </row>
    <row r="722" spans="7:7" ht="13.2">
      <c r="G722" s="9"/>
    </row>
    <row r="723" spans="7:7" ht="13.2">
      <c r="G723" s="9"/>
    </row>
    <row r="724" spans="7:7" ht="13.2">
      <c r="G724" s="9"/>
    </row>
    <row r="725" spans="7:7" ht="13.2">
      <c r="G725" s="9"/>
    </row>
    <row r="726" spans="7:7" ht="13.2">
      <c r="G726" s="9"/>
    </row>
    <row r="727" spans="7:7" ht="13.2">
      <c r="G727" s="9"/>
    </row>
    <row r="728" spans="7:7" ht="13.2">
      <c r="G728" s="9"/>
    </row>
    <row r="729" spans="7:7" ht="13.2">
      <c r="G729" s="9"/>
    </row>
    <row r="730" spans="7:7" ht="13.2">
      <c r="G730" s="9"/>
    </row>
    <row r="731" spans="7:7" ht="13.2">
      <c r="G731" s="9"/>
    </row>
    <row r="732" spans="7:7" ht="13.2">
      <c r="G732" s="9"/>
    </row>
    <row r="733" spans="7:7" ht="13.2">
      <c r="G733" s="9"/>
    </row>
    <row r="734" spans="7:7" ht="13.2">
      <c r="G734" s="9"/>
    </row>
    <row r="735" spans="7:7" ht="13.2">
      <c r="G735" s="9"/>
    </row>
    <row r="736" spans="7:7" ht="13.2">
      <c r="G736" s="9"/>
    </row>
    <row r="737" spans="7:7" ht="13.2">
      <c r="G737" s="9"/>
    </row>
    <row r="738" spans="7:7" ht="13.2">
      <c r="G738" s="9"/>
    </row>
    <row r="739" spans="7:7" ht="13.2">
      <c r="G739" s="9"/>
    </row>
    <row r="740" spans="7:7" ht="13.2">
      <c r="G740" s="9"/>
    </row>
    <row r="741" spans="7:7" ht="13.2">
      <c r="G741" s="9"/>
    </row>
    <row r="742" spans="7:7" ht="13.2">
      <c r="G742" s="9"/>
    </row>
    <row r="743" spans="7:7" ht="13.2">
      <c r="G743" s="9"/>
    </row>
    <row r="744" spans="7:7" ht="13.2">
      <c r="G744" s="9"/>
    </row>
    <row r="745" spans="7:7" ht="13.2">
      <c r="G745" s="9"/>
    </row>
    <row r="746" spans="7:7" ht="13.2">
      <c r="G746" s="9"/>
    </row>
    <row r="747" spans="7:7" ht="13.2">
      <c r="G747" s="9"/>
    </row>
    <row r="748" spans="7:7" ht="13.2">
      <c r="G748" s="9"/>
    </row>
    <row r="749" spans="7:7" ht="13.2">
      <c r="G749" s="9"/>
    </row>
    <row r="750" spans="7:7" ht="13.2">
      <c r="G750" s="9"/>
    </row>
    <row r="751" spans="7:7" ht="13.2">
      <c r="G751" s="9"/>
    </row>
    <row r="752" spans="7:7" ht="13.2">
      <c r="G752" s="9"/>
    </row>
    <row r="753" spans="7:7" ht="13.2">
      <c r="G753" s="9"/>
    </row>
    <row r="754" spans="7:7" ht="13.2">
      <c r="G754" s="9"/>
    </row>
    <row r="755" spans="7:7" ht="13.2">
      <c r="G755" s="9"/>
    </row>
    <row r="756" spans="7:7" ht="13.2">
      <c r="G756" s="9"/>
    </row>
    <row r="757" spans="7:7" ht="13.2">
      <c r="G757" s="9"/>
    </row>
    <row r="758" spans="7:7" ht="13.2">
      <c r="G758" s="9"/>
    </row>
    <row r="759" spans="7:7" ht="13.2">
      <c r="G759" s="9"/>
    </row>
    <row r="760" spans="7:7" ht="13.2">
      <c r="G760" s="9"/>
    </row>
    <row r="761" spans="7:7" ht="13.2">
      <c r="G761" s="9"/>
    </row>
    <row r="762" spans="7:7" ht="13.2">
      <c r="G762" s="9"/>
    </row>
    <row r="763" spans="7:7" ht="13.2">
      <c r="G763" s="9"/>
    </row>
    <row r="764" spans="7:7" ht="13.2">
      <c r="G764" s="9"/>
    </row>
    <row r="765" spans="7:7" ht="13.2">
      <c r="G765" s="9"/>
    </row>
    <row r="766" spans="7:7" ht="13.2">
      <c r="G766" s="9"/>
    </row>
    <row r="767" spans="7:7" ht="13.2">
      <c r="G767" s="9"/>
    </row>
    <row r="768" spans="7:7" ht="13.2">
      <c r="G768" s="9"/>
    </row>
    <row r="769" spans="7:7" ht="13.2">
      <c r="G769" s="9"/>
    </row>
    <row r="770" spans="7:7" ht="13.2">
      <c r="G770" s="9"/>
    </row>
    <row r="771" spans="7:7" ht="13.2">
      <c r="G771" s="9"/>
    </row>
    <row r="772" spans="7:7" ht="13.2">
      <c r="G772" s="9"/>
    </row>
    <row r="773" spans="7:7" ht="13.2">
      <c r="G773" s="9"/>
    </row>
    <row r="774" spans="7:7" ht="13.2">
      <c r="G774" s="9"/>
    </row>
    <row r="775" spans="7:7" ht="13.2">
      <c r="G775" s="9"/>
    </row>
    <row r="776" spans="7:7" ht="13.2">
      <c r="G776" s="9"/>
    </row>
    <row r="777" spans="7:7" ht="13.2">
      <c r="G777" s="9"/>
    </row>
    <row r="778" spans="7:7" ht="13.2">
      <c r="G778" s="9"/>
    </row>
    <row r="779" spans="7:7" ht="13.2">
      <c r="G779" s="9"/>
    </row>
    <row r="780" spans="7:7" ht="13.2">
      <c r="G780" s="9"/>
    </row>
    <row r="781" spans="7:7" ht="13.2">
      <c r="G781" s="9"/>
    </row>
    <row r="782" spans="7:7" ht="13.2">
      <c r="G782" s="9"/>
    </row>
    <row r="783" spans="7:7" ht="13.2">
      <c r="G783" s="9"/>
    </row>
    <row r="784" spans="7:7" ht="13.2">
      <c r="G784" s="9"/>
    </row>
    <row r="785" spans="7:7" ht="13.2">
      <c r="G785" s="9"/>
    </row>
    <row r="786" spans="7:7" ht="13.2">
      <c r="G786" s="9"/>
    </row>
    <row r="787" spans="7:7" ht="13.2">
      <c r="G787" s="9"/>
    </row>
    <row r="788" spans="7:7" ht="13.2">
      <c r="G788" s="9"/>
    </row>
    <row r="789" spans="7:7" ht="13.2">
      <c r="G789" s="9"/>
    </row>
    <row r="790" spans="7:7" ht="13.2">
      <c r="G790" s="9"/>
    </row>
    <row r="791" spans="7:7" ht="13.2">
      <c r="G791" s="9"/>
    </row>
    <row r="792" spans="7:7" ht="13.2">
      <c r="G792" s="9"/>
    </row>
    <row r="793" spans="7:7" ht="13.2">
      <c r="G793" s="9"/>
    </row>
    <row r="794" spans="7:7" ht="13.2">
      <c r="G794" s="9"/>
    </row>
    <row r="795" spans="7:7" ht="13.2">
      <c r="G795" s="9"/>
    </row>
    <row r="796" spans="7:7" ht="13.2">
      <c r="G796" s="9"/>
    </row>
    <row r="797" spans="7:7" ht="13.2">
      <c r="G797" s="9"/>
    </row>
    <row r="798" spans="7:7" ht="13.2">
      <c r="G798" s="9"/>
    </row>
    <row r="799" spans="7:7" ht="13.2">
      <c r="G799" s="9"/>
    </row>
    <row r="800" spans="7:7" ht="13.2">
      <c r="G800" s="9"/>
    </row>
    <row r="801" spans="7:7" ht="13.2">
      <c r="G801" s="9"/>
    </row>
    <row r="802" spans="7:7" ht="13.2">
      <c r="G802" s="9"/>
    </row>
    <row r="803" spans="7:7" ht="13.2">
      <c r="G803" s="9"/>
    </row>
    <row r="804" spans="7:7" ht="13.2">
      <c r="G804" s="9"/>
    </row>
    <row r="805" spans="7:7" ht="13.2">
      <c r="G805" s="9"/>
    </row>
    <row r="806" spans="7:7" ht="13.2">
      <c r="G806" s="9"/>
    </row>
    <row r="807" spans="7:7" ht="13.2">
      <c r="G807" s="9"/>
    </row>
    <row r="808" spans="7:7" ht="13.2">
      <c r="G808" s="9"/>
    </row>
    <row r="809" spans="7:7" ht="13.2">
      <c r="G809" s="9"/>
    </row>
    <row r="810" spans="7:7" ht="13.2">
      <c r="G810" s="9"/>
    </row>
    <row r="811" spans="7:7" ht="13.2">
      <c r="G811" s="9"/>
    </row>
    <row r="812" spans="7:7" ht="13.2">
      <c r="G812" s="9"/>
    </row>
    <row r="813" spans="7:7" ht="13.2">
      <c r="G813" s="9"/>
    </row>
    <row r="814" spans="7:7" ht="13.2">
      <c r="G814" s="9"/>
    </row>
    <row r="815" spans="7:7" ht="13.2">
      <c r="G815" s="9"/>
    </row>
    <row r="816" spans="7:7" ht="13.2">
      <c r="G816" s="9"/>
    </row>
    <row r="817" spans="7:7" ht="13.2">
      <c r="G817" s="9"/>
    </row>
    <row r="818" spans="7:7" ht="13.2">
      <c r="G818" s="9"/>
    </row>
    <row r="819" spans="7:7" ht="13.2">
      <c r="G819" s="9"/>
    </row>
    <row r="820" spans="7:7" ht="13.2">
      <c r="G820" s="9"/>
    </row>
    <row r="821" spans="7:7" ht="13.2">
      <c r="G821" s="9"/>
    </row>
    <row r="822" spans="7:7" ht="13.2">
      <c r="G822" s="9"/>
    </row>
    <row r="823" spans="7:7" ht="13.2">
      <c r="G823" s="9"/>
    </row>
    <row r="824" spans="7:7" ht="13.2">
      <c r="G824" s="9"/>
    </row>
    <row r="825" spans="7:7" ht="13.2">
      <c r="G825" s="9"/>
    </row>
    <row r="826" spans="7:7" ht="13.2">
      <c r="G826" s="9"/>
    </row>
    <row r="827" spans="7:7" ht="13.2">
      <c r="G827" s="9"/>
    </row>
    <row r="828" spans="7:7" ht="13.2">
      <c r="G828" s="9"/>
    </row>
    <row r="829" spans="7:7" ht="13.2">
      <c r="G829" s="9"/>
    </row>
    <row r="830" spans="7:7" ht="13.2">
      <c r="G830" s="9"/>
    </row>
    <row r="831" spans="7:7" ht="13.2">
      <c r="G831" s="9"/>
    </row>
    <row r="832" spans="7:7" ht="13.2">
      <c r="G832" s="9"/>
    </row>
    <row r="833" spans="7:7" ht="13.2">
      <c r="G833" s="9"/>
    </row>
    <row r="834" spans="7:7" ht="13.2">
      <c r="G834" s="9"/>
    </row>
    <row r="835" spans="7:7" ht="13.2">
      <c r="G835" s="9"/>
    </row>
    <row r="836" spans="7:7" ht="13.2">
      <c r="G836" s="9"/>
    </row>
    <row r="837" spans="7:7" ht="13.2">
      <c r="G837" s="9"/>
    </row>
    <row r="838" spans="7:7" ht="13.2">
      <c r="G838" s="9"/>
    </row>
    <row r="839" spans="7:7" ht="13.2">
      <c r="G839" s="9"/>
    </row>
    <row r="840" spans="7:7" ht="13.2">
      <c r="G840" s="9"/>
    </row>
    <row r="841" spans="7:7" ht="13.2">
      <c r="G841" s="9"/>
    </row>
    <row r="842" spans="7:7" ht="13.2">
      <c r="G842" s="9"/>
    </row>
    <row r="843" spans="7:7" ht="13.2">
      <c r="G843" s="9"/>
    </row>
    <row r="844" spans="7:7" ht="13.2">
      <c r="G844" s="9"/>
    </row>
    <row r="845" spans="7:7" ht="13.2">
      <c r="G845" s="9"/>
    </row>
    <row r="846" spans="7:7" ht="13.2">
      <c r="G846" s="9"/>
    </row>
    <row r="847" spans="7:7" ht="13.2">
      <c r="G847" s="9"/>
    </row>
    <row r="848" spans="7:7" ht="13.2">
      <c r="G848" s="9"/>
    </row>
    <row r="849" spans="7:7" ht="13.2">
      <c r="G849" s="9"/>
    </row>
    <row r="850" spans="7:7" ht="13.2">
      <c r="G850" s="9"/>
    </row>
    <row r="851" spans="7:7" ht="13.2">
      <c r="G851" s="9"/>
    </row>
    <row r="852" spans="7:7" ht="13.2">
      <c r="G852" s="9"/>
    </row>
    <row r="853" spans="7:7" ht="13.2">
      <c r="G853" s="9"/>
    </row>
    <row r="854" spans="7:7" ht="13.2">
      <c r="G854" s="9"/>
    </row>
    <row r="855" spans="7:7" ht="13.2">
      <c r="G855" s="9"/>
    </row>
    <row r="856" spans="7:7" ht="13.2">
      <c r="G856" s="9"/>
    </row>
    <row r="857" spans="7:7" ht="13.2">
      <c r="G857" s="9"/>
    </row>
    <row r="858" spans="7:7" ht="13.2">
      <c r="G858" s="9"/>
    </row>
    <row r="859" spans="7:7" ht="13.2">
      <c r="G859" s="9"/>
    </row>
    <row r="860" spans="7:7" ht="13.2">
      <c r="G860" s="9"/>
    </row>
    <row r="861" spans="7:7" ht="13.2">
      <c r="G861" s="9"/>
    </row>
    <row r="862" spans="7:7" ht="13.2">
      <c r="G862" s="9"/>
    </row>
    <row r="863" spans="7:7" ht="13.2">
      <c r="G863" s="9"/>
    </row>
    <row r="864" spans="7:7" ht="13.2">
      <c r="G864" s="9"/>
    </row>
    <row r="865" spans="7:7" ht="13.2">
      <c r="G865" s="9"/>
    </row>
    <row r="866" spans="7:7" ht="13.2">
      <c r="G866" s="9"/>
    </row>
    <row r="867" spans="7:7" ht="13.2">
      <c r="G867" s="9"/>
    </row>
    <row r="868" spans="7:7" ht="13.2">
      <c r="G868" s="9"/>
    </row>
    <row r="869" spans="7:7" ht="13.2">
      <c r="G869" s="9"/>
    </row>
    <row r="870" spans="7:7" ht="13.2">
      <c r="G870" s="9"/>
    </row>
    <row r="871" spans="7:7" ht="13.2">
      <c r="G871" s="9"/>
    </row>
    <row r="872" spans="7:7" ht="13.2">
      <c r="G872" s="9"/>
    </row>
    <row r="873" spans="7:7" ht="13.2">
      <c r="G873" s="9"/>
    </row>
    <row r="874" spans="7:7" ht="13.2">
      <c r="G874" s="9"/>
    </row>
    <row r="875" spans="7:7" ht="13.2">
      <c r="G875" s="9"/>
    </row>
    <row r="876" spans="7:7" ht="13.2">
      <c r="G876" s="9"/>
    </row>
    <row r="877" spans="7:7" ht="13.2">
      <c r="G877" s="9"/>
    </row>
    <row r="878" spans="7:7" ht="13.2">
      <c r="G878" s="9"/>
    </row>
    <row r="879" spans="7:7" ht="13.2">
      <c r="G879" s="9"/>
    </row>
    <row r="880" spans="7:7" ht="13.2">
      <c r="G880" s="9"/>
    </row>
    <row r="881" spans="7:7" ht="13.2">
      <c r="G881" s="9"/>
    </row>
    <row r="882" spans="7:7" ht="13.2">
      <c r="G882" s="9"/>
    </row>
    <row r="883" spans="7:7" ht="13.2">
      <c r="G883" s="9"/>
    </row>
    <row r="884" spans="7:7" ht="13.2">
      <c r="G884" s="9"/>
    </row>
    <row r="885" spans="7:7" ht="13.2">
      <c r="G885" s="9"/>
    </row>
    <row r="886" spans="7:7" ht="13.2">
      <c r="G886" s="9"/>
    </row>
    <row r="887" spans="7:7" ht="13.2">
      <c r="G887" s="9"/>
    </row>
    <row r="888" spans="7:7" ht="13.2">
      <c r="G888" s="9"/>
    </row>
    <row r="889" spans="7:7" ht="13.2">
      <c r="G889" s="9"/>
    </row>
    <row r="890" spans="7:7" ht="13.2">
      <c r="G890" s="9"/>
    </row>
    <row r="891" spans="7:7" ht="13.2">
      <c r="G891" s="9"/>
    </row>
    <row r="892" spans="7:7" ht="13.2">
      <c r="G892" s="9"/>
    </row>
    <row r="893" spans="7:7" ht="13.2">
      <c r="G893" s="9"/>
    </row>
    <row r="894" spans="7:7" ht="13.2">
      <c r="G894" s="9"/>
    </row>
    <row r="895" spans="7:7" ht="13.2">
      <c r="G895" s="9"/>
    </row>
    <row r="896" spans="7:7" ht="13.2">
      <c r="G896" s="9"/>
    </row>
    <row r="897" spans="7:7" ht="13.2">
      <c r="G897" s="9"/>
    </row>
    <row r="898" spans="7:7" ht="13.2">
      <c r="G898" s="9"/>
    </row>
    <row r="899" spans="7:7" ht="13.2">
      <c r="G899" s="9"/>
    </row>
    <row r="900" spans="7:7" ht="13.2">
      <c r="G900" s="9"/>
    </row>
    <row r="901" spans="7:7" ht="13.2">
      <c r="G901" s="9"/>
    </row>
    <row r="902" spans="7:7" ht="13.2">
      <c r="G902" s="9"/>
    </row>
    <row r="903" spans="7:7" ht="13.2">
      <c r="G903" s="9"/>
    </row>
    <row r="904" spans="7:7" ht="13.2">
      <c r="G904" s="9"/>
    </row>
    <row r="905" spans="7:7" ht="13.2">
      <c r="G905" s="9"/>
    </row>
    <row r="906" spans="7:7" ht="13.2">
      <c r="G906" s="9"/>
    </row>
    <row r="907" spans="7:7" ht="13.2">
      <c r="G907" s="9"/>
    </row>
    <row r="908" spans="7:7" ht="13.2">
      <c r="G908" s="9"/>
    </row>
    <row r="909" spans="7:7" ht="13.2">
      <c r="G909" s="9"/>
    </row>
    <row r="910" spans="7:7" ht="13.2">
      <c r="G910" s="9"/>
    </row>
    <row r="911" spans="7:7" ht="13.2">
      <c r="G911" s="9"/>
    </row>
    <row r="912" spans="7:7" ht="13.2">
      <c r="G912" s="9"/>
    </row>
    <row r="913" spans="7:7" ht="13.2">
      <c r="G913" s="9"/>
    </row>
    <row r="914" spans="7:7" ht="13.2">
      <c r="G914" s="9"/>
    </row>
    <row r="915" spans="7:7" ht="13.2">
      <c r="G915" s="9"/>
    </row>
    <row r="916" spans="7:7" ht="13.2">
      <c r="G916" s="9"/>
    </row>
    <row r="917" spans="7:7" ht="13.2">
      <c r="G917" s="9"/>
    </row>
    <row r="918" spans="7:7" ht="13.2">
      <c r="G918" s="9"/>
    </row>
    <row r="919" spans="7:7" ht="13.2">
      <c r="G919" s="9"/>
    </row>
    <row r="920" spans="7:7" ht="13.2">
      <c r="G920" s="9"/>
    </row>
    <row r="921" spans="7:7" ht="13.2">
      <c r="G921" s="9"/>
    </row>
    <row r="922" spans="7:7" ht="13.2">
      <c r="G922" s="9"/>
    </row>
    <row r="923" spans="7:7" ht="13.2">
      <c r="G923" s="9"/>
    </row>
    <row r="924" spans="7:7" ht="13.2">
      <c r="G924" s="9"/>
    </row>
    <row r="925" spans="7:7" ht="13.2">
      <c r="G925" s="9"/>
    </row>
    <row r="926" spans="7:7" ht="13.2">
      <c r="G926" s="9"/>
    </row>
    <row r="927" spans="7:7" ht="13.2">
      <c r="G927" s="9"/>
    </row>
    <row r="928" spans="7:7" ht="13.2">
      <c r="G928" s="9"/>
    </row>
    <row r="929" spans="7:7" ht="13.2">
      <c r="G929" s="9"/>
    </row>
    <row r="930" spans="7:7" ht="13.2">
      <c r="G930" s="9"/>
    </row>
    <row r="931" spans="7:7" ht="13.2">
      <c r="G931" s="9"/>
    </row>
    <row r="932" spans="7:7" ht="13.2">
      <c r="G932" s="9"/>
    </row>
    <row r="933" spans="7:7" ht="13.2">
      <c r="G933" s="9"/>
    </row>
    <row r="934" spans="7:7" ht="13.2">
      <c r="G934" s="9"/>
    </row>
    <row r="935" spans="7:7" ht="13.2">
      <c r="G935" s="9"/>
    </row>
    <row r="936" spans="7:7" ht="13.2">
      <c r="G936" s="9"/>
    </row>
    <row r="937" spans="7:7" ht="13.2">
      <c r="G937" s="9"/>
    </row>
    <row r="938" spans="7:7" ht="13.2">
      <c r="G938" s="9"/>
    </row>
    <row r="939" spans="7:7" ht="13.2">
      <c r="G939" s="9"/>
    </row>
    <row r="940" spans="7:7" ht="13.2">
      <c r="G940" s="9"/>
    </row>
    <row r="941" spans="7:7" ht="13.2">
      <c r="G941" s="9"/>
    </row>
    <row r="942" spans="7:7" ht="13.2">
      <c r="G942" s="9"/>
    </row>
    <row r="943" spans="7:7" ht="13.2">
      <c r="G943" s="9"/>
    </row>
    <row r="944" spans="7:7" ht="13.2">
      <c r="G944" s="9"/>
    </row>
    <row r="945" spans="7:7" ht="13.2">
      <c r="G945" s="9"/>
    </row>
    <row r="946" spans="7:7" ht="13.2">
      <c r="G946" s="9"/>
    </row>
    <row r="947" spans="7:7" ht="13.2">
      <c r="G947" s="9"/>
    </row>
    <row r="948" spans="7:7" ht="13.2">
      <c r="G948" s="9"/>
    </row>
    <row r="949" spans="7:7" ht="13.2">
      <c r="G949" s="9"/>
    </row>
    <row r="950" spans="7:7" ht="13.2">
      <c r="G950" s="9"/>
    </row>
    <row r="951" spans="7:7" ht="13.2">
      <c r="G951" s="9"/>
    </row>
    <row r="952" spans="7:7" ht="13.2">
      <c r="G952" s="9"/>
    </row>
    <row r="953" spans="7:7" ht="13.2">
      <c r="G953" s="9"/>
    </row>
    <row r="954" spans="7:7" ht="13.2">
      <c r="G954" s="9"/>
    </row>
    <row r="955" spans="7:7" ht="13.2">
      <c r="G955" s="9"/>
    </row>
    <row r="956" spans="7:7" ht="13.2">
      <c r="G956" s="9"/>
    </row>
    <row r="957" spans="7:7" ht="13.2">
      <c r="G957" s="9"/>
    </row>
    <row r="958" spans="7:7" ht="13.2">
      <c r="G958" s="9"/>
    </row>
    <row r="959" spans="7:7" ht="13.2">
      <c r="G959" s="9"/>
    </row>
    <row r="960" spans="7:7" ht="13.2">
      <c r="G960" s="9"/>
    </row>
    <row r="961" spans="7:7" ht="13.2">
      <c r="G961" s="9"/>
    </row>
    <row r="962" spans="7:7" ht="13.2">
      <c r="G962" s="9"/>
    </row>
    <row r="963" spans="7:7" ht="13.2">
      <c r="G963" s="9"/>
    </row>
    <row r="964" spans="7:7" ht="13.2">
      <c r="G964" s="9"/>
    </row>
    <row r="965" spans="7:7" ht="13.2">
      <c r="G965" s="9"/>
    </row>
    <row r="966" spans="7:7" ht="13.2">
      <c r="G966" s="9"/>
    </row>
    <row r="967" spans="7:7" ht="13.2">
      <c r="G967" s="9"/>
    </row>
    <row r="968" spans="7:7" ht="13.2">
      <c r="G968" s="9"/>
    </row>
    <row r="969" spans="7:7" ht="13.2">
      <c r="G969" s="9"/>
    </row>
    <row r="970" spans="7:7" ht="13.2">
      <c r="G970" s="9"/>
    </row>
    <row r="971" spans="7:7" ht="13.2">
      <c r="G971" s="9"/>
    </row>
    <row r="972" spans="7:7" ht="13.2">
      <c r="G972" s="9"/>
    </row>
    <row r="973" spans="7:7" ht="13.2">
      <c r="G973" s="9"/>
    </row>
    <row r="974" spans="7:7" ht="13.2">
      <c r="G974" s="9"/>
    </row>
    <row r="975" spans="7:7" ht="13.2">
      <c r="G975" s="9"/>
    </row>
    <row r="976" spans="7:7" ht="13.2">
      <c r="G976" s="9"/>
    </row>
    <row r="977" spans="7:7" ht="13.2">
      <c r="G977" s="9"/>
    </row>
    <row r="978" spans="7:7" ht="13.2">
      <c r="G978" s="9"/>
    </row>
    <row r="979" spans="7:7" ht="13.2">
      <c r="G979" s="9"/>
    </row>
    <row r="980" spans="7:7" ht="13.2">
      <c r="G980" s="9"/>
    </row>
    <row r="981" spans="7:7" ht="13.2">
      <c r="G981" s="9"/>
    </row>
    <row r="982" spans="7:7" ht="13.2">
      <c r="G982" s="9"/>
    </row>
    <row r="983" spans="7:7" ht="13.2">
      <c r="G983" s="9"/>
    </row>
    <row r="984" spans="7:7" ht="13.2">
      <c r="G984" s="9"/>
    </row>
    <row r="985" spans="7:7" ht="13.2">
      <c r="G985" s="9"/>
    </row>
    <row r="986" spans="7:7" ht="13.2">
      <c r="G986" s="9"/>
    </row>
    <row r="987" spans="7:7" ht="13.2">
      <c r="G987" s="9"/>
    </row>
    <row r="988" spans="7:7" ht="13.2">
      <c r="G988" s="9"/>
    </row>
    <row r="989" spans="7:7" ht="13.2">
      <c r="G989" s="9"/>
    </row>
    <row r="990" spans="7:7" ht="13.2">
      <c r="G990" s="9"/>
    </row>
    <row r="991" spans="7:7" ht="13.2">
      <c r="G991" s="9"/>
    </row>
    <row r="992" spans="7:7" ht="13.2">
      <c r="G992" s="9"/>
    </row>
    <row r="993" spans="7:7" ht="13.2">
      <c r="G993" s="9"/>
    </row>
    <row r="994" spans="7:7" ht="13.2">
      <c r="G994" s="9"/>
    </row>
    <row r="995" spans="7:7" ht="13.2">
      <c r="G995" s="9"/>
    </row>
    <row r="996" spans="7:7" ht="13.2">
      <c r="G996" s="9"/>
    </row>
    <row r="997" spans="7:7" ht="13.2">
      <c r="G997" s="9"/>
    </row>
    <row r="998" spans="7:7" ht="13.2">
      <c r="G998" s="9"/>
    </row>
    <row r="999" spans="7:7" ht="13.2">
      <c r="G999" s="9"/>
    </row>
    <row r="1000" spans="7:7" ht="13.2">
      <c r="G1000" s="9"/>
    </row>
  </sheetData>
  <autoFilter ref="A1:Y8" xr:uid="{00000000-0009-0000-0000-00004C000000}"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539006</v>
      </c>
      <c r="B2" s="98" t="s">
        <v>2792</v>
      </c>
      <c r="C2" s="101" t="str">
        <f>VLOOKUP(A2,'BSE ALL CAP'!$B$4:$Y$1038,2,)</f>
        <v>Industrials</v>
      </c>
      <c r="D2" s="101" t="str">
        <f>VLOOKUP(A2,'BSE ALL CAP'!$B$4:$Y$1038,3,)</f>
        <v>Other Industrial Products</v>
      </c>
      <c r="E2" s="101">
        <f ca="1">IFERROR(__xludf.DUMMYFUNCTION("GOOGLEFINANCE(""BOM:""&amp;A2,""PRICE"")"),15423)</f>
        <v>15423</v>
      </c>
      <c r="F2" s="112">
        <f ca="1">IFERROR(__xludf.DUMMYFUNCTION("GOOGLEFINANCE(""BOM:""&amp;A2,""MARKETCAP"")/10000000"),23045.048605)</f>
        <v>23045.048605</v>
      </c>
      <c r="G2" s="95">
        <f t="shared" ref="G2:G34" ca="1" si="0">F2/$F$36</f>
        <v>0.27540783950216036</v>
      </c>
      <c r="H2" s="101">
        <f>VLOOKUP(A2,'BSE ALL CAP'!$B$4:$Y$1038,7,)</f>
        <v>377</v>
      </c>
      <c r="I2" s="101">
        <f>VLOOKUP(A2,'BSE ALL CAP'!$B$4:$Y$1038,8,)</f>
        <v>186</v>
      </c>
      <c r="J2" s="101">
        <f>VLOOKUP(A2,'BSE ALL CAP'!$B$4:$Y$1038,9,)</f>
        <v>41</v>
      </c>
      <c r="K2" s="101">
        <f>VLOOKUP(A2,'BSE ALL CAP'!$B$4:$Y$1038,10,)</f>
        <v>36</v>
      </c>
      <c r="L2" s="101">
        <f>VLOOKUP(A2,'BSE ALL CAP'!$B$4:$Y$1038,11,)</f>
        <v>155</v>
      </c>
      <c r="M2" s="101">
        <f>VLOOKUP(A2,'BSE ALL CAP'!$B$4:$Y$1038,12,)</f>
        <v>66</v>
      </c>
      <c r="N2" s="101">
        <f>VLOOKUP(A2,'BSE ALL CAP'!$B$4:$Y$1038,13,)</f>
        <v>18</v>
      </c>
      <c r="O2" s="101">
        <f>VLOOKUP(A2,'BSE ALL CAP'!$B$4:$Y$1038,14,)</f>
        <v>14</v>
      </c>
      <c r="P2" s="95">
        <f>VLOOKUP(A2,'BSE ALL CAP'!$B$4:$Y$1038,15,)</f>
        <v>0.10875331564986737</v>
      </c>
      <c r="Q2" s="95">
        <f>VLOOKUP(A2,'BSE ALL CAP'!$B$4:$Y$1038,16,)</f>
        <v>0.19354838709677419</v>
      </c>
      <c r="R2" s="95">
        <f>VLOOKUP(A2,'BSE ALL CAP'!$B$4:$Y$1038,17,)</f>
        <v>-8.4795071446906817E-2</v>
      </c>
      <c r="S2" s="95">
        <f>VLOOKUP(A2,'BSE ALL CAP'!$B$4:$Y$1038,18,)</f>
        <v>0.11612903225806452</v>
      </c>
      <c r="T2" s="95">
        <f>VLOOKUP(A2,'BSE ALL CAP'!$B$4:$Y$1038,19,)</f>
        <v>0.21212121212121213</v>
      </c>
      <c r="U2" s="95">
        <f>VLOOKUP(A2,'BSE ALL CAP'!$B$4:$Y$1038,20,)</f>
        <v>-9.5992179863147606E-2</v>
      </c>
      <c r="V2" s="95">
        <f>VLOOKUP(A2,'BSE ALL CAP'!$B$4:$Y$1038,21,)</f>
        <v>1.0268817204301075</v>
      </c>
      <c r="W2" s="95">
        <f>VLOOKUP(A2,'BSE ALL CAP'!$B$4:$Y$1038,22,)</f>
        <v>0.13888888888888884</v>
      </c>
      <c r="X2" s="95">
        <f>VLOOKUP(A2,'BSE ALL CAP'!$B$4:$Y$1038,23,)</f>
        <v>1.3484848484848486</v>
      </c>
      <c r="Y2" s="95">
        <f>VLOOKUP(A2,'BSE ALL CAP'!$B$4:$Y$1038,24,)</f>
        <v>0.28571428571428581</v>
      </c>
    </row>
    <row r="3" spans="1:25" ht="15.75" customHeight="1">
      <c r="A3" s="99">
        <v>517271</v>
      </c>
      <c r="B3" s="98" t="s">
        <v>2793</v>
      </c>
      <c r="C3" s="101" t="str">
        <f>VLOOKUP(A3,'BSE ALL CAP'!$B$4:$Y$1038,2,)</f>
        <v>Industrials</v>
      </c>
      <c r="D3" s="101" t="str">
        <f>VLOOKUP(A3,'BSE ALL CAP'!$B$4:$Y$1038,3,)</f>
        <v>Other Industrial Products</v>
      </c>
      <c r="E3" s="101">
        <f ca="1">IFERROR(__xludf.DUMMYFUNCTION("GOOGLEFINANCE(""BOM:""&amp;A3,""PRICE"")"),677.55)</f>
        <v>677.55</v>
      </c>
      <c r="F3" s="112">
        <f ca="1">IFERROR(__xludf.DUMMYFUNCTION("GOOGLEFINANCE(""BOM:""&amp;A3,""MARKETCAP"")/10000000"),18771.6389663)</f>
        <v>18771.638966300001</v>
      </c>
      <c r="G3" s="95">
        <f t="shared" ca="1" si="0"/>
        <v>0.22433697668581032</v>
      </c>
      <c r="H3" s="101">
        <f>VLOOKUP(A3,'BSE ALL CAP'!$B$4:$Y$1038,7,)</f>
        <v>2699</v>
      </c>
      <c r="I3" s="101">
        <f>VLOOKUP(A3,'BSE ALL CAP'!$B$4:$Y$1038,8,)</f>
        <v>1492</v>
      </c>
      <c r="J3" s="101">
        <f>VLOOKUP(A3,'BSE ALL CAP'!$B$4:$Y$1038,9,)</f>
        <v>746</v>
      </c>
      <c r="K3" s="101">
        <f>VLOOKUP(A3,'BSE ALL CAP'!$B$4:$Y$1038,10,)</f>
        <v>210</v>
      </c>
      <c r="L3" s="101">
        <f>VLOOKUP(A3,'BSE ALL CAP'!$B$4:$Y$1038,11,)</f>
        <v>874</v>
      </c>
      <c r="M3" s="101">
        <f>VLOOKUP(A3,'BSE ALL CAP'!$B$4:$Y$1038,12,)</f>
        <v>450</v>
      </c>
      <c r="N3" s="101">
        <f>VLOOKUP(A3,'BSE ALL CAP'!$B$4:$Y$1038,13,)</f>
        <v>217</v>
      </c>
      <c r="O3" s="101">
        <f>VLOOKUP(A3,'BSE ALL CAP'!$B$4:$Y$1038,14,)</f>
        <v>58</v>
      </c>
      <c r="P3" s="95">
        <f>VLOOKUP(A3,'BSE ALL CAP'!$B$4:$Y$1038,15,)</f>
        <v>0.27639866617265652</v>
      </c>
      <c r="Q3" s="95">
        <f>VLOOKUP(A3,'BSE ALL CAP'!$B$4:$Y$1038,16,)</f>
        <v>0.14075067024128687</v>
      </c>
      <c r="R3" s="95">
        <f>VLOOKUP(A3,'BSE ALL CAP'!$B$4:$Y$1038,17,)</f>
        <v>0.13564799593136964</v>
      </c>
      <c r="S3" s="95">
        <f>VLOOKUP(A3,'BSE ALL CAP'!$B$4:$Y$1038,18,)</f>
        <v>0.2482837528604119</v>
      </c>
      <c r="T3" s="95">
        <f>VLOOKUP(A3,'BSE ALL CAP'!$B$4:$Y$1038,19,)</f>
        <v>0.12888888888888889</v>
      </c>
      <c r="U3" s="95">
        <f>VLOOKUP(A3,'BSE ALL CAP'!$B$4:$Y$1038,20,)</f>
        <v>0.11939486397152302</v>
      </c>
      <c r="V3" s="95">
        <f>VLOOKUP(A3,'BSE ALL CAP'!$B$4:$Y$1038,21,)</f>
        <v>0.80898123324396787</v>
      </c>
      <c r="W3" s="95">
        <f>VLOOKUP(A3,'BSE ALL CAP'!$B$4:$Y$1038,22,)</f>
        <v>2.5523809523809522</v>
      </c>
      <c r="X3" s="95">
        <f>VLOOKUP(A3,'BSE ALL CAP'!$B$4:$Y$1038,23,)</f>
        <v>0.94222222222222229</v>
      </c>
      <c r="Y3" s="95">
        <f>VLOOKUP(A3,'BSE ALL CAP'!$B$4:$Y$1038,24,)</f>
        <v>2.7413793103448274</v>
      </c>
    </row>
    <row r="4" spans="1:25" ht="15.75" customHeight="1">
      <c r="A4" s="99">
        <v>544046</v>
      </c>
      <c r="B4" s="98" t="s">
        <v>2794</v>
      </c>
      <c r="C4" s="101" t="str">
        <f>VLOOKUP(A4,'BSE ALL CAP'!$B$4:$Y$1038,2,)</f>
        <v>Industrials</v>
      </c>
      <c r="D4" s="101" t="str">
        <f>VLOOKUP(A4,'BSE ALL CAP'!$B$4:$Y$1038,3,)</f>
        <v>Other Industrial Products</v>
      </c>
      <c r="E4" s="101">
        <f ca="1">IFERROR(__xludf.DUMMYFUNCTION("GOOGLEFINANCE(""BOM:""&amp;A4,""PRICE"")"),1218)</f>
        <v>1218</v>
      </c>
      <c r="F4" s="112">
        <f ca="1">IFERROR(__xludf.DUMMYFUNCTION("GOOGLEFINANCE(""BOM:""&amp;A4,""MARKETCAP"")/10000000"),11068.608825)</f>
        <v>11068.608824999999</v>
      </c>
      <c r="G4" s="95">
        <f t="shared" ca="1" si="0"/>
        <v>0.13227924553504303</v>
      </c>
      <c r="H4" s="101">
        <f>VLOOKUP(A4,'BSE ALL CAP'!$B$4:$Y$1038,7,)</f>
        <v>1126</v>
      </c>
      <c r="I4" s="101">
        <f>VLOOKUP(A4,'BSE ALL CAP'!$B$4:$Y$1038,8,)</f>
        <v>936</v>
      </c>
      <c r="J4" s="101">
        <f>VLOOKUP(A4,'BSE ALL CAP'!$B$4:$Y$1038,9,)</f>
        <v>182</v>
      </c>
      <c r="K4" s="101">
        <f>VLOOKUP(A4,'BSE ALL CAP'!$B$4:$Y$1038,10,)</f>
        <v>160</v>
      </c>
      <c r="L4" s="101">
        <f>VLOOKUP(A4,'BSE ALL CAP'!$B$4:$Y$1038,11,)</f>
        <v>428</v>
      </c>
      <c r="M4" s="101">
        <f>VLOOKUP(A4,'BSE ALL CAP'!$B$4:$Y$1038,12,)</f>
        <v>333</v>
      </c>
      <c r="N4" s="101">
        <f>VLOOKUP(A4,'BSE ALL CAP'!$B$4:$Y$1038,13,)</f>
        <v>60</v>
      </c>
      <c r="O4" s="101">
        <f>VLOOKUP(A4,'BSE ALL CAP'!$B$4:$Y$1038,14,)</f>
        <v>58</v>
      </c>
      <c r="P4" s="95">
        <f>VLOOKUP(A4,'BSE ALL CAP'!$B$4:$Y$1038,15,)</f>
        <v>0.16163410301953818</v>
      </c>
      <c r="Q4" s="95">
        <f>VLOOKUP(A4,'BSE ALL CAP'!$B$4:$Y$1038,16,)</f>
        <v>0.17094017094017094</v>
      </c>
      <c r="R4" s="95">
        <f>VLOOKUP(A4,'BSE ALL CAP'!$B$4:$Y$1038,17,)</f>
        <v>-9.3060679206327657E-3</v>
      </c>
      <c r="S4" s="95">
        <f>VLOOKUP(A4,'BSE ALL CAP'!$B$4:$Y$1038,18,)</f>
        <v>0.14018691588785046</v>
      </c>
      <c r="T4" s="95">
        <f>VLOOKUP(A4,'BSE ALL CAP'!$B$4:$Y$1038,19,)</f>
        <v>0.17417417417417416</v>
      </c>
      <c r="U4" s="95">
        <f>VLOOKUP(A4,'BSE ALL CAP'!$B$4:$Y$1038,20,)</f>
        <v>-3.3987258286323707E-2</v>
      </c>
      <c r="V4" s="95">
        <f>VLOOKUP(A4,'BSE ALL CAP'!$B$4:$Y$1038,21,)</f>
        <v>0.20299145299145294</v>
      </c>
      <c r="W4" s="95">
        <f>VLOOKUP(A4,'BSE ALL CAP'!$B$4:$Y$1038,22,)</f>
        <v>0.13749999999999996</v>
      </c>
      <c r="X4" s="95">
        <f>VLOOKUP(A4,'BSE ALL CAP'!$B$4:$Y$1038,23,)</f>
        <v>0.28528528528528518</v>
      </c>
      <c r="Y4" s="95">
        <f>VLOOKUP(A4,'BSE ALL CAP'!$B$4:$Y$1038,24,)</f>
        <v>3.4482758620689724E-2</v>
      </c>
    </row>
    <row r="5" spans="1:25" ht="15.75" customHeight="1">
      <c r="A5" s="99">
        <v>500133</v>
      </c>
      <c r="B5" s="98" t="s">
        <v>2795</v>
      </c>
      <c r="C5" s="101" t="str">
        <f>VLOOKUP(A5,'BSE ALL CAP'!$B$4:$Y$1038,2,)</f>
        <v>Industrials</v>
      </c>
      <c r="D5" s="101" t="str">
        <f>VLOOKUP(A5,'BSE ALL CAP'!$B$4:$Y$1038,3,)</f>
        <v>Other Industrial Products</v>
      </c>
      <c r="E5" s="101">
        <f ca="1">IFERROR(__xludf.DUMMYFUNCTION("GOOGLEFINANCE(""BOM:""&amp;A5,""PRICE"")"),5159)</f>
        <v>5159</v>
      </c>
      <c r="F5" s="112">
        <f ca="1">IFERROR(__xludf.DUMMYFUNCTION("GOOGLEFINANCE(""BOM:""&amp;A5,""MARKETCAP"")/10000000"),7986.8173189)</f>
        <v>7986.8173188999999</v>
      </c>
      <c r="G5" s="95">
        <f t="shared" ca="1" si="0"/>
        <v>9.5449228161724936E-2</v>
      </c>
      <c r="H5" s="101">
        <f>VLOOKUP(A5,'BSE ALL CAP'!$B$4:$Y$1038,7,)</f>
        <v>1112</v>
      </c>
      <c r="I5" s="101">
        <f>VLOOKUP(A5,'BSE ALL CAP'!$B$4:$Y$1038,8,)</f>
        <v>1005</v>
      </c>
      <c r="J5" s="101">
        <f>VLOOKUP(A5,'BSE ALL CAP'!$B$4:$Y$1038,9,)</f>
        <v>163</v>
      </c>
      <c r="K5" s="101">
        <f>VLOOKUP(A5,'BSE ALL CAP'!$B$4:$Y$1038,10,)</f>
        <v>127</v>
      </c>
      <c r="L5" s="101">
        <f>VLOOKUP(A5,'BSE ALL CAP'!$B$4:$Y$1038,11,)</f>
        <v>378</v>
      </c>
      <c r="M5" s="101">
        <f>VLOOKUP(A5,'BSE ALL CAP'!$B$4:$Y$1038,12,)</f>
        <v>337</v>
      </c>
      <c r="N5" s="101">
        <f>VLOOKUP(A5,'BSE ALL CAP'!$B$4:$Y$1038,13,)</f>
        <v>43</v>
      </c>
      <c r="O5" s="101">
        <f>VLOOKUP(A5,'BSE ALL CAP'!$B$4:$Y$1038,14,)</f>
        <v>40</v>
      </c>
      <c r="P5" s="95">
        <f>VLOOKUP(A5,'BSE ALL CAP'!$B$4:$Y$1038,15,)</f>
        <v>0.14658273381294964</v>
      </c>
      <c r="Q5" s="95">
        <f>VLOOKUP(A5,'BSE ALL CAP'!$B$4:$Y$1038,16,)</f>
        <v>0.12636815920398009</v>
      </c>
      <c r="R5" s="95">
        <f>VLOOKUP(A5,'BSE ALL CAP'!$B$4:$Y$1038,17,)</f>
        <v>2.0214574608969554E-2</v>
      </c>
      <c r="S5" s="95">
        <f>VLOOKUP(A5,'BSE ALL CAP'!$B$4:$Y$1038,18,)</f>
        <v>0.11375661375661375</v>
      </c>
      <c r="T5" s="95">
        <f>VLOOKUP(A5,'BSE ALL CAP'!$B$4:$Y$1038,19,)</f>
        <v>0.11869436201780416</v>
      </c>
      <c r="U5" s="95">
        <f>VLOOKUP(A5,'BSE ALL CAP'!$B$4:$Y$1038,20,)</f>
        <v>-4.9377482611904083E-3</v>
      </c>
      <c r="V5" s="95">
        <f>VLOOKUP(A5,'BSE ALL CAP'!$B$4:$Y$1038,21,)</f>
        <v>0.10646766169154231</v>
      </c>
      <c r="W5" s="95">
        <f>VLOOKUP(A5,'BSE ALL CAP'!$B$4:$Y$1038,22,)</f>
        <v>0.2834645669291338</v>
      </c>
      <c r="X5" s="95">
        <f>VLOOKUP(A5,'BSE ALL CAP'!$B$4:$Y$1038,23,)</f>
        <v>0.12166172106824935</v>
      </c>
      <c r="Y5" s="95">
        <f>VLOOKUP(A5,'BSE ALL CAP'!$B$4:$Y$1038,24,)</f>
        <v>7.4999999999999956E-2</v>
      </c>
    </row>
    <row r="6" spans="1:25" ht="15.75" customHeight="1">
      <c r="A6" s="99">
        <v>544263</v>
      </c>
      <c r="B6" s="98" t="s">
        <v>2796</v>
      </c>
      <c r="C6" s="101" t="str">
        <f>VLOOKUP(A6,'BSE ALL CAP'!$B$4:$Y$1038,2,)</f>
        <v>Industrials</v>
      </c>
      <c r="D6" s="101" t="str">
        <f>VLOOKUP(A6,'BSE ALL CAP'!$B$4:$Y$1038,3,)</f>
        <v>Other Industrial Products</v>
      </c>
      <c r="E6" s="101">
        <f ca="1">IFERROR(__xludf.DUMMYFUNCTION("GOOGLEFINANCE(""BOM:""&amp;A6,""PRICE"")"),889.7)</f>
        <v>889.7</v>
      </c>
      <c r="F6" s="112">
        <f ca="1">IFERROR(__xludf.DUMMYFUNCTION("GOOGLEFINANCE(""BOM:""&amp;A6,""MARKETCAP"")/10000000"),5538.15306)</f>
        <v>5538.1530599999996</v>
      </c>
      <c r="G6" s="95">
        <f t="shared" ca="1" si="0"/>
        <v>6.6185617363200097E-2</v>
      </c>
      <c r="H6" s="101">
        <f>VLOOKUP(A6,'BSE ALL CAP'!$B$4:$Y$1038,7,)</f>
        <v>420</v>
      </c>
      <c r="I6" s="101">
        <f>VLOOKUP(A6,'BSE ALL CAP'!$B$4:$Y$1038,8,)</f>
        <v>298</v>
      </c>
      <c r="J6" s="101">
        <f>VLOOKUP(A6,'BSE ALL CAP'!$B$4:$Y$1038,9,)</f>
        <v>53</v>
      </c>
      <c r="K6" s="101">
        <f>VLOOKUP(A6,'BSE ALL CAP'!$B$4:$Y$1038,10,)</f>
        <v>38</v>
      </c>
      <c r="L6" s="101">
        <f>VLOOKUP(A6,'BSE ALL CAP'!$B$4:$Y$1038,11,)</f>
        <v>153</v>
      </c>
      <c r="M6" s="101">
        <f>VLOOKUP(A6,'BSE ALL CAP'!$B$4:$Y$1038,12,)</f>
        <v>111</v>
      </c>
      <c r="N6" s="101">
        <f>VLOOKUP(A6,'BSE ALL CAP'!$B$4:$Y$1038,13,)</f>
        <v>22</v>
      </c>
      <c r="O6" s="101">
        <f>VLOOKUP(A6,'BSE ALL CAP'!$B$4:$Y$1038,14,)</f>
        <v>13</v>
      </c>
      <c r="P6" s="95">
        <f>VLOOKUP(A6,'BSE ALL CAP'!$B$4:$Y$1038,15,)</f>
        <v>0.12619047619047619</v>
      </c>
      <c r="Q6" s="95">
        <f>VLOOKUP(A6,'BSE ALL CAP'!$B$4:$Y$1038,16,)</f>
        <v>0.12751677852348994</v>
      </c>
      <c r="R6" s="95">
        <f>VLOOKUP(A6,'BSE ALL CAP'!$B$4:$Y$1038,17,)</f>
        <v>-1.3263023330137569E-3</v>
      </c>
      <c r="S6" s="95">
        <f>VLOOKUP(A6,'BSE ALL CAP'!$B$4:$Y$1038,18,)</f>
        <v>0.1437908496732026</v>
      </c>
      <c r="T6" s="95">
        <f>VLOOKUP(A6,'BSE ALL CAP'!$B$4:$Y$1038,19,)</f>
        <v>0.11711711711711711</v>
      </c>
      <c r="U6" s="95">
        <f>VLOOKUP(A6,'BSE ALL CAP'!$B$4:$Y$1038,20,)</f>
        <v>2.6673732556085489E-2</v>
      </c>
      <c r="V6" s="95">
        <f>VLOOKUP(A6,'BSE ALL CAP'!$B$4:$Y$1038,21,)</f>
        <v>0.40939597315436238</v>
      </c>
      <c r="W6" s="95">
        <f>VLOOKUP(A6,'BSE ALL CAP'!$B$4:$Y$1038,22,)</f>
        <v>0.39473684210526305</v>
      </c>
      <c r="X6" s="95">
        <f>VLOOKUP(A6,'BSE ALL CAP'!$B$4:$Y$1038,23,)</f>
        <v>0.37837837837837829</v>
      </c>
      <c r="Y6" s="95">
        <f>VLOOKUP(A6,'BSE ALL CAP'!$B$4:$Y$1038,24,)</f>
        <v>0.69230769230769229</v>
      </c>
    </row>
    <row r="7" spans="1:25" ht="15.75" customHeight="1">
      <c r="A7" s="99">
        <v>517168</v>
      </c>
      <c r="B7" s="98" t="s">
        <v>2797</v>
      </c>
      <c r="C7" s="101" t="str">
        <f>VLOOKUP(A7,'BSE ALL CAP'!$B$4:$Y$1038,2,)</f>
        <v>Industrials</v>
      </c>
      <c r="D7" s="101" t="str">
        <f>VLOOKUP(A7,'BSE ALL CAP'!$B$4:$Y$1038,3,)</f>
        <v>Other Industrial Products</v>
      </c>
      <c r="E7" s="101">
        <f ca="1">IFERROR(__xludf.DUMMYFUNCTION("GOOGLEFINANCE(""BOM:""&amp;A7,""PRICE"")"),690.85)</f>
        <v>690.85</v>
      </c>
      <c r="F7" s="112">
        <f ca="1">IFERROR(__xludf.DUMMYFUNCTION("GOOGLEFINANCE(""BOM:""&amp;A7,""MARKETCAP"")/10000000"),4499.3097571)</f>
        <v>4499.3097570999998</v>
      </c>
      <c r="G7" s="95">
        <f t="shared" ca="1" si="0"/>
        <v>5.3770560465862857E-2</v>
      </c>
      <c r="H7" s="101">
        <f>VLOOKUP(A7,'BSE ALL CAP'!$B$4:$Y$1038,7,)</f>
        <v>2705</v>
      </c>
      <c r="I7" s="101">
        <f>VLOOKUP(A7,'BSE ALL CAP'!$B$4:$Y$1038,8,)</f>
        <v>2459</v>
      </c>
      <c r="J7" s="101">
        <f>VLOOKUP(A7,'BSE ALL CAP'!$B$4:$Y$1038,9,)</f>
        <v>116</v>
      </c>
      <c r="K7" s="101">
        <f>VLOOKUP(A7,'BSE ALL CAP'!$B$4:$Y$1038,10,)</f>
        <v>104</v>
      </c>
      <c r="L7" s="101">
        <f>VLOOKUP(A7,'BSE ALL CAP'!$B$4:$Y$1038,11,)</f>
        <v>947</v>
      </c>
      <c r="M7" s="101">
        <f>VLOOKUP(A7,'BSE ALL CAP'!$B$4:$Y$1038,12,)</f>
        <v>820</v>
      </c>
      <c r="N7" s="101">
        <f>VLOOKUP(A7,'BSE ALL CAP'!$B$4:$Y$1038,13,)</f>
        <v>34</v>
      </c>
      <c r="O7" s="101">
        <f>VLOOKUP(A7,'BSE ALL CAP'!$B$4:$Y$1038,14,)</f>
        <v>32</v>
      </c>
      <c r="P7" s="95">
        <f>VLOOKUP(A7,'BSE ALL CAP'!$B$4:$Y$1038,15,)</f>
        <v>4.2883548983364141E-2</v>
      </c>
      <c r="Q7" s="95">
        <f>VLOOKUP(A7,'BSE ALL CAP'!$B$4:$Y$1038,16,)</f>
        <v>4.2293615290768603E-2</v>
      </c>
      <c r="R7" s="95">
        <f>VLOOKUP(A7,'BSE ALL CAP'!$B$4:$Y$1038,17,)</f>
        <v>5.899336925955373E-4</v>
      </c>
      <c r="S7" s="95">
        <f>VLOOKUP(A7,'BSE ALL CAP'!$B$4:$Y$1038,18,)</f>
        <v>3.5902851108764518E-2</v>
      </c>
      <c r="T7" s="95">
        <f>VLOOKUP(A7,'BSE ALL CAP'!$B$4:$Y$1038,19,)</f>
        <v>3.9024390243902439E-2</v>
      </c>
      <c r="U7" s="95">
        <f>VLOOKUP(A7,'BSE ALL CAP'!$B$4:$Y$1038,20,)</f>
        <v>-3.1215391351379213E-3</v>
      </c>
      <c r="V7" s="95">
        <f>VLOOKUP(A7,'BSE ALL CAP'!$B$4:$Y$1038,21,)</f>
        <v>0.10004066693777958</v>
      </c>
      <c r="W7" s="95">
        <f>VLOOKUP(A7,'BSE ALL CAP'!$B$4:$Y$1038,22,)</f>
        <v>0.11538461538461542</v>
      </c>
      <c r="X7" s="95">
        <f>VLOOKUP(A7,'BSE ALL CAP'!$B$4:$Y$1038,23,)</f>
        <v>0.15487804878048772</v>
      </c>
      <c r="Y7" s="95">
        <f>VLOOKUP(A7,'BSE ALL CAP'!$B$4:$Y$1038,24,)</f>
        <v>6.25E-2</v>
      </c>
    </row>
    <row r="8" spans="1:25" ht="15.75" customHeight="1">
      <c r="A8" s="99">
        <v>543600</v>
      </c>
      <c r="B8" s="98" t="s">
        <v>2798</v>
      </c>
      <c r="C8" s="101" t="str">
        <f>VLOOKUP(A8,'BSE ALL CAP'!$B$4:$Y$1038,2,)</f>
        <v>Industrials</v>
      </c>
      <c r="D8" s="101" t="str">
        <f>VLOOKUP(A8,'BSE ALL CAP'!$B$4:$Y$1038,3,)</f>
        <v>Other Industrial Products</v>
      </c>
      <c r="E8" s="101">
        <f ca="1">IFERROR(__xludf.DUMMYFUNCTION("GOOGLEFINANCE(""BOM:""&amp;A8,""PRICE"")"),332.35)</f>
        <v>332.35</v>
      </c>
      <c r="F8" s="112">
        <f ca="1">IFERROR(__xludf.DUMMYFUNCTION("GOOGLEFINANCE(""BOM:""&amp;A8,""MARKETCAP"")/10000000"),3034.955129)</f>
        <v>3034.9551289999999</v>
      </c>
      <c r="G8" s="95">
        <f t="shared" ca="1" si="0"/>
        <v>3.6270283017868707E-2</v>
      </c>
      <c r="H8" s="101">
        <f>VLOOKUP(A8,'BSE ALL CAP'!$B$4:$Y$1038,7,)</f>
        <v>1152</v>
      </c>
      <c r="I8" s="101">
        <f>VLOOKUP(A8,'BSE ALL CAP'!$B$4:$Y$1038,8,)</f>
        <v>1034</v>
      </c>
      <c r="J8" s="101">
        <f>VLOOKUP(A8,'BSE ALL CAP'!$B$4:$Y$1038,9,)</f>
        <v>102</v>
      </c>
      <c r="K8" s="101">
        <f>VLOOKUP(A8,'BSE ALL CAP'!$B$4:$Y$1038,10,)</f>
        <v>90</v>
      </c>
      <c r="L8" s="101">
        <f>VLOOKUP(A8,'BSE ALL CAP'!$B$4:$Y$1038,11,)</f>
        <v>409</v>
      </c>
      <c r="M8" s="101">
        <f>VLOOKUP(A8,'BSE ALL CAP'!$B$4:$Y$1038,12,)</f>
        <v>338</v>
      </c>
      <c r="N8" s="101">
        <f>VLOOKUP(A8,'BSE ALL CAP'!$B$4:$Y$1038,13,)</f>
        <v>33</v>
      </c>
      <c r="O8" s="101">
        <f>VLOOKUP(A8,'BSE ALL CAP'!$B$4:$Y$1038,14,)</f>
        <v>26</v>
      </c>
      <c r="P8" s="95">
        <f>VLOOKUP(A8,'BSE ALL CAP'!$B$4:$Y$1038,15,)</f>
        <v>8.8541666666666671E-2</v>
      </c>
      <c r="Q8" s="95">
        <f>VLOOKUP(A8,'BSE ALL CAP'!$B$4:$Y$1038,16,)</f>
        <v>8.7040618955512572E-2</v>
      </c>
      <c r="R8" s="95">
        <f>VLOOKUP(A8,'BSE ALL CAP'!$B$4:$Y$1038,17,)</f>
        <v>1.5010477111540993E-3</v>
      </c>
      <c r="S8" s="95">
        <f>VLOOKUP(A8,'BSE ALL CAP'!$B$4:$Y$1038,18,)</f>
        <v>8.0684596577017112E-2</v>
      </c>
      <c r="T8" s="95">
        <f>VLOOKUP(A8,'BSE ALL CAP'!$B$4:$Y$1038,19,)</f>
        <v>7.6923076923076927E-2</v>
      </c>
      <c r="U8" s="95">
        <f>VLOOKUP(A8,'BSE ALL CAP'!$B$4:$Y$1038,20,)</f>
        <v>3.7615196539401846E-3</v>
      </c>
      <c r="V8" s="95">
        <f>VLOOKUP(A8,'BSE ALL CAP'!$B$4:$Y$1038,21,)</f>
        <v>0.11411992263056092</v>
      </c>
      <c r="W8" s="95">
        <f>VLOOKUP(A8,'BSE ALL CAP'!$B$4:$Y$1038,22,)</f>
        <v>0.1333333333333333</v>
      </c>
      <c r="X8" s="95">
        <f>VLOOKUP(A8,'BSE ALL CAP'!$B$4:$Y$1038,23,)</f>
        <v>0.21005917159763321</v>
      </c>
      <c r="Y8" s="95">
        <f>VLOOKUP(A8,'BSE ALL CAP'!$B$4:$Y$1038,24,)</f>
        <v>0.26923076923076916</v>
      </c>
    </row>
    <row r="9" spans="1:25" ht="15.75" customHeight="1">
      <c r="A9" s="99">
        <v>500243</v>
      </c>
      <c r="B9" s="98" t="s">
        <v>2799</v>
      </c>
      <c r="C9" s="101" t="str">
        <f>VLOOKUP(A9,'BSE ALL CAP'!$B$4:$Y$1038,2,)</f>
        <v>Industrials</v>
      </c>
      <c r="D9" s="101" t="str">
        <f>VLOOKUP(A9,'BSE ALL CAP'!$B$4:$Y$1038,3,)</f>
        <v>Other Industrial Products</v>
      </c>
      <c r="E9" s="101">
        <f ca="1">IFERROR(__xludf.DUMMYFUNCTION("GOOGLEFINANCE(""BOM:""&amp;A9,""PRICE"")"),2866)</f>
        <v>2866</v>
      </c>
      <c r="F9" s="112">
        <f ca="1">IFERROR(__xludf.DUMMYFUNCTION("GOOGLEFINANCE(""BOM:""&amp;A9,""MARKETCAP"")/10000000"),2995.2756463)</f>
        <v>2995.2756463000001</v>
      </c>
      <c r="G9" s="95">
        <f t="shared" ca="1" si="0"/>
        <v>3.579607960913303E-2</v>
      </c>
      <c r="H9" s="101">
        <f>VLOOKUP(A9,'BSE ALL CAP'!$B$4:$Y$1038,7,)</f>
        <v>5111</v>
      </c>
      <c r="I9" s="101">
        <f>VLOOKUP(A9,'BSE ALL CAP'!$B$4:$Y$1038,8,)</f>
        <v>4860</v>
      </c>
      <c r="J9" s="101">
        <f>VLOOKUP(A9,'BSE ALL CAP'!$B$4:$Y$1038,9,)</f>
        <v>110</v>
      </c>
      <c r="K9" s="101">
        <f>VLOOKUP(A9,'BSE ALL CAP'!$B$4:$Y$1038,10,)</f>
        <v>94</v>
      </c>
      <c r="L9" s="101">
        <f>VLOOKUP(A9,'BSE ALL CAP'!$B$4:$Y$1038,11,)</f>
        <v>1624</v>
      </c>
      <c r="M9" s="101">
        <f>VLOOKUP(A9,'BSE ALL CAP'!$B$4:$Y$1038,12,)</f>
        <v>1614</v>
      </c>
      <c r="N9" s="101">
        <f>VLOOKUP(A9,'BSE ALL CAP'!$B$4:$Y$1038,13,)</f>
        <v>26</v>
      </c>
      <c r="O9" s="101">
        <f>VLOOKUP(A9,'BSE ALL CAP'!$B$4:$Y$1038,14,)</f>
        <v>26</v>
      </c>
      <c r="P9" s="95">
        <f>VLOOKUP(A9,'BSE ALL CAP'!$B$4:$Y$1038,15,)</f>
        <v>2.1522207004500096E-2</v>
      </c>
      <c r="Q9" s="95">
        <f>VLOOKUP(A9,'BSE ALL CAP'!$B$4:$Y$1038,16,)</f>
        <v>1.934156378600823E-2</v>
      </c>
      <c r="R9" s="95">
        <f>VLOOKUP(A9,'BSE ALL CAP'!$B$4:$Y$1038,17,)</f>
        <v>2.1806432184918664E-3</v>
      </c>
      <c r="S9" s="95">
        <f>VLOOKUP(A9,'BSE ALL CAP'!$B$4:$Y$1038,18,)</f>
        <v>1.600985221674877E-2</v>
      </c>
      <c r="T9" s="95">
        <f>VLOOKUP(A9,'BSE ALL CAP'!$B$4:$Y$1038,19,)</f>
        <v>1.6109045848822799E-2</v>
      </c>
      <c r="U9" s="95">
        <f>VLOOKUP(A9,'BSE ALL CAP'!$B$4:$Y$1038,20,)</f>
        <v>-9.9193632074029425E-5</v>
      </c>
      <c r="V9" s="95">
        <f>VLOOKUP(A9,'BSE ALL CAP'!$B$4:$Y$1038,21,)</f>
        <v>5.1646090534979372E-2</v>
      </c>
      <c r="W9" s="95">
        <f>VLOOKUP(A9,'BSE ALL CAP'!$B$4:$Y$1038,22,)</f>
        <v>0.17021276595744683</v>
      </c>
      <c r="X9" s="95">
        <f>VLOOKUP(A9,'BSE ALL CAP'!$B$4:$Y$1038,23,)</f>
        <v>6.1957868649318293E-3</v>
      </c>
      <c r="Y9" s="95">
        <f>VLOOKUP(A9,'BSE ALL CAP'!$B$4:$Y$1038,24,)</f>
        <v>0</v>
      </c>
    </row>
    <row r="10" spans="1:25" ht="15.75" customHeight="1">
      <c r="A10" s="99">
        <v>517041</v>
      </c>
      <c r="B10" s="98" t="s">
        <v>2800</v>
      </c>
      <c r="C10" s="101"/>
      <c r="D10" s="101"/>
      <c r="E10" s="101">
        <f ca="1">IFERROR(__xludf.DUMMYFUNCTION("GOOGLEFINANCE(""BOM:""&amp;A10,""PRICE"")"),862.5)</f>
        <v>862.5</v>
      </c>
      <c r="F10" s="112">
        <f ca="1">IFERROR(__xludf.DUMMYFUNCTION("GOOGLEFINANCE(""BOM:""&amp;A10,""MARKETCAP"")/10000000"),1496.64252)</f>
        <v>1496.6425200000001</v>
      </c>
      <c r="G10" s="95">
        <f t="shared" ca="1" si="0"/>
        <v>1.7886145089355036E-2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544264</v>
      </c>
      <c r="B11" s="98" t="s">
        <v>2801</v>
      </c>
      <c r="C11" s="101"/>
      <c r="D11" s="101"/>
      <c r="E11" s="101">
        <f ca="1">IFERROR(__xludf.DUMMYFUNCTION("GOOGLEFINANCE(""BOM:""&amp;A11,""PRICE"")"),280.7)</f>
        <v>280.7</v>
      </c>
      <c r="F11" s="112">
        <f ca="1">IFERROR(__xludf.DUMMYFUNCTION("GOOGLEFINANCE(""BOM:""&amp;A11,""MARKETCAP"")/10000000"),1044.8657409)</f>
        <v>1044.8657409</v>
      </c>
      <c r="G11" s="95">
        <f t="shared" ca="1" si="0"/>
        <v>1.2487030129702479E-2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532850</v>
      </c>
      <c r="B12" s="98" t="s">
        <v>2802</v>
      </c>
      <c r="C12" s="101"/>
      <c r="D12" s="101"/>
      <c r="E12" s="101">
        <f ca="1">IFERROR(__xludf.DUMMYFUNCTION("GOOGLEFINANCE(""BOM:""&amp;A12,""PRICE"")"),33.86)</f>
        <v>33.86</v>
      </c>
      <c r="F12" s="112">
        <f ca="1">IFERROR(__xludf.DUMMYFUNCTION("GOOGLEFINANCE(""BOM:""&amp;A12,""MARKETCAP"")/10000000"),1008.86056)</f>
        <v>1008.86056</v>
      </c>
      <c r="G12" s="95">
        <f t="shared" ca="1" si="0"/>
        <v>1.2056737737938897E-2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539400</v>
      </c>
      <c r="B13" s="98" t="s">
        <v>2803</v>
      </c>
      <c r="C13" s="101"/>
      <c r="D13" s="101"/>
      <c r="E13" s="101">
        <f ca="1">IFERROR(__xludf.DUMMYFUNCTION("GOOGLEFINANCE(""BOM:""&amp;A13,""PRICE"")"),1015.55)</f>
        <v>1015.55</v>
      </c>
      <c r="F13" s="112">
        <f ca="1">IFERROR(__xludf.DUMMYFUNCTION("GOOGLEFINANCE(""BOM:""&amp;A13,""MARKETCAP"")/10000000"),639.6)</f>
        <v>639.6</v>
      </c>
      <c r="G13" s="95">
        <f t="shared" ca="1" si="0"/>
        <v>7.6437614502302669E-3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504746</v>
      </c>
      <c r="B14" s="98" t="s">
        <v>2804</v>
      </c>
      <c r="C14" s="101"/>
      <c r="D14" s="101"/>
      <c r="E14" s="101">
        <f ca="1">IFERROR(__xludf.DUMMYFUNCTION("GOOGLEFINANCE(""BOM:""&amp;A14,""PRICE"")"),1342.55)</f>
        <v>1342.55</v>
      </c>
      <c r="F14" s="112">
        <f ca="1">IFERROR(__xludf.DUMMYFUNCTION("GOOGLEFINANCE(""BOM:""&amp;A14,""MARKETCAP"")/10000000"),359.1320038)</f>
        <v>359.13200380000001</v>
      </c>
      <c r="G14" s="95">
        <f t="shared" ca="1" si="0"/>
        <v>4.2919314668392579E-3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543782</v>
      </c>
      <c r="B15" s="98" t="s">
        <v>2805</v>
      </c>
      <c r="C15" s="101"/>
      <c r="D15" s="101"/>
      <c r="E15" s="101">
        <f ca="1">IFERROR(__xludf.DUMMYFUNCTION("GOOGLEFINANCE(""BOM:""&amp;A15,""PRICE"")"),352)</f>
        <v>352</v>
      </c>
      <c r="F15" s="112">
        <f ca="1">IFERROR(__xludf.DUMMYFUNCTION("GOOGLEFINANCE(""BOM:""&amp;A15,""MARKETCAP"")/10000000"),382.272)</f>
        <v>382.27199999999999</v>
      </c>
      <c r="G15" s="95">
        <f t="shared" ca="1" si="0"/>
        <v>4.5684740104790875E-3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513472</v>
      </c>
      <c r="B16" s="98" t="s">
        <v>2806</v>
      </c>
      <c r="C16" s="101"/>
      <c r="D16" s="101"/>
      <c r="E16" s="101">
        <f ca="1">IFERROR(__xludf.DUMMYFUNCTION("GOOGLEFINANCE(""BOM:""&amp;A16,""PRICE"")"),522.95)</f>
        <v>522.95000000000005</v>
      </c>
      <c r="F16" s="112">
        <f ca="1">IFERROR(__xludf.DUMMYFUNCTION("GOOGLEFINANCE(""BOM:""&amp;A16,""MARKETCAP"")/10000000"),428.7796318)</f>
        <v>428.7796318</v>
      </c>
      <c r="G16" s="95">
        <f t="shared" ca="1" si="0"/>
        <v>5.1242795812957596E-3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543982</v>
      </c>
      <c r="B17" s="98" t="s">
        <v>2807</v>
      </c>
      <c r="C17" s="101"/>
      <c r="D17" s="101"/>
      <c r="E17" s="101">
        <f ca="1">IFERROR(__xludf.DUMMYFUNCTION("GOOGLEFINANCE(""BOM:""&amp;A17,""PRICE"")"),139)</f>
        <v>139</v>
      </c>
      <c r="F17" s="112">
        <f ca="1">IFERROR(__xludf.DUMMYFUNCTION("GOOGLEFINANCE(""BOM:""&amp;A17,""MARKETCAP"")/10000000"),142.580779)</f>
        <v>142.58077900000001</v>
      </c>
      <c r="G17" s="95">
        <f t="shared" ca="1" si="0"/>
        <v>1.7039610101063183E-3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543937</v>
      </c>
      <c r="B18" s="98" t="s">
        <v>2808</v>
      </c>
      <c r="C18" s="101"/>
      <c r="D18" s="101"/>
      <c r="E18" s="101">
        <f ca="1">IFERROR(__xludf.DUMMYFUNCTION("GOOGLEFINANCE(""BOM:""&amp;A18,""PRICE"")"),185.6)</f>
        <v>185.6</v>
      </c>
      <c r="F18" s="112">
        <f ca="1">IFERROR(__xludf.DUMMYFUNCTION("GOOGLEFINANCE(""BOM:""&amp;A18,""MARKETCAP"")/10000000"),189.1113726)</f>
        <v>189.11137260000001</v>
      </c>
      <c r="G18" s="95">
        <f t="shared" ca="1" si="0"/>
        <v>2.260040993871189E-3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544108</v>
      </c>
      <c r="B19" s="98" t="s">
        <v>2809</v>
      </c>
      <c r="C19" s="101"/>
      <c r="D19" s="101"/>
      <c r="E19" s="101">
        <f ca="1">IFERROR(__xludf.DUMMYFUNCTION("GOOGLEFINANCE(""BOM:""&amp;A19,""PRICE"")"),175)</f>
        <v>175</v>
      </c>
      <c r="F19" s="112">
        <f ca="1">IFERROR(__xludf.DUMMYFUNCTION("GOOGLEFINANCE(""BOM:""&amp;A19,""MARKETCAP"")/10000000"),130.90077)</f>
        <v>130.90076999999999</v>
      </c>
      <c r="G19" s="95">
        <f t="shared" ca="1" si="0"/>
        <v>1.5643750149022177E-3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501391</v>
      </c>
      <c r="B20" s="98" t="s">
        <v>2810</v>
      </c>
      <c r="C20" s="101"/>
      <c r="D20" s="101"/>
      <c r="E20" s="101">
        <f ca="1">IFERROR(__xludf.DUMMYFUNCTION("GOOGLEFINANCE(""BOM:""&amp;A20,""PRICE"")"),547.7)</f>
        <v>547.70000000000005</v>
      </c>
      <c r="F20" s="112">
        <f ca="1">IFERROR(__xludf.DUMMYFUNCTION("GOOGLEFINANCE(""BOM:""&amp;A20,""MARKETCAP"")/10000000"),139.6635031)</f>
        <v>139.66350310000001</v>
      </c>
      <c r="G20" s="95">
        <f t="shared" ca="1" si="0"/>
        <v>1.6690970934957715E-3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539219</v>
      </c>
      <c r="B21" s="98" t="s">
        <v>2811</v>
      </c>
      <c r="C21" s="101"/>
      <c r="D21" s="101"/>
      <c r="E21" s="101">
        <f ca="1">IFERROR(__xludf.DUMMYFUNCTION("GOOGLEFINANCE(""BOM:""&amp;A21,""PRICE"")"),8.22)</f>
        <v>8.2200000000000006</v>
      </c>
      <c r="F21" s="112">
        <f ca="1">IFERROR(__xludf.DUMMYFUNCTION("GOOGLEFINANCE(""BOM:""&amp;A21,""MARKETCAP"")/10000000"),109.4904035)</f>
        <v>109.4904035</v>
      </c>
      <c r="G21" s="95">
        <f t="shared" ca="1" si="0"/>
        <v>1.3085030103868935E-3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526614</v>
      </c>
      <c r="B22" s="98" t="s">
        <v>2812</v>
      </c>
      <c r="C22" s="101"/>
      <c r="D22" s="101"/>
      <c r="E22" s="101">
        <f ca="1">IFERROR(__xludf.DUMMYFUNCTION("GOOGLEFINANCE(""BOM:""&amp;A22,""PRICE"")"),65.54)</f>
        <v>65.540000000000006</v>
      </c>
      <c r="F22" s="112">
        <f ca="1">IFERROR(__xludf.DUMMYFUNCTION("GOOGLEFINANCE(""BOM:""&amp;A22,""MARKETCAP"")/10000000"),149.4076076)</f>
        <v>149.40760760000001</v>
      </c>
      <c r="G22" s="95">
        <f t="shared" ca="1" si="0"/>
        <v>1.7855473910944506E-3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544047</v>
      </c>
      <c r="B23" s="98" t="s">
        <v>2813</v>
      </c>
      <c r="C23" s="101"/>
      <c r="D23" s="101"/>
      <c r="E23" s="101">
        <f ca="1">IFERROR(__xludf.DUMMYFUNCTION("GOOGLEFINANCE(""BOM:""&amp;A23,""PRICE"")"),38.95)</f>
        <v>38.950000000000003</v>
      </c>
      <c r="F23" s="112">
        <f ca="1">IFERROR(__xludf.DUMMYFUNCTION("GOOGLEFINANCE(""BOM:""&amp;A23,""MARKETCAP"")/10000000"),84.8689746)</f>
        <v>84.868974600000001</v>
      </c>
      <c r="G23" s="95">
        <f t="shared" ca="1" si="0"/>
        <v>1.0142560918825073E-3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504286</v>
      </c>
      <c r="B24" s="98" t="s">
        <v>2814</v>
      </c>
      <c r="C24" s="101"/>
      <c r="D24" s="101"/>
      <c r="E24" s="101">
        <f ca="1">IFERROR(__xludf.DUMMYFUNCTION("GOOGLEFINANCE(""BOM:""&amp;A24,""PRICE"")"),54)</f>
        <v>54</v>
      </c>
      <c r="F24" s="112">
        <f ca="1">IFERROR(__xludf.DUMMYFUNCTION("GOOGLEFINANCE(""BOM:""&amp;A24,""MARKETCAP"")/10000000"),58.2705152)</f>
        <v>58.270515199999998</v>
      </c>
      <c r="G24" s="95">
        <f t="shared" ca="1" si="0"/>
        <v>6.9638198525768722E-4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544680</v>
      </c>
      <c r="B25" s="98" t="s">
        <v>2815</v>
      </c>
      <c r="C25" s="101"/>
      <c r="D25" s="101"/>
      <c r="E25" s="101">
        <f ca="1">IFERROR(__xludf.DUMMYFUNCTION("GOOGLEFINANCE(""BOM:""&amp;A25,""PRICE"")"),165.9)</f>
        <v>165.9</v>
      </c>
      <c r="F25" s="112">
        <f ca="1">IFERROR(__xludf.DUMMYFUNCTION("GOOGLEFINANCE(""BOM:""&amp;A25,""MARKETCAP"")/10000000"),51.4422701)</f>
        <v>51.442270100000002</v>
      </c>
      <c r="G25" s="95">
        <f t="shared" ca="1" si="0"/>
        <v>6.1477867589542379E-4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544171</v>
      </c>
      <c r="B26" s="98" t="s">
        <v>2816</v>
      </c>
      <c r="C26" s="101"/>
      <c r="D26" s="101"/>
      <c r="E26" s="101">
        <f ca="1">IFERROR(__xludf.DUMMYFUNCTION("GOOGLEFINANCE(""BOM:""&amp;A26,""PRICE"")"),43.6)</f>
        <v>43.6</v>
      </c>
      <c r="F26" s="112">
        <f ca="1">IFERROR(__xludf.DUMMYFUNCTION("GOOGLEFINANCE(""BOM:""&amp;A26,""MARKETCAP"")/10000000"),55.982398)</f>
        <v>55.982398000000003</v>
      </c>
      <c r="G26" s="95">
        <f t="shared" ca="1" si="0"/>
        <v>6.6903704772333953E-4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505807</v>
      </c>
      <c r="B27" s="98" t="s">
        <v>2817</v>
      </c>
      <c r="C27" s="101"/>
      <c r="D27" s="101"/>
      <c r="E27" s="101">
        <f ca="1">IFERROR(__xludf.DUMMYFUNCTION("GOOGLEFINANCE(""BOM:""&amp;A27,""PRICE"")"),691.95)</f>
        <v>691.95</v>
      </c>
      <c r="F27" s="112">
        <f ca="1">IFERROR(__xludf.DUMMYFUNCTION("GOOGLEFINANCE(""BOM:""&amp;A27,""MARKETCAP"")/10000000"),52.3114209)</f>
        <v>52.311420900000002</v>
      </c>
      <c r="G27" s="95">
        <f t="shared" ca="1" si="0"/>
        <v>6.2516576373075345E-4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504988</v>
      </c>
      <c r="B28" s="98" t="s">
        <v>2818</v>
      </c>
      <c r="C28" s="101"/>
      <c r="D28" s="101"/>
      <c r="E28" s="101">
        <f ca="1">IFERROR(__xludf.DUMMYFUNCTION("GOOGLEFINANCE(""BOM:""&amp;A28,""PRICE"")"),745)</f>
        <v>745</v>
      </c>
      <c r="F28" s="112">
        <f ca="1">IFERROR(__xludf.DUMMYFUNCTION("GOOGLEFINANCE(""BOM:""&amp;A28,""MARKETCAP"")/10000000"),47.542987)</f>
        <v>47.542986999999997</v>
      </c>
      <c r="G28" s="95">
        <f t="shared" ca="1" si="0"/>
        <v>5.6817894193151761E-4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544334</v>
      </c>
      <c r="B29" s="98" t="s">
        <v>2819</v>
      </c>
      <c r="C29" s="101"/>
      <c r="D29" s="101"/>
      <c r="E29" s="101">
        <f ca="1">IFERROR(__xludf.DUMMYFUNCTION("GOOGLEFINANCE(""BOM:""&amp;A29,""PRICE"")"),74.69)</f>
        <v>74.69</v>
      </c>
      <c r="F29" s="112">
        <f ca="1">IFERROR(__xludf.DUMMYFUNCTION("GOOGLEFINANCE(""BOM:""&amp;A29,""MARKETCAP"")/10000000"),47.0543355)</f>
        <v>47.054335500000001</v>
      </c>
      <c r="G29" s="95">
        <f t="shared" ca="1" si="0"/>
        <v>5.6233914284099676E-4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540079</v>
      </c>
      <c r="B30" s="98" t="s">
        <v>2820</v>
      </c>
      <c r="C30" s="101"/>
      <c r="D30" s="101"/>
      <c r="E30" s="101">
        <f ca="1">IFERROR(__xludf.DUMMYFUNCTION("GOOGLEFINANCE(""BOM:""&amp;A30,""PRICE"")"),1.18)</f>
        <v>1.18</v>
      </c>
      <c r="F30" s="112">
        <f ca="1">IFERROR(__xludf.DUMMYFUNCTION("GOOGLEFINANCE(""BOM:""&amp;A30,""MARKETCAP"")/10000000"),24.940349)</f>
        <v>24.940349000000001</v>
      </c>
      <c r="G30" s="95">
        <f t="shared" ca="1" si="0"/>
        <v>2.9805828367962631E-4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544500</v>
      </c>
      <c r="B31" s="98" t="s">
        <v>2821</v>
      </c>
      <c r="C31" s="101"/>
      <c r="D31" s="101"/>
      <c r="E31" s="101">
        <f ca="1">IFERROR(__xludf.DUMMYFUNCTION("GOOGLEFINANCE(""BOM:""&amp;A31,""PRICE"")"),36.7)</f>
        <v>36.700000000000003</v>
      </c>
      <c r="F31" s="112">
        <f ca="1">IFERROR(__xludf.DUMMYFUNCTION("GOOGLEFINANCE(""BOM:""&amp;A31,""MARKETCAP"")/10000000"),29.2933497)</f>
        <v>29.2933497</v>
      </c>
      <c r="G31" s="95">
        <f t="shared" ca="1" si="0"/>
        <v>3.5008032705593237E-4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530609</v>
      </c>
      <c r="B32" s="98" t="s">
        <v>2822</v>
      </c>
      <c r="C32" s="101"/>
      <c r="D32" s="101"/>
      <c r="E32" s="101">
        <f ca="1">IFERROR(__xludf.DUMMYFUNCTION("GOOGLEFINANCE(""BOM:""&amp;A32,""PRICE"")"),80.43)</f>
        <v>80.430000000000007</v>
      </c>
      <c r="F32" s="112">
        <f ca="1">IFERROR(__xludf.DUMMYFUNCTION("GOOGLEFINANCE(""BOM:""&amp;A32,""MARKETCAP"")/10000000"),27.8059379)</f>
        <v>27.8059379</v>
      </c>
      <c r="G32" s="95">
        <f t="shared" ca="1" si="0"/>
        <v>3.3230449688479791E-4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540727</v>
      </c>
      <c r="B33" s="98" t="s">
        <v>2823</v>
      </c>
      <c r="C33" s="101"/>
      <c r="D33" s="101"/>
      <c r="E33" s="101">
        <f ca="1">IFERROR(__xludf.DUMMYFUNCTION("GOOGLEFINANCE(""BOM:""&amp;A33,""PRICE"")"),22.64)</f>
        <v>22.64</v>
      </c>
      <c r="F33" s="112">
        <f ca="1">IFERROR(__xludf.DUMMYFUNCTION("GOOGLEFINANCE(""BOM:""&amp;A33,""MARKETCAP"")/10000000"),22.9614873)</f>
        <v>22.961487300000002</v>
      </c>
      <c r="G33" s="95">
        <f t="shared" ca="1" si="0"/>
        <v>2.7440921116899915E-4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544183</v>
      </c>
      <c r="B34" s="98" t="s">
        <v>2824</v>
      </c>
      <c r="C34" s="101"/>
      <c r="D34" s="101"/>
      <c r="E34" s="101">
        <f ca="1">IFERROR(__xludf.DUMMYFUNCTION("GOOGLEFINANCE(""BOM:""&amp;A34,""PRICE"")"),92.4)</f>
        <v>92.4</v>
      </c>
      <c r="F34" s="112">
        <f ca="1">IFERROR(__xludf.DUMMYFUNCTION("GOOGLEFINANCE(""BOM:""&amp;A34,""MARKETCAP"")/10000000"),12.49248)</f>
        <v>12.49248</v>
      </c>
      <c r="G34" s="95">
        <f t="shared" ca="1" si="0"/>
        <v>1.4929571144742433E-4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3.2">
      <c r="A35" s="101"/>
      <c r="B35" s="101"/>
      <c r="C35" s="101"/>
      <c r="D35" s="101"/>
      <c r="E35" s="101"/>
      <c r="F35" s="101"/>
      <c r="G35" s="95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3.2">
      <c r="A36" s="101"/>
      <c r="B36" s="101"/>
      <c r="C36" s="101"/>
      <c r="D36" s="101"/>
      <c r="E36" s="101"/>
      <c r="F36" s="112">
        <f ca="1">SUM(F2:F34)</f>
        <v>83676.080705100001</v>
      </c>
      <c r="G36" s="95">
        <f ca="1">F36/$F$36</f>
        <v>1</v>
      </c>
      <c r="H36" s="101">
        <f t="shared" ref="H36:O36" si="1">SUM(H2:H34)</f>
        <v>14702</v>
      </c>
      <c r="I36" s="101">
        <f t="shared" si="1"/>
        <v>12270</v>
      </c>
      <c r="J36" s="101">
        <f t="shared" si="1"/>
        <v>1513</v>
      </c>
      <c r="K36" s="101">
        <f t="shared" si="1"/>
        <v>859</v>
      </c>
      <c r="L36" s="101">
        <f t="shared" si="1"/>
        <v>4968</v>
      </c>
      <c r="M36" s="101">
        <f t="shared" si="1"/>
        <v>4069</v>
      </c>
      <c r="N36" s="101">
        <f t="shared" si="1"/>
        <v>453</v>
      </c>
      <c r="O36" s="101">
        <f t="shared" si="1"/>
        <v>267</v>
      </c>
      <c r="P36" s="95">
        <f t="shared" ref="P36:Q36" si="2">J36/H36</f>
        <v>0.1029111685484968</v>
      </c>
      <c r="Q36" s="95">
        <f t="shared" si="2"/>
        <v>7.0008149959250199E-2</v>
      </c>
      <c r="R36" s="95">
        <f>P36-Q36</f>
        <v>3.2903018589246602E-2</v>
      </c>
      <c r="S36" s="95">
        <f t="shared" ref="S36:T36" si="3">N36/L36</f>
        <v>9.1183574879227056E-2</v>
      </c>
      <c r="T36" s="95">
        <f t="shared" si="3"/>
        <v>6.5618087982305229E-2</v>
      </c>
      <c r="U36" s="95">
        <f>S36-T36</f>
        <v>2.5565486896921827E-2</v>
      </c>
      <c r="V36" s="95">
        <f>(H36/I36)-1</f>
        <v>0.19820700896495524</v>
      </c>
      <c r="W36" s="95">
        <f>(J36/K36)-1</f>
        <v>0.76135040745052396</v>
      </c>
      <c r="X36" s="95">
        <f>(L36/M36)-1</f>
        <v>0.22093880560334234</v>
      </c>
      <c r="Y36" s="95">
        <f>(N36/O36)-1</f>
        <v>0.69662921348314599</v>
      </c>
    </row>
    <row r="37" spans="1:25" ht="13.2">
      <c r="G37" s="50"/>
    </row>
    <row r="38" spans="1:25" ht="13.2">
      <c r="G38" s="50"/>
    </row>
    <row r="39" spans="1:25" ht="13.2">
      <c r="G39" s="50"/>
    </row>
    <row r="40" spans="1:25" ht="13.2">
      <c r="G40" s="50"/>
    </row>
    <row r="41" spans="1:25" ht="13.2">
      <c r="G41" s="50"/>
    </row>
    <row r="42" spans="1:25" ht="13.2">
      <c r="G42" s="50"/>
    </row>
    <row r="43" spans="1:25" ht="13.2">
      <c r="G43" s="50"/>
    </row>
    <row r="44" spans="1:25" ht="13.2">
      <c r="G44" s="50"/>
    </row>
    <row r="45" spans="1:25" ht="13.2">
      <c r="G45" s="50"/>
    </row>
    <row r="46" spans="1:25" ht="13.2">
      <c r="G46" s="50"/>
    </row>
    <row r="47" spans="1:25" ht="13.2">
      <c r="G47" s="50"/>
    </row>
    <row r="48" spans="1:25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34" xr:uid="{00000000-0009-0000-0000-00004D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509930</v>
      </c>
      <c r="B2" s="98" t="s">
        <v>1400</v>
      </c>
      <c r="C2" s="6" t="str">
        <f>VLOOKUP(A2,'BSE ALL CAP'!$B$4:$Y$1038,2,)</f>
        <v>Industrials</v>
      </c>
      <c r="D2" s="6" t="str">
        <f>VLOOKUP(A2,'BSE ALL CAP'!$B$4:$Y$1038,3,)</f>
        <v>Plastic Products - Industrial</v>
      </c>
      <c r="E2" s="11">
        <f ca="1">IFERROR(__xludf.DUMMYFUNCTION("GOOGLEFINANCE(""BOM:""&amp;A2,""PRICE"")"),3712.05)</f>
        <v>3712.05</v>
      </c>
      <c r="F2" s="20">
        <f ca="1">IFERROR(__xludf.DUMMYFUNCTION("GOOGLEFINANCE(""BOM:""&amp;A2,""MARKETCAP"")/10000000"),47111.7002042)</f>
        <v>47111.700204200002</v>
      </c>
      <c r="G2" s="95">
        <f t="shared" ref="G2:G63" ca="1" si="0">F2/$F$65</f>
        <v>0.33017612973919547</v>
      </c>
      <c r="H2" s="101">
        <f>VLOOKUP(A2,'BSE ALL CAP'!$B$4:$Y$1038,7,)</f>
        <v>7690</v>
      </c>
      <c r="I2" s="101">
        <f>VLOOKUP(A2,'BSE ALL CAP'!$B$4:$Y$1038,8,)</f>
        <v>7419</v>
      </c>
      <c r="J2" s="101">
        <f>VLOOKUP(A2,'BSE ALL CAP'!$B$4:$Y$1038,9,)</f>
        <v>520</v>
      </c>
      <c r="K2" s="101">
        <f>VLOOKUP(A2,'BSE ALL CAP'!$B$4:$Y$1038,10,)</f>
        <v>666</v>
      </c>
      <c r="L2" s="101">
        <f>VLOOKUP(A2,'BSE ALL CAP'!$B$4:$Y$1038,11,)</f>
        <v>2686</v>
      </c>
      <c r="M2" s="101">
        <f>VLOOKUP(A2,'BSE ALL CAP'!$B$4:$Y$1038,12,)</f>
        <v>2509</v>
      </c>
      <c r="N2" s="101">
        <f>VLOOKUP(A2,'BSE ALL CAP'!$B$4:$Y$1038,13,)</f>
        <v>153</v>
      </c>
      <c r="O2" s="101">
        <f>VLOOKUP(A2,'BSE ALL CAP'!$B$4:$Y$1038,14,)</f>
        <v>186</v>
      </c>
      <c r="P2" s="95">
        <f>VLOOKUP(A2,'BSE ALL CAP'!$B$4:$Y$1038,15,)</f>
        <v>6.7620286085825751E-2</v>
      </c>
      <c r="Q2" s="95">
        <f>VLOOKUP(A2,'BSE ALL CAP'!$B$4:$Y$1038,16,)</f>
        <v>8.9769510715729889E-2</v>
      </c>
      <c r="R2" s="95">
        <f>VLOOKUP(A2,'BSE ALL CAP'!$B$4:$Y$1038,17,)</f>
        <v>-2.2149224629904138E-2</v>
      </c>
      <c r="S2" s="95">
        <f>VLOOKUP(A2,'BSE ALL CAP'!$B$4:$Y$1038,18,)</f>
        <v>5.6962025316455694E-2</v>
      </c>
      <c r="T2" s="95">
        <f>VLOOKUP(A2,'BSE ALL CAP'!$B$4:$Y$1038,19,)</f>
        <v>7.4133120765245114E-2</v>
      </c>
      <c r="U2" s="95">
        <f>VLOOKUP(A2,'BSE ALL CAP'!$B$4:$Y$1038,20,)</f>
        <v>-1.717109544878942E-2</v>
      </c>
      <c r="V2" s="95">
        <f>VLOOKUP(A2,'BSE ALL CAP'!$B$4:$Y$1038,21,)</f>
        <v>3.6527833939884014E-2</v>
      </c>
      <c r="W2" s="95">
        <f>VLOOKUP(A2,'BSE ALL CAP'!$B$4:$Y$1038,22,)</f>
        <v>-0.21921921921921927</v>
      </c>
      <c r="X2" s="95">
        <f>VLOOKUP(A2,'BSE ALL CAP'!$B$4:$Y$1038,23,)</f>
        <v>7.0546034276604219E-2</v>
      </c>
      <c r="Y2" s="95">
        <f>VLOOKUP(A2,'BSE ALL CAP'!$B$4:$Y$1038,24,)</f>
        <v>-0.17741935483870963</v>
      </c>
    </row>
    <row r="3" spans="1:25" ht="15.75" customHeight="1">
      <c r="A3" s="99">
        <v>532830</v>
      </c>
      <c r="B3" s="98" t="s">
        <v>1429</v>
      </c>
      <c r="C3" s="6" t="str">
        <f>VLOOKUP(A3,'BSE ALL CAP'!$B$4:$Y$1038,2,)</f>
        <v>Industrials</v>
      </c>
      <c r="D3" s="6" t="str">
        <f>VLOOKUP(A3,'BSE ALL CAP'!$B$4:$Y$1038,3,)</f>
        <v>Plastic Products - Industrial</v>
      </c>
      <c r="E3" s="11">
        <f ca="1">IFERROR(__xludf.DUMMYFUNCTION("GOOGLEFINANCE(""BOM:""&amp;A3,""PRICE"")"),1519.7)</f>
        <v>1519.7</v>
      </c>
      <c r="F3" s="20">
        <f ca="1">IFERROR(__xludf.DUMMYFUNCTION("GOOGLEFINANCE(""BOM:""&amp;A3,""MARKETCAP"")/10000000"),40837.5010451)</f>
        <v>40837.501045099998</v>
      </c>
      <c r="G3" s="95">
        <f t="shared" ca="1" si="0"/>
        <v>0.28620423344622592</v>
      </c>
      <c r="H3" s="101">
        <f>VLOOKUP(A3,'BSE ALL CAP'!$B$4:$Y$1038,7,)</f>
        <v>4480</v>
      </c>
      <c r="I3" s="101">
        <f>VLOOKUP(A3,'BSE ALL CAP'!$B$4:$Y$1038,8,)</f>
        <v>4151</v>
      </c>
      <c r="J3" s="101">
        <f>VLOOKUP(A3,'BSE ALL CAP'!$B$4:$Y$1038,9,)</f>
        <v>321</v>
      </c>
      <c r="K3" s="101">
        <f>VLOOKUP(A3,'BSE ALL CAP'!$B$4:$Y$1038,10,)</f>
        <v>340</v>
      </c>
      <c r="L3" s="101">
        <f>VLOOKUP(A3,'BSE ALL CAP'!$B$4:$Y$1038,11,)</f>
        <v>1541</v>
      </c>
      <c r="M3" s="101">
        <f>VLOOKUP(A3,'BSE ALL CAP'!$B$4:$Y$1038,12,)</f>
        <v>1397</v>
      </c>
      <c r="N3" s="101">
        <f>VLOOKUP(A3,'BSE ALL CAP'!$B$4:$Y$1038,13,)</f>
        <v>107</v>
      </c>
      <c r="O3" s="101">
        <f>VLOOKUP(A3,'BSE ALL CAP'!$B$4:$Y$1038,14,)</f>
        <v>112</v>
      </c>
      <c r="P3" s="95">
        <f>VLOOKUP(A3,'BSE ALL CAP'!$B$4:$Y$1038,15,)</f>
        <v>7.165178571428571E-2</v>
      </c>
      <c r="Q3" s="95">
        <f>VLOOKUP(A3,'BSE ALL CAP'!$B$4:$Y$1038,16,)</f>
        <v>8.1907973982172977E-2</v>
      </c>
      <c r="R3" s="95">
        <f>VLOOKUP(A3,'BSE ALL CAP'!$B$4:$Y$1038,17,)</f>
        <v>-1.0256188267887267E-2</v>
      </c>
      <c r="S3" s="95">
        <f>VLOOKUP(A3,'BSE ALL CAP'!$B$4:$Y$1038,18,)</f>
        <v>6.9435431537962361E-2</v>
      </c>
      <c r="T3" s="95">
        <f>VLOOKUP(A3,'BSE ALL CAP'!$B$4:$Y$1038,19,)</f>
        <v>8.0171796707229778E-2</v>
      </c>
      <c r="U3" s="95">
        <f>VLOOKUP(A3,'BSE ALL CAP'!$B$4:$Y$1038,20,)</f>
        <v>-1.0736365169267417E-2</v>
      </c>
      <c r="V3" s="95">
        <f>VLOOKUP(A3,'BSE ALL CAP'!$B$4:$Y$1038,21,)</f>
        <v>7.9258010118043787E-2</v>
      </c>
      <c r="W3" s="95">
        <f>VLOOKUP(A3,'BSE ALL CAP'!$B$4:$Y$1038,22,)</f>
        <v>-5.5882352941176494E-2</v>
      </c>
      <c r="X3" s="95">
        <f>VLOOKUP(A3,'BSE ALL CAP'!$B$4:$Y$1038,23,)</f>
        <v>0.10307802433786684</v>
      </c>
      <c r="Y3" s="95">
        <f>VLOOKUP(A3,'BSE ALL CAP'!$B$4:$Y$1038,24,)</f>
        <v>-4.4642857142857095E-2</v>
      </c>
    </row>
    <row r="4" spans="1:25" ht="15.75" customHeight="1">
      <c r="A4" s="99">
        <v>501423</v>
      </c>
      <c r="B4" s="98" t="s">
        <v>1430</v>
      </c>
      <c r="C4" s="6" t="str">
        <f>VLOOKUP(A4,'BSE ALL CAP'!$B$4:$Y$1038,2,)</f>
        <v>Industrials</v>
      </c>
      <c r="D4" s="6" t="str">
        <f>VLOOKUP(A4,'BSE ALL CAP'!$B$4:$Y$1038,3,)</f>
        <v>Plastic Products - Industrial</v>
      </c>
      <c r="E4" s="11">
        <f ca="1">IFERROR(__xludf.DUMMYFUNCTION("GOOGLEFINANCE(""BOM:""&amp;A4,""PRICE"")"),2083.45)</f>
        <v>2083.4499999999998</v>
      </c>
      <c r="F4" s="20">
        <f ca="1">IFERROR(__xludf.DUMMYFUNCTION("GOOGLEFINANCE(""BOM:""&amp;A4,""MARKETCAP"")/10000000"),9551.1304428)</f>
        <v>9551.1304428000003</v>
      </c>
      <c r="G4" s="95">
        <f t="shared" ca="1" si="0"/>
        <v>6.6937836473088555E-2</v>
      </c>
      <c r="H4" s="101">
        <f>VLOOKUP(A4,'BSE ALL CAP'!$B$4:$Y$1038,7,)</f>
        <v>753</v>
      </c>
      <c r="I4" s="101">
        <f>VLOOKUP(A4,'BSE ALL CAP'!$B$4:$Y$1038,8,)</f>
        <v>568</v>
      </c>
      <c r="J4" s="101">
        <f>VLOOKUP(A4,'BSE ALL CAP'!$B$4:$Y$1038,9,)</f>
        <v>126</v>
      </c>
      <c r="K4" s="101">
        <f>VLOOKUP(A4,'BSE ALL CAP'!$B$4:$Y$1038,10,)</f>
        <v>64</v>
      </c>
      <c r="L4" s="101">
        <f>VLOOKUP(A4,'BSE ALL CAP'!$B$4:$Y$1038,11,)</f>
        <v>250</v>
      </c>
      <c r="M4" s="101">
        <f>VLOOKUP(A4,'BSE ALL CAP'!$B$4:$Y$1038,12,)</f>
        <v>197</v>
      </c>
      <c r="N4" s="101">
        <f>VLOOKUP(A4,'BSE ALL CAP'!$B$4:$Y$1038,13,)</f>
        <v>37</v>
      </c>
      <c r="O4" s="101">
        <f>VLOOKUP(A4,'BSE ALL CAP'!$B$4:$Y$1038,14,)</f>
        <v>25</v>
      </c>
      <c r="P4" s="95">
        <f>VLOOKUP(A4,'BSE ALL CAP'!$B$4:$Y$1038,15,)</f>
        <v>0.16733067729083664</v>
      </c>
      <c r="Q4" s="95">
        <f>VLOOKUP(A4,'BSE ALL CAP'!$B$4:$Y$1038,16,)</f>
        <v>0.11267605633802817</v>
      </c>
      <c r="R4" s="95">
        <f>VLOOKUP(A4,'BSE ALL CAP'!$B$4:$Y$1038,17,)</f>
        <v>5.4654620952808472E-2</v>
      </c>
      <c r="S4" s="95">
        <f>VLOOKUP(A4,'BSE ALL CAP'!$B$4:$Y$1038,18,)</f>
        <v>0.14799999999999999</v>
      </c>
      <c r="T4" s="95">
        <f>VLOOKUP(A4,'BSE ALL CAP'!$B$4:$Y$1038,19,)</f>
        <v>0.12690355329949238</v>
      </c>
      <c r="U4" s="95">
        <f>VLOOKUP(A4,'BSE ALL CAP'!$B$4:$Y$1038,20,)</f>
        <v>2.1096446700507615E-2</v>
      </c>
      <c r="V4" s="95">
        <f>VLOOKUP(A4,'BSE ALL CAP'!$B$4:$Y$1038,21,)</f>
        <v>0.32570422535211274</v>
      </c>
      <c r="W4" s="95">
        <f>VLOOKUP(A4,'BSE ALL CAP'!$B$4:$Y$1038,22,)</f>
        <v>0.96875</v>
      </c>
      <c r="X4" s="95">
        <f>VLOOKUP(A4,'BSE ALL CAP'!$B$4:$Y$1038,23,)</f>
        <v>0.26903553299492389</v>
      </c>
      <c r="Y4" s="95">
        <f>VLOOKUP(A4,'BSE ALL CAP'!$B$4:$Y$1038,24,)</f>
        <v>0.48</v>
      </c>
    </row>
    <row r="5" spans="1:25" ht="15.75" customHeight="1">
      <c r="A5" s="99">
        <v>500940</v>
      </c>
      <c r="B5" s="98" t="s">
        <v>1431</v>
      </c>
      <c r="C5" s="6" t="str">
        <f>VLOOKUP(A5,'BSE ALL CAP'!$B$4:$Y$1038,2,)</f>
        <v>Industrials</v>
      </c>
      <c r="D5" s="6" t="str">
        <f>VLOOKUP(A5,'BSE ALL CAP'!$B$4:$Y$1038,3,)</f>
        <v>Plastic Products - Industrial</v>
      </c>
      <c r="E5" s="11">
        <f ca="1">IFERROR(__xludf.DUMMYFUNCTION("GOOGLEFINANCE(""BOM:""&amp;A5,""PRICE"")"),159.45)</f>
        <v>159.44999999999999</v>
      </c>
      <c r="F5" s="20">
        <f ca="1">IFERROR(__xludf.DUMMYFUNCTION("GOOGLEFINANCE(""BOM:""&amp;A5,""MARKETCAP"")/10000000"),9862.106705)</f>
        <v>9862.1067050000001</v>
      </c>
      <c r="G5" s="95">
        <f t="shared" ca="1" si="0"/>
        <v>6.9117272542025071E-2</v>
      </c>
      <c r="H5" s="101">
        <f>VLOOKUP(A5,'BSE ALL CAP'!$B$4:$Y$1038,7,)</f>
        <v>2800</v>
      </c>
      <c r="I5" s="101">
        <f>VLOOKUP(A5,'BSE ALL CAP'!$B$4:$Y$1038,8,)</f>
        <v>2970</v>
      </c>
      <c r="J5" s="101">
        <f>VLOOKUP(A5,'BSE ALL CAP'!$B$4:$Y$1038,9,)</f>
        <v>338</v>
      </c>
      <c r="K5" s="101">
        <f>VLOOKUP(A5,'BSE ALL CAP'!$B$4:$Y$1038,10,)</f>
        <v>635</v>
      </c>
      <c r="L5" s="101">
        <f>VLOOKUP(A5,'BSE ALL CAP'!$B$4:$Y$1038,11,)</f>
        <v>898</v>
      </c>
      <c r="M5" s="101">
        <f>VLOOKUP(A5,'BSE ALL CAP'!$B$4:$Y$1038,12,)</f>
        <v>1001</v>
      </c>
      <c r="N5" s="101">
        <f>VLOOKUP(A5,'BSE ALL CAP'!$B$4:$Y$1038,13,)</f>
        <v>116</v>
      </c>
      <c r="O5" s="101">
        <f>VLOOKUP(A5,'BSE ALL CAP'!$B$4:$Y$1038,14,)</f>
        <v>94</v>
      </c>
      <c r="P5" s="95">
        <f>VLOOKUP(A5,'BSE ALL CAP'!$B$4:$Y$1038,15,)</f>
        <v>0.12071428571428572</v>
      </c>
      <c r="Q5" s="95">
        <f>VLOOKUP(A5,'BSE ALL CAP'!$B$4:$Y$1038,16,)</f>
        <v>0.2138047138047138</v>
      </c>
      <c r="R5" s="95">
        <f>VLOOKUP(A5,'BSE ALL CAP'!$B$4:$Y$1038,17,)</f>
        <v>-9.3090428090428085E-2</v>
      </c>
      <c r="S5" s="95">
        <f>VLOOKUP(A5,'BSE ALL CAP'!$B$4:$Y$1038,18,)</f>
        <v>0.1291759465478842</v>
      </c>
      <c r="T5" s="95">
        <f>VLOOKUP(A5,'BSE ALL CAP'!$B$4:$Y$1038,19,)</f>
        <v>9.3906093906093904E-2</v>
      </c>
      <c r="U5" s="95">
        <f>VLOOKUP(A5,'BSE ALL CAP'!$B$4:$Y$1038,20,)</f>
        <v>3.5269852641790292E-2</v>
      </c>
      <c r="V5" s="95">
        <f>VLOOKUP(A5,'BSE ALL CAP'!$B$4:$Y$1038,21,)</f>
        <v>-5.7239057239057201E-2</v>
      </c>
      <c r="W5" s="95">
        <f>VLOOKUP(A5,'BSE ALL CAP'!$B$4:$Y$1038,22,)</f>
        <v>-0.4677165354330709</v>
      </c>
      <c r="X5" s="95">
        <f>VLOOKUP(A5,'BSE ALL CAP'!$B$4:$Y$1038,23,)</f>
        <v>-0.10289710289710285</v>
      </c>
      <c r="Y5" s="95">
        <f>VLOOKUP(A5,'BSE ALL CAP'!$B$4:$Y$1038,24,)</f>
        <v>0.23404255319148937</v>
      </c>
    </row>
    <row r="6" spans="1:25" ht="15.75" customHeight="1">
      <c r="A6" s="99">
        <v>500655</v>
      </c>
      <c r="B6" s="98" t="s">
        <v>1432</v>
      </c>
      <c r="C6" s="6" t="str">
        <f>VLOOKUP(A6,'BSE ALL CAP'!$B$4:$Y$1038,2,)</f>
        <v>Industrials</v>
      </c>
      <c r="D6" s="6" t="str">
        <f>VLOOKUP(A6,'BSE ALL CAP'!$B$4:$Y$1038,3,)</f>
        <v>Plastic Products - Industrial</v>
      </c>
      <c r="E6" s="11">
        <f ca="1">IFERROR(__xludf.DUMMYFUNCTION("GOOGLEFINANCE(""BOM:""&amp;A6,""PRICE"")"),3697.5)</f>
        <v>3697.5</v>
      </c>
      <c r="F6" s="20">
        <f ca="1">IFERROR(__xludf.DUMMYFUNCTION("GOOGLEFINANCE(""BOM:""&amp;A6,""MARKETCAP"")/10000000"),8590.8732876)</f>
        <v>8590.8732875999995</v>
      </c>
      <c r="G6" s="95">
        <f t="shared" ca="1" si="0"/>
        <v>6.0208001003681295E-2</v>
      </c>
      <c r="H6" s="101">
        <f>VLOOKUP(A6,'BSE ALL CAP'!$B$4:$Y$1038,7,)</f>
        <v>1523</v>
      </c>
      <c r="I6" s="101">
        <f>VLOOKUP(A6,'BSE ALL CAP'!$B$4:$Y$1038,8,)</f>
        <v>1561</v>
      </c>
      <c r="J6" s="101">
        <f>VLOOKUP(A6,'BSE ALL CAP'!$B$4:$Y$1038,9,)</f>
        <v>230</v>
      </c>
      <c r="K6" s="101">
        <f>VLOOKUP(A6,'BSE ALL CAP'!$B$4:$Y$1038,10,)</f>
        <v>253</v>
      </c>
      <c r="L6" s="101">
        <f>VLOOKUP(A6,'BSE ALL CAP'!$B$4:$Y$1038,11,)</f>
        <v>459</v>
      </c>
      <c r="M6" s="101">
        <f>VLOOKUP(A6,'BSE ALL CAP'!$B$4:$Y$1038,12,)</f>
        <v>466</v>
      </c>
      <c r="N6" s="101">
        <f>VLOOKUP(A6,'BSE ALL CAP'!$B$4:$Y$1038,13,)</f>
        <v>56</v>
      </c>
      <c r="O6" s="101">
        <f>VLOOKUP(A6,'BSE ALL CAP'!$B$4:$Y$1038,14,)</f>
        <v>61</v>
      </c>
      <c r="P6" s="95">
        <f>VLOOKUP(A6,'BSE ALL CAP'!$B$4:$Y$1038,15,)</f>
        <v>0.15101772816808931</v>
      </c>
      <c r="Q6" s="95">
        <f>VLOOKUP(A6,'BSE ALL CAP'!$B$4:$Y$1038,16,)</f>
        <v>0.16207559256886611</v>
      </c>
      <c r="R6" s="95">
        <f>VLOOKUP(A6,'BSE ALL CAP'!$B$4:$Y$1038,17,)</f>
        <v>-1.1057864400776801E-2</v>
      </c>
      <c r="S6" s="95">
        <f>VLOOKUP(A6,'BSE ALL CAP'!$B$4:$Y$1038,18,)</f>
        <v>0.12200435729847495</v>
      </c>
      <c r="T6" s="95">
        <f>VLOOKUP(A6,'BSE ALL CAP'!$B$4:$Y$1038,19,)</f>
        <v>0.13090128755364808</v>
      </c>
      <c r="U6" s="95">
        <f>VLOOKUP(A6,'BSE ALL CAP'!$B$4:$Y$1038,20,)</f>
        <v>-8.89693025517313E-3</v>
      </c>
      <c r="V6" s="95">
        <f>VLOOKUP(A6,'BSE ALL CAP'!$B$4:$Y$1038,21,)</f>
        <v>-2.434336963484951E-2</v>
      </c>
      <c r="W6" s="95">
        <f>VLOOKUP(A6,'BSE ALL CAP'!$B$4:$Y$1038,22,)</f>
        <v>-9.0909090909090939E-2</v>
      </c>
      <c r="X6" s="95">
        <f>VLOOKUP(A6,'BSE ALL CAP'!$B$4:$Y$1038,23,)</f>
        <v>-1.5021459227467782E-2</v>
      </c>
      <c r="Y6" s="95">
        <f>VLOOKUP(A6,'BSE ALL CAP'!$B$4:$Y$1038,24,)</f>
        <v>-8.1967213114754078E-2</v>
      </c>
    </row>
    <row r="7" spans="1:25" ht="15.75" customHeight="1">
      <c r="A7" s="99">
        <v>532856</v>
      </c>
      <c r="B7" s="98" t="s">
        <v>1433</v>
      </c>
      <c r="C7" s="6" t="str">
        <f>VLOOKUP(A7,'BSE ALL CAP'!$B$4:$Y$1038,2,)</f>
        <v>Industrials</v>
      </c>
      <c r="D7" s="6" t="str">
        <f>VLOOKUP(A7,'BSE ALL CAP'!$B$4:$Y$1038,3,)</f>
        <v>Plastic Products - Industrial</v>
      </c>
      <c r="E7" s="11">
        <f ca="1">IFERROR(__xludf.DUMMYFUNCTION("GOOGLEFINANCE(""BOM:""&amp;A7,""PRICE"")"),170.4)</f>
        <v>170.4</v>
      </c>
      <c r="F7" s="20">
        <f ca="1">IFERROR(__xludf.DUMMYFUNCTION("GOOGLEFINANCE(""BOM:""&amp;A7,""MARKETCAP"")/10000000"),3862.8366536)</f>
        <v>3862.8366535999999</v>
      </c>
      <c r="G7" s="95">
        <f t="shared" ca="1" si="0"/>
        <v>2.7072180595737658E-2</v>
      </c>
      <c r="H7" s="101">
        <f>VLOOKUP(A7,'BSE ALL CAP'!$B$4:$Y$1038,7,)</f>
        <v>4428</v>
      </c>
      <c r="I7" s="101">
        <f>VLOOKUP(A7,'BSE ALL CAP'!$B$4:$Y$1038,8,)</f>
        <v>3988</v>
      </c>
      <c r="J7" s="101">
        <f>VLOOKUP(A7,'BSE ALL CAP'!$B$4:$Y$1038,9,)</f>
        <v>342</v>
      </c>
      <c r="K7" s="101">
        <f>VLOOKUP(A7,'BSE ALL CAP'!$B$4:$Y$1038,10,)</f>
        <v>282</v>
      </c>
      <c r="L7" s="101">
        <f>VLOOKUP(A7,'BSE ALL CAP'!$B$4:$Y$1038,11,)</f>
        <v>1564</v>
      </c>
      <c r="M7" s="101">
        <f>VLOOKUP(A7,'BSE ALL CAP'!$B$4:$Y$1038,12,)</f>
        <v>1387</v>
      </c>
      <c r="N7" s="101">
        <f>VLOOKUP(A7,'BSE ALL CAP'!$B$4:$Y$1038,13,)</f>
        <v>128</v>
      </c>
      <c r="O7" s="101">
        <f>VLOOKUP(A7,'BSE ALL CAP'!$B$4:$Y$1038,14,)</f>
        <v>102</v>
      </c>
      <c r="P7" s="95">
        <f>VLOOKUP(A7,'BSE ALL CAP'!$B$4:$Y$1038,15,)</f>
        <v>7.7235772357723581E-2</v>
      </c>
      <c r="Q7" s="95">
        <f>VLOOKUP(A7,'BSE ALL CAP'!$B$4:$Y$1038,16,)</f>
        <v>7.0712136409227688E-2</v>
      </c>
      <c r="R7" s="95">
        <f>VLOOKUP(A7,'BSE ALL CAP'!$B$4:$Y$1038,17,)</f>
        <v>6.5236359484958928E-3</v>
      </c>
      <c r="S7" s="95">
        <f>VLOOKUP(A7,'BSE ALL CAP'!$B$4:$Y$1038,18,)</f>
        <v>8.1841432225063945E-2</v>
      </c>
      <c r="T7" s="95">
        <f>VLOOKUP(A7,'BSE ALL CAP'!$B$4:$Y$1038,19,)</f>
        <v>7.3540014419610666E-2</v>
      </c>
      <c r="U7" s="95">
        <f>VLOOKUP(A7,'BSE ALL CAP'!$B$4:$Y$1038,20,)</f>
        <v>8.3014178054532789E-3</v>
      </c>
      <c r="V7" s="95">
        <f>VLOOKUP(A7,'BSE ALL CAP'!$B$4:$Y$1038,21,)</f>
        <v>0.11033099297893689</v>
      </c>
      <c r="W7" s="95">
        <f>VLOOKUP(A7,'BSE ALL CAP'!$B$4:$Y$1038,22,)</f>
        <v>0.2127659574468086</v>
      </c>
      <c r="X7" s="95">
        <f>VLOOKUP(A7,'BSE ALL CAP'!$B$4:$Y$1038,23,)</f>
        <v>0.12761355443403022</v>
      </c>
      <c r="Y7" s="95">
        <f>VLOOKUP(A7,'BSE ALL CAP'!$B$4:$Y$1038,24,)</f>
        <v>0.25490196078431371</v>
      </c>
    </row>
    <row r="8" spans="1:25" ht="15.75" customHeight="1">
      <c r="A8" s="99">
        <v>524019</v>
      </c>
      <c r="B8" s="98" t="s">
        <v>1434</v>
      </c>
      <c r="C8" s="6" t="str">
        <f>VLOOKUP(A8,'BSE ALL CAP'!$B$4:$Y$1038,2,)</f>
        <v>Industrials</v>
      </c>
      <c r="D8" s="6" t="str">
        <f>VLOOKUP(A8,'BSE ALL CAP'!$B$4:$Y$1038,3,)</f>
        <v>Plastic Products - Industrial</v>
      </c>
      <c r="E8" s="11">
        <f ca="1">IFERROR(__xludf.DUMMYFUNCTION("GOOGLEFINANCE(""BOM:""&amp;A8,""PRICE"")"),4234.4)</f>
        <v>4234.3999999999996</v>
      </c>
      <c r="F8" s="20">
        <f ca="1">IFERROR(__xludf.DUMMYFUNCTION("GOOGLEFINANCE(""BOM:""&amp;A8,""MARKETCAP"")/10000000"),5754.9997937)</f>
        <v>5754.9997936999998</v>
      </c>
      <c r="G8" s="95">
        <f t="shared" ca="1" si="0"/>
        <v>4.0333156101301879E-2</v>
      </c>
      <c r="H8" s="101">
        <f>VLOOKUP(A8,'BSE ALL CAP'!$B$4:$Y$1038,7,)</f>
        <v>1417</v>
      </c>
      <c r="I8" s="101">
        <f>VLOOKUP(A8,'BSE ALL CAP'!$B$4:$Y$1038,8,)</f>
        <v>1275</v>
      </c>
      <c r="J8" s="101">
        <f>VLOOKUP(A8,'BSE ALL CAP'!$B$4:$Y$1038,9,)</f>
        <v>126</v>
      </c>
      <c r="K8" s="101">
        <f>VLOOKUP(A8,'BSE ALL CAP'!$B$4:$Y$1038,10,)</f>
        <v>110</v>
      </c>
      <c r="L8" s="101">
        <f>VLOOKUP(A8,'BSE ALL CAP'!$B$4:$Y$1038,11,)</f>
        <v>489</v>
      </c>
      <c r="M8" s="101">
        <f>VLOOKUP(A8,'BSE ALL CAP'!$B$4:$Y$1038,12,)</f>
        <v>440</v>
      </c>
      <c r="N8" s="101">
        <f>VLOOKUP(A8,'BSE ALL CAP'!$B$4:$Y$1038,13,)</f>
        <v>45</v>
      </c>
      <c r="O8" s="101">
        <f>VLOOKUP(A8,'BSE ALL CAP'!$B$4:$Y$1038,14,)</f>
        <v>34</v>
      </c>
      <c r="P8" s="95">
        <f>VLOOKUP(A8,'BSE ALL CAP'!$B$4:$Y$1038,15,)</f>
        <v>8.8920254057868742E-2</v>
      </c>
      <c r="Q8" s="95">
        <f>VLOOKUP(A8,'BSE ALL CAP'!$B$4:$Y$1038,16,)</f>
        <v>8.6274509803921567E-2</v>
      </c>
      <c r="R8" s="95">
        <f>VLOOKUP(A8,'BSE ALL CAP'!$B$4:$Y$1038,17,)</f>
        <v>2.6457442539471743E-3</v>
      </c>
      <c r="S8" s="95">
        <f>VLOOKUP(A8,'BSE ALL CAP'!$B$4:$Y$1038,18,)</f>
        <v>9.202453987730061E-2</v>
      </c>
      <c r="T8" s="95">
        <f>VLOOKUP(A8,'BSE ALL CAP'!$B$4:$Y$1038,19,)</f>
        <v>7.7272727272727271E-2</v>
      </c>
      <c r="U8" s="95">
        <f>VLOOKUP(A8,'BSE ALL CAP'!$B$4:$Y$1038,20,)</f>
        <v>1.4751812604573339E-2</v>
      </c>
      <c r="V8" s="95">
        <f>VLOOKUP(A8,'BSE ALL CAP'!$B$4:$Y$1038,21,)</f>
        <v>0.1113725490196078</v>
      </c>
      <c r="W8" s="95">
        <f>VLOOKUP(A8,'BSE ALL CAP'!$B$4:$Y$1038,22,)</f>
        <v>0.1454545454545455</v>
      </c>
      <c r="X8" s="95">
        <f>VLOOKUP(A8,'BSE ALL CAP'!$B$4:$Y$1038,23,)</f>
        <v>0.11136363636363633</v>
      </c>
      <c r="Y8" s="95">
        <f>VLOOKUP(A8,'BSE ALL CAP'!$B$4:$Y$1038,24,)</f>
        <v>0.32352941176470584</v>
      </c>
    </row>
    <row r="9" spans="1:25" ht="15.75" customHeight="1">
      <c r="A9" s="99">
        <v>542907</v>
      </c>
      <c r="B9" s="98" t="s">
        <v>1435</v>
      </c>
      <c r="C9" s="6" t="str">
        <f>VLOOKUP(A9,'BSE ALL CAP'!$B$4:$Y$1038,2,)</f>
        <v>Industrials</v>
      </c>
      <c r="D9" s="6" t="str">
        <f>VLOOKUP(A9,'BSE ALL CAP'!$B$4:$Y$1038,3,)</f>
        <v>Plastic Products - Industrial</v>
      </c>
      <c r="E9" s="11">
        <f ca="1">IFERROR(__xludf.DUMMYFUNCTION("GOOGLEFINANCE(""BOM:""&amp;A9,""PRICE"")"),230.4)</f>
        <v>230.4</v>
      </c>
      <c r="F9" s="20">
        <f ca="1">IFERROR(__xludf.DUMMYFUNCTION("GOOGLEFINANCE(""BOM:""&amp;A9,""MARKETCAP"")/10000000"),2575.0762914)</f>
        <v>2575.0762914000002</v>
      </c>
      <c r="G9" s="95">
        <f t="shared" ca="1" si="0"/>
        <v>1.8047082147160866E-2</v>
      </c>
      <c r="H9" s="101">
        <f>VLOOKUP(A9,'BSE ALL CAP'!$B$4:$Y$1038,7,)</f>
        <v>1748</v>
      </c>
      <c r="I9" s="101">
        <f>VLOOKUP(A9,'BSE ALL CAP'!$B$4:$Y$1038,8,)</f>
        <v>1804</v>
      </c>
      <c r="J9" s="101">
        <f>VLOOKUP(A9,'BSE ALL CAP'!$B$4:$Y$1038,9,)</f>
        <v>17</v>
      </c>
      <c r="K9" s="101">
        <f>VLOOKUP(A9,'BSE ALL CAP'!$B$4:$Y$1038,10,)</f>
        <v>18</v>
      </c>
      <c r="L9" s="101">
        <f>VLOOKUP(A9,'BSE ALL CAP'!$B$4:$Y$1038,11,)</f>
        <v>573</v>
      </c>
      <c r="M9" s="101">
        <f>VLOOKUP(A9,'BSE ALL CAP'!$B$4:$Y$1038,12,)</f>
        <v>577</v>
      </c>
      <c r="N9" s="101">
        <f>VLOOKUP(A9,'BSE ALL CAP'!$B$4:$Y$1038,13,)</f>
        <v>-2</v>
      </c>
      <c r="O9" s="101">
        <f>VLOOKUP(A9,'BSE ALL CAP'!$B$4:$Y$1038,14,)</f>
        <v>-20</v>
      </c>
      <c r="P9" s="95">
        <f>VLOOKUP(A9,'BSE ALL CAP'!$B$4:$Y$1038,15,)</f>
        <v>9.7254004576659038E-3</v>
      </c>
      <c r="Q9" s="95">
        <f>VLOOKUP(A9,'BSE ALL CAP'!$B$4:$Y$1038,16,)</f>
        <v>9.9778270509977823E-3</v>
      </c>
      <c r="R9" s="95">
        <f>VLOOKUP(A9,'BSE ALL CAP'!$B$4:$Y$1038,17,)</f>
        <v>-2.5242659333187846E-4</v>
      </c>
      <c r="S9" s="95">
        <f>VLOOKUP(A9,'BSE ALL CAP'!$B$4:$Y$1038,18,)</f>
        <v>-3.4904013961605585E-3</v>
      </c>
      <c r="T9" s="95">
        <f>VLOOKUP(A9,'BSE ALL CAP'!$B$4:$Y$1038,19,)</f>
        <v>-3.4662045060658578E-2</v>
      </c>
      <c r="U9" s="95">
        <f>VLOOKUP(A9,'BSE ALL CAP'!$B$4:$Y$1038,20,)</f>
        <v>3.1171643664498018E-2</v>
      </c>
      <c r="V9" s="95">
        <f>VLOOKUP(A9,'BSE ALL CAP'!$B$4:$Y$1038,21,)</f>
        <v>-3.104212860310418E-2</v>
      </c>
      <c r="W9" s="95">
        <f>VLOOKUP(A9,'BSE ALL CAP'!$B$4:$Y$1038,22,)</f>
        <v>-5.555555555555558E-2</v>
      </c>
      <c r="X9" s="95">
        <f>VLOOKUP(A9,'BSE ALL CAP'!$B$4:$Y$1038,23,)</f>
        <v>-6.9324090121317683E-3</v>
      </c>
      <c r="Y9" s="95">
        <f>VLOOKUP(A9,'BSE ALL CAP'!$B$4:$Y$1038,24,)</f>
        <v>-0.9</v>
      </c>
    </row>
    <row r="10" spans="1:25" ht="15.75" customHeight="1">
      <c r="A10" s="99">
        <v>500219</v>
      </c>
      <c r="B10" s="98" t="s">
        <v>1436</v>
      </c>
      <c r="C10" s="6" t="str">
        <f>VLOOKUP(A10,'BSE ALL CAP'!$B$4:$Y$1038,2,)</f>
        <v>Industrials</v>
      </c>
      <c r="D10" s="6" t="str">
        <f>VLOOKUP(A10,'BSE ALL CAP'!$B$4:$Y$1038,3,)</f>
        <v>Plastic Products - Industrial</v>
      </c>
      <c r="E10" s="11">
        <f ca="1">IFERROR(__xludf.DUMMYFUNCTION("GOOGLEFINANCE(""BOM:""&amp;A10,""PRICE"")"),29.69)</f>
        <v>29.69</v>
      </c>
      <c r="F10" s="20">
        <f ca="1">IFERROR(__xludf.DUMMYFUNCTION("GOOGLEFINANCE(""BOM:""&amp;A10,""MARKETCAP"")/10000000"),2158.3095415)</f>
        <v>2158.3095414999998</v>
      </c>
      <c r="G10" s="95">
        <f t="shared" ca="1" si="0"/>
        <v>1.512622741490695E-2</v>
      </c>
      <c r="H10" s="101">
        <f>VLOOKUP(A10,'BSE ALL CAP'!$B$4:$Y$1038,7,)</f>
        <v>4575</v>
      </c>
      <c r="I10" s="101">
        <f>VLOOKUP(A10,'BSE ALL CAP'!$B$4:$Y$1038,8,)</f>
        <v>4030</v>
      </c>
      <c r="J10" s="101">
        <f>VLOOKUP(A10,'BSE ALL CAP'!$B$4:$Y$1038,9,)</f>
        <v>-20</v>
      </c>
      <c r="K10" s="101">
        <f>VLOOKUP(A10,'BSE ALL CAP'!$B$4:$Y$1038,10,)</f>
        <v>-2</v>
      </c>
      <c r="L10" s="101">
        <f>VLOOKUP(A10,'BSE ALL CAP'!$B$4:$Y$1038,11,)</f>
        <v>1597</v>
      </c>
      <c r="M10" s="101">
        <f>VLOOKUP(A10,'BSE ALL CAP'!$B$4:$Y$1038,12,)</f>
        <v>1360</v>
      </c>
      <c r="N10" s="101">
        <f>VLOOKUP(A10,'BSE ALL CAP'!$B$4:$Y$1038,13,)</f>
        <v>-47</v>
      </c>
      <c r="O10" s="101">
        <f>VLOOKUP(A10,'BSE ALL CAP'!$B$4:$Y$1038,14,)</f>
        <v>-1</v>
      </c>
      <c r="P10" s="95">
        <f>VLOOKUP(A10,'BSE ALL CAP'!$B$4:$Y$1038,15,)</f>
        <v>-4.3715846994535519E-3</v>
      </c>
      <c r="Q10" s="95">
        <f>VLOOKUP(A10,'BSE ALL CAP'!$B$4:$Y$1038,16,)</f>
        <v>-4.9627791563275434E-4</v>
      </c>
      <c r="R10" s="95">
        <f>VLOOKUP(A10,'BSE ALL CAP'!$B$4:$Y$1038,17,)</f>
        <v>-3.8753067838207976E-3</v>
      </c>
      <c r="S10" s="95">
        <f>VLOOKUP(A10,'BSE ALL CAP'!$B$4:$Y$1038,18,)</f>
        <v>-2.9430181590482152E-2</v>
      </c>
      <c r="T10" s="95">
        <f>VLOOKUP(A10,'BSE ALL CAP'!$B$4:$Y$1038,19,)</f>
        <v>-7.3529411764705881E-4</v>
      </c>
      <c r="U10" s="95">
        <f>VLOOKUP(A10,'BSE ALL CAP'!$B$4:$Y$1038,20,)</f>
        <v>-2.8694887472835093E-2</v>
      </c>
      <c r="V10" s="95">
        <f>VLOOKUP(A10,'BSE ALL CAP'!$B$4:$Y$1038,21,)</f>
        <v>0.13523573200992556</v>
      </c>
      <c r="W10" s="95">
        <f>VLOOKUP(A10,'BSE ALL CAP'!$B$4:$Y$1038,22,)</f>
        <v>9</v>
      </c>
      <c r="X10" s="95">
        <f>VLOOKUP(A10,'BSE ALL CAP'!$B$4:$Y$1038,23,)</f>
        <v>0.17426470588235299</v>
      </c>
      <c r="Y10" s="95">
        <f>VLOOKUP(A10,'BSE ALL CAP'!$B$4:$Y$1038,24,)</f>
        <v>46</v>
      </c>
    </row>
    <row r="11" spans="1:25" ht="15.75" customHeight="1">
      <c r="A11" s="99">
        <v>570004</v>
      </c>
      <c r="B11" s="98" t="s">
        <v>1437</v>
      </c>
      <c r="C11" s="6"/>
      <c r="D11" s="6"/>
      <c r="E11" s="11">
        <f ca="1">IFERROR(__xludf.DUMMYFUNCTION("GOOGLEFINANCE(""BOM:""&amp;A11,""PRICE"")"),21.27)</f>
        <v>21.27</v>
      </c>
      <c r="F11" s="20">
        <f ca="1">IFERROR(__xludf.DUMMYFUNCTION("GOOGLEFINANCE(""BOM:""&amp;A11,""MARKETCAP"")/10000000"),2156.8261189)</f>
        <v>2156.8261189</v>
      </c>
      <c r="G11" s="95">
        <f t="shared" ca="1" si="0"/>
        <v>1.5115831043502125E-2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531761</v>
      </c>
      <c r="B12" s="98" t="s">
        <v>1438</v>
      </c>
      <c r="C12" s="6"/>
      <c r="D12" s="6"/>
      <c r="E12" s="11">
        <f ca="1">IFERROR(__xludf.DUMMYFUNCTION("GOOGLEFINANCE(""BOM:""&amp;A12,""PRICE"")"),436.85)</f>
        <v>436.85</v>
      </c>
      <c r="F12" s="20">
        <f ca="1">IFERROR(__xludf.DUMMYFUNCTION("GOOGLEFINANCE(""BOM:""&amp;A12,""MARKETCAP"")/10000000"),1922.5537238)</f>
        <v>1922.5537237999999</v>
      </c>
      <c r="G12" s="95">
        <f t="shared" ca="1" si="0"/>
        <v>1.3473963898322045E-2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512237</v>
      </c>
      <c r="B13" s="98" t="s">
        <v>1439</v>
      </c>
      <c r="C13" s="6" t="str">
        <f>VLOOKUP(A13,'BSE ALL CAP'!$B$4:$Y$1038,2,)</f>
        <v>Industrials</v>
      </c>
      <c r="D13" s="6" t="str">
        <f>VLOOKUP(A13,'BSE ALL CAP'!$B$4:$Y$1038,3,)</f>
        <v>Plastic Products - Industrial</v>
      </c>
      <c r="E13" s="11">
        <f ca="1">IFERROR(__xludf.DUMMYFUNCTION("GOOGLEFINANCE(""BOM:""&amp;A13,""PRICE"")"),97.32)</f>
        <v>97.32</v>
      </c>
      <c r="F13" s="20">
        <f ca="1">IFERROR(__xludf.DUMMYFUNCTION("GOOGLEFINANCE(""BOM:""&amp;A13,""MARKETCAP"")/10000000"),1711.172775)</f>
        <v>1711.172775</v>
      </c>
      <c r="G13" s="95">
        <f t="shared" ca="1" si="0"/>
        <v>1.1992528431699657E-2</v>
      </c>
      <c r="H13" s="101">
        <f>VLOOKUP(A13,'BSE ALL CAP'!$B$4:$Y$1038,7,)</f>
        <v>393</v>
      </c>
      <c r="I13" s="101">
        <f>VLOOKUP(A13,'BSE ALL CAP'!$B$4:$Y$1038,8,)</f>
        <v>382</v>
      </c>
      <c r="J13" s="101">
        <f>VLOOKUP(A13,'BSE ALL CAP'!$B$4:$Y$1038,9,)</f>
        <v>148</v>
      </c>
      <c r="K13" s="101">
        <f>VLOOKUP(A13,'BSE ALL CAP'!$B$4:$Y$1038,10,)</f>
        <v>43</v>
      </c>
      <c r="L13" s="101">
        <f>VLOOKUP(A13,'BSE ALL CAP'!$B$4:$Y$1038,11,)</f>
        <v>116</v>
      </c>
      <c r="M13" s="101">
        <f>VLOOKUP(A13,'BSE ALL CAP'!$B$4:$Y$1038,12,)</f>
        <v>126</v>
      </c>
      <c r="N13" s="101">
        <f>VLOOKUP(A13,'BSE ALL CAP'!$B$4:$Y$1038,13,)</f>
        <v>17</v>
      </c>
      <c r="O13" s="101">
        <f>VLOOKUP(A13,'BSE ALL CAP'!$B$4:$Y$1038,14,)</f>
        <v>12</v>
      </c>
      <c r="P13" s="95">
        <f>VLOOKUP(A13,'BSE ALL CAP'!$B$4:$Y$1038,15,)</f>
        <v>0.37659033078880405</v>
      </c>
      <c r="Q13" s="95">
        <f>VLOOKUP(A13,'BSE ALL CAP'!$B$4:$Y$1038,16,)</f>
        <v>0.112565445026178</v>
      </c>
      <c r="R13" s="95">
        <f>VLOOKUP(A13,'BSE ALL CAP'!$B$4:$Y$1038,17,)</f>
        <v>0.26402488576262606</v>
      </c>
      <c r="S13" s="95">
        <f>VLOOKUP(A13,'BSE ALL CAP'!$B$4:$Y$1038,18,)</f>
        <v>0.14655172413793102</v>
      </c>
      <c r="T13" s="95">
        <f>VLOOKUP(A13,'BSE ALL CAP'!$B$4:$Y$1038,19,)</f>
        <v>9.5238095238095233E-2</v>
      </c>
      <c r="U13" s="95">
        <f>VLOOKUP(A13,'BSE ALL CAP'!$B$4:$Y$1038,20,)</f>
        <v>5.1313628899835789E-2</v>
      </c>
      <c r="V13" s="95">
        <f>VLOOKUP(A13,'BSE ALL CAP'!$B$4:$Y$1038,21,)</f>
        <v>2.8795811518324665E-2</v>
      </c>
      <c r="W13" s="95">
        <f>VLOOKUP(A13,'BSE ALL CAP'!$B$4:$Y$1038,22,)</f>
        <v>2.441860465116279</v>
      </c>
      <c r="X13" s="95">
        <f>VLOOKUP(A13,'BSE ALL CAP'!$B$4:$Y$1038,23,)</f>
        <v>-7.9365079365079416E-2</v>
      </c>
      <c r="Y13" s="95">
        <f>VLOOKUP(A13,'BSE ALL CAP'!$B$4:$Y$1038,24,)</f>
        <v>0.41666666666666674</v>
      </c>
    </row>
    <row r="14" spans="1:25" ht="15.75" customHeight="1">
      <c r="A14" s="99">
        <v>544456</v>
      </c>
      <c r="B14" s="98" t="s">
        <v>1440</v>
      </c>
      <c r="C14" s="6"/>
      <c r="D14" s="6"/>
      <c r="E14" s="11">
        <f ca="1">IFERROR(__xludf.DUMMYFUNCTION("GOOGLEFINANCE(""BOM:""&amp;A14,""PRICE"")"),44.94)</f>
        <v>44.94</v>
      </c>
      <c r="F14" s="20">
        <f ca="1">IFERROR(__xludf.DUMMYFUNCTION("GOOGLEFINANCE(""BOM:""&amp;A14,""MARKETCAP"")/10000000"),1126.3482038)</f>
        <v>1126.3482038</v>
      </c>
      <c r="G14" s="95">
        <f t="shared" ca="1" si="0"/>
        <v>7.8938626510495647E-3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514354</v>
      </c>
      <c r="B15" s="98" t="s">
        <v>1441</v>
      </c>
      <c r="C15" s="6"/>
      <c r="D15" s="6"/>
      <c r="E15" s="11">
        <f ca="1">IFERROR(__xludf.DUMMYFUNCTION("GOOGLEFINANCE(""BOM:""&amp;A15,""PRICE"")"),60.16)</f>
        <v>60.16</v>
      </c>
      <c r="F15" s="20">
        <f ca="1">IFERROR(__xludf.DUMMYFUNCTION("GOOGLEFINANCE(""BOM:""&amp;A15,""MARKETCAP"")/10000000"),615.3616)</f>
        <v>615.36159999999995</v>
      </c>
      <c r="G15" s="95">
        <f t="shared" ca="1" si="0"/>
        <v>4.3126805145530626E-3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540693</v>
      </c>
      <c r="B16" s="98" t="s">
        <v>1442</v>
      </c>
      <c r="C16" s="6"/>
      <c r="D16" s="6"/>
      <c r="E16" s="11">
        <f ca="1">IFERROR(__xludf.DUMMYFUNCTION("GOOGLEFINANCE(""BOM:""&amp;A16,""PRICE"")"),14.5)</f>
        <v>14.5</v>
      </c>
      <c r="F16" s="20">
        <f ca="1">IFERROR(__xludf.DUMMYFUNCTION("GOOGLEFINANCE(""BOM:""&amp;A16,""MARKETCAP"")/10000000"),611.82837)</f>
        <v>611.82836999999995</v>
      </c>
      <c r="G16" s="95">
        <f t="shared" ca="1" si="0"/>
        <v>4.2879183386642285E-3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536974</v>
      </c>
      <c r="B17" s="98" t="s">
        <v>1443</v>
      </c>
      <c r="C17" s="6"/>
      <c r="D17" s="6"/>
      <c r="E17" s="11">
        <f ca="1">IFERROR(__xludf.DUMMYFUNCTION("GOOGLEFINANCE(""BOM:""&amp;A17,""PRICE"")"),72.8)</f>
        <v>72.8</v>
      </c>
      <c r="F17" s="20">
        <f ca="1">IFERROR(__xludf.DUMMYFUNCTION("GOOGLEFINANCE(""BOM:""&amp;A17,""MARKETCAP"")/10000000"),438.1015367)</f>
        <v>438.1015367</v>
      </c>
      <c r="G17" s="95">
        <f t="shared" ca="1" si="0"/>
        <v>3.0703767682641286E-3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526423</v>
      </c>
      <c r="B18" s="98" t="s">
        <v>1444</v>
      </c>
      <c r="C18" s="6"/>
      <c r="D18" s="6"/>
      <c r="E18" s="11">
        <f ca="1">IFERROR(__xludf.DUMMYFUNCTION("GOOGLEFINANCE(""BOM:""&amp;A18,""PRICE"")"),68.94)</f>
        <v>68.94</v>
      </c>
      <c r="F18" s="20">
        <f ca="1">IFERROR(__xludf.DUMMYFUNCTION("GOOGLEFINANCE(""BOM:""&amp;A18,""MARKETCAP"")/10000000"),362.7065776)</f>
        <v>362.7065776</v>
      </c>
      <c r="G18" s="95">
        <f t="shared" ca="1" si="0"/>
        <v>2.5419811533832276E-3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538715</v>
      </c>
      <c r="B19" s="98" t="s">
        <v>1445</v>
      </c>
      <c r="C19" s="6"/>
      <c r="D19" s="6"/>
      <c r="E19" s="11">
        <f ca="1">IFERROR(__xludf.DUMMYFUNCTION("GOOGLEFINANCE(""BOM:""&amp;A19,""PRICE"")"),325)</f>
        <v>325</v>
      </c>
      <c r="F19" s="20">
        <f ca="1">IFERROR(__xludf.DUMMYFUNCTION("GOOGLEFINANCE(""BOM:""&amp;A19,""MARKETCAP"")/10000000"),351.7878)</f>
        <v>351.7878</v>
      </c>
      <c r="G19" s="95">
        <f t="shared" ca="1" si="0"/>
        <v>2.4654583424079273E-3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522292</v>
      </c>
      <c r="B20" s="98" t="s">
        <v>1446</v>
      </c>
      <c r="C20" s="6"/>
      <c r="D20" s="6"/>
      <c r="E20" s="11">
        <f ca="1">IFERROR(__xludf.DUMMYFUNCTION("GOOGLEFINANCE(""BOM:""&amp;A20,""PRICE"")"),143.5)</f>
        <v>143.5</v>
      </c>
      <c r="F20" s="20">
        <f ca="1">IFERROR(__xludf.DUMMYFUNCTION("GOOGLEFINANCE(""BOM:""&amp;A20,""MARKETCAP"")/10000000"),274.8990755)</f>
        <v>274.89907549999998</v>
      </c>
      <c r="G20" s="95">
        <f t="shared" ca="1" si="0"/>
        <v>1.9265938699741766E-3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530145</v>
      </c>
      <c r="B21" s="98" t="s">
        <v>1447</v>
      </c>
      <c r="C21" s="6"/>
      <c r="D21" s="6"/>
      <c r="E21" s="11">
        <f ca="1">IFERROR(__xludf.DUMMYFUNCTION("GOOGLEFINANCE(""BOM:""&amp;A21,""PRICE"")"),24.58)</f>
        <v>24.58</v>
      </c>
      <c r="F21" s="20">
        <f ca="1">IFERROR(__xludf.DUMMYFUNCTION("GOOGLEFINANCE(""BOM:""&amp;A21,""MARKETCAP"")/10000000"),293.640053)</f>
        <v>293.64005300000002</v>
      </c>
      <c r="G21" s="95">
        <f t="shared" ca="1" si="0"/>
        <v>2.0579375360201689E-3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543939</v>
      </c>
      <c r="B22" s="98" t="s">
        <v>1448</v>
      </c>
      <c r="C22" s="6"/>
      <c r="D22" s="6"/>
      <c r="E22" s="11">
        <f ca="1">IFERROR(__xludf.DUMMYFUNCTION("GOOGLEFINANCE(""BOM:""&amp;A22,""PRICE"")"),170.2)</f>
        <v>170.2</v>
      </c>
      <c r="F22" s="20">
        <f ca="1">IFERROR(__xludf.DUMMYFUNCTION("GOOGLEFINANCE(""BOM:""&amp;A22,""MARKETCAP"")/10000000"),232.4931958)</f>
        <v>232.4931958</v>
      </c>
      <c r="G22" s="95">
        <f t="shared" ca="1" si="0"/>
        <v>1.6293978618308813E-3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507785</v>
      </c>
      <c r="B23" s="98" t="s">
        <v>1449</v>
      </c>
      <c r="C23" s="6"/>
      <c r="D23" s="6"/>
      <c r="E23" s="11">
        <f ca="1">IFERROR(__xludf.DUMMYFUNCTION("GOOGLEFINANCE(""BOM:""&amp;A23,""PRICE"")"),178.85)</f>
        <v>178.85</v>
      </c>
      <c r="F23" s="20">
        <f ca="1">IFERROR(__xludf.DUMMYFUNCTION("GOOGLEFINANCE(""BOM:""&amp;A23,""MARKETCAP"")/10000000"),165.9838126)</f>
        <v>165.98381259999999</v>
      </c>
      <c r="G23" s="95">
        <f t="shared" ca="1" si="0"/>
        <v>1.1632756322969245E-3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544468</v>
      </c>
      <c r="B24" s="98" t="s">
        <v>1450</v>
      </c>
      <c r="C24" s="6"/>
      <c r="D24" s="6"/>
      <c r="E24" s="11">
        <f ca="1">IFERROR(__xludf.DUMMYFUNCTION("GOOGLEFINANCE(""BOM:""&amp;A24,""PRICE"")"),109)</f>
        <v>109</v>
      </c>
      <c r="F24" s="20">
        <f ca="1">IFERROR(__xludf.DUMMYFUNCTION("GOOGLEFINANCE(""BOM:""&amp;A24,""MARKETCAP"")/10000000"),154.889)</f>
        <v>154.88900000000001</v>
      </c>
      <c r="G24" s="95">
        <f t="shared" ca="1" si="0"/>
        <v>1.0855191032697025E-3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514428</v>
      </c>
      <c r="B25" s="98" t="s">
        <v>1451</v>
      </c>
      <c r="C25" s="6"/>
      <c r="D25" s="6"/>
      <c r="E25" s="11">
        <f ca="1">IFERROR(__xludf.DUMMYFUNCTION("GOOGLEFINANCE(""BOM:""&amp;A25,""PRICE"")"),290.4)</f>
        <v>290.39999999999998</v>
      </c>
      <c r="F25" s="20">
        <f ca="1">IFERROR(__xludf.DUMMYFUNCTION("GOOGLEFINANCE(""BOM:""&amp;A25,""MARKETCAP"")/10000000"),148.5773779)</f>
        <v>148.57737789999999</v>
      </c>
      <c r="G25" s="95">
        <f t="shared" ca="1" si="0"/>
        <v>1.0412849332371678E-3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526703</v>
      </c>
      <c r="B26" s="98" t="s">
        <v>1452</v>
      </c>
      <c r="C26" s="6"/>
      <c r="D26" s="6"/>
      <c r="E26" s="11">
        <f ca="1">IFERROR(__xludf.DUMMYFUNCTION("GOOGLEFINANCE(""BOM:""&amp;A26,""PRICE"")"),435.15)</f>
        <v>435.15</v>
      </c>
      <c r="F26" s="20">
        <f ca="1">IFERROR(__xludf.DUMMYFUNCTION("GOOGLEFINANCE(""BOM:""&amp;A26,""MARKETCAP"")/10000000"),150.3236097)</f>
        <v>150.32360969999999</v>
      </c>
      <c r="G26" s="95">
        <f t="shared" ca="1" si="0"/>
        <v>1.0535231682160047E-3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531287</v>
      </c>
      <c r="B27" s="98" t="s">
        <v>1453</v>
      </c>
      <c r="C27" s="6"/>
      <c r="D27" s="6"/>
      <c r="E27" s="11">
        <f ca="1">IFERROR(__xludf.DUMMYFUNCTION("GOOGLEFINANCE(""BOM:""&amp;A27,""PRICE"")"),210)</f>
        <v>210</v>
      </c>
      <c r="F27" s="20">
        <f ca="1">IFERROR(__xludf.DUMMYFUNCTION("GOOGLEFINANCE(""BOM:""&amp;A27,""MARKETCAP"")/10000000"),127.644888)</f>
        <v>127.64488799999999</v>
      </c>
      <c r="G27" s="95">
        <f t="shared" ca="1" si="0"/>
        <v>8.9458234192693869E-4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538817</v>
      </c>
      <c r="B28" s="98" t="s">
        <v>1454</v>
      </c>
      <c r="C28" s="6"/>
      <c r="D28" s="6"/>
      <c r="E28" s="11">
        <f ca="1">IFERROR(__xludf.DUMMYFUNCTION("GOOGLEFINANCE(""BOM:""&amp;A28,""PRICE"")"),11.1)</f>
        <v>11.1</v>
      </c>
      <c r="F28" s="20">
        <f ca="1">IFERROR(__xludf.DUMMYFUNCTION("GOOGLEFINANCE(""BOM:""&amp;A28,""MARKETCAP"")/10000000"),170.5457338)</f>
        <v>170.54573379999999</v>
      </c>
      <c r="G28" s="95">
        <f t="shared" ca="1" si="0"/>
        <v>1.19524725462137E-3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526731</v>
      </c>
      <c r="B29" s="98" t="s">
        <v>1455</v>
      </c>
      <c r="C29" s="6"/>
      <c r="D29" s="6"/>
      <c r="E29" s="11">
        <f ca="1">IFERROR(__xludf.DUMMYFUNCTION("GOOGLEFINANCE(""BOM:""&amp;A29,""PRICE"")"),203)</f>
        <v>203</v>
      </c>
      <c r="F29" s="20">
        <f ca="1">IFERROR(__xludf.DUMMYFUNCTION("GOOGLEFINANCE(""BOM:""&amp;A29,""MARKETCAP"")/10000000"),115.3087502)</f>
        <v>115.30875020000001</v>
      </c>
      <c r="G29" s="95">
        <f t="shared" ca="1" si="0"/>
        <v>8.081261491536141E-4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533164</v>
      </c>
      <c r="B30" s="98" t="s">
        <v>1456</v>
      </c>
      <c r="C30" s="6"/>
      <c r="D30" s="6"/>
      <c r="E30" s="11">
        <f ca="1">IFERROR(__xludf.DUMMYFUNCTION("GOOGLEFINANCE(""BOM:""&amp;A30,""PRICE"")"),38.75)</f>
        <v>38.75</v>
      </c>
      <c r="F30" s="20">
        <f ca="1">IFERROR(__xludf.DUMMYFUNCTION("GOOGLEFINANCE(""BOM:""&amp;A30,""MARKETCAP"")/10000000"),112.5758468)</f>
        <v>112.57584679999999</v>
      </c>
      <c r="G30" s="95">
        <f t="shared" ca="1" si="0"/>
        <v>7.8897295655704015E-4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534796</v>
      </c>
      <c r="B31" s="98" t="s">
        <v>1457</v>
      </c>
      <c r="C31" s="6"/>
      <c r="D31" s="6"/>
      <c r="E31" s="11">
        <f ca="1">IFERROR(__xludf.DUMMYFUNCTION("GOOGLEFINANCE(""BOM:""&amp;A31,""PRICE"")"),117.3)</f>
        <v>117.3</v>
      </c>
      <c r="F31" s="20">
        <f ca="1">IFERROR(__xludf.DUMMYFUNCTION("GOOGLEFINANCE(""BOM:""&amp;A31,""MARKETCAP"")/10000000"),108.3323943)</f>
        <v>108.3323943</v>
      </c>
      <c r="G31" s="95">
        <f t="shared" ca="1" si="0"/>
        <v>7.5923328006246942E-4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530449</v>
      </c>
      <c r="B32" s="98" t="s">
        <v>1458</v>
      </c>
      <c r="C32" s="6"/>
      <c r="D32" s="6"/>
      <c r="E32" s="11">
        <f ca="1">IFERROR(__xludf.DUMMYFUNCTION("GOOGLEFINANCE(""BOM:""&amp;A32,""PRICE"")"),46.37)</f>
        <v>46.37</v>
      </c>
      <c r="F32" s="20">
        <f ca="1">IFERROR(__xludf.DUMMYFUNCTION("GOOGLEFINANCE(""BOM:""&amp;A32,""MARKETCAP"")/10000000"),92.3772917)</f>
        <v>92.377291700000001</v>
      </c>
      <c r="G32" s="95">
        <f t="shared" ca="1" si="0"/>
        <v>6.4741405037586745E-4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509486</v>
      </c>
      <c r="B33" s="98" t="s">
        <v>1459</v>
      </c>
      <c r="C33" s="6"/>
      <c r="D33" s="6"/>
      <c r="E33" s="11">
        <f ca="1">IFERROR(__xludf.DUMMYFUNCTION("GOOGLEFINANCE(""BOM:""&amp;A33,""PRICE"")"),66.92)</f>
        <v>66.92</v>
      </c>
      <c r="F33" s="20">
        <f ca="1">IFERROR(__xludf.DUMMYFUNCTION("GOOGLEFINANCE(""BOM:""&amp;A33,""MARKETCAP"")/10000000"),106.2060522)</f>
        <v>106.2060522</v>
      </c>
      <c r="G33" s="95">
        <f t="shared" ca="1" si="0"/>
        <v>7.4433109223998614E-4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526638</v>
      </c>
      <c r="B34" s="98" t="s">
        <v>1460</v>
      </c>
      <c r="C34" s="6"/>
      <c r="D34" s="6"/>
      <c r="E34" s="11">
        <f ca="1">IFERROR(__xludf.DUMMYFUNCTION("GOOGLEFINANCE(""BOM:""&amp;A34,""PRICE"")"),74.2)</f>
        <v>74.2</v>
      </c>
      <c r="F34" s="20">
        <f ca="1">IFERROR(__xludf.DUMMYFUNCTION("GOOGLEFINANCE(""BOM:""&amp;A34,""MARKETCAP"")/10000000"),98.7378617)</f>
        <v>98.737861699999996</v>
      </c>
      <c r="G34" s="95">
        <f t="shared" ca="1" si="0"/>
        <v>6.9199126530193817E-4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543239</v>
      </c>
      <c r="B35" s="98" t="s">
        <v>1461</v>
      </c>
      <c r="C35" s="6"/>
      <c r="D35" s="6"/>
      <c r="E35" s="11">
        <f ca="1">IFERROR(__xludf.DUMMYFUNCTION("GOOGLEFINANCE(""BOM:""&amp;A35,""PRICE"")"),64)</f>
        <v>64</v>
      </c>
      <c r="F35" s="20">
        <f ca="1">IFERROR(__xludf.DUMMYFUNCTION("GOOGLEFINANCE(""BOM:""&amp;A35,""MARKETCAP"")/10000000"),86.14144)</f>
        <v>86.141440000000003</v>
      </c>
      <c r="G35" s="95">
        <f t="shared" ca="1" si="0"/>
        <v>6.0371090718618417E-4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544351</v>
      </c>
      <c r="B36" s="98" t="s">
        <v>1462</v>
      </c>
      <c r="C36" s="6"/>
      <c r="D36" s="6"/>
      <c r="E36" s="11">
        <f ca="1">IFERROR(__xludf.DUMMYFUNCTION("GOOGLEFINANCE(""BOM:""&amp;A36,""PRICE"")"),63.89)</f>
        <v>63.89</v>
      </c>
      <c r="F36" s="20">
        <f ca="1">IFERROR(__xludf.DUMMYFUNCTION("GOOGLEFINANCE(""BOM:""&amp;A36,""MARKETCAP"")/10000000"),68.8574468)</f>
        <v>68.857446800000005</v>
      </c>
      <c r="G36" s="95">
        <f t="shared" ca="1" si="0"/>
        <v>4.8257832321066862E-4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513337</v>
      </c>
      <c r="B37" s="98" t="s">
        <v>1463</v>
      </c>
      <c r="C37" s="6"/>
      <c r="D37" s="6"/>
      <c r="E37" s="11">
        <f ca="1">IFERROR(__xludf.DUMMYFUNCTION("GOOGLEFINANCE(""BOM:""&amp;A37,""PRICE"")"),0.53)</f>
        <v>0.53</v>
      </c>
      <c r="F37" s="20">
        <f ca="1">IFERROR(__xludf.DUMMYFUNCTION("GOOGLEFINANCE(""BOM:""&amp;A37,""MARKETCAP"")/10000000"),73.796825)</f>
        <v>73.796824999999998</v>
      </c>
      <c r="G37" s="95">
        <f t="shared" ca="1" si="0"/>
        <v>5.1719530307608129E-4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517437</v>
      </c>
      <c r="B38" s="98" t="s">
        <v>1464</v>
      </c>
      <c r="C38" s="6"/>
      <c r="D38" s="6"/>
      <c r="E38" s="11">
        <f ca="1">IFERROR(__xludf.DUMMYFUNCTION("GOOGLEFINANCE(""BOM:""&amp;A38,""PRICE"")"),105.94)</f>
        <v>105.94</v>
      </c>
      <c r="F38" s="20">
        <f ca="1">IFERROR(__xludf.DUMMYFUNCTION("GOOGLEFINANCE(""BOM:""&amp;A38,""MARKETCAP"")/10000000"),63.564)</f>
        <v>63.564</v>
      </c>
      <c r="G38" s="95">
        <f t="shared" ca="1" si="0"/>
        <v>4.4547990031722955E-4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517431</v>
      </c>
      <c r="B39" s="98" t="s">
        <v>1465</v>
      </c>
      <c r="C39" s="6"/>
      <c r="D39" s="6"/>
      <c r="E39" s="11">
        <f ca="1">IFERROR(__xludf.DUMMYFUNCTION("GOOGLEFINANCE(""BOM:""&amp;A39,""PRICE"")"),18.18)</f>
        <v>18.18</v>
      </c>
      <c r="F39" s="20">
        <f ca="1">IFERROR(__xludf.DUMMYFUNCTION("GOOGLEFINANCE(""BOM:""&amp;A39,""MARKETCAP"")/10000000"),65.8661411)</f>
        <v>65.866141099999993</v>
      </c>
      <c r="G39" s="95">
        <f t="shared" ca="1" si="0"/>
        <v>4.6161415221679841E-4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513642</v>
      </c>
      <c r="B40" s="98" t="s">
        <v>1466</v>
      </c>
      <c r="C40" s="6"/>
      <c r="D40" s="6"/>
      <c r="E40" s="11">
        <f ca="1">IFERROR(__xludf.DUMMYFUNCTION("GOOGLEFINANCE(""BOM:""&amp;A40,""PRICE"")"),40.65)</f>
        <v>40.65</v>
      </c>
      <c r="F40" s="20">
        <f ca="1">IFERROR(__xludf.DUMMYFUNCTION("GOOGLEFINANCE(""BOM:""&amp;A40,""MARKETCAP"")/10000000"),44.7195544)</f>
        <v>44.7195544</v>
      </c>
      <c r="G40" s="95">
        <f t="shared" ca="1" si="0"/>
        <v>3.1341109175544215E-4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514442</v>
      </c>
      <c r="B41" s="98" t="s">
        <v>1467</v>
      </c>
      <c r="C41" s="6"/>
      <c r="D41" s="6"/>
      <c r="E41" s="11">
        <f ca="1">IFERROR(__xludf.DUMMYFUNCTION("GOOGLEFINANCE(""BOM:""&amp;A41,""PRICE"")"),22.47)</f>
        <v>22.47</v>
      </c>
      <c r="F41" s="20">
        <f ca="1">IFERROR(__xludf.DUMMYFUNCTION("GOOGLEFINANCE(""BOM:""&amp;A41,""MARKETCAP"")/10000000"),45.267364)</f>
        <v>45.267364000000001</v>
      </c>
      <c r="G41" s="95">
        <f t="shared" ca="1" si="0"/>
        <v>3.1725034299829691E-4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526616</v>
      </c>
      <c r="B42" s="98" t="s">
        <v>1468</v>
      </c>
      <c r="C42" s="6"/>
      <c r="D42" s="6"/>
      <c r="E42" s="11">
        <f ca="1">IFERROR(__xludf.DUMMYFUNCTION("GOOGLEFINANCE(""BOM:""&amp;A42,""PRICE"")"),42.51)</f>
        <v>42.51</v>
      </c>
      <c r="F42" s="20">
        <f ca="1">IFERROR(__xludf.DUMMYFUNCTION("GOOGLEFINANCE(""BOM:""&amp;A42,""MARKETCAP"")/10000000"),38.809928)</f>
        <v>38.809927999999999</v>
      </c>
      <c r="G42" s="95">
        <f t="shared" ca="1" si="0"/>
        <v>2.7199425550246767E-4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4.4">
      <c r="A43" s="99">
        <v>544035</v>
      </c>
      <c r="B43" s="98" t="s">
        <v>1469</v>
      </c>
      <c r="C43" s="6"/>
      <c r="D43" s="6"/>
      <c r="E43" s="11">
        <f ca="1">IFERROR(__xludf.DUMMYFUNCTION("GOOGLEFINANCE(""BOM:""&amp;A43,""PRICE"")"),18.05)</f>
        <v>18.05</v>
      </c>
      <c r="F43" s="20">
        <f ca="1">IFERROR(__xludf.DUMMYFUNCTION("GOOGLEFINANCE(""BOM:""&amp;A43,""MARKETCAP"")/10000000"),35.1397204)</f>
        <v>35.139720400000002</v>
      </c>
      <c r="G43" s="95">
        <f t="shared" ca="1" si="0"/>
        <v>2.4627209019204769E-4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4.4">
      <c r="A44" s="99">
        <v>530973</v>
      </c>
      <c r="B44" s="98" t="s">
        <v>1470</v>
      </c>
      <c r="C44" s="6"/>
      <c r="D44" s="6"/>
      <c r="E44" s="11">
        <f ca="1">IFERROR(__xludf.DUMMYFUNCTION("GOOGLEFINANCE(""BOM:""&amp;A44,""PRICE"")"),79.15)</f>
        <v>79.150000000000006</v>
      </c>
      <c r="F44" s="20">
        <f ca="1">IFERROR(__xludf.DUMMYFUNCTION("GOOGLEFINANCE(""BOM:""&amp;A44,""MARKETCAP"")/10000000"),31.9766)</f>
        <v>31.976600000000001</v>
      </c>
      <c r="G44" s="95">
        <f t="shared" ca="1" si="0"/>
        <v>2.2410377856151159E-4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4.4">
      <c r="A45" s="99">
        <v>526355</v>
      </c>
      <c r="B45" s="98" t="s">
        <v>1471</v>
      </c>
      <c r="C45" s="6"/>
      <c r="D45" s="6"/>
      <c r="E45" s="11">
        <f ca="1">IFERROR(__xludf.DUMMYFUNCTION("GOOGLEFINANCE(""BOM:""&amp;A45,""PRICE"")"),45.5)</f>
        <v>45.5</v>
      </c>
      <c r="F45" s="20">
        <f ca="1">IFERROR(__xludf.DUMMYFUNCTION("GOOGLEFINANCE(""BOM:""&amp;A45,""MARKETCAP"")/10000000"),24.01487)</f>
        <v>24.014869999999998</v>
      </c>
      <c r="G45" s="95">
        <f t="shared" ca="1" si="0"/>
        <v>1.6830504521004382E-4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543843</v>
      </c>
      <c r="B46" s="98" t="s">
        <v>1472</v>
      </c>
      <c r="C46" s="6"/>
      <c r="D46" s="6"/>
      <c r="E46" s="11">
        <f ca="1">IFERROR(__xludf.DUMMYFUNCTION("GOOGLEFINANCE(""BOM:""&amp;A46,""PRICE"")"),23)</f>
        <v>23</v>
      </c>
      <c r="F46" s="20">
        <f ca="1">IFERROR(__xludf.DUMMYFUNCTION("GOOGLEFINANCE(""BOM:""&amp;A46,""MARKETCAP"")/10000000"),21.56641)</f>
        <v>21.566410000000001</v>
      </c>
      <c r="G46" s="95">
        <f t="shared" ca="1" si="0"/>
        <v>1.5114533662136592E-4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4.4">
      <c r="A47" s="99">
        <v>544366</v>
      </c>
      <c r="B47" s="98" t="s">
        <v>1473</v>
      </c>
      <c r="C47" s="6"/>
      <c r="D47" s="6"/>
      <c r="E47" s="11">
        <f ca="1">IFERROR(__xludf.DUMMYFUNCTION("GOOGLEFINANCE(""BOM:""&amp;A47,""PRICE"")"),45.6)</f>
        <v>45.6</v>
      </c>
      <c r="F47" s="20">
        <f ca="1">IFERROR(__xludf.DUMMYFUNCTION("GOOGLEFINANCE(""BOM:""&amp;A47,""MARKETCAP"")/10000000"),17.5104)</f>
        <v>17.510400000000001</v>
      </c>
      <c r="G47" s="95">
        <f t="shared" ca="1" si="0"/>
        <v>1.2271932613609616E-4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4.4">
      <c r="A48" s="99">
        <v>523652</v>
      </c>
      <c r="B48" s="98" t="s">
        <v>1474</v>
      </c>
      <c r="C48" s="6"/>
      <c r="D48" s="6"/>
      <c r="E48" s="11">
        <f ca="1">IFERROR(__xludf.DUMMYFUNCTION("GOOGLEFINANCE(""BOM:""&amp;A48,""PRICE"")"),29.76)</f>
        <v>29.76</v>
      </c>
      <c r="F48" s="20">
        <f ca="1">IFERROR(__xludf.DUMMYFUNCTION("GOOGLEFINANCE(""BOM:""&amp;A48,""MARKETCAP"")/10000000"),16.4529173)</f>
        <v>16.452917299999999</v>
      </c>
      <c r="G48" s="95">
        <f t="shared" ca="1" si="0"/>
        <v>1.1530809827467783E-4</v>
      </c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ht="14.4">
      <c r="A49" s="99">
        <v>523594</v>
      </c>
      <c r="B49" s="98" t="s">
        <v>1475</v>
      </c>
      <c r="C49" s="6"/>
      <c r="D49" s="6"/>
      <c r="E49" s="11">
        <f ca="1">IFERROR(__xludf.DUMMYFUNCTION("GOOGLEFINANCE(""BOM:""&amp;A49,""PRICE"")"),19.6)</f>
        <v>19.600000000000001</v>
      </c>
      <c r="F49" s="20">
        <f ca="1">IFERROR(__xludf.DUMMYFUNCTION("GOOGLEFINANCE(""BOM:""&amp;A49,""MARKETCAP"")/10000000"),13.5044002)</f>
        <v>13.504400199999999</v>
      </c>
      <c r="G49" s="95">
        <f t="shared" ca="1" si="0"/>
        <v>9.4643805533634989E-5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4.4">
      <c r="A50" s="99">
        <v>544072</v>
      </c>
      <c r="B50" s="98" t="s">
        <v>1476</v>
      </c>
      <c r="C50" s="6"/>
      <c r="D50" s="6"/>
      <c r="E50" s="11">
        <f ca="1">IFERROR(__xludf.DUMMYFUNCTION("GOOGLEFINANCE(""BOM:""&amp;A50,""PRICE"")"),25.3)</f>
        <v>25.3</v>
      </c>
      <c r="F50" s="20">
        <f ca="1">IFERROR(__xludf.DUMMYFUNCTION("GOOGLEFINANCE(""BOM:""&amp;A50,""MARKETCAP"")/10000000"),16.0983895)</f>
        <v>16.0983895</v>
      </c>
      <c r="G50" s="95">
        <f t="shared" ca="1" si="0"/>
        <v>1.1282343700408934E-4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4.4">
      <c r="A51" s="99">
        <v>533629</v>
      </c>
      <c r="B51" s="98" t="s">
        <v>1477</v>
      </c>
      <c r="C51" s="6"/>
      <c r="D51" s="6"/>
      <c r="E51" s="11">
        <f ca="1">IFERROR(__xludf.DUMMYFUNCTION("GOOGLEFINANCE(""BOM:""&amp;A51,""PRICE"")"),4.25)</f>
        <v>4.25</v>
      </c>
      <c r="F51" s="20">
        <f ca="1">IFERROR(__xludf.DUMMYFUNCTION("GOOGLEFINANCE(""BOM:""&amp;A51,""MARKETCAP"")/10000000"),11.7870222)</f>
        <v>11.787022199999999</v>
      </c>
      <c r="G51" s="95">
        <f t="shared" ca="1" si="0"/>
        <v>8.260778860192831E-5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4.4">
      <c r="A52" s="99">
        <v>530429</v>
      </c>
      <c r="B52" s="98" t="s">
        <v>1478</v>
      </c>
      <c r="C52" s="6"/>
      <c r="D52" s="6"/>
      <c r="E52" s="11">
        <f ca="1">IFERROR(__xludf.DUMMYFUNCTION("GOOGLEFINANCE(""BOM:""&amp;A52,""PRICE"")"),32.29)</f>
        <v>32.29</v>
      </c>
      <c r="F52" s="20">
        <f ca="1">IFERROR(__xludf.DUMMYFUNCTION("GOOGLEFINANCE(""BOM:""&amp;A52,""MARKETCAP"")/10000000"),10.9705245)</f>
        <v>10.9705245</v>
      </c>
      <c r="G52" s="95">
        <f t="shared" ca="1" si="0"/>
        <v>7.6885472290726269E-5</v>
      </c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ht="14.4">
      <c r="A53" s="99">
        <v>520121</v>
      </c>
      <c r="B53" s="98" t="s">
        <v>1479</v>
      </c>
      <c r="C53" s="6"/>
      <c r="D53" s="6"/>
      <c r="E53" s="11">
        <f ca="1">IFERROR(__xludf.DUMMYFUNCTION("GOOGLEFINANCE(""BOM:""&amp;A53,""PRICE"")"),17.29)</f>
        <v>17.29</v>
      </c>
      <c r="F53" s="20">
        <f ca="1">IFERROR(__xludf.DUMMYFUNCTION("GOOGLEFINANCE(""BOM:""&amp;A53,""MARKETCAP"")/10000000"),8.8849459)</f>
        <v>8.8849459</v>
      </c>
      <c r="G53" s="95">
        <f t="shared" ca="1" si="0"/>
        <v>6.2268970075136519E-5</v>
      </c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ht="14.4">
      <c r="A54" s="99">
        <v>531779</v>
      </c>
      <c r="B54" s="98" t="s">
        <v>1480</v>
      </c>
      <c r="C54" s="6"/>
      <c r="D54" s="6"/>
      <c r="E54" s="11">
        <f ca="1">IFERROR(__xludf.DUMMYFUNCTION("GOOGLEFINANCE(""BOM:""&amp;A54,""PRICE"")"),18)</f>
        <v>18</v>
      </c>
      <c r="F54" s="20">
        <f ca="1">IFERROR(__xludf.DUMMYFUNCTION("GOOGLEFINANCE(""BOM:""&amp;A54,""MARKETCAP"")/10000000"),9.74394)</f>
        <v>9.7439400000000003</v>
      </c>
      <c r="G54" s="95">
        <f t="shared" ca="1" si="0"/>
        <v>6.8289116794051125E-5</v>
      </c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ht="14.4">
      <c r="A55" s="99">
        <v>537573</v>
      </c>
      <c r="B55" s="98" t="s">
        <v>1481</v>
      </c>
      <c r="C55" s="6"/>
      <c r="D55" s="6"/>
      <c r="E55" s="11">
        <f ca="1">IFERROR(__xludf.DUMMYFUNCTION("GOOGLEFINANCE(""BOM:""&amp;A55,""PRICE"")"),16.6)</f>
        <v>16.600000000000001</v>
      </c>
      <c r="F55" s="20">
        <f ca="1">IFERROR(__xludf.DUMMYFUNCTION("GOOGLEFINANCE(""BOM:""&amp;A55,""MARKETCAP"")/10000000"),7.937456)</f>
        <v>7.9374560000000001</v>
      </c>
      <c r="G55" s="95">
        <f t="shared" ca="1" si="0"/>
        <v>5.5628612227871051E-5</v>
      </c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ht="14.4">
      <c r="A56" s="99">
        <v>526225</v>
      </c>
      <c r="B56" s="98" t="s">
        <v>1482</v>
      </c>
      <c r="C56" s="6"/>
      <c r="D56" s="6"/>
      <c r="E56" s="11">
        <f ca="1">IFERROR(__xludf.DUMMYFUNCTION("GOOGLEFINANCE(""BOM:""&amp;A56,""PRICE"")"),10.65)</f>
        <v>10.65</v>
      </c>
      <c r="F56" s="20">
        <f ca="1">IFERROR(__xludf.DUMMYFUNCTION("GOOGLEFINANCE(""BOM:""&amp;A56,""MARKETCAP"")/10000000"),7.29525)</f>
        <v>7.2952500000000002</v>
      </c>
      <c r="G56" s="95">
        <f t="shared" ca="1" si="0"/>
        <v>5.1127796280744901E-5</v>
      </c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ht="14.4">
      <c r="A57" s="99">
        <v>500248</v>
      </c>
      <c r="B57" s="98" t="s">
        <v>1483</v>
      </c>
      <c r="C57" s="6"/>
      <c r="D57" s="6"/>
      <c r="E57" s="11">
        <f ca="1">IFERROR(__xludf.DUMMYFUNCTION("GOOGLEFINANCE(""BOM:""&amp;A57,""PRICE"")"),5.76)</f>
        <v>5.76</v>
      </c>
      <c r="F57" s="20">
        <f ca="1">IFERROR(__xludf.DUMMYFUNCTION("GOOGLEFINANCE(""BOM:""&amp;A57,""MARKETCAP"")/10000000"),4.484909)</f>
        <v>4.484909</v>
      </c>
      <c r="G57" s="95">
        <f t="shared" ca="1" si="0"/>
        <v>3.1431892490275089E-5</v>
      </c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ht="14.4">
      <c r="A58" s="99">
        <v>530921</v>
      </c>
      <c r="B58" s="98" t="s">
        <v>1484</v>
      </c>
      <c r="C58" s="6"/>
      <c r="D58" s="6"/>
      <c r="E58" s="11">
        <f ca="1">IFERROR(__xludf.DUMMYFUNCTION("GOOGLEFINANCE(""BOM:""&amp;A58,""PRICE"")"),6.78)</f>
        <v>6.78</v>
      </c>
      <c r="F58" s="20">
        <f ca="1">IFERROR(__xludf.DUMMYFUNCTION("GOOGLEFINANCE(""BOM:""&amp;A58,""MARKETCAP"")/10000000"),4.263874)</f>
        <v>4.2638740000000004</v>
      </c>
      <c r="G58" s="95">
        <f t="shared" ca="1" si="0"/>
        <v>2.9882797880643557E-5</v>
      </c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ht="14.4">
      <c r="A59" s="99">
        <v>531681</v>
      </c>
      <c r="B59" s="98" t="s">
        <v>1485</v>
      </c>
      <c r="C59" s="6"/>
      <c r="D59" s="6"/>
      <c r="E59" s="11">
        <f ca="1">IFERROR(__xludf.DUMMYFUNCTION("GOOGLEFINANCE(""BOM:""&amp;A59,""PRICE"")"),0.65)</f>
        <v>0.65</v>
      </c>
      <c r="F59" s="20">
        <f ca="1">IFERROR(__xludf.DUMMYFUNCTION("GOOGLEFINANCE(""BOM:""&amp;A59,""MARKETCAP"")/10000000"),4.162347)</f>
        <v>4.1623469999999996</v>
      </c>
      <c r="G59" s="95">
        <f t="shared" ca="1" si="0"/>
        <v>2.9171259307874258E-5</v>
      </c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ht="14.4">
      <c r="A60" s="99">
        <v>526331</v>
      </c>
      <c r="B60" s="98" t="s">
        <v>1486</v>
      </c>
      <c r="C60" s="6"/>
      <c r="D60" s="6"/>
      <c r="E60" s="11">
        <f ca="1">IFERROR(__xludf.DUMMYFUNCTION("GOOGLEFINANCE(""BOM:""&amp;A60,""PRICE"")"),0)</f>
        <v>0</v>
      </c>
      <c r="F60" s="20"/>
      <c r="G60" s="95">
        <f t="shared" ca="1" si="0"/>
        <v>0</v>
      </c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ht="14.4">
      <c r="A61" s="99">
        <v>539200</v>
      </c>
      <c r="B61" s="98" t="s">
        <v>1487</v>
      </c>
      <c r="C61" s="6"/>
      <c r="D61" s="6"/>
      <c r="E61" s="11">
        <f ca="1">IFERROR(__xludf.DUMMYFUNCTION("GOOGLEFINANCE(""BOM:""&amp;A61,""PRICE"")"),1.81)</f>
        <v>1.81</v>
      </c>
      <c r="F61" s="20"/>
      <c r="G61" s="95">
        <f t="shared" ca="1" si="0"/>
        <v>0</v>
      </c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</row>
    <row r="62" spans="1:25" ht="14.4">
      <c r="A62" s="99">
        <v>524046</v>
      </c>
      <c r="B62" s="98" t="s">
        <v>1488</v>
      </c>
      <c r="C62" s="6"/>
      <c r="D62" s="6"/>
      <c r="E62" s="11">
        <f ca="1">IFERROR(__xludf.DUMMYFUNCTION("GOOGLEFINANCE(""BOM:""&amp;A62,""PRICE"")"),0)</f>
        <v>0</v>
      </c>
      <c r="F62" s="20"/>
      <c r="G62" s="95">
        <f t="shared" ca="1" si="0"/>
        <v>0</v>
      </c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</row>
    <row r="63" spans="1:25" ht="14.4">
      <c r="A63" s="99">
        <v>542684</v>
      </c>
      <c r="B63" s="98" t="s">
        <v>1489</v>
      </c>
      <c r="C63" s="6"/>
      <c r="D63" s="6"/>
      <c r="E63" s="11" t="str">
        <f ca="1">IFERROR(__xludf.DUMMYFUNCTION("GOOGLEFINANCE(""BOM:""&amp;A63,""PRICE"")"),"#N/A")</f>
        <v>#N/A</v>
      </c>
      <c r="F63" s="20"/>
      <c r="G63" s="95">
        <f t="shared" ca="1" si="0"/>
        <v>0</v>
      </c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</row>
    <row r="64" spans="1:25" ht="13.2">
      <c r="A64" s="101"/>
      <c r="B64" s="101"/>
      <c r="C64" s="101"/>
      <c r="D64" s="101"/>
      <c r="E64" s="101"/>
      <c r="F64" s="101"/>
      <c r="G64" s="95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</row>
    <row r="65" spans="1:25" ht="13.2">
      <c r="A65" s="101"/>
      <c r="B65" s="101"/>
      <c r="C65" s="101"/>
      <c r="D65" s="101"/>
      <c r="E65" s="101"/>
      <c r="F65" s="112">
        <f ca="1">SUM(F2:F63)</f>
        <v>142686.57228920003</v>
      </c>
      <c r="G65" s="95">
        <f ca="1">F65/$F$65</f>
        <v>1</v>
      </c>
      <c r="H65" s="101">
        <f t="shared" ref="H65:O65" si="1">SUM(H2:H63)</f>
        <v>29807</v>
      </c>
      <c r="I65" s="101">
        <f t="shared" si="1"/>
        <v>28148</v>
      </c>
      <c r="J65" s="101">
        <f t="shared" si="1"/>
        <v>2148</v>
      </c>
      <c r="K65" s="101">
        <f t="shared" si="1"/>
        <v>2409</v>
      </c>
      <c r="L65" s="101">
        <f t="shared" si="1"/>
        <v>10173</v>
      </c>
      <c r="M65" s="101">
        <f t="shared" si="1"/>
        <v>9460</v>
      </c>
      <c r="N65" s="101">
        <f t="shared" si="1"/>
        <v>610</v>
      </c>
      <c r="O65" s="101">
        <f t="shared" si="1"/>
        <v>605</v>
      </c>
      <c r="P65" s="95">
        <f t="shared" ref="P65:Q65" si="2">J65/H65</f>
        <v>7.2063609219310903E-2</v>
      </c>
      <c r="Q65" s="95">
        <f t="shared" si="2"/>
        <v>8.5583345175500924E-2</v>
      </c>
      <c r="R65" s="95">
        <f>P65-Q65</f>
        <v>-1.3519735956190021E-2</v>
      </c>
      <c r="S65" s="95">
        <f t="shared" ref="S65:T65" si="3">N65/L65</f>
        <v>5.99626462203873E-2</v>
      </c>
      <c r="T65" s="95">
        <f t="shared" si="3"/>
        <v>6.3953488372093026E-2</v>
      </c>
      <c r="U65" s="95">
        <f>S65-T65</f>
        <v>-3.9908421517057258E-3</v>
      </c>
      <c r="V65" s="95">
        <f>(H65/I65)-1</f>
        <v>5.8938468097200492E-2</v>
      </c>
      <c r="W65" s="95">
        <f>(J65/K65)-1</f>
        <v>-0.1083437110834371</v>
      </c>
      <c r="X65" s="95">
        <f>(L65/M65)-1</f>
        <v>7.5369978858351061E-2</v>
      </c>
      <c r="Y65" s="95">
        <f>(N65/O65)-1</f>
        <v>8.2644628099173278E-3</v>
      </c>
    </row>
    <row r="66" spans="1:25" ht="13.2">
      <c r="G66" s="50"/>
    </row>
    <row r="67" spans="1:25" ht="13.2">
      <c r="G67" s="50"/>
    </row>
    <row r="68" spans="1:25" ht="13.2">
      <c r="G68" s="50"/>
    </row>
    <row r="69" spans="1:25" ht="13.2">
      <c r="G69" s="50"/>
    </row>
    <row r="70" spans="1:25" ht="13.2">
      <c r="G70" s="50"/>
    </row>
    <row r="71" spans="1:25" ht="13.2">
      <c r="G71" s="50"/>
    </row>
    <row r="72" spans="1:25" ht="13.2">
      <c r="G72" s="50"/>
    </row>
    <row r="73" spans="1:25" ht="13.2">
      <c r="G73" s="50"/>
    </row>
    <row r="74" spans="1:25" ht="13.2">
      <c r="G74" s="50"/>
    </row>
    <row r="75" spans="1:25" ht="13.2">
      <c r="G75" s="50"/>
    </row>
    <row r="76" spans="1:25" ht="13.2">
      <c r="G76" s="50"/>
    </row>
    <row r="77" spans="1:25" ht="13.2">
      <c r="G77" s="50"/>
    </row>
    <row r="78" spans="1:25" ht="13.2">
      <c r="G78" s="50"/>
    </row>
    <row r="79" spans="1:25" ht="13.2">
      <c r="G79" s="50"/>
    </row>
    <row r="80" spans="1:25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63" xr:uid="{00000000-0009-0000-0000-00000B000000}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500125</v>
      </c>
      <c r="B2" s="98" t="s">
        <v>2825</v>
      </c>
      <c r="C2" s="101" t="str">
        <f>VLOOKUP(A2,'BSE ALL CAP'!$B$4:$Y$1038,2,)</f>
        <v>Fast Moving Consumer Goods</v>
      </c>
      <c r="D2" s="101" t="str">
        <f>VLOOKUP(A2,'BSE ALL CAP'!$B$4:$Y$1038,3,)</f>
        <v>Other Food Products</v>
      </c>
      <c r="E2" s="101">
        <f ca="1">IFERROR(__xludf.DUMMYFUNCTION("GOOGLEFINANCE(""BOM:""&amp;A2,""PRICE"")"),814.9)</f>
        <v>814.9</v>
      </c>
      <c r="F2" s="112">
        <f ca="1">IFERROR(__xludf.DUMMYFUNCTION("GOOGLEFINANCE(""BOM:""&amp;A2,""MARKETCAP"")/10000000"),14461.04238)</f>
        <v>14461.042380000001</v>
      </c>
      <c r="G2" s="95">
        <f t="shared" ref="G2:G32" ca="1" si="0">F2/$F$34</f>
        <v>0.41886529793783944</v>
      </c>
      <c r="H2" s="101">
        <f>VLOOKUP(A2,'BSE ALL CAP'!$B$4:$Y$1038,7,)</f>
        <v>30663</v>
      </c>
      <c r="I2" s="101">
        <f>VLOOKUP(A2,'BSE ALL CAP'!$B$4:$Y$1038,8,)</f>
        <v>24797</v>
      </c>
      <c r="J2" s="101">
        <f>VLOOKUP(A2,'BSE ALL CAP'!$B$4:$Y$1038,9,)</f>
        <v>1667</v>
      </c>
      <c r="K2" s="101">
        <f>VLOOKUP(A2,'BSE ALL CAP'!$B$4:$Y$1038,10,)</f>
        <v>1233</v>
      </c>
      <c r="L2" s="101">
        <f>VLOOKUP(A2,'BSE ALL CAP'!$B$4:$Y$1038,11,)</f>
        <v>10315</v>
      </c>
      <c r="M2" s="101">
        <f>VLOOKUP(A2,'BSE ALL CAP'!$B$4:$Y$1038,12,)</f>
        <v>8720</v>
      </c>
      <c r="N2" s="101">
        <f>VLOOKUP(A2,'BSE ALL CAP'!$B$4:$Y$1038,13,)</f>
        <v>437</v>
      </c>
      <c r="O2" s="101">
        <f>VLOOKUP(A2,'BSE ALL CAP'!$B$4:$Y$1038,14,)</f>
        <v>415</v>
      </c>
      <c r="P2" s="95">
        <f>VLOOKUP(A2,'BSE ALL CAP'!$B$4:$Y$1038,15,)</f>
        <v>5.4365195838632883E-2</v>
      </c>
      <c r="Q2" s="95">
        <f>VLOOKUP(A2,'BSE ALL CAP'!$B$4:$Y$1038,16,)</f>
        <v>4.9723756906077346E-2</v>
      </c>
      <c r="R2" s="95">
        <f>VLOOKUP(A2,'BSE ALL CAP'!$B$4:$Y$1038,17,)</f>
        <v>4.6414389325555375E-3</v>
      </c>
      <c r="S2" s="95">
        <f>VLOOKUP(A2,'BSE ALL CAP'!$B$4:$Y$1038,18,)</f>
        <v>4.2365487154629178E-2</v>
      </c>
      <c r="T2" s="95">
        <f>VLOOKUP(A2,'BSE ALL CAP'!$B$4:$Y$1038,19,)</f>
        <v>4.7591743119266054E-2</v>
      </c>
      <c r="U2" s="95">
        <f>VLOOKUP(A2,'BSE ALL CAP'!$B$4:$Y$1038,20,)</f>
        <v>-5.2262559646368764E-3</v>
      </c>
      <c r="V2" s="95">
        <f>VLOOKUP(A2,'BSE ALL CAP'!$B$4:$Y$1038,21,)</f>
        <v>0.23656087429931039</v>
      </c>
      <c r="W2" s="95">
        <f>VLOOKUP(A2,'BSE ALL CAP'!$B$4:$Y$1038,22,)</f>
        <v>0.35198702351987032</v>
      </c>
      <c r="X2" s="95">
        <f>VLOOKUP(A2,'BSE ALL CAP'!$B$4:$Y$1038,23,)</f>
        <v>0.18291284403669716</v>
      </c>
      <c r="Y2" s="95">
        <f>VLOOKUP(A2,'BSE ALL CAP'!$B$4:$Y$1038,24,)</f>
        <v>5.3012048192771166E-2</v>
      </c>
    </row>
    <row r="3" spans="1:25" ht="15.75" customHeight="1">
      <c r="A3" s="99">
        <v>541974</v>
      </c>
      <c r="B3" s="98" t="s">
        <v>2826</v>
      </c>
      <c r="C3" s="101" t="str">
        <f>VLOOKUP(A3,'BSE ALL CAP'!$B$4:$Y$1038,2,)</f>
        <v>Fast Moving Consumer Goods</v>
      </c>
      <c r="D3" s="101" t="str">
        <f>VLOOKUP(A3,'BSE ALL CAP'!$B$4:$Y$1038,3,)</f>
        <v>Other Food Products</v>
      </c>
      <c r="E3" s="101">
        <f ca="1">IFERROR(__xludf.DUMMYFUNCTION("GOOGLEFINANCE(""BOM:""&amp;A3,""PRICE"")"),1230.3)</f>
        <v>1230.3</v>
      </c>
      <c r="F3" s="112">
        <f ca="1">IFERROR(__xludf.DUMMYFUNCTION("GOOGLEFINANCE(""BOM:""&amp;A3,""MARKETCAP"")/10000000"),7332.1133951)</f>
        <v>7332.1133951000002</v>
      </c>
      <c r="G3" s="95">
        <f t="shared" ca="1" si="0"/>
        <v>0.21237527565786618</v>
      </c>
      <c r="H3" s="101">
        <f>VLOOKUP(A3,'BSE ALL CAP'!$B$4:$Y$1038,7,)</f>
        <v>992</v>
      </c>
      <c r="I3" s="101">
        <f>VLOOKUP(A3,'BSE ALL CAP'!$B$4:$Y$1038,8,)</f>
        <v>549</v>
      </c>
      <c r="J3" s="101">
        <f>VLOOKUP(A3,'BSE ALL CAP'!$B$4:$Y$1038,9,)</f>
        <v>172</v>
      </c>
      <c r="K3" s="101">
        <f>VLOOKUP(A3,'BSE ALL CAP'!$B$4:$Y$1038,10,)</f>
        <v>69</v>
      </c>
      <c r="L3" s="101">
        <f>VLOOKUP(A3,'BSE ALL CAP'!$B$4:$Y$1038,11,)</f>
        <v>374</v>
      </c>
      <c r="M3" s="101">
        <f>VLOOKUP(A3,'BSE ALL CAP'!$B$4:$Y$1038,12,)</f>
        <v>213</v>
      </c>
      <c r="N3" s="101">
        <f>VLOOKUP(A3,'BSE ALL CAP'!$B$4:$Y$1038,13,)</f>
        <v>72</v>
      </c>
      <c r="O3" s="101">
        <f>VLOOKUP(A3,'BSE ALL CAP'!$B$4:$Y$1038,14,)</f>
        <v>30</v>
      </c>
      <c r="P3" s="95">
        <f>VLOOKUP(A3,'BSE ALL CAP'!$B$4:$Y$1038,15,)</f>
        <v>0.17338709677419356</v>
      </c>
      <c r="Q3" s="95">
        <f>VLOOKUP(A3,'BSE ALL CAP'!$B$4:$Y$1038,16,)</f>
        <v>0.12568306010928962</v>
      </c>
      <c r="R3" s="95">
        <f>VLOOKUP(A3,'BSE ALL CAP'!$B$4:$Y$1038,17,)</f>
        <v>4.7704036664903943E-2</v>
      </c>
      <c r="S3" s="95">
        <f>VLOOKUP(A3,'BSE ALL CAP'!$B$4:$Y$1038,18,)</f>
        <v>0.19251336898395721</v>
      </c>
      <c r="T3" s="95">
        <f>VLOOKUP(A3,'BSE ALL CAP'!$B$4:$Y$1038,19,)</f>
        <v>0.14084507042253522</v>
      </c>
      <c r="U3" s="95">
        <f>VLOOKUP(A3,'BSE ALL CAP'!$B$4:$Y$1038,20,)</f>
        <v>5.1668298561421994E-2</v>
      </c>
      <c r="V3" s="95">
        <f>VLOOKUP(A3,'BSE ALL CAP'!$B$4:$Y$1038,21,)</f>
        <v>0.80692167577413487</v>
      </c>
      <c r="W3" s="95">
        <f>VLOOKUP(A3,'BSE ALL CAP'!$B$4:$Y$1038,22,)</f>
        <v>1.4927536231884058</v>
      </c>
      <c r="X3" s="95">
        <f>VLOOKUP(A3,'BSE ALL CAP'!$B$4:$Y$1038,23,)</f>
        <v>0.755868544600939</v>
      </c>
      <c r="Y3" s="95">
        <f>VLOOKUP(A3,'BSE ALL CAP'!$B$4:$Y$1038,24,)</f>
        <v>1.4</v>
      </c>
    </row>
    <row r="4" spans="1:25" ht="15.75" customHeight="1">
      <c r="A4" s="99">
        <v>544595</v>
      </c>
      <c r="B4" s="98" t="s">
        <v>2827</v>
      </c>
      <c r="C4" s="101" t="e">
        <f>VLOOKUP(A4,'BSE ALL CAP'!$B$4:$Y$1038,2,)</f>
        <v>#N/A</v>
      </c>
      <c r="D4" s="101" t="e">
        <f>VLOOKUP(A4,'BSE ALL CAP'!$B$4:$Y$1038,3,)</f>
        <v>#N/A</v>
      </c>
      <c r="E4" s="101">
        <f ca="1">IFERROR(__xludf.DUMMYFUNCTION("GOOGLEFINANCE(""BOM:""&amp;A4,""PRICE"")"),607.5)</f>
        <v>607.5</v>
      </c>
      <c r="F4" s="112">
        <f ca="1">IFERROR(__xludf.DUMMYFUNCTION("GOOGLEFINANCE(""BOM:""&amp;A4,""MARKETCAP"")/10000000"),8317.9843912)</f>
        <v>8317.9843911999997</v>
      </c>
      <c r="G4" s="95">
        <f t="shared" ca="1" si="0"/>
        <v>0.24093111123724442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544416</v>
      </c>
      <c r="B5" s="98" t="s">
        <v>2828</v>
      </c>
      <c r="C5" s="101"/>
      <c r="D5" s="101"/>
      <c r="E5" s="101">
        <f ca="1">IFERROR(__xludf.DUMMYFUNCTION("GOOGLEFINANCE(""BOM:""&amp;A5,""PRICE"")"),322)</f>
        <v>322</v>
      </c>
      <c r="F5" s="112">
        <f ca="1">IFERROR(__xludf.DUMMYFUNCTION("GOOGLEFINANCE(""BOM:""&amp;A5,""MARKETCAP"")/10000000"),858.7110652)</f>
        <v>858.71106520000001</v>
      </c>
      <c r="G5" s="95">
        <f t="shared" ca="1" si="0"/>
        <v>2.4872637581435361E-2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506166</v>
      </c>
      <c r="B6" s="98" t="s">
        <v>2829</v>
      </c>
      <c r="C6" s="101"/>
      <c r="D6" s="101"/>
      <c r="E6" s="101">
        <f ca="1">IFERROR(__xludf.DUMMYFUNCTION("GOOGLEFINANCE(""BOM:""&amp;A6,""PRICE"")"),66.5)</f>
        <v>66.5</v>
      </c>
      <c r="F6" s="112">
        <f ca="1">IFERROR(__xludf.DUMMYFUNCTION("GOOGLEFINANCE(""BOM:""&amp;A6,""MARKETCAP"")/10000000"),916.050135)</f>
        <v>916.05013499999995</v>
      </c>
      <c r="G6" s="95">
        <f t="shared" ca="1" si="0"/>
        <v>2.6533468517694298E-2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544657</v>
      </c>
      <c r="B7" s="98" t="s">
        <v>2830</v>
      </c>
      <c r="C7" s="101"/>
      <c r="D7" s="101"/>
      <c r="E7" s="101">
        <f ca="1">IFERROR(__xludf.DUMMYFUNCTION("GOOGLEFINANCE(""BOM:""&amp;A7,""PRICE"")"),152)</f>
        <v>152</v>
      </c>
      <c r="F7" s="112">
        <f ca="1">IFERROR(__xludf.DUMMYFUNCTION("GOOGLEFINANCE(""BOM:""&amp;A7,""MARKETCAP"")/10000000"),361.905768)</f>
        <v>361.90576800000002</v>
      </c>
      <c r="G7" s="95">
        <f t="shared" ca="1" si="0"/>
        <v>1.0482630736799115E-2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530219</v>
      </c>
      <c r="B8" s="98" t="s">
        <v>2831</v>
      </c>
      <c r="C8" s="101"/>
      <c r="D8" s="101"/>
      <c r="E8" s="101">
        <f ca="1">IFERROR(__xludf.DUMMYFUNCTION("GOOGLEFINANCE(""BOM:""&amp;A8,""PRICE"")"),354)</f>
        <v>354</v>
      </c>
      <c r="F8" s="112">
        <f ca="1">IFERROR(__xludf.DUMMYFUNCTION("GOOGLEFINANCE(""BOM:""&amp;A8,""MARKETCAP"")/10000000"),354)</f>
        <v>354</v>
      </c>
      <c r="G8" s="95">
        <f t="shared" ca="1" si="0"/>
        <v>1.0253639507693301E-2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541352</v>
      </c>
      <c r="B9" s="98" t="s">
        <v>2832</v>
      </c>
      <c r="C9" s="101"/>
      <c r="D9" s="101"/>
      <c r="E9" s="101">
        <f ca="1">IFERROR(__xludf.DUMMYFUNCTION("GOOGLEFINANCE(""BOM:""&amp;A9,""PRICE"")"),264)</f>
        <v>264</v>
      </c>
      <c r="F9" s="112">
        <f ca="1">IFERROR(__xludf.DUMMYFUNCTION("GOOGLEFINANCE(""BOM:""&amp;A9,""MARKETCAP"")/10000000"),301.54179)</f>
        <v>301.54178999999999</v>
      </c>
      <c r="G9" s="95">
        <f t="shared" ca="1" si="0"/>
        <v>8.734183082385754E-3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539132</v>
      </c>
      <c r="B10" s="98" t="s">
        <v>2833</v>
      </c>
      <c r="C10" s="101"/>
      <c r="D10" s="101"/>
      <c r="E10" s="101">
        <f ca="1">IFERROR(__xludf.DUMMYFUNCTION("GOOGLEFINANCE(""BOM:""&amp;A10,""PRICE"")"),9.5)</f>
        <v>9.5</v>
      </c>
      <c r="F10" s="112">
        <f ca="1">IFERROR(__xludf.DUMMYFUNCTION("GOOGLEFINANCE(""BOM:""&amp;A10,""MARKETCAP"")/10000000"),244.283)</f>
        <v>244.28299999999999</v>
      </c>
      <c r="G10" s="95">
        <f t="shared" ca="1" si="0"/>
        <v>7.0756774572255437E-3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544623</v>
      </c>
      <c r="B11" s="98" t="s">
        <v>2834</v>
      </c>
      <c r="C11" s="101"/>
      <c r="D11" s="101"/>
      <c r="E11" s="101">
        <f ca="1">IFERROR(__xludf.DUMMYFUNCTION("GOOGLEFINANCE(""BOM:""&amp;A11,""PRICE"")"),156)</f>
        <v>156</v>
      </c>
      <c r="F11" s="112">
        <f ca="1">IFERROR(__xludf.DUMMYFUNCTION("GOOGLEFINANCE(""BOM:""&amp;A11,""MARKETCAP"")/10000000"),195.5463)</f>
        <v>195.5463</v>
      </c>
      <c r="G11" s="95">
        <f t="shared" ca="1" si="0"/>
        <v>5.6640148792747079E-3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524582</v>
      </c>
      <c r="B12" s="98" t="s">
        <v>2835</v>
      </c>
      <c r="C12" s="101"/>
      <c r="D12" s="101"/>
      <c r="E12" s="101">
        <f ca="1">IFERROR(__xludf.DUMMYFUNCTION("GOOGLEFINANCE(""BOM:""&amp;A12,""PRICE"")"),134)</f>
        <v>134</v>
      </c>
      <c r="F12" s="112">
        <f ca="1">IFERROR(__xludf.DUMMYFUNCTION("GOOGLEFINANCE(""BOM:""&amp;A12,""MARKETCAP"")/10000000"),128.4955882)</f>
        <v>128.49558819999999</v>
      </c>
      <c r="G12" s="95">
        <f t="shared" ca="1" si="0"/>
        <v>3.7218854229712117E-3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544442</v>
      </c>
      <c r="B13" s="98" t="s">
        <v>2836</v>
      </c>
      <c r="C13" s="101"/>
      <c r="D13" s="101"/>
      <c r="E13" s="101">
        <f ca="1">IFERROR(__xludf.DUMMYFUNCTION("GOOGLEFINANCE(""BOM:""&amp;A13,""PRICE"")"),101.43)</f>
        <v>101.43</v>
      </c>
      <c r="F13" s="112">
        <f ca="1">IFERROR(__xludf.DUMMYFUNCTION("GOOGLEFINANCE(""BOM:""&amp;A13,""MARKETCAP"")/10000000"),122.7200559)</f>
        <v>122.72005590000001</v>
      </c>
      <c r="G13" s="95">
        <f t="shared" ca="1" si="0"/>
        <v>3.5545966484818374E-3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538565</v>
      </c>
      <c r="B14" s="98" t="s">
        <v>2837</v>
      </c>
      <c r="C14" s="101"/>
      <c r="D14" s="101"/>
      <c r="E14" s="101">
        <f ca="1">IFERROR(__xludf.DUMMYFUNCTION("GOOGLEFINANCE(""BOM:""&amp;A14,""PRICE"")"),163)</f>
        <v>163</v>
      </c>
      <c r="F14" s="112">
        <f ca="1">IFERROR(__xludf.DUMMYFUNCTION("GOOGLEFINANCE(""BOM:""&amp;A14,""MARKETCAP"")/10000000"),93.888)</f>
        <v>93.888000000000005</v>
      </c>
      <c r="G14" s="95">
        <f t="shared" ca="1" si="0"/>
        <v>2.71947374604042E-3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544329</v>
      </c>
      <c r="B15" s="98" t="s">
        <v>2838</v>
      </c>
      <c r="C15" s="101"/>
      <c r="D15" s="101"/>
      <c r="E15" s="101">
        <f ca="1">IFERROR(__xludf.DUMMYFUNCTION("GOOGLEFINANCE(""BOM:""&amp;A15,""PRICE"")"),47)</f>
        <v>47</v>
      </c>
      <c r="F15" s="112">
        <f ca="1">IFERROR(__xludf.DUMMYFUNCTION("GOOGLEFINANCE(""BOM:""&amp;A15,""MARKETCAP"")/10000000"),84.089721)</f>
        <v>84.089720999999997</v>
      </c>
      <c r="G15" s="95">
        <f t="shared" ca="1" si="0"/>
        <v>2.4356657780692289E-3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507598</v>
      </c>
      <c r="B16" s="98" t="s">
        <v>2839</v>
      </c>
      <c r="C16" s="101"/>
      <c r="D16" s="101"/>
      <c r="E16" s="101">
        <f ca="1">IFERROR(__xludf.DUMMYFUNCTION("GOOGLEFINANCE(""BOM:""&amp;A16,""PRICE"")"),102)</f>
        <v>102</v>
      </c>
      <c r="F16" s="112">
        <f ca="1">IFERROR(__xludf.DUMMYFUNCTION("GOOGLEFINANCE(""BOM:""&amp;A16,""MARKETCAP"")/10000000"),92.223045)</f>
        <v>92.223044999999999</v>
      </c>
      <c r="G16" s="95">
        <f t="shared" ca="1" si="0"/>
        <v>2.6712481856829861E-3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544552</v>
      </c>
      <c r="B17" s="98" t="s">
        <v>2840</v>
      </c>
      <c r="C17" s="101"/>
      <c r="D17" s="101"/>
      <c r="E17" s="101">
        <f ca="1">IFERROR(__xludf.DUMMYFUNCTION("GOOGLEFINANCE(""BOM:""&amp;A17,""PRICE"")"),114)</f>
        <v>114</v>
      </c>
      <c r="F17" s="112">
        <f ca="1">IFERROR(__xludf.DUMMYFUNCTION("GOOGLEFINANCE(""BOM:""&amp;A17,""MARKETCAP"")/10000000"),101.1864)</f>
        <v>101.18640000000001</v>
      </c>
      <c r="G17" s="95">
        <f t="shared" ca="1" si="0"/>
        <v>2.9308725103990327E-3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544548</v>
      </c>
      <c r="B18" s="98" t="s">
        <v>2841</v>
      </c>
      <c r="C18" s="101"/>
      <c r="D18" s="101"/>
      <c r="E18" s="101">
        <f ca="1">IFERROR(__xludf.DUMMYFUNCTION("GOOGLEFINANCE(""BOM:""&amp;A18,""PRICE"")"),71.2)</f>
        <v>71.2</v>
      </c>
      <c r="F18" s="112">
        <f ca="1">IFERROR(__xludf.DUMMYFUNCTION("GOOGLEFINANCE(""BOM:""&amp;A18,""MARKETCAP"")/10000000"),73.0654368)</f>
        <v>73.065436800000001</v>
      </c>
      <c r="G18" s="95">
        <f t="shared" ca="1" si="0"/>
        <v>2.1163464672862937E-3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524614</v>
      </c>
      <c r="B19" s="98" t="s">
        <v>2842</v>
      </c>
      <c r="C19" s="101"/>
      <c r="D19" s="101"/>
      <c r="E19" s="101">
        <f ca="1">IFERROR(__xludf.DUMMYFUNCTION("GOOGLEFINANCE(""BOM:""&amp;A19,""PRICE"")"),5.94)</f>
        <v>5.94</v>
      </c>
      <c r="F19" s="112">
        <f ca="1">IFERROR(__xludf.DUMMYFUNCTION("GOOGLEFINANCE(""BOM:""&amp;A19,""MARKETCAP"")/10000000"),77.5834755)</f>
        <v>77.583475500000006</v>
      </c>
      <c r="G19" s="95">
        <f t="shared" ca="1" si="0"/>
        <v>2.2472118348332072E-3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500458</v>
      </c>
      <c r="B20" s="98" t="s">
        <v>2843</v>
      </c>
      <c r="C20" s="101"/>
      <c r="D20" s="101"/>
      <c r="E20" s="101">
        <f ca="1">IFERROR(__xludf.DUMMYFUNCTION("GOOGLEFINANCE(""BOM:""&amp;A20,""PRICE"")"),27.22)</f>
        <v>27.22</v>
      </c>
      <c r="F20" s="112">
        <f ca="1">IFERROR(__xludf.DUMMYFUNCTION("GOOGLEFINANCE(""BOM:""&amp;A20,""MARKETCAP"")/10000000"),69.8193)</f>
        <v>69.819299999999998</v>
      </c>
      <c r="G20" s="95">
        <f t="shared" ca="1" si="0"/>
        <v>2.0223218442923471E-3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540405</v>
      </c>
      <c r="B21" s="98" t="s">
        <v>2844</v>
      </c>
      <c r="C21" s="101"/>
      <c r="D21" s="101"/>
      <c r="E21" s="101">
        <f ca="1">IFERROR(__xludf.DUMMYFUNCTION("GOOGLEFINANCE(""BOM:""&amp;A21,""PRICE"")"),56.99)</f>
        <v>56.99</v>
      </c>
      <c r="F21" s="112">
        <f ca="1">IFERROR(__xludf.DUMMYFUNCTION("GOOGLEFINANCE(""BOM:""&amp;A21,""MARKETCAP"")/10000000"),64.1137518)</f>
        <v>64.113751800000003</v>
      </c>
      <c r="G21" s="95">
        <f t="shared" ca="1" si="0"/>
        <v>1.8570601650930016E-3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507474</v>
      </c>
      <c r="B22" s="98" t="s">
        <v>2845</v>
      </c>
      <c r="C22" s="101"/>
      <c r="D22" s="101"/>
      <c r="E22" s="101">
        <f ca="1">IFERROR(__xludf.DUMMYFUNCTION("GOOGLEFINANCE(""BOM:""&amp;A22,""PRICE"")"),36.15)</f>
        <v>36.15</v>
      </c>
      <c r="F22" s="112">
        <f ca="1">IFERROR(__xludf.DUMMYFUNCTION("GOOGLEFINANCE(""BOM:""&amp;A22,""MARKETCAP"")/10000000"),54.2250022)</f>
        <v>54.225002199999999</v>
      </c>
      <c r="G22" s="95">
        <f t="shared" ca="1" si="0"/>
        <v>1.5706317086516275E-3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530461</v>
      </c>
      <c r="B23" s="98" t="s">
        <v>2846</v>
      </c>
      <c r="C23" s="101"/>
      <c r="D23" s="101"/>
      <c r="E23" s="101">
        <f ca="1">IFERROR(__xludf.DUMMYFUNCTION("GOOGLEFINANCE(""BOM:""&amp;A23,""PRICE"")"),11.92)</f>
        <v>11.92</v>
      </c>
      <c r="F23" s="112">
        <f ca="1">IFERROR(__xludf.DUMMYFUNCTION("GOOGLEFINANCE(""BOM:""&amp;A23,""MARKETCAP"")/10000000"),50.0818326)</f>
        <v>50.081832599999998</v>
      </c>
      <c r="G23" s="95">
        <f t="shared" ca="1" si="0"/>
        <v>1.4506244558334528E-3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517554</v>
      </c>
      <c r="B24" s="98" t="s">
        <v>2847</v>
      </c>
      <c r="C24" s="101"/>
      <c r="D24" s="101"/>
      <c r="E24" s="101">
        <f ca="1">IFERROR(__xludf.DUMMYFUNCTION("GOOGLEFINANCE(""BOM:""&amp;A24,""PRICE"")"),0.78)</f>
        <v>0.78</v>
      </c>
      <c r="F24" s="112">
        <f ca="1">IFERROR(__xludf.DUMMYFUNCTION("GOOGLEFINANCE(""BOM:""&amp;A24,""MARKETCAP"")/10000000"),51.3044981)</f>
        <v>51.304498100000004</v>
      </c>
      <c r="G24" s="95">
        <f t="shared" ca="1" si="0"/>
        <v>1.4860390639563161E-3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544422</v>
      </c>
      <c r="B25" s="98" t="s">
        <v>2848</v>
      </c>
      <c r="C25" s="101"/>
      <c r="D25" s="101"/>
      <c r="E25" s="101">
        <f ca="1">IFERROR(__xludf.DUMMYFUNCTION("GOOGLEFINANCE(""BOM:""&amp;A25,""PRICE"")"),69.2)</f>
        <v>69.2</v>
      </c>
      <c r="F25" s="112">
        <f ca="1">IFERROR(__xludf.DUMMYFUNCTION("GOOGLEFINANCE(""BOM:""&amp;A25,""MARKETCAP"")/10000000"),35.6656784)</f>
        <v>35.665678399999997</v>
      </c>
      <c r="G25" s="95">
        <f t="shared" ca="1" si="0"/>
        <v>1.0330593477709705E-3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531982</v>
      </c>
      <c r="B26" s="98" t="s">
        <v>2849</v>
      </c>
      <c r="C26" s="101"/>
      <c r="D26" s="101"/>
      <c r="E26" s="101">
        <f ca="1">IFERROR(__xludf.DUMMYFUNCTION("GOOGLEFINANCE(""BOM:""&amp;A26,""PRICE"")"),12.93)</f>
        <v>12.93</v>
      </c>
      <c r="F26" s="112">
        <f ca="1">IFERROR(__xludf.DUMMYFUNCTION("GOOGLEFINANCE(""BOM:""&amp;A26,""MARKETCAP"")/10000000"),31.3448032)</f>
        <v>31.344803200000001</v>
      </c>
      <c r="G26" s="95">
        <f t="shared" ca="1" si="0"/>
        <v>9.0790483743613396E-4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543286</v>
      </c>
      <c r="B27" s="98" t="s">
        <v>2850</v>
      </c>
      <c r="C27" s="101"/>
      <c r="D27" s="101"/>
      <c r="E27" s="101">
        <f ca="1">IFERROR(__xludf.DUMMYFUNCTION("GOOGLEFINANCE(""BOM:""&amp;A27,""PRICE"")"),36.22)</f>
        <v>36.22</v>
      </c>
      <c r="F27" s="112">
        <f ca="1">IFERROR(__xludf.DUMMYFUNCTION("GOOGLEFINANCE(""BOM:""&amp;A27,""MARKETCAP"")/10000000"),21.7062881)</f>
        <v>21.706288099999998</v>
      </c>
      <c r="G27" s="95">
        <f t="shared" ca="1" si="0"/>
        <v>6.2872444414557329E-4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519260</v>
      </c>
      <c r="B28" s="98" t="s">
        <v>2851</v>
      </c>
      <c r="C28" s="101"/>
      <c r="D28" s="101"/>
      <c r="E28" s="101">
        <f ca="1">IFERROR(__xludf.DUMMYFUNCTION("GOOGLEFINANCE(""BOM:""&amp;A28,""PRICE"")"),0.49)</f>
        <v>0.49</v>
      </c>
      <c r="F28" s="112">
        <f ca="1">IFERROR(__xludf.DUMMYFUNCTION("GOOGLEFINANCE(""BOM:""&amp;A28,""MARKETCAP"")/10000000"),16.1941999)</f>
        <v>16.194199900000001</v>
      </c>
      <c r="G28" s="95">
        <f t="shared" ca="1" si="0"/>
        <v>4.6906634997209864E-4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531265</v>
      </c>
      <c r="B29" s="98" t="s">
        <v>2852</v>
      </c>
      <c r="C29" s="101"/>
      <c r="D29" s="101"/>
      <c r="E29" s="101">
        <f ca="1">IFERROR(__xludf.DUMMYFUNCTION("GOOGLEFINANCE(""BOM:""&amp;A29,""PRICE"")"),28.18)</f>
        <v>28.18</v>
      </c>
      <c r="F29" s="112">
        <f ca="1">IFERROR(__xludf.DUMMYFUNCTION("GOOGLEFINANCE(""BOM:""&amp;A29,""MARKETCAP"")/10000000"),10.1572)</f>
        <v>10.1572</v>
      </c>
      <c r="G29" s="95">
        <f t="shared" ca="1" si="0"/>
        <v>2.9420414465407453E-4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531716</v>
      </c>
      <c r="B30" s="98" t="s">
        <v>2853</v>
      </c>
      <c r="C30" s="101"/>
      <c r="D30" s="101"/>
      <c r="E30" s="101">
        <f ca="1">IFERROR(__xludf.DUMMYFUNCTION("GOOGLEFINANCE(""BOM:""&amp;A30,""PRICE"")"),1.72)</f>
        <v>1.72</v>
      </c>
      <c r="F30" s="112">
        <f ca="1">IFERROR(__xludf.DUMMYFUNCTION("GOOGLEFINANCE(""BOM:""&amp;A30,""MARKETCAP"")/10000000"),3.2841766)</f>
        <v>3.2841765999999999</v>
      </c>
      <c r="G30" s="95">
        <f t="shared" ca="1" si="0"/>
        <v>9.5126448971756661E-5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539560</v>
      </c>
      <c r="B31" s="98" t="s">
        <v>2854</v>
      </c>
      <c r="C31" s="101"/>
      <c r="D31" s="101"/>
      <c r="E31" s="101">
        <f ca="1">IFERROR(__xludf.DUMMYFUNCTION("GOOGLEFINANCE(""BOM:""&amp;A31,""PRICE"")"),0)</f>
        <v>0</v>
      </c>
      <c r="F31" s="112"/>
      <c r="G31" s="95">
        <f t="shared" ca="1" si="0"/>
        <v>0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531610</v>
      </c>
      <c r="B32" s="98" t="s">
        <v>2855</v>
      </c>
      <c r="C32" s="101"/>
      <c r="D32" s="101"/>
      <c r="E32" s="101">
        <f ca="1">IFERROR(__xludf.DUMMYFUNCTION("GOOGLEFINANCE(""BOM:""&amp;A32,""PRICE"")"),0)</f>
        <v>0</v>
      </c>
      <c r="F32" s="112"/>
      <c r="G32" s="95">
        <f t="shared" ca="1" si="0"/>
        <v>0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3.2">
      <c r="A33" s="101"/>
      <c r="B33" s="101"/>
      <c r="C33" s="101"/>
      <c r="D33" s="101"/>
      <c r="E33" s="101"/>
      <c r="F33" s="101"/>
      <c r="G33" s="95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3.2">
      <c r="A34" s="101"/>
      <c r="B34" s="101"/>
      <c r="C34" s="101"/>
      <c r="D34" s="101"/>
      <c r="E34" s="101"/>
      <c r="F34" s="112">
        <f ca="1">SUM(F2:F32)</f>
        <v>34524.326677800011</v>
      </c>
      <c r="G34" s="95">
        <f ca="1">F34/$F$34</f>
        <v>1</v>
      </c>
      <c r="H34" s="101">
        <f t="shared" ref="H34:O34" si="1">SUM(H2:H32)</f>
        <v>31655</v>
      </c>
      <c r="I34" s="101">
        <f t="shared" si="1"/>
        <v>25346</v>
      </c>
      <c r="J34" s="101">
        <f t="shared" si="1"/>
        <v>1839</v>
      </c>
      <c r="K34" s="101">
        <f t="shared" si="1"/>
        <v>1302</v>
      </c>
      <c r="L34" s="101">
        <f t="shared" si="1"/>
        <v>10689</v>
      </c>
      <c r="M34" s="101">
        <f t="shared" si="1"/>
        <v>8933</v>
      </c>
      <c r="N34" s="101">
        <f t="shared" si="1"/>
        <v>509</v>
      </c>
      <c r="O34" s="101">
        <f t="shared" si="1"/>
        <v>445</v>
      </c>
      <c r="P34" s="95">
        <f t="shared" ref="P34:Q34" si="2">J34/H34</f>
        <v>5.8095087663876166E-2</v>
      </c>
      <c r="Q34" s="95">
        <f t="shared" si="2"/>
        <v>5.1369052315947288E-2</v>
      </c>
      <c r="R34" s="95">
        <f>P34-Q34</f>
        <v>6.7260353479288784E-3</v>
      </c>
      <c r="S34" s="95">
        <f t="shared" ref="S34:T34" si="3">N34/L34</f>
        <v>4.7619047619047616E-2</v>
      </c>
      <c r="T34" s="95">
        <f t="shared" si="3"/>
        <v>4.9815291615358782E-2</v>
      </c>
      <c r="U34" s="95">
        <f>S34-T34</f>
        <v>-2.196243996311166E-3</v>
      </c>
      <c r="V34" s="95">
        <f>(H34/I34)-1</f>
        <v>0.24891501617612244</v>
      </c>
      <c r="W34" s="95">
        <f>(J34/K34)-1</f>
        <v>0.4124423963133641</v>
      </c>
      <c r="X34" s="95">
        <f>(L34/M34)-1</f>
        <v>0.19657449904847191</v>
      </c>
      <c r="Y34" s="95">
        <f>(N34/O34)-1</f>
        <v>0.14382022471910116</v>
      </c>
    </row>
    <row r="35" spans="1:25" ht="13.2">
      <c r="G35" s="50"/>
    </row>
    <row r="36" spans="1:25" ht="13.2">
      <c r="G36" s="50"/>
    </row>
    <row r="37" spans="1:25" ht="13.2">
      <c r="G37" s="50"/>
    </row>
    <row r="38" spans="1:25" ht="13.2">
      <c r="G38" s="50"/>
    </row>
    <row r="39" spans="1:25" ht="13.2">
      <c r="G39" s="50"/>
    </row>
    <row r="40" spans="1:25" ht="13.2">
      <c r="G40" s="50"/>
    </row>
    <row r="41" spans="1:25" ht="13.2">
      <c r="G41" s="50"/>
    </row>
    <row r="42" spans="1:25" ht="13.2">
      <c r="G42" s="50"/>
    </row>
    <row r="43" spans="1:25" ht="13.2">
      <c r="G43" s="50"/>
    </row>
    <row r="44" spans="1:25" ht="13.2">
      <c r="G44" s="50"/>
    </row>
    <row r="45" spans="1:25" ht="13.2">
      <c r="G45" s="50"/>
    </row>
    <row r="46" spans="1:25" ht="13.2">
      <c r="G46" s="50"/>
    </row>
    <row r="47" spans="1:25" ht="13.2">
      <c r="G47" s="50"/>
    </row>
    <row r="48" spans="1:25" ht="13.2">
      <c r="G48" s="50"/>
    </row>
    <row r="49" spans="7:7" ht="13.2">
      <c r="G49" s="50"/>
    </row>
    <row r="50" spans="7:7" ht="13.2">
      <c r="G50" s="50"/>
    </row>
    <row r="51" spans="7:7" ht="13.2">
      <c r="G51" s="50"/>
    </row>
    <row r="52" spans="7:7" ht="13.2">
      <c r="G52" s="50"/>
    </row>
    <row r="53" spans="7:7" ht="13.2">
      <c r="G53" s="50"/>
    </row>
    <row r="54" spans="7:7" ht="13.2">
      <c r="G54" s="50"/>
    </row>
    <row r="55" spans="7:7" ht="13.2">
      <c r="G55" s="50"/>
    </row>
    <row r="56" spans="7:7" ht="13.2">
      <c r="G56" s="50"/>
    </row>
    <row r="57" spans="7:7" ht="13.2">
      <c r="G57" s="50"/>
    </row>
    <row r="58" spans="7:7" ht="13.2">
      <c r="G58" s="50"/>
    </row>
    <row r="59" spans="7:7" ht="13.2">
      <c r="G59" s="50"/>
    </row>
    <row r="60" spans="7:7" ht="13.2">
      <c r="G60" s="50"/>
    </row>
    <row r="61" spans="7:7" ht="13.2">
      <c r="G61" s="50"/>
    </row>
    <row r="62" spans="7:7" ht="13.2">
      <c r="G62" s="50"/>
    </row>
    <row r="63" spans="7:7" ht="13.2">
      <c r="G63" s="50"/>
    </row>
    <row r="64" spans="7:7" ht="13.2">
      <c r="G64" s="50"/>
    </row>
    <row r="65" spans="7:7" ht="13.2">
      <c r="G65" s="50"/>
    </row>
    <row r="66" spans="7:7" ht="13.2">
      <c r="G66" s="50"/>
    </row>
    <row r="67" spans="7:7" ht="13.2">
      <c r="G67" s="50"/>
    </row>
    <row r="68" spans="7:7" ht="13.2">
      <c r="G68" s="50"/>
    </row>
    <row r="69" spans="7:7" ht="13.2">
      <c r="G69" s="50"/>
    </row>
    <row r="70" spans="7:7" ht="13.2">
      <c r="G70" s="50"/>
    </row>
    <row r="71" spans="7:7" ht="13.2">
      <c r="G71" s="50"/>
    </row>
    <row r="72" spans="7:7" ht="13.2">
      <c r="G72" s="50"/>
    </row>
    <row r="73" spans="7:7" ht="13.2">
      <c r="G73" s="50"/>
    </row>
    <row r="74" spans="7:7" ht="13.2">
      <c r="G74" s="50"/>
    </row>
    <row r="75" spans="7:7" ht="13.2">
      <c r="G75" s="50"/>
    </row>
    <row r="76" spans="7:7" ht="13.2">
      <c r="G76" s="50"/>
    </row>
    <row r="77" spans="7:7" ht="13.2">
      <c r="G77" s="50"/>
    </row>
    <row r="78" spans="7:7" ht="13.2">
      <c r="G78" s="50"/>
    </row>
    <row r="79" spans="7:7" ht="13.2">
      <c r="G79" s="50"/>
    </row>
    <row r="80" spans="7:7" ht="13.2">
      <c r="G80" s="50"/>
    </row>
    <row r="81" spans="7:7" ht="13.2">
      <c r="G81" s="50"/>
    </row>
    <row r="82" spans="7:7" ht="13.2">
      <c r="G82" s="50"/>
    </row>
    <row r="83" spans="7:7" ht="13.2">
      <c r="G83" s="50"/>
    </row>
    <row r="84" spans="7:7" ht="13.2">
      <c r="G84" s="50"/>
    </row>
    <row r="85" spans="7:7" ht="13.2">
      <c r="G85" s="50"/>
    </row>
    <row r="86" spans="7:7" ht="13.2">
      <c r="G86" s="50"/>
    </row>
    <row r="87" spans="7:7" ht="13.2">
      <c r="G87" s="50"/>
    </row>
    <row r="88" spans="7:7" ht="13.2">
      <c r="G88" s="50"/>
    </row>
    <row r="89" spans="7:7" ht="13.2">
      <c r="G89" s="50"/>
    </row>
    <row r="90" spans="7:7" ht="13.2">
      <c r="G90" s="50"/>
    </row>
    <row r="91" spans="7:7" ht="13.2">
      <c r="G91" s="50"/>
    </row>
    <row r="92" spans="7:7" ht="13.2">
      <c r="G92" s="50"/>
    </row>
    <row r="93" spans="7:7" ht="13.2">
      <c r="G93" s="50"/>
    </row>
    <row r="94" spans="7:7" ht="13.2">
      <c r="G94" s="50"/>
    </row>
    <row r="95" spans="7:7" ht="13.2">
      <c r="G95" s="50"/>
    </row>
    <row r="96" spans="7:7" ht="13.2">
      <c r="G96" s="50"/>
    </row>
    <row r="97" spans="7:7" ht="13.2">
      <c r="G97" s="50"/>
    </row>
    <row r="98" spans="7:7" ht="13.2">
      <c r="G98" s="50"/>
    </row>
    <row r="99" spans="7:7" ht="13.2">
      <c r="G99" s="50"/>
    </row>
    <row r="100" spans="7:7" ht="13.2">
      <c r="G100" s="50"/>
    </row>
    <row r="101" spans="7:7" ht="13.2">
      <c r="G101" s="50"/>
    </row>
    <row r="102" spans="7:7" ht="13.2">
      <c r="G102" s="50"/>
    </row>
    <row r="103" spans="7:7" ht="13.2">
      <c r="G103" s="50"/>
    </row>
    <row r="104" spans="7:7" ht="13.2">
      <c r="G104" s="50"/>
    </row>
    <row r="105" spans="7:7" ht="13.2">
      <c r="G105" s="50"/>
    </row>
    <row r="106" spans="7:7" ht="13.2">
      <c r="G106" s="50"/>
    </row>
    <row r="107" spans="7:7" ht="13.2">
      <c r="G107" s="50"/>
    </row>
    <row r="108" spans="7:7" ht="13.2">
      <c r="G108" s="50"/>
    </row>
    <row r="109" spans="7:7" ht="13.2">
      <c r="G109" s="50"/>
    </row>
    <row r="110" spans="7:7" ht="13.2">
      <c r="G110" s="50"/>
    </row>
    <row r="111" spans="7:7" ht="13.2">
      <c r="G111" s="50"/>
    </row>
    <row r="112" spans="7:7" ht="13.2">
      <c r="G112" s="50"/>
    </row>
    <row r="113" spans="7:7" ht="13.2">
      <c r="G113" s="50"/>
    </row>
    <row r="114" spans="7:7" ht="13.2">
      <c r="G114" s="50"/>
    </row>
    <row r="115" spans="7:7" ht="13.2">
      <c r="G115" s="50"/>
    </row>
    <row r="116" spans="7:7" ht="13.2">
      <c r="G116" s="50"/>
    </row>
    <row r="117" spans="7:7" ht="13.2">
      <c r="G117" s="50"/>
    </row>
    <row r="118" spans="7:7" ht="13.2">
      <c r="G118" s="50"/>
    </row>
    <row r="119" spans="7:7" ht="13.2">
      <c r="G119" s="50"/>
    </row>
    <row r="120" spans="7:7" ht="13.2">
      <c r="G120" s="50"/>
    </row>
    <row r="121" spans="7:7" ht="13.2">
      <c r="G121" s="50"/>
    </row>
    <row r="122" spans="7:7" ht="13.2">
      <c r="G122" s="50"/>
    </row>
    <row r="123" spans="7:7" ht="13.2">
      <c r="G123" s="50"/>
    </row>
    <row r="124" spans="7:7" ht="13.2">
      <c r="G124" s="50"/>
    </row>
    <row r="125" spans="7:7" ht="13.2">
      <c r="G125" s="50"/>
    </row>
    <row r="126" spans="7:7" ht="13.2">
      <c r="G126" s="50"/>
    </row>
    <row r="127" spans="7:7" ht="13.2">
      <c r="G127" s="50"/>
    </row>
    <row r="128" spans="7:7" ht="13.2">
      <c r="G128" s="50"/>
    </row>
    <row r="129" spans="7:7" ht="13.2">
      <c r="G129" s="50"/>
    </row>
    <row r="130" spans="7:7" ht="13.2">
      <c r="G130" s="50"/>
    </row>
    <row r="131" spans="7:7" ht="13.2">
      <c r="G131" s="50"/>
    </row>
    <row r="132" spans="7:7" ht="13.2">
      <c r="G132" s="50"/>
    </row>
    <row r="133" spans="7:7" ht="13.2">
      <c r="G133" s="50"/>
    </row>
    <row r="134" spans="7:7" ht="13.2">
      <c r="G134" s="50"/>
    </row>
    <row r="135" spans="7:7" ht="13.2">
      <c r="G135" s="50"/>
    </row>
    <row r="136" spans="7:7" ht="13.2">
      <c r="G136" s="50"/>
    </row>
    <row r="137" spans="7:7" ht="13.2">
      <c r="G137" s="50"/>
    </row>
    <row r="138" spans="7:7" ht="13.2">
      <c r="G138" s="50"/>
    </row>
    <row r="139" spans="7:7" ht="13.2">
      <c r="G139" s="50"/>
    </row>
    <row r="140" spans="7:7" ht="13.2">
      <c r="G140" s="50"/>
    </row>
    <row r="141" spans="7:7" ht="13.2">
      <c r="G141" s="50"/>
    </row>
    <row r="142" spans="7:7" ht="13.2">
      <c r="G142" s="50"/>
    </row>
    <row r="143" spans="7:7" ht="13.2">
      <c r="G143" s="50"/>
    </row>
    <row r="144" spans="7:7" ht="13.2">
      <c r="G144" s="50"/>
    </row>
    <row r="145" spans="7:7" ht="13.2">
      <c r="G145" s="50"/>
    </row>
    <row r="146" spans="7:7" ht="13.2">
      <c r="G146" s="50"/>
    </row>
    <row r="147" spans="7:7" ht="13.2">
      <c r="G147" s="50"/>
    </row>
    <row r="148" spans="7:7" ht="13.2">
      <c r="G148" s="50"/>
    </row>
    <row r="149" spans="7:7" ht="13.2">
      <c r="G149" s="50"/>
    </row>
    <row r="150" spans="7:7" ht="13.2">
      <c r="G150" s="50"/>
    </row>
    <row r="151" spans="7:7" ht="13.2">
      <c r="G151" s="50"/>
    </row>
    <row r="152" spans="7:7" ht="13.2">
      <c r="G152" s="50"/>
    </row>
    <row r="153" spans="7:7" ht="13.2">
      <c r="G153" s="50"/>
    </row>
    <row r="154" spans="7:7" ht="13.2">
      <c r="G154" s="50"/>
    </row>
    <row r="155" spans="7:7" ht="13.2">
      <c r="G155" s="50"/>
    </row>
    <row r="156" spans="7:7" ht="13.2">
      <c r="G156" s="50"/>
    </row>
    <row r="157" spans="7:7" ht="13.2">
      <c r="G157" s="50"/>
    </row>
    <row r="158" spans="7:7" ht="13.2">
      <c r="G158" s="50"/>
    </row>
    <row r="159" spans="7:7" ht="13.2">
      <c r="G159" s="50"/>
    </row>
    <row r="160" spans="7:7" ht="13.2">
      <c r="G160" s="50"/>
    </row>
    <row r="161" spans="7:7" ht="13.2">
      <c r="G161" s="50"/>
    </row>
    <row r="162" spans="7:7" ht="13.2">
      <c r="G162" s="50"/>
    </row>
    <row r="163" spans="7:7" ht="13.2">
      <c r="G163" s="50"/>
    </row>
    <row r="164" spans="7:7" ht="13.2">
      <c r="G164" s="50"/>
    </row>
    <row r="165" spans="7:7" ht="13.2">
      <c r="G165" s="50"/>
    </row>
    <row r="166" spans="7:7" ht="13.2">
      <c r="G166" s="50"/>
    </row>
    <row r="167" spans="7:7" ht="13.2">
      <c r="G167" s="50"/>
    </row>
    <row r="168" spans="7:7" ht="13.2">
      <c r="G168" s="50"/>
    </row>
    <row r="169" spans="7:7" ht="13.2">
      <c r="G169" s="50"/>
    </row>
    <row r="170" spans="7:7" ht="13.2">
      <c r="G170" s="50"/>
    </row>
    <row r="171" spans="7:7" ht="13.2">
      <c r="G171" s="50"/>
    </row>
    <row r="172" spans="7:7" ht="13.2">
      <c r="G172" s="50"/>
    </row>
    <row r="173" spans="7:7" ht="13.2">
      <c r="G173" s="50"/>
    </row>
    <row r="174" spans="7:7" ht="13.2">
      <c r="G174" s="50"/>
    </row>
    <row r="175" spans="7:7" ht="13.2">
      <c r="G175" s="50"/>
    </row>
    <row r="176" spans="7:7" ht="13.2">
      <c r="G176" s="50"/>
    </row>
    <row r="177" spans="7:7" ht="13.2">
      <c r="G177" s="50"/>
    </row>
    <row r="178" spans="7:7" ht="13.2">
      <c r="G178" s="50"/>
    </row>
    <row r="179" spans="7:7" ht="13.2">
      <c r="G179" s="50"/>
    </row>
    <row r="180" spans="7:7" ht="13.2">
      <c r="G180" s="50"/>
    </row>
    <row r="181" spans="7:7" ht="13.2">
      <c r="G181" s="50"/>
    </row>
    <row r="182" spans="7:7" ht="13.2">
      <c r="G182" s="50"/>
    </row>
    <row r="183" spans="7:7" ht="13.2">
      <c r="G183" s="50"/>
    </row>
    <row r="184" spans="7:7" ht="13.2">
      <c r="G184" s="50"/>
    </row>
    <row r="185" spans="7:7" ht="13.2">
      <c r="G185" s="50"/>
    </row>
    <row r="186" spans="7:7" ht="13.2">
      <c r="G186" s="50"/>
    </row>
    <row r="187" spans="7:7" ht="13.2">
      <c r="G187" s="50"/>
    </row>
    <row r="188" spans="7:7" ht="13.2">
      <c r="G188" s="50"/>
    </row>
    <row r="189" spans="7:7" ht="13.2">
      <c r="G189" s="50"/>
    </row>
    <row r="190" spans="7:7" ht="13.2">
      <c r="G190" s="50"/>
    </row>
    <row r="191" spans="7:7" ht="13.2">
      <c r="G191" s="50"/>
    </row>
    <row r="192" spans="7:7" ht="13.2">
      <c r="G192" s="50"/>
    </row>
    <row r="193" spans="7:7" ht="13.2">
      <c r="G193" s="50"/>
    </row>
    <row r="194" spans="7:7" ht="13.2">
      <c r="G194" s="50"/>
    </row>
    <row r="195" spans="7:7" ht="13.2">
      <c r="G195" s="50"/>
    </row>
    <row r="196" spans="7:7" ht="13.2">
      <c r="G196" s="50"/>
    </row>
    <row r="197" spans="7:7" ht="13.2">
      <c r="G197" s="50"/>
    </row>
    <row r="198" spans="7:7" ht="13.2">
      <c r="G198" s="50"/>
    </row>
    <row r="199" spans="7:7" ht="13.2">
      <c r="G199" s="50"/>
    </row>
    <row r="200" spans="7:7" ht="13.2">
      <c r="G200" s="50"/>
    </row>
    <row r="201" spans="7:7" ht="13.2">
      <c r="G201" s="50"/>
    </row>
    <row r="202" spans="7:7" ht="13.2">
      <c r="G202" s="50"/>
    </row>
    <row r="203" spans="7:7" ht="13.2">
      <c r="G203" s="50"/>
    </row>
    <row r="204" spans="7:7" ht="13.2">
      <c r="G204" s="50"/>
    </row>
    <row r="205" spans="7:7" ht="13.2">
      <c r="G205" s="50"/>
    </row>
    <row r="206" spans="7:7" ht="13.2">
      <c r="G206" s="50"/>
    </row>
    <row r="207" spans="7:7" ht="13.2">
      <c r="G207" s="50"/>
    </row>
    <row r="208" spans="7:7" ht="13.2">
      <c r="G208" s="50"/>
    </row>
    <row r="209" spans="7:7" ht="13.2">
      <c r="G209" s="50"/>
    </row>
    <row r="210" spans="7:7" ht="13.2">
      <c r="G210" s="50"/>
    </row>
    <row r="211" spans="7:7" ht="13.2">
      <c r="G211" s="50"/>
    </row>
    <row r="212" spans="7:7" ht="13.2">
      <c r="G212" s="50"/>
    </row>
    <row r="213" spans="7:7" ht="13.2">
      <c r="G213" s="50"/>
    </row>
    <row r="214" spans="7:7" ht="13.2">
      <c r="G214" s="50"/>
    </row>
    <row r="215" spans="7:7" ht="13.2">
      <c r="G215" s="50"/>
    </row>
    <row r="216" spans="7:7" ht="13.2">
      <c r="G216" s="50"/>
    </row>
    <row r="217" spans="7:7" ht="13.2">
      <c r="G217" s="50"/>
    </row>
    <row r="218" spans="7:7" ht="13.2">
      <c r="G218" s="50"/>
    </row>
    <row r="219" spans="7:7" ht="13.2">
      <c r="G219" s="50"/>
    </row>
    <row r="220" spans="7:7" ht="13.2">
      <c r="G220" s="50"/>
    </row>
    <row r="221" spans="7:7" ht="13.2">
      <c r="G221" s="50"/>
    </row>
    <row r="222" spans="7:7" ht="13.2">
      <c r="G222" s="50"/>
    </row>
    <row r="223" spans="7:7" ht="13.2">
      <c r="G223" s="50"/>
    </row>
    <row r="224" spans="7:7" ht="13.2">
      <c r="G224" s="50"/>
    </row>
    <row r="225" spans="7:7" ht="13.2">
      <c r="G225" s="50"/>
    </row>
    <row r="226" spans="7:7" ht="13.2">
      <c r="G226" s="50"/>
    </row>
    <row r="227" spans="7:7" ht="13.2">
      <c r="G227" s="50"/>
    </row>
    <row r="228" spans="7:7" ht="13.2">
      <c r="G228" s="50"/>
    </row>
    <row r="229" spans="7:7" ht="13.2">
      <c r="G229" s="50"/>
    </row>
    <row r="230" spans="7:7" ht="13.2">
      <c r="G230" s="50"/>
    </row>
    <row r="231" spans="7:7" ht="13.2">
      <c r="G231" s="50"/>
    </row>
    <row r="232" spans="7:7" ht="13.2">
      <c r="G232" s="50"/>
    </row>
    <row r="233" spans="7:7" ht="13.2">
      <c r="G233" s="50"/>
    </row>
    <row r="234" spans="7:7" ht="13.2">
      <c r="G234" s="50"/>
    </row>
    <row r="235" spans="7:7" ht="13.2">
      <c r="G235" s="50"/>
    </row>
    <row r="236" spans="7:7" ht="13.2">
      <c r="G236" s="50"/>
    </row>
    <row r="237" spans="7:7" ht="13.2">
      <c r="G237" s="50"/>
    </row>
    <row r="238" spans="7:7" ht="13.2">
      <c r="G238" s="50"/>
    </row>
    <row r="239" spans="7:7" ht="13.2">
      <c r="G239" s="50"/>
    </row>
    <row r="240" spans="7:7" ht="13.2">
      <c r="G240" s="50"/>
    </row>
    <row r="241" spans="7:7" ht="13.2">
      <c r="G241" s="50"/>
    </row>
    <row r="242" spans="7:7" ht="13.2">
      <c r="G242" s="50"/>
    </row>
    <row r="243" spans="7:7" ht="13.2">
      <c r="G243" s="50"/>
    </row>
    <row r="244" spans="7:7" ht="13.2">
      <c r="G244" s="50"/>
    </row>
    <row r="245" spans="7:7" ht="13.2">
      <c r="G245" s="50"/>
    </row>
    <row r="246" spans="7:7" ht="13.2">
      <c r="G246" s="50"/>
    </row>
    <row r="247" spans="7:7" ht="13.2">
      <c r="G247" s="50"/>
    </row>
    <row r="248" spans="7:7" ht="13.2">
      <c r="G248" s="50"/>
    </row>
    <row r="249" spans="7:7" ht="13.2">
      <c r="G249" s="50"/>
    </row>
    <row r="250" spans="7:7" ht="13.2">
      <c r="G250" s="50"/>
    </row>
    <row r="251" spans="7:7" ht="13.2">
      <c r="G251" s="50"/>
    </row>
    <row r="252" spans="7:7" ht="13.2">
      <c r="G252" s="50"/>
    </row>
    <row r="253" spans="7:7" ht="13.2">
      <c r="G253" s="50"/>
    </row>
    <row r="254" spans="7:7" ht="13.2">
      <c r="G254" s="50"/>
    </row>
    <row r="255" spans="7:7" ht="13.2">
      <c r="G255" s="50"/>
    </row>
    <row r="256" spans="7:7" ht="13.2">
      <c r="G256" s="50"/>
    </row>
    <row r="257" spans="7:7" ht="13.2">
      <c r="G257" s="50"/>
    </row>
    <row r="258" spans="7:7" ht="13.2">
      <c r="G258" s="50"/>
    </row>
    <row r="259" spans="7:7" ht="13.2">
      <c r="G259" s="50"/>
    </row>
    <row r="260" spans="7:7" ht="13.2">
      <c r="G260" s="50"/>
    </row>
    <row r="261" spans="7:7" ht="13.2">
      <c r="G261" s="50"/>
    </row>
    <row r="262" spans="7:7" ht="13.2">
      <c r="G262" s="50"/>
    </row>
    <row r="263" spans="7:7" ht="13.2">
      <c r="G263" s="50"/>
    </row>
    <row r="264" spans="7:7" ht="13.2">
      <c r="G264" s="50"/>
    </row>
    <row r="265" spans="7:7" ht="13.2">
      <c r="G265" s="50"/>
    </row>
    <row r="266" spans="7:7" ht="13.2">
      <c r="G266" s="50"/>
    </row>
    <row r="267" spans="7:7" ht="13.2">
      <c r="G267" s="50"/>
    </row>
    <row r="268" spans="7:7" ht="13.2">
      <c r="G268" s="50"/>
    </row>
    <row r="269" spans="7:7" ht="13.2">
      <c r="G269" s="50"/>
    </row>
    <row r="270" spans="7:7" ht="13.2">
      <c r="G270" s="50"/>
    </row>
    <row r="271" spans="7:7" ht="13.2">
      <c r="G271" s="50"/>
    </row>
    <row r="272" spans="7:7" ht="13.2">
      <c r="G272" s="50"/>
    </row>
    <row r="273" spans="7:7" ht="13.2">
      <c r="G273" s="50"/>
    </row>
    <row r="274" spans="7:7" ht="13.2">
      <c r="G274" s="50"/>
    </row>
    <row r="275" spans="7:7" ht="13.2">
      <c r="G275" s="50"/>
    </row>
    <row r="276" spans="7:7" ht="13.2">
      <c r="G276" s="50"/>
    </row>
    <row r="277" spans="7:7" ht="13.2">
      <c r="G277" s="50"/>
    </row>
    <row r="278" spans="7:7" ht="13.2">
      <c r="G278" s="50"/>
    </row>
    <row r="279" spans="7:7" ht="13.2">
      <c r="G279" s="50"/>
    </row>
    <row r="280" spans="7:7" ht="13.2">
      <c r="G280" s="50"/>
    </row>
    <row r="281" spans="7:7" ht="13.2">
      <c r="G281" s="50"/>
    </row>
    <row r="282" spans="7:7" ht="13.2">
      <c r="G282" s="50"/>
    </row>
    <row r="283" spans="7:7" ht="13.2">
      <c r="G283" s="50"/>
    </row>
    <row r="284" spans="7:7" ht="13.2">
      <c r="G284" s="50"/>
    </row>
    <row r="285" spans="7:7" ht="13.2">
      <c r="G285" s="50"/>
    </row>
    <row r="286" spans="7:7" ht="13.2">
      <c r="G286" s="50"/>
    </row>
    <row r="287" spans="7:7" ht="13.2">
      <c r="G287" s="50"/>
    </row>
    <row r="288" spans="7:7" ht="13.2">
      <c r="G288" s="50"/>
    </row>
    <row r="289" spans="7:7" ht="13.2">
      <c r="G289" s="50"/>
    </row>
    <row r="290" spans="7:7" ht="13.2">
      <c r="G290" s="50"/>
    </row>
    <row r="291" spans="7:7" ht="13.2">
      <c r="G291" s="50"/>
    </row>
    <row r="292" spans="7:7" ht="13.2">
      <c r="G292" s="50"/>
    </row>
    <row r="293" spans="7:7" ht="13.2">
      <c r="G293" s="50"/>
    </row>
    <row r="294" spans="7:7" ht="13.2">
      <c r="G294" s="50"/>
    </row>
    <row r="295" spans="7:7" ht="13.2">
      <c r="G295" s="50"/>
    </row>
    <row r="296" spans="7:7" ht="13.2">
      <c r="G296" s="50"/>
    </row>
    <row r="297" spans="7:7" ht="13.2">
      <c r="G297" s="50"/>
    </row>
    <row r="298" spans="7:7" ht="13.2">
      <c r="G298" s="50"/>
    </row>
    <row r="299" spans="7:7" ht="13.2">
      <c r="G299" s="50"/>
    </row>
    <row r="300" spans="7:7" ht="13.2">
      <c r="G300" s="50"/>
    </row>
    <row r="301" spans="7:7" ht="13.2">
      <c r="G301" s="50"/>
    </row>
    <row r="302" spans="7:7" ht="13.2">
      <c r="G302" s="50"/>
    </row>
    <row r="303" spans="7:7" ht="13.2">
      <c r="G303" s="50"/>
    </row>
    <row r="304" spans="7:7" ht="13.2">
      <c r="G304" s="50"/>
    </row>
    <row r="305" spans="7:7" ht="13.2">
      <c r="G305" s="50"/>
    </row>
    <row r="306" spans="7:7" ht="13.2">
      <c r="G306" s="50"/>
    </row>
    <row r="307" spans="7:7" ht="13.2">
      <c r="G307" s="50"/>
    </row>
    <row r="308" spans="7:7" ht="13.2">
      <c r="G308" s="50"/>
    </row>
    <row r="309" spans="7:7" ht="13.2">
      <c r="G309" s="50"/>
    </row>
    <row r="310" spans="7:7" ht="13.2">
      <c r="G310" s="50"/>
    </row>
    <row r="311" spans="7:7" ht="13.2">
      <c r="G311" s="50"/>
    </row>
    <row r="312" spans="7:7" ht="13.2">
      <c r="G312" s="50"/>
    </row>
    <row r="313" spans="7:7" ht="13.2">
      <c r="G313" s="50"/>
    </row>
    <row r="314" spans="7:7" ht="13.2">
      <c r="G314" s="50"/>
    </row>
    <row r="315" spans="7:7" ht="13.2">
      <c r="G315" s="50"/>
    </row>
    <row r="316" spans="7:7" ht="13.2">
      <c r="G316" s="50"/>
    </row>
    <row r="317" spans="7:7" ht="13.2">
      <c r="G317" s="50"/>
    </row>
    <row r="318" spans="7:7" ht="13.2">
      <c r="G318" s="50"/>
    </row>
    <row r="319" spans="7:7" ht="13.2">
      <c r="G319" s="50"/>
    </row>
    <row r="320" spans="7:7" ht="13.2">
      <c r="G320" s="50"/>
    </row>
    <row r="321" spans="7:7" ht="13.2">
      <c r="G321" s="50"/>
    </row>
    <row r="322" spans="7:7" ht="13.2">
      <c r="G322" s="50"/>
    </row>
    <row r="323" spans="7:7" ht="13.2">
      <c r="G323" s="50"/>
    </row>
    <row r="324" spans="7:7" ht="13.2">
      <c r="G324" s="50"/>
    </row>
    <row r="325" spans="7:7" ht="13.2">
      <c r="G325" s="50"/>
    </row>
    <row r="326" spans="7:7" ht="13.2">
      <c r="G326" s="50"/>
    </row>
    <row r="327" spans="7:7" ht="13.2">
      <c r="G327" s="50"/>
    </row>
    <row r="328" spans="7:7" ht="13.2">
      <c r="G328" s="50"/>
    </row>
    <row r="329" spans="7:7" ht="13.2">
      <c r="G329" s="50"/>
    </row>
    <row r="330" spans="7:7" ht="13.2">
      <c r="G330" s="50"/>
    </row>
    <row r="331" spans="7:7" ht="13.2">
      <c r="G331" s="50"/>
    </row>
    <row r="332" spans="7:7" ht="13.2">
      <c r="G332" s="50"/>
    </row>
    <row r="333" spans="7:7" ht="13.2">
      <c r="G333" s="50"/>
    </row>
    <row r="334" spans="7:7" ht="13.2">
      <c r="G334" s="50"/>
    </row>
    <row r="335" spans="7:7" ht="13.2">
      <c r="G335" s="50"/>
    </row>
    <row r="336" spans="7:7" ht="13.2">
      <c r="G336" s="50"/>
    </row>
    <row r="337" spans="7:7" ht="13.2">
      <c r="G337" s="50"/>
    </row>
    <row r="338" spans="7:7" ht="13.2">
      <c r="G338" s="50"/>
    </row>
    <row r="339" spans="7:7" ht="13.2">
      <c r="G339" s="50"/>
    </row>
    <row r="340" spans="7:7" ht="13.2">
      <c r="G340" s="50"/>
    </row>
    <row r="341" spans="7:7" ht="13.2">
      <c r="G341" s="50"/>
    </row>
    <row r="342" spans="7:7" ht="13.2">
      <c r="G342" s="50"/>
    </row>
    <row r="343" spans="7:7" ht="13.2">
      <c r="G343" s="50"/>
    </row>
    <row r="344" spans="7:7" ht="13.2">
      <c r="G344" s="50"/>
    </row>
    <row r="345" spans="7:7" ht="13.2">
      <c r="G345" s="50"/>
    </row>
    <row r="346" spans="7:7" ht="13.2">
      <c r="G346" s="50"/>
    </row>
    <row r="347" spans="7:7" ht="13.2">
      <c r="G347" s="50"/>
    </row>
    <row r="348" spans="7:7" ht="13.2">
      <c r="G348" s="50"/>
    </row>
    <row r="349" spans="7:7" ht="13.2">
      <c r="G349" s="50"/>
    </row>
    <row r="350" spans="7:7" ht="13.2">
      <c r="G350" s="50"/>
    </row>
    <row r="351" spans="7:7" ht="13.2">
      <c r="G351" s="50"/>
    </row>
    <row r="352" spans="7:7" ht="13.2">
      <c r="G352" s="50"/>
    </row>
    <row r="353" spans="7:7" ht="13.2">
      <c r="G353" s="50"/>
    </row>
    <row r="354" spans="7:7" ht="13.2">
      <c r="G354" s="50"/>
    </row>
    <row r="355" spans="7:7" ht="13.2">
      <c r="G355" s="50"/>
    </row>
    <row r="356" spans="7:7" ht="13.2">
      <c r="G356" s="50"/>
    </row>
    <row r="357" spans="7:7" ht="13.2">
      <c r="G357" s="50"/>
    </row>
    <row r="358" spans="7:7" ht="13.2">
      <c r="G358" s="50"/>
    </row>
    <row r="359" spans="7:7" ht="13.2">
      <c r="G359" s="50"/>
    </row>
    <row r="360" spans="7:7" ht="13.2">
      <c r="G360" s="50"/>
    </row>
    <row r="361" spans="7:7" ht="13.2">
      <c r="G361" s="50"/>
    </row>
    <row r="362" spans="7:7" ht="13.2">
      <c r="G362" s="50"/>
    </row>
    <row r="363" spans="7:7" ht="13.2">
      <c r="G363" s="50"/>
    </row>
    <row r="364" spans="7:7" ht="13.2">
      <c r="G364" s="50"/>
    </row>
    <row r="365" spans="7:7" ht="13.2">
      <c r="G365" s="50"/>
    </row>
    <row r="366" spans="7:7" ht="13.2">
      <c r="G366" s="50"/>
    </row>
    <row r="367" spans="7:7" ht="13.2">
      <c r="G367" s="50"/>
    </row>
    <row r="368" spans="7:7" ht="13.2">
      <c r="G368" s="50"/>
    </row>
    <row r="369" spans="7:7" ht="13.2">
      <c r="G369" s="50"/>
    </row>
    <row r="370" spans="7:7" ht="13.2">
      <c r="G370" s="50"/>
    </row>
    <row r="371" spans="7:7" ht="13.2">
      <c r="G371" s="50"/>
    </row>
    <row r="372" spans="7:7" ht="13.2">
      <c r="G372" s="50"/>
    </row>
    <row r="373" spans="7:7" ht="13.2">
      <c r="G373" s="50"/>
    </row>
    <row r="374" spans="7:7" ht="13.2">
      <c r="G374" s="50"/>
    </row>
    <row r="375" spans="7:7" ht="13.2">
      <c r="G375" s="50"/>
    </row>
    <row r="376" spans="7:7" ht="13.2">
      <c r="G376" s="50"/>
    </row>
    <row r="377" spans="7:7" ht="13.2">
      <c r="G377" s="50"/>
    </row>
    <row r="378" spans="7:7" ht="13.2">
      <c r="G378" s="50"/>
    </row>
    <row r="379" spans="7:7" ht="13.2">
      <c r="G379" s="50"/>
    </row>
    <row r="380" spans="7:7" ht="13.2">
      <c r="G380" s="50"/>
    </row>
    <row r="381" spans="7:7" ht="13.2">
      <c r="G381" s="50"/>
    </row>
    <row r="382" spans="7:7" ht="13.2">
      <c r="G382" s="50"/>
    </row>
    <row r="383" spans="7:7" ht="13.2">
      <c r="G383" s="50"/>
    </row>
    <row r="384" spans="7:7" ht="13.2">
      <c r="G384" s="50"/>
    </row>
    <row r="385" spans="7:7" ht="13.2">
      <c r="G385" s="50"/>
    </row>
    <row r="386" spans="7:7" ht="13.2">
      <c r="G386" s="50"/>
    </row>
    <row r="387" spans="7:7" ht="13.2">
      <c r="G387" s="50"/>
    </row>
    <row r="388" spans="7:7" ht="13.2">
      <c r="G388" s="50"/>
    </row>
    <row r="389" spans="7:7" ht="13.2">
      <c r="G389" s="50"/>
    </row>
    <row r="390" spans="7:7" ht="13.2">
      <c r="G390" s="50"/>
    </row>
    <row r="391" spans="7:7" ht="13.2">
      <c r="G391" s="50"/>
    </row>
    <row r="392" spans="7:7" ht="13.2">
      <c r="G392" s="50"/>
    </row>
    <row r="393" spans="7:7" ht="13.2">
      <c r="G393" s="50"/>
    </row>
    <row r="394" spans="7:7" ht="13.2">
      <c r="G394" s="50"/>
    </row>
    <row r="395" spans="7:7" ht="13.2">
      <c r="G395" s="50"/>
    </row>
    <row r="396" spans="7:7" ht="13.2">
      <c r="G396" s="50"/>
    </row>
    <row r="397" spans="7:7" ht="13.2">
      <c r="G397" s="50"/>
    </row>
    <row r="398" spans="7:7" ht="13.2">
      <c r="G398" s="50"/>
    </row>
    <row r="399" spans="7:7" ht="13.2">
      <c r="G399" s="50"/>
    </row>
    <row r="400" spans="7:7" ht="13.2">
      <c r="G400" s="50"/>
    </row>
    <row r="401" spans="7:7" ht="13.2">
      <c r="G401" s="50"/>
    </row>
    <row r="402" spans="7:7" ht="13.2">
      <c r="G402" s="50"/>
    </row>
    <row r="403" spans="7:7" ht="13.2">
      <c r="G403" s="50"/>
    </row>
    <row r="404" spans="7:7" ht="13.2">
      <c r="G404" s="50"/>
    </row>
    <row r="405" spans="7:7" ht="13.2">
      <c r="G405" s="50"/>
    </row>
    <row r="406" spans="7:7" ht="13.2">
      <c r="G406" s="50"/>
    </row>
    <row r="407" spans="7:7" ht="13.2">
      <c r="G407" s="50"/>
    </row>
    <row r="408" spans="7:7" ht="13.2">
      <c r="G408" s="50"/>
    </row>
    <row r="409" spans="7:7" ht="13.2">
      <c r="G409" s="50"/>
    </row>
    <row r="410" spans="7:7" ht="13.2">
      <c r="G410" s="50"/>
    </row>
    <row r="411" spans="7:7" ht="13.2">
      <c r="G411" s="50"/>
    </row>
    <row r="412" spans="7:7" ht="13.2">
      <c r="G412" s="50"/>
    </row>
    <row r="413" spans="7:7" ht="13.2">
      <c r="G413" s="50"/>
    </row>
    <row r="414" spans="7:7" ht="13.2">
      <c r="G414" s="50"/>
    </row>
    <row r="415" spans="7:7" ht="13.2">
      <c r="G415" s="50"/>
    </row>
    <row r="416" spans="7:7" ht="13.2">
      <c r="G416" s="50"/>
    </row>
    <row r="417" spans="7:7" ht="13.2">
      <c r="G417" s="50"/>
    </row>
    <row r="418" spans="7:7" ht="13.2">
      <c r="G418" s="50"/>
    </row>
    <row r="419" spans="7:7" ht="13.2">
      <c r="G419" s="50"/>
    </row>
    <row r="420" spans="7:7" ht="13.2">
      <c r="G420" s="50"/>
    </row>
    <row r="421" spans="7:7" ht="13.2">
      <c r="G421" s="50"/>
    </row>
    <row r="422" spans="7:7" ht="13.2">
      <c r="G422" s="50"/>
    </row>
    <row r="423" spans="7:7" ht="13.2">
      <c r="G423" s="50"/>
    </row>
    <row r="424" spans="7:7" ht="13.2">
      <c r="G424" s="50"/>
    </row>
    <row r="425" spans="7:7" ht="13.2">
      <c r="G425" s="50"/>
    </row>
    <row r="426" spans="7:7" ht="13.2">
      <c r="G426" s="50"/>
    </row>
    <row r="427" spans="7:7" ht="13.2">
      <c r="G427" s="50"/>
    </row>
    <row r="428" spans="7:7" ht="13.2">
      <c r="G428" s="50"/>
    </row>
    <row r="429" spans="7:7" ht="13.2">
      <c r="G429" s="50"/>
    </row>
    <row r="430" spans="7:7" ht="13.2">
      <c r="G430" s="50"/>
    </row>
    <row r="431" spans="7:7" ht="13.2">
      <c r="G431" s="50"/>
    </row>
    <row r="432" spans="7:7" ht="13.2">
      <c r="G432" s="50"/>
    </row>
    <row r="433" spans="7:7" ht="13.2">
      <c r="G433" s="50"/>
    </row>
    <row r="434" spans="7:7" ht="13.2">
      <c r="G434" s="50"/>
    </row>
    <row r="435" spans="7:7" ht="13.2">
      <c r="G435" s="50"/>
    </row>
    <row r="436" spans="7:7" ht="13.2">
      <c r="G436" s="50"/>
    </row>
    <row r="437" spans="7:7" ht="13.2">
      <c r="G437" s="50"/>
    </row>
    <row r="438" spans="7:7" ht="13.2">
      <c r="G438" s="50"/>
    </row>
    <row r="439" spans="7:7" ht="13.2">
      <c r="G439" s="50"/>
    </row>
    <row r="440" spans="7:7" ht="13.2">
      <c r="G440" s="50"/>
    </row>
    <row r="441" spans="7:7" ht="13.2">
      <c r="G441" s="50"/>
    </row>
    <row r="442" spans="7:7" ht="13.2">
      <c r="G442" s="50"/>
    </row>
    <row r="443" spans="7:7" ht="13.2">
      <c r="G443" s="50"/>
    </row>
    <row r="444" spans="7:7" ht="13.2">
      <c r="G444" s="50"/>
    </row>
    <row r="445" spans="7:7" ht="13.2">
      <c r="G445" s="50"/>
    </row>
    <row r="446" spans="7:7" ht="13.2">
      <c r="G446" s="50"/>
    </row>
    <row r="447" spans="7:7" ht="13.2">
      <c r="G447" s="50"/>
    </row>
    <row r="448" spans="7:7" ht="13.2">
      <c r="G448" s="50"/>
    </row>
    <row r="449" spans="7:7" ht="13.2">
      <c r="G449" s="50"/>
    </row>
    <row r="450" spans="7:7" ht="13.2">
      <c r="G450" s="50"/>
    </row>
    <row r="451" spans="7:7" ht="13.2">
      <c r="G451" s="50"/>
    </row>
    <row r="452" spans="7:7" ht="13.2">
      <c r="G452" s="50"/>
    </row>
    <row r="453" spans="7:7" ht="13.2">
      <c r="G453" s="50"/>
    </row>
    <row r="454" spans="7:7" ht="13.2">
      <c r="G454" s="50"/>
    </row>
    <row r="455" spans="7:7" ht="13.2">
      <c r="G455" s="50"/>
    </row>
    <row r="456" spans="7:7" ht="13.2">
      <c r="G456" s="50"/>
    </row>
    <row r="457" spans="7:7" ht="13.2">
      <c r="G457" s="50"/>
    </row>
    <row r="458" spans="7:7" ht="13.2">
      <c r="G458" s="50"/>
    </row>
    <row r="459" spans="7:7" ht="13.2">
      <c r="G459" s="50"/>
    </row>
    <row r="460" spans="7:7" ht="13.2">
      <c r="G460" s="50"/>
    </row>
    <row r="461" spans="7:7" ht="13.2">
      <c r="G461" s="50"/>
    </row>
    <row r="462" spans="7:7" ht="13.2">
      <c r="G462" s="50"/>
    </row>
    <row r="463" spans="7:7" ht="13.2">
      <c r="G463" s="50"/>
    </row>
    <row r="464" spans="7:7" ht="13.2">
      <c r="G464" s="50"/>
    </row>
    <row r="465" spans="7:7" ht="13.2">
      <c r="G465" s="50"/>
    </row>
    <row r="466" spans="7:7" ht="13.2">
      <c r="G466" s="50"/>
    </row>
    <row r="467" spans="7:7" ht="13.2">
      <c r="G467" s="50"/>
    </row>
    <row r="468" spans="7:7" ht="13.2">
      <c r="G468" s="50"/>
    </row>
    <row r="469" spans="7:7" ht="13.2">
      <c r="G469" s="50"/>
    </row>
    <row r="470" spans="7:7" ht="13.2">
      <c r="G470" s="50"/>
    </row>
    <row r="471" spans="7:7" ht="13.2">
      <c r="G471" s="50"/>
    </row>
    <row r="472" spans="7:7" ht="13.2">
      <c r="G472" s="50"/>
    </row>
    <row r="473" spans="7:7" ht="13.2">
      <c r="G473" s="50"/>
    </row>
    <row r="474" spans="7:7" ht="13.2">
      <c r="G474" s="50"/>
    </row>
    <row r="475" spans="7:7" ht="13.2">
      <c r="G475" s="50"/>
    </row>
    <row r="476" spans="7:7" ht="13.2">
      <c r="G476" s="50"/>
    </row>
    <row r="477" spans="7:7" ht="13.2">
      <c r="G477" s="50"/>
    </row>
    <row r="478" spans="7:7" ht="13.2">
      <c r="G478" s="50"/>
    </row>
    <row r="479" spans="7:7" ht="13.2">
      <c r="G479" s="50"/>
    </row>
    <row r="480" spans="7:7" ht="13.2">
      <c r="G480" s="50"/>
    </row>
    <row r="481" spans="7:7" ht="13.2">
      <c r="G481" s="50"/>
    </row>
    <row r="482" spans="7:7" ht="13.2">
      <c r="G482" s="50"/>
    </row>
    <row r="483" spans="7:7" ht="13.2">
      <c r="G483" s="50"/>
    </row>
    <row r="484" spans="7:7" ht="13.2">
      <c r="G484" s="50"/>
    </row>
    <row r="485" spans="7:7" ht="13.2">
      <c r="G485" s="50"/>
    </row>
    <row r="486" spans="7:7" ht="13.2">
      <c r="G486" s="50"/>
    </row>
    <row r="487" spans="7:7" ht="13.2">
      <c r="G487" s="50"/>
    </row>
    <row r="488" spans="7:7" ht="13.2">
      <c r="G488" s="50"/>
    </row>
    <row r="489" spans="7:7" ht="13.2">
      <c r="G489" s="50"/>
    </row>
    <row r="490" spans="7:7" ht="13.2">
      <c r="G490" s="50"/>
    </row>
    <row r="491" spans="7:7" ht="13.2">
      <c r="G491" s="50"/>
    </row>
    <row r="492" spans="7:7" ht="13.2">
      <c r="G492" s="50"/>
    </row>
    <row r="493" spans="7:7" ht="13.2">
      <c r="G493" s="50"/>
    </row>
    <row r="494" spans="7:7" ht="13.2">
      <c r="G494" s="50"/>
    </row>
    <row r="495" spans="7:7" ht="13.2">
      <c r="G495" s="50"/>
    </row>
    <row r="496" spans="7:7" ht="13.2">
      <c r="G496" s="50"/>
    </row>
    <row r="497" spans="7:7" ht="13.2">
      <c r="G497" s="50"/>
    </row>
    <row r="498" spans="7:7" ht="13.2">
      <c r="G498" s="50"/>
    </row>
    <row r="499" spans="7:7" ht="13.2">
      <c r="G499" s="50"/>
    </row>
    <row r="500" spans="7:7" ht="13.2">
      <c r="G500" s="50"/>
    </row>
    <row r="501" spans="7:7" ht="13.2">
      <c r="G501" s="50"/>
    </row>
    <row r="502" spans="7:7" ht="13.2">
      <c r="G502" s="50"/>
    </row>
    <row r="503" spans="7:7" ht="13.2">
      <c r="G503" s="50"/>
    </row>
    <row r="504" spans="7:7" ht="13.2">
      <c r="G504" s="50"/>
    </row>
    <row r="505" spans="7:7" ht="13.2">
      <c r="G505" s="50"/>
    </row>
    <row r="506" spans="7:7" ht="13.2">
      <c r="G506" s="50"/>
    </row>
    <row r="507" spans="7:7" ht="13.2">
      <c r="G507" s="50"/>
    </row>
    <row r="508" spans="7:7" ht="13.2">
      <c r="G508" s="50"/>
    </row>
    <row r="509" spans="7:7" ht="13.2">
      <c r="G509" s="50"/>
    </row>
    <row r="510" spans="7:7" ht="13.2">
      <c r="G510" s="50"/>
    </row>
    <row r="511" spans="7:7" ht="13.2">
      <c r="G511" s="50"/>
    </row>
    <row r="512" spans="7:7" ht="13.2">
      <c r="G512" s="50"/>
    </row>
    <row r="513" spans="7:7" ht="13.2">
      <c r="G513" s="50"/>
    </row>
    <row r="514" spans="7:7" ht="13.2">
      <c r="G514" s="50"/>
    </row>
    <row r="515" spans="7:7" ht="13.2">
      <c r="G515" s="50"/>
    </row>
    <row r="516" spans="7:7" ht="13.2">
      <c r="G516" s="50"/>
    </row>
    <row r="517" spans="7:7" ht="13.2">
      <c r="G517" s="50"/>
    </row>
    <row r="518" spans="7:7" ht="13.2">
      <c r="G518" s="50"/>
    </row>
    <row r="519" spans="7:7" ht="13.2">
      <c r="G519" s="50"/>
    </row>
    <row r="520" spans="7:7" ht="13.2">
      <c r="G520" s="50"/>
    </row>
    <row r="521" spans="7:7" ht="13.2">
      <c r="G521" s="50"/>
    </row>
    <row r="522" spans="7:7" ht="13.2">
      <c r="G522" s="50"/>
    </row>
    <row r="523" spans="7:7" ht="13.2">
      <c r="G523" s="50"/>
    </row>
    <row r="524" spans="7:7" ht="13.2">
      <c r="G524" s="50"/>
    </row>
    <row r="525" spans="7:7" ht="13.2">
      <c r="G525" s="50"/>
    </row>
    <row r="526" spans="7:7" ht="13.2">
      <c r="G526" s="50"/>
    </row>
    <row r="527" spans="7:7" ht="13.2">
      <c r="G527" s="50"/>
    </row>
    <row r="528" spans="7:7" ht="13.2">
      <c r="G528" s="50"/>
    </row>
    <row r="529" spans="7:7" ht="13.2">
      <c r="G529" s="50"/>
    </row>
    <row r="530" spans="7:7" ht="13.2">
      <c r="G530" s="50"/>
    </row>
    <row r="531" spans="7:7" ht="13.2">
      <c r="G531" s="50"/>
    </row>
    <row r="532" spans="7:7" ht="13.2">
      <c r="G532" s="50"/>
    </row>
    <row r="533" spans="7:7" ht="13.2">
      <c r="G533" s="50"/>
    </row>
    <row r="534" spans="7:7" ht="13.2">
      <c r="G534" s="50"/>
    </row>
    <row r="535" spans="7:7" ht="13.2">
      <c r="G535" s="50"/>
    </row>
    <row r="536" spans="7:7" ht="13.2">
      <c r="G536" s="50"/>
    </row>
    <row r="537" spans="7:7" ht="13.2">
      <c r="G537" s="50"/>
    </row>
    <row r="538" spans="7:7" ht="13.2">
      <c r="G538" s="50"/>
    </row>
    <row r="539" spans="7:7" ht="13.2">
      <c r="G539" s="50"/>
    </row>
    <row r="540" spans="7:7" ht="13.2">
      <c r="G540" s="50"/>
    </row>
    <row r="541" spans="7:7" ht="13.2">
      <c r="G541" s="50"/>
    </row>
    <row r="542" spans="7:7" ht="13.2">
      <c r="G542" s="50"/>
    </row>
    <row r="543" spans="7:7" ht="13.2">
      <c r="G543" s="50"/>
    </row>
    <row r="544" spans="7:7" ht="13.2">
      <c r="G544" s="50"/>
    </row>
    <row r="545" spans="7:7" ht="13.2">
      <c r="G545" s="50"/>
    </row>
    <row r="546" spans="7:7" ht="13.2">
      <c r="G546" s="50"/>
    </row>
    <row r="547" spans="7:7" ht="13.2">
      <c r="G547" s="50"/>
    </row>
    <row r="548" spans="7:7" ht="13.2">
      <c r="G548" s="50"/>
    </row>
    <row r="549" spans="7:7" ht="13.2">
      <c r="G549" s="50"/>
    </row>
    <row r="550" spans="7:7" ht="13.2">
      <c r="G550" s="50"/>
    </row>
    <row r="551" spans="7:7" ht="13.2">
      <c r="G551" s="50"/>
    </row>
    <row r="552" spans="7:7" ht="13.2">
      <c r="G552" s="50"/>
    </row>
    <row r="553" spans="7:7" ht="13.2">
      <c r="G553" s="50"/>
    </row>
    <row r="554" spans="7:7" ht="13.2">
      <c r="G554" s="50"/>
    </row>
    <row r="555" spans="7:7" ht="13.2">
      <c r="G555" s="50"/>
    </row>
    <row r="556" spans="7:7" ht="13.2">
      <c r="G556" s="50"/>
    </row>
    <row r="557" spans="7:7" ht="13.2">
      <c r="G557" s="50"/>
    </row>
    <row r="558" spans="7:7" ht="13.2">
      <c r="G558" s="50"/>
    </row>
    <row r="559" spans="7:7" ht="13.2">
      <c r="G559" s="50"/>
    </row>
    <row r="560" spans="7:7" ht="13.2">
      <c r="G560" s="50"/>
    </row>
    <row r="561" spans="7:7" ht="13.2">
      <c r="G561" s="50"/>
    </row>
    <row r="562" spans="7:7" ht="13.2">
      <c r="G562" s="50"/>
    </row>
    <row r="563" spans="7:7" ht="13.2">
      <c r="G563" s="50"/>
    </row>
    <row r="564" spans="7:7" ht="13.2">
      <c r="G564" s="50"/>
    </row>
    <row r="565" spans="7:7" ht="13.2">
      <c r="G565" s="50"/>
    </row>
    <row r="566" spans="7:7" ht="13.2">
      <c r="G566" s="50"/>
    </row>
    <row r="567" spans="7:7" ht="13.2">
      <c r="G567" s="50"/>
    </row>
    <row r="568" spans="7:7" ht="13.2">
      <c r="G568" s="50"/>
    </row>
    <row r="569" spans="7:7" ht="13.2">
      <c r="G569" s="50"/>
    </row>
    <row r="570" spans="7:7" ht="13.2">
      <c r="G570" s="50"/>
    </row>
    <row r="571" spans="7:7" ht="13.2">
      <c r="G571" s="50"/>
    </row>
    <row r="572" spans="7:7" ht="13.2">
      <c r="G572" s="50"/>
    </row>
    <row r="573" spans="7:7" ht="13.2">
      <c r="G573" s="50"/>
    </row>
    <row r="574" spans="7:7" ht="13.2">
      <c r="G574" s="50"/>
    </row>
    <row r="575" spans="7:7" ht="13.2">
      <c r="G575" s="50"/>
    </row>
    <row r="576" spans="7:7" ht="13.2">
      <c r="G576" s="50"/>
    </row>
    <row r="577" spans="7:7" ht="13.2">
      <c r="G577" s="50"/>
    </row>
    <row r="578" spans="7:7" ht="13.2">
      <c r="G578" s="50"/>
    </row>
    <row r="579" spans="7:7" ht="13.2">
      <c r="G579" s="50"/>
    </row>
    <row r="580" spans="7:7" ht="13.2">
      <c r="G580" s="50"/>
    </row>
    <row r="581" spans="7:7" ht="13.2">
      <c r="G581" s="50"/>
    </row>
    <row r="582" spans="7:7" ht="13.2">
      <c r="G582" s="50"/>
    </row>
    <row r="583" spans="7:7" ht="13.2">
      <c r="G583" s="50"/>
    </row>
    <row r="584" spans="7:7" ht="13.2">
      <c r="G584" s="50"/>
    </row>
    <row r="585" spans="7:7" ht="13.2">
      <c r="G585" s="50"/>
    </row>
    <row r="586" spans="7:7" ht="13.2">
      <c r="G586" s="50"/>
    </row>
    <row r="587" spans="7:7" ht="13.2">
      <c r="G587" s="50"/>
    </row>
    <row r="588" spans="7:7" ht="13.2">
      <c r="G588" s="50"/>
    </row>
    <row r="589" spans="7:7" ht="13.2">
      <c r="G589" s="50"/>
    </row>
    <row r="590" spans="7:7" ht="13.2">
      <c r="G590" s="50"/>
    </row>
    <row r="591" spans="7:7" ht="13.2">
      <c r="G591" s="50"/>
    </row>
    <row r="592" spans="7:7" ht="13.2">
      <c r="G592" s="50"/>
    </row>
    <row r="593" spans="7:7" ht="13.2">
      <c r="G593" s="50"/>
    </row>
    <row r="594" spans="7:7" ht="13.2">
      <c r="G594" s="50"/>
    </row>
    <row r="595" spans="7:7" ht="13.2">
      <c r="G595" s="50"/>
    </row>
    <row r="596" spans="7:7" ht="13.2">
      <c r="G596" s="50"/>
    </row>
    <row r="597" spans="7:7" ht="13.2">
      <c r="G597" s="50"/>
    </row>
    <row r="598" spans="7:7" ht="13.2">
      <c r="G598" s="50"/>
    </row>
    <row r="599" spans="7:7" ht="13.2">
      <c r="G599" s="50"/>
    </row>
    <row r="600" spans="7:7" ht="13.2">
      <c r="G600" s="50"/>
    </row>
    <row r="601" spans="7:7" ht="13.2">
      <c r="G601" s="50"/>
    </row>
    <row r="602" spans="7:7" ht="13.2">
      <c r="G602" s="50"/>
    </row>
    <row r="603" spans="7:7" ht="13.2">
      <c r="G603" s="50"/>
    </row>
    <row r="604" spans="7:7" ht="13.2">
      <c r="G604" s="50"/>
    </row>
    <row r="605" spans="7:7" ht="13.2">
      <c r="G605" s="50"/>
    </row>
    <row r="606" spans="7:7" ht="13.2">
      <c r="G606" s="50"/>
    </row>
    <row r="607" spans="7:7" ht="13.2">
      <c r="G607" s="50"/>
    </row>
    <row r="608" spans="7:7" ht="13.2">
      <c r="G608" s="50"/>
    </row>
    <row r="609" spans="7:7" ht="13.2">
      <c r="G609" s="50"/>
    </row>
    <row r="610" spans="7:7" ht="13.2">
      <c r="G610" s="50"/>
    </row>
    <row r="611" spans="7:7" ht="13.2">
      <c r="G611" s="50"/>
    </row>
    <row r="612" spans="7:7" ht="13.2">
      <c r="G612" s="50"/>
    </row>
    <row r="613" spans="7:7" ht="13.2">
      <c r="G613" s="50"/>
    </row>
    <row r="614" spans="7:7" ht="13.2">
      <c r="G614" s="50"/>
    </row>
    <row r="615" spans="7:7" ht="13.2">
      <c r="G615" s="50"/>
    </row>
    <row r="616" spans="7:7" ht="13.2">
      <c r="G616" s="50"/>
    </row>
    <row r="617" spans="7:7" ht="13.2">
      <c r="G617" s="50"/>
    </row>
    <row r="618" spans="7:7" ht="13.2">
      <c r="G618" s="50"/>
    </row>
    <row r="619" spans="7:7" ht="13.2">
      <c r="G619" s="50"/>
    </row>
    <row r="620" spans="7:7" ht="13.2">
      <c r="G620" s="50"/>
    </row>
    <row r="621" spans="7:7" ht="13.2">
      <c r="G621" s="50"/>
    </row>
    <row r="622" spans="7:7" ht="13.2">
      <c r="G622" s="50"/>
    </row>
    <row r="623" spans="7:7" ht="13.2">
      <c r="G623" s="50"/>
    </row>
    <row r="624" spans="7:7" ht="13.2">
      <c r="G624" s="50"/>
    </row>
    <row r="625" spans="7:7" ht="13.2">
      <c r="G625" s="50"/>
    </row>
    <row r="626" spans="7:7" ht="13.2">
      <c r="G626" s="50"/>
    </row>
    <row r="627" spans="7:7" ht="13.2">
      <c r="G627" s="50"/>
    </row>
    <row r="628" spans="7:7" ht="13.2">
      <c r="G628" s="50"/>
    </row>
    <row r="629" spans="7:7" ht="13.2">
      <c r="G629" s="50"/>
    </row>
    <row r="630" spans="7:7" ht="13.2">
      <c r="G630" s="50"/>
    </row>
    <row r="631" spans="7:7" ht="13.2">
      <c r="G631" s="50"/>
    </row>
    <row r="632" spans="7:7" ht="13.2">
      <c r="G632" s="50"/>
    </row>
    <row r="633" spans="7:7" ht="13.2">
      <c r="G633" s="50"/>
    </row>
    <row r="634" spans="7:7" ht="13.2">
      <c r="G634" s="50"/>
    </row>
    <row r="635" spans="7:7" ht="13.2">
      <c r="G635" s="50"/>
    </row>
    <row r="636" spans="7:7" ht="13.2">
      <c r="G636" s="50"/>
    </row>
    <row r="637" spans="7:7" ht="13.2">
      <c r="G637" s="50"/>
    </row>
    <row r="638" spans="7:7" ht="13.2">
      <c r="G638" s="50"/>
    </row>
    <row r="639" spans="7:7" ht="13.2">
      <c r="G639" s="50"/>
    </row>
    <row r="640" spans="7:7" ht="13.2">
      <c r="G640" s="50"/>
    </row>
    <row r="641" spans="7:7" ht="13.2">
      <c r="G641" s="50"/>
    </row>
    <row r="642" spans="7:7" ht="13.2">
      <c r="G642" s="50"/>
    </row>
    <row r="643" spans="7:7" ht="13.2">
      <c r="G643" s="50"/>
    </row>
    <row r="644" spans="7:7" ht="13.2">
      <c r="G644" s="50"/>
    </row>
    <row r="645" spans="7:7" ht="13.2">
      <c r="G645" s="50"/>
    </row>
    <row r="646" spans="7:7" ht="13.2">
      <c r="G646" s="50"/>
    </row>
    <row r="647" spans="7:7" ht="13.2">
      <c r="G647" s="50"/>
    </row>
    <row r="648" spans="7:7" ht="13.2">
      <c r="G648" s="50"/>
    </row>
    <row r="649" spans="7:7" ht="13.2">
      <c r="G649" s="50"/>
    </row>
    <row r="650" spans="7:7" ht="13.2">
      <c r="G650" s="50"/>
    </row>
    <row r="651" spans="7:7" ht="13.2">
      <c r="G651" s="50"/>
    </row>
    <row r="652" spans="7:7" ht="13.2">
      <c r="G652" s="50"/>
    </row>
    <row r="653" spans="7:7" ht="13.2">
      <c r="G653" s="50"/>
    </row>
    <row r="654" spans="7:7" ht="13.2">
      <c r="G654" s="50"/>
    </row>
    <row r="655" spans="7:7" ht="13.2">
      <c r="G655" s="50"/>
    </row>
    <row r="656" spans="7:7" ht="13.2">
      <c r="G656" s="50"/>
    </row>
    <row r="657" spans="7:7" ht="13.2">
      <c r="G657" s="50"/>
    </row>
    <row r="658" spans="7:7" ht="13.2">
      <c r="G658" s="50"/>
    </row>
    <row r="659" spans="7:7" ht="13.2">
      <c r="G659" s="50"/>
    </row>
    <row r="660" spans="7:7" ht="13.2">
      <c r="G660" s="50"/>
    </row>
    <row r="661" spans="7:7" ht="13.2">
      <c r="G661" s="50"/>
    </row>
    <row r="662" spans="7:7" ht="13.2">
      <c r="G662" s="50"/>
    </row>
    <row r="663" spans="7:7" ht="13.2">
      <c r="G663" s="50"/>
    </row>
    <row r="664" spans="7:7" ht="13.2">
      <c r="G664" s="50"/>
    </row>
    <row r="665" spans="7:7" ht="13.2">
      <c r="G665" s="50"/>
    </row>
    <row r="666" spans="7:7" ht="13.2">
      <c r="G666" s="50"/>
    </row>
    <row r="667" spans="7:7" ht="13.2">
      <c r="G667" s="50"/>
    </row>
    <row r="668" spans="7:7" ht="13.2">
      <c r="G668" s="50"/>
    </row>
    <row r="669" spans="7:7" ht="13.2">
      <c r="G669" s="50"/>
    </row>
    <row r="670" spans="7:7" ht="13.2">
      <c r="G670" s="50"/>
    </row>
    <row r="671" spans="7:7" ht="13.2">
      <c r="G671" s="50"/>
    </row>
    <row r="672" spans="7:7" ht="13.2">
      <c r="G672" s="50"/>
    </row>
    <row r="673" spans="7:7" ht="13.2">
      <c r="G673" s="50"/>
    </row>
    <row r="674" spans="7:7" ht="13.2">
      <c r="G674" s="50"/>
    </row>
    <row r="675" spans="7:7" ht="13.2">
      <c r="G675" s="50"/>
    </row>
    <row r="676" spans="7:7" ht="13.2">
      <c r="G676" s="50"/>
    </row>
    <row r="677" spans="7:7" ht="13.2">
      <c r="G677" s="50"/>
    </row>
    <row r="678" spans="7:7" ht="13.2">
      <c r="G678" s="50"/>
    </row>
    <row r="679" spans="7:7" ht="13.2">
      <c r="G679" s="50"/>
    </row>
    <row r="680" spans="7:7" ht="13.2">
      <c r="G680" s="50"/>
    </row>
    <row r="681" spans="7:7" ht="13.2">
      <c r="G681" s="50"/>
    </row>
    <row r="682" spans="7:7" ht="13.2">
      <c r="G682" s="50"/>
    </row>
    <row r="683" spans="7:7" ht="13.2">
      <c r="G683" s="50"/>
    </row>
    <row r="684" spans="7:7" ht="13.2">
      <c r="G684" s="50"/>
    </row>
    <row r="685" spans="7:7" ht="13.2">
      <c r="G685" s="50"/>
    </row>
    <row r="686" spans="7:7" ht="13.2">
      <c r="G686" s="50"/>
    </row>
    <row r="687" spans="7:7" ht="13.2">
      <c r="G687" s="50"/>
    </row>
    <row r="688" spans="7:7" ht="13.2">
      <c r="G688" s="50"/>
    </row>
    <row r="689" spans="7:7" ht="13.2">
      <c r="G689" s="50"/>
    </row>
    <row r="690" spans="7:7" ht="13.2">
      <c r="G690" s="50"/>
    </row>
    <row r="691" spans="7:7" ht="13.2">
      <c r="G691" s="50"/>
    </row>
    <row r="692" spans="7:7" ht="13.2">
      <c r="G692" s="50"/>
    </row>
    <row r="693" spans="7:7" ht="13.2">
      <c r="G693" s="50"/>
    </row>
    <row r="694" spans="7:7" ht="13.2">
      <c r="G694" s="50"/>
    </row>
    <row r="695" spans="7:7" ht="13.2">
      <c r="G695" s="50"/>
    </row>
    <row r="696" spans="7:7" ht="13.2">
      <c r="G696" s="50"/>
    </row>
    <row r="697" spans="7:7" ht="13.2">
      <c r="G697" s="50"/>
    </row>
    <row r="698" spans="7:7" ht="13.2">
      <c r="G698" s="50"/>
    </row>
    <row r="699" spans="7:7" ht="13.2">
      <c r="G699" s="50"/>
    </row>
    <row r="700" spans="7:7" ht="13.2">
      <c r="G700" s="50"/>
    </row>
    <row r="701" spans="7:7" ht="13.2">
      <c r="G701" s="50"/>
    </row>
    <row r="702" spans="7:7" ht="13.2">
      <c r="G702" s="50"/>
    </row>
    <row r="703" spans="7:7" ht="13.2">
      <c r="G703" s="50"/>
    </row>
    <row r="704" spans="7:7" ht="13.2">
      <c r="G704" s="50"/>
    </row>
    <row r="705" spans="7:7" ht="13.2">
      <c r="G705" s="50"/>
    </row>
    <row r="706" spans="7:7" ht="13.2">
      <c r="G706" s="50"/>
    </row>
    <row r="707" spans="7:7" ht="13.2">
      <c r="G707" s="50"/>
    </row>
    <row r="708" spans="7:7" ht="13.2">
      <c r="G708" s="50"/>
    </row>
    <row r="709" spans="7:7" ht="13.2">
      <c r="G709" s="50"/>
    </row>
    <row r="710" spans="7:7" ht="13.2">
      <c r="G710" s="50"/>
    </row>
    <row r="711" spans="7:7" ht="13.2">
      <c r="G711" s="50"/>
    </row>
    <row r="712" spans="7:7" ht="13.2">
      <c r="G712" s="50"/>
    </row>
    <row r="713" spans="7:7" ht="13.2">
      <c r="G713" s="50"/>
    </row>
    <row r="714" spans="7:7" ht="13.2">
      <c r="G714" s="50"/>
    </row>
    <row r="715" spans="7:7" ht="13.2">
      <c r="G715" s="50"/>
    </row>
    <row r="716" spans="7:7" ht="13.2">
      <c r="G716" s="50"/>
    </row>
    <row r="717" spans="7:7" ht="13.2">
      <c r="G717" s="50"/>
    </row>
    <row r="718" spans="7:7" ht="13.2">
      <c r="G718" s="50"/>
    </row>
    <row r="719" spans="7:7" ht="13.2">
      <c r="G719" s="50"/>
    </row>
    <row r="720" spans="7:7" ht="13.2">
      <c r="G720" s="50"/>
    </row>
    <row r="721" spans="7:7" ht="13.2">
      <c r="G721" s="50"/>
    </row>
    <row r="722" spans="7:7" ht="13.2">
      <c r="G722" s="50"/>
    </row>
    <row r="723" spans="7:7" ht="13.2">
      <c r="G723" s="50"/>
    </row>
    <row r="724" spans="7:7" ht="13.2">
      <c r="G724" s="50"/>
    </row>
    <row r="725" spans="7:7" ht="13.2">
      <c r="G725" s="50"/>
    </row>
    <row r="726" spans="7:7" ht="13.2">
      <c r="G726" s="50"/>
    </row>
    <row r="727" spans="7:7" ht="13.2">
      <c r="G727" s="50"/>
    </row>
    <row r="728" spans="7:7" ht="13.2">
      <c r="G728" s="50"/>
    </row>
    <row r="729" spans="7:7" ht="13.2">
      <c r="G729" s="50"/>
    </row>
    <row r="730" spans="7:7" ht="13.2">
      <c r="G730" s="50"/>
    </row>
    <row r="731" spans="7:7" ht="13.2">
      <c r="G731" s="50"/>
    </row>
    <row r="732" spans="7:7" ht="13.2">
      <c r="G732" s="50"/>
    </row>
    <row r="733" spans="7:7" ht="13.2">
      <c r="G733" s="50"/>
    </row>
    <row r="734" spans="7:7" ht="13.2">
      <c r="G734" s="50"/>
    </row>
    <row r="735" spans="7:7" ht="13.2">
      <c r="G735" s="50"/>
    </row>
    <row r="736" spans="7:7" ht="13.2">
      <c r="G736" s="50"/>
    </row>
    <row r="737" spans="7:7" ht="13.2">
      <c r="G737" s="50"/>
    </row>
    <row r="738" spans="7:7" ht="13.2">
      <c r="G738" s="50"/>
    </row>
    <row r="739" spans="7:7" ht="13.2">
      <c r="G739" s="50"/>
    </row>
    <row r="740" spans="7:7" ht="13.2">
      <c r="G740" s="50"/>
    </row>
    <row r="741" spans="7:7" ht="13.2">
      <c r="G741" s="50"/>
    </row>
    <row r="742" spans="7:7" ht="13.2">
      <c r="G742" s="50"/>
    </row>
    <row r="743" spans="7:7" ht="13.2">
      <c r="G743" s="50"/>
    </row>
    <row r="744" spans="7:7" ht="13.2">
      <c r="G744" s="50"/>
    </row>
    <row r="745" spans="7:7" ht="13.2">
      <c r="G745" s="50"/>
    </row>
    <row r="746" spans="7:7" ht="13.2">
      <c r="G746" s="50"/>
    </row>
    <row r="747" spans="7:7" ht="13.2">
      <c r="G747" s="50"/>
    </row>
    <row r="748" spans="7:7" ht="13.2">
      <c r="G748" s="50"/>
    </row>
    <row r="749" spans="7:7" ht="13.2">
      <c r="G749" s="50"/>
    </row>
    <row r="750" spans="7:7" ht="13.2">
      <c r="G750" s="50"/>
    </row>
    <row r="751" spans="7:7" ht="13.2">
      <c r="G751" s="50"/>
    </row>
    <row r="752" spans="7:7" ht="13.2">
      <c r="G752" s="50"/>
    </row>
    <row r="753" spans="7:7" ht="13.2">
      <c r="G753" s="50"/>
    </row>
    <row r="754" spans="7:7" ht="13.2">
      <c r="G754" s="50"/>
    </row>
    <row r="755" spans="7:7" ht="13.2">
      <c r="G755" s="50"/>
    </row>
    <row r="756" spans="7:7" ht="13.2">
      <c r="G756" s="50"/>
    </row>
    <row r="757" spans="7:7" ht="13.2">
      <c r="G757" s="50"/>
    </row>
    <row r="758" spans="7:7" ht="13.2">
      <c r="G758" s="50"/>
    </row>
    <row r="759" spans="7:7" ht="13.2">
      <c r="G759" s="50"/>
    </row>
    <row r="760" spans="7:7" ht="13.2">
      <c r="G760" s="50"/>
    </row>
    <row r="761" spans="7:7" ht="13.2">
      <c r="G761" s="50"/>
    </row>
    <row r="762" spans="7:7" ht="13.2">
      <c r="G762" s="50"/>
    </row>
    <row r="763" spans="7:7" ht="13.2">
      <c r="G763" s="50"/>
    </row>
    <row r="764" spans="7:7" ht="13.2">
      <c r="G764" s="50"/>
    </row>
    <row r="765" spans="7:7" ht="13.2">
      <c r="G765" s="50"/>
    </row>
    <row r="766" spans="7:7" ht="13.2">
      <c r="G766" s="50"/>
    </row>
    <row r="767" spans="7:7" ht="13.2">
      <c r="G767" s="50"/>
    </row>
    <row r="768" spans="7:7" ht="13.2">
      <c r="G768" s="50"/>
    </row>
    <row r="769" spans="7:7" ht="13.2">
      <c r="G769" s="50"/>
    </row>
    <row r="770" spans="7:7" ht="13.2">
      <c r="G770" s="50"/>
    </row>
    <row r="771" spans="7:7" ht="13.2">
      <c r="G771" s="50"/>
    </row>
    <row r="772" spans="7:7" ht="13.2">
      <c r="G772" s="50"/>
    </row>
    <row r="773" spans="7:7" ht="13.2">
      <c r="G773" s="50"/>
    </row>
    <row r="774" spans="7:7" ht="13.2">
      <c r="G774" s="50"/>
    </row>
    <row r="775" spans="7:7" ht="13.2">
      <c r="G775" s="50"/>
    </row>
    <row r="776" spans="7:7" ht="13.2">
      <c r="G776" s="50"/>
    </row>
    <row r="777" spans="7:7" ht="13.2">
      <c r="G777" s="50"/>
    </row>
    <row r="778" spans="7:7" ht="13.2">
      <c r="G778" s="50"/>
    </row>
    <row r="779" spans="7:7" ht="13.2">
      <c r="G779" s="50"/>
    </row>
    <row r="780" spans="7:7" ht="13.2">
      <c r="G780" s="50"/>
    </row>
    <row r="781" spans="7:7" ht="13.2">
      <c r="G781" s="50"/>
    </row>
    <row r="782" spans="7:7" ht="13.2">
      <c r="G782" s="50"/>
    </row>
    <row r="783" spans="7:7" ht="13.2">
      <c r="G783" s="50"/>
    </row>
    <row r="784" spans="7:7" ht="13.2">
      <c r="G784" s="50"/>
    </row>
    <row r="785" spans="7:7" ht="13.2">
      <c r="G785" s="50"/>
    </row>
    <row r="786" spans="7:7" ht="13.2">
      <c r="G786" s="50"/>
    </row>
    <row r="787" spans="7:7" ht="13.2">
      <c r="G787" s="50"/>
    </row>
    <row r="788" spans="7:7" ht="13.2">
      <c r="G788" s="50"/>
    </row>
    <row r="789" spans="7:7" ht="13.2">
      <c r="G789" s="50"/>
    </row>
    <row r="790" spans="7:7" ht="13.2">
      <c r="G790" s="50"/>
    </row>
    <row r="791" spans="7:7" ht="13.2">
      <c r="G791" s="50"/>
    </row>
    <row r="792" spans="7:7" ht="13.2">
      <c r="G792" s="50"/>
    </row>
    <row r="793" spans="7:7" ht="13.2">
      <c r="G793" s="50"/>
    </row>
    <row r="794" spans="7:7" ht="13.2">
      <c r="G794" s="50"/>
    </row>
    <row r="795" spans="7:7" ht="13.2">
      <c r="G795" s="50"/>
    </row>
    <row r="796" spans="7:7" ht="13.2">
      <c r="G796" s="50"/>
    </row>
    <row r="797" spans="7:7" ht="13.2">
      <c r="G797" s="50"/>
    </row>
    <row r="798" spans="7:7" ht="13.2">
      <c r="G798" s="50"/>
    </row>
    <row r="799" spans="7:7" ht="13.2">
      <c r="G799" s="50"/>
    </row>
    <row r="800" spans="7:7" ht="13.2">
      <c r="G800" s="50"/>
    </row>
    <row r="801" spans="7:7" ht="13.2">
      <c r="G801" s="50"/>
    </row>
    <row r="802" spans="7:7" ht="13.2">
      <c r="G802" s="50"/>
    </row>
    <row r="803" spans="7:7" ht="13.2">
      <c r="G803" s="50"/>
    </row>
    <row r="804" spans="7:7" ht="13.2">
      <c r="G804" s="50"/>
    </row>
    <row r="805" spans="7:7" ht="13.2">
      <c r="G805" s="50"/>
    </row>
    <row r="806" spans="7:7" ht="13.2">
      <c r="G806" s="50"/>
    </row>
    <row r="807" spans="7:7" ht="13.2">
      <c r="G807" s="50"/>
    </row>
    <row r="808" spans="7:7" ht="13.2">
      <c r="G808" s="50"/>
    </row>
    <row r="809" spans="7:7" ht="13.2">
      <c r="G809" s="50"/>
    </row>
    <row r="810" spans="7:7" ht="13.2">
      <c r="G810" s="50"/>
    </row>
    <row r="811" spans="7:7" ht="13.2">
      <c r="G811" s="50"/>
    </row>
    <row r="812" spans="7:7" ht="13.2">
      <c r="G812" s="50"/>
    </row>
    <row r="813" spans="7:7" ht="13.2">
      <c r="G813" s="50"/>
    </row>
    <row r="814" spans="7:7" ht="13.2">
      <c r="G814" s="50"/>
    </row>
    <row r="815" spans="7:7" ht="13.2">
      <c r="G815" s="50"/>
    </row>
    <row r="816" spans="7:7" ht="13.2">
      <c r="G816" s="50"/>
    </row>
    <row r="817" spans="7:7" ht="13.2">
      <c r="G817" s="50"/>
    </row>
    <row r="818" spans="7:7" ht="13.2">
      <c r="G818" s="50"/>
    </row>
    <row r="819" spans="7:7" ht="13.2">
      <c r="G819" s="50"/>
    </row>
    <row r="820" spans="7:7" ht="13.2">
      <c r="G820" s="50"/>
    </row>
    <row r="821" spans="7:7" ht="13.2">
      <c r="G821" s="50"/>
    </row>
    <row r="822" spans="7:7" ht="13.2">
      <c r="G822" s="50"/>
    </row>
    <row r="823" spans="7:7" ht="13.2">
      <c r="G823" s="50"/>
    </row>
    <row r="824" spans="7:7" ht="13.2">
      <c r="G824" s="50"/>
    </row>
    <row r="825" spans="7:7" ht="13.2">
      <c r="G825" s="50"/>
    </row>
    <row r="826" spans="7:7" ht="13.2">
      <c r="G826" s="50"/>
    </row>
    <row r="827" spans="7:7" ht="13.2">
      <c r="G827" s="50"/>
    </row>
    <row r="828" spans="7:7" ht="13.2">
      <c r="G828" s="50"/>
    </row>
    <row r="829" spans="7:7" ht="13.2">
      <c r="G829" s="50"/>
    </row>
    <row r="830" spans="7:7" ht="13.2">
      <c r="G830" s="50"/>
    </row>
    <row r="831" spans="7:7" ht="13.2">
      <c r="G831" s="50"/>
    </row>
    <row r="832" spans="7:7" ht="13.2">
      <c r="G832" s="50"/>
    </row>
    <row r="833" spans="7:7" ht="13.2">
      <c r="G833" s="50"/>
    </row>
    <row r="834" spans="7:7" ht="13.2">
      <c r="G834" s="50"/>
    </row>
    <row r="835" spans="7:7" ht="13.2">
      <c r="G835" s="50"/>
    </row>
    <row r="836" spans="7:7" ht="13.2">
      <c r="G836" s="50"/>
    </row>
    <row r="837" spans="7:7" ht="13.2">
      <c r="G837" s="50"/>
    </row>
    <row r="838" spans="7:7" ht="13.2">
      <c r="G838" s="50"/>
    </row>
    <row r="839" spans="7:7" ht="13.2">
      <c r="G839" s="50"/>
    </row>
    <row r="840" spans="7:7" ht="13.2">
      <c r="G840" s="50"/>
    </row>
    <row r="841" spans="7:7" ht="13.2">
      <c r="G841" s="50"/>
    </row>
    <row r="842" spans="7:7" ht="13.2">
      <c r="G842" s="50"/>
    </row>
    <row r="843" spans="7:7" ht="13.2">
      <c r="G843" s="50"/>
    </row>
    <row r="844" spans="7:7" ht="13.2">
      <c r="G844" s="50"/>
    </row>
    <row r="845" spans="7:7" ht="13.2">
      <c r="G845" s="50"/>
    </row>
    <row r="846" spans="7:7" ht="13.2">
      <c r="G846" s="50"/>
    </row>
    <row r="847" spans="7:7" ht="13.2">
      <c r="G847" s="50"/>
    </row>
    <row r="848" spans="7:7" ht="13.2">
      <c r="G848" s="50"/>
    </row>
    <row r="849" spans="7:7" ht="13.2">
      <c r="G849" s="50"/>
    </row>
    <row r="850" spans="7:7" ht="13.2">
      <c r="G850" s="50"/>
    </row>
    <row r="851" spans="7:7" ht="13.2">
      <c r="G851" s="50"/>
    </row>
    <row r="852" spans="7:7" ht="13.2">
      <c r="G852" s="50"/>
    </row>
    <row r="853" spans="7:7" ht="13.2">
      <c r="G853" s="50"/>
    </row>
    <row r="854" spans="7:7" ht="13.2">
      <c r="G854" s="50"/>
    </row>
    <row r="855" spans="7:7" ht="13.2">
      <c r="G855" s="50"/>
    </row>
    <row r="856" spans="7:7" ht="13.2">
      <c r="G856" s="50"/>
    </row>
    <row r="857" spans="7:7" ht="13.2">
      <c r="G857" s="50"/>
    </row>
    <row r="858" spans="7:7" ht="13.2">
      <c r="G858" s="50"/>
    </row>
    <row r="859" spans="7:7" ht="13.2">
      <c r="G859" s="50"/>
    </row>
    <row r="860" spans="7:7" ht="13.2">
      <c r="G860" s="50"/>
    </row>
    <row r="861" spans="7:7" ht="13.2">
      <c r="G861" s="50"/>
    </row>
    <row r="862" spans="7:7" ht="13.2">
      <c r="G862" s="50"/>
    </row>
    <row r="863" spans="7:7" ht="13.2">
      <c r="G863" s="50"/>
    </row>
    <row r="864" spans="7:7" ht="13.2">
      <c r="G864" s="50"/>
    </row>
    <row r="865" spans="7:7" ht="13.2">
      <c r="G865" s="50"/>
    </row>
    <row r="866" spans="7:7" ht="13.2">
      <c r="G866" s="50"/>
    </row>
    <row r="867" spans="7:7" ht="13.2">
      <c r="G867" s="50"/>
    </row>
    <row r="868" spans="7:7" ht="13.2">
      <c r="G868" s="50"/>
    </row>
    <row r="869" spans="7:7" ht="13.2">
      <c r="G869" s="50"/>
    </row>
    <row r="870" spans="7:7" ht="13.2">
      <c r="G870" s="50"/>
    </row>
    <row r="871" spans="7:7" ht="13.2">
      <c r="G871" s="50"/>
    </row>
    <row r="872" spans="7:7" ht="13.2">
      <c r="G872" s="50"/>
    </row>
    <row r="873" spans="7:7" ht="13.2">
      <c r="G873" s="50"/>
    </row>
    <row r="874" spans="7:7" ht="13.2">
      <c r="G874" s="50"/>
    </row>
    <row r="875" spans="7:7" ht="13.2">
      <c r="G875" s="50"/>
    </row>
    <row r="876" spans="7:7" ht="13.2">
      <c r="G876" s="50"/>
    </row>
    <row r="877" spans="7:7" ht="13.2">
      <c r="G877" s="50"/>
    </row>
    <row r="878" spans="7:7" ht="13.2">
      <c r="G878" s="50"/>
    </row>
    <row r="879" spans="7:7" ht="13.2">
      <c r="G879" s="50"/>
    </row>
    <row r="880" spans="7:7" ht="13.2">
      <c r="G880" s="50"/>
    </row>
    <row r="881" spans="7:7" ht="13.2">
      <c r="G881" s="50"/>
    </row>
    <row r="882" spans="7:7" ht="13.2">
      <c r="G882" s="50"/>
    </row>
    <row r="883" spans="7:7" ht="13.2">
      <c r="G883" s="50"/>
    </row>
    <row r="884" spans="7:7" ht="13.2">
      <c r="G884" s="50"/>
    </row>
    <row r="885" spans="7:7" ht="13.2">
      <c r="G885" s="50"/>
    </row>
    <row r="886" spans="7:7" ht="13.2">
      <c r="G886" s="50"/>
    </row>
    <row r="887" spans="7:7" ht="13.2">
      <c r="G887" s="50"/>
    </row>
    <row r="888" spans="7:7" ht="13.2">
      <c r="G888" s="50"/>
    </row>
    <row r="889" spans="7:7" ht="13.2">
      <c r="G889" s="50"/>
    </row>
    <row r="890" spans="7:7" ht="13.2">
      <c r="G890" s="50"/>
    </row>
    <row r="891" spans="7:7" ht="13.2">
      <c r="G891" s="50"/>
    </row>
    <row r="892" spans="7:7" ht="13.2">
      <c r="G892" s="50"/>
    </row>
    <row r="893" spans="7:7" ht="13.2">
      <c r="G893" s="50"/>
    </row>
    <row r="894" spans="7:7" ht="13.2">
      <c r="G894" s="50"/>
    </row>
    <row r="895" spans="7:7" ht="13.2">
      <c r="G895" s="50"/>
    </row>
    <row r="896" spans="7:7" ht="13.2">
      <c r="G896" s="50"/>
    </row>
    <row r="897" spans="7:7" ht="13.2">
      <c r="G897" s="50"/>
    </row>
    <row r="898" spans="7:7" ht="13.2">
      <c r="G898" s="50"/>
    </row>
    <row r="899" spans="7:7" ht="13.2">
      <c r="G899" s="50"/>
    </row>
    <row r="900" spans="7:7" ht="13.2">
      <c r="G900" s="50"/>
    </row>
    <row r="901" spans="7:7" ht="13.2">
      <c r="G901" s="50"/>
    </row>
    <row r="902" spans="7:7" ht="13.2">
      <c r="G902" s="50"/>
    </row>
    <row r="903" spans="7:7" ht="13.2">
      <c r="G903" s="50"/>
    </row>
    <row r="904" spans="7:7" ht="13.2">
      <c r="G904" s="50"/>
    </row>
    <row r="905" spans="7:7" ht="13.2">
      <c r="G905" s="50"/>
    </row>
    <row r="906" spans="7:7" ht="13.2">
      <c r="G906" s="50"/>
    </row>
    <row r="907" spans="7:7" ht="13.2">
      <c r="G907" s="50"/>
    </row>
    <row r="908" spans="7:7" ht="13.2">
      <c r="G908" s="50"/>
    </row>
    <row r="909" spans="7:7" ht="13.2">
      <c r="G909" s="50"/>
    </row>
    <row r="910" spans="7:7" ht="13.2">
      <c r="G910" s="50"/>
    </row>
    <row r="911" spans="7:7" ht="13.2">
      <c r="G911" s="50"/>
    </row>
    <row r="912" spans="7:7" ht="13.2">
      <c r="G912" s="50"/>
    </row>
    <row r="913" spans="7:7" ht="13.2">
      <c r="G913" s="50"/>
    </row>
    <row r="914" spans="7:7" ht="13.2">
      <c r="G914" s="50"/>
    </row>
    <row r="915" spans="7:7" ht="13.2">
      <c r="G915" s="50"/>
    </row>
    <row r="916" spans="7:7" ht="13.2">
      <c r="G916" s="50"/>
    </row>
    <row r="917" spans="7:7" ht="13.2">
      <c r="G917" s="50"/>
    </row>
    <row r="918" spans="7:7" ht="13.2">
      <c r="G918" s="50"/>
    </row>
    <row r="919" spans="7:7" ht="13.2">
      <c r="G919" s="50"/>
    </row>
    <row r="920" spans="7:7" ht="13.2">
      <c r="G920" s="50"/>
    </row>
    <row r="921" spans="7:7" ht="13.2">
      <c r="G921" s="50"/>
    </row>
    <row r="922" spans="7:7" ht="13.2">
      <c r="G922" s="50"/>
    </row>
    <row r="923" spans="7:7" ht="13.2">
      <c r="G923" s="50"/>
    </row>
    <row r="924" spans="7:7" ht="13.2">
      <c r="G924" s="50"/>
    </row>
    <row r="925" spans="7:7" ht="13.2">
      <c r="G925" s="50"/>
    </row>
    <row r="926" spans="7:7" ht="13.2">
      <c r="G926" s="50"/>
    </row>
    <row r="927" spans="7:7" ht="13.2">
      <c r="G927" s="50"/>
    </row>
    <row r="928" spans="7:7" ht="13.2">
      <c r="G928" s="50"/>
    </row>
    <row r="929" spans="7:7" ht="13.2">
      <c r="G929" s="50"/>
    </row>
    <row r="930" spans="7:7" ht="13.2">
      <c r="G930" s="50"/>
    </row>
    <row r="931" spans="7:7" ht="13.2">
      <c r="G931" s="50"/>
    </row>
    <row r="932" spans="7:7" ht="13.2">
      <c r="G932" s="50"/>
    </row>
    <row r="933" spans="7:7" ht="13.2">
      <c r="G933" s="50"/>
    </row>
    <row r="934" spans="7:7" ht="13.2">
      <c r="G934" s="50"/>
    </row>
    <row r="935" spans="7:7" ht="13.2">
      <c r="G935" s="50"/>
    </row>
    <row r="936" spans="7:7" ht="13.2">
      <c r="G936" s="50"/>
    </row>
    <row r="937" spans="7:7" ht="13.2">
      <c r="G937" s="50"/>
    </row>
    <row r="938" spans="7:7" ht="13.2">
      <c r="G938" s="50"/>
    </row>
    <row r="939" spans="7:7" ht="13.2">
      <c r="G939" s="50"/>
    </row>
    <row r="940" spans="7:7" ht="13.2">
      <c r="G940" s="50"/>
    </row>
    <row r="941" spans="7:7" ht="13.2">
      <c r="G941" s="50"/>
    </row>
    <row r="942" spans="7:7" ht="13.2">
      <c r="G942" s="50"/>
    </row>
    <row r="943" spans="7:7" ht="13.2">
      <c r="G943" s="50"/>
    </row>
    <row r="944" spans="7:7" ht="13.2">
      <c r="G944" s="50"/>
    </row>
    <row r="945" spans="7:7" ht="13.2">
      <c r="G945" s="50"/>
    </row>
    <row r="946" spans="7:7" ht="13.2">
      <c r="G946" s="50"/>
    </row>
    <row r="947" spans="7:7" ht="13.2">
      <c r="G947" s="50"/>
    </row>
    <row r="948" spans="7:7" ht="13.2">
      <c r="G948" s="50"/>
    </row>
    <row r="949" spans="7:7" ht="13.2">
      <c r="G949" s="50"/>
    </row>
    <row r="950" spans="7:7" ht="13.2">
      <c r="G950" s="50"/>
    </row>
    <row r="951" spans="7:7" ht="13.2">
      <c r="G951" s="50"/>
    </row>
    <row r="952" spans="7:7" ht="13.2">
      <c r="G952" s="50"/>
    </row>
    <row r="953" spans="7:7" ht="13.2">
      <c r="G953" s="50"/>
    </row>
    <row r="954" spans="7:7" ht="13.2">
      <c r="G954" s="50"/>
    </row>
    <row r="955" spans="7:7" ht="13.2">
      <c r="G955" s="50"/>
    </row>
    <row r="956" spans="7:7" ht="13.2">
      <c r="G956" s="50"/>
    </row>
    <row r="957" spans="7:7" ht="13.2">
      <c r="G957" s="50"/>
    </row>
    <row r="958" spans="7:7" ht="13.2">
      <c r="G958" s="50"/>
    </row>
    <row r="959" spans="7:7" ht="13.2">
      <c r="G959" s="50"/>
    </row>
    <row r="960" spans="7:7" ht="13.2">
      <c r="G960" s="50"/>
    </row>
    <row r="961" spans="7:7" ht="13.2">
      <c r="G961" s="50"/>
    </row>
    <row r="962" spans="7:7" ht="13.2">
      <c r="G962" s="50"/>
    </row>
    <row r="963" spans="7:7" ht="13.2">
      <c r="G963" s="50"/>
    </row>
    <row r="964" spans="7:7" ht="13.2">
      <c r="G964" s="50"/>
    </row>
    <row r="965" spans="7:7" ht="13.2">
      <c r="G965" s="50"/>
    </row>
    <row r="966" spans="7:7" ht="13.2">
      <c r="G966" s="50"/>
    </row>
    <row r="967" spans="7:7" ht="13.2">
      <c r="G967" s="50"/>
    </row>
    <row r="968" spans="7:7" ht="13.2">
      <c r="G968" s="50"/>
    </row>
    <row r="969" spans="7:7" ht="13.2">
      <c r="G969" s="50"/>
    </row>
    <row r="970" spans="7:7" ht="13.2">
      <c r="G970" s="50"/>
    </row>
    <row r="971" spans="7:7" ht="13.2">
      <c r="G971" s="50"/>
    </row>
    <row r="972" spans="7:7" ht="13.2">
      <c r="G972" s="50"/>
    </row>
    <row r="973" spans="7:7" ht="13.2">
      <c r="G973" s="50"/>
    </row>
    <row r="974" spans="7:7" ht="13.2">
      <c r="G974" s="50"/>
    </row>
    <row r="975" spans="7:7" ht="13.2">
      <c r="G975" s="50"/>
    </row>
    <row r="976" spans="7:7" ht="13.2">
      <c r="G976" s="50"/>
    </row>
    <row r="977" spans="7:7" ht="13.2">
      <c r="G977" s="50"/>
    </row>
    <row r="978" spans="7:7" ht="13.2">
      <c r="G978" s="50"/>
    </row>
    <row r="979" spans="7:7" ht="13.2">
      <c r="G979" s="50"/>
    </row>
    <row r="980" spans="7:7" ht="13.2">
      <c r="G980" s="50"/>
    </row>
    <row r="981" spans="7:7" ht="13.2">
      <c r="G981" s="50"/>
    </row>
    <row r="982" spans="7:7" ht="13.2">
      <c r="G982" s="50"/>
    </row>
    <row r="983" spans="7:7" ht="13.2">
      <c r="G983" s="50"/>
    </row>
    <row r="984" spans="7:7" ht="13.2">
      <c r="G984" s="50"/>
    </row>
    <row r="985" spans="7:7" ht="13.2">
      <c r="G985" s="50"/>
    </row>
    <row r="986" spans="7:7" ht="13.2">
      <c r="G986" s="50"/>
    </row>
    <row r="987" spans="7:7" ht="13.2">
      <c r="G987" s="50"/>
    </row>
    <row r="988" spans="7:7" ht="13.2">
      <c r="G988" s="50"/>
    </row>
    <row r="989" spans="7:7" ht="13.2">
      <c r="G989" s="50"/>
    </row>
    <row r="990" spans="7:7" ht="13.2">
      <c r="G990" s="50"/>
    </row>
    <row r="991" spans="7:7" ht="13.2">
      <c r="G991" s="50"/>
    </row>
    <row r="992" spans="7:7" ht="13.2">
      <c r="G992" s="50"/>
    </row>
    <row r="993" spans="7:7" ht="13.2">
      <c r="G993" s="50"/>
    </row>
    <row r="994" spans="7:7" ht="13.2">
      <c r="G994" s="50"/>
    </row>
    <row r="995" spans="7:7" ht="13.2">
      <c r="G995" s="50"/>
    </row>
    <row r="996" spans="7:7" ht="13.2">
      <c r="G996" s="50"/>
    </row>
    <row r="997" spans="7:7" ht="13.2">
      <c r="G997" s="50"/>
    </row>
    <row r="998" spans="7:7" ht="13.2">
      <c r="G998" s="50"/>
    </row>
    <row r="999" spans="7:7" ht="13.2">
      <c r="G999" s="50"/>
    </row>
    <row r="1000" spans="7:7" ht="13.2">
      <c r="G1000" s="50"/>
    </row>
  </sheetData>
  <autoFilter ref="A1:Y32" xr:uid="{00000000-0009-0000-0000-00004E000000}"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>
      <c r="A2" s="336">
        <v>544277</v>
      </c>
      <c r="B2" s="336" t="s">
        <v>1398</v>
      </c>
      <c r="C2" s="101" t="str">
        <f>VLOOKUP(A2,'BSE ALL CAP'!$B$4:$Y$1038,2,)</f>
        <v>Industrials</v>
      </c>
      <c r="D2" s="101" t="str">
        <f>VLOOKUP(A2,'BSE ALL CAP'!$B$4:$Y$1038,3,)</f>
        <v>Other Electrical Equipment</v>
      </c>
      <c r="E2" s="101">
        <f ca="1">IFERROR(__xludf.DUMMYFUNCTION("GOOGLEFINANCE(""BOM:""&amp;A2,""PRICE"")"),3081)</f>
        <v>3081</v>
      </c>
      <c r="F2" s="112">
        <f ca="1">IFERROR(__xludf.DUMMYFUNCTION("GOOGLEFINANCE(""BOM:""&amp;A2,""MARKETCAP"")/10000000"),88573.32744)</f>
        <v>88573.327439999994</v>
      </c>
      <c r="G2" s="95">
        <f t="shared" ref="G2:G59" ca="1" si="0">F2/$F$61</f>
        <v>0.33579807868135614</v>
      </c>
      <c r="H2" s="101">
        <f>VLOOKUP(A2,'BSE ALL CAP'!$B$4:$Y$1038,7,)</f>
        <v>18056</v>
      </c>
      <c r="I2" s="101">
        <f>VLOOKUP(A2,'BSE ALL CAP'!$B$4:$Y$1038,8,)</f>
        <v>10440</v>
      </c>
      <c r="J2" s="101">
        <f>VLOOKUP(A2,'BSE ALL CAP'!$B$4:$Y$1038,9,)</f>
        <v>2757</v>
      </c>
      <c r="K2" s="101">
        <f>VLOOKUP(A2,'BSE ALL CAP'!$B$4:$Y$1038,10,)</f>
        <v>1283</v>
      </c>
      <c r="L2" s="101">
        <f>VLOOKUP(A2,'BSE ALL CAP'!$B$4:$Y$1038,11,)</f>
        <v>7565</v>
      </c>
      <c r="M2" s="101">
        <f>VLOOKUP(A2,'BSE ALL CAP'!$B$4:$Y$1038,12,)</f>
        <v>3457</v>
      </c>
      <c r="N2" s="101">
        <f>VLOOKUP(A2,'BSE ALL CAP'!$B$4:$Y$1038,13,)</f>
        <v>1106</v>
      </c>
      <c r="O2" s="101">
        <f>VLOOKUP(A2,'BSE ALL CAP'!$B$4:$Y$1038,14,)</f>
        <v>506</v>
      </c>
      <c r="P2" s="95">
        <f>VLOOKUP(A2,'BSE ALL CAP'!$B$4:$Y$1038,15,)</f>
        <v>0.15269162605228179</v>
      </c>
      <c r="Q2" s="95">
        <f>VLOOKUP(A2,'BSE ALL CAP'!$B$4:$Y$1038,16,)</f>
        <v>0.12289272030651341</v>
      </c>
      <c r="R2" s="95">
        <f>VLOOKUP(A2,'BSE ALL CAP'!$B$4:$Y$1038,17,)</f>
        <v>2.9798905745768378E-2</v>
      </c>
      <c r="S2" s="95">
        <f>VLOOKUP(A2,'BSE ALL CAP'!$B$4:$Y$1038,18,)</f>
        <v>0.14619960343688038</v>
      </c>
      <c r="T2" s="95">
        <f>VLOOKUP(A2,'BSE ALL CAP'!$B$4:$Y$1038,19,)</f>
        <v>0.14636968469771477</v>
      </c>
      <c r="U2" s="95">
        <f>VLOOKUP(A2,'BSE ALL CAP'!$B$4:$Y$1038,20,)</f>
        <v>-1.7008126083439823E-4</v>
      </c>
      <c r="V2" s="95">
        <f>VLOOKUP(A2,'BSE ALL CAP'!$B$4:$Y$1038,21,)</f>
        <v>0.72950191570881229</v>
      </c>
      <c r="W2" s="95">
        <f>VLOOKUP(A2,'BSE ALL CAP'!$B$4:$Y$1038,22,)</f>
        <v>1.1488698363211225</v>
      </c>
      <c r="X2" s="95">
        <f>VLOOKUP(A2,'BSE ALL CAP'!$B$4:$Y$1038,23,)</f>
        <v>1.1883135666763089</v>
      </c>
      <c r="Y2" s="95">
        <f>VLOOKUP(A2,'BSE ALL CAP'!$B$4:$Y$1038,24,)</f>
        <v>1.1857707509881421</v>
      </c>
    </row>
    <row r="3" spans="1:25">
      <c r="A3" s="336">
        <v>544238</v>
      </c>
      <c r="B3" s="336" t="s">
        <v>2856</v>
      </c>
      <c r="C3" s="101" t="str">
        <f>VLOOKUP(A3,'BSE ALL CAP'!$B$4:$Y$1038,2,)</f>
        <v>Industrials</v>
      </c>
      <c r="D3" s="101" t="str">
        <f>VLOOKUP(A3,'BSE ALL CAP'!$B$4:$Y$1038,3,)</f>
        <v>Other Electrical Equipment</v>
      </c>
      <c r="E3" s="101">
        <f ca="1">IFERROR(__xludf.DUMMYFUNCTION("GOOGLEFINANCE(""BOM:""&amp;A3,""PRICE"")"),928.95)</f>
        <v>928.95</v>
      </c>
      <c r="F3" s="112">
        <f ca="1">IFERROR(__xludf.DUMMYFUNCTION("GOOGLEFINANCE(""BOM:""&amp;A3,""MARKETCAP"")/10000000"),41744.1152245)</f>
        <v>41744.115224499998</v>
      </c>
      <c r="G3" s="95">
        <f t="shared" ca="1" si="0"/>
        <v>0.15825976164365999</v>
      </c>
      <c r="H3" s="101">
        <f>VLOOKUP(A3,'BSE ALL CAP'!$B$4:$Y$1038,7,)</f>
        <v>5594</v>
      </c>
      <c r="I3" s="101">
        <f>VLOOKUP(A3,'BSE ALL CAP'!$B$4:$Y$1038,8,)</f>
        <v>4897</v>
      </c>
      <c r="J3" s="101">
        <f>VLOOKUP(A3,'BSE ALL CAP'!$B$4:$Y$1038,9,)</f>
        <v>1052</v>
      </c>
      <c r="K3" s="101">
        <f>VLOOKUP(A3,'BSE ALL CAP'!$B$4:$Y$1038,10,)</f>
        <v>659</v>
      </c>
      <c r="L3" s="101">
        <f>VLOOKUP(A3,'BSE ALL CAP'!$B$4:$Y$1038,11,)</f>
        <v>1936</v>
      </c>
      <c r="M3" s="101">
        <f>VLOOKUP(A3,'BSE ALL CAP'!$B$4:$Y$1038,12,)</f>
        <v>1713</v>
      </c>
      <c r="N3" s="101">
        <f>VLOOKUP(A3,'BSE ALL CAP'!$B$4:$Y$1038,13,)</f>
        <v>391</v>
      </c>
      <c r="O3" s="101">
        <f>VLOOKUP(A3,'BSE ALL CAP'!$B$4:$Y$1038,14,)</f>
        <v>255</v>
      </c>
      <c r="P3" s="95">
        <f>VLOOKUP(A3,'BSE ALL CAP'!$B$4:$Y$1038,15,)</f>
        <v>0.18805863425098321</v>
      </c>
      <c r="Q3" s="95">
        <f>VLOOKUP(A3,'BSE ALL CAP'!$B$4:$Y$1038,16,)</f>
        <v>0.13457218705329793</v>
      </c>
      <c r="R3" s="95">
        <f>VLOOKUP(A3,'BSE ALL CAP'!$B$4:$Y$1038,17,)</f>
        <v>5.3486447197685277E-2</v>
      </c>
      <c r="S3" s="95">
        <f>VLOOKUP(A3,'BSE ALL CAP'!$B$4:$Y$1038,18,)</f>
        <v>0.20196280991735538</v>
      </c>
      <c r="T3" s="95">
        <f>VLOOKUP(A3,'BSE ALL CAP'!$B$4:$Y$1038,19,)</f>
        <v>0.14886164623467601</v>
      </c>
      <c r="U3" s="95">
        <f>VLOOKUP(A3,'BSE ALL CAP'!$B$4:$Y$1038,20,)</f>
        <v>5.3101163682679364E-2</v>
      </c>
      <c r="V3" s="95">
        <f>VLOOKUP(A3,'BSE ALL CAP'!$B$4:$Y$1038,21,)</f>
        <v>0.14233204002450472</v>
      </c>
      <c r="W3" s="95">
        <f>VLOOKUP(A3,'BSE ALL CAP'!$B$4:$Y$1038,22,)</f>
        <v>0.59635811836115327</v>
      </c>
      <c r="X3" s="95">
        <f>VLOOKUP(A3,'BSE ALL CAP'!$B$4:$Y$1038,23,)</f>
        <v>0.13018096906012833</v>
      </c>
      <c r="Y3" s="95">
        <f>VLOOKUP(A3,'BSE ALL CAP'!$B$4:$Y$1038,24,)</f>
        <v>0.53333333333333344</v>
      </c>
    </row>
    <row r="4" spans="1:25">
      <c r="A4" s="336">
        <v>532259</v>
      </c>
      <c r="B4" s="336" t="s">
        <v>2857</v>
      </c>
      <c r="C4" s="101" t="str">
        <f>VLOOKUP(A4,'BSE ALL CAP'!$B$4:$Y$1038,2,)</f>
        <v>Industrials</v>
      </c>
      <c r="D4" s="101" t="str">
        <f>VLOOKUP(A4,'BSE ALL CAP'!$B$4:$Y$1038,3,)</f>
        <v>Other Electrical Equipment</v>
      </c>
      <c r="E4" s="101">
        <f ca="1">IFERROR(__xludf.DUMMYFUNCTION("GOOGLEFINANCE(""BOM:""&amp;A4,""PRICE"")"),9973.15)</f>
        <v>9973.15</v>
      </c>
      <c r="F4" s="112">
        <f ca="1">IFERROR(__xludf.DUMMYFUNCTION("GOOGLEFINANCE(""BOM:""&amp;A4,""MARKETCAP"")/10000000"),40065.8808095)</f>
        <v>40065.880809499999</v>
      </c>
      <c r="G4" s="95">
        <f t="shared" ca="1" si="0"/>
        <v>0.15189726055645988</v>
      </c>
      <c r="H4" s="101">
        <f>VLOOKUP(A4,'BSE ALL CAP'!$B$4:$Y$1038,7,)</f>
        <v>16299</v>
      </c>
      <c r="I4" s="101">
        <f>VLOOKUP(A4,'BSE ALL CAP'!$B$4:$Y$1038,8,)</f>
        <v>13371</v>
      </c>
      <c r="J4" s="101">
        <f>VLOOKUP(A4,'BSE ALL CAP'!$B$4:$Y$1038,9,)</f>
        <v>724</v>
      </c>
      <c r="K4" s="101">
        <f>VLOOKUP(A4,'BSE ALL CAP'!$B$4:$Y$1038,10,)</f>
        <v>571</v>
      </c>
      <c r="L4" s="101">
        <f>VLOOKUP(A4,'BSE ALL CAP'!$B$4:$Y$1038,11,)</f>
        <v>5480</v>
      </c>
      <c r="M4" s="101">
        <f>VLOOKUP(A4,'BSE ALL CAP'!$B$4:$Y$1038,12,)</f>
        <v>4716</v>
      </c>
      <c r="N4" s="101">
        <f>VLOOKUP(A4,'BSE ALL CAP'!$B$4:$Y$1038,13,)</f>
        <v>209</v>
      </c>
      <c r="O4" s="101">
        <f>VLOOKUP(A4,'BSE ALL CAP'!$B$4:$Y$1038,14,)</f>
        <v>175</v>
      </c>
      <c r="P4" s="95">
        <f>VLOOKUP(A4,'BSE ALL CAP'!$B$4:$Y$1038,15,)</f>
        <v>4.4419903061537515E-2</v>
      </c>
      <c r="Q4" s="95">
        <f>VLOOKUP(A4,'BSE ALL CAP'!$B$4:$Y$1038,16,)</f>
        <v>4.2704360182484483E-2</v>
      </c>
      <c r="R4" s="95">
        <f>VLOOKUP(A4,'BSE ALL CAP'!$B$4:$Y$1038,17,)</f>
        <v>1.7155428790530322E-3</v>
      </c>
      <c r="S4" s="95">
        <f>VLOOKUP(A4,'BSE ALL CAP'!$B$4:$Y$1038,18,)</f>
        <v>3.8138686131386865E-2</v>
      </c>
      <c r="T4" s="95">
        <f>VLOOKUP(A4,'BSE ALL CAP'!$B$4:$Y$1038,19,)</f>
        <v>3.7107718405428328E-2</v>
      </c>
      <c r="U4" s="95">
        <f>VLOOKUP(A4,'BSE ALL CAP'!$B$4:$Y$1038,20,)</f>
        <v>1.030967725958537E-3</v>
      </c>
      <c r="V4" s="95">
        <f>VLOOKUP(A4,'BSE ALL CAP'!$B$4:$Y$1038,21,)</f>
        <v>0.21898137760825676</v>
      </c>
      <c r="W4" s="95">
        <f>VLOOKUP(A4,'BSE ALL CAP'!$B$4:$Y$1038,22,)</f>
        <v>0.26795096322241685</v>
      </c>
      <c r="X4" s="95">
        <f>VLOOKUP(A4,'BSE ALL CAP'!$B$4:$Y$1038,23,)</f>
        <v>0.16200169635284145</v>
      </c>
      <c r="Y4" s="95">
        <f>VLOOKUP(A4,'BSE ALL CAP'!$B$4:$Y$1038,24,)</f>
        <v>0.19428571428571439</v>
      </c>
    </row>
    <row r="5" spans="1:25">
      <c r="A5" s="336">
        <v>544608</v>
      </c>
      <c r="B5" s="336" t="s">
        <v>2858</v>
      </c>
      <c r="C5" s="101" t="e">
        <f>VLOOKUP(A5,'BSE ALL CAP'!$B$4:$Y$1038,2,)</f>
        <v>#N/A</v>
      </c>
      <c r="D5" s="101" t="e">
        <f>VLOOKUP(A5,'BSE ALL CAP'!$B$4:$Y$1038,3,)</f>
        <v>#N/A</v>
      </c>
      <c r="E5" s="101">
        <f ca="1">IFERROR(__xludf.DUMMYFUNCTION("GOOGLEFINANCE(""BOM:""&amp;A5,""PRICE"")"),220.55)</f>
        <v>220.55</v>
      </c>
      <c r="F5" s="112">
        <f ca="1">IFERROR(__xludf.DUMMYFUNCTION("GOOGLEFINANCE(""BOM:""&amp;A5,""MARKETCAP"")/10000000"),15279.5987159)</f>
        <v>15279.5987159</v>
      </c>
      <c r="G5" s="95">
        <f t="shared" ca="1" si="0"/>
        <v>5.7927821389537448E-2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>
      <c r="A6" s="336">
        <v>534618</v>
      </c>
      <c r="B6" s="336" t="s">
        <v>2859</v>
      </c>
      <c r="C6" s="101" t="str">
        <f>VLOOKUP(A6,'BSE ALL CAP'!$B$4:$Y$1038,2,)</f>
        <v>Industrials</v>
      </c>
      <c r="D6" s="101" t="str">
        <f>VLOOKUP(A6,'BSE ALL CAP'!$B$4:$Y$1038,3,)</f>
        <v>Other Electrical Equipment</v>
      </c>
      <c r="E6" s="101">
        <f ca="1">IFERROR(__xludf.DUMMYFUNCTION("GOOGLEFINANCE(""BOM:""&amp;A6,""PRICE"")"),863.25)</f>
        <v>863.25</v>
      </c>
      <c r="F6" s="112">
        <f ca="1">IFERROR(__xludf.DUMMYFUNCTION("GOOGLEFINANCE(""BOM:""&amp;A6,""MARKETCAP"")/10000000"),9003.4684697)</f>
        <v>9003.4684696999993</v>
      </c>
      <c r="G6" s="95">
        <f t="shared" ca="1" si="0"/>
        <v>3.413383578302915E-2</v>
      </c>
      <c r="H6" s="101">
        <f>VLOOKUP(A6,'BSE ALL CAP'!$B$4:$Y$1038,7,)</f>
        <v>2229</v>
      </c>
      <c r="I6" s="101">
        <f>VLOOKUP(A6,'BSE ALL CAP'!$B$4:$Y$1038,8,)</f>
        <v>1121</v>
      </c>
      <c r="J6" s="101">
        <f>VLOOKUP(A6,'BSE ALL CAP'!$B$4:$Y$1038,9,)</f>
        <v>322</v>
      </c>
      <c r="K6" s="101">
        <f>VLOOKUP(A6,'BSE ALL CAP'!$B$4:$Y$1038,10,)</f>
        <v>135</v>
      </c>
      <c r="L6" s="101">
        <f>VLOOKUP(A6,'BSE ALL CAP'!$B$4:$Y$1038,11,)</f>
        <v>851</v>
      </c>
      <c r="M6" s="101">
        <f>VLOOKUP(A6,'BSE ALL CAP'!$B$4:$Y$1038,12,)</f>
        <v>360</v>
      </c>
      <c r="N6" s="101">
        <f>VLOOKUP(A6,'BSE ALL CAP'!$B$4:$Y$1038,13,)</f>
        <v>120</v>
      </c>
      <c r="O6" s="101">
        <f>VLOOKUP(A6,'BSE ALL CAP'!$B$4:$Y$1038,14,)</f>
        <v>53</v>
      </c>
      <c r="P6" s="95">
        <f>VLOOKUP(A6,'BSE ALL CAP'!$B$4:$Y$1038,15,)</f>
        <v>0.14445939883355766</v>
      </c>
      <c r="Q6" s="95">
        <f>VLOOKUP(A6,'BSE ALL CAP'!$B$4:$Y$1038,16,)</f>
        <v>0.12042818911685994</v>
      </c>
      <c r="R6" s="95">
        <f>VLOOKUP(A6,'BSE ALL CAP'!$B$4:$Y$1038,17,)</f>
        <v>2.4031209716697713E-2</v>
      </c>
      <c r="S6" s="95">
        <f>VLOOKUP(A6,'BSE ALL CAP'!$B$4:$Y$1038,18,)</f>
        <v>0.14101057579318449</v>
      </c>
      <c r="T6" s="95">
        <f>VLOOKUP(A6,'BSE ALL CAP'!$B$4:$Y$1038,19,)</f>
        <v>0.14722222222222223</v>
      </c>
      <c r="U6" s="95">
        <f>VLOOKUP(A6,'BSE ALL CAP'!$B$4:$Y$1038,20,)</f>
        <v>-6.2116464290377371E-3</v>
      </c>
      <c r="V6" s="95">
        <f>VLOOKUP(A6,'BSE ALL CAP'!$B$4:$Y$1038,21,)</f>
        <v>0.9884032114183765</v>
      </c>
      <c r="W6" s="95">
        <f>VLOOKUP(A6,'BSE ALL CAP'!$B$4:$Y$1038,22,)</f>
        <v>1.3851851851851853</v>
      </c>
      <c r="X6" s="95">
        <f>VLOOKUP(A6,'BSE ALL CAP'!$B$4:$Y$1038,23,)</f>
        <v>1.3638888888888889</v>
      </c>
      <c r="Y6" s="95">
        <f>VLOOKUP(A6,'BSE ALL CAP'!$B$4:$Y$1038,24,)</f>
        <v>1.2641509433962264</v>
      </c>
    </row>
    <row r="7" spans="1:25">
      <c r="A7" s="336">
        <v>530343</v>
      </c>
      <c r="B7" s="336" t="s">
        <v>2860</v>
      </c>
      <c r="C7" s="101" t="str">
        <f>VLOOKUP(A7,'BSE ALL CAP'!$B$4:$Y$1038,2,)</f>
        <v>Industrials</v>
      </c>
      <c r="D7" s="101" t="str">
        <f>VLOOKUP(A7,'BSE ALL CAP'!$B$4:$Y$1038,3,)</f>
        <v>Other Electrical Equipment</v>
      </c>
      <c r="E7" s="101">
        <f ca="1">IFERROR(__xludf.DUMMYFUNCTION("GOOGLEFINANCE(""BOM:""&amp;A7,""PRICE"")"),236.35)</f>
        <v>236.35</v>
      </c>
      <c r="F7" s="112">
        <f ca="1">IFERROR(__xludf.DUMMYFUNCTION("GOOGLEFINANCE(""BOM:""&amp;A7,""MARKETCAP"")/10000000"),7184.1007998)</f>
        <v>7184.1007997999995</v>
      </c>
      <c r="G7" s="95">
        <f t="shared" ca="1" si="0"/>
        <v>2.7236272084959327E-2</v>
      </c>
      <c r="H7" s="101">
        <f>VLOOKUP(A7,'BSE ALL CAP'!$B$4:$Y$1038,7,)</f>
        <v>3213</v>
      </c>
      <c r="I7" s="101">
        <f>VLOOKUP(A7,'BSE ALL CAP'!$B$4:$Y$1038,8,)</f>
        <v>1505</v>
      </c>
      <c r="J7" s="101">
        <f>VLOOKUP(A7,'BSE ALL CAP'!$B$4:$Y$1038,9,)</f>
        <v>421</v>
      </c>
      <c r="K7" s="101">
        <f>VLOOKUP(A7,'BSE ALL CAP'!$B$4:$Y$1038,10,)</f>
        <v>188</v>
      </c>
      <c r="L7" s="101">
        <f>VLOOKUP(A7,'BSE ALL CAP'!$B$4:$Y$1038,11,)</f>
        <v>1122</v>
      </c>
      <c r="M7" s="101">
        <f>VLOOKUP(A7,'BSE ALL CAP'!$B$4:$Y$1038,12,)</f>
        <v>604</v>
      </c>
      <c r="N7" s="101">
        <f>VLOOKUP(A7,'BSE ALL CAP'!$B$4:$Y$1038,13,)</f>
        <v>140</v>
      </c>
      <c r="O7" s="101">
        <f>VLOOKUP(A7,'BSE ALL CAP'!$B$4:$Y$1038,14,)</f>
        <v>57</v>
      </c>
      <c r="P7" s="95">
        <f>VLOOKUP(A7,'BSE ALL CAP'!$B$4:$Y$1038,15,)</f>
        <v>0.13103018985371925</v>
      </c>
      <c r="Q7" s="95">
        <f>VLOOKUP(A7,'BSE ALL CAP'!$B$4:$Y$1038,16,)</f>
        <v>0.12491694352159469</v>
      </c>
      <c r="R7" s="95">
        <f>VLOOKUP(A7,'BSE ALL CAP'!$B$4:$Y$1038,17,)</f>
        <v>6.1132463321245667E-3</v>
      </c>
      <c r="S7" s="95">
        <f>VLOOKUP(A7,'BSE ALL CAP'!$B$4:$Y$1038,18,)</f>
        <v>0.12477718360071301</v>
      </c>
      <c r="T7" s="95">
        <f>VLOOKUP(A7,'BSE ALL CAP'!$B$4:$Y$1038,19,)</f>
        <v>9.4370860927152314E-2</v>
      </c>
      <c r="U7" s="95">
        <f>VLOOKUP(A7,'BSE ALL CAP'!$B$4:$Y$1038,20,)</f>
        <v>3.0406322673560693E-2</v>
      </c>
      <c r="V7" s="95">
        <f>VLOOKUP(A7,'BSE ALL CAP'!$B$4:$Y$1038,21,)</f>
        <v>1.1348837209302327</v>
      </c>
      <c r="W7" s="95">
        <f>VLOOKUP(A7,'BSE ALL CAP'!$B$4:$Y$1038,22,)</f>
        <v>1.2393617021276597</v>
      </c>
      <c r="X7" s="95">
        <f>VLOOKUP(A7,'BSE ALL CAP'!$B$4:$Y$1038,23,)</f>
        <v>0.85761589403973515</v>
      </c>
      <c r="Y7" s="95">
        <f>VLOOKUP(A7,'BSE ALL CAP'!$B$4:$Y$1038,24,)</f>
        <v>1.4561403508771931</v>
      </c>
    </row>
    <row r="8" spans="1:25">
      <c r="A8" s="336">
        <v>522163</v>
      </c>
      <c r="B8" s="336" t="s">
        <v>2861</v>
      </c>
      <c r="C8" s="101" t="str">
        <f>VLOOKUP(A8,'BSE ALL CAP'!$B$4:$Y$1038,2,)</f>
        <v>Industrials</v>
      </c>
      <c r="D8" s="101" t="str">
        <f>VLOOKUP(A8,'BSE ALL CAP'!$B$4:$Y$1038,3,)</f>
        <v>Other Electrical Equipment</v>
      </c>
      <c r="E8" s="101">
        <f ca="1">IFERROR(__xludf.DUMMYFUNCTION("GOOGLEFINANCE(""BOM:""&amp;A8,""PRICE"")"),127.55)</f>
        <v>127.55</v>
      </c>
      <c r="F8" s="112">
        <f ca="1">IFERROR(__xludf.DUMMYFUNCTION("GOOGLEFINANCE(""BOM:""&amp;A8,""MARKETCAP"")/10000000"),6718.88025)</f>
        <v>6718.8802500000002</v>
      </c>
      <c r="G8" s="95">
        <f t="shared" ca="1" si="0"/>
        <v>2.5472533820844225E-2</v>
      </c>
      <c r="H8" s="101">
        <f>VLOOKUP(A8,'BSE ALL CAP'!$B$4:$Y$1038,7,)</f>
        <v>1214</v>
      </c>
      <c r="I8" s="101">
        <f>VLOOKUP(A8,'BSE ALL CAP'!$B$4:$Y$1038,8,)</f>
        <v>781</v>
      </c>
      <c r="J8" s="101">
        <f>VLOOKUP(A8,'BSE ALL CAP'!$B$4:$Y$1038,9,)</f>
        <v>97</v>
      </c>
      <c r="K8" s="101">
        <f>VLOOKUP(A8,'BSE ALL CAP'!$B$4:$Y$1038,10,)</f>
        <v>26</v>
      </c>
      <c r="L8" s="101">
        <f>VLOOKUP(A8,'BSE ALL CAP'!$B$4:$Y$1038,11,)</f>
        <v>474</v>
      </c>
      <c r="M8" s="101">
        <f>VLOOKUP(A8,'BSE ALL CAP'!$B$4:$Y$1038,12,)</f>
        <v>307</v>
      </c>
      <c r="N8" s="101">
        <f>VLOOKUP(A8,'BSE ALL CAP'!$B$4:$Y$1038,13,)</f>
        <v>49</v>
      </c>
      <c r="O8" s="101">
        <f>VLOOKUP(A8,'BSE ALL CAP'!$B$4:$Y$1038,14,)</f>
        <v>6</v>
      </c>
      <c r="P8" s="95">
        <f>VLOOKUP(A8,'BSE ALL CAP'!$B$4:$Y$1038,15,)</f>
        <v>7.9901153212520587E-2</v>
      </c>
      <c r="Q8" s="95">
        <f>VLOOKUP(A8,'BSE ALL CAP'!$B$4:$Y$1038,16,)</f>
        <v>3.3290653008962869E-2</v>
      </c>
      <c r="R8" s="95">
        <f>VLOOKUP(A8,'BSE ALL CAP'!$B$4:$Y$1038,17,)</f>
        <v>4.6610500203557718E-2</v>
      </c>
      <c r="S8" s="95">
        <f>VLOOKUP(A8,'BSE ALL CAP'!$B$4:$Y$1038,18,)</f>
        <v>0.10337552742616034</v>
      </c>
      <c r="T8" s="95">
        <f>VLOOKUP(A8,'BSE ALL CAP'!$B$4:$Y$1038,19,)</f>
        <v>1.9543973941368076E-2</v>
      </c>
      <c r="U8" s="95">
        <f>VLOOKUP(A8,'BSE ALL CAP'!$B$4:$Y$1038,20,)</f>
        <v>8.3831553484792265E-2</v>
      </c>
      <c r="V8" s="95">
        <f>VLOOKUP(A8,'BSE ALL CAP'!$B$4:$Y$1038,21,)</f>
        <v>0.5544174135723432</v>
      </c>
      <c r="W8" s="95">
        <f>VLOOKUP(A8,'BSE ALL CAP'!$B$4:$Y$1038,22,)</f>
        <v>2.7307692307692308</v>
      </c>
      <c r="X8" s="95">
        <f>VLOOKUP(A8,'BSE ALL CAP'!$B$4:$Y$1038,23,)</f>
        <v>0.5439739413680782</v>
      </c>
      <c r="Y8" s="95">
        <f>VLOOKUP(A8,'BSE ALL CAP'!$B$4:$Y$1038,24,)</f>
        <v>7.1666666666666661</v>
      </c>
    </row>
    <row r="9" spans="1:25">
      <c r="A9" s="336">
        <v>544488</v>
      </c>
      <c r="B9" s="336" t="s">
        <v>2862</v>
      </c>
      <c r="C9" s="101" t="e">
        <f>VLOOKUP(A9,'BSE ALL CAP'!$B$4:$Y$1038,2,)</f>
        <v>#N/A</v>
      </c>
      <c r="D9" s="101" t="e">
        <f>VLOOKUP(A9,'BSE ALL CAP'!$B$4:$Y$1038,3,)</f>
        <v>#N/A</v>
      </c>
      <c r="E9" s="101">
        <f ca="1">IFERROR(__xludf.DUMMYFUNCTION("GOOGLEFINANCE(""BOM:""&amp;A9,""PRICE"")"),188.6)</f>
        <v>188.6</v>
      </c>
      <c r="F9" s="112">
        <f ca="1">IFERROR(__xludf.DUMMYFUNCTION("GOOGLEFINANCE(""BOM:""&amp;A9,""MARKETCAP"")/10000000"),6836.8067453)</f>
        <v>6836.8067453000003</v>
      </c>
      <c r="G9" s="95">
        <f t="shared" ca="1" si="0"/>
        <v>2.5919615258246372E-2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>
      <c r="A10" s="336">
        <v>543896</v>
      </c>
      <c r="B10" s="336" t="s">
        <v>2863</v>
      </c>
      <c r="C10" s="101" t="str">
        <f>VLOOKUP(A10,'BSE ALL CAP'!$B$4:$Y$1038,2,)</f>
        <v>Industrials</v>
      </c>
      <c r="D10" s="101" t="str">
        <f>VLOOKUP(A10,'BSE ALL CAP'!$B$4:$Y$1038,3,)</f>
        <v>Other Electrical Equipment</v>
      </c>
      <c r="E10" s="101">
        <f ca="1">IFERROR(__xludf.DUMMYFUNCTION("GOOGLEFINANCE(""BOM:""&amp;A10,""PRICE"")"),959.4)</f>
        <v>959.4</v>
      </c>
      <c r="F10" s="112">
        <f ca="1">IFERROR(__xludf.DUMMYFUNCTION("GOOGLEFINANCE(""BOM:""&amp;A10,""MARKETCAP"")/10000000"),6406.5468012)</f>
        <v>6406.5468012000001</v>
      </c>
      <c r="G10" s="95">
        <f t="shared" ca="1" si="0"/>
        <v>2.4288419200266056E-2</v>
      </c>
      <c r="H10" s="101">
        <f>VLOOKUP(A10,'BSE ALL CAP'!$B$4:$Y$1038,7,)</f>
        <v>1123</v>
      </c>
      <c r="I10" s="101">
        <f>VLOOKUP(A10,'BSE ALL CAP'!$B$4:$Y$1038,8,)</f>
        <v>755</v>
      </c>
      <c r="J10" s="101">
        <f>VLOOKUP(A10,'BSE ALL CAP'!$B$4:$Y$1038,9,)</f>
        <v>71</v>
      </c>
      <c r="K10" s="101">
        <f>VLOOKUP(A10,'BSE ALL CAP'!$B$4:$Y$1038,10,)</f>
        <v>39</v>
      </c>
      <c r="L10" s="101">
        <f>VLOOKUP(A10,'BSE ALL CAP'!$B$4:$Y$1038,11,)</f>
        <v>417</v>
      </c>
      <c r="M10" s="101">
        <f>VLOOKUP(A10,'BSE ALL CAP'!$B$4:$Y$1038,12,)</f>
        <v>280</v>
      </c>
      <c r="N10" s="101">
        <f>VLOOKUP(A10,'BSE ALL CAP'!$B$4:$Y$1038,13,)</f>
        <v>32</v>
      </c>
      <c r="O10" s="101">
        <f>VLOOKUP(A10,'BSE ALL CAP'!$B$4:$Y$1038,14,)</f>
        <v>23</v>
      </c>
      <c r="P10" s="95">
        <f>VLOOKUP(A10,'BSE ALL CAP'!$B$4:$Y$1038,15,)</f>
        <v>6.3223508459483532E-2</v>
      </c>
      <c r="Q10" s="95">
        <f>VLOOKUP(A10,'BSE ALL CAP'!$B$4:$Y$1038,16,)</f>
        <v>5.1655629139072845E-2</v>
      </c>
      <c r="R10" s="95">
        <f>VLOOKUP(A10,'BSE ALL CAP'!$B$4:$Y$1038,17,)</f>
        <v>1.1567879320410687E-2</v>
      </c>
      <c r="S10" s="95">
        <f>VLOOKUP(A10,'BSE ALL CAP'!$B$4:$Y$1038,18,)</f>
        <v>7.6738609112709827E-2</v>
      </c>
      <c r="T10" s="95">
        <f>VLOOKUP(A10,'BSE ALL CAP'!$B$4:$Y$1038,19,)</f>
        <v>8.2142857142857142E-2</v>
      </c>
      <c r="U10" s="95">
        <f>VLOOKUP(A10,'BSE ALL CAP'!$B$4:$Y$1038,20,)</f>
        <v>-5.4042480301473156E-3</v>
      </c>
      <c r="V10" s="95">
        <f>VLOOKUP(A10,'BSE ALL CAP'!$B$4:$Y$1038,21,)</f>
        <v>0.48741721854304632</v>
      </c>
      <c r="W10" s="95">
        <f>VLOOKUP(A10,'BSE ALL CAP'!$B$4:$Y$1038,22,)</f>
        <v>0.82051282051282048</v>
      </c>
      <c r="X10" s="95">
        <f>VLOOKUP(A10,'BSE ALL CAP'!$B$4:$Y$1038,23,)</f>
        <v>0.48928571428571432</v>
      </c>
      <c r="Y10" s="95">
        <f>VLOOKUP(A10,'BSE ALL CAP'!$B$4:$Y$1038,24,)</f>
        <v>0.39130434782608692</v>
      </c>
    </row>
    <row r="11" spans="1:25">
      <c r="A11" s="336">
        <v>544613</v>
      </c>
      <c r="B11" s="336" t="s">
        <v>2864</v>
      </c>
      <c r="C11" s="101" t="e">
        <f>VLOOKUP(A11,'BSE ALL CAP'!$B$4:$Y$1038,2,)</f>
        <v>#N/A</v>
      </c>
      <c r="D11" s="101" t="e">
        <f>VLOOKUP(A11,'BSE ALL CAP'!$B$4:$Y$1038,3,)</f>
        <v>#N/A</v>
      </c>
      <c r="E11" s="101">
        <f ca="1">IFERROR(__xludf.DUMMYFUNCTION("GOOGLEFINANCE(""BOM:""&amp;A11,""PRICE"")"),211.95)</f>
        <v>211.95</v>
      </c>
      <c r="F11" s="112">
        <f ca="1">IFERROR(__xludf.DUMMYFUNCTION("GOOGLEFINANCE(""BOM:""&amp;A11,""MARKETCAP"")/10000000"),6476.3008011)</f>
        <v>6476.3008011000002</v>
      </c>
      <c r="G11" s="95">
        <f t="shared" ca="1" si="0"/>
        <v>2.4552869682411785E-2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>
      <c r="A12" s="336">
        <v>544526</v>
      </c>
      <c r="B12" s="336" t="s">
        <v>2865</v>
      </c>
      <c r="C12" s="101" t="e">
        <f>VLOOKUP(A12,'BSE ALL CAP'!$B$4:$Y$1038,2,)</f>
        <v>#N/A</v>
      </c>
      <c r="D12" s="101" t="e">
        <f>VLOOKUP(A12,'BSE ALL CAP'!$B$4:$Y$1038,3,)</f>
        <v>#N/A</v>
      </c>
      <c r="E12" s="101">
        <f ca="1">IFERROR(__xludf.DUMMYFUNCTION("GOOGLEFINANCE(""BOM:""&amp;A12,""PRICE"")"),411.9)</f>
        <v>411.9</v>
      </c>
      <c r="F12" s="112">
        <f ca="1">IFERROR(__xludf.DUMMYFUNCTION("GOOGLEFINANCE(""BOM:""&amp;A12,""MARKETCAP"")/10000000"),5214.482625)</f>
        <v>5214.4826249999996</v>
      </c>
      <c r="G12" s="95">
        <f t="shared" ca="1" si="0"/>
        <v>1.9769080573138219E-2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>
      <c r="A13" s="336">
        <v>517498</v>
      </c>
      <c r="B13" s="336" t="s">
        <v>2866</v>
      </c>
      <c r="C13" s="101" t="str">
        <f>VLOOKUP(A13,'BSE ALL CAP'!$B$4:$Y$1038,2,)</f>
        <v>Industrials</v>
      </c>
      <c r="D13" s="101" t="str">
        <f>VLOOKUP(A13,'BSE ALL CAP'!$B$4:$Y$1038,3,)</f>
        <v>Other Electrical Equipment</v>
      </c>
      <c r="E13" s="101">
        <f ca="1">IFERROR(__xludf.DUMMYFUNCTION("GOOGLEFINANCE(""BOM:""&amp;A13,""PRICE"")"),76.08)</f>
        <v>76.08</v>
      </c>
      <c r="F13" s="112">
        <f ca="1">IFERROR(__xludf.DUMMYFUNCTION("GOOGLEFINANCE(""BOM:""&amp;A13,""MARKETCAP"")/10000000"),3304.4176638)</f>
        <v>3304.4176637999999</v>
      </c>
      <c r="G13" s="95">
        <f t="shared" ca="1" si="0"/>
        <v>1.2527666451465714E-2</v>
      </c>
      <c r="H13" s="101">
        <f>VLOOKUP(A13,'BSE ALL CAP'!$B$4:$Y$1038,7,)</f>
        <v>648</v>
      </c>
      <c r="I13" s="101">
        <f>VLOOKUP(A13,'BSE ALL CAP'!$B$4:$Y$1038,8,)</f>
        <v>402</v>
      </c>
      <c r="J13" s="101">
        <f>VLOOKUP(A13,'BSE ALL CAP'!$B$4:$Y$1038,9,)</f>
        <v>178</v>
      </c>
      <c r="K13" s="101">
        <f>VLOOKUP(A13,'BSE ALL CAP'!$B$4:$Y$1038,10,)</f>
        <v>106</v>
      </c>
      <c r="L13" s="101">
        <f>VLOOKUP(A13,'BSE ALL CAP'!$B$4:$Y$1038,11,)</f>
        <v>261</v>
      </c>
      <c r="M13" s="101">
        <f>VLOOKUP(A13,'BSE ALL CAP'!$B$4:$Y$1038,12,)</f>
        <v>147</v>
      </c>
      <c r="N13" s="101">
        <f>VLOOKUP(A13,'BSE ALL CAP'!$B$4:$Y$1038,13,)</f>
        <v>65</v>
      </c>
      <c r="O13" s="101">
        <f>VLOOKUP(A13,'BSE ALL CAP'!$B$4:$Y$1038,14,)</f>
        <v>42</v>
      </c>
      <c r="P13" s="95">
        <f>VLOOKUP(A13,'BSE ALL CAP'!$B$4:$Y$1038,15,)</f>
        <v>0.27469135802469136</v>
      </c>
      <c r="Q13" s="95">
        <f>VLOOKUP(A13,'BSE ALL CAP'!$B$4:$Y$1038,16,)</f>
        <v>0.26368159203980102</v>
      </c>
      <c r="R13" s="95">
        <f>VLOOKUP(A13,'BSE ALL CAP'!$B$4:$Y$1038,17,)</f>
        <v>1.1009765984890341E-2</v>
      </c>
      <c r="S13" s="95">
        <f>VLOOKUP(A13,'BSE ALL CAP'!$B$4:$Y$1038,18,)</f>
        <v>0.24904214559386972</v>
      </c>
      <c r="T13" s="95">
        <f>VLOOKUP(A13,'BSE ALL CAP'!$B$4:$Y$1038,19,)</f>
        <v>0.2857142857142857</v>
      </c>
      <c r="U13" s="95">
        <f>VLOOKUP(A13,'BSE ALL CAP'!$B$4:$Y$1038,20,)</f>
        <v>-3.6672140120415975E-2</v>
      </c>
      <c r="V13" s="95">
        <f>VLOOKUP(A13,'BSE ALL CAP'!$B$4:$Y$1038,21,)</f>
        <v>0.61194029850746268</v>
      </c>
      <c r="W13" s="95">
        <f>VLOOKUP(A13,'BSE ALL CAP'!$B$4:$Y$1038,22,)</f>
        <v>0.679245283018868</v>
      </c>
      <c r="X13" s="95">
        <f>VLOOKUP(A13,'BSE ALL CAP'!$B$4:$Y$1038,23,)</f>
        <v>0.77551020408163263</v>
      </c>
      <c r="Y13" s="95">
        <f>VLOOKUP(A13,'BSE ALL CAP'!$B$4:$Y$1038,24,)</f>
        <v>0.54761904761904767</v>
      </c>
    </row>
    <row r="14" spans="1:25">
      <c r="A14" s="336">
        <v>522281</v>
      </c>
      <c r="B14" s="336" t="s">
        <v>2867</v>
      </c>
      <c r="C14" s="101" t="str">
        <f>VLOOKUP(A14,'BSE ALL CAP'!$B$4:$Y$1038,2,)</f>
        <v>Industrials</v>
      </c>
      <c r="D14" s="101" t="str">
        <f>VLOOKUP(A14,'BSE ALL CAP'!$B$4:$Y$1038,3,)</f>
        <v>Other Electrical Equipment</v>
      </c>
      <c r="E14" s="101">
        <f ca="1">IFERROR(__xludf.DUMMYFUNCTION("GOOGLEFINANCE(""BOM:""&amp;A14,""PRICE"")"),304)</f>
        <v>304</v>
      </c>
      <c r="F14" s="112">
        <f ca="1">IFERROR(__xludf.DUMMYFUNCTION("GOOGLEFINANCE(""BOM:""&amp;A14,""MARKETCAP"")/10000000"),2826.143397)</f>
        <v>2826.1433969999998</v>
      </c>
      <c r="G14" s="95">
        <f t="shared" ca="1" si="0"/>
        <v>1.0714439100568593E-2</v>
      </c>
      <c r="H14" s="101">
        <f>VLOOKUP(A14,'BSE ALL CAP'!$B$4:$Y$1038,7,)</f>
        <v>3423</v>
      </c>
      <c r="I14" s="101">
        <f>VLOOKUP(A14,'BSE ALL CAP'!$B$4:$Y$1038,8,)</f>
        <v>2720</v>
      </c>
      <c r="J14" s="101">
        <f>VLOOKUP(A14,'BSE ALL CAP'!$B$4:$Y$1038,9,)</f>
        <v>69</v>
      </c>
      <c r="K14" s="101">
        <f>VLOOKUP(A14,'BSE ALL CAP'!$B$4:$Y$1038,10,)</f>
        <v>51</v>
      </c>
      <c r="L14" s="101">
        <f>VLOOKUP(A14,'BSE ALL CAP'!$B$4:$Y$1038,11,)</f>
        <v>1277</v>
      </c>
      <c r="M14" s="101">
        <f>VLOOKUP(A14,'BSE ALL CAP'!$B$4:$Y$1038,12,)</f>
        <v>888</v>
      </c>
      <c r="N14" s="101">
        <f>VLOOKUP(A14,'BSE ALL CAP'!$B$4:$Y$1038,13,)</f>
        <v>31</v>
      </c>
      <c r="O14" s="101">
        <f>VLOOKUP(A14,'BSE ALL CAP'!$B$4:$Y$1038,14,)</f>
        <v>18</v>
      </c>
      <c r="P14" s="95">
        <f>VLOOKUP(A14,'BSE ALL CAP'!$B$4:$Y$1038,15,)</f>
        <v>2.0157756354075372E-2</v>
      </c>
      <c r="Q14" s="95">
        <f>VLOOKUP(A14,'BSE ALL CAP'!$B$4:$Y$1038,16,)</f>
        <v>1.8749999999999999E-2</v>
      </c>
      <c r="R14" s="95">
        <f>VLOOKUP(A14,'BSE ALL CAP'!$B$4:$Y$1038,17,)</f>
        <v>1.4077563540753728E-3</v>
      </c>
      <c r="S14" s="95">
        <f>VLOOKUP(A14,'BSE ALL CAP'!$B$4:$Y$1038,18,)</f>
        <v>2.4275646045418951E-2</v>
      </c>
      <c r="T14" s="95">
        <f>VLOOKUP(A14,'BSE ALL CAP'!$B$4:$Y$1038,19,)</f>
        <v>2.0270270270270271E-2</v>
      </c>
      <c r="U14" s="95">
        <f>VLOOKUP(A14,'BSE ALL CAP'!$B$4:$Y$1038,20,)</f>
        <v>4.0053757751486799E-3</v>
      </c>
      <c r="V14" s="95">
        <f>VLOOKUP(A14,'BSE ALL CAP'!$B$4:$Y$1038,21,)</f>
        <v>0.25845588235294126</v>
      </c>
      <c r="W14" s="95">
        <f>VLOOKUP(A14,'BSE ALL CAP'!$B$4:$Y$1038,22,)</f>
        <v>0.35294117647058831</v>
      </c>
      <c r="X14" s="95">
        <f>VLOOKUP(A14,'BSE ALL CAP'!$B$4:$Y$1038,23,)</f>
        <v>0.43806306306306309</v>
      </c>
      <c r="Y14" s="95">
        <f>VLOOKUP(A14,'BSE ALL CAP'!$B$4:$Y$1038,24,)</f>
        <v>0.72222222222222232</v>
      </c>
    </row>
    <row r="15" spans="1:25">
      <c r="A15" s="336">
        <v>503960</v>
      </c>
      <c r="B15" s="336" t="s">
        <v>2868</v>
      </c>
      <c r="C15" s="101" t="str">
        <f>VLOOKUP(A15,'BSE ALL CAP'!$B$4:$Y$1038,2,)</f>
        <v>Industrials</v>
      </c>
      <c r="D15" s="101" t="str">
        <f>VLOOKUP(A15,'BSE ALL CAP'!$B$4:$Y$1038,3,)</f>
        <v>Other Electrical Equipment</v>
      </c>
      <c r="E15" s="101">
        <f ca="1">IFERROR(__xludf.DUMMYFUNCTION("GOOGLEFINANCE(""BOM:""&amp;A15,""PRICE"")"),2260)</f>
        <v>2260</v>
      </c>
      <c r="F15" s="112">
        <f ca="1">IFERROR(__xludf.DUMMYFUNCTION("GOOGLEFINANCE(""BOM:""&amp;A15,""MARKETCAP"")/10000000"),2555.1834175)</f>
        <v>2555.1834174999999</v>
      </c>
      <c r="G15" s="95">
        <f t="shared" ca="1" si="0"/>
        <v>9.6871790534931879E-3</v>
      </c>
      <c r="H15" s="101">
        <f>VLOOKUP(A15,'BSE ALL CAP'!$B$4:$Y$1038,7,)</f>
        <v>1507</v>
      </c>
      <c r="I15" s="101">
        <f>VLOOKUP(A15,'BSE ALL CAP'!$B$4:$Y$1038,8,)</f>
        <v>1283</v>
      </c>
      <c r="J15" s="101">
        <f>VLOOKUP(A15,'BSE ALL CAP'!$B$4:$Y$1038,9,)</f>
        <v>81</v>
      </c>
      <c r="K15" s="101">
        <f>VLOOKUP(A15,'BSE ALL CAP'!$B$4:$Y$1038,10,)</f>
        <v>83</v>
      </c>
      <c r="L15" s="101">
        <f>VLOOKUP(A15,'BSE ALL CAP'!$B$4:$Y$1038,11,)</f>
        <v>568</v>
      </c>
      <c r="M15" s="101">
        <f>VLOOKUP(A15,'BSE ALL CAP'!$B$4:$Y$1038,12,)</f>
        <v>514</v>
      </c>
      <c r="N15" s="101">
        <f>VLOOKUP(A15,'BSE ALL CAP'!$B$4:$Y$1038,13,)</f>
        <v>25</v>
      </c>
      <c r="O15" s="101">
        <f>VLOOKUP(A15,'BSE ALL CAP'!$B$4:$Y$1038,14,)</f>
        <v>41</v>
      </c>
      <c r="P15" s="95">
        <f>VLOOKUP(A15,'BSE ALL CAP'!$B$4:$Y$1038,15,)</f>
        <v>5.3749170537491703E-2</v>
      </c>
      <c r="Q15" s="95">
        <f>VLOOKUP(A15,'BSE ALL CAP'!$B$4:$Y$1038,16,)</f>
        <v>6.4692127825409201E-2</v>
      </c>
      <c r="R15" s="95">
        <f>VLOOKUP(A15,'BSE ALL CAP'!$B$4:$Y$1038,17,)</f>
        <v>-1.0942957287917499E-2</v>
      </c>
      <c r="S15" s="95">
        <f>VLOOKUP(A15,'BSE ALL CAP'!$B$4:$Y$1038,18,)</f>
        <v>4.401408450704225E-2</v>
      </c>
      <c r="T15" s="95">
        <f>VLOOKUP(A15,'BSE ALL CAP'!$B$4:$Y$1038,19,)</f>
        <v>7.9766536964980539E-2</v>
      </c>
      <c r="U15" s="95">
        <f>VLOOKUP(A15,'BSE ALL CAP'!$B$4:$Y$1038,20,)</f>
        <v>-3.5752452457938289E-2</v>
      </c>
      <c r="V15" s="95">
        <f>VLOOKUP(A15,'BSE ALL CAP'!$B$4:$Y$1038,21,)</f>
        <v>0.17459080280592354</v>
      </c>
      <c r="W15" s="95">
        <f>VLOOKUP(A15,'BSE ALL CAP'!$B$4:$Y$1038,22,)</f>
        <v>-2.4096385542168641E-2</v>
      </c>
      <c r="X15" s="95">
        <f>VLOOKUP(A15,'BSE ALL CAP'!$B$4:$Y$1038,23,)</f>
        <v>0.10505836575875493</v>
      </c>
      <c r="Y15" s="95">
        <f>VLOOKUP(A15,'BSE ALL CAP'!$B$4:$Y$1038,24,)</f>
        <v>-0.3902439024390244</v>
      </c>
    </row>
    <row r="16" spans="1:25">
      <c r="A16" s="336">
        <v>517467</v>
      </c>
      <c r="B16" s="336" t="s">
        <v>2869</v>
      </c>
      <c r="C16" s="101" t="str">
        <f>VLOOKUP(A16,'BSE ALL CAP'!$B$4:$Y$1038,2,)</f>
        <v>Industrials</v>
      </c>
      <c r="D16" s="101" t="str">
        <f>VLOOKUP(A16,'BSE ALL CAP'!$B$4:$Y$1038,3,)</f>
        <v>Other Electrical Equipment</v>
      </c>
      <c r="E16" s="101">
        <f ca="1">IFERROR(__xludf.DUMMYFUNCTION("GOOGLEFINANCE(""BOM:""&amp;A16,""PRICE"")"),140.45)</f>
        <v>140.44999999999999</v>
      </c>
      <c r="F16" s="112">
        <f ca="1">IFERROR(__xludf.DUMMYFUNCTION("GOOGLEFINANCE(""BOM:""&amp;A16,""MARKETCAP"")/10000000"),2416.8001739)</f>
        <v>2416.8001739000001</v>
      </c>
      <c r="G16" s="95">
        <f t="shared" ca="1" si="0"/>
        <v>9.1625422506808277E-3</v>
      </c>
      <c r="H16" s="101">
        <f>VLOOKUP(A16,'BSE ALL CAP'!$B$4:$Y$1038,7,)</f>
        <v>155</v>
      </c>
      <c r="I16" s="101">
        <f>VLOOKUP(A16,'BSE ALL CAP'!$B$4:$Y$1038,8,)</f>
        <v>117</v>
      </c>
      <c r="J16" s="101">
        <f>VLOOKUP(A16,'BSE ALL CAP'!$B$4:$Y$1038,9,)</f>
        <v>23</v>
      </c>
      <c r="K16" s="101">
        <f>VLOOKUP(A16,'BSE ALL CAP'!$B$4:$Y$1038,10,)</f>
        <v>19</v>
      </c>
      <c r="L16" s="101">
        <f>VLOOKUP(A16,'BSE ALL CAP'!$B$4:$Y$1038,11,)</f>
        <v>45</v>
      </c>
      <c r="M16" s="101">
        <f>VLOOKUP(A16,'BSE ALL CAP'!$B$4:$Y$1038,12,)</f>
        <v>44</v>
      </c>
      <c r="N16" s="101">
        <f>VLOOKUP(A16,'BSE ALL CAP'!$B$4:$Y$1038,13,)</f>
        <v>6</v>
      </c>
      <c r="O16" s="101">
        <f>VLOOKUP(A16,'BSE ALL CAP'!$B$4:$Y$1038,14,)</f>
        <v>6</v>
      </c>
      <c r="P16" s="95">
        <f>VLOOKUP(A16,'BSE ALL CAP'!$B$4:$Y$1038,15,)</f>
        <v>0.14838709677419354</v>
      </c>
      <c r="Q16" s="95">
        <f>VLOOKUP(A16,'BSE ALL CAP'!$B$4:$Y$1038,16,)</f>
        <v>0.1623931623931624</v>
      </c>
      <c r="R16" s="95">
        <f>VLOOKUP(A16,'BSE ALL CAP'!$B$4:$Y$1038,17,)</f>
        <v>-1.400606561896886E-2</v>
      </c>
      <c r="S16" s="95">
        <f>VLOOKUP(A16,'BSE ALL CAP'!$B$4:$Y$1038,18,)</f>
        <v>0.13333333333333333</v>
      </c>
      <c r="T16" s="95">
        <f>VLOOKUP(A16,'BSE ALL CAP'!$B$4:$Y$1038,19,)</f>
        <v>0.13636363636363635</v>
      </c>
      <c r="U16" s="95">
        <f>VLOOKUP(A16,'BSE ALL CAP'!$B$4:$Y$1038,20,)</f>
        <v>-3.0303030303030221E-3</v>
      </c>
      <c r="V16" s="95">
        <f>VLOOKUP(A16,'BSE ALL CAP'!$B$4:$Y$1038,21,)</f>
        <v>0.32478632478632474</v>
      </c>
      <c r="W16" s="95">
        <f>VLOOKUP(A16,'BSE ALL CAP'!$B$4:$Y$1038,22,)</f>
        <v>0.21052631578947367</v>
      </c>
      <c r="X16" s="95">
        <f>VLOOKUP(A16,'BSE ALL CAP'!$B$4:$Y$1038,23,)</f>
        <v>2.2727272727272707E-2</v>
      </c>
      <c r="Y16" s="95">
        <f>VLOOKUP(A16,'BSE ALL CAP'!$B$4:$Y$1038,24,)</f>
        <v>0</v>
      </c>
    </row>
    <row r="17" spans="1:25">
      <c r="A17" s="336">
        <v>504341</v>
      </c>
      <c r="B17" s="336" t="s">
        <v>2870</v>
      </c>
      <c r="C17" s="101" t="str">
        <f>VLOOKUP(A17,'BSE ALL CAP'!$B$4:$Y$1038,2,)</f>
        <v>Industrials</v>
      </c>
      <c r="D17" s="101" t="str">
        <f>VLOOKUP(A17,'BSE ALL CAP'!$B$4:$Y$1038,3,)</f>
        <v>Other Electrical Equipment</v>
      </c>
      <c r="E17" s="101">
        <f ca="1">IFERROR(__xludf.DUMMYFUNCTION("GOOGLEFINANCE(""BOM:""&amp;A17,""PRICE"")"),133.35)</f>
        <v>133.35</v>
      </c>
      <c r="F17" s="112">
        <f ca="1">IFERROR(__xludf.DUMMYFUNCTION("GOOGLEFINANCE(""BOM:""&amp;A17,""MARKETCAP"")/10000000"),2385.4420059)</f>
        <v>2385.4420058999999</v>
      </c>
      <c r="G17" s="95">
        <f t="shared" ca="1" si="0"/>
        <v>9.0436575607892762E-3</v>
      </c>
      <c r="H17" s="101">
        <f>VLOOKUP(A17,'BSE ALL CAP'!$B$4:$Y$1038,7,)</f>
        <v>423</v>
      </c>
      <c r="I17" s="101">
        <f>VLOOKUP(A17,'BSE ALL CAP'!$B$4:$Y$1038,8,)</f>
        <v>97</v>
      </c>
      <c r="J17" s="101">
        <f>VLOOKUP(A17,'BSE ALL CAP'!$B$4:$Y$1038,9,)</f>
        <v>68</v>
      </c>
      <c r="K17" s="101">
        <f>VLOOKUP(A17,'BSE ALL CAP'!$B$4:$Y$1038,10,)</f>
        <v>8</v>
      </c>
      <c r="L17" s="101">
        <f>VLOOKUP(A17,'BSE ALL CAP'!$B$4:$Y$1038,11,)</f>
        <v>131</v>
      </c>
      <c r="M17" s="101">
        <f>VLOOKUP(A17,'BSE ALL CAP'!$B$4:$Y$1038,12,)</f>
        <v>122</v>
      </c>
      <c r="N17" s="101">
        <f>VLOOKUP(A17,'BSE ALL CAP'!$B$4:$Y$1038,13,)</f>
        <v>14</v>
      </c>
      <c r="O17" s="101">
        <f>VLOOKUP(A17,'BSE ALL CAP'!$B$4:$Y$1038,14,)</f>
        <v>30</v>
      </c>
      <c r="P17" s="95">
        <f>VLOOKUP(A17,'BSE ALL CAP'!$B$4:$Y$1038,15,)</f>
        <v>0.16075650118203311</v>
      </c>
      <c r="Q17" s="95">
        <f>VLOOKUP(A17,'BSE ALL CAP'!$B$4:$Y$1038,16,)</f>
        <v>8.247422680412371E-2</v>
      </c>
      <c r="R17" s="95">
        <f>VLOOKUP(A17,'BSE ALL CAP'!$B$4:$Y$1038,17,)</f>
        <v>7.8282274377909397E-2</v>
      </c>
      <c r="S17" s="95">
        <f>VLOOKUP(A17,'BSE ALL CAP'!$B$4:$Y$1038,18,)</f>
        <v>0.10687022900763359</v>
      </c>
      <c r="T17" s="95">
        <f>VLOOKUP(A17,'BSE ALL CAP'!$B$4:$Y$1038,19,)</f>
        <v>0.24590163934426229</v>
      </c>
      <c r="U17" s="95">
        <f>VLOOKUP(A17,'BSE ALL CAP'!$B$4:$Y$1038,20,)</f>
        <v>-0.13903141033662869</v>
      </c>
      <c r="V17" s="95">
        <f>VLOOKUP(A17,'BSE ALL CAP'!$B$4:$Y$1038,21,)</f>
        <v>3.3608247422680408</v>
      </c>
      <c r="W17" s="95">
        <f>VLOOKUP(A17,'BSE ALL CAP'!$B$4:$Y$1038,22,)</f>
        <v>7.5</v>
      </c>
      <c r="X17" s="95">
        <f>VLOOKUP(A17,'BSE ALL CAP'!$B$4:$Y$1038,23,)</f>
        <v>7.3770491803278659E-2</v>
      </c>
      <c r="Y17" s="95">
        <f>VLOOKUP(A17,'BSE ALL CAP'!$B$4:$Y$1038,24,)</f>
        <v>-0.53333333333333333</v>
      </c>
    </row>
    <row r="18" spans="1:25">
      <c r="A18" s="336">
        <v>543230</v>
      </c>
      <c r="B18" s="336" t="s">
        <v>2871</v>
      </c>
      <c r="C18" s="101" t="e">
        <f>VLOOKUP(A18,'BSE ALL CAP'!$B$4:$Y$1038,2,)</f>
        <v>#N/A</v>
      </c>
      <c r="D18" s="101" t="e">
        <f>VLOOKUP(A18,'BSE ALL CAP'!$B$4:$Y$1038,3,)</f>
        <v>#N/A</v>
      </c>
      <c r="E18" s="101">
        <f ca="1">IFERROR(__xludf.DUMMYFUNCTION("GOOGLEFINANCE(""BOM:""&amp;A18,""PRICE"")"),1798.5)</f>
        <v>1798.5</v>
      </c>
      <c r="F18" s="112">
        <f ca="1">IFERROR(__xludf.DUMMYFUNCTION("GOOGLEFINANCE(""BOM:""&amp;A18,""MARKETCAP"")/10000000"),1976.9868)</f>
        <v>1976.9867999999999</v>
      </c>
      <c r="G18" s="95">
        <f t="shared" ca="1" si="0"/>
        <v>7.4951273504781689E-3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>
      <c r="A19" s="336">
        <v>543977</v>
      </c>
      <c r="B19" s="336" t="s">
        <v>2872</v>
      </c>
      <c r="C19" s="101" t="e">
        <f>VLOOKUP(A19,'BSE ALL CAP'!$B$4:$Y$1038,2,)</f>
        <v>#N/A</v>
      </c>
      <c r="D19" s="101" t="e">
        <f>VLOOKUP(A19,'BSE ALL CAP'!$B$4:$Y$1038,3,)</f>
        <v>#N/A</v>
      </c>
      <c r="E19" s="101">
        <f ca="1">IFERROR(__xludf.DUMMYFUNCTION("GOOGLEFINANCE(""BOM:""&amp;A19,""PRICE"")"),401)</f>
        <v>401</v>
      </c>
      <c r="F19" s="112">
        <f ca="1">IFERROR(__xludf.DUMMYFUNCTION("GOOGLEFINANCE(""BOM:""&amp;A19,""MARKETCAP"")/10000000"),1545.8876839)</f>
        <v>1545.8876839</v>
      </c>
      <c r="G19" s="95">
        <f t="shared" ca="1" si="0"/>
        <v>5.8607498342256202E-3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>
      <c r="A20" s="336">
        <v>544310</v>
      </c>
      <c r="B20" s="336" t="s">
        <v>2873</v>
      </c>
      <c r="C20" s="101"/>
      <c r="D20" s="101"/>
      <c r="E20" s="101">
        <f ca="1">IFERROR(__xludf.DUMMYFUNCTION("GOOGLEFINANCE(""BOM:""&amp;A20,""PRICE"")"),460)</f>
        <v>460</v>
      </c>
      <c r="F20" s="112">
        <f ca="1">IFERROR(__xludf.DUMMYFUNCTION("GOOGLEFINANCE(""BOM:""&amp;A20,""MARKETCAP"")/10000000"),1313.35704)</f>
        <v>1313.3570400000001</v>
      </c>
      <c r="G20" s="95">
        <f t="shared" ca="1" si="0"/>
        <v>4.9791825982080668E-3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>
      <c r="A21" s="336">
        <v>517035</v>
      </c>
      <c r="B21" s="336" t="s">
        <v>2874</v>
      </c>
      <c r="C21" s="101"/>
      <c r="D21" s="101"/>
      <c r="E21" s="101">
        <f ca="1">IFERROR(__xludf.DUMMYFUNCTION("GOOGLEFINANCE(""BOM:""&amp;A21,""PRICE"")"),149.3)</f>
        <v>149.30000000000001</v>
      </c>
      <c r="F21" s="112">
        <f ca="1">IFERROR(__xludf.DUMMYFUNCTION("GOOGLEFINANCE(""BOM:""&amp;A21,""MARKETCAP"")/10000000"),1188.0162548)</f>
        <v>1188.0162548000001</v>
      </c>
      <c r="G21" s="95">
        <f t="shared" ca="1" si="0"/>
        <v>4.5039921987158043E-3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>
      <c r="A22" s="336">
        <v>515008</v>
      </c>
      <c r="B22" s="336" t="s">
        <v>2875</v>
      </c>
      <c r="C22" s="101"/>
      <c r="D22" s="101"/>
      <c r="E22" s="101">
        <f ca="1">IFERROR(__xludf.DUMMYFUNCTION("GOOGLEFINANCE(""BOM:""&amp;A22,""PRICE"")"),252.5)</f>
        <v>252.5</v>
      </c>
      <c r="F22" s="112">
        <f ca="1">IFERROR(__xludf.DUMMYFUNCTION("GOOGLEFINANCE(""BOM:""&amp;A22,""MARKETCAP"")/10000000"),1190.3847375)</f>
        <v>1190.3847375</v>
      </c>
      <c r="G22" s="95">
        <f t="shared" ca="1" si="0"/>
        <v>4.512971560370573E-3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>
      <c r="A23" s="336">
        <v>517059</v>
      </c>
      <c r="B23" s="336" t="s">
        <v>2876</v>
      </c>
      <c r="C23" s="101"/>
      <c r="D23" s="101"/>
      <c r="E23" s="101">
        <f ca="1">IFERROR(__xludf.DUMMYFUNCTION("GOOGLEFINANCE(""BOM:""&amp;A23,""PRICE"")"),532.3)</f>
        <v>532.29999999999995</v>
      </c>
      <c r="F23" s="112">
        <f ca="1">IFERROR(__xludf.DUMMYFUNCTION("GOOGLEFINANCE(""BOM:""&amp;A23,""MARKETCAP"")/10000000"),942.9315772)</f>
        <v>942.93157719999999</v>
      </c>
      <c r="G23" s="95">
        <f t="shared" ca="1" si="0"/>
        <v>3.5748302689230082E-3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>
      <c r="A24" s="336">
        <v>542679</v>
      </c>
      <c r="B24" s="336" t="s">
        <v>2877</v>
      </c>
      <c r="C24" s="101"/>
      <c r="D24" s="101"/>
      <c r="E24" s="101">
        <f ca="1">IFERROR(__xludf.DUMMYFUNCTION("GOOGLEFINANCE(""BOM:""&amp;A24,""PRICE"")"),181.95)</f>
        <v>181.95</v>
      </c>
      <c r="F24" s="112"/>
      <c r="G24" s="95">
        <f t="shared" ca="1" si="0"/>
        <v>0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3.2">
      <c r="A25" s="336">
        <v>544410</v>
      </c>
      <c r="B25" s="336" t="s">
        <v>2878</v>
      </c>
      <c r="C25" s="101"/>
      <c r="D25" s="101"/>
      <c r="E25" s="101">
        <f ca="1">IFERROR(__xludf.DUMMYFUNCTION("GOOGLEFINANCE(""BOM:""&amp;A25,""PRICE"")"),129.2)</f>
        <v>129.19999999999999</v>
      </c>
      <c r="F25" s="112">
        <f ca="1">IFERROR(__xludf.DUMMYFUNCTION("GOOGLEFINANCE(""BOM:""&amp;A25,""MARKETCAP"")/10000000"),760.6008425)</f>
        <v>760.6008425</v>
      </c>
      <c r="G25" s="95">
        <f t="shared" ca="1" si="0"/>
        <v>2.8835802937169273E-3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3.2">
      <c r="A26" s="336">
        <v>544492</v>
      </c>
      <c r="B26" s="336" t="s">
        <v>2879</v>
      </c>
      <c r="C26" s="101"/>
      <c r="D26" s="101"/>
      <c r="E26" s="101">
        <f ca="1">IFERROR(__xludf.DUMMYFUNCTION("GOOGLEFINANCE(""BOM:""&amp;A26,""PRICE"")"),238.8)</f>
        <v>238.8</v>
      </c>
      <c r="F26" s="112">
        <f ca="1">IFERROR(__xludf.DUMMYFUNCTION("GOOGLEFINANCE(""BOM:""&amp;A26,""MARKETCAP"")/10000000"),663.12288)</f>
        <v>663.12288000000001</v>
      </c>
      <c r="G26" s="95">
        <f t="shared" ca="1" si="0"/>
        <v>2.514023075225314E-3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3.2">
      <c r="A27" s="336">
        <v>517166</v>
      </c>
      <c r="B27" s="336" t="s">
        <v>2880</v>
      </c>
      <c r="C27" s="101"/>
      <c r="D27" s="101"/>
      <c r="E27" s="101">
        <f ca="1">IFERROR(__xludf.DUMMYFUNCTION("GOOGLEFINANCE(""BOM:""&amp;A27,""PRICE"")"),142)</f>
        <v>142</v>
      </c>
      <c r="F27" s="112">
        <f ca="1">IFERROR(__xludf.DUMMYFUNCTION("GOOGLEFINANCE(""BOM:""&amp;A27,""MARKETCAP"")/10000000"),654.867506)</f>
        <v>654.86750600000005</v>
      </c>
      <c r="G27" s="95">
        <f t="shared" ca="1" si="0"/>
        <v>2.482725405733628E-3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3.2">
      <c r="A28" s="336">
        <v>504132</v>
      </c>
      <c r="B28" s="336" t="s">
        <v>2881</v>
      </c>
      <c r="C28" s="101"/>
      <c r="D28" s="101"/>
      <c r="E28" s="101">
        <f ca="1">IFERROR(__xludf.DUMMYFUNCTION("GOOGLEFINANCE(""BOM:""&amp;A28,""PRICE"")"),736.9)</f>
        <v>736.9</v>
      </c>
      <c r="F28" s="112">
        <f ca="1">IFERROR(__xludf.DUMMYFUNCTION("GOOGLEFINANCE(""BOM:""&amp;A28,""MARKETCAP"")/10000000"),633.6199488)</f>
        <v>633.61994879999997</v>
      </c>
      <c r="G28" s="95">
        <f t="shared" ca="1" si="0"/>
        <v>2.4021719356241817E-3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3.2">
      <c r="A29" s="336">
        <v>533193</v>
      </c>
      <c r="B29" s="336" t="s">
        <v>2882</v>
      </c>
      <c r="C29" s="101"/>
      <c r="D29" s="101"/>
      <c r="E29" s="101">
        <f ca="1">IFERROR(__xludf.DUMMYFUNCTION("GOOGLEFINANCE(""BOM:""&amp;A29,""PRICE"")"),91)</f>
        <v>91</v>
      </c>
      <c r="F29" s="112">
        <f ca="1">IFERROR(__xludf.DUMMYFUNCTION("GOOGLEFINANCE(""BOM:""&amp;A29,""MARKETCAP"")/10000000"),602.1763605)</f>
        <v>602.17636049999999</v>
      </c>
      <c r="G29" s="95">
        <f t="shared" ca="1" si="0"/>
        <v>2.2829634013716996E-3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3.2">
      <c r="A30" s="336">
        <v>526987</v>
      </c>
      <c r="B30" s="336" t="s">
        <v>2883</v>
      </c>
      <c r="C30" s="101"/>
      <c r="D30" s="101"/>
      <c r="E30" s="101">
        <f ca="1">IFERROR(__xludf.DUMMYFUNCTION("GOOGLEFINANCE(""BOM:""&amp;A30,""PRICE"")"),9.34)</f>
        <v>9.34</v>
      </c>
      <c r="F30" s="112">
        <f ca="1">IFERROR(__xludf.DUMMYFUNCTION("GOOGLEFINANCE(""BOM:""&amp;A30,""MARKETCAP"")/10000000"),490.2399828)</f>
        <v>490.23998280000001</v>
      </c>
      <c r="G30" s="95">
        <f t="shared" ca="1" si="0"/>
        <v>1.8585916220493872E-3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3.2">
      <c r="A31" s="336">
        <v>506261</v>
      </c>
      <c r="B31" s="336" t="s">
        <v>2884</v>
      </c>
      <c r="C31" s="101"/>
      <c r="D31" s="101"/>
      <c r="E31" s="101">
        <f ca="1">IFERROR(__xludf.DUMMYFUNCTION("GOOGLEFINANCE(""BOM:""&amp;A31,""PRICE"")"),131.5)</f>
        <v>131.5</v>
      </c>
      <c r="F31" s="112">
        <f ca="1">IFERROR(__xludf.DUMMYFUNCTION("GOOGLEFINANCE(""BOM:""&amp;A31,""MARKETCAP"")/10000000"),425.095)</f>
        <v>425.09500000000003</v>
      </c>
      <c r="G31" s="95">
        <f t="shared" ca="1" si="0"/>
        <v>1.6116147872365751E-3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3.2">
      <c r="A32" s="336">
        <v>517273</v>
      </c>
      <c r="B32" s="336" t="s">
        <v>2885</v>
      </c>
      <c r="C32" s="101"/>
      <c r="D32" s="101"/>
      <c r="E32" s="101">
        <f ca="1">IFERROR(__xludf.DUMMYFUNCTION("GOOGLEFINANCE(""BOM:""&amp;A32,""PRICE"")"),318.5)</f>
        <v>318.5</v>
      </c>
      <c r="F32" s="112">
        <f ca="1">IFERROR(__xludf.DUMMYFUNCTION("GOOGLEFINANCE(""BOM:""&amp;A32,""MARKETCAP"")/10000000"),392.7078178)</f>
        <v>392.70781779999999</v>
      </c>
      <c r="G32" s="95">
        <f t="shared" ca="1" si="0"/>
        <v>1.4888289117253475E-3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3.2">
      <c r="A33" s="336">
        <v>542670</v>
      </c>
      <c r="B33" s="336" t="s">
        <v>2886</v>
      </c>
      <c r="C33" s="101"/>
      <c r="D33" s="101"/>
      <c r="E33" s="101">
        <f ca="1">IFERROR(__xludf.DUMMYFUNCTION("GOOGLEFINANCE(""BOM:""&amp;A33,""PRICE"")"),16.5)</f>
        <v>16.5</v>
      </c>
      <c r="F33" s="112">
        <f ca="1">IFERROR(__xludf.DUMMYFUNCTION("GOOGLEFINANCE(""BOM:""&amp;A33,""MARKETCAP"")/10000000"),389.609125)</f>
        <v>389.60912500000001</v>
      </c>
      <c r="G33" s="95">
        <f t="shared" ca="1" si="0"/>
        <v>1.4770811867754342E-3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3.2">
      <c r="A34" s="336">
        <v>544681</v>
      </c>
      <c r="B34" s="336" t="s">
        <v>2887</v>
      </c>
      <c r="C34" s="101"/>
      <c r="D34" s="101"/>
      <c r="E34" s="101">
        <f ca="1">IFERROR(__xludf.DUMMYFUNCTION("GOOGLEFINANCE(""BOM:""&amp;A34,""PRICE"")"),161.9)</f>
        <v>161.9</v>
      </c>
      <c r="F34" s="112">
        <f ca="1">IFERROR(__xludf.DUMMYFUNCTION("GOOGLEFINANCE(""BOM:""&amp;A34,""MARKETCAP"")/10000000"),370.0281025)</f>
        <v>370.02810249999999</v>
      </c>
      <c r="G34" s="95">
        <f t="shared" ca="1" si="0"/>
        <v>1.4028458619416626E-3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3.2">
      <c r="A35" s="336">
        <v>504240</v>
      </c>
      <c r="B35" s="336" t="s">
        <v>2888</v>
      </c>
      <c r="C35" s="101"/>
      <c r="D35" s="101"/>
      <c r="E35" s="101">
        <f ca="1">IFERROR(__xludf.DUMMYFUNCTION("GOOGLEFINANCE(""BOM:""&amp;A35,""PRICE"")"),408.1)</f>
        <v>408.1</v>
      </c>
      <c r="F35" s="112">
        <f ca="1">IFERROR(__xludf.DUMMYFUNCTION("GOOGLEFINANCE(""BOM:""&amp;A35,""MARKETCAP"")/10000000"),352.5984052)</f>
        <v>352.5984052</v>
      </c>
      <c r="G35" s="95">
        <f t="shared" ca="1" si="0"/>
        <v>1.336766613995351E-3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3.2">
      <c r="A36" s="336">
        <v>539984</v>
      </c>
      <c r="B36" s="336" t="s">
        <v>2889</v>
      </c>
      <c r="C36" s="101"/>
      <c r="D36" s="101"/>
      <c r="E36" s="101">
        <f ca="1">IFERROR(__xludf.DUMMYFUNCTION("GOOGLEFINANCE(""BOM:""&amp;A36,""PRICE"")"),615)</f>
        <v>615</v>
      </c>
      <c r="F36" s="112">
        <f ca="1">IFERROR(__xludf.DUMMYFUNCTION("GOOGLEFINANCE(""BOM:""&amp;A36,""MARKETCAP"")/10000000"),439.3584825)</f>
        <v>439.35848249999998</v>
      </c>
      <c r="G36" s="95">
        <f t="shared" ca="1" si="0"/>
        <v>1.6656903216806171E-3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3.2">
      <c r="A37" s="336">
        <v>504028</v>
      </c>
      <c r="B37" s="336" t="s">
        <v>2890</v>
      </c>
      <c r="C37" s="101"/>
      <c r="D37" s="101"/>
      <c r="E37" s="101">
        <f ca="1">IFERROR(__xludf.DUMMYFUNCTION("GOOGLEFINANCE(""BOM:""&amp;A37,""PRICE"")"),61.66)</f>
        <v>61.66</v>
      </c>
      <c r="F37" s="112">
        <f ca="1">IFERROR(__xludf.DUMMYFUNCTION("GOOGLEFINANCE(""BOM:""&amp;A37,""MARKETCAP"")/10000000"),320.4897495)</f>
        <v>320.48974950000002</v>
      </c>
      <c r="G37" s="95">
        <f t="shared" ca="1" si="0"/>
        <v>1.2150366846280143E-3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3.2">
      <c r="A38" s="336">
        <v>526443</v>
      </c>
      <c r="B38" s="336" t="s">
        <v>2891</v>
      </c>
      <c r="C38" s="101"/>
      <c r="D38" s="101"/>
      <c r="E38" s="101">
        <f ca="1">IFERROR(__xludf.DUMMYFUNCTION("GOOGLEFINANCE(""BOM:""&amp;A38,""PRICE"")"),118.5)</f>
        <v>118.5</v>
      </c>
      <c r="F38" s="112">
        <f ca="1">IFERROR(__xludf.DUMMYFUNCTION("GOOGLEFINANCE(""BOM:""&amp;A38,""MARKETCAP"")/10000000"),327.8846415)</f>
        <v>327.88464149999999</v>
      </c>
      <c r="G38" s="95">
        <f t="shared" ca="1" si="0"/>
        <v>1.2430721056450045E-3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3.2">
      <c r="A39" s="336">
        <v>544501</v>
      </c>
      <c r="B39" s="336" t="s">
        <v>2892</v>
      </c>
      <c r="C39" s="101"/>
      <c r="D39" s="101"/>
      <c r="E39" s="101">
        <f ca="1">IFERROR(__xludf.DUMMYFUNCTION("GOOGLEFINANCE(""BOM:""&amp;A39,""PRICE"")"),114.35)</f>
        <v>114.35</v>
      </c>
      <c r="F39" s="112">
        <f ca="1">IFERROR(__xludf.DUMMYFUNCTION("GOOGLEFINANCE(""BOM:""&amp;A39,""MARKETCAP"")/10000000"),265.4520864)</f>
        <v>265.45208639999998</v>
      </c>
      <c r="G39" s="95">
        <f t="shared" ca="1" si="0"/>
        <v>1.0063785924206139E-3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3.2">
      <c r="A40" s="336">
        <v>504084</v>
      </c>
      <c r="B40" s="336" t="s">
        <v>2893</v>
      </c>
      <c r="C40" s="101"/>
      <c r="D40" s="101"/>
      <c r="E40" s="101">
        <f ca="1">IFERROR(__xludf.DUMMYFUNCTION("GOOGLEFINANCE(""BOM:""&amp;A40,""PRICE"")"),828)</f>
        <v>828</v>
      </c>
      <c r="F40" s="112">
        <f ca="1">IFERROR(__xludf.DUMMYFUNCTION("GOOGLEFINANCE(""BOM:""&amp;A40,""MARKETCAP"")/10000000"),262.7658)</f>
        <v>262.76580000000001</v>
      </c>
      <c r="G40" s="95">
        <f t="shared" ca="1" si="0"/>
        <v>9.9619437739810728E-4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3.2">
      <c r="A41" s="336">
        <v>543912</v>
      </c>
      <c r="B41" s="336" t="s">
        <v>2894</v>
      </c>
      <c r="C41" s="101"/>
      <c r="D41" s="101"/>
      <c r="E41" s="101">
        <f ca="1">IFERROR(__xludf.DUMMYFUNCTION("GOOGLEFINANCE(""BOM:""&amp;A41,""PRICE"")"),108.07)</f>
        <v>108.07</v>
      </c>
      <c r="F41" s="112">
        <f ca="1">IFERROR(__xludf.DUMMYFUNCTION("GOOGLEFINANCE(""BOM:""&amp;A41,""MARKETCAP"")/10000000"),227.5868484)</f>
        <v>227.58684840000001</v>
      </c>
      <c r="G41" s="95">
        <f t="shared" ca="1" si="0"/>
        <v>8.6282438104896245E-4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3.2">
      <c r="A42" s="336">
        <v>504258</v>
      </c>
      <c r="B42" s="336" t="s">
        <v>2895</v>
      </c>
      <c r="C42" s="101"/>
      <c r="D42" s="101"/>
      <c r="E42" s="101">
        <f ca="1">IFERROR(__xludf.DUMMYFUNCTION("GOOGLEFINANCE(""BOM:""&amp;A42,""PRICE"")"),757)</f>
        <v>757</v>
      </c>
      <c r="F42" s="112">
        <f ca="1">IFERROR(__xludf.DUMMYFUNCTION("GOOGLEFINANCE(""BOM:""&amp;A42,""MARKETCAP"")/10000000"),186.0706)</f>
        <v>186.07060000000001</v>
      </c>
      <c r="G42" s="95">
        <f t="shared" ca="1" si="0"/>
        <v>7.0542850522820044E-4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3.2">
      <c r="A43" s="336">
        <v>517096</v>
      </c>
      <c r="B43" s="336" t="s">
        <v>2896</v>
      </c>
      <c r="C43" s="101"/>
      <c r="D43" s="101"/>
      <c r="E43" s="101">
        <f ca="1">IFERROR(__xludf.DUMMYFUNCTION("GOOGLEFINANCE(""BOM:""&amp;A43,""PRICE"")"),67.45)</f>
        <v>67.45</v>
      </c>
      <c r="F43" s="112">
        <f ca="1">IFERROR(__xludf.DUMMYFUNCTION("GOOGLEFINANCE(""BOM:""&amp;A43,""MARKETCAP"")/10000000"),136.5861763)</f>
        <v>136.58617630000001</v>
      </c>
      <c r="G43" s="95">
        <f t="shared" ca="1" si="0"/>
        <v>5.1782378399459379E-4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3.2">
      <c r="A44" s="336">
        <v>539196</v>
      </c>
      <c r="B44" s="336" t="s">
        <v>2897</v>
      </c>
      <c r="C44" s="101"/>
      <c r="D44" s="101"/>
      <c r="E44" s="101">
        <f ca="1">IFERROR(__xludf.DUMMYFUNCTION("GOOGLEFINANCE(""BOM:""&amp;A44,""PRICE"")"),128)</f>
        <v>128</v>
      </c>
      <c r="F44" s="112">
        <f ca="1">IFERROR(__xludf.DUMMYFUNCTION("GOOGLEFINANCE(""BOM:""&amp;A44,""MARKETCAP"")/10000000"),162.054144)</f>
        <v>162.05414400000001</v>
      </c>
      <c r="G44" s="95">
        <f t="shared" ca="1" si="0"/>
        <v>6.1437762101028079E-4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3.2">
      <c r="A45" s="336">
        <v>504080</v>
      </c>
      <c r="B45" s="336" t="s">
        <v>2898</v>
      </c>
      <c r="C45" s="101"/>
      <c r="D45" s="101"/>
      <c r="E45" s="101">
        <f ca="1">IFERROR(__xludf.DUMMYFUNCTION("GOOGLEFINANCE(""BOM:""&amp;A45,""PRICE"")"),950.7)</f>
        <v>950.7</v>
      </c>
      <c r="F45" s="112">
        <f ca="1">IFERROR(__xludf.DUMMYFUNCTION("GOOGLEFINANCE(""BOM:""&amp;A45,""MARKETCAP"")/10000000"),111.5995371)</f>
        <v>111.59953710000001</v>
      </c>
      <c r="G45" s="95">
        <f t="shared" ca="1" si="0"/>
        <v>4.2309475350008063E-4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3.2">
      <c r="A46" s="336">
        <v>531215</v>
      </c>
      <c r="B46" s="336" t="s">
        <v>2899</v>
      </c>
      <c r="C46" s="101"/>
      <c r="D46" s="101"/>
      <c r="E46" s="101">
        <f ca="1">IFERROR(__xludf.DUMMYFUNCTION("GOOGLEFINANCE(""BOM:""&amp;A46,""PRICE"")"),101)</f>
        <v>101</v>
      </c>
      <c r="F46" s="112">
        <f ca="1">IFERROR(__xludf.DUMMYFUNCTION("GOOGLEFINANCE(""BOM:""&amp;A46,""MARKETCAP"")/10000000"),92.0517413)</f>
        <v>92.051741300000003</v>
      </c>
      <c r="G46" s="95">
        <f t="shared" ca="1" si="0"/>
        <v>3.4898539731108519E-4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3.2">
      <c r="A47" s="336">
        <v>540651</v>
      </c>
      <c r="B47" s="336" t="s">
        <v>2900</v>
      </c>
      <c r="C47" s="101"/>
      <c r="D47" s="101"/>
      <c r="E47" s="101">
        <f ca="1">IFERROR(__xludf.DUMMYFUNCTION("GOOGLEFINANCE(""BOM:""&amp;A47,""PRICE"")"),60)</f>
        <v>60</v>
      </c>
      <c r="F47" s="112">
        <f ca="1">IFERROR(__xludf.DUMMYFUNCTION("GOOGLEFINANCE(""BOM:""&amp;A47,""MARKETCAP"")/10000000"),54.072)</f>
        <v>54.072000000000003</v>
      </c>
      <c r="G47" s="95">
        <f t="shared" ca="1" si="0"/>
        <v>2.0499708247675481E-4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3.2">
      <c r="A48" s="336">
        <v>531472</v>
      </c>
      <c r="B48" s="336" t="s">
        <v>2901</v>
      </c>
      <c r="C48" s="101"/>
      <c r="D48" s="101"/>
      <c r="E48" s="101">
        <f ca="1">IFERROR(__xludf.DUMMYFUNCTION("GOOGLEFINANCE(""BOM:""&amp;A48,""PRICE"")"),44.08)</f>
        <v>44.08</v>
      </c>
      <c r="F48" s="112">
        <f ca="1">IFERROR(__xludf.DUMMYFUNCTION("GOOGLEFINANCE(""BOM:""&amp;A48,""MARKETCAP"")/10000000"),47.1470442)</f>
        <v>47.147044200000003</v>
      </c>
      <c r="G48" s="95">
        <f t="shared" ca="1" si="0"/>
        <v>1.7874327763727261E-4</v>
      </c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ht="13.2">
      <c r="A49" s="336">
        <v>517370</v>
      </c>
      <c r="B49" s="336" t="s">
        <v>2902</v>
      </c>
      <c r="C49" s="101"/>
      <c r="D49" s="101"/>
      <c r="E49" s="101">
        <f ca="1">IFERROR(__xludf.DUMMYFUNCTION("GOOGLEFINANCE(""BOM:""&amp;A49,""PRICE"")"),84.92)</f>
        <v>84.92</v>
      </c>
      <c r="F49" s="112">
        <f ca="1">IFERROR(__xludf.DUMMYFUNCTION("GOOGLEFINANCE(""BOM:""&amp;A49,""MARKETCAP"")/10000000"),43.5911249)</f>
        <v>43.591124899999997</v>
      </c>
      <c r="G49" s="95">
        <f t="shared" ca="1" si="0"/>
        <v>1.652621213637339E-4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3.2">
      <c r="A50" s="336">
        <v>517288</v>
      </c>
      <c r="B50" s="336" t="s">
        <v>2903</v>
      </c>
      <c r="C50" s="101"/>
      <c r="D50" s="101"/>
      <c r="E50" s="101">
        <f ca="1">IFERROR(__xludf.DUMMYFUNCTION("GOOGLEFINANCE(""BOM:""&amp;A50,""PRICE"")"),53)</f>
        <v>53</v>
      </c>
      <c r="F50" s="112">
        <f ca="1">IFERROR(__xludf.DUMMYFUNCTION("GOOGLEFINANCE(""BOM:""&amp;A50,""MARKETCAP"")/10000000"),45.315)</f>
        <v>45.314999999999998</v>
      </c>
      <c r="G50" s="95">
        <f t="shared" ca="1" si="0"/>
        <v>1.7179765483862523E-4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3.2">
      <c r="A51" s="336">
        <v>517546</v>
      </c>
      <c r="B51" s="336" t="s">
        <v>2904</v>
      </c>
      <c r="C51" s="101"/>
      <c r="D51" s="101"/>
      <c r="E51" s="101">
        <f ca="1">IFERROR(__xludf.DUMMYFUNCTION("GOOGLEFINANCE(""BOM:""&amp;A51,""PRICE"")"),41.72)</f>
        <v>41.72</v>
      </c>
      <c r="F51" s="112">
        <f ca="1">IFERROR(__xludf.DUMMYFUNCTION("GOOGLEFINANCE(""BOM:""&amp;A51,""MARKETCAP"")/10000000"),38.1764878)</f>
        <v>38.176487799999997</v>
      </c>
      <c r="G51" s="95">
        <f t="shared" ca="1" si="0"/>
        <v>1.447342176766057E-4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3.2">
      <c r="A52" s="336">
        <v>539760</v>
      </c>
      <c r="B52" s="336" t="s">
        <v>2905</v>
      </c>
      <c r="C52" s="101"/>
      <c r="D52" s="101"/>
      <c r="E52" s="101">
        <f ca="1">IFERROR(__xludf.DUMMYFUNCTION("GOOGLEFINANCE(""BOM:""&amp;A52,""PRICE"")"),34.99)</f>
        <v>34.99</v>
      </c>
      <c r="F52" s="112">
        <f ca="1">IFERROR(__xludf.DUMMYFUNCTION("GOOGLEFINANCE(""BOM:""&amp;A52,""MARKETCAP"")/10000000"),35.321217)</f>
        <v>35.321216999999997</v>
      </c>
      <c r="G52" s="95">
        <f t="shared" ca="1" si="0"/>
        <v>1.3390935113419798E-4</v>
      </c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ht="13.2">
      <c r="A53" s="336">
        <v>517320</v>
      </c>
      <c r="B53" s="336" t="s">
        <v>2906</v>
      </c>
      <c r="C53" s="101"/>
      <c r="D53" s="101"/>
      <c r="E53" s="101">
        <f ca="1">IFERROR(__xludf.DUMMYFUNCTION("GOOGLEFINANCE(""BOM:""&amp;A53,""PRICE"")"),93.96)</f>
        <v>93.96</v>
      </c>
      <c r="F53" s="112">
        <f ca="1">IFERROR(__xludf.DUMMYFUNCTION("GOOGLEFINANCE(""BOM:""&amp;A53,""MARKETCAP"")/10000000"),31.7612984)</f>
        <v>31.761298400000001</v>
      </c>
      <c r="G53" s="95">
        <f t="shared" ca="1" si="0"/>
        <v>1.2041303276508398E-4</v>
      </c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ht="13.2">
      <c r="A54" s="336">
        <v>531262</v>
      </c>
      <c r="B54" s="336" t="s">
        <v>2907</v>
      </c>
      <c r="C54" s="101"/>
      <c r="D54" s="101"/>
      <c r="E54" s="101">
        <f ca="1">IFERROR(__xludf.DUMMYFUNCTION("GOOGLEFINANCE(""BOM:""&amp;A54,""PRICE"")"),20.52)</f>
        <v>20.52</v>
      </c>
      <c r="F54" s="112">
        <f ca="1">IFERROR(__xludf.DUMMYFUNCTION("GOOGLEFINANCE(""BOM:""&amp;A54,""MARKETCAP"")/10000000"),25.3046284)</f>
        <v>25.304628399999999</v>
      </c>
      <c r="G54" s="95">
        <f t="shared" ca="1" si="0"/>
        <v>9.5934587127504661E-5</v>
      </c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ht="13.2">
      <c r="A55" s="336">
        <v>517201</v>
      </c>
      <c r="B55" s="336" t="s">
        <v>2908</v>
      </c>
      <c r="C55" s="101"/>
      <c r="D55" s="101"/>
      <c r="E55" s="101">
        <f ca="1">IFERROR(__xludf.DUMMYFUNCTION("GOOGLEFINANCE(""BOM:""&amp;A55,""PRICE"")"),69)</f>
        <v>69</v>
      </c>
      <c r="F55" s="112">
        <f ca="1">IFERROR(__xludf.DUMMYFUNCTION("GOOGLEFINANCE(""BOM:""&amp;A55,""MARKETCAP"")/10000000"),16.905)</f>
        <v>16.905000000000001</v>
      </c>
      <c r="G55" s="95">
        <f t="shared" ca="1" si="0"/>
        <v>6.4090022179123031E-5</v>
      </c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ht="13.2">
      <c r="A56" s="336">
        <v>531460</v>
      </c>
      <c r="B56" s="336" t="s">
        <v>2909</v>
      </c>
      <c r="C56" s="101"/>
      <c r="D56" s="101"/>
      <c r="E56" s="101">
        <f ca="1">IFERROR(__xludf.DUMMYFUNCTION("GOOGLEFINANCE(""BOM:""&amp;A56,""PRICE"")"),9.79)</f>
        <v>9.7899999999999991</v>
      </c>
      <c r="F56" s="112">
        <f ca="1">IFERROR(__xludf.DUMMYFUNCTION("GOOGLEFINANCE(""BOM:""&amp;A56,""MARKETCAP"")/10000000"),6.017185)</f>
        <v>6.0171849999999996</v>
      </c>
      <c r="G56" s="95">
        <f t="shared" ca="1" si="0"/>
        <v>2.2812275664352931E-5</v>
      </c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ht="13.2">
      <c r="A57" s="336">
        <v>504697</v>
      </c>
      <c r="B57" s="336" t="s">
        <v>2910</v>
      </c>
      <c r="C57" s="101"/>
      <c r="D57" s="101"/>
      <c r="E57" s="101">
        <f ca="1">IFERROR(__xludf.DUMMYFUNCTION("GOOGLEFINANCE(""BOM:""&amp;A57,""PRICE"")"),6.14)</f>
        <v>6.14</v>
      </c>
      <c r="F57" s="112">
        <f ca="1">IFERROR(__xludf.DUMMYFUNCTION("GOOGLEFINANCE(""BOM:""&amp;A57,""MARKETCAP"")/10000000"),5.441979)</f>
        <v>5.4419789999999999</v>
      </c>
      <c r="G57" s="95">
        <f t="shared" ca="1" si="0"/>
        <v>2.0631561952577444E-5</v>
      </c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ht="13.2">
      <c r="A58" s="336">
        <v>531812</v>
      </c>
      <c r="B58" s="336" t="s">
        <v>2911</v>
      </c>
      <c r="C58" s="101"/>
      <c r="D58" s="101"/>
      <c r="E58" s="101">
        <f ca="1">IFERROR(__xludf.DUMMYFUNCTION("GOOGLEFINANCE(""BOM:""&amp;A58,""PRICE"")"),0.61)</f>
        <v>0.61</v>
      </c>
      <c r="F58" s="112">
        <f ca="1">IFERROR(__xludf.DUMMYFUNCTION("GOOGLEFINANCE(""BOM:""&amp;A58,""MARKETCAP"")/10000000"),4.929404)</f>
        <v>4.9294039999999999</v>
      </c>
      <c r="G58" s="95">
        <f t="shared" ca="1" si="0"/>
        <v>1.8688294095821221E-5</v>
      </c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ht="13.2">
      <c r="A59" s="336">
        <v>540358</v>
      </c>
      <c r="B59" s="336" t="s">
        <v>2912</v>
      </c>
      <c r="C59" s="101"/>
      <c r="D59" s="101"/>
      <c r="E59" s="101" t="str">
        <f ca="1">IFERROR(__xludf.DUMMYFUNCTION("GOOGLEFINANCE(""BOM:""&amp;A59,""PRICE"")"),"#N/A")</f>
        <v>#N/A</v>
      </c>
      <c r="F59" s="112"/>
      <c r="G59" s="95">
        <f t="shared" ca="1" si="0"/>
        <v>0</v>
      </c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ht="13.2">
      <c r="A60" s="101"/>
      <c r="B60" s="101"/>
      <c r="C60" s="101"/>
      <c r="D60" s="101"/>
      <c r="E60" s="101"/>
      <c r="F60" s="112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ht="13.2">
      <c r="A61" s="101"/>
      <c r="B61" s="101"/>
      <c r="C61" s="101"/>
      <c r="D61" s="101"/>
      <c r="E61" s="101"/>
      <c r="F61" s="112">
        <f ca="1">SUM(F1:F59)</f>
        <v>263769.60758029995</v>
      </c>
      <c r="G61" s="95">
        <f ca="1">SUM(G2:G59)</f>
        <v>0.99999999999999989</v>
      </c>
      <c r="H61" s="101">
        <f t="shared" ref="H61:O61" si="1">SUM(H2:H59)</f>
        <v>53884</v>
      </c>
      <c r="I61" s="101">
        <f t="shared" si="1"/>
        <v>37489</v>
      </c>
      <c r="J61" s="101">
        <f t="shared" si="1"/>
        <v>5863</v>
      </c>
      <c r="K61" s="101">
        <f t="shared" si="1"/>
        <v>3168</v>
      </c>
      <c r="L61" s="101">
        <f t="shared" si="1"/>
        <v>20127</v>
      </c>
      <c r="M61" s="101">
        <f t="shared" si="1"/>
        <v>13152</v>
      </c>
      <c r="N61" s="101">
        <f t="shared" si="1"/>
        <v>2188</v>
      </c>
      <c r="O61" s="101">
        <f t="shared" si="1"/>
        <v>1212</v>
      </c>
      <c r="P61" s="95">
        <f t="shared" ref="P61:Q61" si="2">J61/H61</f>
        <v>0.10880780936827258</v>
      </c>
      <c r="Q61" s="95">
        <f t="shared" si="2"/>
        <v>8.4504788071167541E-2</v>
      </c>
      <c r="R61" s="95">
        <f>P61-Q61</f>
        <v>2.4303021297105043E-2</v>
      </c>
      <c r="S61" s="95">
        <f t="shared" ref="S61:T61" si="3">N61/L61</f>
        <v>0.10870969344661401</v>
      </c>
      <c r="T61" s="95">
        <f t="shared" si="3"/>
        <v>9.2153284671532845E-2</v>
      </c>
      <c r="U61" s="95">
        <f>S61-T61</f>
        <v>1.6556408775081161E-2</v>
      </c>
      <c r="V61" s="95">
        <f>(H61/I61)-1</f>
        <v>0.43732828296300252</v>
      </c>
      <c r="W61" s="95">
        <f>(J61/K61)-1</f>
        <v>0.85069444444444442</v>
      </c>
      <c r="X61" s="95">
        <f>(L61/M61)-1</f>
        <v>0.53033759124087587</v>
      </c>
      <c r="Y61" s="95">
        <f>(N61/O61)-1</f>
        <v>0.80528052805280526</v>
      </c>
    </row>
    <row r="62" spans="1:25" ht="13.2">
      <c r="F62" s="94"/>
    </row>
    <row r="63" spans="1:25" ht="13.2">
      <c r="F63" s="94"/>
    </row>
    <row r="64" spans="1:25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59" xr:uid="{00000000-0009-0000-0000-00004F000000}"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540673</v>
      </c>
      <c r="B2" s="98" t="s">
        <v>2913</v>
      </c>
      <c r="C2" s="101" t="str">
        <f>VLOOKUP(A2,'BSE ALL CAP'!$B$4:$Y$1038,2,)</f>
        <v>Consumer Discretionary</v>
      </c>
      <c r="D2" s="101" t="str">
        <f>VLOOKUP(A2,'BSE ALL CAP'!$B$4:$Y$1038,3,)</f>
        <v>Other Consumer Services</v>
      </c>
      <c r="E2" s="101">
        <f ca="1">IFERROR(__xludf.DUMMYFUNCTION("GOOGLEFINANCE(""BOM:""&amp;A2,""PRICE"")"),288.45)</f>
        <v>288.45</v>
      </c>
      <c r="F2" s="112">
        <f ca="1">IFERROR(__xludf.DUMMYFUNCTION("GOOGLEFINANCE(""BOM:""&amp;A2,""MARKETCAP"")/10000000"),4075.700085)</f>
        <v>4075.7000849999999</v>
      </c>
      <c r="G2" s="95">
        <f t="shared" ref="G2:G6" ca="1" si="0">F2/$F$8</f>
        <v>0.81224070743627841</v>
      </c>
      <c r="H2" s="101">
        <f>VLOOKUP(A2,'BSE ALL CAP'!$B$4:$Y$1038,7,)</f>
        <v>11492</v>
      </c>
      <c r="I2" s="101">
        <f>VLOOKUP(A2,'BSE ALL CAP'!$B$4:$Y$1038,8,)</f>
        <v>9761</v>
      </c>
      <c r="J2" s="101">
        <f>VLOOKUP(A2,'BSE ALL CAP'!$B$4:$Y$1038,9,)</f>
        <v>35</v>
      </c>
      <c r="K2" s="101">
        <f>VLOOKUP(A2,'BSE ALL CAP'!$B$4:$Y$1038,10,)</f>
        <v>235</v>
      </c>
      <c r="L2" s="101">
        <f>VLOOKUP(A2,'BSE ALL CAP'!$B$4:$Y$1038,11,)</f>
        <v>4185</v>
      </c>
      <c r="M2" s="101">
        <f>VLOOKUP(A2,'BSE ALL CAP'!$B$4:$Y$1038,12,)</f>
        <v>3362</v>
      </c>
      <c r="N2" s="101">
        <f>VLOOKUP(A2,'BSE ALL CAP'!$B$4:$Y$1038,13,)</f>
        <v>-138</v>
      </c>
      <c r="O2" s="101">
        <f>VLOOKUP(A2,'BSE ALL CAP'!$B$4:$Y$1038,14,)</f>
        <v>102</v>
      </c>
      <c r="P2" s="95">
        <f>VLOOKUP(A2,'BSE ALL CAP'!$B$4:$Y$1038,15,)</f>
        <v>3.0455969369996517E-3</v>
      </c>
      <c r="Q2" s="95">
        <f>VLOOKUP(A2,'BSE ALL CAP'!$B$4:$Y$1038,16,)</f>
        <v>2.4075402110439504E-2</v>
      </c>
      <c r="R2" s="95">
        <f>VLOOKUP(A2,'BSE ALL CAP'!$B$4:$Y$1038,17,)</f>
        <v>-2.1029805173439851E-2</v>
      </c>
      <c r="S2" s="95">
        <f>VLOOKUP(A2,'BSE ALL CAP'!$B$4:$Y$1038,18,)</f>
        <v>-3.2974910394265235E-2</v>
      </c>
      <c r="T2" s="95">
        <f>VLOOKUP(A2,'BSE ALL CAP'!$B$4:$Y$1038,19,)</f>
        <v>3.0339083878643664E-2</v>
      </c>
      <c r="U2" s="95">
        <f>VLOOKUP(A2,'BSE ALL CAP'!$B$4:$Y$1038,20,)</f>
        <v>-6.3313994272908902E-2</v>
      </c>
      <c r="V2" s="95">
        <f>VLOOKUP(A2,'BSE ALL CAP'!$B$4:$Y$1038,21,)</f>
        <v>0.17733838746030117</v>
      </c>
      <c r="W2" s="95">
        <f>VLOOKUP(A2,'BSE ALL CAP'!$B$4:$Y$1038,22,)</f>
        <v>-0.85106382978723405</v>
      </c>
      <c r="X2" s="95">
        <f>VLOOKUP(A2,'BSE ALL CAP'!$B$4:$Y$1038,23,)</f>
        <v>0.24479476502082087</v>
      </c>
      <c r="Y2" s="95">
        <f>VLOOKUP(A2,'BSE ALL CAP'!$B$4:$Y$1038,24,)</f>
        <v>-2.3529411764705883</v>
      </c>
    </row>
    <row r="3" spans="1:25" ht="15.75" customHeight="1">
      <c r="A3" s="99">
        <v>543895</v>
      </c>
      <c r="B3" s="98" t="s">
        <v>2914</v>
      </c>
      <c r="C3" s="101" t="e">
        <f>VLOOKUP(A3,'BSE ALL CAP'!$B$4:$Y$1038,2,)</f>
        <v>#N/A</v>
      </c>
      <c r="D3" s="101" t="e">
        <f>VLOOKUP(A3,'BSE ALL CAP'!$B$4:$Y$1038,3,)</f>
        <v>#N/A</v>
      </c>
      <c r="E3" s="101">
        <f ca="1">IFERROR(__xludf.DUMMYFUNCTION("GOOGLEFINANCE(""BOM:""&amp;A3,""PRICE"")"),448)</f>
        <v>448</v>
      </c>
      <c r="F3" s="112">
        <f ca="1">IFERROR(__xludf.DUMMYFUNCTION("GOOGLEFINANCE(""BOM:""&amp;A3,""MARKETCAP"")/10000000"),591.0197946)</f>
        <v>591.01979459999995</v>
      </c>
      <c r="G3" s="95">
        <f t="shared" ca="1" si="0"/>
        <v>0.11778352824377358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544248</v>
      </c>
      <c r="B4" s="98" t="s">
        <v>2915</v>
      </c>
      <c r="C4" s="101"/>
      <c r="D4" s="101"/>
      <c r="E4" s="101">
        <f ca="1">IFERROR(__xludf.DUMMYFUNCTION("GOOGLEFINANCE(""BOM:""&amp;A4,""PRICE"")"),111.05)</f>
        <v>111.05</v>
      </c>
      <c r="F4" s="112">
        <f ca="1">IFERROR(__xludf.DUMMYFUNCTION("GOOGLEFINANCE(""BOM:""&amp;A4,""MARKETCAP"")/10000000"),233.6168908)</f>
        <v>233.61689079999999</v>
      </c>
      <c r="G4" s="95">
        <f t="shared" ca="1" si="0"/>
        <v>4.6557191327893252E-2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544495</v>
      </c>
      <c r="B5" s="98" t="s">
        <v>2916</v>
      </c>
      <c r="C5" s="101"/>
      <c r="D5" s="101"/>
      <c r="E5" s="101">
        <f ca="1">IFERROR(__xludf.DUMMYFUNCTION("GOOGLEFINANCE(""BOM:""&amp;A5,""PRICE"")"),45.1)</f>
        <v>45.1</v>
      </c>
      <c r="F5" s="112">
        <f ca="1">IFERROR(__xludf.DUMMYFUNCTION("GOOGLEFINANCE(""BOM:""&amp;A5,""MARKETCAP"")/10000000"),89.29843)</f>
        <v>89.298429999999996</v>
      </c>
      <c r="G5" s="95">
        <f t="shared" ca="1" si="0"/>
        <v>1.7796162240467941E-2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544596</v>
      </c>
      <c r="B6" s="98" t="s">
        <v>2917</v>
      </c>
      <c r="C6" s="101"/>
      <c r="D6" s="101"/>
      <c r="E6" s="101">
        <f ca="1">IFERROR(__xludf.DUMMYFUNCTION("GOOGLEFINANCE(""BOM:""&amp;A6,""PRICE"")"),28.1)</f>
        <v>28.1</v>
      </c>
      <c r="F6" s="112">
        <f ca="1">IFERROR(__xludf.DUMMYFUNCTION("GOOGLEFINANCE(""BOM:""&amp;A6,""MARKETCAP"")/10000000"),28.2124003)</f>
        <v>28.212400299999999</v>
      </c>
      <c r="G6" s="95">
        <f t="shared" ca="1" si="0"/>
        <v>5.6224107515868583E-3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101"/>
      <c r="B7" s="101"/>
      <c r="C7" s="101"/>
      <c r="D7" s="101"/>
      <c r="E7" s="101"/>
      <c r="F7" s="112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12">
        <f t="shared" ref="F8:O8" ca="1" si="1">SUM(F2:F6)</f>
        <v>5017.8476006999999</v>
      </c>
      <c r="G8" s="95">
        <f t="shared" ca="1" si="1"/>
        <v>1</v>
      </c>
      <c r="H8" s="101">
        <f t="shared" si="1"/>
        <v>11492</v>
      </c>
      <c r="I8" s="101">
        <f t="shared" si="1"/>
        <v>9761</v>
      </c>
      <c r="J8" s="101">
        <f t="shared" si="1"/>
        <v>35</v>
      </c>
      <c r="K8" s="101">
        <f t="shared" si="1"/>
        <v>235</v>
      </c>
      <c r="L8" s="101">
        <f t="shared" si="1"/>
        <v>4185</v>
      </c>
      <c r="M8" s="101">
        <f t="shared" si="1"/>
        <v>3362</v>
      </c>
      <c r="N8" s="101">
        <f t="shared" si="1"/>
        <v>-138</v>
      </c>
      <c r="O8" s="101">
        <f t="shared" si="1"/>
        <v>102</v>
      </c>
      <c r="P8" s="95">
        <f t="shared" ref="P8:Q8" si="2">J8/H8</f>
        <v>3.0455969369996517E-3</v>
      </c>
      <c r="Q8" s="95">
        <f t="shared" si="2"/>
        <v>2.4075402110439504E-2</v>
      </c>
      <c r="R8" s="95">
        <f>P8-Q8</f>
        <v>-2.1029805173439851E-2</v>
      </c>
      <c r="S8" s="95">
        <f t="shared" ref="S8:T8" si="3">N8/L8</f>
        <v>-3.2974910394265235E-2</v>
      </c>
      <c r="T8" s="95">
        <f t="shared" si="3"/>
        <v>3.0339083878643664E-2</v>
      </c>
      <c r="U8" s="95">
        <f>S8-T8</f>
        <v>-6.3313994272908902E-2</v>
      </c>
      <c r="V8" s="95">
        <f>(H8/I8)-1</f>
        <v>0.17733838746030117</v>
      </c>
      <c r="W8" s="95">
        <f>(J8/K8)-1</f>
        <v>-0.85106382978723405</v>
      </c>
      <c r="X8" s="95">
        <f>(L8/M8)-1</f>
        <v>0.24479476502082087</v>
      </c>
      <c r="Y8" s="95">
        <f>(N8/O8)-1</f>
        <v>-2.3529411764705883</v>
      </c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6" xr:uid="{00000000-0009-0000-0000-000050000000}"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526570</v>
      </c>
      <c r="B2" s="98" t="s">
        <v>2918</v>
      </c>
      <c r="C2" s="101" t="e">
        <f>VLOOKUP(A2,'BSE ALL CAP'!$B$4:$Y$1038,2,)</f>
        <v>#N/A</v>
      </c>
      <c r="D2" s="101" t="e">
        <f>VLOOKUP(A2,'BSE ALL CAP'!$B$4:$Y$1038,3,)</f>
        <v>#N/A</v>
      </c>
      <c r="E2" s="101">
        <f ca="1">IFERROR(__xludf.DUMMYFUNCTION("GOOGLEFINANCE(""BOM:""&amp;A2,""PRICE"")"),4445.15)</f>
        <v>4445.1499999999996</v>
      </c>
      <c r="F2" s="112">
        <f ca="1">IFERROR(__xludf.DUMMYFUNCTION("GOOGLEFINANCE(""BOM:""&amp;A2,""MARKETCAP"")/10000000"),5733.6610593)</f>
        <v>5733.6610592999996</v>
      </c>
      <c r="G2" s="95">
        <f t="shared" ref="G2:G22" ca="1" si="0">F2/$F$24</f>
        <v>0.55351300295549799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.75" customHeight="1">
      <c r="A3" s="99">
        <v>532369</v>
      </c>
      <c r="B3" s="98" t="s">
        <v>2919</v>
      </c>
      <c r="C3" s="101" t="str">
        <f>VLOOKUP(A3,'BSE ALL CAP'!$B$4:$Y$1038,2,)</f>
        <v>Commodities</v>
      </c>
      <c r="D3" s="101" t="str">
        <f>VLOOKUP(A3,'BSE ALL CAP'!$B$4:$Y$1038,3,)</f>
        <v>Other Construction Materials</v>
      </c>
      <c r="E3" s="101">
        <f ca="1">IFERROR(__xludf.DUMMYFUNCTION("GOOGLEFINANCE(""BOM:""&amp;A3,""PRICE"")"),257.7)</f>
        <v>257.7</v>
      </c>
      <c r="F3" s="112">
        <f ca="1">IFERROR(__xludf.DUMMYFUNCTION("GOOGLEFINANCE(""BOM:""&amp;A3,""MARKETCAP"")/10000000"),2242.683287)</f>
        <v>2242.6832869999998</v>
      </c>
      <c r="G3" s="95">
        <f t="shared" ca="1" si="0"/>
        <v>0.21650291986687981</v>
      </c>
      <c r="H3" s="101">
        <f>VLOOKUP(A3,'BSE ALL CAP'!$B$4:$Y$1038,7,)</f>
        <v>1037</v>
      </c>
      <c r="I3" s="101">
        <f>VLOOKUP(A3,'BSE ALL CAP'!$B$4:$Y$1038,8,)</f>
        <v>1046</v>
      </c>
      <c r="J3" s="101">
        <f>VLOOKUP(A3,'BSE ALL CAP'!$B$4:$Y$1038,9,)</f>
        <v>85</v>
      </c>
      <c r="K3" s="101">
        <f>VLOOKUP(A3,'BSE ALL CAP'!$B$4:$Y$1038,10,)</f>
        <v>75</v>
      </c>
      <c r="L3" s="101">
        <f>VLOOKUP(A3,'BSE ALL CAP'!$B$4:$Y$1038,11,)</f>
        <v>305</v>
      </c>
      <c r="M3" s="101">
        <f>VLOOKUP(A3,'BSE ALL CAP'!$B$4:$Y$1038,12,)</f>
        <v>273</v>
      </c>
      <c r="N3" s="101">
        <f>VLOOKUP(A3,'BSE ALL CAP'!$B$4:$Y$1038,13,)</f>
        <v>17</v>
      </c>
      <c r="O3" s="101">
        <f>VLOOKUP(A3,'BSE ALL CAP'!$B$4:$Y$1038,14,)</f>
        <v>13</v>
      </c>
      <c r="P3" s="95">
        <f>VLOOKUP(A3,'BSE ALL CAP'!$B$4:$Y$1038,15,)</f>
        <v>8.1967213114754092E-2</v>
      </c>
      <c r="Q3" s="95">
        <f>VLOOKUP(A3,'BSE ALL CAP'!$B$4:$Y$1038,16,)</f>
        <v>7.1701720841300193E-2</v>
      </c>
      <c r="R3" s="95">
        <f>VLOOKUP(A3,'BSE ALL CAP'!$B$4:$Y$1038,17,)</f>
        <v>1.0265492273453899E-2</v>
      </c>
      <c r="S3" s="95">
        <f>VLOOKUP(A3,'BSE ALL CAP'!$B$4:$Y$1038,18,)</f>
        <v>5.5737704918032788E-2</v>
      </c>
      <c r="T3" s="95">
        <f>VLOOKUP(A3,'BSE ALL CAP'!$B$4:$Y$1038,19,)</f>
        <v>4.7619047619047616E-2</v>
      </c>
      <c r="U3" s="95">
        <f>VLOOKUP(A3,'BSE ALL CAP'!$B$4:$Y$1038,20,)</f>
        <v>8.1186572989851713E-3</v>
      </c>
      <c r="V3" s="95">
        <f>VLOOKUP(A3,'BSE ALL CAP'!$B$4:$Y$1038,21,)</f>
        <v>-8.6042065009560575E-3</v>
      </c>
      <c r="W3" s="95">
        <f>VLOOKUP(A3,'BSE ALL CAP'!$B$4:$Y$1038,22,)</f>
        <v>0.1333333333333333</v>
      </c>
      <c r="X3" s="95">
        <f>VLOOKUP(A3,'BSE ALL CAP'!$B$4:$Y$1038,23,)</f>
        <v>0.11721611721611724</v>
      </c>
      <c r="Y3" s="95">
        <f>VLOOKUP(A3,'BSE ALL CAP'!$B$4:$Y$1038,24,)</f>
        <v>0.30769230769230771</v>
      </c>
    </row>
    <row r="4" spans="1:25" ht="15.75" customHeight="1">
      <c r="A4" s="99">
        <v>544419</v>
      </c>
      <c r="B4" s="98" t="s">
        <v>2920</v>
      </c>
      <c r="C4" s="101" t="e">
        <f>VLOOKUP(A4,'BSE ALL CAP'!$B$4:$Y$1038,2,)</f>
        <v>#N/A</v>
      </c>
      <c r="D4" s="101" t="e">
        <f>VLOOKUP(A4,'BSE ALL CAP'!$B$4:$Y$1038,3,)</f>
        <v>#N/A</v>
      </c>
      <c r="E4" s="101">
        <f ca="1">IFERROR(__xludf.DUMMYFUNCTION("GOOGLEFINANCE(""BOM:""&amp;A4,""PRICE"")"),102.59)</f>
        <v>102.59</v>
      </c>
      <c r="F4" s="112">
        <f ca="1">IFERROR(__xludf.DUMMYFUNCTION("GOOGLEFINANCE(""BOM:""&amp;A4,""MARKETCAP"")/10000000"),837.3168887)</f>
        <v>837.31688870000005</v>
      </c>
      <c r="G4" s="95">
        <f t="shared" ca="1" si="0"/>
        <v>8.0832435104957925E-2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508906</v>
      </c>
      <c r="B5" s="98" t="s">
        <v>2921</v>
      </c>
      <c r="C5" s="101" t="e">
        <f>VLOOKUP(A5,'BSE ALL CAP'!$B$4:$Y$1038,2,)</f>
        <v>#N/A</v>
      </c>
      <c r="D5" s="101" t="e">
        <f>VLOOKUP(A5,'BSE ALL CAP'!$B$4:$Y$1038,3,)</f>
        <v>#N/A</v>
      </c>
      <c r="E5" s="101">
        <f ca="1">IFERROR(__xludf.DUMMYFUNCTION("GOOGLEFINANCE(""BOM:""&amp;A5,""PRICE"")"),326.75)</f>
        <v>326.75</v>
      </c>
      <c r="F5" s="112">
        <f ca="1">IFERROR(__xludf.DUMMYFUNCTION("GOOGLEFINANCE(""BOM:""&amp;A5,""MARKETCAP"")/10000000"),517.6109781)</f>
        <v>517.61097810000001</v>
      </c>
      <c r="G5" s="95">
        <f t="shared" ca="1" si="0"/>
        <v>4.9968842575051298E-2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532841</v>
      </c>
      <c r="B6" s="98" t="s">
        <v>2922</v>
      </c>
      <c r="C6" s="101"/>
      <c r="D6" s="101"/>
      <c r="E6" s="101">
        <f ca="1">IFERROR(__xludf.DUMMYFUNCTION("GOOGLEFINANCE(""BOM:""&amp;A6,""PRICE"")"),217.05)</f>
        <v>217.05</v>
      </c>
      <c r="F6" s="112">
        <f ca="1">IFERROR(__xludf.DUMMYFUNCTION("GOOGLEFINANCE(""BOM:""&amp;A6,""MARKETCAP"")/10000000"),245.4705532)</f>
        <v>245.47055320000001</v>
      </c>
      <c r="G6" s="95">
        <f t="shared" ca="1" si="0"/>
        <v>2.3697100619245067E-2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531281</v>
      </c>
      <c r="B7" s="98" t="s">
        <v>2923</v>
      </c>
      <c r="C7" s="101"/>
      <c r="D7" s="101"/>
      <c r="E7" s="101">
        <f ca="1">IFERROR(__xludf.DUMMYFUNCTION("GOOGLEFINANCE(""BOM:""&amp;A7,""PRICE"")"),94.01)</f>
        <v>94.01</v>
      </c>
      <c r="F7" s="112">
        <f ca="1">IFERROR(__xludf.DUMMYFUNCTION("GOOGLEFINANCE(""BOM:""&amp;A7,""MARKETCAP"")/10000000"),239.8675545)</f>
        <v>239.86755450000001</v>
      </c>
      <c r="G7" s="95">
        <f t="shared" ca="1" si="0"/>
        <v>2.3156201426928424E-2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512103</v>
      </c>
      <c r="B8" s="98" t="s">
        <v>2924</v>
      </c>
      <c r="C8" s="101"/>
      <c r="D8" s="101"/>
      <c r="E8" s="101">
        <f ca="1">IFERROR(__xludf.DUMMYFUNCTION("GOOGLEFINANCE(""BOM:""&amp;A8,""PRICE"")"),193.9)</f>
        <v>193.9</v>
      </c>
      <c r="F8" s="112">
        <f ca="1">IFERROR(__xludf.DUMMYFUNCTION("GOOGLEFINANCE(""BOM:""&amp;A8,""MARKETCAP"")/10000000"),155.1199951)</f>
        <v>155.11999510000001</v>
      </c>
      <c r="G8" s="95">
        <f t="shared" ca="1" si="0"/>
        <v>1.4974888368571542E-2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513528</v>
      </c>
      <c r="B9" s="98" t="s">
        <v>2925</v>
      </c>
      <c r="C9" s="101"/>
      <c r="D9" s="101"/>
      <c r="E9" s="101">
        <f ca="1">IFERROR(__xludf.DUMMYFUNCTION("GOOGLEFINANCE(""BOM:""&amp;A9,""PRICE"")"),43.12)</f>
        <v>43.12</v>
      </c>
      <c r="F9" s="112">
        <f ca="1">IFERROR(__xludf.DUMMYFUNCTION("GOOGLEFINANCE(""BOM:""&amp;A9,""MARKETCAP"")/10000000"),111.9369731)</f>
        <v>111.9369731</v>
      </c>
      <c r="G9" s="95">
        <f t="shared" ca="1" si="0"/>
        <v>1.080610965341821E-2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526315</v>
      </c>
      <c r="B10" s="98" t="s">
        <v>2926</v>
      </c>
      <c r="C10" s="101"/>
      <c r="D10" s="101"/>
      <c r="E10" s="101">
        <f ca="1">IFERROR(__xludf.DUMMYFUNCTION("GOOGLEFINANCE(""BOM:""&amp;A10,""PRICE"")"),49.9)</f>
        <v>49.9</v>
      </c>
      <c r="F10" s="112">
        <f ca="1">IFERROR(__xludf.DUMMYFUNCTION("GOOGLEFINANCE(""BOM:""&amp;A10,""MARKETCAP"")/10000000"),51.2416628)</f>
        <v>51.2416628</v>
      </c>
      <c r="G10" s="95">
        <f t="shared" ca="1" si="0"/>
        <v>4.9467393275464651E-3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526095</v>
      </c>
      <c r="B11" s="98" t="s">
        <v>2927</v>
      </c>
      <c r="C11" s="101"/>
      <c r="D11" s="101"/>
      <c r="E11" s="101">
        <f ca="1">IFERROR(__xludf.DUMMYFUNCTION("GOOGLEFINANCE(""BOM:""&amp;A11,""PRICE"")"),37.44)</f>
        <v>37.44</v>
      </c>
      <c r="F11" s="112">
        <f ca="1">IFERROR(__xludf.DUMMYFUNCTION("GOOGLEFINANCE(""BOM:""&amp;A11,""MARKETCAP"")/10000000"),39.6339825)</f>
        <v>39.633982500000002</v>
      </c>
      <c r="G11" s="95">
        <f t="shared" ca="1" si="0"/>
        <v>3.8261635010805773E-3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502250</v>
      </c>
      <c r="B12" s="98" t="s">
        <v>2928</v>
      </c>
      <c r="C12" s="101"/>
      <c r="D12" s="101"/>
      <c r="E12" s="101">
        <f ca="1">IFERROR(__xludf.DUMMYFUNCTION("GOOGLEFINANCE(""BOM:""&amp;A12,""PRICE"")"),526)</f>
        <v>526</v>
      </c>
      <c r="F12" s="112">
        <f ca="1">IFERROR(__xludf.DUMMYFUNCTION("GOOGLEFINANCE(""BOM:""&amp;A12,""MARKETCAP"")/10000000"),36.82)</f>
        <v>36.82</v>
      </c>
      <c r="G12" s="95">
        <f t="shared" ca="1" si="0"/>
        <v>3.5545088134856712E-3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531168</v>
      </c>
      <c r="B13" s="98" t="s">
        <v>2929</v>
      </c>
      <c r="C13" s="101"/>
      <c r="D13" s="101"/>
      <c r="E13" s="101">
        <f ca="1">IFERROR(__xludf.DUMMYFUNCTION("GOOGLEFINANCE(""BOM:""&amp;A13,""PRICE"")"),182)</f>
        <v>182</v>
      </c>
      <c r="F13" s="112">
        <f ca="1">IFERROR(__xludf.DUMMYFUNCTION("GOOGLEFINANCE(""BOM:""&amp;A13,""MARKETCAP"")/10000000"),37.214086)</f>
        <v>37.214086000000002</v>
      </c>
      <c r="G13" s="95">
        <f t="shared" ca="1" si="0"/>
        <v>3.5925528699840776E-3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523467</v>
      </c>
      <c r="B14" s="98" t="s">
        <v>2930</v>
      </c>
      <c r="C14" s="101"/>
      <c r="D14" s="101"/>
      <c r="E14" s="101">
        <f ca="1">IFERROR(__xludf.DUMMYFUNCTION("GOOGLEFINANCE(""BOM:""&amp;A14,""PRICE"")"),1.95)</f>
        <v>1.95</v>
      </c>
      <c r="F14" s="112">
        <f ca="1">IFERROR(__xludf.DUMMYFUNCTION("GOOGLEFINANCE(""BOM:""&amp;A14,""MARKETCAP"")/10000000"),19.5000004)</f>
        <v>19.500000400000001</v>
      </c>
      <c r="G14" s="95">
        <f t="shared" ca="1" si="0"/>
        <v>1.8824802630302586E-3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531129</v>
      </c>
      <c r="B15" s="98" t="s">
        <v>2931</v>
      </c>
      <c r="C15" s="101"/>
      <c r="D15" s="101"/>
      <c r="E15" s="101">
        <f ca="1">IFERROR(__xludf.DUMMYFUNCTION("GOOGLEFINANCE(""BOM:""&amp;A15,""PRICE"")"),10.16)</f>
        <v>10.16</v>
      </c>
      <c r="F15" s="112">
        <f ca="1">IFERROR(__xludf.DUMMYFUNCTION("GOOGLEFINANCE(""BOM:""&amp;A15,""MARKETCAP"")/10000000"),18.8975997)</f>
        <v>18.897599700000001</v>
      </c>
      <c r="G15" s="95">
        <f t="shared" ca="1" si="0"/>
        <v>1.8243260371367241E-3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540072</v>
      </c>
      <c r="B16" s="98" t="s">
        <v>2932</v>
      </c>
      <c r="C16" s="101"/>
      <c r="D16" s="101"/>
      <c r="E16" s="101">
        <f ca="1">IFERROR(__xludf.DUMMYFUNCTION("GOOGLEFINANCE(""BOM:""&amp;A16,""PRICE"")"),13.3)</f>
        <v>13.3</v>
      </c>
      <c r="F16" s="112">
        <f ca="1">IFERROR(__xludf.DUMMYFUNCTION("GOOGLEFINANCE(""BOM:""&amp;A16,""MARKETCAP"")/10000000"),17.57602)</f>
        <v>17.57602</v>
      </c>
      <c r="G16" s="95">
        <f t="shared" ca="1" si="0"/>
        <v>1.6967441063552532E-3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513699</v>
      </c>
      <c r="B17" s="98" t="s">
        <v>2933</v>
      </c>
      <c r="C17" s="101"/>
      <c r="D17" s="101"/>
      <c r="E17" s="101">
        <f ca="1">IFERROR(__xludf.DUMMYFUNCTION("GOOGLEFINANCE(""BOM:""&amp;A17,""PRICE"")"),25.74)</f>
        <v>25.74</v>
      </c>
      <c r="F17" s="112">
        <f ca="1">IFERROR(__xludf.DUMMYFUNCTION("GOOGLEFINANCE(""BOM:""&amp;A17,""MARKETCAP"")/10000000"),13.8481198)</f>
        <v>13.848119799999999</v>
      </c>
      <c r="G17" s="95">
        <f t="shared" ca="1" si="0"/>
        <v>1.3368621368632654E-3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502281</v>
      </c>
      <c r="B18" s="98" t="s">
        <v>2934</v>
      </c>
      <c r="C18" s="101"/>
      <c r="D18" s="101"/>
      <c r="E18" s="101">
        <f ca="1">IFERROR(__xludf.DUMMYFUNCTION("GOOGLEFINANCE(""BOM:""&amp;A18,""PRICE"")"),7.9)</f>
        <v>7.9</v>
      </c>
      <c r="F18" s="112">
        <f ca="1">IFERROR(__xludf.DUMMYFUNCTION("GOOGLEFINANCE(""BOM:""&amp;A18,""MARKETCAP"")/10000000"),9.9693498)</f>
        <v>9.9693497999999998</v>
      </c>
      <c r="G18" s="95">
        <f t="shared" ca="1" si="0"/>
        <v>9.6241558198863696E-4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531338</v>
      </c>
      <c r="B19" s="98" t="s">
        <v>2935</v>
      </c>
      <c r="C19" s="101"/>
      <c r="D19" s="101"/>
      <c r="E19" s="101">
        <f ca="1">IFERROR(__xludf.DUMMYFUNCTION("GOOGLEFINANCE(""BOM:""&amp;A19,""PRICE"")"),18.47)</f>
        <v>18.47</v>
      </c>
      <c r="F19" s="112">
        <f ca="1">IFERROR(__xludf.DUMMYFUNCTION("GOOGLEFINANCE(""BOM:""&amp;A19,""MARKETCAP"")/10000000"),9.267323)</f>
        <v>9.2673229999999993</v>
      </c>
      <c r="G19" s="95">
        <f t="shared" ca="1" si="0"/>
        <v>8.946437067060964E-4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531221</v>
      </c>
      <c r="B20" s="98" t="s">
        <v>2936</v>
      </c>
      <c r="C20" s="101"/>
      <c r="D20" s="101"/>
      <c r="E20" s="101">
        <f ca="1">IFERROR(__xludf.DUMMYFUNCTION("GOOGLEFINANCE(""BOM:""&amp;A20,""PRICE"")"),8.81)</f>
        <v>8.81</v>
      </c>
      <c r="F20" s="112">
        <f ca="1">IFERROR(__xludf.DUMMYFUNCTION("GOOGLEFINANCE(""BOM:""&amp;A20,""MARKETCAP"")/10000000"),4.4677265)</f>
        <v>4.4677265000000004</v>
      </c>
      <c r="G20" s="95">
        <f t="shared" ca="1" si="0"/>
        <v>4.3130291201774827E-4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531049</v>
      </c>
      <c r="B21" s="98" t="s">
        <v>2937</v>
      </c>
      <c r="C21" s="101"/>
      <c r="D21" s="101"/>
      <c r="E21" s="101">
        <f ca="1">IFERROR(__xludf.DUMMYFUNCTION("GOOGLEFINANCE(""BOM:""&amp;A21,""PRICE"")"),19.79)</f>
        <v>19.79</v>
      </c>
      <c r="F21" s="112">
        <f ca="1">IFERROR(__xludf.DUMMYFUNCTION("GOOGLEFINANCE(""BOM:""&amp;A21,""MARKETCAP"")/10000000"),9.981482)</f>
        <v>9.9814819999999997</v>
      </c>
      <c r="G21" s="95">
        <f t="shared" ca="1" si="0"/>
        <v>9.6358679360805492E-4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539119</v>
      </c>
      <c r="B22" s="98" t="s">
        <v>2938</v>
      </c>
      <c r="C22" s="101"/>
      <c r="D22" s="101"/>
      <c r="E22" s="101">
        <f ca="1">IFERROR(__xludf.DUMMYFUNCTION("GOOGLEFINANCE(""BOM:""&amp;A22,""PRICE"")"),21.05)</f>
        <v>21.05</v>
      </c>
      <c r="F22" s="112">
        <f ca="1">IFERROR(__xludf.DUMMYFUNCTION("GOOGLEFINANCE(""BOM:""&amp;A22,""MARKETCAP"")/10000000"),6.589913)</f>
        <v>6.5899130000000001</v>
      </c>
      <c r="G22" s="95">
        <f t="shared" ca="1" si="0"/>
        <v>6.3617337964703426E-4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>
      <c r="A23" s="101"/>
      <c r="B23" s="101"/>
      <c r="C23" s="101"/>
      <c r="D23" s="101"/>
      <c r="E23" s="101"/>
      <c r="F23" s="112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>
      <c r="A24" s="101"/>
      <c r="B24" s="101"/>
      <c r="C24" s="101"/>
      <c r="D24" s="101"/>
      <c r="E24" s="101"/>
      <c r="F24" s="112">
        <f t="shared" ref="F24:G24" ca="1" si="1">SUM(F2:F22)</f>
        <v>10358.674554499998</v>
      </c>
      <c r="G24" s="95">
        <f t="shared" ca="1" si="1"/>
        <v>0.99999999999999989</v>
      </c>
      <c r="H24" s="101">
        <f t="shared" ref="H24:O24" si="2">SUM(H2:H22)</f>
        <v>1037</v>
      </c>
      <c r="I24" s="101">
        <f t="shared" si="2"/>
        <v>1046</v>
      </c>
      <c r="J24" s="101">
        <f t="shared" si="2"/>
        <v>85</v>
      </c>
      <c r="K24" s="101">
        <f t="shared" si="2"/>
        <v>75</v>
      </c>
      <c r="L24" s="101">
        <f t="shared" si="2"/>
        <v>305</v>
      </c>
      <c r="M24" s="101">
        <f t="shared" si="2"/>
        <v>273</v>
      </c>
      <c r="N24" s="101">
        <f t="shared" si="2"/>
        <v>17</v>
      </c>
      <c r="O24" s="101">
        <f t="shared" si="2"/>
        <v>13</v>
      </c>
      <c r="P24" s="95">
        <f t="shared" ref="P24:Q24" si="3">J24/H24</f>
        <v>8.1967213114754092E-2</v>
      </c>
      <c r="Q24" s="95">
        <f t="shared" si="3"/>
        <v>7.1701720841300193E-2</v>
      </c>
      <c r="R24" s="95">
        <f>P24-Q24</f>
        <v>1.0265492273453899E-2</v>
      </c>
      <c r="S24" s="95">
        <f t="shared" ref="S24:T24" si="4">N24/L24</f>
        <v>5.5737704918032788E-2</v>
      </c>
      <c r="T24" s="95">
        <f t="shared" si="4"/>
        <v>4.7619047619047616E-2</v>
      </c>
      <c r="U24" s="95">
        <f>S24-T24</f>
        <v>8.1186572989851713E-3</v>
      </c>
      <c r="V24" s="95">
        <f>(H24/I24)-1</f>
        <v>-8.6042065009560575E-3</v>
      </c>
      <c r="W24" s="95">
        <f>(J24/K24)-1</f>
        <v>0.1333333333333333</v>
      </c>
      <c r="X24" s="95">
        <f>(L24/M24)-1</f>
        <v>0.11721611721611724</v>
      </c>
      <c r="Y24" s="95">
        <f>(N24/O24)-1</f>
        <v>0.30769230769230771</v>
      </c>
    </row>
    <row r="25" spans="1:25" ht="13.2">
      <c r="F25" s="94"/>
    </row>
    <row r="26" spans="1:25" ht="13.2">
      <c r="F26" s="94"/>
    </row>
    <row r="27" spans="1:25" ht="13.2">
      <c r="F27" s="94"/>
    </row>
    <row r="28" spans="1:25" ht="13.2">
      <c r="F28" s="94"/>
    </row>
    <row r="29" spans="1:25" ht="13.2">
      <c r="F29" s="94"/>
    </row>
    <row r="30" spans="1:25" ht="13.2">
      <c r="F30" s="94"/>
    </row>
    <row r="31" spans="1:25" ht="13.2">
      <c r="F31" s="94"/>
    </row>
    <row r="32" spans="1:25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22" xr:uid="{00000000-0009-0000-0000-000051000000}"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543324</v>
      </c>
      <c r="B2" s="98" t="s">
        <v>2939</v>
      </c>
      <c r="C2" s="101" t="e">
        <f>VLOOKUP(A2,'BSE ALL CAP'!$B$4:$Y$1038,2,)</f>
        <v>#N/A</v>
      </c>
      <c r="D2" s="101" t="e">
        <f>VLOOKUP(A2,'BSE ALL CAP'!$B$4:$Y$1038,3,)</f>
        <v>#N/A</v>
      </c>
      <c r="E2" s="101">
        <f ca="1">IFERROR(__xludf.DUMMYFUNCTION("GOOGLEFINANCE(""BOM:""&amp;A2,""PRICE"")"),332.7)</f>
        <v>332.7</v>
      </c>
      <c r="F2" s="112">
        <f ca="1">IFERROR(__xludf.DUMMYFUNCTION("GOOGLEFINANCE(""BOM:""&amp;A2,""MARKETCAP"")/10000000"),784.64216)</f>
        <v>784.64215999999999</v>
      </c>
      <c r="G2" s="95">
        <f t="shared" ref="G2:G6" ca="1" si="0">F2/$F$8</f>
        <v>0.71125700154884042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.75" customHeight="1">
      <c r="A3" s="99">
        <v>500069</v>
      </c>
      <c r="B3" s="98" t="s">
        <v>2940</v>
      </c>
      <c r="C3" s="101" t="e">
        <f>VLOOKUP(A3,'BSE ALL CAP'!$B$4:$Y$1038,2,)</f>
        <v>#N/A</v>
      </c>
      <c r="D3" s="101" t="e">
        <f>VLOOKUP(A3,'BSE ALL CAP'!$B$4:$Y$1038,3,)</f>
        <v>#N/A</v>
      </c>
      <c r="E3" s="101">
        <f ca="1">IFERROR(__xludf.DUMMYFUNCTION("GOOGLEFINANCE(""BOM:""&amp;A3,""PRICE"")"),236)</f>
        <v>236</v>
      </c>
      <c r="F3" s="112">
        <f ca="1">IFERROR(__xludf.DUMMYFUNCTION("GOOGLEFINANCE(""BOM:""&amp;A3,""MARKETCAP"")/10000000"),234.35)</f>
        <v>234.35</v>
      </c>
      <c r="G3" s="95">
        <f t="shared" ca="1" si="0"/>
        <v>0.21243196811266266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531176</v>
      </c>
      <c r="B4" s="98" t="s">
        <v>2941</v>
      </c>
      <c r="C4" s="101" t="e">
        <f>VLOOKUP(A4,'BSE ALL CAP'!$B$4:$Y$1038,2,)</f>
        <v>#N/A</v>
      </c>
      <c r="D4" s="101" t="e">
        <f>VLOOKUP(A4,'BSE ALL CAP'!$B$4:$Y$1038,3,)</f>
        <v>#N/A</v>
      </c>
      <c r="E4" s="101">
        <f ca="1">IFERROR(__xludf.DUMMYFUNCTION("GOOGLEFINANCE(""BOM:""&amp;A4,""PRICE"")"),9.71)</f>
        <v>9.7100000000000009</v>
      </c>
      <c r="F4" s="112">
        <f ca="1">IFERROR(__xludf.DUMMYFUNCTION("GOOGLEFINANCE(""BOM:""&amp;A4,""MARKETCAP"")/10000000"),44.3755158)</f>
        <v>44.375515800000002</v>
      </c>
      <c r="G4" s="95">
        <f t="shared" ca="1" si="0"/>
        <v>4.022521082743144E-2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526921</v>
      </c>
      <c r="B5" s="98" t="s">
        <v>2942</v>
      </c>
      <c r="C5" s="101" t="e">
        <f>VLOOKUP(A5,'BSE ALL CAP'!$B$4:$Y$1038,2,)</f>
        <v>#N/A</v>
      </c>
      <c r="D5" s="101" t="e">
        <f>VLOOKUP(A5,'BSE ALL CAP'!$B$4:$Y$1038,3,)</f>
        <v>#N/A</v>
      </c>
      <c r="E5" s="101">
        <f ca="1">IFERROR(__xludf.DUMMYFUNCTION("GOOGLEFINANCE(""BOM:""&amp;A5,""PRICE"")"),29.2)</f>
        <v>29.2</v>
      </c>
      <c r="F5" s="112">
        <f ca="1">IFERROR(__xludf.DUMMYFUNCTION("GOOGLEFINANCE(""BOM:""&amp;A5,""MARKETCAP"")/10000000"),30.4394997)</f>
        <v>30.439499699999999</v>
      </c>
      <c r="G5" s="95">
        <f t="shared" ca="1" si="0"/>
        <v>2.7592587282422889E-2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539692</v>
      </c>
      <c r="B6" s="98" t="s">
        <v>2943</v>
      </c>
      <c r="C6" s="101" t="e">
        <f>VLOOKUP(A6,'BSE ALL CAP'!$B$4:$Y$1038,2,)</f>
        <v>#N/A</v>
      </c>
      <c r="D6" s="101" t="e">
        <f>VLOOKUP(A6,'BSE ALL CAP'!$B$4:$Y$1038,3,)</f>
        <v>#N/A</v>
      </c>
      <c r="E6" s="101">
        <f ca="1">IFERROR(__xludf.DUMMYFUNCTION("GOOGLEFINANCE(""BOM:""&amp;A6,""PRICE"")"),13.52)</f>
        <v>13.52</v>
      </c>
      <c r="F6" s="112">
        <f ca="1">IFERROR(__xludf.DUMMYFUNCTION("GOOGLEFINANCE(""BOM:""&amp;A6,""MARKETCAP"")/10000000"),9.369536)</f>
        <v>9.3695360000000001</v>
      </c>
      <c r="G6" s="95">
        <f t="shared" ca="1" si="0"/>
        <v>8.4932322286428198E-3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101"/>
      <c r="B7" s="101"/>
      <c r="C7" s="101"/>
      <c r="D7" s="101"/>
      <c r="E7" s="101"/>
      <c r="F7" s="112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12">
        <f t="shared" ref="F8:G8" ca="1" si="1">SUM(F2:F6)</f>
        <v>1103.1767114999998</v>
      </c>
      <c r="G8" s="95">
        <f t="shared" ca="1" si="1"/>
        <v>1.0000000000000002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6" xr:uid="{00000000-0009-0000-0000-000052000000}"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540180</v>
      </c>
      <c r="B2" s="98" t="s">
        <v>2944</v>
      </c>
      <c r="C2" s="101" t="str">
        <f>VLOOKUP(A2,'BSE ALL CAP'!$B$4:$Y$1038,2,)</f>
        <v>Fast Moving Consumer Goods</v>
      </c>
      <c r="D2" s="101" t="str">
        <f>VLOOKUP(A2,'BSE ALL CAP'!$B$4:$Y$1038,3,)</f>
        <v>Other Beverages</v>
      </c>
      <c r="E2" s="101">
        <f ca="1">IFERROR(__xludf.DUMMYFUNCTION("GOOGLEFINANCE(""BOM:""&amp;A2,""PRICE"")"),401.05)</f>
        <v>401.05</v>
      </c>
      <c r="F2" s="112">
        <f ca="1">IFERROR(__xludf.DUMMYFUNCTION("GOOGLEFINANCE(""BOM:""&amp;A2,""MARKETCAP"")/10000000"),135554.3634714)</f>
        <v>135554.36347139999</v>
      </c>
      <c r="G2" s="95">
        <f t="shared" ref="G2:G6" ca="1" si="0">F2/$F$8</f>
        <v>0.99885104859917784</v>
      </c>
      <c r="H2" s="101">
        <f>VLOOKUP(A2,'BSE ALL CAP'!$B$4:$Y$1038,7,)</f>
        <v>22225</v>
      </c>
      <c r="I2" s="101">
        <f>VLOOKUP(A2,'BSE ALL CAP'!$B$4:$Y$1038,8,)</f>
        <v>20481</v>
      </c>
      <c r="J2" s="101">
        <f>VLOOKUP(A2,'BSE ALL CAP'!$B$4:$Y$1038,9,)</f>
        <v>195</v>
      </c>
      <c r="K2" s="101">
        <f>VLOOKUP(A2,'BSE ALL CAP'!$B$4:$Y$1038,10,)</f>
        <v>3062</v>
      </c>
      <c r="L2" s="101">
        <f>VLOOKUP(A2,'BSE ALL CAP'!$B$4:$Y$1038,11,)</f>
        <v>4334</v>
      </c>
      <c r="M2" s="101">
        <f>VLOOKUP(A2,'BSE ALL CAP'!$B$4:$Y$1038,12,)</f>
        <v>3817</v>
      </c>
      <c r="N2" s="101">
        <f>VLOOKUP(A2,'BSE ALL CAP'!$B$4:$Y$1038,13,)</f>
        <v>260</v>
      </c>
      <c r="O2" s="101">
        <f>VLOOKUP(A2,'BSE ALL CAP'!$B$4:$Y$1038,14,)</f>
        <v>195</v>
      </c>
      <c r="P2" s="95">
        <f>VLOOKUP(A2,'BSE ALL CAP'!$B$4:$Y$1038,15,)</f>
        <v>8.7739032620922381E-3</v>
      </c>
      <c r="Q2" s="95">
        <f>VLOOKUP(A2,'BSE ALL CAP'!$B$4:$Y$1038,16,)</f>
        <v>0.14950441872955422</v>
      </c>
      <c r="R2" s="95">
        <f>VLOOKUP(A2,'BSE ALL CAP'!$B$4:$Y$1038,17,)</f>
        <v>-0.14073051546746199</v>
      </c>
      <c r="S2" s="95">
        <f>VLOOKUP(A2,'BSE ALL CAP'!$B$4:$Y$1038,18,)</f>
        <v>5.9990770650669129E-2</v>
      </c>
      <c r="T2" s="95">
        <f>VLOOKUP(A2,'BSE ALL CAP'!$B$4:$Y$1038,19,)</f>
        <v>5.1087241288970395E-2</v>
      </c>
      <c r="U2" s="95">
        <f>VLOOKUP(A2,'BSE ALL CAP'!$B$4:$Y$1038,20,)</f>
        <v>8.9035293616987338E-3</v>
      </c>
      <c r="V2" s="95">
        <f>VLOOKUP(A2,'BSE ALL CAP'!$B$4:$Y$1038,21,)</f>
        <v>8.5152092182998906E-2</v>
      </c>
      <c r="W2" s="95">
        <f>VLOOKUP(A2,'BSE ALL CAP'!$B$4:$Y$1038,22,)</f>
        <v>-0.9363161332462443</v>
      </c>
      <c r="X2" s="95">
        <f>VLOOKUP(A2,'BSE ALL CAP'!$B$4:$Y$1038,23,)</f>
        <v>0.13544668587896247</v>
      </c>
      <c r="Y2" s="95">
        <f>VLOOKUP(A2,'BSE ALL CAP'!$B$4:$Y$1038,24,)</f>
        <v>0.33333333333333326</v>
      </c>
    </row>
    <row r="3" spans="1:25" ht="15.75" customHeight="1">
      <c r="A3" s="99">
        <v>542910</v>
      </c>
      <c r="B3" s="98" t="s">
        <v>2945</v>
      </c>
      <c r="C3" s="101"/>
      <c r="D3" s="101"/>
      <c r="E3" s="101">
        <f ca="1">IFERROR(__xludf.DUMMYFUNCTION("GOOGLEFINANCE(""BOM:""&amp;A3,""PRICE"")"),51.4)</f>
        <v>51.4</v>
      </c>
      <c r="F3" s="112">
        <f ca="1">IFERROR(__xludf.DUMMYFUNCTION("GOOGLEFINANCE(""BOM:""&amp;A3,""MARKETCAP"")/10000000"),88.56395)</f>
        <v>88.563950000000006</v>
      </c>
      <c r="G3" s="95">
        <f t="shared" ca="1" si="0"/>
        <v>6.5259569710752552E-4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507690</v>
      </c>
      <c r="B4" s="98" t="s">
        <v>2946</v>
      </c>
      <c r="C4" s="101"/>
      <c r="D4" s="101"/>
      <c r="E4" s="101">
        <f ca="1">IFERROR(__xludf.DUMMYFUNCTION("GOOGLEFINANCE(""BOM:""&amp;A4,""PRICE"")"),208.5)</f>
        <v>208.5</v>
      </c>
      <c r="F4" s="112">
        <f ca="1">IFERROR(__xludf.DUMMYFUNCTION("GOOGLEFINANCE(""BOM:""&amp;A4,""MARKETCAP"")/10000000"),45.067275)</f>
        <v>45.067275000000002</v>
      </c>
      <c r="G4" s="95">
        <f t="shared" ca="1" si="0"/>
        <v>3.3208444006123887E-4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531406</v>
      </c>
      <c r="B5" s="98" t="s">
        <v>2947</v>
      </c>
      <c r="C5" s="101"/>
      <c r="D5" s="101"/>
      <c r="E5" s="101">
        <f ca="1">IFERROR(__xludf.DUMMYFUNCTION("GOOGLEFINANCE(""BOM:""&amp;A5,""PRICE"")"),17.84)</f>
        <v>17.84</v>
      </c>
      <c r="F5" s="112">
        <f ca="1">IFERROR(__xludf.DUMMYFUNCTION("GOOGLEFINANCE(""BOM:""&amp;A5,""MARKETCAP"")/10000000"),16.51199)</f>
        <v>16.511990000000001</v>
      </c>
      <c r="G5" s="95">
        <f t="shared" ca="1" si="0"/>
        <v>1.2167087877948635E-4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519367</v>
      </c>
      <c r="B6" s="98" t="s">
        <v>2948</v>
      </c>
      <c r="C6" s="101"/>
      <c r="D6" s="101"/>
      <c r="E6" s="101">
        <f ca="1">IFERROR(__xludf.DUMMYFUNCTION("GOOGLEFINANCE(""BOM:""&amp;A6,""PRICE"")"),399)</f>
        <v>399</v>
      </c>
      <c r="F6" s="112">
        <f ca="1">IFERROR(__xludf.DUMMYFUNCTION("GOOGLEFINANCE(""BOM:""&amp;A6,""MARKETCAP"")/10000000"),5.7813105)</f>
        <v>5.7813105</v>
      </c>
      <c r="G6" s="95">
        <f t="shared" ca="1" si="0"/>
        <v>4.2600384873783931E-5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101"/>
      <c r="B7" s="101"/>
      <c r="C7" s="101"/>
      <c r="D7" s="101"/>
      <c r="E7" s="101"/>
      <c r="F7" s="112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12">
        <f t="shared" ref="F8:O8" ca="1" si="1">SUM(F2:F6)</f>
        <v>135710.28799690001</v>
      </c>
      <c r="G8" s="95">
        <f t="shared" ca="1" si="1"/>
        <v>0.99999999999999989</v>
      </c>
      <c r="H8" s="101">
        <f t="shared" si="1"/>
        <v>22225</v>
      </c>
      <c r="I8" s="101">
        <f t="shared" si="1"/>
        <v>20481</v>
      </c>
      <c r="J8" s="101">
        <f t="shared" si="1"/>
        <v>195</v>
      </c>
      <c r="K8" s="101">
        <f t="shared" si="1"/>
        <v>3062</v>
      </c>
      <c r="L8" s="101">
        <f t="shared" si="1"/>
        <v>4334</v>
      </c>
      <c r="M8" s="101">
        <f t="shared" si="1"/>
        <v>3817</v>
      </c>
      <c r="N8" s="101">
        <f t="shared" si="1"/>
        <v>260</v>
      </c>
      <c r="O8" s="101">
        <f t="shared" si="1"/>
        <v>195</v>
      </c>
      <c r="P8" s="95">
        <f t="shared" ref="P8:Q8" si="2">J8/H8</f>
        <v>8.7739032620922381E-3</v>
      </c>
      <c r="Q8" s="95">
        <f t="shared" si="2"/>
        <v>0.14950441872955422</v>
      </c>
      <c r="R8" s="95">
        <f>P8-Q8</f>
        <v>-0.14073051546746199</v>
      </c>
      <c r="S8" s="95">
        <f t="shared" ref="S8:T8" si="3">N8/L8</f>
        <v>5.9990770650669129E-2</v>
      </c>
      <c r="T8" s="95">
        <f t="shared" si="3"/>
        <v>5.1087241288970395E-2</v>
      </c>
      <c r="U8" s="95">
        <f>S8-T8</f>
        <v>8.9035293616987338E-3</v>
      </c>
      <c r="V8" s="95">
        <f>(H8/I8)-1</f>
        <v>8.5152092182998906E-2</v>
      </c>
      <c r="W8" s="95">
        <f>(J8/K8)-1</f>
        <v>-0.9363161332462443</v>
      </c>
      <c r="X8" s="95">
        <f>(L8/M8)-1</f>
        <v>0.13544668587896247</v>
      </c>
      <c r="Y8" s="95">
        <f>(N8/O8)-1</f>
        <v>0.33333333333333326</v>
      </c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6" xr:uid="{00000000-0009-0000-0000-000053000000}"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540611</v>
      </c>
      <c r="B2" s="98" t="s">
        <v>1423</v>
      </c>
      <c r="C2" s="101" t="str">
        <f>VLOOKUP(A2,'BSE ALL CAP'!$B$4:$Y$1038,2,)</f>
        <v>Financial Services</v>
      </c>
      <c r="D2" s="101" t="str">
        <f>VLOOKUP(A2,'BSE ALL CAP'!$B$4:$Y$1038,3,)</f>
        <v>Other Bank</v>
      </c>
      <c r="E2" s="101">
        <f ca="1">IFERROR(__xludf.DUMMYFUNCTION("GOOGLEFINANCE(""BOM:""&amp;A2,""PRICE"")"),882.2)</f>
        <v>882.2</v>
      </c>
      <c r="F2" s="112">
        <f ca="1">IFERROR(__xludf.DUMMYFUNCTION("GOOGLEFINANCE(""BOM:""&amp;A2,""MARKETCAP"")/10000000"),66030.8223284)</f>
        <v>66030.822328399998</v>
      </c>
      <c r="G2" s="95">
        <f t="shared" ref="G2:G10" ca="1" si="0">F2/$F$12</f>
        <v>0.70208432692932188</v>
      </c>
      <c r="H2" s="101">
        <f>VLOOKUP(A2,'BSE ALL CAP'!$B$4:$Y$1038,7,)</f>
        <v>15864</v>
      </c>
      <c r="I2" s="101">
        <f>VLOOKUP(A2,'BSE ALL CAP'!$B$4:$Y$1038,8,)</f>
        <v>13558</v>
      </c>
      <c r="J2" s="101">
        <f>VLOOKUP(A2,'BSE ALL CAP'!$B$4:$Y$1038,9,)</f>
        <v>1809</v>
      </c>
      <c r="K2" s="101">
        <f>VLOOKUP(A2,'BSE ALL CAP'!$B$4:$Y$1038,10,)</f>
        <v>1602</v>
      </c>
      <c r="L2" s="101">
        <f>VLOOKUP(A2,'BSE ALL CAP'!$B$4:$Y$1038,11,)</f>
        <v>5451</v>
      </c>
      <c r="M2" s="101">
        <f>VLOOKUP(A2,'BSE ALL CAP'!$B$4:$Y$1038,12,)</f>
        <v>4731</v>
      </c>
      <c r="N2" s="101">
        <f>VLOOKUP(A2,'BSE ALL CAP'!$B$4:$Y$1038,13,)</f>
        <v>667</v>
      </c>
      <c r="O2" s="101">
        <f>VLOOKUP(A2,'BSE ALL CAP'!$B$4:$Y$1038,14,)</f>
        <v>528</v>
      </c>
      <c r="P2" s="95">
        <f>VLOOKUP(A2,'BSE ALL CAP'!$B$4:$Y$1038,15,)</f>
        <v>0.11403177004538578</v>
      </c>
      <c r="Q2" s="95">
        <f>VLOOKUP(A2,'BSE ALL CAP'!$B$4:$Y$1038,16,)</f>
        <v>0.11815902050449918</v>
      </c>
      <c r="R2" s="95">
        <f>VLOOKUP(A2,'BSE ALL CAP'!$B$4:$Y$1038,17,)</f>
        <v>-4.1272504591133991E-3</v>
      </c>
      <c r="S2" s="95">
        <f>VLOOKUP(A2,'BSE ALL CAP'!$B$4:$Y$1038,18,)</f>
        <v>0.12236286919831224</v>
      </c>
      <c r="T2" s="95">
        <f>VLOOKUP(A2,'BSE ALL CAP'!$B$4:$Y$1038,19,)</f>
        <v>0.11160431198478123</v>
      </c>
      <c r="U2" s="95">
        <f>VLOOKUP(A2,'BSE ALL CAP'!$B$4:$Y$1038,20,)</f>
        <v>1.0758557213531014E-2</v>
      </c>
      <c r="V2" s="95">
        <f>VLOOKUP(A2,'BSE ALL CAP'!$B$4:$Y$1038,21,)</f>
        <v>0.17008408319811186</v>
      </c>
      <c r="W2" s="95">
        <f>VLOOKUP(A2,'BSE ALL CAP'!$B$4:$Y$1038,22,)</f>
        <v>0.1292134831460674</v>
      </c>
      <c r="X2" s="95">
        <f>VLOOKUP(A2,'BSE ALL CAP'!$B$4:$Y$1038,23,)</f>
        <v>0.15218769816106525</v>
      </c>
      <c r="Y2" s="95">
        <f>VLOOKUP(A2,'BSE ALL CAP'!$B$4:$Y$1038,24,)</f>
        <v>0.26325757575757569</v>
      </c>
    </row>
    <row r="3" spans="1:25" ht="15.75" customHeight="1">
      <c r="A3" s="99">
        <v>542904</v>
      </c>
      <c r="B3" s="98" t="s">
        <v>2949</v>
      </c>
      <c r="C3" s="101" t="str">
        <f>VLOOKUP(A3,'BSE ALL CAP'!$B$4:$Y$1038,2,)</f>
        <v>Financial Services</v>
      </c>
      <c r="D3" s="101" t="str">
        <f>VLOOKUP(A3,'BSE ALL CAP'!$B$4:$Y$1038,3,)</f>
        <v>Other Bank</v>
      </c>
      <c r="E3" s="101">
        <f ca="1">IFERROR(__xludf.DUMMYFUNCTION("GOOGLEFINANCE(""BOM:""&amp;A3,""PRICE"")"),55.64)</f>
        <v>55.64</v>
      </c>
      <c r="F3" s="112">
        <f ca="1">IFERROR(__xludf.DUMMYFUNCTION("GOOGLEFINANCE(""BOM:""&amp;A3,""MARKETCAP"")/10000000"),10811.1981414)</f>
        <v>10811.1981414</v>
      </c>
      <c r="G3" s="95">
        <f t="shared" ca="1" si="0"/>
        <v>0.11495196489684968</v>
      </c>
      <c r="H3" s="101">
        <f>VLOOKUP(A3,'BSE ALL CAP'!$B$4:$Y$1038,7,)</f>
        <v>5853</v>
      </c>
      <c r="I3" s="101">
        <f>VLOOKUP(A3,'BSE ALL CAP'!$B$4:$Y$1038,8,)</f>
        <v>5357</v>
      </c>
      <c r="J3" s="101">
        <f>VLOOKUP(A3,'BSE ALL CAP'!$B$4:$Y$1038,9,)</f>
        <v>410</v>
      </c>
      <c r="K3" s="101">
        <f>VLOOKUP(A3,'BSE ALL CAP'!$B$4:$Y$1038,10,)</f>
        <v>642</v>
      </c>
      <c r="L3" s="101">
        <f>VLOOKUP(A3,'BSE ALL CAP'!$B$4:$Y$1038,11,)</f>
        <v>2047</v>
      </c>
      <c r="M3" s="101">
        <f>VLOOKUP(A3,'BSE ALL CAP'!$B$4:$Y$1038,12,)</f>
        <v>1763</v>
      </c>
      <c r="N3" s="101">
        <f>VLOOKUP(A3,'BSE ALL CAP'!$B$4:$Y$1038,13,)</f>
        <v>185</v>
      </c>
      <c r="O3" s="101">
        <f>VLOOKUP(A3,'BSE ALL CAP'!$B$4:$Y$1038,14,)</f>
        <v>108</v>
      </c>
      <c r="P3" s="95">
        <f>VLOOKUP(A3,'BSE ALL CAP'!$B$4:$Y$1038,15,)</f>
        <v>7.0049547240731244E-2</v>
      </c>
      <c r="Q3" s="95">
        <f>VLOOKUP(A3,'BSE ALL CAP'!$B$4:$Y$1038,16,)</f>
        <v>0.11984319581855517</v>
      </c>
      <c r="R3" s="95">
        <f>VLOOKUP(A3,'BSE ALL CAP'!$B$4:$Y$1038,17,)</f>
        <v>-4.9793648577823924E-2</v>
      </c>
      <c r="S3" s="95">
        <f>VLOOKUP(A3,'BSE ALL CAP'!$B$4:$Y$1038,18,)</f>
        <v>9.0376160234489494E-2</v>
      </c>
      <c r="T3" s="95">
        <f>VLOOKUP(A3,'BSE ALL CAP'!$B$4:$Y$1038,19,)</f>
        <v>6.1259217243335225E-2</v>
      </c>
      <c r="U3" s="95">
        <f>VLOOKUP(A3,'BSE ALL CAP'!$B$4:$Y$1038,20,)</f>
        <v>2.911694299115427E-2</v>
      </c>
      <c r="V3" s="95">
        <f>VLOOKUP(A3,'BSE ALL CAP'!$B$4:$Y$1038,21,)</f>
        <v>9.2589135710285708E-2</v>
      </c>
      <c r="W3" s="95">
        <f>VLOOKUP(A3,'BSE ALL CAP'!$B$4:$Y$1038,22,)</f>
        <v>-0.36137071651090347</v>
      </c>
      <c r="X3" s="95">
        <f>VLOOKUP(A3,'BSE ALL CAP'!$B$4:$Y$1038,23,)</f>
        <v>0.16108905275099272</v>
      </c>
      <c r="Y3" s="95">
        <f>VLOOKUP(A3,'BSE ALL CAP'!$B$4:$Y$1038,24,)</f>
        <v>0.71296296296296302</v>
      </c>
    </row>
    <row r="4" spans="1:25" ht="15.75" customHeight="1">
      <c r="A4" s="99">
        <v>543243</v>
      </c>
      <c r="B4" s="98" t="s">
        <v>2950</v>
      </c>
      <c r="C4" s="101" t="str">
        <f>VLOOKUP(A4,'BSE ALL CAP'!$B$4:$Y$1038,2,)</f>
        <v>Financial Services</v>
      </c>
      <c r="D4" s="101" t="str">
        <f>VLOOKUP(A4,'BSE ALL CAP'!$B$4:$Y$1038,3,)</f>
        <v>Other Bank</v>
      </c>
      <c r="E4" s="101">
        <f ca="1">IFERROR(__xludf.DUMMYFUNCTION("GOOGLEFINANCE(""BOM:""&amp;A4,""PRICE"")"),54.8)</f>
        <v>54.8</v>
      </c>
      <c r="F4" s="112">
        <f ca="1">IFERROR(__xludf.DUMMYFUNCTION("GOOGLEFINANCE(""BOM:""&amp;A4,""MARKETCAP"")/10000000"),6255.2078497)</f>
        <v>6255.2078497000002</v>
      </c>
      <c r="G4" s="95">
        <f t="shared" ca="1" si="0"/>
        <v>6.6509597156277772E-2</v>
      </c>
      <c r="H4" s="101">
        <f>VLOOKUP(A4,'BSE ALL CAP'!$B$4:$Y$1038,7,)</f>
        <v>5767</v>
      </c>
      <c r="I4" s="101">
        <f>VLOOKUP(A4,'BSE ALL CAP'!$B$4:$Y$1038,8,)</f>
        <v>5353</v>
      </c>
      <c r="J4" s="101">
        <f>VLOOKUP(A4,'BSE ALL CAP'!$B$4:$Y$1038,9,)</f>
        <v>-109</v>
      </c>
      <c r="K4" s="101">
        <f>VLOOKUP(A4,'BSE ALL CAP'!$B$4:$Y$1038,10,)</f>
        <v>104</v>
      </c>
      <c r="L4" s="101">
        <f>VLOOKUP(A4,'BSE ALL CAP'!$B$4:$Y$1038,11,)</f>
        <v>1981</v>
      </c>
      <c r="M4" s="101">
        <f>VLOOKUP(A4,'BSE ALL CAP'!$B$4:$Y$1038,12,)</f>
        <v>1850</v>
      </c>
      <c r="N4" s="101">
        <f>VLOOKUP(A4,'BSE ALL CAP'!$B$4:$Y$1038,13,)</f>
        <v>90</v>
      </c>
      <c r="O4" s="101">
        <f>VLOOKUP(A4,'BSE ALL CAP'!$B$4:$Y$1038,14,)</f>
        <v>66</v>
      </c>
      <c r="P4" s="95">
        <f>VLOOKUP(A4,'BSE ALL CAP'!$B$4:$Y$1038,15,)</f>
        <v>-1.8900641581411481E-2</v>
      </c>
      <c r="Q4" s="95">
        <f>VLOOKUP(A4,'BSE ALL CAP'!$B$4:$Y$1038,16,)</f>
        <v>1.9428357930132634E-2</v>
      </c>
      <c r="R4" s="95">
        <f>VLOOKUP(A4,'BSE ALL CAP'!$B$4:$Y$1038,17,)</f>
        <v>-3.8328999511544115E-2</v>
      </c>
      <c r="S4" s="95">
        <f>VLOOKUP(A4,'BSE ALL CAP'!$B$4:$Y$1038,18,)</f>
        <v>4.5431600201918221E-2</v>
      </c>
      <c r="T4" s="95">
        <f>VLOOKUP(A4,'BSE ALL CAP'!$B$4:$Y$1038,19,)</f>
        <v>3.5675675675675679E-2</v>
      </c>
      <c r="U4" s="95">
        <f>VLOOKUP(A4,'BSE ALL CAP'!$B$4:$Y$1038,20,)</f>
        <v>9.7559245262425417E-3</v>
      </c>
      <c r="V4" s="95">
        <f>VLOOKUP(A4,'BSE ALL CAP'!$B$4:$Y$1038,21,)</f>
        <v>7.7339809452643404E-2</v>
      </c>
      <c r="W4" s="95">
        <f>VLOOKUP(A4,'BSE ALL CAP'!$B$4:$Y$1038,22,)</f>
        <v>-2.0480769230769234</v>
      </c>
      <c r="X4" s="95">
        <f>VLOOKUP(A4,'BSE ALL CAP'!$B$4:$Y$1038,23,)</f>
        <v>7.0810810810810754E-2</v>
      </c>
      <c r="Y4" s="95">
        <f>VLOOKUP(A4,'BSE ALL CAP'!$B$4:$Y$1038,24,)</f>
        <v>0.36363636363636354</v>
      </c>
    </row>
    <row r="5" spans="1:25" ht="15.75" customHeight="1">
      <c r="A5" s="99">
        <v>544118</v>
      </c>
      <c r="B5" s="98" t="s">
        <v>2951</v>
      </c>
      <c r="C5" s="101" t="str">
        <f>VLOOKUP(A5,'BSE ALL CAP'!$B$4:$Y$1038,2,)</f>
        <v>Financial Services</v>
      </c>
      <c r="D5" s="101" t="str">
        <f>VLOOKUP(A5,'BSE ALL CAP'!$B$4:$Y$1038,3,)</f>
        <v>Other Bank</v>
      </c>
      <c r="E5" s="101">
        <f ca="1">IFERROR(__xludf.DUMMYFUNCTION("GOOGLEFINANCE(""BOM:""&amp;A5,""PRICE"")"),386.25)</f>
        <v>386.25</v>
      </c>
      <c r="F5" s="112">
        <f ca="1">IFERROR(__xludf.DUMMYFUNCTION("GOOGLEFINANCE(""BOM:""&amp;A5,""MARKETCAP"")/10000000"),4067.6323185)</f>
        <v>4067.6323185000001</v>
      </c>
      <c r="G5" s="95">
        <f t="shared" ca="1" si="0"/>
        <v>4.3249815734942541E-2</v>
      </c>
      <c r="H5" s="101">
        <f>VLOOKUP(A5,'BSE ALL CAP'!$B$4:$Y$1038,7,)</f>
        <v>46972</v>
      </c>
      <c r="I5" s="101">
        <f>VLOOKUP(A5,'BSE ALL CAP'!$B$4:$Y$1038,8,)</f>
        <v>40524</v>
      </c>
      <c r="J5" s="101">
        <f>VLOOKUP(A5,'BSE ALL CAP'!$B$4:$Y$1038,9,)</f>
        <v>1866</v>
      </c>
      <c r="K5" s="101">
        <f>VLOOKUP(A5,'BSE ALL CAP'!$B$4:$Y$1038,10,)</f>
        <v>3779</v>
      </c>
      <c r="L5" s="101">
        <f>VLOOKUP(A5,'BSE ALL CAP'!$B$4:$Y$1038,11,)</f>
        <v>13841</v>
      </c>
      <c r="M5" s="101">
        <f>VLOOKUP(A5,'BSE ALL CAP'!$B$4:$Y$1038,12,)</f>
        <v>11774</v>
      </c>
      <c r="N5" s="101">
        <f>VLOOKUP(A5,'BSE ALL CAP'!$B$4:$Y$1038,13,)</f>
        <v>96</v>
      </c>
      <c r="O5" s="101">
        <f>VLOOKUP(A5,'BSE ALL CAP'!$B$4:$Y$1038,14,)</f>
        <v>1106</v>
      </c>
      <c r="P5" s="95">
        <f>VLOOKUP(A5,'BSE ALL CAP'!$B$4:$Y$1038,15,)</f>
        <v>3.9725794090096231E-2</v>
      </c>
      <c r="Q5" s="95">
        <f>VLOOKUP(A5,'BSE ALL CAP'!$B$4:$Y$1038,16,)</f>
        <v>9.3253380712664105E-2</v>
      </c>
      <c r="R5" s="95">
        <f>VLOOKUP(A5,'BSE ALL CAP'!$B$4:$Y$1038,17,)</f>
        <v>-5.3527586622567874E-2</v>
      </c>
      <c r="S5" s="95">
        <f>VLOOKUP(A5,'BSE ALL CAP'!$B$4:$Y$1038,18,)</f>
        <v>6.9359150350408209E-3</v>
      </c>
      <c r="T5" s="95">
        <f>VLOOKUP(A5,'BSE ALL CAP'!$B$4:$Y$1038,19,)</f>
        <v>9.3935790725326998E-2</v>
      </c>
      <c r="U5" s="95">
        <f>VLOOKUP(A5,'BSE ALL CAP'!$B$4:$Y$1038,20,)</f>
        <v>-8.699987569028618E-2</v>
      </c>
      <c r="V5" s="95">
        <f>VLOOKUP(A5,'BSE ALL CAP'!$B$4:$Y$1038,21,)</f>
        <v>0.15911558582568364</v>
      </c>
      <c r="W5" s="95">
        <f>VLOOKUP(A5,'BSE ALL CAP'!$B$4:$Y$1038,22,)</f>
        <v>-0.50621857634294787</v>
      </c>
      <c r="X5" s="95">
        <f>VLOOKUP(A5,'BSE ALL CAP'!$B$4:$Y$1038,23,)</f>
        <v>0.17555631051469334</v>
      </c>
      <c r="Y5" s="95">
        <f>VLOOKUP(A5,'BSE ALL CAP'!$B$4:$Y$1038,24,)</f>
        <v>-0.91320072332730562</v>
      </c>
    </row>
    <row r="6" spans="1:25" ht="15.75" customHeight="1">
      <c r="A6" s="99">
        <v>543942</v>
      </c>
      <c r="B6" s="98" t="s">
        <v>2952</v>
      </c>
      <c r="C6" s="101" t="str">
        <f>VLOOKUP(A6,'BSE ALL CAP'!$B$4:$Y$1038,2,)</f>
        <v>Financial Services</v>
      </c>
      <c r="D6" s="101" t="str">
        <f>VLOOKUP(A6,'BSE ALL CAP'!$B$4:$Y$1038,3,)</f>
        <v>Other Bank</v>
      </c>
      <c r="E6" s="101">
        <f ca="1">IFERROR(__xludf.DUMMYFUNCTION("GOOGLEFINANCE(""BOM:""&amp;A6,""PRICE"")"),11.97)</f>
        <v>11.97</v>
      </c>
      <c r="F6" s="112">
        <f ca="1">IFERROR(__xludf.DUMMYFUNCTION("GOOGLEFINANCE(""BOM:""&amp;A6,""MARKETCAP"")/10000000"),2126.529951)</f>
        <v>2126.529951</v>
      </c>
      <c r="G6" s="95">
        <f t="shared" ca="1" si="0"/>
        <v>2.2610703557764639E-2</v>
      </c>
      <c r="H6" s="101">
        <f>VLOOKUP(A6,'BSE ALL CAP'!$B$4:$Y$1038,7,)</f>
        <v>2857</v>
      </c>
      <c r="I6" s="101">
        <f>VLOOKUP(A6,'BSE ALL CAP'!$B$4:$Y$1038,8,)</f>
        <v>3198</v>
      </c>
      <c r="J6" s="101">
        <f>VLOOKUP(A6,'BSE ALL CAP'!$B$4:$Y$1038,9,)</f>
        <v>-962</v>
      </c>
      <c r="K6" s="101">
        <f>VLOOKUP(A6,'BSE ALL CAP'!$B$4:$Y$1038,10,)</f>
        <v>20</v>
      </c>
      <c r="L6" s="101">
        <f>VLOOKUP(A6,'BSE ALL CAP'!$B$4:$Y$1038,11,)</f>
        <v>901</v>
      </c>
      <c r="M6" s="101">
        <f>VLOOKUP(A6,'BSE ALL CAP'!$B$4:$Y$1038,12,)</f>
        <v>1037</v>
      </c>
      <c r="N6" s="101">
        <f>VLOOKUP(A6,'BSE ALL CAP'!$B$4:$Y$1038,13,)</f>
        <v>-375</v>
      </c>
      <c r="O6" s="101">
        <f>VLOOKUP(A6,'BSE ALL CAP'!$B$4:$Y$1038,14,)</f>
        <v>-168</v>
      </c>
      <c r="P6" s="95">
        <f>VLOOKUP(A6,'BSE ALL CAP'!$B$4:$Y$1038,15,)</f>
        <v>-0.33671683584179207</v>
      </c>
      <c r="Q6" s="95">
        <f>VLOOKUP(A6,'BSE ALL CAP'!$B$4:$Y$1038,16,)</f>
        <v>6.2539086929330832E-3</v>
      </c>
      <c r="R6" s="95">
        <f>VLOOKUP(A6,'BSE ALL CAP'!$B$4:$Y$1038,17,)</f>
        <v>-0.34297074453472515</v>
      </c>
      <c r="S6" s="95">
        <f>VLOOKUP(A6,'BSE ALL CAP'!$B$4:$Y$1038,18,)</f>
        <v>-0.41620421753607101</v>
      </c>
      <c r="T6" s="95">
        <f>VLOOKUP(A6,'BSE ALL CAP'!$B$4:$Y$1038,19,)</f>
        <v>-0.16200578592092574</v>
      </c>
      <c r="U6" s="95">
        <f>VLOOKUP(A6,'BSE ALL CAP'!$B$4:$Y$1038,20,)</f>
        <v>-0.25419843161514527</v>
      </c>
      <c r="V6" s="95">
        <f>VLOOKUP(A6,'BSE ALL CAP'!$B$4:$Y$1038,21,)</f>
        <v>-0.10662914321450911</v>
      </c>
      <c r="W6" s="95">
        <f>VLOOKUP(A6,'BSE ALL CAP'!$B$4:$Y$1038,22,)</f>
        <v>-49.1</v>
      </c>
      <c r="X6" s="95">
        <f>VLOOKUP(A6,'BSE ALL CAP'!$B$4:$Y$1038,23,)</f>
        <v>-0.13114754098360659</v>
      </c>
      <c r="Y6" s="95">
        <f>VLOOKUP(A6,'BSE ALL CAP'!$B$4:$Y$1038,24,)</f>
        <v>1.2321428571428572</v>
      </c>
    </row>
    <row r="7" spans="1:25" ht="15.75" customHeight="1">
      <c r="A7" s="99">
        <v>543386</v>
      </c>
      <c r="B7" s="98" t="s">
        <v>2953</v>
      </c>
      <c r="C7" s="101"/>
      <c r="D7" s="101"/>
      <c r="E7" s="101">
        <f ca="1">IFERROR(__xludf.DUMMYFUNCTION("GOOGLEFINANCE(""BOM:""&amp;A7,""PRICE"")"),123.5)</f>
        <v>123.5</v>
      </c>
      <c r="F7" s="112">
        <f ca="1">IFERROR(__xludf.DUMMYFUNCTION("GOOGLEFINANCE(""BOM:""&amp;A7,""MARKETCAP"")/10000000"),1023.835965)</f>
        <v>1023.835965</v>
      </c>
      <c r="G7" s="95">
        <f t="shared" ca="1" si="0"/>
        <v>1.0886115892939471E-2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544020</v>
      </c>
      <c r="B8" s="98" t="s">
        <v>2954</v>
      </c>
      <c r="C8" s="101"/>
      <c r="D8" s="101"/>
      <c r="E8" s="101">
        <f ca="1">IFERROR(__xludf.DUMMYFUNCTION("GOOGLEFINANCE(""BOM:""&amp;A8,""PRICE"")"),23.84)</f>
        <v>23.84</v>
      </c>
      <c r="F8" s="112">
        <f ca="1">IFERROR(__xludf.DUMMYFUNCTION("GOOGLEFINANCE(""BOM:""&amp;A8,""MARKETCAP"")/10000000"),1225.7304992)</f>
        <v>1225.7304991999999</v>
      </c>
      <c r="G8" s="95">
        <f t="shared" ca="1" si="0"/>
        <v>1.303279502180972E-2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543279</v>
      </c>
      <c r="B9" s="98" t="s">
        <v>2955</v>
      </c>
      <c r="C9" s="101"/>
      <c r="D9" s="101"/>
      <c r="E9" s="101">
        <f ca="1">IFERROR(__xludf.DUMMYFUNCTION("GOOGLEFINANCE(""BOM:""&amp;A9,""PRICE"")"),132.55)</f>
        <v>132.55000000000001</v>
      </c>
      <c r="F9" s="112">
        <f ca="1">IFERROR(__xludf.DUMMYFUNCTION("GOOGLEFINANCE(""BOM:""&amp;A9,""MARKETCAP"")/10000000"),1408.33985)</f>
        <v>1408.3398500000001</v>
      </c>
      <c r="G9" s="95">
        <f t="shared" ca="1" si="0"/>
        <v>1.497442104775543E-2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544120</v>
      </c>
      <c r="B10" s="98" t="s">
        <v>2956</v>
      </c>
      <c r="C10" s="101"/>
      <c r="D10" s="101"/>
      <c r="E10" s="101">
        <f ca="1">IFERROR(__xludf.DUMMYFUNCTION("GOOGLEFINANCE(""BOM:""&amp;A10,""PRICE"")"),243.75)</f>
        <v>243.75</v>
      </c>
      <c r="F10" s="112">
        <f ca="1">IFERROR(__xludf.DUMMYFUNCTION("GOOGLEFINANCE(""BOM:""&amp;A10,""MARKETCAP"")/10000000"),1100.405954)</f>
        <v>1100.4059540000001</v>
      </c>
      <c r="G10" s="95">
        <f t="shared" ca="1" si="0"/>
        <v>1.170025976233861E-2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>
      <c r="A11" s="101"/>
      <c r="B11" s="101"/>
      <c r="C11" s="101"/>
      <c r="D11" s="101"/>
      <c r="E11" s="101"/>
      <c r="F11" s="112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>
      <c r="A12" s="101"/>
      <c r="B12" s="101"/>
      <c r="C12" s="101"/>
      <c r="D12" s="101"/>
      <c r="E12" s="101"/>
      <c r="F12" s="112">
        <f t="shared" ref="F12:G12" ca="1" si="1">SUM(F1:F10)</f>
        <v>94049.702857200027</v>
      </c>
      <c r="G12" s="95">
        <f t="shared" ca="1" si="1"/>
        <v>0.99999999999999978</v>
      </c>
      <c r="H12" s="101">
        <f t="shared" ref="H12:O12" si="2">SUM(H2:H10)</f>
        <v>77313</v>
      </c>
      <c r="I12" s="101">
        <f t="shared" si="2"/>
        <v>67990</v>
      </c>
      <c r="J12" s="101">
        <f t="shared" si="2"/>
        <v>3014</v>
      </c>
      <c r="K12" s="101">
        <f t="shared" si="2"/>
        <v>6147</v>
      </c>
      <c r="L12" s="101">
        <f t="shared" si="2"/>
        <v>24221</v>
      </c>
      <c r="M12" s="101">
        <f t="shared" si="2"/>
        <v>21155</v>
      </c>
      <c r="N12" s="101">
        <f t="shared" si="2"/>
        <v>663</v>
      </c>
      <c r="O12" s="101">
        <f t="shared" si="2"/>
        <v>1640</v>
      </c>
      <c r="P12" s="95">
        <f t="shared" ref="P12:Q12" si="3">J12/H12</f>
        <v>3.8984388136535902E-2</v>
      </c>
      <c r="Q12" s="95">
        <f t="shared" si="3"/>
        <v>9.0410354463891743E-2</v>
      </c>
      <c r="R12" s="95">
        <f>P12-Q12</f>
        <v>-5.142596632735584E-2</v>
      </c>
      <c r="S12" s="95">
        <f t="shared" ref="S12:T12" si="4">N12/L12</f>
        <v>2.7372940836464226E-2</v>
      </c>
      <c r="T12" s="95">
        <f t="shared" si="4"/>
        <v>7.7523044197589222E-2</v>
      </c>
      <c r="U12" s="95">
        <f>S12-T12</f>
        <v>-5.0150103361124992E-2</v>
      </c>
      <c r="V12" s="95">
        <f>(H12/I12)-1</f>
        <v>0.13712310633916758</v>
      </c>
      <c r="W12" s="95">
        <f>(J12/K12)-1</f>
        <v>-0.50967951846429149</v>
      </c>
      <c r="X12" s="95">
        <f>(L12/M12)-1</f>
        <v>0.14493027653037105</v>
      </c>
      <c r="Y12" s="95">
        <f>(N12/O12)-1</f>
        <v>-0.59573170731707314</v>
      </c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0" xr:uid="{00000000-0009-0000-0000-000054000000}"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532783</v>
      </c>
      <c r="B2" s="98" t="s">
        <v>2957</v>
      </c>
      <c r="C2" s="101" t="str">
        <f>VLOOKUP(A2,'BSE ALL CAP'!$B$4:$Y$1038,2,)</f>
        <v>Fast Moving Consumer Goods</v>
      </c>
      <c r="D2" s="101" t="str">
        <f>VLOOKUP(A2,'BSE ALL CAP'!$B$4:$Y$1038,3,)</f>
        <v>Other Agricultural Products</v>
      </c>
      <c r="E2" s="101">
        <f ca="1">IFERROR(__xludf.DUMMYFUNCTION("GOOGLEFINANCE(""BOM:""&amp;A2,""PRICE"")"),382.85)</f>
        <v>382.85</v>
      </c>
      <c r="F2" s="112">
        <f ca="1">IFERROR(__xludf.DUMMYFUNCTION("GOOGLEFINANCE(""BOM:""&amp;A2,""MARKETCAP"")/10000000"),13405.7)</f>
        <v>13405.7</v>
      </c>
      <c r="G2" s="95">
        <f t="shared" ref="G2:G65" ca="1" si="0">F2/$F$67</f>
        <v>0.27366135042322914</v>
      </c>
      <c r="H2" s="101">
        <f>VLOOKUP(A2,'BSE ALL CAP'!$B$4:$Y$1038,7,)</f>
        <v>8038</v>
      </c>
      <c r="I2" s="101">
        <f>VLOOKUP(A2,'BSE ALL CAP'!$B$4:$Y$1038,8,)</f>
        <v>6453</v>
      </c>
      <c r="J2" s="101">
        <f>VLOOKUP(A2,'BSE ALL CAP'!$B$4:$Y$1038,9,)</f>
        <v>489</v>
      </c>
      <c r="K2" s="101">
        <f>VLOOKUP(A2,'BSE ALL CAP'!$B$4:$Y$1038,10,)</f>
        <v>451</v>
      </c>
      <c r="L2" s="101">
        <f>VLOOKUP(A2,'BSE ALL CAP'!$B$4:$Y$1038,11,)</f>
        <v>2809</v>
      </c>
      <c r="M2" s="101">
        <f>VLOOKUP(A2,'BSE ALL CAP'!$B$4:$Y$1038,12,)</f>
        <v>2274</v>
      </c>
      <c r="N2" s="101">
        <f>VLOOKUP(A2,'BSE ALL CAP'!$B$4:$Y$1038,13,)</f>
        <v>157</v>
      </c>
      <c r="O2" s="101">
        <f>VLOOKUP(A2,'BSE ALL CAP'!$B$4:$Y$1038,14,)</f>
        <v>145</v>
      </c>
      <c r="P2" s="95">
        <f>VLOOKUP(A2,'BSE ALL CAP'!$B$4:$Y$1038,15,)</f>
        <v>6.0836028862901216E-2</v>
      </c>
      <c r="Q2" s="95">
        <f>VLOOKUP(A2,'BSE ALL CAP'!$B$4:$Y$1038,16,)</f>
        <v>6.9889973655664031E-2</v>
      </c>
      <c r="R2" s="95">
        <f>VLOOKUP(A2,'BSE ALL CAP'!$B$4:$Y$1038,17,)</f>
        <v>-9.053944792762815E-3</v>
      </c>
      <c r="S2" s="95">
        <f>VLOOKUP(A2,'BSE ALL CAP'!$B$4:$Y$1038,18,)</f>
        <v>5.5891776432894266E-2</v>
      </c>
      <c r="T2" s="95">
        <f>VLOOKUP(A2,'BSE ALL CAP'!$B$4:$Y$1038,19,)</f>
        <v>6.3764291996481967E-2</v>
      </c>
      <c r="U2" s="95">
        <f>VLOOKUP(A2,'BSE ALL CAP'!$B$4:$Y$1038,20,)</f>
        <v>-7.8725155635877009E-3</v>
      </c>
      <c r="V2" s="95">
        <f>VLOOKUP(A2,'BSE ALL CAP'!$B$4:$Y$1038,21,)</f>
        <v>0.24562219122888584</v>
      </c>
      <c r="W2" s="95">
        <f>VLOOKUP(A2,'BSE ALL CAP'!$B$4:$Y$1038,22,)</f>
        <v>8.4257206208425695E-2</v>
      </c>
      <c r="X2" s="95">
        <f>VLOOKUP(A2,'BSE ALL CAP'!$B$4:$Y$1038,23,)</f>
        <v>0.23526824978012306</v>
      </c>
      <c r="Y2" s="95">
        <f>VLOOKUP(A2,'BSE ALL CAP'!$B$4:$Y$1038,24,)</f>
        <v>8.2758620689655116E-2</v>
      </c>
    </row>
    <row r="3" spans="1:25" ht="15.75" customHeight="1">
      <c r="A3" s="99">
        <v>530813</v>
      </c>
      <c r="B3" s="98" t="s">
        <v>2958</v>
      </c>
      <c r="C3" s="101" t="str">
        <f>VLOOKUP(A3,'BSE ALL CAP'!$B$4:$Y$1038,2,)</f>
        <v>Fast Moving Consumer Goods</v>
      </c>
      <c r="D3" s="101" t="str">
        <f>VLOOKUP(A3,'BSE ALL CAP'!$B$4:$Y$1038,3,)</f>
        <v>Other Agricultural Products</v>
      </c>
      <c r="E3" s="101">
        <f ca="1">IFERROR(__xludf.DUMMYFUNCTION("GOOGLEFINANCE(""BOM:""&amp;A3,""PRICE"")"),312.1)</f>
        <v>312.10000000000002</v>
      </c>
      <c r="F3" s="112">
        <f ca="1">IFERROR(__xludf.DUMMYFUNCTION("GOOGLEFINANCE(""BOM:""&amp;A3,""MARKETCAP"")/10000000"),7150.5172122)</f>
        <v>7150.5172122000004</v>
      </c>
      <c r="G3" s="95">
        <f t="shared" ca="1" si="0"/>
        <v>0.14596926654446957</v>
      </c>
      <c r="H3" s="101">
        <f>VLOOKUP(A3,'BSE ALL CAP'!$B$4:$Y$1038,7,)</f>
        <v>4572</v>
      </c>
      <c r="I3" s="101">
        <f>VLOOKUP(A3,'BSE ALL CAP'!$B$4:$Y$1038,8,)</f>
        <v>4151</v>
      </c>
      <c r="J3" s="101">
        <f>VLOOKUP(A3,'BSE ALL CAP'!$B$4:$Y$1038,9,)</f>
        <v>492</v>
      </c>
      <c r="K3" s="101">
        <f>VLOOKUP(A3,'BSE ALL CAP'!$B$4:$Y$1038,10,)</f>
        <v>321</v>
      </c>
      <c r="L3" s="101">
        <f>VLOOKUP(A3,'BSE ALL CAP'!$B$4:$Y$1038,11,)</f>
        <v>1476</v>
      </c>
      <c r="M3" s="101">
        <f>VLOOKUP(A3,'BSE ALL CAP'!$B$4:$Y$1038,12,)</f>
        <v>1681</v>
      </c>
      <c r="N3" s="101">
        <f>VLOOKUP(A3,'BSE ALL CAP'!$B$4:$Y$1038,13,)</f>
        <v>169</v>
      </c>
      <c r="O3" s="101">
        <f>VLOOKUP(A3,'BSE ALL CAP'!$B$4:$Y$1038,14,)</f>
        <v>132</v>
      </c>
      <c r="P3" s="95">
        <f>VLOOKUP(A3,'BSE ALL CAP'!$B$4:$Y$1038,15,)</f>
        <v>0.10761154855643044</v>
      </c>
      <c r="Q3" s="95">
        <f>VLOOKUP(A3,'BSE ALL CAP'!$B$4:$Y$1038,16,)</f>
        <v>7.7330763671404484E-2</v>
      </c>
      <c r="R3" s="95">
        <f>VLOOKUP(A3,'BSE ALL CAP'!$B$4:$Y$1038,17,)</f>
        <v>3.028078488502596E-2</v>
      </c>
      <c r="S3" s="95">
        <f>VLOOKUP(A3,'BSE ALL CAP'!$B$4:$Y$1038,18,)</f>
        <v>0.11449864498644986</v>
      </c>
      <c r="T3" s="95">
        <f>VLOOKUP(A3,'BSE ALL CAP'!$B$4:$Y$1038,19,)</f>
        <v>7.8524687685901248E-2</v>
      </c>
      <c r="U3" s="95">
        <f>VLOOKUP(A3,'BSE ALL CAP'!$B$4:$Y$1038,20,)</f>
        <v>3.5973957300548615E-2</v>
      </c>
      <c r="V3" s="95">
        <f>VLOOKUP(A3,'BSE ALL CAP'!$B$4:$Y$1038,21,)</f>
        <v>0.10142134425439653</v>
      </c>
      <c r="W3" s="95">
        <f>VLOOKUP(A3,'BSE ALL CAP'!$B$4:$Y$1038,22,)</f>
        <v>0.53271028037383172</v>
      </c>
      <c r="X3" s="95">
        <f>VLOOKUP(A3,'BSE ALL CAP'!$B$4:$Y$1038,23,)</f>
        <v>-0.12195121951219512</v>
      </c>
      <c r="Y3" s="95">
        <f>VLOOKUP(A3,'BSE ALL CAP'!$B$4:$Y$1038,24,)</f>
        <v>0.28030303030303028</v>
      </c>
    </row>
    <row r="4" spans="1:25" ht="15.75" customHeight="1">
      <c r="A4" s="99">
        <v>524226</v>
      </c>
      <c r="B4" s="98" t="s">
        <v>2959</v>
      </c>
      <c r="C4" s="101" t="str">
        <f>VLOOKUP(A4,'BSE ALL CAP'!$B$4:$Y$1038,2,)</f>
        <v>Fast Moving Consumer Goods</v>
      </c>
      <c r="D4" s="101" t="str">
        <f>VLOOKUP(A4,'BSE ALL CAP'!$B$4:$Y$1038,3,)</f>
        <v>Other Agricultural Products</v>
      </c>
      <c r="E4" s="101">
        <f ca="1">IFERROR(__xludf.DUMMYFUNCTION("GOOGLEFINANCE(""BOM:""&amp;A4,""PRICE"")"),145.1)</f>
        <v>145.1</v>
      </c>
      <c r="F4" s="112">
        <f ca="1">IFERROR(__xludf.DUMMYFUNCTION("GOOGLEFINANCE(""BOM:""&amp;A4,""MARKETCAP"")/10000000"),6660.0569071)</f>
        <v>6660.0569071</v>
      </c>
      <c r="G4" s="95">
        <f t="shared" ca="1" si="0"/>
        <v>0.13595710534269309</v>
      </c>
      <c r="H4" s="101">
        <f>VLOOKUP(A4,'BSE ALL CAP'!$B$4:$Y$1038,7,)</f>
        <v>4262</v>
      </c>
      <c r="I4" s="101">
        <f>VLOOKUP(A4,'BSE ALL CAP'!$B$4:$Y$1038,8,)</f>
        <v>3346</v>
      </c>
      <c r="J4" s="101">
        <f>VLOOKUP(A4,'BSE ALL CAP'!$B$4:$Y$1038,9,)</f>
        <v>169</v>
      </c>
      <c r="K4" s="101">
        <f>VLOOKUP(A4,'BSE ALL CAP'!$B$4:$Y$1038,10,)</f>
        <v>217</v>
      </c>
      <c r="L4" s="101">
        <f>VLOOKUP(A4,'BSE ALL CAP'!$B$4:$Y$1038,11,)</f>
        <v>1481</v>
      </c>
      <c r="M4" s="101">
        <f>VLOOKUP(A4,'BSE ALL CAP'!$B$4:$Y$1038,12,)</f>
        <v>1131</v>
      </c>
      <c r="N4" s="101">
        <f>VLOOKUP(A4,'BSE ALL CAP'!$B$4:$Y$1038,13,)</f>
        <v>66</v>
      </c>
      <c r="O4" s="101">
        <f>VLOOKUP(A4,'BSE ALL CAP'!$B$4:$Y$1038,14,)</f>
        <v>71</v>
      </c>
      <c r="P4" s="95">
        <f>VLOOKUP(A4,'BSE ALL CAP'!$B$4:$Y$1038,15,)</f>
        <v>3.9652745190051616E-2</v>
      </c>
      <c r="Q4" s="95">
        <f>VLOOKUP(A4,'BSE ALL CAP'!$B$4:$Y$1038,16,)</f>
        <v>6.4853556485355651E-2</v>
      </c>
      <c r="R4" s="95">
        <f>VLOOKUP(A4,'BSE ALL CAP'!$B$4:$Y$1038,17,)</f>
        <v>-2.5200811295304035E-2</v>
      </c>
      <c r="S4" s="95">
        <f>VLOOKUP(A4,'BSE ALL CAP'!$B$4:$Y$1038,18,)</f>
        <v>4.4564483457123563E-2</v>
      </c>
      <c r="T4" s="95">
        <f>VLOOKUP(A4,'BSE ALL CAP'!$B$4:$Y$1038,19,)</f>
        <v>6.2776304155614499E-2</v>
      </c>
      <c r="U4" s="95">
        <f>VLOOKUP(A4,'BSE ALL CAP'!$B$4:$Y$1038,20,)</f>
        <v>-1.8211820698490935E-2</v>
      </c>
      <c r="V4" s="95">
        <f>VLOOKUP(A4,'BSE ALL CAP'!$B$4:$Y$1038,21,)</f>
        <v>0.27375971309025693</v>
      </c>
      <c r="W4" s="95">
        <f>VLOOKUP(A4,'BSE ALL CAP'!$B$4:$Y$1038,22,)</f>
        <v>-0.22119815668202769</v>
      </c>
      <c r="X4" s="95">
        <f>VLOOKUP(A4,'BSE ALL CAP'!$B$4:$Y$1038,23,)</f>
        <v>0.30946065428824054</v>
      </c>
      <c r="Y4" s="95">
        <f>VLOOKUP(A4,'BSE ALL CAP'!$B$4:$Y$1038,24,)</f>
        <v>-7.0422535211267623E-2</v>
      </c>
    </row>
    <row r="5" spans="1:25" ht="15.75" customHeight="1">
      <c r="A5" s="99">
        <v>532899</v>
      </c>
      <c r="B5" s="98" t="s">
        <v>2960</v>
      </c>
      <c r="C5" s="101" t="str">
        <f>VLOOKUP(A5,'BSE ALL CAP'!$B$4:$Y$1038,2,)</f>
        <v>Fast Moving Consumer Goods</v>
      </c>
      <c r="D5" s="101" t="str">
        <f>VLOOKUP(A5,'BSE ALL CAP'!$B$4:$Y$1038,3,)</f>
        <v>Other Agricultural Products</v>
      </c>
      <c r="E5" s="101">
        <f ca="1">IFERROR(__xludf.DUMMYFUNCTION("GOOGLEFINANCE(""BOM:""&amp;A5,""PRICE"")"),847.9)</f>
        <v>847.9</v>
      </c>
      <c r="F5" s="112">
        <f ca="1">IFERROR(__xludf.DUMMYFUNCTION("GOOGLEFINANCE(""BOM:""&amp;A5,""MARKETCAP"")/10000000"),4300.8237615)</f>
        <v>4300.8237614999998</v>
      </c>
      <c r="G5" s="95">
        <f t="shared" ca="1" si="0"/>
        <v>8.7796179125625803E-2</v>
      </c>
      <c r="H5" s="101">
        <f>VLOOKUP(A5,'BSE ALL CAP'!$B$4:$Y$1038,7,)</f>
        <v>1287</v>
      </c>
      <c r="I5" s="101">
        <f>VLOOKUP(A5,'BSE ALL CAP'!$B$4:$Y$1038,8,)</f>
        <v>1114</v>
      </c>
      <c r="J5" s="101">
        <f>VLOOKUP(A5,'BSE ALL CAP'!$B$4:$Y$1038,9,)</f>
        <v>323</v>
      </c>
      <c r="K5" s="101">
        <f>VLOOKUP(A5,'BSE ALL CAP'!$B$4:$Y$1038,10,)</f>
        <v>305</v>
      </c>
      <c r="L5" s="101">
        <f>VLOOKUP(A5,'BSE ALL CAP'!$B$4:$Y$1038,11,)</f>
        <v>210</v>
      </c>
      <c r="M5" s="101">
        <f>VLOOKUP(A5,'BSE ALL CAP'!$B$4:$Y$1038,12,)</f>
        <v>174</v>
      </c>
      <c r="N5" s="101">
        <f>VLOOKUP(A5,'BSE ALL CAP'!$B$4:$Y$1038,13,)</f>
        <v>12</v>
      </c>
      <c r="O5" s="101">
        <f>VLOOKUP(A5,'BSE ALL CAP'!$B$4:$Y$1038,14,)</f>
        <v>14</v>
      </c>
      <c r="P5" s="95">
        <f>VLOOKUP(A5,'BSE ALL CAP'!$B$4:$Y$1038,15,)</f>
        <v>0.25097125097125095</v>
      </c>
      <c r="Q5" s="95">
        <f>VLOOKUP(A5,'BSE ALL CAP'!$B$4:$Y$1038,16,)</f>
        <v>0.27378815080789948</v>
      </c>
      <c r="R5" s="95">
        <f>VLOOKUP(A5,'BSE ALL CAP'!$B$4:$Y$1038,17,)</f>
        <v>-2.281689983664853E-2</v>
      </c>
      <c r="S5" s="95">
        <f>VLOOKUP(A5,'BSE ALL CAP'!$B$4:$Y$1038,18,)</f>
        <v>5.7142857142857141E-2</v>
      </c>
      <c r="T5" s="95">
        <f>VLOOKUP(A5,'BSE ALL CAP'!$B$4:$Y$1038,19,)</f>
        <v>8.0459770114942528E-2</v>
      </c>
      <c r="U5" s="95">
        <f>VLOOKUP(A5,'BSE ALL CAP'!$B$4:$Y$1038,20,)</f>
        <v>-2.3316912972085387E-2</v>
      </c>
      <c r="V5" s="95">
        <f>VLOOKUP(A5,'BSE ALL CAP'!$B$4:$Y$1038,21,)</f>
        <v>0.15529622980251356</v>
      </c>
      <c r="W5" s="95">
        <f>VLOOKUP(A5,'BSE ALL CAP'!$B$4:$Y$1038,22,)</f>
        <v>5.9016393442622883E-2</v>
      </c>
      <c r="X5" s="95">
        <f>VLOOKUP(A5,'BSE ALL CAP'!$B$4:$Y$1038,23,)</f>
        <v>0.2068965517241379</v>
      </c>
      <c r="Y5" s="95">
        <f>VLOOKUP(A5,'BSE ALL CAP'!$B$4:$Y$1038,24,)</f>
        <v>-0.1428571428571429</v>
      </c>
    </row>
    <row r="6" spans="1:25" ht="15.75" customHeight="1">
      <c r="A6" s="99">
        <v>544545</v>
      </c>
      <c r="B6" s="98" t="s">
        <v>2961</v>
      </c>
      <c r="C6" s="101" t="e">
        <f>VLOOKUP(A6,'BSE ALL CAP'!$B$4:$Y$1038,2,)</f>
        <v>#N/A</v>
      </c>
      <c r="D6" s="101" t="e">
        <f>VLOOKUP(A6,'BSE ALL CAP'!$B$4:$Y$1038,3,)</f>
        <v>#N/A</v>
      </c>
      <c r="E6" s="101">
        <f ca="1">IFERROR(__xludf.DUMMYFUNCTION("GOOGLEFINANCE(""BOM:""&amp;A6,""PRICE"")"),425)</f>
        <v>425</v>
      </c>
      <c r="F6" s="112">
        <f ca="1">IFERROR(__xludf.DUMMYFUNCTION("GOOGLEFINANCE(""BOM:""&amp;A6,""MARKETCAP"")/10000000"),3636.3380502)</f>
        <v>3636.3380502</v>
      </c>
      <c r="G6" s="95">
        <f t="shared" ca="1" si="0"/>
        <v>7.423149715517309E-2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531449</v>
      </c>
      <c r="B7" s="98" t="s">
        <v>2962</v>
      </c>
      <c r="C7" s="101" t="str">
        <f>VLOOKUP(A7,'BSE ALL CAP'!$B$4:$Y$1038,2,)</f>
        <v>Fast Moving Consumer Goods</v>
      </c>
      <c r="D7" s="101" t="str">
        <f>VLOOKUP(A7,'BSE ALL CAP'!$B$4:$Y$1038,3,)</f>
        <v>Other Agricultural Products</v>
      </c>
      <c r="E7" s="101">
        <f ca="1">IFERROR(__xludf.DUMMYFUNCTION("GOOGLEFINANCE(""BOM:""&amp;A7,""PRICE"")"),157.7)</f>
        <v>157.69999999999999</v>
      </c>
      <c r="F7" s="112">
        <f ca="1">IFERROR(__xludf.DUMMYFUNCTION("GOOGLEFINANCE(""BOM:""&amp;A7,""MARKETCAP"")/10000000"),3275.9886454)</f>
        <v>3275.9886454000002</v>
      </c>
      <c r="G7" s="95">
        <f t="shared" ca="1" si="0"/>
        <v>6.6875394546448835E-2</v>
      </c>
      <c r="H7" s="101">
        <f>VLOOKUP(A7,'BSE ALL CAP'!$B$4:$Y$1038,7,)</f>
        <v>1171</v>
      </c>
      <c r="I7" s="101">
        <f>VLOOKUP(A7,'BSE ALL CAP'!$B$4:$Y$1038,8,)</f>
        <v>1056</v>
      </c>
      <c r="J7" s="101">
        <f>VLOOKUP(A7,'BSE ALL CAP'!$B$4:$Y$1038,9,)</f>
        <v>52</v>
      </c>
      <c r="K7" s="101">
        <f>VLOOKUP(A7,'BSE ALL CAP'!$B$4:$Y$1038,10,)</f>
        <v>40</v>
      </c>
      <c r="L7" s="101">
        <f>VLOOKUP(A7,'BSE ALL CAP'!$B$4:$Y$1038,11,)</f>
        <v>482</v>
      </c>
      <c r="M7" s="101">
        <f>VLOOKUP(A7,'BSE ALL CAP'!$B$4:$Y$1038,12,)</f>
        <v>371</v>
      </c>
      <c r="N7" s="101">
        <f>VLOOKUP(A7,'BSE ALL CAP'!$B$4:$Y$1038,13,)</f>
        <v>19</v>
      </c>
      <c r="O7" s="101">
        <f>VLOOKUP(A7,'BSE ALL CAP'!$B$4:$Y$1038,14,)</f>
        <v>13</v>
      </c>
      <c r="P7" s="95">
        <f>VLOOKUP(A7,'BSE ALL CAP'!$B$4:$Y$1038,15,)</f>
        <v>4.4406490179333902E-2</v>
      </c>
      <c r="Q7" s="95">
        <f>VLOOKUP(A7,'BSE ALL CAP'!$B$4:$Y$1038,16,)</f>
        <v>3.787878787878788E-2</v>
      </c>
      <c r="R7" s="95">
        <f>VLOOKUP(A7,'BSE ALL CAP'!$B$4:$Y$1038,17,)</f>
        <v>6.5277023005460219E-3</v>
      </c>
      <c r="S7" s="95">
        <f>VLOOKUP(A7,'BSE ALL CAP'!$B$4:$Y$1038,18,)</f>
        <v>3.9419087136929459E-2</v>
      </c>
      <c r="T7" s="95">
        <f>VLOOKUP(A7,'BSE ALL CAP'!$B$4:$Y$1038,19,)</f>
        <v>3.5040431266846361E-2</v>
      </c>
      <c r="U7" s="95">
        <f>VLOOKUP(A7,'BSE ALL CAP'!$B$4:$Y$1038,20,)</f>
        <v>4.378655870083098E-3</v>
      </c>
      <c r="V7" s="95">
        <f>VLOOKUP(A7,'BSE ALL CAP'!$B$4:$Y$1038,21,)</f>
        <v>0.10890151515151514</v>
      </c>
      <c r="W7" s="95">
        <f>VLOOKUP(A7,'BSE ALL CAP'!$B$4:$Y$1038,22,)</f>
        <v>0.30000000000000004</v>
      </c>
      <c r="X7" s="95">
        <f>VLOOKUP(A7,'BSE ALL CAP'!$B$4:$Y$1038,23,)</f>
        <v>0.29919137466307277</v>
      </c>
      <c r="Y7" s="95">
        <f>VLOOKUP(A7,'BSE ALL CAP'!$B$4:$Y$1038,24,)</f>
        <v>0.46153846153846145</v>
      </c>
    </row>
    <row r="8" spans="1:25" ht="15.75" customHeight="1">
      <c r="A8" s="99">
        <v>544217</v>
      </c>
      <c r="B8" s="98" t="s">
        <v>2963</v>
      </c>
      <c r="C8" s="101"/>
      <c r="D8" s="101"/>
      <c r="E8" s="101">
        <f ca="1">IFERROR(__xludf.DUMMYFUNCTION("GOOGLEFINANCE(""BOM:""&amp;A8,""PRICE"")"),78.9)</f>
        <v>78.900000000000006</v>
      </c>
      <c r="F8" s="112">
        <f ca="1">IFERROR(__xludf.DUMMYFUNCTION("GOOGLEFINANCE(""BOM:""&amp;A8,""MARKETCAP"")/10000000"),1436.7990097)</f>
        <v>1436.7990096999999</v>
      </c>
      <c r="G8" s="95">
        <f t="shared" ca="1" si="0"/>
        <v>2.9330535315668729E-2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530307</v>
      </c>
      <c r="B9" s="98" t="s">
        <v>2964</v>
      </c>
      <c r="C9" s="101"/>
      <c r="D9" s="101"/>
      <c r="E9" s="101">
        <f ca="1">IFERROR(__xludf.DUMMYFUNCTION("GOOGLEFINANCE(""BOM:""&amp;A9,""PRICE"")"),238.5)</f>
        <v>238.5</v>
      </c>
      <c r="F9" s="112">
        <f ca="1">IFERROR(__xludf.DUMMYFUNCTION("GOOGLEFINANCE(""BOM:""&amp;A9,""MARKETCAP"")/10000000"),1184.71242)</f>
        <v>1184.7124200000001</v>
      </c>
      <c r="G9" s="95">
        <f t="shared" ca="1" si="0"/>
        <v>2.4184488741384024E-2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532457</v>
      </c>
      <c r="B10" s="98" t="s">
        <v>2965</v>
      </c>
      <c r="C10" s="101"/>
      <c r="D10" s="101"/>
      <c r="E10" s="101">
        <f ca="1">IFERROR(__xludf.DUMMYFUNCTION("GOOGLEFINANCE(""BOM:""&amp;A10,""PRICE"")"),159.75)</f>
        <v>159.75</v>
      </c>
      <c r="F10" s="112">
        <f ca="1">IFERROR(__xludf.DUMMYFUNCTION("GOOGLEFINANCE(""BOM:""&amp;A10,""MARKETCAP"")/10000000"),998.603519)</f>
        <v>998.60351900000001</v>
      </c>
      <c r="G10" s="95">
        <f t="shared" ca="1" si="0"/>
        <v>2.0385297861874332E-2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519105</v>
      </c>
      <c r="B11" s="98" t="s">
        <v>2966</v>
      </c>
      <c r="C11" s="101"/>
      <c r="D11" s="101"/>
      <c r="E11" s="101">
        <f ca="1">IFERROR(__xludf.DUMMYFUNCTION("GOOGLEFINANCE(""BOM:""&amp;A11,""PRICE"")"),59.78)</f>
        <v>59.78</v>
      </c>
      <c r="F11" s="112">
        <f ca="1">IFERROR(__xludf.DUMMYFUNCTION("GOOGLEFINANCE(""BOM:""&amp;A11,""MARKETCAP"")/10000000"),915.9882832)</f>
        <v>915.98828319999996</v>
      </c>
      <c r="G11" s="95">
        <f t="shared" ca="1" si="0"/>
        <v>1.8698806519045423E-2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544485</v>
      </c>
      <c r="B12" s="98" t="s">
        <v>2967</v>
      </c>
      <c r="C12" s="101"/>
      <c r="D12" s="101"/>
      <c r="E12" s="101">
        <f ca="1">IFERROR(__xludf.DUMMYFUNCTION("GOOGLEFINANCE(""BOM:""&amp;A12,""PRICE"")"),68.7)</f>
        <v>68.7</v>
      </c>
      <c r="F12" s="112">
        <f ca="1">IFERROR(__xludf.DUMMYFUNCTION("GOOGLEFINANCE(""BOM:""&amp;A12,""MARKETCAP"")/10000000"),703.65529)</f>
        <v>703.65529000000004</v>
      </c>
      <c r="G12" s="95">
        <f t="shared" ca="1" si="0"/>
        <v>1.4364282125800886E-2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524542</v>
      </c>
      <c r="B13" s="98" t="s">
        <v>2968</v>
      </c>
      <c r="C13" s="101"/>
      <c r="D13" s="101"/>
      <c r="E13" s="101">
        <f ca="1">IFERROR(__xludf.DUMMYFUNCTION("GOOGLEFINANCE(""BOM:""&amp;A13,""PRICE"")"),164.15)</f>
        <v>164.15</v>
      </c>
      <c r="F13" s="112">
        <f ca="1">IFERROR(__xludf.DUMMYFUNCTION("GOOGLEFINANCE(""BOM:""&amp;A13,""MARKETCAP"")/10000000"),512.4016)</f>
        <v>512.40160000000003</v>
      </c>
      <c r="G13" s="95">
        <f t="shared" ca="1" si="0"/>
        <v>1.0460066525061974E-2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543688</v>
      </c>
      <c r="B14" s="98" t="s">
        <v>2969</v>
      </c>
      <c r="C14" s="101"/>
      <c r="D14" s="101"/>
      <c r="E14" s="101">
        <f ca="1">IFERROR(__xludf.DUMMYFUNCTION("GOOGLEFINANCE(""BOM:""&amp;A14,""PRICE"")"),3.52)</f>
        <v>3.52</v>
      </c>
      <c r="F14" s="112">
        <f ca="1">IFERROR(__xludf.DUMMYFUNCTION("GOOGLEFINANCE(""BOM:""&amp;A14,""MARKETCAP"")/10000000"),434.7745576)</f>
        <v>434.77455759999998</v>
      </c>
      <c r="G14" s="95">
        <f t="shared" ca="1" si="0"/>
        <v>8.8754031913647197E-3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519003</v>
      </c>
      <c r="B15" s="98" t="s">
        <v>2970</v>
      </c>
      <c r="C15" s="101"/>
      <c r="D15" s="101"/>
      <c r="E15" s="101">
        <f ca="1">IFERROR(__xludf.DUMMYFUNCTION("GOOGLEFINANCE(""BOM:""&amp;A15,""PRICE"")"),329.1)</f>
        <v>329.1</v>
      </c>
      <c r="F15" s="112">
        <f ca="1">IFERROR(__xludf.DUMMYFUNCTION("GOOGLEFINANCE(""BOM:""&amp;A15,""MARKETCAP"")/10000000"),437.768499)</f>
        <v>437.76849900000002</v>
      </c>
      <c r="G15" s="95">
        <f t="shared" ca="1" si="0"/>
        <v>8.9365209283431696E-3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544273</v>
      </c>
      <c r="B16" s="98" t="s">
        <v>2971</v>
      </c>
      <c r="C16" s="101"/>
      <c r="D16" s="101"/>
      <c r="E16" s="101">
        <f ca="1">IFERROR(__xludf.DUMMYFUNCTION("GOOGLEFINANCE(""BOM:""&amp;A16,""PRICE"")"),11.39)</f>
        <v>11.39</v>
      </c>
      <c r="F16" s="112">
        <f ca="1">IFERROR(__xludf.DUMMYFUNCTION("GOOGLEFINANCE(""BOM:""&amp;A16,""MARKETCAP"")/10000000"),371.4090635)</f>
        <v>371.4090635</v>
      </c>
      <c r="G16" s="95">
        <f t="shared" ca="1" si="0"/>
        <v>7.5818723286987522E-3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540404</v>
      </c>
      <c r="B17" s="98" t="s">
        <v>2972</v>
      </c>
      <c r="C17" s="101"/>
      <c r="D17" s="101"/>
      <c r="E17" s="101">
        <f ca="1">IFERROR(__xludf.DUMMYFUNCTION("GOOGLEFINANCE(""BOM:""&amp;A17,""PRICE"")"),211.2)</f>
        <v>211.2</v>
      </c>
      <c r="F17" s="112">
        <f ca="1">IFERROR(__xludf.DUMMYFUNCTION("GOOGLEFINANCE(""BOM:""&amp;A17,""MARKETCAP"")/10000000"),289.7421)</f>
        <v>289.74209999999999</v>
      </c>
      <c r="G17" s="95">
        <f t="shared" ca="1" si="0"/>
        <v>5.9147388320238631E-3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544535</v>
      </c>
      <c r="B18" s="98" t="s">
        <v>2973</v>
      </c>
      <c r="C18" s="101"/>
      <c r="D18" s="101"/>
      <c r="E18" s="101">
        <f ca="1">IFERROR(__xludf.DUMMYFUNCTION("GOOGLEFINANCE(""BOM:""&amp;A18,""PRICE"")"),135)</f>
        <v>135</v>
      </c>
      <c r="F18" s="112">
        <f ca="1">IFERROR(__xludf.DUMMYFUNCTION("GOOGLEFINANCE(""BOM:""&amp;A18,""MARKETCAP"")/10000000"),268.96077)</f>
        <v>268.96077000000002</v>
      </c>
      <c r="G18" s="95">
        <f t="shared" ca="1" si="0"/>
        <v>5.4905128064235021E-3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541304</v>
      </c>
      <c r="B19" s="98" t="s">
        <v>2974</v>
      </c>
      <c r="C19" s="101"/>
      <c r="D19" s="101"/>
      <c r="E19" s="101">
        <f ca="1">IFERROR(__xludf.DUMMYFUNCTION("GOOGLEFINANCE(""BOM:""&amp;A19,""PRICE"")"),107.69)</f>
        <v>107.69</v>
      </c>
      <c r="F19" s="112">
        <f ca="1">IFERROR(__xludf.DUMMYFUNCTION("GOOGLEFINANCE(""BOM:""&amp;A19,""MARKETCAP"")/10000000"),215.8798393)</f>
        <v>215.87983929999999</v>
      </c>
      <c r="G19" s="95">
        <f t="shared" ca="1" si="0"/>
        <v>4.4069290191476526E-3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537291</v>
      </c>
      <c r="B20" s="98" t="s">
        <v>2975</v>
      </c>
      <c r="C20" s="101"/>
      <c r="D20" s="101"/>
      <c r="E20" s="101">
        <f ca="1">IFERROR(__xludf.DUMMYFUNCTION("GOOGLEFINANCE(""BOM:""&amp;A20,""PRICE"")"),142.15)</f>
        <v>142.15</v>
      </c>
      <c r="F20" s="112">
        <f ca="1">IFERROR(__xludf.DUMMYFUNCTION("GOOGLEFINANCE(""BOM:""&amp;A20,""MARKETCAP"")/10000000"),270.5978124)</f>
        <v>270.59781240000001</v>
      </c>
      <c r="G20" s="95">
        <f t="shared" ca="1" si="0"/>
        <v>5.5239310713320168E-3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543531</v>
      </c>
      <c r="B21" s="98" t="s">
        <v>2976</v>
      </c>
      <c r="C21" s="101"/>
      <c r="D21" s="101"/>
      <c r="E21" s="101">
        <f ca="1">IFERROR(__xludf.DUMMYFUNCTION("GOOGLEFINANCE(""BOM:""&amp;A21,""PRICE"")"),39.96)</f>
        <v>39.96</v>
      </c>
      <c r="F21" s="112">
        <f ca="1">IFERROR(__xludf.DUMMYFUNCTION("GOOGLEFINANCE(""BOM:""&amp;A21,""MARKETCAP"")/10000000"),259.6669871)</f>
        <v>259.66698709999997</v>
      </c>
      <c r="G21" s="95">
        <f t="shared" ca="1" si="0"/>
        <v>5.3007913313081164E-3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544213</v>
      </c>
      <c r="B22" s="98" t="s">
        <v>2977</v>
      </c>
      <c r="C22" s="101"/>
      <c r="D22" s="101"/>
      <c r="E22" s="101">
        <f ca="1">IFERROR(__xludf.DUMMYFUNCTION("GOOGLEFINANCE(""BOM:""&amp;A22,""PRICE"")"),120)</f>
        <v>120</v>
      </c>
      <c r="F22" s="112">
        <f ca="1">IFERROR(__xludf.DUMMYFUNCTION("GOOGLEFINANCE(""BOM:""&amp;A22,""MARKETCAP"")/10000000"),244.4256)</f>
        <v>244.4256</v>
      </c>
      <c r="G22" s="95">
        <f t="shared" ca="1" si="0"/>
        <v>4.9896566217361299E-3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540728</v>
      </c>
      <c r="B23" s="98" t="s">
        <v>2978</v>
      </c>
      <c r="C23" s="101"/>
      <c r="D23" s="101"/>
      <c r="E23" s="101">
        <f ca="1">IFERROR(__xludf.DUMMYFUNCTION("GOOGLEFINANCE(""BOM:""&amp;A23,""PRICE"")"),94)</f>
        <v>94</v>
      </c>
      <c r="F23" s="112">
        <f ca="1">IFERROR(__xludf.DUMMYFUNCTION("GOOGLEFINANCE(""BOM:""&amp;A23,""MARKETCAP"")/10000000"),237.631906)</f>
        <v>237.63190599999999</v>
      </c>
      <c r="G23" s="95">
        <f t="shared" ca="1" si="0"/>
        <v>4.8509714747910103E-3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519238</v>
      </c>
      <c r="B24" s="98" t="s">
        <v>2979</v>
      </c>
      <c r="C24" s="101"/>
      <c r="D24" s="101"/>
      <c r="E24" s="101">
        <f ca="1">IFERROR(__xludf.DUMMYFUNCTION("GOOGLEFINANCE(""BOM:""&amp;A24,""PRICE"")"),37.77)</f>
        <v>37.770000000000003</v>
      </c>
      <c r="F24" s="112">
        <f ca="1">IFERROR(__xludf.DUMMYFUNCTION("GOOGLEFINANCE(""BOM:""&amp;A24,""MARKETCAP"")/10000000"),128.5012088)</f>
        <v>128.5012088</v>
      </c>
      <c r="G24" s="95">
        <f t="shared" ca="1" si="0"/>
        <v>2.6231986640925381E-3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536493</v>
      </c>
      <c r="B25" s="98" t="s">
        <v>2980</v>
      </c>
      <c r="C25" s="101"/>
      <c r="D25" s="101"/>
      <c r="E25" s="101">
        <f ca="1">IFERROR(__xludf.DUMMYFUNCTION("GOOGLEFINANCE(""BOM:""&amp;A25,""PRICE"")"),319)</f>
        <v>319</v>
      </c>
      <c r="F25" s="112">
        <f ca="1">IFERROR(__xludf.DUMMYFUNCTION("GOOGLEFINANCE(""BOM:""&amp;A25,""MARKETCAP"")/10000000"),147.9191197)</f>
        <v>147.91911970000001</v>
      </c>
      <c r="G25" s="95">
        <f t="shared" ca="1" si="0"/>
        <v>3.0195921175706808E-3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539275</v>
      </c>
      <c r="B26" s="98" t="s">
        <v>2981</v>
      </c>
      <c r="C26" s="101"/>
      <c r="D26" s="101"/>
      <c r="E26" s="101">
        <f ca="1">IFERROR(__xludf.DUMMYFUNCTION("GOOGLEFINANCE(""BOM:""&amp;A26,""PRICE"")"),118)</f>
        <v>118</v>
      </c>
      <c r="F26" s="112">
        <f ca="1">IFERROR(__xludf.DUMMYFUNCTION("GOOGLEFINANCE(""BOM:""&amp;A26,""MARKETCAP"")/10000000"),129.56577)</f>
        <v>129.56576999999999</v>
      </c>
      <c r="G26" s="95">
        <f t="shared" ca="1" si="0"/>
        <v>2.6449304092158936E-3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544105</v>
      </c>
      <c r="B27" s="98" t="s">
        <v>2982</v>
      </c>
      <c r="C27" s="101"/>
      <c r="D27" s="101"/>
      <c r="E27" s="101">
        <f ca="1">IFERROR(__xludf.DUMMYFUNCTION("GOOGLEFINANCE(""BOM:""&amp;A27,""PRICE"")"),82.8)</f>
        <v>82.8</v>
      </c>
      <c r="F27" s="112">
        <f ca="1">IFERROR(__xludf.DUMMYFUNCTION("GOOGLEFINANCE(""BOM:""&amp;A27,""MARKETCAP"")/10000000"),133.2588217)</f>
        <v>133.2588217</v>
      </c>
      <c r="G27" s="95">
        <f t="shared" ca="1" si="0"/>
        <v>2.720319647778953E-3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530077</v>
      </c>
      <c r="B28" s="98" t="s">
        <v>2983</v>
      </c>
      <c r="C28" s="101"/>
      <c r="D28" s="101"/>
      <c r="E28" s="101">
        <f ca="1">IFERROR(__xludf.DUMMYFUNCTION("GOOGLEFINANCE(""BOM:""&amp;A28,""PRICE"")"),187.8)</f>
        <v>187.8</v>
      </c>
      <c r="F28" s="112">
        <f ca="1">IFERROR(__xludf.DUMMYFUNCTION("GOOGLEFINANCE(""BOM:""&amp;A28,""MARKETCAP"")/10000000"),148.3597)</f>
        <v>148.3597</v>
      </c>
      <c r="G28" s="95">
        <f t="shared" ca="1" si="0"/>
        <v>3.0285860380573301E-3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538926</v>
      </c>
      <c r="B29" s="98" t="s">
        <v>2984</v>
      </c>
      <c r="C29" s="101"/>
      <c r="D29" s="101"/>
      <c r="E29" s="101">
        <f ca="1">IFERROR(__xludf.DUMMYFUNCTION("GOOGLEFINANCE(""BOM:""&amp;A29,""PRICE"")"),133.55)</f>
        <v>133.55000000000001</v>
      </c>
      <c r="F29" s="112">
        <f ca="1">IFERROR(__xludf.DUMMYFUNCTION("GOOGLEFINANCE(""BOM:""&amp;A29,""MARKETCAP"")/10000000"),70.7280816)</f>
        <v>70.728081599999996</v>
      </c>
      <c r="G29" s="95">
        <f t="shared" ca="1" si="0"/>
        <v>1.4438292907867805E-3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512559</v>
      </c>
      <c r="B30" s="98" t="s">
        <v>2985</v>
      </c>
      <c r="C30" s="101"/>
      <c r="D30" s="101"/>
      <c r="E30" s="101">
        <f ca="1">IFERROR(__xludf.DUMMYFUNCTION("GOOGLEFINANCE(""BOM:""&amp;A30,""PRICE"")"),21.54)</f>
        <v>21.54</v>
      </c>
      <c r="F30" s="112">
        <f ca="1">IFERROR(__xludf.DUMMYFUNCTION("GOOGLEFINANCE(""BOM:""&amp;A30,""MARKETCAP"")/10000000"),79.4813622)</f>
        <v>79.481362200000007</v>
      </c>
      <c r="G30" s="95">
        <f t="shared" ca="1" si="0"/>
        <v>1.6225170571570152E-3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519463</v>
      </c>
      <c r="B31" s="98" t="s">
        <v>2986</v>
      </c>
      <c r="C31" s="101"/>
      <c r="D31" s="101"/>
      <c r="E31" s="101">
        <f ca="1">IFERROR(__xludf.DUMMYFUNCTION("GOOGLEFINANCE(""BOM:""&amp;A31,""PRICE"")"),582.25)</f>
        <v>582.25</v>
      </c>
      <c r="F31" s="112">
        <f ca="1">IFERROR(__xludf.DUMMYFUNCTION("GOOGLEFINANCE(""BOM:""&amp;A31,""MARKETCAP"")/10000000"),74.569922)</f>
        <v>74.569922000000005</v>
      </c>
      <c r="G31" s="95">
        <f t="shared" ca="1" si="0"/>
        <v>1.5222558729103936E-3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526899</v>
      </c>
      <c r="B32" s="98" t="s">
        <v>2987</v>
      </c>
      <c r="C32" s="101"/>
      <c r="D32" s="101"/>
      <c r="E32" s="101">
        <f ca="1">IFERROR(__xludf.DUMMYFUNCTION("GOOGLEFINANCE(""BOM:""&amp;A32,""PRICE"")"),8.81)</f>
        <v>8.81</v>
      </c>
      <c r="F32" s="112">
        <f ca="1">IFERROR(__xludf.DUMMYFUNCTION("GOOGLEFINANCE(""BOM:""&amp;A32,""MARKETCAP"")/10000000"),74.7029977)</f>
        <v>74.702997699999997</v>
      </c>
      <c r="G32" s="95">
        <f t="shared" ca="1" si="0"/>
        <v>1.5249724543474328E-3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538921</v>
      </c>
      <c r="B33" s="98" t="s">
        <v>2988</v>
      </c>
      <c r="C33" s="101"/>
      <c r="D33" s="101"/>
      <c r="E33" s="101">
        <f ca="1">IFERROR(__xludf.DUMMYFUNCTION("GOOGLEFINANCE(""BOM:""&amp;A33,""PRICE"")"),55)</f>
        <v>55</v>
      </c>
      <c r="F33" s="112">
        <f ca="1">IFERROR(__xludf.DUMMYFUNCTION("GOOGLEFINANCE(""BOM:""&amp;A33,""MARKETCAP"")/10000000"),65.54653)</f>
        <v>65.546530000000004</v>
      </c>
      <c r="G33" s="95">
        <f t="shared" ca="1" si="0"/>
        <v>1.338054104996882E-3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544648</v>
      </c>
      <c r="B34" s="98" t="s">
        <v>2989</v>
      </c>
      <c r="C34" s="101"/>
      <c r="D34" s="101"/>
      <c r="E34" s="101">
        <f ca="1">IFERROR(__xludf.DUMMYFUNCTION("GOOGLEFINANCE(""BOM:""&amp;A34,""PRICE"")"),61.5)</f>
        <v>61.5</v>
      </c>
      <c r="F34" s="112"/>
      <c r="G34" s="95">
        <f t="shared" ca="1" si="0"/>
        <v>0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537292</v>
      </c>
      <c r="B35" s="98" t="s">
        <v>2990</v>
      </c>
      <c r="C35" s="101"/>
      <c r="D35" s="101"/>
      <c r="E35" s="101">
        <f ca="1">IFERROR(__xludf.DUMMYFUNCTION("GOOGLEFINANCE(""BOM:""&amp;A35,""PRICE"")"),111.77)</f>
        <v>111.77</v>
      </c>
      <c r="F35" s="112">
        <f ca="1">IFERROR(__xludf.DUMMYFUNCTION("GOOGLEFINANCE(""BOM:""&amp;A35,""MARKETCAP"")/10000000"),64.1222981)</f>
        <v>64.122298099999995</v>
      </c>
      <c r="G35" s="95">
        <f t="shared" ca="1" si="0"/>
        <v>1.3089801122124812E-3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524408</v>
      </c>
      <c r="B36" s="98" t="s">
        <v>2991</v>
      </c>
      <c r="C36" s="101"/>
      <c r="D36" s="101"/>
      <c r="E36" s="101">
        <f ca="1">IFERROR(__xludf.DUMMYFUNCTION("GOOGLEFINANCE(""BOM:""&amp;A36,""PRICE"")"),132.5)</f>
        <v>132.5</v>
      </c>
      <c r="F36" s="112">
        <f ca="1">IFERROR(__xludf.DUMMYFUNCTION("GOOGLEFINANCE(""BOM:""&amp;A36,""MARKETCAP"")/10000000"),55.65)</f>
        <v>55.65</v>
      </c>
      <c r="G36" s="95">
        <f t="shared" ca="1" si="0"/>
        <v>1.1360282679048987E-3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530997</v>
      </c>
      <c r="B37" s="98" t="s">
        <v>2992</v>
      </c>
      <c r="C37" s="101"/>
      <c r="D37" s="101"/>
      <c r="E37" s="101">
        <f ca="1">IFERROR(__xludf.DUMMYFUNCTION("GOOGLEFINANCE(""BOM:""&amp;A37,""PRICE"")"),76)</f>
        <v>76</v>
      </c>
      <c r="F37" s="112">
        <f ca="1">IFERROR(__xludf.DUMMYFUNCTION("GOOGLEFINANCE(""BOM:""&amp;A37,""MARKETCAP"")/10000000"),45.2428)</f>
        <v>45.242800000000003</v>
      </c>
      <c r="G37" s="95">
        <f t="shared" ca="1" si="0"/>
        <v>9.2357771283320313E-4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523672</v>
      </c>
      <c r="B38" s="98" t="s">
        <v>2993</v>
      </c>
      <c r="C38" s="101"/>
      <c r="D38" s="101"/>
      <c r="E38" s="101">
        <f ca="1">IFERROR(__xludf.DUMMYFUNCTION("GOOGLEFINANCE(""BOM:""&amp;A38,""PRICE"")"),41.99)</f>
        <v>41.99</v>
      </c>
      <c r="F38" s="112">
        <f ca="1">IFERROR(__xludf.DUMMYFUNCTION("GOOGLEFINANCE(""BOM:""&amp;A38,""MARKETCAP"")/10000000"),52.277552)</f>
        <v>52.277552</v>
      </c>
      <c r="G38" s="95">
        <f t="shared" ca="1" si="0"/>
        <v>1.0671837708691515E-3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544659</v>
      </c>
      <c r="B39" s="98" t="s">
        <v>2994</v>
      </c>
      <c r="C39" s="101"/>
      <c r="D39" s="101"/>
      <c r="E39" s="101">
        <f ca="1">IFERROR(__xludf.DUMMYFUNCTION("GOOGLEFINANCE(""BOM:""&amp;A39,""PRICE"")"),32.5)</f>
        <v>32.5</v>
      </c>
      <c r="F39" s="112">
        <f ca="1">IFERROR(__xludf.DUMMYFUNCTION("GOOGLEFINANCE(""BOM:""&amp;A39,""MARKETCAP"")/10000000"),43.30573)</f>
        <v>43.305729999999997</v>
      </c>
      <c r="G39" s="95">
        <f t="shared" ca="1" si="0"/>
        <v>8.8403474289770365E-4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526445</v>
      </c>
      <c r="B40" s="98" t="s">
        <v>2995</v>
      </c>
      <c r="C40" s="101"/>
      <c r="D40" s="101"/>
      <c r="E40" s="101">
        <f ca="1">IFERROR(__xludf.DUMMYFUNCTION("GOOGLEFINANCE(""BOM:""&amp;A40,""PRICE"")"),8.35)</f>
        <v>8.35</v>
      </c>
      <c r="F40" s="112">
        <f ca="1">IFERROR(__xludf.DUMMYFUNCTION("GOOGLEFINANCE(""BOM:""&amp;A40,""MARKETCAP"")/10000000"),38.0227704)</f>
        <v>38.022770399999999</v>
      </c>
      <c r="G40" s="95">
        <f t="shared" ca="1" si="0"/>
        <v>7.7618943393454904E-4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543814</v>
      </c>
      <c r="B41" s="98" t="s">
        <v>2996</v>
      </c>
      <c r="C41" s="101"/>
      <c r="D41" s="101"/>
      <c r="E41" s="101">
        <f ca="1">IFERROR(__xludf.DUMMYFUNCTION("GOOGLEFINANCE(""BOM:""&amp;A41,""PRICE"")"),43.8)</f>
        <v>43.8</v>
      </c>
      <c r="F41" s="112">
        <f ca="1">IFERROR(__xludf.DUMMYFUNCTION("GOOGLEFINANCE(""BOM:""&amp;A41,""MARKETCAP"")/10000000"),26.87349)</f>
        <v>26.87349</v>
      </c>
      <c r="G41" s="95">
        <f t="shared" ca="1" si="0"/>
        <v>5.4859019402083765E-4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544000</v>
      </c>
      <c r="B42" s="98" t="s">
        <v>2997</v>
      </c>
      <c r="C42" s="101"/>
      <c r="D42" s="101"/>
      <c r="E42" s="101">
        <f ca="1">IFERROR(__xludf.DUMMYFUNCTION("GOOGLEFINANCE(""BOM:""&amp;A42,""PRICE"")"),16.46)</f>
        <v>16.46</v>
      </c>
      <c r="F42" s="112">
        <f ca="1">IFERROR(__xludf.DUMMYFUNCTION("GOOGLEFINANCE(""BOM:""&amp;A42,""MARKETCAP"")/10000000"),26.85739)</f>
        <v>26.857389999999999</v>
      </c>
      <c r="G42" s="95">
        <f t="shared" ca="1" si="0"/>
        <v>5.4826153175465135E-4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4.4">
      <c r="A43" s="99">
        <v>543540</v>
      </c>
      <c r="B43" s="98" t="s">
        <v>2998</v>
      </c>
      <c r="C43" s="101"/>
      <c r="D43" s="101"/>
      <c r="E43" s="101">
        <f ca="1">IFERROR(__xludf.DUMMYFUNCTION("GOOGLEFINANCE(""BOM:""&amp;A43,""PRICE"")"),126)</f>
        <v>126</v>
      </c>
      <c r="F43" s="112">
        <f ca="1">IFERROR(__xludf.DUMMYFUNCTION("GOOGLEFINANCE(""BOM:""&amp;A43,""MARKETCAP"")/10000000"),33.73146)</f>
        <v>33.731459999999998</v>
      </c>
      <c r="G43" s="95">
        <f t="shared" ca="1" si="0"/>
        <v>6.8858745871883868E-4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4.4">
      <c r="A44" s="99">
        <v>530953</v>
      </c>
      <c r="B44" s="98" t="s">
        <v>2999</v>
      </c>
      <c r="C44" s="101"/>
      <c r="D44" s="101"/>
      <c r="E44" s="101">
        <f ca="1">IFERROR(__xludf.DUMMYFUNCTION("GOOGLEFINANCE(""BOM:""&amp;A44,""PRICE"")"),86.49)</f>
        <v>86.49</v>
      </c>
      <c r="F44" s="112">
        <f ca="1">IFERROR(__xludf.DUMMYFUNCTION("GOOGLEFINANCE(""BOM:""&amp;A44,""MARKETCAP"")/10000000"),25.9720728)</f>
        <v>25.972072799999999</v>
      </c>
      <c r="G44" s="95">
        <f t="shared" ca="1" si="0"/>
        <v>5.3018883875802214E-4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4.4">
      <c r="A45" s="99">
        <v>543310</v>
      </c>
      <c r="B45" s="98" t="s">
        <v>3000</v>
      </c>
      <c r="C45" s="101"/>
      <c r="D45" s="101"/>
      <c r="E45" s="101">
        <f ca="1">IFERROR(__xludf.DUMMYFUNCTION("GOOGLEFINANCE(""BOM:""&amp;A45,""PRICE"")"),42)</f>
        <v>42</v>
      </c>
      <c r="F45" s="112">
        <f ca="1">IFERROR(__xludf.DUMMYFUNCTION("GOOGLEFINANCE(""BOM:""&amp;A45,""MARKETCAP"")/10000000"),23.41248)</f>
        <v>23.412479999999999</v>
      </c>
      <c r="G45" s="95">
        <f t="shared" ca="1" si="0"/>
        <v>4.7793780955540129E-4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511169</v>
      </c>
      <c r="B46" s="98" t="s">
        <v>3001</v>
      </c>
      <c r="C46" s="101"/>
      <c r="D46" s="101"/>
      <c r="E46" s="101">
        <f ca="1">IFERROR(__xludf.DUMMYFUNCTION("GOOGLEFINANCE(""BOM:""&amp;A46,""PRICE"")"),3.95)</f>
        <v>3.95</v>
      </c>
      <c r="F46" s="112">
        <f ca="1">IFERROR(__xludf.DUMMYFUNCTION("GOOGLEFINANCE(""BOM:""&amp;A46,""MARKETCAP"")/10000000"),23.08775)</f>
        <v>23.08775</v>
      </c>
      <c r="G46" s="95">
        <f t="shared" ca="1" si="0"/>
        <v>4.7130883454306067E-4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4.4">
      <c r="A47" s="99">
        <v>538539</v>
      </c>
      <c r="B47" s="98" t="s">
        <v>3002</v>
      </c>
      <c r="C47" s="101"/>
      <c r="D47" s="101"/>
      <c r="E47" s="101">
        <f ca="1">IFERROR(__xludf.DUMMYFUNCTION("GOOGLEFINANCE(""BOM:""&amp;A47,""PRICE"")"),9.8)</f>
        <v>9.8000000000000007</v>
      </c>
      <c r="F47" s="112">
        <f ca="1">IFERROR(__xludf.DUMMYFUNCTION("GOOGLEFINANCE(""BOM:""&amp;A47,""MARKETCAP"")/10000000"),24.2065394)</f>
        <v>24.2065394</v>
      </c>
      <c r="G47" s="95">
        <f t="shared" ca="1" si="0"/>
        <v>4.9414758358587039E-4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4.4">
      <c r="A48" s="99">
        <v>544175</v>
      </c>
      <c r="B48" s="98" t="s">
        <v>3003</v>
      </c>
      <c r="C48" s="101"/>
      <c r="D48" s="101"/>
      <c r="E48" s="101">
        <f ca="1">IFERROR(__xludf.DUMMYFUNCTION("GOOGLEFINANCE(""BOM:""&amp;A48,""PRICE"")"),85)</f>
        <v>85</v>
      </c>
      <c r="F48" s="112">
        <f ca="1">IFERROR(__xludf.DUMMYFUNCTION("GOOGLEFINANCE(""BOM:""&amp;A48,""MARKETCAP"")/10000000"),21.9946)</f>
        <v>21.994599999999998</v>
      </c>
      <c r="G48" s="95">
        <f t="shared" ca="1" si="0"/>
        <v>4.4899348322122341E-4</v>
      </c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ht="14.4">
      <c r="A49" s="99">
        <v>519307</v>
      </c>
      <c r="B49" s="98" t="s">
        <v>3004</v>
      </c>
      <c r="C49" s="101"/>
      <c r="D49" s="101"/>
      <c r="E49" s="101">
        <f ca="1">IFERROR(__xludf.DUMMYFUNCTION("GOOGLEFINANCE(""BOM:""&amp;A49,""PRICE"")"),0.9)</f>
        <v>0.9</v>
      </c>
      <c r="F49" s="112">
        <f ca="1">IFERROR(__xludf.DUMMYFUNCTION("GOOGLEFINANCE(""BOM:""&amp;A49,""MARKETCAP"")/10000000"),18.3995635)</f>
        <v>18.399563499999999</v>
      </c>
      <c r="G49" s="95">
        <f t="shared" ca="1" si="0"/>
        <v>3.7560510787261806E-4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4.4">
      <c r="A50" s="99">
        <v>519574</v>
      </c>
      <c r="B50" s="98" t="s">
        <v>3005</v>
      </c>
      <c r="C50" s="101"/>
      <c r="D50" s="101"/>
      <c r="E50" s="101">
        <f ca="1">IFERROR(__xludf.DUMMYFUNCTION("GOOGLEFINANCE(""BOM:""&amp;A50,""PRICE"")"),39.55)</f>
        <v>39.549999999999997</v>
      </c>
      <c r="F50" s="112">
        <f ca="1">IFERROR(__xludf.DUMMYFUNCTION("GOOGLEFINANCE(""BOM:""&amp;A50,""MARKETCAP"")/10000000"),17.4027946)</f>
        <v>17.4027946</v>
      </c>
      <c r="G50" s="95">
        <f t="shared" ca="1" si="0"/>
        <v>3.55257261565907E-4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4.4">
      <c r="A51" s="99">
        <v>544312</v>
      </c>
      <c r="B51" s="98" t="s">
        <v>3006</v>
      </c>
      <c r="C51" s="101"/>
      <c r="D51" s="101"/>
      <c r="E51" s="101">
        <f ca="1">IFERROR(__xludf.DUMMYFUNCTION("GOOGLEFINANCE(""BOM:""&amp;A51,""PRICE"")"),19.79)</f>
        <v>19.79</v>
      </c>
      <c r="F51" s="112">
        <f ca="1">IFERROR(__xludf.DUMMYFUNCTION("GOOGLEFINANCE(""BOM:""&amp;A51,""MARKETCAP"")/10000000"),17.24105)</f>
        <v>17.241050000000001</v>
      </c>
      <c r="G51" s="95">
        <f t="shared" ca="1" si="0"/>
        <v>3.5195543878457783E-4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4.4">
      <c r="A52" s="99">
        <v>544269</v>
      </c>
      <c r="B52" s="98" t="s">
        <v>3007</v>
      </c>
      <c r="C52" s="101"/>
      <c r="D52" s="101"/>
      <c r="E52" s="101">
        <f ca="1">IFERROR(__xludf.DUMMYFUNCTION("GOOGLEFINANCE(""BOM:""&amp;A52,""PRICE"")"),7.2)</f>
        <v>7.2</v>
      </c>
      <c r="F52" s="112">
        <f ca="1">IFERROR(__xludf.DUMMYFUNCTION("GOOGLEFINANCE(""BOM:""&amp;A52,""MARKETCAP"")/10000000"),12.2399996)</f>
        <v>12.239999600000001</v>
      </c>
      <c r="G52" s="95">
        <f t="shared" ca="1" si="0"/>
        <v>2.4986496935749605E-4</v>
      </c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ht="14.4">
      <c r="A53" s="99">
        <v>531518</v>
      </c>
      <c r="B53" s="98" t="s">
        <v>3008</v>
      </c>
      <c r="C53" s="101"/>
      <c r="D53" s="101"/>
      <c r="E53" s="101">
        <f ca="1">IFERROR(__xludf.DUMMYFUNCTION("GOOGLEFINANCE(""BOM:""&amp;A53,""PRICE"")"),0.3)</f>
        <v>0.3</v>
      </c>
      <c r="F53" s="112">
        <f ca="1">IFERROR(__xludf.DUMMYFUNCTION("GOOGLEFINANCE(""BOM:""&amp;A53,""MARKETCAP"")/10000000"),15.4402506)</f>
        <v>15.440250600000001</v>
      </c>
      <c r="G53" s="95">
        <f t="shared" ca="1" si="0"/>
        <v>3.1519427035284052E-4</v>
      </c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ht="14.4">
      <c r="A54" s="99">
        <v>530295</v>
      </c>
      <c r="B54" s="98" t="s">
        <v>3009</v>
      </c>
      <c r="C54" s="101"/>
      <c r="D54" s="101"/>
      <c r="E54" s="101">
        <f ca="1">IFERROR(__xludf.DUMMYFUNCTION("GOOGLEFINANCE(""BOM:""&amp;A54,""PRICE"")"),21.46)</f>
        <v>21.46</v>
      </c>
      <c r="F54" s="112">
        <f ca="1">IFERROR(__xludf.DUMMYFUNCTION("GOOGLEFINANCE(""BOM:""&amp;A54,""MARKETCAP"")/10000000"),8.783578)</f>
        <v>8.7835780000000003</v>
      </c>
      <c r="G54" s="95">
        <f t="shared" ca="1" si="0"/>
        <v>1.7930625159654222E-4</v>
      </c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ht="14.4">
      <c r="A55" s="99">
        <v>513713</v>
      </c>
      <c r="B55" s="98" t="s">
        <v>3010</v>
      </c>
      <c r="C55" s="101"/>
      <c r="D55" s="101"/>
      <c r="E55" s="101">
        <f ca="1">IFERROR(__xludf.DUMMYFUNCTION("GOOGLEFINANCE(""BOM:""&amp;A55,""PRICE"")"),3.9)</f>
        <v>3.9</v>
      </c>
      <c r="F55" s="112">
        <f ca="1">IFERROR(__xludf.DUMMYFUNCTION("GOOGLEFINANCE(""BOM:""&amp;A55,""MARKETCAP"")/10000000"),13.6500003)</f>
        <v>13.6500003</v>
      </c>
      <c r="G55" s="95">
        <f t="shared" ca="1" si="0"/>
        <v>2.7864844919515454E-4</v>
      </c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ht="14.4">
      <c r="A56" s="99">
        <v>531156</v>
      </c>
      <c r="B56" s="98" t="s">
        <v>3011</v>
      </c>
      <c r="C56" s="101"/>
      <c r="D56" s="101"/>
      <c r="E56" s="101">
        <f ca="1">IFERROR(__xludf.DUMMYFUNCTION("GOOGLEFINANCE(""BOM:""&amp;A56,""PRICE"")"),13.87)</f>
        <v>13.87</v>
      </c>
      <c r="F56" s="112">
        <f ca="1">IFERROR(__xludf.DUMMYFUNCTION("GOOGLEFINANCE(""BOM:""&amp;A56,""MARKETCAP"")/10000000"),43.7265616)</f>
        <v>43.726561599999997</v>
      </c>
      <c r="G56" s="95">
        <f t="shared" ca="1" si="0"/>
        <v>8.9262551726657416E-4</v>
      </c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ht="14.4">
      <c r="A57" s="99">
        <v>519285</v>
      </c>
      <c r="B57" s="98" t="s">
        <v>3012</v>
      </c>
      <c r="C57" s="101"/>
      <c r="D57" s="101"/>
      <c r="E57" s="101">
        <f ca="1">IFERROR(__xludf.DUMMYFUNCTION("GOOGLEFINANCE(""BOM:""&amp;A57,""PRICE"")"),6.95)</f>
        <v>6.95</v>
      </c>
      <c r="F57" s="112">
        <f ca="1">IFERROR(__xludf.DUMMYFUNCTION("GOOGLEFINANCE(""BOM:""&amp;A57,""MARKETCAP"")/10000000"),12.3210361)</f>
        <v>12.321036100000001</v>
      </c>
      <c r="G57" s="95">
        <f t="shared" ca="1" si="0"/>
        <v>2.5151923269499962E-4</v>
      </c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ht="14.4">
      <c r="A58" s="99">
        <v>544368</v>
      </c>
      <c r="B58" s="98" t="s">
        <v>3013</v>
      </c>
      <c r="C58" s="101"/>
      <c r="D58" s="101"/>
      <c r="E58" s="101">
        <f ca="1">IFERROR(__xludf.DUMMYFUNCTION("GOOGLEFINANCE(""BOM:""&amp;A58,""PRICE"")"),15.15)</f>
        <v>15.15</v>
      </c>
      <c r="F58" s="112">
        <f ca="1">IFERROR(__xludf.DUMMYFUNCTION("GOOGLEFINANCE(""BOM:""&amp;A58,""MARKETCAP"")/10000000"),8.8737804)</f>
        <v>8.8737803999999993</v>
      </c>
      <c r="G58" s="95">
        <f t="shared" ca="1" si="0"/>
        <v>1.811476258325326E-4</v>
      </c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ht="14.4">
      <c r="A59" s="99">
        <v>519064</v>
      </c>
      <c r="B59" s="98" t="s">
        <v>3014</v>
      </c>
      <c r="C59" s="101"/>
      <c r="D59" s="101"/>
      <c r="E59" s="101">
        <f ca="1">IFERROR(__xludf.DUMMYFUNCTION("GOOGLEFINANCE(""BOM:""&amp;A59,""PRICE"")"),141)</f>
        <v>141</v>
      </c>
      <c r="F59" s="112">
        <f ca="1">IFERROR(__xludf.DUMMYFUNCTION("GOOGLEFINANCE(""BOM:""&amp;A59,""MARKETCAP"")/10000000"),11.9864142)</f>
        <v>11.9864142</v>
      </c>
      <c r="G59" s="95">
        <f t="shared" ca="1" si="0"/>
        <v>2.4468832636148575E-4</v>
      </c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ht="14.4">
      <c r="A60" s="99">
        <v>526473</v>
      </c>
      <c r="B60" s="98" t="s">
        <v>3015</v>
      </c>
      <c r="C60" s="101"/>
      <c r="D60" s="101"/>
      <c r="E60" s="101">
        <f ca="1">IFERROR(__xludf.DUMMYFUNCTION("GOOGLEFINANCE(""BOM:""&amp;A60,""PRICE"")"),4.54)</f>
        <v>4.54</v>
      </c>
      <c r="F60" s="112">
        <f ca="1">IFERROR(__xludf.DUMMYFUNCTION("GOOGLEFINANCE(""BOM:""&amp;A60,""MARKETCAP"")/10000000"),9.0799999)</f>
        <v>9.0799999000000007</v>
      </c>
      <c r="G60" s="95">
        <f t="shared" ca="1" si="0"/>
        <v>1.8535735056556432E-4</v>
      </c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ht="14.4">
      <c r="A61" s="99">
        <v>507609</v>
      </c>
      <c r="B61" s="98" t="s">
        <v>3016</v>
      </c>
      <c r="C61" s="101"/>
      <c r="D61" s="101"/>
      <c r="E61" s="101">
        <f ca="1">IFERROR(__xludf.DUMMYFUNCTION("GOOGLEFINANCE(""BOM:""&amp;A61,""PRICE"")"),22.81)</f>
        <v>22.81</v>
      </c>
      <c r="F61" s="112">
        <f ca="1">IFERROR(__xludf.DUMMYFUNCTION("GOOGLEFINANCE(""BOM:""&amp;A61,""MARKETCAP"")/10000000"),6.5099738)</f>
        <v>6.5099738</v>
      </c>
      <c r="G61" s="95">
        <f t="shared" ca="1" si="0"/>
        <v>1.3289333800755205E-4</v>
      </c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</row>
    <row r="62" spans="1:25" ht="14.4">
      <c r="A62" s="99">
        <v>519262</v>
      </c>
      <c r="B62" s="98" t="s">
        <v>3017</v>
      </c>
      <c r="C62" s="101"/>
      <c r="D62" s="101"/>
      <c r="E62" s="101">
        <f ca="1">IFERROR(__xludf.DUMMYFUNCTION("GOOGLEFINANCE(""BOM:""&amp;A62,""PRICE"")"),14)</f>
        <v>14</v>
      </c>
      <c r="F62" s="112">
        <f ca="1">IFERROR(__xludf.DUMMYFUNCTION("GOOGLEFINANCE(""BOM:""&amp;A62,""MARKETCAP"")/10000000"),7.27286)</f>
        <v>7.2728599999999997</v>
      </c>
      <c r="G62" s="95">
        <f t="shared" ca="1" si="0"/>
        <v>1.484667484009851E-4</v>
      </c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</row>
    <row r="63" spans="1:25" ht="14.4">
      <c r="A63" s="99">
        <v>519479</v>
      </c>
      <c r="B63" s="98" t="s">
        <v>3018</v>
      </c>
      <c r="C63" s="101"/>
      <c r="D63" s="101"/>
      <c r="E63" s="101">
        <f ca="1">IFERROR(__xludf.DUMMYFUNCTION("GOOGLEFINANCE(""BOM:""&amp;A63,""PRICE"")"),7.98)</f>
        <v>7.98</v>
      </c>
      <c r="F63" s="112">
        <f ca="1">IFERROR(__xludf.DUMMYFUNCTION("GOOGLEFINANCE(""BOM:""&amp;A63,""MARKETCAP"")/10000000"),6.307392)</f>
        <v>6.3073920000000001</v>
      </c>
      <c r="G63" s="95">
        <f t="shared" ca="1" si="0"/>
        <v>1.2875787257425364E-4</v>
      </c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</row>
    <row r="64" spans="1:25" ht="14.4">
      <c r="A64" s="99">
        <v>531834</v>
      </c>
      <c r="B64" s="98" t="s">
        <v>3019</v>
      </c>
      <c r="C64" s="101"/>
      <c r="D64" s="101"/>
      <c r="E64" s="101">
        <f ca="1">IFERROR(__xludf.DUMMYFUNCTION("GOOGLEFINANCE(""BOM:""&amp;A64,""PRICE"")"),10.8)</f>
        <v>10.8</v>
      </c>
      <c r="F64" s="112">
        <f ca="1">IFERROR(__xludf.DUMMYFUNCTION("GOOGLEFINANCE(""BOM:""&amp;A64,""MARKETCAP"")/10000000"),4.518377)</f>
        <v>4.5183770000000001</v>
      </c>
      <c r="G64" s="95">
        <f t="shared" ca="1" si="0"/>
        <v>9.223726859032044E-5</v>
      </c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</row>
    <row r="65" spans="1:25" ht="14.4">
      <c r="A65" s="99">
        <v>519279</v>
      </c>
      <c r="B65" s="98" t="s">
        <v>3020</v>
      </c>
      <c r="C65" s="101"/>
      <c r="D65" s="101"/>
      <c r="E65" s="101">
        <f ca="1">IFERROR(__xludf.DUMMYFUNCTION("GOOGLEFINANCE(""BOM:""&amp;A65,""PRICE"")"),7.02)</f>
        <v>7.02</v>
      </c>
      <c r="F65" s="112">
        <f ca="1">IFERROR(__xludf.DUMMYFUNCTION("GOOGLEFINANCE(""BOM:""&amp;A65,""MARKETCAP"")/10000000"),2.8711799)</f>
        <v>2.8711799</v>
      </c>
      <c r="G65" s="95">
        <f t="shared" ca="1" si="0"/>
        <v>5.8611707612585096E-5</v>
      </c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</row>
    <row r="66" spans="1:25" ht="13.2">
      <c r="A66" s="101"/>
      <c r="B66" s="101"/>
      <c r="C66" s="101"/>
      <c r="D66" s="101"/>
      <c r="E66" s="101"/>
      <c r="F66" s="112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</row>
    <row r="67" spans="1:25" ht="13.2">
      <c r="A67" s="101"/>
      <c r="B67" s="101"/>
      <c r="C67" s="101"/>
      <c r="D67" s="101"/>
      <c r="E67" s="101"/>
      <c r="F67" s="112">
        <f t="shared" ref="F67:G67" ca="1" si="1">SUM(F1:F65)</f>
        <v>48986.457091100019</v>
      </c>
      <c r="G67" s="95">
        <f t="shared" ca="1" si="1"/>
        <v>0.99999999999999956</v>
      </c>
      <c r="H67" s="101">
        <f t="shared" ref="H67:O67" si="2">SUM(H2:H65)</f>
        <v>19330</v>
      </c>
      <c r="I67" s="101">
        <f t="shared" si="2"/>
        <v>16120</v>
      </c>
      <c r="J67" s="101">
        <f t="shared" si="2"/>
        <v>1525</v>
      </c>
      <c r="K67" s="101">
        <f t="shared" si="2"/>
        <v>1334</v>
      </c>
      <c r="L67" s="101">
        <f t="shared" si="2"/>
        <v>6458</v>
      </c>
      <c r="M67" s="101">
        <f t="shared" si="2"/>
        <v>5631</v>
      </c>
      <c r="N67" s="101">
        <f t="shared" si="2"/>
        <v>423</v>
      </c>
      <c r="O67" s="101">
        <f t="shared" si="2"/>
        <v>375</v>
      </c>
      <c r="P67" s="95">
        <f t="shared" ref="P67:Q67" si="3">J67/H67</f>
        <v>7.8892912571132956E-2</v>
      </c>
      <c r="Q67" s="95">
        <f t="shared" si="3"/>
        <v>8.2754342431761788E-2</v>
      </c>
      <c r="R67" s="95">
        <f>P67-Q67</f>
        <v>-3.8614298606288316E-3</v>
      </c>
      <c r="S67" s="95">
        <f t="shared" ref="S67:T67" si="4">N67/L67</f>
        <v>6.5500154846701769E-2</v>
      </c>
      <c r="T67" s="95">
        <f t="shared" si="4"/>
        <v>6.659563132658497E-2</v>
      </c>
      <c r="U67" s="95">
        <f>S67-T67</f>
        <v>-1.0954764798832006E-3</v>
      </c>
      <c r="V67" s="95">
        <f>(H67/I67)-1</f>
        <v>0.19913151364764259</v>
      </c>
      <c r="W67" s="95">
        <f>(J67/K67)-1</f>
        <v>0.14317841079460281</v>
      </c>
      <c r="X67" s="95">
        <f>(L67/M67)-1</f>
        <v>0.1468655656188953</v>
      </c>
      <c r="Y67" s="95">
        <f>(N67/O67)-1</f>
        <v>0.12799999999999989</v>
      </c>
    </row>
    <row r="68" spans="1:25" ht="13.2">
      <c r="F68" s="94"/>
    </row>
    <row r="69" spans="1:25" ht="13.2">
      <c r="F69" s="94"/>
    </row>
    <row r="70" spans="1:25" ht="13.2">
      <c r="F70" s="94"/>
    </row>
    <row r="71" spans="1:25" ht="13.2">
      <c r="F71" s="94"/>
    </row>
    <row r="72" spans="1:25" ht="13.2">
      <c r="F72" s="94"/>
    </row>
    <row r="73" spans="1:25" ht="13.2">
      <c r="F73" s="94"/>
    </row>
    <row r="74" spans="1:25" ht="13.2">
      <c r="F74" s="94"/>
    </row>
    <row r="75" spans="1:25" ht="13.2">
      <c r="F75" s="94"/>
    </row>
    <row r="76" spans="1:25" ht="13.2">
      <c r="F76" s="94"/>
    </row>
    <row r="77" spans="1:25" ht="13.2">
      <c r="F77" s="94"/>
    </row>
    <row r="78" spans="1:25" ht="13.2">
      <c r="F78" s="94"/>
    </row>
    <row r="79" spans="1:25" ht="13.2">
      <c r="F79" s="94"/>
    </row>
    <row r="80" spans="1:25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65" xr:uid="{00000000-0009-0000-0000-000055000000}"/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>
      <c r="A2" s="340">
        <v>544407</v>
      </c>
      <c r="B2" s="340" t="s">
        <v>3021</v>
      </c>
      <c r="C2" s="101" t="str">
        <f>VLOOKUP(A2,'BSE ALL CAP'!$B$4:$Y$1038,2,)</f>
        <v>Energy</v>
      </c>
      <c r="D2" s="101" t="str">
        <f>VLOOKUP(A2,'BSE ALL CAP'!$B$4:$Y$1038,3,)</f>
        <v>Oil Storage &amp; Transportation</v>
      </c>
      <c r="E2" s="341">
        <f ca="1">IFERROR(__xludf.DUMMYFUNCTION("GOOGLEFINANCE(""BOM:""&amp;A2,""PRICE"")"),174.3)</f>
        <v>174.3</v>
      </c>
      <c r="F2" s="112">
        <f ca="1">IFERROR(__xludf.DUMMYFUNCTION("GOOGLEFINANCE(""BOM:""&amp;A2,""MARKETCAP"")/10000000"),19220.00585)</f>
        <v>19220.005850000001</v>
      </c>
      <c r="G2" s="95">
        <f t="shared" ref="G2:G4" ca="1" si="0">F2/$F$6</f>
        <v>0.96784167100003915</v>
      </c>
      <c r="H2" s="101">
        <f>VLOOKUP(A2,'BSE ALL CAP'!$B$4:$Y$1038,7,)</f>
        <v>562</v>
      </c>
      <c r="I2" s="101">
        <f>VLOOKUP(A2,'BSE ALL CAP'!$B$4:$Y$1038,8,)</f>
        <v>476</v>
      </c>
      <c r="J2" s="101">
        <f>VLOOKUP(A2,'BSE ALL CAP'!$B$4:$Y$1038,9,)</f>
        <v>467</v>
      </c>
      <c r="K2" s="101">
        <f>VLOOKUP(A2,'BSE ALL CAP'!$B$4:$Y$1038,10,)</f>
        <v>85</v>
      </c>
      <c r="L2" s="101">
        <f>VLOOKUP(A2,'BSE ALL CAP'!$B$4:$Y$1038,11,)</f>
        <v>200</v>
      </c>
      <c r="M2" s="101">
        <f>VLOOKUP(A2,'BSE ALL CAP'!$B$4:$Y$1038,12,)</f>
        <v>169</v>
      </c>
      <c r="N2" s="101">
        <f>VLOOKUP(A2,'BSE ALL CAP'!$B$4:$Y$1038,13,)</f>
        <v>61</v>
      </c>
      <c r="O2" s="101">
        <f>VLOOKUP(A2,'BSE ALL CAP'!$B$4:$Y$1038,14,)</f>
        <v>37</v>
      </c>
      <c r="P2" s="95">
        <f>VLOOKUP(A2,'BSE ALL CAP'!$B$4:$Y$1038,15,)</f>
        <v>0.83096085409252674</v>
      </c>
      <c r="Q2" s="95">
        <f>VLOOKUP(A2,'BSE ALL CAP'!$B$4:$Y$1038,16,)</f>
        <v>0.17857142857142858</v>
      </c>
      <c r="R2" s="95">
        <f>VLOOKUP(A2,'BSE ALL CAP'!$B$4:$Y$1038,17,)</f>
        <v>0.65238942552109813</v>
      </c>
      <c r="S2" s="95">
        <f>VLOOKUP(A2,'BSE ALL CAP'!$B$4:$Y$1038,18,)</f>
        <v>0.30499999999999999</v>
      </c>
      <c r="T2" s="95">
        <f>VLOOKUP(A2,'BSE ALL CAP'!$B$4:$Y$1038,19,)</f>
        <v>0.21893491124260356</v>
      </c>
      <c r="U2" s="95">
        <f>VLOOKUP(A2,'BSE ALL CAP'!$B$4:$Y$1038,20,)</f>
        <v>8.6065088757396435E-2</v>
      </c>
      <c r="V2" s="95">
        <f>VLOOKUP(A2,'BSE ALL CAP'!$B$4:$Y$1038,21,)</f>
        <v>0.18067226890756305</v>
      </c>
      <c r="W2" s="95">
        <f>VLOOKUP(A2,'BSE ALL CAP'!$B$4:$Y$1038,22,)</f>
        <v>4.4941176470588236</v>
      </c>
      <c r="X2" s="95">
        <f>VLOOKUP(A2,'BSE ALL CAP'!$B$4:$Y$1038,23,)</f>
        <v>0.18343195266272194</v>
      </c>
      <c r="Y2" s="95">
        <f>VLOOKUP(A2,'BSE ALL CAP'!$B$4:$Y$1038,24,)</f>
        <v>0.64864864864864868</v>
      </c>
    </row>
    <row r="3" spans="1:25">
      <c r="A3" s="340">
        <v>500153</v>
      </c>
      <c r="B3" s="340" t="s">
        <v>3022</v>
      </c>
      <c r="C3" s="101"/>
      <c r="D3" s="101"/>
      <c r="E3" s="341">
        <f ca="1">IFERROR(__xludf.DUMMYFUNCTION("GOOGLEFINANCE(""BOM:""&amp;A3,""PRICE"")"),80.15)</f>
        <v>80.150000000000006</v>
      </c>
      <c r="F3" s="112">
        <f ca="1">IFERROR(__xludf.DUMMYFUNCTION("GOOGLEFINANCE(""BOM:""&amp;A3,""MARKETCAP"")/10000000"),579.514831)</f>
        <v>579.51483099999996</v>
      </c>
      <c r="G3" s="95">
        <f t="shared" ca="1" si="0"/>
        <v>2.9182020379267742E-2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>
      <c r="A4" s="340">
        <v>544463</v>
      </c>
      <c r="B4" s="340" t="s">
        <v>3023</v>
      </c>
      <c r="C4" s="101"/>
      <c r="D4" s="101"/>
      <c r="E4" s="341">
        <f ca="1">IFERROR(__xludf.DUMMYFUNCTION("GOOGLEFINANCE(""BOM:""&amp;A4,""PRICE"")"),57.5)</f>
        <v>57.5</v>
      </c>
      <c r="F4" s="112">
        <f ca="1">IFERROR(__xludf.DUMMYFUNCTION("GOOGLEFINANCE(""BOM:""&amp;A4,""MARKETCAP"")/10000000"),59.1054)</f>
        <v>59.105400000000003</v>
      </c>
      <c r="G4" s="95">
        <f t="shared" ca="1" si="0"/>
        <v>2.976308620693043E-3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101"/>
      <c r="B5" s="101"/>
      <c r="C5" s="101"/>
      <c r="D5" s="101"/>
      <c r="E5" s="101"/>
      <c r="F5" s="112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>
      <c r="A6" s="101"/>
      <c r="B6" s="101"/>
      <c r="C6" s="101"/>
      <c r="D6" s="101"/>
      <c r="E6" s="101"/>
      <c r="F6" s="112">
        <f t="shared" ref="F6:O6" ca="1" si="1">SUM(F2:F4)</f>
        <v>19858.626081000002</v>
      </c>
      <c r="G6" s="95">
        <f t="shared" ca="1" si="1"/>
        <v>1</v>
      </c>
      <c r="H6" s="101">
        <f t="shared" si="1"/>
        <v>562</v>
      </c>
      <c r="I6" s="101">
        <f t="shared" si="1"/>
        <v>476</v>
      </c>
      <c r="J6" s="101">
        <f t="shared" si="1"/>
        <v>467</v>
      </c>
      <c r="K6" s="101">
        <f t="shared" si="1"/>
        <v>85</v>
      </c>
      <c r="L6" s="101">
        <f t="shared" si="1"/>
        <v>200</v>
      </c>
      <c r="M6" s="101">
        <f t="shared" si="1"/>
        <v>169</v>
      </c>
      <c r="N6" s="101">
        <f t="shared" si="1"/>
        <v>61</v>
      </c>
      <c r="O6" s="101">
        <f t="shared" si="1"/>
        <v>37</v>
      </c>
      <c r="P6" s="95">
        <f t="shared" ref="P6:Q6" si="2">J6/H6</f>
        <v>0.83096085409252674</v>
      </c>
      <c r="Q6" s="95">
        <f t="shared" si="2"/>
        <v>0.17857142857142858</v>
      </c>
      <c r="R6" s="95">
        <f>P6-Q6</f>
        <v>0.65238942552109813</v>
      </c>
      <c r="S6" s="95">
        <f t="shared" ref="S6:T6" si="3">N6/L6</f>
        <v>0.30499999999999999</v>
      </c>
      <c r="T6" s="95">
        <f t="shared" si="3"/>
        <v>0.21893491124260356</v>
      </c>
      <c r="U6" s="95">
        <f>S6-T6</f>
        <v>8.6065088757396435E-2</v>
      </c>
      <c r="V6" s="95">
        <f>(H6/I6)-1</f>
        <v>0.18067226890756305</v>
      </c>
      <c r="W6" s="95">
        <f>(J6/K6)-1</f>
        <v>4.4941176470588236</v>
      </c>
      <c r="X6" s="95">
        <f>(L6/M6)-1</f>
        <v>0.18343195266272194</v>
      </c>
      <c r="Y6" s="95">
        <f>(N6/O6)-1</f>
        <v>0.64864864864864868</v>
      </c>
    </row>
    <row r="7" spans="1:25">
      <c r="F7" s="94"/>
    </row>
    <row r="8" spans="1:25">
      <c r="F8" s="94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4" xr:uid="{00000000-0009-0000-0000-000056000000}"/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500312</v>
      </c>
      <c r="B2" s="98" t="s">
        <v>3024</v>
      </c>
      <c r="C2" s="101" t="str">
        <f>VLOOKUP(A2,'BSE ALL CAP'!$B$4:$Y$1038,2,)</f>
        <v>Energy</v>
      </c>
      <c r="D2" s="101" t="str">
        <f>VLOOKUP(A2,'BSE ALL CAP'!$B$4:$Y$1038,3,)</f>
        <v>Oil Exploration &amp; Production</v>
      </c>
      <c r="E2" s="101">
        <f ca="1">IFERROR(__xludf.DUMMYFUNCTION("GOOGLEFINANCE(""BOM:""&amp;A2,""PRICE"")"),282.05)</f>
        <v>282.05</v>
      </c>
      <c r="F2" s="112">
        <f ca="1">IFERROR(__xludf.DUMMYFUNCTION("GOOGLEFINANCE(""BOM:""&amp;A2,""MARKETCAP"")/10000000"),354763.614)</f>
        <v>354763.614</v>
      </c>
      <c r="G2" s="95">
        <f t="shared" ref="G2:G7" ca="1" si="0">F2/$F$9</f>
        <v>0.80688934147912383</v>
      </c>
      <c r="H2" s="101">
        <f>VLOOKUP(A2,'BSE ALL CAP'!$B$4:$Y$1038,7,)</f>
        <v>488442</v>
      </c>
      <c r="I2" s="101">
        <f>VLOOKUP(A2,'BSE ALL CAP'!$B$4:$Y$1038,8,)</f>
        <v>495511</v>
      </c>
      <c r="J2" s="101">
        <f>VLOOKUP(A2,'BSE ALL CAP'!$B$4:$Y$1038,9,)</f>
        <v>36115</v>
      </c>
      <c r="K2" s="101">
        <f>VLOOKUP(A2,'BSE ALL CAP'!$B$4:$Y$1038,10,)</f>
        <v>29364</v>
      </c>
      <c r="L2" s="101">
        <f>VLOOKUP(A2,'BSE ALL CAP'!$B$4:$Y$1038,11,)</f>
        <v>167422</v>
      </c>
      <c r="M2" s="101">
        <f>VLOOKUP(A2,'BSE ALL CAP'!$B$4:$Y$1038,12,)</f>
        <v>167212</v>
      </c>
      <c r="N2" s="101">
        <f>VLOOKUP(A2,'BSE ALL CAP'!$B$4:$Y$1038,13,)</f>
        <v>11946</v>
      </c>
      <c r="O2" s="101">
        <f>VLOOKUP(A2,'BSE ALL CAP'!$B$4:$Y$1038,14,)</f>
        <v>9746</v>
      </c>
      <c r="P2" s="95">
        <f>VLOOKUP(A2,'BSE ALL CAP'!$B$4:$Y$1038,15,)</f>
        <v>7.3939178039562528E-2</v>
      </c>
      <c r="Q2" s="95">
        <f>VLOOKUP(A2,'BSE ALL CAP'!$B$4:$Y$1038,16,)</f>
        <v>5.9260036608672663E-2</v>
      </c>
      <c r="R2" s="95">
        <f>VLOOKUP(A2,'BSE ALL CAP'!$B$4:$Y$1038,17,)</f>
        <v>1.4679141430889865E-2</v>
      </c>
      <c r="S2" s="95">
        <f>VLOOKUP(A2,'BSE ALL CAP'!$B$4:$Y$1038,18,)</f>
        <v>7.1352629881377597E-2</v>
      </c>
      <c r="T2" s="95">
        <f>VLOOKUP(A2,'BSE ALL CAP'!$B$4:$Y$1038,19,)</f>
        <v>5.8285290529387843E-2</v>
      </c>
      <c r="U2" s="95">
        <f>VLOOKUP(A2,'BSE ALL CAP'!$B$4:$Y$1038,20,)</f>
        <v>1.3067339351989754E-2</v>
      </c>
      <c r="V2" s="95">
        <f>VLOOKUP(A2,'BSE ALL CAP'!$B$4:$Y$1038,21,)</f>
        <v>-1.4266080874087539E-2</v>
      </c>
      <c r="W2" s="95">
        <f>VLOOKUP(A2,'BSE ALL CAP'!$B$4:$Y$1038,22,)</f>
        <v>0.22990736956817881</v>
      </c>
      <c r="X2" s="95">
        <f>VLOOKUP(A2,'BSE ALL CAP'!$B$4:$Y$1038,23,)</f>
        <v>1.2558907255459939E-3</v>
      </c>
      <c r="Y2" s="95">
        <f>VLOOKUP(A2,'BSE ALL CAP'!$B$4:$Y$1038,24,)</f>
        <v>0.22573363431151239</v>
      </c>
    </row>
    <row r="3" spans="1:25" ht="15.75" customHeight="1">
      <c r="A3" s="99">
        <v>533106</v>
      </c>
      <c r="B3" s="98" t="s">
        <v>3025</v>
      </c>
      <c r="C3" s="101" t="str">
        <f>VLOOKUP(A3,'BSE ALL CAP'!$B$4:$Y$1038,2,)</f>
        <v>Energy</v>
      </c>
      <c r="D3" s="101" t="str">
        <f>VLOOKUP(A3,'BSE ALL CAP'!$B$4:$Y$1038,3,)</f>
        <v>Oil Exploration &amp; Production</v>
      </c>
      <c r="E3" s="101">
        <f ca="1">IFERROR(__xludf.DUMMYFUNCTION("GOOGLEFINANCE(""BOM:""&amp;A3,""PRICE"")"),474.65)</f>
        <v>474.65</v>
      </c>
      <c r="F3" s="112">
        <f ca="1">IFERROR(__xludf.DUMMYFUNCTION("GOOGLEFINANCE(""BOM:""&amp;A3,""MARKETCAP"")/10000000"),77263.8325)</f>
        <v>77263.832500000004</v>
      </c>
      <c r="G3" s="95">
        <f t="shared" ca="1" si="0"/>
        <v>0.17573212264682345</v>
      </c>
      <c r="H3" s="101">
        <f>VLOOKUP(A3,'BSE ALL CAP'!$B$4:$Y$1038,7,)</f>
        <v>27037</v>
      </c>
      <c r="I3" s="101">
        <f>VLOOKUP(A3,'BSE ALL CAP'!$B$4:$Y$1038,8,)</f>
        <v>26576</v>
      </c>
      <c r="J3" s="101">
        <f>VLOOKUP(A3,'BSE ALL CAP'!$B$4:$Y$1038,9,)</f>
        <v>5126</v>
      </c>
      <c r="K3" s="101">
        <f>VLOOKUP(A3,'BSE ALL CAP'!$B$4:$Y$1038,10,)</f>
        <v>5543</v>
      </c>
      <c r="L3" s="101">
        <f>VLOOKUP(A3,'BSE ALL CAP'!$B$4:$Y$1038,11,)</f>
        <v>9111</v>
      </c>
      <c r="M3" s="101">
        <f>VLOOKUP(A3,'BSE ALL CAP'!$B$4:$Y$1038,12,)</f>
        <v>9089</v>
      </c>
      <c r="N3" s="101">
        <f>VLOOKUP(A3,'BSE ALL CAP'!$B$4:$Y$1038,13,)</f>
        <v>1436</v>
      </c>
      <c r="O3" s="101">
        <f>VLOOKUP(A3,'BSE ALL CAP'!$B$4:$Y$1038,14,)</f>
        <v>1457</v>
      </c>
      <c r="P3" s="95">
        <f>VLOOKUP(A3,'BSE ALL CAP'!$B$4:$Y$1038,15,)</f>
        <v>0.18959204053704184</v>
      </c>
      <c r="Q3" s="95">
        <f>VLOOKUP(A3,'BSE ALL CAP'!$B$4:$Y$1038,16,)</f>
        <v>0.20857164358819988</v>
      </c>
      <c r="R3" s="95">
        <f>VLOOKUP(A3,'BSE ALL CAP'!$B$4:$Y$1038,17,)</f>
        <v>-1.8979603051158034E-2</v>
      </c>
      <c r="S3" s="95">
        <f>VLOOKUP(A3,'BSE ALL CAP'!$B$4:$Y$1038,18,)</f>
        <v>0.15761167819119745</v>
      </c>
      <c r="T3" s="95">
        <f>VLOOKUP(A3,'BSE ALL CAP'!$B$4:$Y$1038,19,)</f>
        <v>0.16030366376939156</v>
      </c>
      <c r="U3" s="95">
        <f>VLOOKUP(A3,'BSE ALL CAP'!$B$4:$Y$1038,20,)</f>
        <v>-2.6919855781941116E-3</v>
      </c>
      <c r="V3" s="95">
        <f>VLOOKUP(A3,'BSE ALL CAP'!$B$4:$Y$1038,21,)</f>
        <v>1.7346478025285883E-2</v>
      </c>
      <c r="W3" s="95">
        <f>VLOOKUP(A3,'BSE ALL CAP'!$B$4:$Y$1038,22,)</f>
        <v>-7.5230019844849338E-2</v>
      </c>
      <c r="X3" s="95">
        <f>VLOOKUP(A3,'BSE ALL CAP'!$B$4:$Y$1038,23,)</f>
        <v>2.42050830674434E-3</v>
      </c>
      <c r="Y3" s="95">
        <f>VLOOKUP(A3,'BSE ALL CAP'!$B$4:$Y$1038,24,)</f>
        <v>-1.4413177762525708E-2</v>
      </c>
    </row>
    <row r="4" spans="1:25" ht="15.75" customHeight="1">
      <c r="A4" s="99">
        <v>544379</v>
      </c>
      <c r="B4" s="98" t="s">
        <v>3026</v>
      </c>
      <c r="C4" s="101" t="str">
        <f>VLOOKUP(A4,'BSE ALL CAP'!$B$4:$Y$1038,2,)</f>
        <v>Energy</v>
      </c>
      <c r="D4" s="101" t="str">
        <f>VLOOKUP(A4,'BSE ALL CAP'!$B$4:$Y$1038,3,)</f>
        <v>Oil Exploration &amp; Production</v>
      </c>
      <c r="E4" s="101">
        <f ca="1">IFERROR(__xludf.DUMMYFUNCTION("GOOGLEFINANCE(""BOM:""&amp;A4,""PRICE"")"),158.05)</f>
        <v>158.05000000000001</v>
      </c>
      <c r="F4" s="112">
        <f ca="1">IFERROR(__xludf.DUMMYFUNCTION("GOOGLEFINANCE(""BOM:""&amp;A4,""MARKETCAP"")/10000000"),2316.8763569)</f>
        <v>2316.8763568999998</v>
      </c>
      <c r="G4" s="95">
        <f t="shared" ca="1" si="0"/>
        <v>5.2696014025485497E-3</v>
      </c>
      <c r="H4" s="101">
        <f>VLOOKUP(A4,'BSE ALL CAP'!$B$4:$Y$1038,7,)</f>
        <v>4</v>
      </c>
      <c r="I4" s="101">
        <f>VLOOKUP(A4,'BSE ALL CAP'!$B$4:$Y$1038,8,)</f>
        <v>2</v>
      </c>
      <c r="J4" s="101">
        <f>VLOOKUP(A4,'BSE ALL CAP'!$B$4:$Y$1038,9,)</f>
        <v>0.49</v>
      </c>
      <c r="K4" s="101">
        <f>VLOOKUP(A4,'BSE ALL CAP'!$B$4:$Y$1038,10,)</f>
        <v>-0.93</v>
      </c>
      <c r="L4" s="101">
        <f>VLOOKUP(A4,'BSE ALL CAP'!$B$4:$Y$1038,11,)</f>
        <v>1</v>
      </c>
      <c r="M4" s="101">
        <f>VLOOKUP(A4,'BSE ALL CAP'!$B$4:$Y$1038,12,)</f>
        <v>1</v>
      </c>
      <c r="N4" s="101">
        <f>VLOOKUP(A4,'BSE ALL CAP'!$B$4:$Y$1038,13,)</f>
        <v>0.22</v>
      </c>
      <c r="O4" s="101">
        <f>VLOOKUP(A4,'BSE ALL CAP'!$B$4:$Y$1038,14,)</f>
        <v>-0.09</v>
      </c>
      <c r="P4" s="95">
        <f>VLOOKUP(A4,'BSE ALL CAP'!$B$4:$Y$1038,15,)</f>
        <v>0.1225</v>
      </c>
      <c r="Q4" s="95">
        <f>VLOOKUP(A4,'BSE ALL CAP'!$B$4:$Y$1038,16,)</f>
        <v>-0.46500000000000002</v>
      </c>
      <c r="R4" s="95">
        <f>VLOOKUP(A4,'BSE ALL CAP'!$B$4:$Y$1038,17,)</f>
        <v>0.58750000000000002</v>
      </c>
      <c r="S4" s="95">
        <f>VLOOKUP(A4,'BSE ALL CAP'!$B$4:$Y$1038,18,)</f>
        <v>0.22</v>
      </c>
      <c r="T4" s="95">
        <f>VLOOKUP(A4,'BSE ALL CAP'!$B$4:$Y$1038,19,)</f>
        <v>-0.09</v>
      </c>
      <c r="U4" s="95">
        <f>VLOOKUP(A4,'BSE ALL CAP'!$B$4:$Y$1038,20,)</f>
        <v>0.31</v>
      </c>
      <c r="V4" s="95">
        <f>VLOOKUP(A4,'BSE ALL CAP'!$B$4:$Y$1038,21,)</f>
        <v>1</v>
      </c>
      <c r="W4" s="95">
        <f>VLOOKUP(A4,'BSE ALL CAP'!$B$4:$Y$1038,22,)</f>
        <v>-1.5268817204301075</v>
      </c>
      <c r="X4" s="95">
        <f>VLOOKUP(A4,'BSE ALL CAP'!$B$4:$Y$1038,23,)</f>
        <v>0</v>
      </c>
      <c r="Y4" s="95">
        <f>VLOOKUP(A4,'BSE ALL CAP'!$B$4:$Y$1038,24,)</f>
        <v>-3.4444444444444446</v>
      </c>
    </row>
    <row r="5" spans="1:25" ht="15.75" customHeight="1">
      <c r="A5" s="99">
        <v>530075</v>
      </c>
      <c r="B5" s="98" t="s">
        <v>3027</v>
      </c>
      <c r="C5" s="101"/>
      <c r="D5" s="101"/>
      <c r="E5" s="101">
        <f ca="1">IFERROR(__xludf.DUMMYFUNCTION("GOOGLEFINANCE(""BOM:""&amp;A5,""PRICE"")"),633.8)</f>
        <v>633.79999999999995</v>
      </c>
      <c r="F5" s="112">
        <f ca="1">IFERROR(__xludf.DUMMYFUNCTION("GOOGLEFINANCE(""BOM:""&amp;A5,""MARKETCAP"")/10000000"),2223.3932918)</f>
        <v>2223.3932918</v>
      </c>
      <c r="G5" s="95">
        <f t="shared" ca="1" si="0"/>
        <v>5.0569795725150194E-3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500186</v>
      </c>
      <c r="B6" s="98" t="s">
        <v>3028</v>
      </c>
      <c r="C6" s="101"/>
      <c r="D6" s="101"/>
      <c r="E6" s="101">
        <f ca="1">IFERROR(__xludf.DUMMYFUNCTION("GOOGLEFINANCE(""BOM:""&amp;A6,""PRICE"")"),124.55)</f>
        <v>124.55</v>
      </c>
      <c r="F6" s="112">
        <f ca="1">IFERROR(__xludf.DUMMYFUNCTION("GOOGLEFINANCE(""BOM:""&amp;A6,""MARKETCAP"")/10000000"),1644.5764432)</f>
        <v>1644.5764432000001</v>
      </c>
      <c r="G6" s="95">
        <f t="shared" ca="1" si="0"/>
        <v>3.740494094937616E-3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513536</v>
      </c>
      <c r="B7" s="98" t="s">
        <v>3029</v>
      </c>
      <c r="C7" s="101"/>
      <c r="D7" s="101"/>
      <c r="E7" s="101">
        <f ca="1">IFERROR(__xludf.DUMMYFUNCTION("GOOGLEFINANCE(""BOM:""&amp;A7,""PRICE"")"),94.91)</f>
        <v>94.91</v>
      </c>
      <c r="F7" s="112">
        <f ca="1">IFERROR(__xludf.DUMMYFUNCTION("GOOGLEFINANCE(""BOM:""&amp;A7,""MARKETCAP"")/10000000"),1455.9441327)</f>
        <v>1455.9441327</v>
      </c>
      <c r="G7" s="95">
        <f t="shared" ca="1" si="0"/>
        <v>3.3114608040516157E-3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12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A9" s="101"/>
      <c r="B9" s="101"/>
      <c r="C9" s="101"/>
      <c r="D9" s="101"/>
      <c r="E9" s="101"/>
      <c r="F9" s="112">
        <f t="shared" ref="F9:O9" ca="1" si="1">SUM(F2:F7)</f>
        <v>439668.23672459996</v>
      </c>
      <c r="G9" s="95">
        <f t="shared" ca="1" si="1"/>
        <v>1</v>
      </c>
      <c r="H9" s="101">
        <f t="shared" si="1"/>
        <v>515483</v>
      </c>
      <c r="I9" s="101">
        <f t="shared" si="1"/>
        <v>522089</v>
      </c>
      <c r="J9" s="101">
        <f t="shared" si="1"/>
        <v>41241.49</v>
      </c>
      <c r="K9" s="101">
        <f t="shared" si="1"/>
        <v>34906.07</v>
      </c>
      <c r="L9" s="101">
        <f t="shared" si="1"/>
        <v>176534</v>
      </c>
      <c r="M9" s="101">
        <f t="shared" si="1"/>
        <v>176302</v>
      </c>
      <c r="N9" s="101">
        <f t="shared" si="1"/>
        <v>13382.22</v>
      </c>
      <c r="O9" s="101">
        <f t="shared" si="1"/>
        <v>11202.91</v>
      </c>
      <c r="P9" s="95">
        <f t="shared" ref="P9:Q9" si="2">J9/H9</f>
        <v>8.0005528795323994E-2</v>
      </c>
      <c r="Q9" s="95">
        <f t="shared" si="2"/>
        <v>6.6858466659898988E-2</v>
      </c>
      <c r="R9" s="95">
        <f>P9-Q9</f>
        <v>1.3147062135425006E-2</v>
      </c>
      <c r="S9" s="95">
        <f t="shared" ref="S9:T9" si="3">N9/L9</f>
        <v>7.5805340614272604E-2</v>
      </c>
      <c r="T9" s="95">
        <f t="shared" si="3"/>
        <v>6.3543862236389831E-2</v>
      </c>
      <c r="U9" s="95">
        <f>S9-T9</f>
        <v>1.2261478377882773E-2</v>
      </c>
      <c r="V9" s="95">
        <f>(H9/I9)-1</f>
        <v>-1.265301509895822E-2</v>
      </c>
      <c r="W9" s="95">
        <f>(J9/K9)-1</f>
        <v>0.18149909170525347</v>
      </c>
      <c r="X9" s="95">
        <f>(L9/M9)-1</f>
        <v>1.3159238125488582E-3</v>
      </c>
      <c r="Y9" s="95">
        <f>(N9/O9)-1</f>
        <v>0.19453070675387019</v>
      </c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7" xr:uid="{00000000-0009-0000-0000-000057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Y5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500188</v>
      </c>
      <c r="B2" s="98" t="s">
        <v>1524</v>
      </c>
      <c r="C2" s="334" t="str">
        <f>VLOOKUP(A2,'BSE ALL CAP'!$B$4:$Y$1038,2,)</f>
        <v>Commodities</v>
      </c>
      <c r="D2" s="334" t="str">
        <f>VLOOKUP(A2,'BSE ALL CAP'!$B$4:$Y$1038,3,)</f>
        <v>Zinc</v>
      </c>
      <c r="E2" s="101">
        <f ca="1">IFERROR(__xludf.DUMMYFUNCTION("GOOGLEFINANCE(""BOM:""&amp;A2,""PRICE"")"),524.65)</f>
        <v>524.65</v>
      </c>
      <c r="F2" s="101">
        <f ca="1">IFERROR(__xludf.DUMMYFUNCTION("GOOGLEFINANCE(""BOM:""&amp;A2,""MARKETCAP"")/10000000"),221702.4406178)</f>
        <v>221702.44061779999</v>
      </c>
      <c r="G2" s="95">
        <f t="shared" ref="G2:G3" ca="1" si="0">F2/$F$5</f>
        <v>0.99852047647464826</v>
      </c>
      <c r="H2" s="101">
        <f>VLOOKUP(A2,'BSE ALL CAP'!$B$4:$Y$1038,7,)</f>
        <v>27300</v>
      </c>
      <c r="I2" s="101">
        <f>VLOOKUP(A2,'BSE ALL CAP'!$B$4:$Y$1038,8,)</f>
        <v>24996</v>
      </c>
      <c r="J2" s="101">
        <f>VLOOKUP(A2,'BSE ALL CAP'!$B$4:$Y$1038,9,)</f>
        <v>8799</v>
      </c>
      <c r="K2" s="101">
        <f>VLOOKUP(A2,'BSE ALL CAP'!$B$4:$Y$1038,10,)</f>
        <v>7350</v>
      </c>
      <c r="L2" s="101">
        <f>VLOOKUP(A2,'BSE ALL CAP'!$B$4:$Y$1038,11,)</f>
        <v>10980</v>
      </c>
      <c r="M2" s="101">
        <f>VLOOKUP(A2,'BSE ALL CAP'!$B$4:$Y$1038,12,)</f>
        <v>8614</v>
      </c>
      <c r="N2" s="101">
        <f>VLOOKUP(A2,'BSE ALL CAP'!$B$4:$Y$1038,13,)</f>
        <v>3916</v>
      </c>
      <c r="O2" s="101">
        <f>VLOOKUP(A2,'BSE ALL CAP'!$B$4:$Y$1038,14,)</f>
        <v>2678</v>
      </c>
      <c r="P2" s="95">
        <f>VLOOKUP(A2,'BSE ALL CAP'!$B$4:$Y$1038,15,)</f>
        <v>0.3223076923076923</v>
      </c>
      <c r="Q2" s="95">
        <f>VLOOKUP(A2,'BSE ALL CAP'!$B$4:$Y$1038,16,)</f>
        <v>0.29404704752760441</v>
      </c>
      <c r="R2" s="95">
        <f>VLOOKUP(A2,'BSE ALL CAP'!$B$4:$Y$1038,17,)</f>
        <v>2.8260644780087885E-2</v>
      </c>
      <c r="S2" s="95">
        <f>VLOOKUP(A2,'BSE ALL CAP'!$B$4:$Y$1038,18,)</f>
        <v>0.35664845173041893</v>
      </c>
      <c r="T2" s="95">
        <f>VLOOKUP(A2,'BSE ALL CAP'!$B$4:$Y$1038,19,)</f>
        <v>0.31088925005804502</v>
      </c>
      <c r="U2" s="95">
        <f>VLOOKUP(A2,'BSE ALL CAP'!$B$4:$Y$1038,20,)</f>
        <v>4.5759201672373906E-2</v>
      </c>
      <c r="V2" s="95">
        <f>VLOOKUP(A2,'BSE ALL CAP'!$B$4:$Y$1038,21,)</f>
        <v>9.2174747959673509E-2</v>
      </c>
      <c r="W2" s="95">
        <f>VLOOKUP(A2,'BSE ALL CAP'!$B$4:$Y$1038,22,)</f>
        <v>0.19714285714285706</v>
      </c>
      <c r="X2" s="95">
        <f>VLOOKUP(A2,'BSE ALL CAP'!$B$4:$Y$1038,23,)</f>
        <v>0.274669143255166</v>
      </c>
      <c r="Y2" s="95">
        <f>VLOOKUP(A2,'BSE ALL CAP'!$B$4:$Y$1038,24,)</f>
        <v>0.46228528752800591</v>
      </c>
    </row>
    <row r="3" spans="1:25" ht="15.75" customHeight="1">
      <c r="A3" s="99">
        <v>513496</v>
      </c>
      <c r="B3" s="98" t="s">
        <v>1525</v>
      </c>
      <c r="C3" s="334" t="e">
        <f>VLOOKUP(A3,'BSE ALL CAP'!$B$4:$Y$1038,2,)</f>
        <v>#N/A</v>
      </c>
      <c r="D3" s="334" t="e">
        <f>VLOOKUP(A3,'BSE ALL CAP'!$B$4:$Y$1038,3,)</f>
        <v>#N/A</v>
      </c>
      <c r="E3" s="101">
        <f ca="1">IFERROR(__xludf.DUMMYFUNCTION("GOOGLEFINANCE(""BOM:""&amp;A3,""PRICE"")"),341)</f>
        <v>341</v>
      </c>
      <c r="F3" s="101">
        <f ca="1">IFERROR(__xludf.DUMMYFUNCTION("GOOGLEFINANCE(""BOM:""&amp;A3,""MARKETCAP"")/10000000"),328.5)</f>
        <v>328.5</v>
      </c>
      <c r="G3" s="95">
        <f t="shared" ca="1" si="0"/>
        <v>1.4795235253516937E-3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>
      <c r="A4" s="101"/>
      <c r="B4" s="101"/>
      <c r="C4" s="101"/>
      <c r="D4" s="101"/>
      <c r="E4" s="101"/>
      <c r="F4" s="101"/>
      <c r="G4" s="95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101"/>
      <c r="B5" s="101"/>
      <c r="C5" s="101"/>
      <c r="D5" s="101"/>
      <c r="E5" s="101"/>
      <c r="F5" s="112">
        <f ca="1">SUM(F2:F3)</f>
        <v>222030.94061779999</v>
      </c>
      <c r="G5" s="95">
        <f ca="1">F5/$F$5</f>
        <v>1</v>
      </c>
      <c r="H5" s="101">
        <f t="shared" ref="H5:O5" si="1">SUM(H2:H3)</f>
        <v>27300</v>
      </c>
      <c r="I5" s="101">
        <f t="shared" si="1"/>
        <v>24996</v>
      </c>
      <c r="J5" s="101">
        <f t="shared" si="1"/>
        <v>8799</v>
      </c>
      <c r="K5" s="101">
        <f t="shared" si="1"/>
        <v>7350</v>
      </c>
      <c r="L5" s="101">
        <f t="shared" si="1"/>
        <v>10980</v>
      </c>
      <c r="M5" s="101">
        <f t="shared" si="1"/>
        <v>8614</v>
      </c>
      <c r="N5" s="101">
        <f t="shared" si="1"/>
        <v>3916</v>
      </c>
      <c r="O5" s="101">
        <f t="shared" si="1"/>
        <v>2678</v>
      </c>
      <c r="P5" s="95">
        <f t="shared" ref="P5:Q5" si="2">J5/H5</f>
        <v>0.3223076923076923</v>
      </c>
      <c r="Q5" s="95">
        <f t="shared" si="2"/>
        <v>0.29404704752760441</v>
      </c>
      <c r="R5" s="95">
        <f>P5-Q5</f>
        <v>2.8260644780087885E-2</v>
      </c>
      <c r="S5" s="95">
        <f t="shared" ref="S5:T5" si="3">N5/L5</f>
        <v>0.35664845173041893</v>
      </c>
      <c r="T5" s="95">
        <f t="shared" si="3"/>
        <v>0.31088925005804502</v>
      </c>
      <c r="U5" s="95">
        <f>S5-T5</f>
        <v>4.5759201672373906E-2</v>
      </c>
      <c r="V5" s="95">
        <f>(H5/I5)-1</f>
        <v>9.2174747959673509E-2</v>
      </c>
      <c r="W5" s="95">
        <f>(J5/K5)-1</f>
        <v>0.19714285714285706</v>
      </c>
      <c r="X5" s="95">
        <f>(L5/M5)-1</f>
        <v>0.274669143255166</v>
      </c>
      <c r="Y5" s="95">
        <f>(N5/O5)-1</f>
        <v>0.46228528752800591</v>
      </c>
    </row>
  </sheetData>
  <autoFilter ref="A1:Y3" xr:uid="{00000000-0009-0000-0000-000010000000}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543288</v>
      </c>
      <c r="B2" s="98" t="s">
        <v>3030</v>
      </c>
      <c r="C2" s="101" t="str">
        <f>VLOOKUP(A2,'BSE ALL CAP'!$B$4:$Y$1038,2,)</f>
        <v>Energy</v>
      </c>
      <c r="D2" s="101" t="str">
        <f>VLOOKUP(A2,'BSE ALL CAP'!$B$4:$Y$1038,3,)</f>
        <v>Oil Equipment &amp; Services</v>
      </c>
      <c r="E2" s="101">
        <f ca="1">IFERROR(__xludf.DUMMYFUNCTION("GOOGLEFINANCE(""BOM:""&amp;A2,""PRICE"")"),447)</f>
        <v>447</v>
      </c>
      <c r="F2" s="112">
        <f ca="1">IFERROR(__xludf.DUMMYFUNCTION("GOOGLEFINANCE(""BOM:""&amp;A2,""MARKETCAP"")/10000000"),2860.1422235)</f>
        <v>2860.1422235</v>
      </c>
      <c r="G2" s="95">
        <f t="shared" ref="G2:G6" ca="1" si="0">F2/$F$8</f>
        <v>0.64641733569310267</v>
      </c>
      <c r="H2" s="101">
        <f>VLOOKUP(A2,'BSE ALL CAP'!$B$4:$Y$1038,7,)</f>
        <v>642</v>
      </c>
      <c r="I2" s="101">
        <f>VLOOKUP(A2,'BSE ALL CAP'!$B$4:$Y$1038,8,)</f>
        <v>408</v>
      </c>
      <c r="J2" s="101">
        <f>VLOOKUP(A2,'BSE ALL CAP'!$B$4:$Y$1038,9,)</f>
        <v>204</v>
      </c>
      <c r="K2" s="101">
        <f>VLOOKUP(A2,'BSE ALL CAP'!$B$4:$Y$1038,10,)</f>
        <v>127</v>
      </c>
      <c r="L2" s="101">
        <f>VLOOKUP(A2,'BSE ALL CAP'!$B$4:$Y$1038,11,)</f>
        <v>221</v>
      </c>
      <c r="M2" s="101">
        <f>VLOOKUP(A2,'BSE ALL CAP'!$B$4:$Y$1038,12,)</f>
        <v>154</v>
      </c>
      <c r="N2" s="101">
        <f>VLOOKUP(A2,'BSE ALL CAP'!$B$4:$Y$1038,13,)</f>
        <v>71</v>
      </c>
      <c r="O2" s="101">
        <f>VLOOKUP(A2,'BSE ALL CAP'!$B$4:$Y$1038,14,)</f>
        <v>47</v>
      </c>
      <c r="P2" s="95">
        <f>VLOOKUP(A2,'BSE ALL CAP'!$B$4:$Y$1038,15,)</f>
        <v>0.31775700934579437</v>
      </c>
      <c r="Q2" s="95">
        <f>VLOOKUP(A2,'BSE ALL CAP'!$B$4:$Y$1038,16,)</f>
        <v>0.31127450980392157</v>
      </c>
      <c r="R2" s="95">
        <f>VLOOKUP(A2,'BSE ALL CAP'!$B$4:$Y$1038,17,)</f>
        <v>6.4824995418727993E-3</v>
      </c>
      <c r="S2" s="95">
        <f>VLOOKUP(A2,'BSE ALL CAP'!$B$4:$Y$1038,18,)</f>
        <v>0.32126696832579188</v>
      </c>
      <c r="T2" s="95">
        <f>VLOOKUP(A2,'BSE ALL CAP'!$B$4:$Y$1038,19,)</f>
        <v>0.30519480519480519</v>
      </c>
      <c r="U2" s="95">
        <f>VLOOKUP(A2,'BSE ALL CAP'!$B$4:$Y$1038,20,)</f>
        <v>1.6072163130986694E-2</v>
      </c>
      <c r="V2" s="95">
        <f>VLOOKUP(A2,'BSE ALL CAP'!$B$4:$Y$1038,21,)</f>
        <v>0.57352941176470584</v>
      </c>
      <c r="W2" s="95">
        <f>VLOOKUP(A2,'BSE ALL CAP'!$B$4:$Y$1038,22,)</f>
        <v>0.60629921259842523</v>
      </c>
      <c r="X2" s="95">
        <f>VLOOKUP(A2,'BSE ALL CAP'!$B$4:$Y$1038,23,)</f>
        <v>0.43506493506493515</v>
      </c>
      <c r="Y2" s="95">
        <f>VLOOKUP(A2,'BSE ALL CAP'!$B$4:$Y$1038,24,)</f>
        <v>0.5106382978723405</v>
      </c>
    </row>
    <row r="3" spans="1:25" ht="15.75" customHeight="1">
      <c r="A3" s="99">
        <v>530355</v>
      </c>
      <c r="B3" s="98" t="s">
        <v>3031</v>
      </c>
      <c r="C3" s="101"/>
      <c r="D3" s="101"/>
      <c r="E3" s="101">
        <f ca="1">IFERROR(__xludf.DUMMYFUNCTION("GOOGLEFINANCE(""BOM:""&amp;A3,""PRICE"")"),263)</f>
        <v>263</v>
      </c>
      <c r="F3" s="112">
        <f ca="1">IFERROR(__xludf.DUMMYFUNCTION("GOOGLEFINANCE(""BOM:""&amp;A3,""MARKETCAP"")/10000000"),1179.284321)</f>
        <v>1179.2843210000001</v>
      </c>
      <c r="G3" s="95">
        <f t="shared" ca="1" si="0"/>
        <v>0.26652864411498373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500313</v>
      </c>
      <c r="B4" s="98" t="s">
        <v>3032</v>
      </c>
      <c r="C4" s="101"/>
      <c r="D4" s="101"/>
      <c r="E4" s="101">
        <f ca="1">IFERROR(__xludf.DUMMYFUNCTION("GOOGLEFINANCE(""BOM:""&amp;A4,""PRICE"")"),41.1)</f>
        <v>41.1</v>
      </c>
      <c r="F4" s="112">
        <f ca="1">IFERROR(__xludf.DUMMYFUNCTION("GOOGLEFINANCE(""BOM:""&amp;A4,""MARKETCAP"")/10000000"),213.157073)</f>
        <v>213.157073</v>
      </c>
      <c r="G4" s="95">
        <f t="shared" ca="1" si="0"/>
        <v>4.8175376063707198E-2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531306</v>
      </c>
      <c r="B5" s="98" t="s">
        <v>3033</v>
      </c>
      <c r="C5" s="101"/>
      <c r="D5" s="101"/>
      <c r="E5" s="101">
        <f ca="1">IFERROR(__xludf.DUMMYFUNCTION("GOOGLEFINANCE(""BOM:""&amp;A5,""PRICE"")"),505)</f>
        <v>505</v>
      </c>
      <c r="F5" s="112">
        <f ca="1">IFERROR(__xludf.DUMMYFUNCTION("GOOGLEFINANCE(""BOM:""&amp;A5,""MARKETCAP"")/10000000"),151.5)</f>
        <v>151.5</v>
      </c>
      <c r="G5" s="95">
        <f t="shared" ca="1" si="0"/>
        <v>3.4240334467585981E-2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531471</v>
      </c>
      <c r="B6" s="98" t="s">
        <v>3034</v>
      </c>
      <c r="C6" s="101"/>
      <c r="D6" s="101"/>
      <c r="E6" s="101">
        <f ca="1">IFERROR(__xludf.DUMMYFUNCTION("GOOGLEFINANCE(""BOM:""&amp;A6,""PRICE"")"),20.82)</f>
        <v>20.82</v>
      </c>
      <c r="F6" s="112">
        <f ca="1">IFERROR(__xludf.DUMMYFUNCTION("GOOGLEFINANCE(""BOM:""&amp;A6,""MARKETCAP"")/10000000"),20.5226942)</f>
        <v>20.5226942</v>
      </c>
      <c r="G6" s="95">
        <f t="shared" ca="1" si="0"/>
        <v>4.6383096606203754E-3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101"/>
      <c r="B7" s="101"/>
      <c r="C7" s="101"/>
      <c r="D7" s="101"/>
      <c r="E7" s="101"/>
      <c r="F7" s="112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12">
        <f t="shared" ref="F8:G8" ca="1" si="1">SUM(F2:F6)</f>
        <v>4424.6063117000003</v>
      </c>
      <c r="G8" s="95">
        <f t="shared" ca="1" si="1"/>
        <v>0.99999999999999989</v>
      </c>
      <c r="H8" s="101">
        <f t="shared" ref="H8:O8" si="2">SUM(H2:H7)</f>
        <v>642</v>
      </c>
      <c r="I8" s="101">
        <f t="shared" si="2"/>
        <v>408</v>
      </c>
      <c r="J8" s="101">
        <f t="shared" si="2"/>
        <v>204</v>
      </c>
      <c r="K8" s="101">
        <f t="shared" si="2"/>
        <v>127</v>
      </c>
      <c r="L8" s="101">
        <f t="shared" si="2"/>
        <v>221</v>
      </c>
      <c r="M8" s="101">
        <f t="shared" si="2"/>
        <v>154</v>
      </c>
      <c r="N8" s="101">
        <f t="shared" si="2"/>
        <v>71</v>
      </c>
      <c r="O8" s="101">
        <f t="shared" si="2"/>
        <v>47</v>
      </c>
      <c r="P8" s="95">
        <f t="shared" ref="P8:Q8" si="3">J8/H8</f>
        <v>0.31775700934579437</v>
      </c>
      <c r="Q8" s="95">
        <f t="shared" si="3"/>
        <v>0.31127450980392157</v>
      </c>
      <c r="R8" s="95">
        <f>P8-Q8</f>
        <v>6.4824995418727993E-3</v>
      </c>
      <c r="S8" s="95">
        <f t="shared" ref="S8:T8" si="4">N8/L8</f>
        <v>0.32126696832579188</v>
      </c>
      <c r="T8" s="95">
        <f t="shared" si="4"/>
        <v>0.30519480519480519</v>
      </c>
      <c r="U8" s="95">
        <f>S8-T8</f>
        <v>1.6072163130986694E-2</v>
      </c>
      <c r="V8" s="95">
        <f>(H8/I8)-1</f>
        <v>0.57352941176470584</v>
      </c>
      <c r="W8" s="95">
        <f>(J8/K8)-1</f>
        <v>0.60629921259842523</v>
      </c>
      <c r="X8" s="95">
        <f>(L8/M8)-1</f>
        <v>0.43506493506493515</v>
      </c>
      <c r="Y8" s="95">
        <f>(N8/O8)-1</f>
        <v>0.5106382978723405</v>
      </c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6" xr:uid="{00000000-0009-0000-0000-000058000000}"/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532805</v>
      </c>
      <c r="B2" s="98" t="s">
        <v>3035</v>
      </c>
      <c r="C2" s="101" t="str">
        <f>VLOOKUP(A2,'BSE ALL CAP'!$B$4:$Y$1038,2,)</f>
        <v>Services</v>
      </c>
      <c r="D2" s="101" t="str">
        <f>VLOOKUP(A2,'BSE ALL CAP'!$B$4:$Y$1038,3,)</f>
        <v>Trading &amp; Distributors</v>
      </c>
      <c r="E2" s="101">
        <f ca="1">IFERROR(__xludf.DUMMYFUNCTION("GOOGLEFINANCE(""BOM:""&amp;A2,""PRICE"")"),207.85)</f>
        <v>207.85</v>
      </c>
      <c r="F2" s="112">
        <f ca="1">IFERROR(__xludf.DUMMYFUNCTION("GOOGLEFINANCE(""BOM:""&amp;A2,""MARKETCAP"")/10000000"),16257.0025684)</f>
        <v>16257.002568399999</v>
      </c>
      <c r="G2" s="95">
        <f t="shared" ref="G2:G192" ca="1" si="0">F2/$F$194</f>
        <v>0.36284728744554817</v>
      </c>
      <c r="H2" s="101">
        <f>VLOOKUP(A2,'BSE ALL CAP'!$B$4:$Y$1038,7,)</f>
        <v>85949</v>
      </c>
      <c r="I2" s="101">
        <f>VLOOKUP(A2,'BSE ALL CAP'!$B$4:$Y$1038,8,)</f>
        <v>72894</v>
      </c>
      <c r="J2" s="101">
        <f>VLOOKUP(A2,'BSE ALL CAP'!$B$4:$Y$1038,9,)</f>
        <v>997</v>
      </c>
      <c r="K2" s="101">
        <f>VLOOKUP(A2,'BSE ALL CAP'!$B$4:$Y$1038,10,)</f>
        <v>903</v>
      </c>
      <c r="L2" s="101">
        <f>VLOOKUP(A2,'BSE ALL CAP'!$B$4:$Y$1038,11,)</f>
        <v>30922</v>
      </c>
      <c r="M2" s="101">
        <f>VLOOKUP(A2,'BSE ALL CAP'!$B$4:$Y$1038,12,)</f>
        <v>26716</v>
      </c>
      <c r="N2" s="101">
        <f>VLOOKUP(A2,'BSE ALL CAP'!$B$4:$Y$1038,13,)</f>
        <v>413</v>
      </c>
      <c r="O2" s="101">
        <f>VLOOKUP(A2,'BSE ALL CAP'!$B$4:$Y$1038,14,)</f>
        <v>403</v>
      </c>
      <c r="P2" s="95">
        <f>VLOOKUP(A2,'BSE ALL CAP'!$B$4:$Y$1038,15,)</f>
        <v>1.1599902267623823E-2</v>
      </c>
      <c r="Q2" s="95">
        <f>VLOOKUP(A2,'BSE ALL CAP'!$B$4:$Y$1038,16,)</f>
        <v>1.2387850851921969E-2</v>
      </c>
      <c r="R2" s="95">
        <f>VLOOKUP(A2,'BSE ALL CAP'!$B$4:$Y$1038,17,)</f>
        <v>-7.8794858429814645E-4</v>
      </c>
      <c r="S2" s="95">
        <f>VLOOKUP(A2,'BSE ALL CAP'!$B$4:$Y$1038,18,)</f>
        <v>1.3356186533859388E-2</v>
      </c>
      <c r="T2" s="95">
        <f>VLOOKUP(A2,'BSE ALL CAP'!$B$4:$Y$1038,19,)</f>
        <v>1.508459350202126E-2</v>
      </c>
      <c r="U2" s="95">
        <f>VLOOKUP(A2,'BSE ALL CAP'!$B$4:$Y$1038,20,)</f>
        <v>-1.7284069681618719E-3</v>
      </c>
      <c r="V2" s="95">
        <f>VLOOKUP(A2,'BSE ALL CAP'!$B$4:$Y$1038,21,)</f>
        <v>0.17909567316925945</v>
      </c>
      <c r="W2" s="95">
        <f>VLOOKUP(A2,'BSE ALL CAP'!$B$4:$Y$1038,22,)</f>
        <v>0.10409745293466233</v>
      </c>
      <c r="X2" s="95">
        <f>VLOOKUP(A2,'BSE ALL CAP'!$B$4:$Y$1038,23,)</f>
        <v>0.15743374756700113</v>
      </c>
      <c r="Y2" s="95">
        <f>VLOOKUP(A2,'BSE ALL CAP'!$B$4:$Y$1038,24,)</f>
        <v>2.4813895781637729E-2</v>
      </c>
    </row>
    <row r="3" spans="1:25" ht="15.75" customHeight="1">
      <c r="A3" s="99">
        <v>513377</v>
      </c>
      <c r="B3" s="98" t="s">
        <v>3036</v>
      </c>
      <c r="C3" s="101" t="str">
        <f>VLOOKUP(A3,'BSE ALL CAP'!$B$4:$Y$1038,2,)</f>
        <v>Services</v>
      </c>
      <c r="D3" s="101" t="str">
        <f>VLOOKUP(A3,'BSE ALL CAP'!$B$4:$Y$1038,3,)</f>
        <v>Trading &amp; Distributors</v>
      </c>
      <c r="E3" s="101">
        <f ca="1">IFERROR(__xludf.DUMMYFUNCTION("GOOGLEFINANCE(""BOM:""&amp;A3,""PRICE"")"),56.42)</f>
        <v>56.42</v>
      </c>
      <c r="F3" s="112">
        <f ca="1">IFERROR(__xludf.DUMMYFUNCTION("GOOGLEFINANCE(""BOM:""&amp;A3,""MARKETCAP"")/10000000"),8461.7866953)</f>
        <v>8461.7866952999993</v>
      </c>
      <c r="G3" s="95">
        <f t="shared" ca="1" si="0"/>
        <v>0.18886238938661951</v>
      </c>
      <c r="H3" s="101">
        <f>VLOOKUP(A3,'BSE ALL CAP'!$B$4:$Y$1038,7,)</f>
        <v>3</v>
      </c>
      <c r="I3" s="101">
        <f>VLOOKUP(A3,'BSE ALL CAP'!$B$4:$Y$1038,8,)</f>
        <v>2</v>
      </c>
      <c r="J3" s="101">
        <f>VLOOKUP(A3,'BSE ALL CAP'!$B$4:$Y$1038,9,)</f>
        <v>261</v>
      </c>
      <c r="K3" s="101">
        <f>VLOOKUP(A3,'BSE ALL CAP'!$B$4:$Y$1038,10,)</f>
        <v>84</v>
      </c>
      <c r="L3" s="101">
        <f>VLOOKUP(A3,'BSE ALL CAP'!$B$4:$Y$1038,11,)</f>
        <v>0.34</v>
      </c>
      <c r="M3" s="101">
        <f>VLOOKUP(A3,'BSE ALL CAP'!$B$4:$Y$1038,12,)</f>
        <v>0.25</v>
      </c>
      <c r="N3" s="101">
        <f>VLOOKUP(A3,'BSE ALL CAP'!$B$4:$Y$1038,13,)</f>
        <v>46</v>
      </c>
      <c r="O3" s="101">
        <f>VLOOKUP(A3,'BSE ALL CAP'!$B$4:$Y$1038,14,)</f>
        <v>4</v>
      </c>
      <c r="P3" s="95">
        <f>VLOOKUP(A3,'BSE ALL CAP'!$B$4:$Y$1038,15,)</f>
        <v>87</v>
      </c>
      <c r="Q3" s="95">
        <f>VLOOKUP(A3,'BSE ALL CAP'!$B$4:$Y$1038,16,)</f>
        <v>42</v>
      </c>
      <c r="R3" s="95">
        <f>VLOOKUP(A3,'BSE ALL CAP'!$B$4:$Y$1038,17,)</f>
        <v>45</v>
      </c>
      <c r="S3" s="95">
        <f>VLOOKUP(A3,'BSE ALL CAP'!$B$4:$Y$1038,18,)</f>
        <v>135.29411764705881</v>
      </c>
      <c r="T3" s="95">
        <f>VLOOKUP(A3,'BSE ALL CAP'!$B$4:$Y$1038,19,)</f>
        <v>16</v>
      </c>
      <c r="U3" s="95">
        <f>VLOOKUP(A3,'BSE ALL CAP'!$B$4:$Y$1038,20,)</f>
        <v>119.29411764705881</v>
      </c>
      <c r="V3" s="95">
        <f>VLOOKUP(A3,'BSE ALL CAP'!$B$4:$Y$1038,21,)</f>
        <v>0.5</v>
      </c>
      <c r="W3" s="95">
        <f>VLOOKUP(A3,'BSE ALL CAP'!$B$4:$Y$1038,22,)</f>
        <v>2.1071428571428572</v>
      </c>
      <c r="X3" s="95">
        <f>VLOOKUP(A3,'BSE ALL CAP'!$B$4:$Y$1038,23,)</f>
        <v>0.3600000000000001</v>
      </c>
      <c r="Y3" s="95">
        <f>VLOOKUP(A3,'BSE ALL CAP'!$B$4:$Y$1038,24,)</f>
        <v>10.5</v>
      </c>
    </row>
    <row r="4" spans="1:25" ht="15.75" customHeight="1">
      <c r="A4" s="99">
        <v>542597</v>
      </c>
      <c r="B4" s="98" t="s">
        <v>3037</v>
      </c>
      <c r="C4" s="101" t="str">
        <f>VLOOKUP(A4,'BSE ALL CAP'!$B$4:$Y$1038,2,)</f>
        <v>Services</v>
      </c>
      <c r="D4" s="101" t="str">
        <f>VLOOKUP(A4,'BSE ALL CAP'!$B$4:$Y$1038,3,)</f>
        <v>Trading &amp; Distributors</v>
      </c>
      <c r="E4" s="101">
        <f ca="1">IFERROR(__xludf.DUMMYFUNCTION("GOOGLEFINANCE(""BOM:""&amp;A4,""PRICE"")"),402.05)</f>
        <v>402.05</v>
      </c>
      <c r="F4" s="112">
        <f ca="1">IFERROR(__xludf.DUMMYFUNCTION("GOOGLEFINANCE(""BOM:""&amp;A4,""MARKETCAP"")/10000000"),2837.12)</f>
        <v>2837.12</v>
      </c>
      <c r="G4" s="95">
        <f t="shared" ca="1" si="0"/>
        <v>6.3322946024411589E-2</v>
      </c>
      <c r="H4" s="101">
        <f>VLOOKUP(A4,'BSE ALL CAP'!$B$4:$Y$1038,7,)</f>
        <v>250</v>
      </c>
      <c r="I4" s="101">
        <f>VLOOKUP(A4,'BSE ALL CAP'!$B$4:$Y$1038,8,)</f>
        <v>222</v>
      </c>
      <c r="J4" s="101">
        <f>VLOOKUP(A4,'BSE ALL CAP'!$B$4:$Y$1038,9,)</f>
        <v>141</v>
      </c>
      <c r="K4" s="101">
        <f>VLOOKUP(A4,'BSE ALL CAP'!$B$4:$Y$1038,10,)</f>
        <v>331</v>
      </c>
      <c r="L4" s="101">
        <f>VLOOKUP(A4,'BSE ALL CAP'!$B$4:$Y$1038,11,)</f>
        <v>88</v>
      </c>
      <c r="M4" s="101">
        <f>VLOOKUP(A4,'BSE ALL CAP'!$B$4:$Y$1038,12,)</f>
        <v>81</v>
      </c>
      <c r="N4" s="101">
        <f>VLOOKUP(A4,'BSE ALL CAP'!$B$4:$Y$1038,13,)</f>
        <v>51</v>
      </c>
      <c r="O4" s="101">
        <f>VLOOKUP(A4,'BSE ALL CAP'!$B$4:$Y$1038,14,)</f>
        <v>47</v>
      </c>
      <c r="P4" s="95">
        <f>VLOOKUP(A4,'BSE ALL CAP'!$B$4:$Y$1038,15,)</f>
        <v>0.56399999999999995</v>
      </c>
      <c r="Q4" s="95">
        <f>VLOOKUP(A4,'BSE ALL CAP'!$B$4:$Y$1038,16,)</f>
        <v>1.4909909909909911</v>
      </c>
      <c r="R4" s="95">
        <f>VLOOKUP(A4,'BSE ALL CAP'!$B$4:$Y$1038,17,)</f>
        <v>-0.92699099099099114</v>
      </c>
      <c r="S4" s="95">
        <f>VLOOKUP(A4,'BSE ALL CAP'!$B$4:$Y$1038,18,)</f>
        <v>0.57954545454545459</v>
      </c>
      <c r="T4" s="95">
        <f>VLOOKUP(A4,'BSE ALL CAP'!$B$4:$Y$1038,19,)</f>
        <v>0.58024691358024694</v>
      </c>
      <c r="U4" s="95">
        <f>VLOOKUP(A4,'BSE ALL CAP'!$B$4:$Y$1038,20,)</f>
        <v>-7.0145903479235105E-4</v>
      </c>
      <c r="V4" s="95">
        <f>VLOOKUP(A4,'BSE ALL CAP'!$B$4:$Y$1038,21,)</f>
        <v>0.12612612612612617</v>
      </c>
      <c r="W4" s="95">
        <f>VLOOKUP(A4,'BSE ALL CAP'!$B$4:$Y$1038,22,)</f>
        <v>-0.57401812688821752</v>
      </c>
      <c r="X4" s="95">
        <f>VLOOKUP(A4,'BSE ALL CAP'!$B$4:$Y$1038,23,)</f>
        <v>8.6419753086419693E-2</v>
      </c>
      <c r="Y4" s="95">
        <f>VLOOKUP(A4,'BSE ALL CAP'!$B$4:$Y$1038,24,)</f>
        <v>8.5106382978723305E-2</v>
      </c>
    </row>
    <row r="5" spans="1:25" ht="15.75" customHeight="1">
      <c r="A5" s="99">
        <v>526125</v>
      </c>
      <c r="B5" s="98" t="s">
        <v>3038</v>
      </c>
      <c r="C5" s="101" t="e">
        <f>VLOOKUP(A5,'BSE ALL CAP'!$B$4:$Y$1038,2,)</f>
        <v>#N/A</v>
      </c>
      <c r="D5" s="101" t="e">
        <f>VLOOKUP(A5,'BSE ALL CAP'!$B$4:$Y$1038,3,)</f>
        <v>#N/A</v>
      </c>
      <c r="E5" s="101">
        <f ca="1">IFERROR(__xludf.DUMMYFUNCTION("GOOGLEFINANCE(""BOM:""&amp;A5,""PRICE"")"),217.5)</f>
        <v>217.5</v>
      </c>
      <c r="F5" s="112">
        <f ca="1">IFERROR(__xludf.DUMMYFUNCTION("GOOGLEFINANCE(""BOM:""&amp;A5,""MARKETCAP"")/10000000"),2151.005)</f>
        <v>2151.0050000000001</v>
      </c>
      <c r="G5" s="95">
        <f t="shared" ca="1" si="0"/>
        <v>4.8009239479909011E-2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538920</v>
      </c>
      <c r="B6" s="98" t="s">
        <v>3039</v>
      </c>
      <c r="C6" s="101" t="str">
        <f>VLOOKUP(A6,'BSE ALL CAP'!$B$4:$Y$1038,2,)</f>
        <v>Services</v>
      </c>
      <c r="D6" s="101" t="str">
        <f>VLOOKUP(A6,'BSE ALL CAP'!$B$4:$Y$1038,3,)</f>
        <v>Trading &amp; Distributors</v>
      </c>
      <c r="E6" s="101">
        <f ca="1">IFERROR(__xludf.DUMMYFUNCTION("GOOGLEFINANCE(""BOM:""&amp;A6,""PRICE"")"),133.3)</f>
        <v>133.30000000000001</v>
      </c>
      <c r="F6" s="112">
        <f ca="1">IFERROR(__xludf.DUMMYFUNCTION("GOOGLEFINANCE(""BOM:""&amp;A6,""MARKETCAP"")/10000000"),1941.589369)</f>
        <v>1941.589369</v>
      </c>
      <c r="G6" s="95">
        <f t="shared" ca="1" si="0"/>
        <v>4.3335198657356175E-2</v>
      </c>
      <c r="H6" s="101">
        <f>VLOOKUP(A6,'BSE ALL CAP'!$B$4:$Y$1038,7,)</f>
        <v>387</v>
      </c>
      <c r="I6" s="101">
        <f>VLOOKUP(A6,'BSE ALL CAP'!$B$4:$Y$1038,8,)</f>
        <v>203</v>
      </c>
      <c r="J6" s="101">
        <f>VLOOKUP(A6,'BSE ALL CAP'!$B$4:$Y$1038,9,)</f>
        <v>51</v>
      </c>
      <c r="K6" s="101">
        <f>VLOOKUP(A6,'BSE ALL CAP'!$B$4:$Y$1038,10,)</f>
        <v>24</v>
      </c>
      <c r="L6" s="101">
        <f>VLOOKUP(A6,'BSE ALL CAP'!$B$4:$Y$1038,11,)</f>
        <v>150</v>
      </c>
      <c r="M6" s="101">
        <f>VLOOKUP(A6,'BSE ALL CAP'!$B$4:$Y$1038,12,)</f>
        <v>88</v>
      </c>
      <c r="N6" s="101">
        <f>VLOOKUP(A6,'BSE ALL CAP'!$B$4:$Y$1038,13,)</f>
        <v>19</v>
      </c>
      <c r="O6" s="101">
        <f>VLOOKUP(A6,'BSE ALL CAP'!$B$4:$Y$1038,14,)</f>
        <v>12</v>
      </c>
      <c r="P6" s="95">
        <f>VLOOKUP(A6,'BSE ALL CAP'!$B$4:$Y$1038,15,)</f>
        <v>0.13178294573643412</v>
      </c>
      <c r="Q6" s="95">
        <f>VLOOKUP(A6,'BSE ALL CAP'!$B$4:$Y$1038,16,)</f>
        <v>0.11822660098522167</v>
      </c>
      <c r="R6" s="95">
        <f>VLOOKUP(A6,'BSE ALL CAP'!$B$4:$Y$1038,17,)</f>
        <v>1.3556344751212451E-2</v>
      </c>
      <c r="S6" s="95">
        <f>VLOOKUP(A6,'BSE ALL CAP'!$B$4:$Y$1038,18,)</f>
        <v>0.12666666666666668</v>
      </c>
      <c r="T6" s="95">
        <f>VLOOKUP(A6,'BSE ALL CAP'!$B$4:$Y$1038,19,)</f>
        <v>0.13636363636363635</v>
      </c>
      <c r="U6" s="95">
        <f>VLOOKUP(A6,'BSE ALL CAP'!$B$4:$Y$1038,20,)</f>
        <v>-9.6969696969696761E-3</v>
      </c>
      <c r="V6" s="95">
        <f>VLOOKUP(A6,'BSE ALL CAP'!$B$4:$Y$1038,21,)</f>
        <v>0.90640394088669951</v>
      </c>
      <c r="W6" s="95">
        <f>VLOOKUP(A6,'BSE ALL CAP'!$B$4:$Y$1038,22,)</f>
        <v>1.125</v>
      </c>
      <c r="X6" s="95">
        <f>VLOOKUP(A6,'BSE ALL CAP'!$B$4:$Y$1038,23,)</f>
        <v>0.70454545454545459</v>
      </c>
      <c r="Y6" s="95">
        <f>VLOOKUP(A6,'BSE ALL CAP'!$B$4:$Y$1038,24,)</f>
        <v>0.58333333333333326</v>
      </c>
    </row>
    <row r="7" spans="1:25" ht="15.75" customHeight="1">
      <c r="A7" s="99">
        <v>540980</v>
      </c>
      <c r="B7" s="98" t="s">
        <v>3040</v>
      </c>
      <c r="C7" s="101"/>
      <c r="D7" s="101"/>
      <c r="E7" s="101">
        <f ca="1">IFERROR(__xludf.DUMMYFUNCTION("GOOGLEFINANCE(""BOM:""&amp;A7,""PRICE"")"),27305)</f>
        <v>27305</v>
      </c>
      <c r="F7" s="112">
        <f ca="1">IFERROR(__xludf.DUMMYFUNCTION("GOOGLEFINANCE(""BOM:""&amp;A7,""MARKETCAP"")/10000000"),839.2602)</f>
        <v>839.26020000000005</v>
      </c>
      <c r="G7" s="95">
        <f t="shared" ca="1" si="0"/>
        <v>1.8731822533074694E-2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544631</v>
      </c>
      <c r="B8" s="98" t="s">
        <v>3041</v>
      </c>
      <c r="C8" s="101"/>
      <c r="D8" s="101"/>
      <c r="E8" s="101">
        <f ca="1">IFERROR(__xludf.DUMMYFUNCTION("GOOGLEFINANCE(""BOM:""&amp;A8,""PRICE"")"),597.9)</f>
        <v>597.9</v>
      </c>
      <c r="F8" s="112">
        <f ca="1">IFERROR(__xludf.DUMMYFUNCTION("GOOGLEFINANCE(""BOM:""&amp;A8,""MARKETCAP"")/10000000"),890.1881792)</f>
        <v>890.18817920000004</v>
      </c>
      <c r="G8" s="95">
        <f t="shared" ca="1" si="0"/>
        <v>1.9868506803748461E-2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538563</v>
      </c>
      <c r="B9" s="98" t="s">
        <v>3042</v>
      </c>
      <c r="C9" s="101"/>
      <c r="D9" s="101"/>
      <c r="E9" s="101">
        <f ca="1">IFERROR(__xludf.DUMMYFUNCTION("GOOGLEFINANCE(""BOM:""&amp;A9,""PRICE"")"),423.55)</f>
        <v>423.55</v>
      </c>
      <c r="F9" s="112">
        <f ca="1">IFERROR(__xludf.DUMMYFUNCTION("GOOGLEFINANCE(""BOM:""&amp;A9,""MARKETCAP"")/10000000"),805.5606)</f>
        <v>805.56060000000002</v>
      </c>
      <c r="G9" s="95">
        <f t="shared" ca="1" si="0"/>
        <v>1.7979666137911902E-2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512531</v>
      </c>
      <c r="B10" s="98" t="s">
        <v>3043</v>
      </c>
      <c r="C10" s="101"/>
      <c r="D10" s="101"/>
      <c r="E10" s="101">
        <f ca="1">IFERROR(__xludf.DUMMYFUNCTION("GOOGLEFINANCE(""BOM:""&amp;A10,""PRICE"")"),105.35)</f>
        <v>105.35</v>
      </c>
      <c r="F10" s="112">
        <f ca="1">IFERROR(__xludf.DUMMYFUNCTION("GOOGLEFINANCE(""BOM:""&amp;A10,""MARKETCAP"")/10000000"),633.5398724)</f>
        <v>633.53987240000004</v>
      </c>
      <c r="G10" s="95">
        <f t="shared" ca="1" si="0"/>
        <v>1.4140258834415819E-2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540717</v>
      </c>
      <c r="B11" s="98" t="s">
        <v>3044</v>
      </c>
      <c r="C11" s="101"/>
      <c r="D11" s="101"/>
      <c r="E11" s="101">
        <f ca="1">IFERROR(__xludf.DUMMYFUNCTION("GOOGLEFINANCE(""BOM:""&amp;A11,""PRICE"")"),16.42)</f>
        <v>16.420000000000002</v>
      </c>
      <c r="F11" s="112">
        <f ca="1">IFERROR(__xludf.DUMMYFUNCTION("GOOGLEFINANCE(""BOM:""&amp;A11,""MARKETCAP"")/10000000"),551.3015025)</f>
        <v>551.30150249999997</v>
      </c>
      <c r="G11" s="95">
        <f t="shared" ca="1" si="0"/>
        <v>1.2304743996018677E-2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500317</v>
      </c>
      <c r="B12" s="98" t="s">
        <v>3045</v>
      </c>
      <c r="C12" s="101"/>
      <c r="D12" s="101"/>
      <c r="E12" s="101">
        <f ca="1">IFERROR(__xludf.DUMMYFUNCTION("GOOGLEFINANCE(""BOM:""&amp;A12,""PRICE"")"),42.25)</f>
        <v>42.25</v>
      </c>
      <c r="F12" s="112">
        <f ca="1">IFERROR(__xludf.DUMMYFUNCTION("GOOGLEFINANCE(""BOM:""&amp;A12,""MARKETCAP"")/10000000"),569.1551484)</f>
        <v>569.15514840000003</v>
      </c>
      <c r="G12" s="95">
        <f t="shared" ca="1" si="0"/>
        <v>1.2703227477741219E-2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512229</v>
      </c>
      <c r="B13" s="98" t="s">
        <v>3046</v>
      </c>
      <c r="C13" s="101"/>
      <c r="D13" s="101"/>
      <c r="E13" s="101">
        <f ca="1">IFERROR(__xludf.DUMMYFUNCTION("GOOGLEFINANCE(""BOM:""&amp;A13,""PRICE"")"),143.05)</f>
        <v>143.05000000000001</v>
      </c>
      <c r="F13" s="112">
        <f ca="1">IFERROR(__xludf.DUMMYFUNCTION("GOOGLEFINANCE(""BOM:""&amp;A13,""MARKETCAP"")/10000000"),383.5170581)</f>
        <v>383.51705809999999</v>
      </c>
      <c r="G13" s="95">
        <f t="shared" ca="1" si="0"/>
        <v>8.5598881857332151E-3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530299</v>
      </c>
      <c r="B14" s="98" t="s">
        <v>3047</v>
      </c>
      <c r="C14" s="101"/>
      <c r="D14" s="101"/>
      <c r="E14" s="101">
        <f ca="1">IFERROR(__xludf.DUMMYFUNCTION("GOOGLEFINANCE(""BOM:""&amp;A14,""PRICE"")"),63.85)</f>
        <v>63.85</v>
      </c>
      <c r="F14" s="112">
        <f ca="1">IFERROR(__xludf.DUMMYFUNCTION("GOOGLEFINANCE(""BOM:""&amp;A14,""MARKETCAP"")/10000000"),381.2852256)</f>
        <v>381.28522559999999</v>
      </c>
      <c r="G14" s="95">
        <f t="shared" ca="1" si="0"/>
        <v>8.5100749212491528E-3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539834</v>
      </c>
      <c r="B15" s="98" t="s">
        <v>3048</v>
      </c>
      <c r="C15" s="101"/>
      <c r="D15" s="101"/>
      <c r="E15" s="101">
        <f ca="1">IFERROR(__xludf.DUMMYFUNCTION("GOOGLEFINANCE(""BOM:""&amp;A15,""PRICE"")"),170.4)</f>
        <v>170.4</v>
      </c>
      <c r="F15" s="112">
        <f ca="1">IFERROR(__xludf.DUMMYFUNCTION("GOOGLEFINANCE(""BOM:""&amp;A15,""MARKETCAP"")/10000000"),356.3063872)</f>
        <v>356.30638720000002</v>
      </c>
      <c r="G15" s="95">
        <f t="shared" ca="1" si="0"/>
        <v>7.9525610918180049E-3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512026</v>
      </c>
      <c r="B16" s="98" t="s">
        <v>3049</v>
      </c>
      <c r="C16" s="101"/>
      <c r="D16" s="101"/>
      <c r="E16" s="101">
        <f ca="1">IFERROR(__xludf.DUMMYFUNCTION("GOOGLEFINANCE(""BOM:""&amp;A16,""PRICE"")"),312.25)</f>
        <v>312.25</v>
      </c>
      <c r="F16" s="112">
        <f ca="1">IFERROR(__xludf.DUMMYFUNCTION("GOOGLEFINANCE(""BOM:""&amp;A16,""MARKETCAP"")/10000000"),317.7549)</f>
        <v>317.75490000000002</v>
      </c>
      <c r="G16" s="95">
        <f t="shared" ca="1" si="0"/>
        <v>7.0921132633418055E-3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524480</v>
      </c>
      <c r="B17" s="98" t="s">
        <v>3050</v>
      </c>
      <c r="C17" s="101"/>
      <c r="D17" s="101"/>
      <c r="E17" s="101">
        <f ca="1">IFERROR(__xludf.DUMMYFUNCTION("GOOGLEFINANCE(""BOM:""&amp;A17,""PRICE"")"),450)</f>
        <v>450</v>
      </c>
      <c r="F17" s="112">
        <f ca="1">IFERROR(__xludf.DUMMYFUNCTION("GOOGLEFINANCE(""BOM:""&amp;A17,""MARKETCAP"")/10000000"),320.840325)</f>
        <v>320.84032500000001</v>
      </c>
      <c r="G17" s="95">
        <f t="shared" ca="1" si="0"/>
        <v>7.1609782393517625E-3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530805</v>
      </c>
      <c r="B18" s="98" t="s">
        <v>3051</v>
      </c>
      <c r="C18" s="101"/>
      <c r="D18" s="101"/>
      <c r="E18" s="101">
        <f ca="1">IFERROR(__xludf.DUMMYFUNCTION("GOOGLEFINANCE(""BOM:""&amp;A18,""PRICE"")"),6.57)</f>
        <v>6.57</v>
      </c>
      <c r="F18" s="112">
        <f ca="1">IFERROR(__xludf.DUMMYFUNCTION("GOOGLEFINANCE(""BOM:""&amp;A18,""MARKETCAP"")/10000000"),341.4264839)</f>
        <v>341.42648389999999</v>
      </c>
      <c r="G18" s="95">
        <f t="shared" ca="1" si="0"/>
        <v>7.6204498968335255E-3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542655</v>
      </c>
      <c r="B19" s="98" t="s">
        <v>3052</v>
      </c>
      <c r="C19" s="101"/>
      <c r="D19" s="101"/>
      <c r="E19" s="101">
        <f ca="1">IFERROR(__xludf.DUMMYFUNCTION("GOOGLEFINANCE(""BOM:""&amp;A19,""PRICE"")"),1.34)</f>
        <v>1.34</v>
      </c>
      <c r="F19" s="112">
        <f ca="1">IFERROR(__xludf.DUMMYFUNCTION("GOOGLEFINANCE(""BOM:""&amp;A19,""MARKETCAP"")/10000000"),247.0698519)</f>
        <v>247.0698519</v>
      </c>
      <c r="G19" s="95">
        <f t="shared" ca="1" si="0"/>
        <v>5.5144621644918311E-3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532713</v>
      </c>
      <c r="B20" s="98" t="s">
        <v>3053</v>
      </c>
      <c r="C20" s="101"/>
      <c r="D20" s="101"/>
      <c r="E20" s="101">
        <f ca="1">IFERROR(__xludf.DUMMYFUNCTION("GOOGLEFINANCE(""BOM:""&amp;A20,""PRICE"")"),1.92)</f>
        <v>1.92</v>
      </c>
      <c r="F20" s="112">
        <f ca="1">IFERROR(__xludf.DUMMYFUNCTION("GOOGLEFINANCE(""BOM:""&amp;A20,""MARKETCAP"")/10000000"),297.8664162)</f>
        <v>297.8664162</v>
      </c>
      <c r="G20" s="95">
        <f t="shared" ca="1" si="0"/>
        <v>6.6482133274297587E-3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533014</v>
      </c>
      <c r="B21" s="98" t="s">
        <v>3054</v>
      </c>
      <c r="C21" s="101"/>
      <c r="D21" s="101"/>
      <c r="E21" s="101">
        <f ca="1">IFERROR(__xludf.DUMMYFUNCTION("GOOGLEFINANCE(""BOM:""&amp;A21,""PRICE"")"),49.83)</f>
        <v>49.83</v>
      </c>
      <c r="F21" s="112">
        <f ca="1">IFERROR(__xludf.DUMMYFUNCTION("GOOGLEFINANCE(""BOM:""&amp;A21,""MARKETCAP"")/10000000"),197.1856388)</f>
        <v>197.18563879999999</v>
      </c>
      <c r="G21" s="95">
        <f t="shared" ca="1" si="0"/>
        <v>4.401074174698821E-3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542628</v>
      </c>
      <c r="B22" s="98" t="s">
        <v>3055</v>
      </c>
      <c r="C22" s="101"/>
      <c r="D22" s="101"/>
      <c r="E22" s="101">
        <f ca="1">IFERROR(__xludf.DUMMYFUNCTION("GOOGLEFINANCE(""BOM:""&amp;A22,""PRICE"")"),112)</f>
        <v>112</v>
      </c>
      <c r="F22" s="112">
        <f ca="1">IFERROR(__xludf.DUMMYFUNCTION("GOOGLEFINANCE(""BOM:""&amp;A22,""MARKETCAP"")/10000000"),179.77344)</f>
        <v>179.77343999999999</v>
      </c>
      <c r="G22" s="95">
        <f t="shared" ca="1" si="0"/>
        <v>4.0124435475914991E-3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539922</v>
      </c>
      <c r="B23" s="98" t="s">
        <v>3056</v>
      </c>
      <c r="C23" s="101"/>
      <c r="D23" s="101"/>
      <c r="E23" s="101">
        <f ca="1">IFERROR(__xludf.DUMMYFUNCTION("GOOGLEFINANCE(""BOM:""&amp;A23,""PRICE"")"),116.45)</f>
        <v>116.45</v>
      </c>
      <c r="F23" s="112">
        <f ca="1">IFERROR(__xludf.DUMMYFUNCTION("GOOGLEFINANCE(""BOM:""&amp;A23,""MARKETCAP"")/10000000"),153.1468844)</f>
        <v>153.1468844</v>
      </c>
      <c r="G23" s="95">
        <f t="shared" ca="1" si="0"/>
        <v>3.4181535834465942E-3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530495</v>
      </c>
      <c r="B24" s="98" t="s">
        <v>3057</v>
      </c>
      <c r="C24" s="101"/>
      <c r="D24" s="101"/>
      <c r="E24" s="101">
        <f ca="1">IFERROR(__xludf.DUMMYFUNCTION("GOOGLEFINANCE(""BOM:""&amp;A24,""PRICE"")"),66)</f>
        <v>66</v>
      </c>
      <c r="F24" s="112">
        <f ca="1">IFERROR(__xludf.DUMMYFUNCTION("GOOGLEFINANCE(""BOM:""&amp;A24,""MARKETCAP"")/10000000"),182.3579)</f>
        <v>182.3579</v>
      </c>
      <c r="G24" s="95">
        <f t="shared" ca="1" si="0"/>
        <v>4.0701272624439734E-3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542694</v>
      </c>
      <c r="B25" s="98" t="s">
        <v>3058</v>
      </c>
      <c r="C25" s="101"/>
      <c r="D25" s="101"/>
      <c r="E25" s="101">
        <f ca="1">IFERROR(__xludf.DUMMYFUNCTION("GOOGLEFINANCE(""BOM:""&amp;A25,""PRICE"")"),165)</f>
        <v>165</v>
      </c>
      <c r="F25" s="112">
        <f ca="1">IFERROR(__xludf.DUMMYFUNCTION("GOOGLEFINANCE(""BOM:""&amp;A25,""MARKETCAP"")/10000000"),168.13071)</f>
        <v>168.13070999999999</v>
      </c>
      <c r="G25" s="95">
        <f t="shared" ca="1" si="0"/>
        <v>3.7525842665717337E-3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540829</v>
      </c>
      <c r="B26" s="98" t="s">
        <v>3059</v>
      </c>
      <c r="C26" s="101"/>
      <c r="D26" s="101"/>
      <c r="E26" s="101">
        <f ca="1">IFERROR(__xludf.DUMMYFUNCTION("GOOGLEFINANCE(""BOM:""&amp;A26,""PRICE"")"),4.97)</f>
        <v>4.97</v>
      </c>
      <c r="F26" s="112">
        <f ca="1">IFERROR(__xludf.DUMMYFUNCTION("GOOGLEFINANCE(""BOM:""&amp;A26,""MARKETCAP"")/10000000"),165.5852345)</f>
        <v>165.58523450000001</v>
      </c>
      <c r="G26" s="95">
        <f t="shared" ca="1" si="0"/>
        <v>3.6957706641534498E-3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543515</v>
      </c>
      <c r="B27" s="98" t="s">
        <v>3060</v>
      </c>
      <c r="C27" s="101"/>
      <c r="D27" s="101"/>
      <c r="E27" s="101">
        <f ca="1">IFERROR(__xludf.DUMMYFUNCTION("GOOGLEFINANCE(""BOM:""&amp;A27,""PRICE"")"),82.4)</f>
        <v>82.4</v>
      </c>
      <c r="F27" s="112">
        <f ca="1">IFERROR(__xludf.DUMMYFUNCTION("GOOGLEFINANCE(""BOM:""&amp;A27,""MARKETCAP"")/10000000"),157.8783205)</f>
        <v>157.8783205</v>
      </c>
      <c r="G27" s="95">
        <f t="shared" ca="1" si="0"/>
        <v>3.5237566149638553E-3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533090</v>
      </c>
      <c r="B28" s="98" t="s">
        <v>3061</v>
      </c>
      <c r="C28" s="101"/>
      <c r="D28" s="101"/>
      <c r="E28" s="101">
        <f ca="1">IFERROR(__xludf.DUMMYFUNCTION("GOOGLEFINANCE(""BOM:""&amp;A28,""PRICE"")"),1.01)</f>
        <v>1.01</v>
      </c>
      <c r="F28" s="112">
        <f ca="1">IFERROR(__xludf.DUMMYFUNCTION("GOOGLEFINANCE(""BOM:""&amp;A28,""MARKETCAP"")/10000000"),145.3016)</f>
        <v>145.30160000000001</v>
      </c>
      <c r="G28" s="95">
        <f t="shared" ca="1" si="0"/>
        <v>3.2430511836160059E-3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500159</v>
      </c>
      <c r="B29" s="98" t="s">
        <v>3062</v>
      </c>
      <c r="C29" s="101"/>
      <c r="D29" s="101"/>
      <c r="E29" s="101">
        <f ca="1">IFERROR(__xludf.DUMMYFUNCTION("GOOGLEFINANCE(""BOM:""&amp;A29,""PRICE"")"),108)</f>
        <v>108</v>
      </c>
      <c r="F29" s="112">
        <f ca="1">IFERROR(__xludf.DUMMYFUNCTION("GOOGLEFINANCE(""BOM:""&amp;A29,""MARKETCAP"")/10000000"),133.211196)</f>
        <v>133.211196</v>
      </c>
      <c r="G29" s="95">
        <f t="shared" ca="1" si="0"/>
        <v>2.9732000670240643E-3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512131</v>
      </c>
      <c r="B30" s="98" t="s">
        <v>3063</v>
      </c>
      <c r="C30" s="101"/>
      <c r="D30" s="101"/>
      <c r="E30" s="101">
        <f ca="1">IFERROR(__xludf.DUMMYFUNCTION("GOOGLEFINANCE(""BOM:""&amp;A30,""PRICE"")"),49.2)</f>
        <v>49.2</v>
      </c>
      <c r="F30" s="112">
        <f ca="1">IFERROR(__xludf.DUMMYFUNCTION("GOOGLEFINANCE(""BOM:""&amp;A30,""MARKETCAP"")/10000000"),139.619597)</f>
        <v>139.619597</v>
      </c>
      <c r="G30" s="95">
        <f t="shared" ca="1" si="0"/>
        <v>3.1162320257095569E-3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540401</v>
      </c>
      <c r="B31" s="98" t="s">
        <v>3064</v>
      </c>
      <c r="C31" s="101"/>
      <c r="D31" s="101"/>
      <c r="E31" s="101">
        <f ca="1">IFERROR(__xludf.DUMMYFUNCTION("GOOGLEFINANCE(""BOM:""&amp;A31,""PRICE"")"),9.15)</f>
        <v>9.15</v>
      </c>
      <c r="F31" s="112">
        <f ca="1">IFERROR(__xludf.DUMMYFUNCTION("GOOGLEFINANCE(""BOM:""&amp;A31,""MARKETCAP"")/10000000"),124.4729348)</f>
        <v>124.4729348</v>
      </c>
      <c r="G31" s="95">
        <f t="shared" ca="1" si="0"/>
        <v>2.7781669199189681E-3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523289</v>
      </c>
      <c r="B32" s="98" t="s">
        <v>3065</v>
      </c>
      <c r="C32" s="101"/>
      <c r="D32" s="101"/>
      <c r="E32" s="101">
        <f ca="1">IFERROR(__xludf.DUMMYFUNCTION("GOOGLEFINANCE(""BOM:""&amp;A32,""PRICE"")"),123.55)</f>
        <v>123.55</v>
      </c>
      <c r="F32" s="112">
        <f ca="1">IFERROR(__xludf.DUMMYFUNCTION("GOOGLEFINANCE(""BOM:""&amp;A32,""MARKETCAP"")/10000000"),128.816569)</f>
        <v>128.81656899999999</v>
      </c>
      <c r="G32" s="95">
        <f t="shared" ca="1" si="0"/>
        <v>2.8751144279540132E-3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535958</v>
      </c>
      <c r="B33" s="98" t="s">
        <v>3066</v>
      </c>
      <c r="C33" s="101"/>
      <c r="D33" s="101"/>
      <c r="E33" s="101">
        <f ca="1">IFERROR(__xludf.DUMMYFUNCTION("GOOGLEFINANCE(""BOM:""&amp;A33,""PRICE"")"),1.2)</f>
        <v>1.2</v>
      </c>
      <c r="F33" s="112">
        <f ca="1">IFERROR(__xludf.DUMMYFUNCTION("GOOGLEFINANCE(""BOM:""&amp;A33,""MARKETCAP"")/10000000"),128.146805)</f>
        <v>128.146805</v>
      </c>
      <c r="G33" s="95">
        <f t="shared" ca="1" si="0"/>
        <v>2.860165666667535E-3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531842</v>
      </c>
      <c r="B34" s="98" t="s">
        <v>3067</v>
      </c>
      <c r="C34" s="101"/>
      <c r="D34" s="101"/>
      <c r="E34" s="101">
        <f ca="1">IFERROR(__xludf.DUMMYFUNCTION("GOOGLEFINANCE(""BOM:""&amp;A34,""PRICE"")"),41.26)</f>
        <v>41.26</v>
      </c>
      <c r="F34" s="112">
        <f ca="1">IFERROR(__xludf.DUMMYFUNCTION("GOOGLEFINANCE(""BOM:""&amp;A34,""MARKETCAP"")/10000000"),120.3615628)</f>
        <v>120.3615628</v>
      </c>
      <c r="G34" s="95">
        <f t="shared" ca="1" si="0"/>
        <v>2.686403375464635E-3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531959</v>
      </c>
      <c r="B35" s="98" t="s">
        <v>3068</v>
      </c>
      <c r="C35" s="101"/>
      <c r="D35" s="101"/>
      <c r="E35" s="101">
        <f ca="1">IFERROR(__xludf.DUMMYFUNCTION("GOOGLEFINANCE(""BOM:""&amp;A35,""PRICE"")"),1.9)</f>
        <v>1.9</v>
      </c>
      <c r="F35" s="112">
        <f ca="1">IFERROR(__xludf.DUMMYFUNCTION("GOOGLEFINANCE(""BOM:""&amp;A35,""MARKETCAP"")/10000000"),104.1937946)</f>
        <v>104.1937946</v>
      </c>
      <c r="G35" s="95">
        <f t="shared" ca="1" si="0"/>
        <v>2.325547749666714E-3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540613</v>
      </c>
      <c r="B36" s="98" t="s">
        <v>3069</v>
      </c>
      <c r="C36" s="101"/>
      <c r="D36" s="101"/>
      <c r="E36" s="101">
        <f ca="1">IFERROR(__xludf.DUMMYFUNCTION("GOOGLEFINANCE(""BOM:""&amp;A36,""PRICE"")"),316)</f>
        <v>316</v>
      </c>
      <c r="F36" s="112">
        <f ca="1">IFERROR(__xludf.DUMMYFUNCTION("GOOGLEFINANCE(""BOM:""&amp;A36,""MARKETCAP"")/10000000"),97.3596)</f>
        <v>97.3596</v>
      </c>
      <c r="G36" s="95">
        <f t="shared" ca="1" si="0"/>
        <v>2.1730123138105906E-3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519383</v>
      </c>
      <c r="B37" s="98" t="s">
        <v>3070</v>
      </c>
      <c r="C37" s="101"/>
      <c r="D37" s="101"/>
      <c r="E37" s="101">
        <f ca="1">IFERROR(__xludf.DUMMYFUNCTION("GOOGLEFINANCE(""BOM:""&amp;A37,""PRICE"")"),37.31)</f>
        <v>37.31</v>
      </c>
      <c r="F37" s="112">
        <f ca="1">IFERROR(__xludf.DUMMYFUNCTION("GOOGLEFINANCE(""BOM:""&amp;A37,""MARKETCAP"")/10000000"),106.4345532)</f>
        <v>106.4345532</v>
      </c>
      <c r="G37" s="95">
        <f t="shared" ca="1" si="0"/>
        <v>2.3755602397557956E-3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540809</v>
      </c>
      <c r="B38" s="98" t="s">
        <v>3071</v>
      </c>
      <c r="C38" s="101"/>
      <c r="D38" s="101"/>
      <c r="E38" s="101">
        <f ca="1">IFERROR(__xludf.DUMMYFUNCTION("GOOGLEFINANCE(""BOM:""&amp;A38,""PRICE"")"),28.29)</f>
        <v>28.29</v>
      </c>
      <c r="F38" s="112">
        <f ca="1">IFERROR(__xludf.DUMMYFUNCTION("GOOGLEFINANCE(""BOM:""&amp;A38,""MARKETCAP"")/10000000"),88.6252174)</f>
        <v>88.625217399999997</v>
      </c>
      <c r="G38" s="95">
        <f t="shared" ca="1" si="0"/>
        <v>1.9780657349079147E-3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526971</v>
      </c>
      <c r="B39" s="98" t="s">
        <v>3072</v>
      </c>
      <c r="C39" s="101"/>
      <c r="D39" s="101"/>
      <c r="E39" s="101">
        <f ca="1">IFERROR(__xludf.DUMMYFUNCTION("GOOGLEFINANCE(""BOM:""&amp;A39,""PRICE"")"),168)</f>
        <v>168</v>
      </c>
      <c r="F39" s="112">
        <f ca="1">IFERROR(__xludf.DUMMYFUNCTION("GOOGLEFINANCE(""BOM:""&amp;A39,""MARKETCAP"")/10000000"),106.1424)</f>
        <v>106.14239999999999</v>
      </c>
      <c r="G39" s="95">
        <f t="shared" ca="1" si="0"/>
        <v>2.3690395422475974E-3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533896</v>
      </c>
      <c r="B40" s="98" t="s">
        <v>3073</v>
      </c>
      <c r="C40" s="101"/>
      <c r="D40" s="101"/>
      <c r="E40" s="101">
        <f ca="1">IFERROR(__xludf.DUMMYFUNCTION("GOOGLEFINANCE(""BOM:""&amp;A40,""PRICE"")"),18.97)</f>
        <v>18.97</v>
      </c>
      <c r="F40" s="112">
        <f ca="1">IFERROR(__xludf.DUMMYFUNCTION("GOOGLEFINANCE(""BOM:""&amp;A40,""MARKETCAP"")/10000000"),94.8499965)</f>
        <v>94.849996500000003</v>
      </c>
      <c r="G40" s="95">
        <f t="shared" ca="1" si="0"/>
        <v>2.1169993545514915E-3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541702</v>
      </c>
      <c r="B41" s="98" t="s">
        <v>3074</v>
      </c>
      <c r="C41" s="101"/>
      <c r="D41" s="101"/>
      <c r="E41" s="101">
        <f ca="1">IFERROR(__xludf.DUMMYFUNCTION("GOOGLEFINANCE(""BOM:""&amp;A41,""PRICE"")"),3.31)</f>
        <v>3.31</v>
      </c>
      <c r="F41" s="112">
        <f ca="1">IFERROR(__xludf.DUMMYFUNCTION("GOOGLEFINANCE(""BOM:""&amp;A41,""MARKETCAP"")/10000000"),87.7563403)</f>
        <v>87.756340300000005</v>
      </c>
      <c r="G41" s="95">
        <f t="shared" ca="1" si="0"/>
        <v>1.9586728795809821E-3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540730</v>
      </c>
      <c r="B42" s="98" t="s">
        <v>3075</v>
      </c>
      <c r="C42" s="101"/>
      <c r="D42" s="101"/>
      <c r="E42" s="101">
        <f ca="1">IFERROR(__xludf.DUMMYFUNCTION("GOOGLEFINANCE(""BOM:""&amp;A42,""PRICE"")"),1.19)</f>
        <v>1.19</v>
      </c>
      <c r="F42" s="112">
        <f ca="1">IFERROR(__xludf.DUMMYFUNCTION("GOOGLEFINANCE(""BOM:""&amp;A42,""MARKETCAP"")/10000000"),88.1861442)</f>
        <v>88.186144200000001</v>
      </c>
      <c r="G42" s="95">
        <f t="shared" ca="1" si="0"/>
        <v>1.9682658644250427E-3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4.4">
      <c r="A43" s="99">
        <v>530689</v>
      </c>
      <c r="B43" s="98" t="s">
        <v>3076</v>
      </c>
      <c r="C43" s="101"/>
      <c r="D43" s="101"/>
      <c r="E43" s="101">
        <f ca="1">IFERROR(__xludf.DUMMYFUNCTION("GOOGLEFINANCE(""BOM:""&amp;A43,""PRICE"")"),44)</f>
        <v>44</v>
      </c>
      <c r="F43" s="112">
        <f ca="1">IFERROR(__xludf.DUMMYFUNCTION("GOOGLEFINANCE(""BOM:""&amp;A43,""MARKETCAP"")/10000000"),85.25066)</f>
        <v>85.250659999999996</v>
      </c>
      <c r="G43" s="95">
        <f t="shared" ca="1" si="0"/>
        <v>1.9027474839715852E-3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4.4">
      <c r="A44" s="99">
        <v>542803</v>
      </c>
      <c r="B44" s="98" t="s">
        <v>3077</v>
      </c>
      <c r="C44" s="101"/>
      <c r="D44" s="101"/>
      <c r="E44" s="101">
        <f ca="1">IFERROR(__xludf.DUMMYFUNCTION("GOOGLEFINANCE(""BOM:""&amp;A44,""PRICE"")"),43.2)</f>
        <v>43.2</v>
      </c>
      <c r="F44" s="112">
        <f ca="1">IFERROR(__xludf.DUMMYFUNCTION("GOOGLEFINANCE(""BOM:""&amp;A44,""MARKETCAP"")/10000000"),84.710579)</f>
        <v>84.710578999999996</v>
      </c>
      <c r="G44" s="95">
        <f t="shared" ca="1" si="0"/>
        <v>1.8906931753727913E-3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4.4">
      <c r="A45" s="99">
        <v>535620</v>
      </c>
      <c r="B45" s="98" t="s">
        <v>3078</v>
      </c>
      <c r="C45" s="101"/>
      <c r="D45" s="101"/>
      <c r="E45" s="101">
        <f ca="1">IFERROR(__xludf.DUMMYFUNCTION("GOOGLEFINANCE(""BOM:""&amp;A45,""PRICE"")"),312.75)</f>
        <v>312.75</v>
      </c>
      <c r="F45" s="112">
        <f ca="1">IFERROR(__xludf.DUMMYFUNCTION("GOOGLEFINANCE(""BOM:""&amp;A45,""MARKETCAP"")/10000000"),80.7917692)</f>
        <v>80.791769200000005</v>
      </c>
      <c r="G45" s="95">
        <f t="shared" ca="1" si="0"/>
        <v>1.8032275125015223E-3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541152</v>
      </c>
      <c r="B46" s="98" t="s">
        <v>3079</v>
      </c>
      <c r="C46" s="101"/>
      <c r="D46" s="101"/>
      <c r="E46" s="101">
        <f ca="1">IFERROR(__xludf.DUMMYFUNCTION("GOOGLEFINANCE(""BOM:""&amp;A46,""PRICE"")"),6.24)</f>
        <v>6.24</v>
      </c>
      <c r="F46" s="112">
        <f ca="1">IFERROR(__xludf.DUMMYFUNCTION("GOOGLEFINANCE(""BOM:""&amp;A46,""MARKETCAP"")/10000000"),89.3506734)</f>
        <v>89.350673400000005</v>
      </c>
      <c r="G46" s="95">
        <f t="shared" ca="1" si="0"/>
        <v>1.9942575107690292E-3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4.4">
      <c r="A47" s="99">
        <v>509472</v>
      </c>
      <c r="B47" s="98" t="s">
        <v>3080</v>
      </c>
      <c r="C47" s="101"/>
      <c r="D47" s="101"/>
      <c r="E47" s="101">
        <f ca="1">IFERROR(__xludf.DUMMYFUNCTION("GOOGLEFINANCE(""BOM:""&amp;A47,""PRICE"")"),340)</f>
        <v>340</v>
      </c>
      <c r="F47" s="112">
        <f ca="1">IFERROR(__xludf.DUMMYFUNCTION("GOOGLEFINANCE(""BOM:""&amp;A47,""MARKETCAP"")/10000000"),87.86144)</f>
        <v>87.861440000000002</v>
      </c>
      <c r="G47" s="95">
        <f t="shared" ca="1" si="0"/>
        <v>1.9610186466371099E-3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4.4">
      <c r="A48" s="99">
        <v>539991</v>
      </c>
      <c r="B48" s="98" t="s">
        <v>3081</v>
      </c>
      <c r="C48" s="101"/>
      <c r="D48" s="101"/>
      <c r="E48" s="101">
        <f ca="1">IFERROR(__xludf.DUMMYFUNCTION("GOOGLEFINANCE(""BOM:""&amp;A48,""PRICE"")"),41.11)</f>
        <v>41.11</v>
      </c>
      <c r="F48" s="112">
        <f ca="1">IFERROR(__xludf.DUMMYFUNCTION("GOOGLEFINANCE(""BOM:""&amp;A48,""MARKETCAP"")/10000000"),102.8572215)</f>
        <v>102.85722149999999</v>
      </c>
      <c r="G48" s="95">
        <f t="shared" ca="1" si="0"/>
        <v>2.2957161788241059E-3</v>
      </c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ht="14.4">
      <c r="A49" s="99">
        <v>531918</v>
      </c>
      <c r="B49" s="98" t="s">
        <v>3082</v>
      </c>
      <c r="C49" s="101"/>
      <c r="D49" s="101"/>
      <c r="E49" s="101">
        <f ca="1">IFERROR(__xludf.DUMMYFUNCTION("GOOGLEFINANCE(""BOM:""&amp;A49,""PRICE"")"),83.5)</f>
        <v>83.5</v>
      </c>
      <c r="F49" s="112">
        <f ca="1">IFERROR(__xludf.DUMMYFUNCTION("GOOGLEFINANCE(""BOM:""&amp;A49,""MARKETCAP"")/10000000"),83.7171)</f>
        <v>83.717100000000002</v>
      </c>
      <c r="G49" s="95">
        <f t="shared" ca="1" si="0"/>
        <v>1.8685192746941501E-3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4.4">
      <c r="A50" s="99">
        <v>539814</v>
      </c>
      <c r="B50" s="98" t="s">
        <v>3083</v>
      </c>
      <c r="C50" s="101"/>
      <c r="D50" s="101"/>
      <c r="E50" s="101">
        <f ca="1">IFERROR(__xludf.DUMMYFUNCTION("GOOGLEFINANCE(""BOM:""&amp;A50,""PRICE"")"),220)</f>
        <v>220</v>
      </c>
      <c r="F50" s="112">
        <f ca="1">IFERROR(__xludf.DUMMYFUNCTION("GOOGLEFINANCE(""BOM:""&amp;A50,""MARKETCAP"")/10000000"),76.296)</f>
        <v>76.296000000000006</v>
      </c>
      <c r="G50" s="95">
        <f t="shared" ca="1" si="0"/>
        <v>1.7028844355820364E-3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4.4">
      <c r="A51" s="99">
        <v>526241</v>
      </c>
      <c r="B51" s="98" t="s">
        <v>3084</v>
      </c>
      <c r="C51" s="101"/>
      <c r="D51" s="101"/>
      <c r="E51" s="101">
        <f ca="1">IFERROR(__xludf.DUMMYFUNCTION("GOOGLEFINANCE(""BOM:""&amp;A51,""PRICE"")"),14.21)</f>
        <v>14.21</v>
      </c>
      <c r="F51" s="112">
        <f ca="1">IFERROR(__xludf.DUMMYFUNCTION("GOOGLEFINANCE(""BOM:""&amp;A51,""MARKETCAP"")/10000000"),73.0544059)</f>
        <v>73.054405900000006</v>
      </c>
      <c r="G51" s="95">
        <f t="shared" ca="1" si="0"/>
        <v>1.6305338518113987E-3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4.4">
      <c r="A52" s="99">
        <v>543513</v>
      </c>
      <c r="B52" s="98" t="s">
        <v>3085</v>
      </c>
      <c r="C52" s="101"/>
      <c r="D52" s="101"/>
      <c r="E52" s="101">
        <f ca="1">IFERROR(__xludf.DUMMYFUNCTION("GOOGLEFINANCE(""BOM:""&amp;A52,""PRICE"")"),21.96)</f>
        <v>21.96</v>
      </c>
      <c r="F52" s="112">
        <f ca="1">IFERROR(__xludf.DUMMYFUNCTION("GOOGLEFINANCE(""BOM:""&amp;A52,""MARKETCAP"")/10000000"),73.5363802)</f>
        <v>73.536380199999996</v>
      </c>
      <c r="G52" s="95">
        <f t="shared" ca="1" si="0"/>
        <v>1.6412912510698203E-3</v>
      </c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ht="14.4">
      <c r="A53" s="99">
        <v>501430</v>
      </c>
      <c r="B53" s="98" t="s">
        <v>3086</v>
      </c>
      <c r="C53" s="101"/>
      <c r="D53" s="101"/>
      <c r="E53" s="101">
        <f ca="1">IFERROR(__xludf.DUMMYFUNCTION("GOOGLEFINANCE(""BOM:""&amp;A53,""PRICE"")"),1640)</f>
        <v>1640</v>
      </c>
      <c r="F53" s="112">
        <f ca="1">IFERROR(__xludf.DUMMYFUNCTION("GOOGLEFINANCE(""BOM:""&amp;A53,""MARKETCAP"")/10000000"),65.6)</f>
        <v>65.599999999999994</v>
      </c>
      <c r="G53" s="95">
        <f t="shared" ca="1" si="0"/>
        <v>1.4641556434699271E-3</v>
      </c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ht="14.4">
      <c r="A54" s="99">
        <v>512591</v>
      </c>
      <c r="B54" s="98" t="s">
        <v>3087</v>
      </c>
      <c r="C54" s="101"/>
      <c r="D54" s="101"/>
      <c r="E54" s="101">
        <f ca="1">IFERROR(__xludf.DUMMYFUNCTION("GOOGLEFINANCE(""BOM:""&amp;A54,""PRICE"")"),1.61)</f>
        <v>1.61</v>
      </c>
      <c r="F54" s="112">
        <f ca="1">IFERROR(__xludf.DUMMYFUNCTION("GOOGLEFINANCE(""BOM:""&amp;A54,""MARKETCAP"")/10000000"),68.9627406)</f>
        <v>68.962740600000004</v>
      </c>
      <c r="G54" s="95">
        <f t="shared" ca="1" si="0"/>
        <v>1.5392101499793092E-3</v>
      </c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ht="14.4">
      <c r="A55" s="99">
        <v>523844</v>
      </c>
      <c r="B55" s="98" t="s">
        <v>3088</v>
      </c>
      <c r="C55" s="101"/>
      <c r="D55" s="101"/>
      <c r="E55" s="101">
        <f ca="1">IFERROR(__xludf.DUMMYFUNCTION("GOOGLEFINANCE(""BOM:""&amp;A55,""PRICE"")"),50)</f>
        <v>50</v>
      </c>
      <c r="F55" s="112">
        <f ca="1">IFERROR(__xludf.DUMMYFUNCTION("GOOGLEFINANCE(""BOM:""&amp;A55,""MARKETCAP"")/10000000"),62.6452)</f>
        <v>62.645200000000003</v>
      </c>
      <c r="G55" s="95">
        <f t="shared" ca="1" si="0"/>
        <v>1.3982061450655838E-3</v>
      </c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ht="14.4">
      <c r="A56" s="99">
        <v>531743</v>
      </c>
      <c r="B56" s="98" t="s">
        <v>3089</v>
      </c>
      <c r="C56" s="101"/>
      <c r="D56" s="101"/>
      <c r="E56" s="101">
        <f ca="1">IFERROR(__xludf.DUMMYFUNCTION("GOOGLEFINANCE(""BOM:""&amp;A56,""PRICE"")"),215.15)</f>
        <v>215.15</v>
      </c>
      <c r="F56" s="112">
        <f ca="1">IFERROR(__xludf.DUMMYFUNCTION("GOOGLEFINANCE(""BOM:""&amp;A56,""MARKETCAP"")/10000000"),59.24026)</f>
        <v>59.240259999999999</v>
      </c>
      <c r="G56" s="95">
        <f t="shared" ca="1" si="0"/>
        <v>1.3222097713357591E-3</v>
      </c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ht="14.4">
      <c r="A57" s="99">
        <v>539222</v>
      </c>
      <c r="B57" s="98" t="s">
        <v>3090</v>
      </c>
      <c r="C57" s="101"/>
      <c r="D57" s="101"/>
      <c r="E57" s="101">
        <f ca="1">IFERROR(__xludf.DUMMYFUNCTION("GOOGLEFINANCE(""BOM:""&amp;A57,""PRICE"")"),0.85)</f>
        <v>0.85</v>
      </c>
      <c r="F57" s="112">
        <f ca="1">IFERROR(__xludf.DUMMYFUNCTION("GOOGLEFINANCE(""BOM:""&amp;A57,""MARKETCAP"")/10000000"),54.588336)</f>
        <v>54.588335999999998</v>
      </c>
      <c r="G57" s="95">
        <f t="shared" ca="1" si="0"/>
        <v>1.2183814058236676E-3</v>
      </c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ht="14.4">
      <c r="A58" s="99">
        <v>540570</v>
      </c>
      <c r="B58" s="98" t="s">
        <v>3091</v>
      </c>
      <c r="C58" s="101"/>
      <c r="D58" s="101"/>
      <c r="E58" s="101">
        <f ca="1">IFERROR(__xludf.DUMMYFUNCTION("GOOGLEFINANCE(""BOM:""&amp;A58,""PRICE"")"),3.17)</f>
        <v>3.17</v>
      </c>
      <c r="F58" s="112">
        <f ca="1">IFERROR(__xludf.DUMMYFUNCTION("GOOGLEFINANCE(""BOM:""&amp;A58,""MARKETCAP"")/10000000"),58.91446)</f>
        <v>58.914459999999998</v>
      </c>
      <c r="G58" s="95">
        <f t="shared" ca="1" si="0"/>
        <v>1.3149380958991355E-3</v>
      </c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ht="14.4">
      <c r="A59" s="99">
        <v>531190</v>
      </c>
      <c r="B59" s="98" t="s">
        <v>3092</v>
      </c>
      <c r="C59" s="101"/>
      <c r="D59" s="101"/>
      <c r="E59" s="101">
        <f ca="1">IFERROR(__xludf.DUMMYFUNCTION("GOOGLEFINANCE(""BOM:""&amp;A59,""PRICE"")"),85)</f>
        <v>85</v>
      </c>
      <c r="F59" s="112">
        <f ca="1">IFERROR(__xludf.DUMMYFUNCTION("GOOGLEFINANCE(""BOM:""&amp;A59,""MARKETCAP"")/10000000"),50.8214915)</f>
        <v>50.8214915</v>
      </c>
      <c r="G59" s="95">
        <f t="shared" ca="1" si="0"/>
        <v>1.1343075242268893E-3</v>
      </c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ht="14.4">
      <c r="A60" s="99">
        <v>539041</v>
      </c>
      <c r="B60" s="98" t="s">
        <v>3093</v>
      </c>
      <c r="C60" s="101"/>
      <c r="D60" s="101"/>
      <c r="E60" s="101">
        <f ca="1">IFERROR(__xludf.DUMMYFUNCTION("GOOGLEFINANCE(""BOM:""&amp;A60,""PRICE"")"),27.39)</f>
        <v>27.39</v>
      </c>
      <c r="F60" s="112">
        <f ca="1">IFERROR(__xludf.DUMMYFUNCTION("GOOGLEFINANCE(""BOM:""&amp;A60,""MARKETCAP"")/10000000"),67.3647448)</f>
        <v>67.364744799999997</v>
      </c>
      <c r="G60" s="95">
        <f t="shared" ca="1" si="0"/>
        <v>1.5035437693571864E-3</v>
      </c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ht="14.4">
      <c r="A61" s="99">
        <v>542145</v>
      </c>
      <c r="B61" s="98" t="s">
        <v>3094</v>
      </c>
      <c r="C61" s="101"/>
      <c r="D61" s="101"/>
      <c r="E61" s="101">
        <f ca="1">IFERROR(__xludf.DUMMYFUNCTION("GOOGLEFINANCE(""BOM:""&amp;A61,""PRICE"")"),45.45)</f>
        <v>45.45</v>
      </c>
      <c r="F61" s="112">
        <f ca="1">IFERROR(__xludf.DUMMYFUNCTION("GOOGLEFINANCE(""BOM:""&amp;A61,""MARKETCAP"")/10000000"),52.2360949)</f>
        <v>52.236094899999998</v>
      </c>
      <c r="G61" s="95">
        <f t="shared" ca="1" si="0"/>
        <v>1.1658806881199037E-3</v>
      </c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</row>
    <row r="62" spans="1:25" ht="14.4">
      <c r="A62" s="99">
        <v>512589</v>
      </c>
      <c r="B62" s="98" t="s">
        <v>3095</v>
      </c>
      <c r="C62" s="101"/>
      <c r="D62" s="101"/>
      <c r="E62" s="101">
        <f ca="1">IFERROR(__xludf.DUMMYFUNCTION("GOOGLEFINANCE(""BOM:""&amp;A62,""PRICE"")"),165.95)</f>
        <v>165.95</v>
      </c>
      <c r="F62" s="112">
        <f ca="1">IFERROR(__xludf.DUMMYFUNCTION("GOOGLEFINANCE(""BOM:""&amp;A62,""MARKETCAP"")/10000000"),49.784999)</f>
        <v>49.784998999999999</v>
      </c>
      <c r="G62" s="95">
        <f t="shared" ca="1" si="0"/>
        <v>1.1111735860669921E-3</v>
      </c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</row>
    <row r="63" spans="1:25" ht="14.4">
      <c r="A63" s="99">
        <v>531205</v>
      </c>
      <c r="B63" s="98" t="s">
        <v>3096</v>
      </c>
      <c r="C63" s="101"/>
      <c r="D63" s="101"/>
      <c r="E63" s="101">
        <f ca="1">IFERROR(__xludf.DUMMYFUNCTION("GOOGLEFINANCE(""BOM:""&amp;A63,""PRICE"")"),0.49)</f>
        <v>0.49</v>
      </c>
      <c r="F63" s="112">
        <f ca="1">IFERROR(__xludf.DUMMYFUNCTION("GOOGLEFINANCE(""BOM:""&amp;A63,""MARKETCAP"")/10000000"),50.36086)</f>
        <v>50.360860000000002</v>
      </c>
      <c r="G63" s="95">
        <f t="shared" ca="1" si="0"/>
        <v>1.1240264844359592E-3</v>
      </c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</row>
    <row r="64" spans="1:25" ht="14.4">
      <c r="A64" s="99">
        <v>512485</v>
      </c>
      <c r="B64" s="98" t="s">
        <v>3097</v>
      </c>
      <c r="C64" s="101"/>
      <c r="D64" s="101"/>
      <c r="E64" s="101">
        <f ca="1">IFERROR(__xludf.DUMMYFUNCTION("GOOGLEFINANCE(""BOM:""&amp;A64,""PRICE"")"),95.05)</f>
        <v>95.05</v>
      </c>
      <c r="F64" s="112">
        <f ca="1">IFERROR(__xludf.DUMMYFUNCTION("GOOGLEFINANCE(""BOM:""&amp;A64,""MARKETCAP"")/10000000"),46.3021832)</f>
        <v>46.302183200000002</v>
      </c>
      <c r="G64" s="95">
        <f t="shared" ca="1" si="0"/>
        <v>1.033439067641135E-3</v>
      </c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</row>
    <row r="65" spans="1:25" ht="14.4">
      <c r="A65" s="99">
        <v>543461</v>
      </c>
      <c r="B65" s="98" t="s">
        <v>3098</v>
      </c>
      <c r="C65" s="101"/>
      <c r="D65" s="101"/>
      <c r="E65" s="101">
        <f ca="1">IFERROR(__xludf.DUMMYFUNCTION("GOOGLEFINANCE(""BOM:""&amp;A65,""PRICE"")"),20)</f>
        <v>20</v>
      </c>
      <c r="F65" s="112">
        <f ca="1">IFERROR(__xludf.DUMMYFUNCTION("GOOGLEFINANCE(""BOM:""&amp;A65,""MARKETCAP"")/10000000"),49.9551)</f>
        <v>49.955100000000002</v>
      </c>
      <c r="G65" s="95">
        <f t="shared" ca="1" si="0"/>
        <v>1.1149701461143989E-3</v>
      </c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</row>
    <row r="66" spans="1:25" ht="14.4">
      <c r="A66" s="99">
        <v>530213</v>
      </c>
      <c r="B66" s="98" t="s">
        <v>3099</v>
      </c>
      <c r="C66" s="101"/>
      <c r="D66" s="101"/>
      <c r="E66" s="101">
        <f ca="1">IFERROR(__xludf.DUMMYFUNCTION("GOOGLEFINANCE(""BOM:""&amp;A66,""PRICE"")"),63)</f>
        <v>63</v>
      </c>
      <c r="F66" s="112">
        <f ca="1">IFERROR(__xludf.DUMMYFUNCTION("GOOGLEFINANCE(""BOM:""&amp;A66,""MARKETCAP"")/10000000"),44.352)</f>
        <v>44.351999999999997</v>
      </c>
      <c r="G66" s="95">
        <f t="shared" ca="1" si="0"/>
        <v>9.8991205943869216E-4</v>
      </c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</row>
    <row r="67" spans="1:25" ht="14.4">
      <c r="A67" s="99">
        <v>531592</v>
      </c>
      <c r="B67" s="98" t="s">
        <v>3100</v>
      </c>
      <c r="C67" s="101"/>
      <c r="D67" s="101"/>
      <c r="E67" s="101">
        <f ca="1">IFERROR(__xludf.DUMMYFUNCTION("GOOGLEFINANCE(""BOM:""&amp;A67,""PRICE"")"),1.16)</f>
        <v>1.1599999999999999</v>
      </c>
      <c r="F67" s="112">
        <f ca="1">IFERROR(__xludf.DUMMYFUNCTION("GOOGLEFINANCE(""BOM:""&amp;A67,""MARKETCAP"")/10000000"),59.24801)</f>
        <v>59.248010000000001</v>
      </c>
      <c r="G67" s="95">
        <f t="shared" ca="1" si="0"/>
        <v>1.3223827470405897E-3</v>
      </c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</row>
    <row r="68" spans="1:25" ht="14.4">
      <c r="A68" s="99">
        <v>540786</v>
      </c>
      <c r="B68" s="98" t="s">
        <v>3101</v>
      </c>
      <c r="C68" s="101"/>
      <c r="D68" s="101"/>
      <c r="E68" s="101">
        <f ca="1">IFERROR(__xludf.DUMMYFUNCTION("GOOGLEFINANCE(""BOM:""&amp;A68,""PRICE"")"),10.17)</f>
        <v>10.17</v>
      </c>
      <c r="F68" s="112">
        <f ca="1">IFERROR(__xludf.DUMMYFUNCTION("GOOGLEFINANCE(""BOM:""&amp;A68,""MARKETCAP"")/10000000"),44.0361003)</f>
        <v>44.036100300000001</v>
      </c>
      <c r="G68" s="95">
        <f t="shared" ca="1" si="0"/>
        <v>9.8286135321117019E-4</v>
      </c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</row>
    <row r="69" spans="1:25" ht="14.4">
      <c r="A69" s="99">
        <v>540377</v>
      </c>
      <c r="B69" s="98" t="s">
        <v>3102</v>
      </c>
      <c r="C69" s="101"/>
      <c r="D69" s="101"/>
      <c r="E69" s="101">
        <f ca="1">IFERROR(__xludf.DUMMYFUNCTION("GOOGLEFINANCE(""BOM:""&amp;A69,""PRICE"")"),0.37)</f>
        <v>0.37</v>
      </c>
      <c r="F69" s="112">
        <f ca="1">IFERROR(__xludf.DUMMYFUNCTION("GOOGLEFINANCE(""BOM:""&amp;A69,""MARKETCAP"")/10000000"),46.0665915)</f>
        <v>46.066591500000001</v>
      </c>
      <c r="G69" s="95">
        <f t="shared" ca="1" si="0"/>
        <v>1.0281807914656828E-3</v>
      </c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</row>
    <row r="70" spans="1:25" ht="14.4">
      <c r="A70" s="99">
        <v>512115</v>
      </c>
      <c r="B70" s="98" t="s">
        <v>3103</v>
      </c>
      <c r="C70" s="101"/>
      <c r="D70" s="101"/>
      <c r="E70" s="101">
        <f ca="1">IFERROR(__xludf.DUMMYFUNCTION("GOOGLEFINANCE(""BOM:""&amp;A70,""PRICE"")"),73.88)</f>
        <v>73.88</v>
      </c>
      <c r="F70" s="112">
        <f ca="1">IFERROR(__xludf.DUMMYFUNCTION("GOOGLEFINANCE(""BOM:""&amp;A70,""MARKETCAP"")/10000000"),44.2601986)</f>
        <v>44.260198600000003</v>
      </c>
      <c r="G70" s="95">
        <f t="shared" ca="1" si="0"/>
        <v>9.8786310306844165E-4</v>
      </c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</row>
    <row r="71" spans="1:25" ht="14.4">
      <c r="A71" s="99">
        <v>531067</v>
      </c>
      <c r="B71" s="98" t="s">
        <v>3104</v>
      </c>
      <c r="C71" s="101"/>
      <c r="D71" s="101"/>
      <c r="E71" s="101">
        <f ca="1">IFERROR(__xludf.DUMMYFUNCTION("GOOGLEFINANCE(""BOM:""&amp;A71,""PRICE"")"),29.25)</f>
        <v>29.25</v>
      </c>
      <c r="F71" s="112">
        <f ca="1">IFERROR(__xludf.DUMMYFUNCTION("GOOGLEFINANCE(""BOM:""&amp;A71,""MARKETCAP"")/10000000"),45.2555707)</f>
        <v>45.2555707</v>
      </c>
      <c r="G71" s="95">
        <f t="shared" ca="1" si="0"/>
        <v>1.0100792566898977E-3</v>
      </c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</row>
    <row r="72" spans="1:25" ht="14.4">
      <c r="A72" s="99">
        <v>522235</v>
      </c>
      <c r="B72" s="98" t="s">
        <v>3105</v>
      </c>
      <c r="C72" s="101"/>
      <c r="D72" s="101"/>
      <c r="E72" s="101">
        <f ca="1">IFERROR(__xludf.DUMMYFUNCTION("GOOGLEFINANCE(""BOM:""&amp;A72,""PRICE"")"),2.32)</f>
        <v>2.3199999999999998</v>
      </c>
      <c r="F72" s="112">
        <f ca="1">IFERROR(__xludf.DUMMYFUNCTION("GOOGLEFINANCE(""BOM:""&amp;A72,""MARKETCAP"")/10000000"),44.5209379)</f>
        <v>44.5209379</v>
      </c>
      <c r="G72" s="95">
        <f t="shared" ca="1" si="0"/>
        <v>9.9368265973870688E-4</v>
      </c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</row>
    <row r="73" spans="1:25" ht="14.4">
      <c r="A73" s="99">
        <v>542724</v>
      </c>
      <c r="B73" s="98" t="s">
        <v>3106</v>
      </c>
      <c r="C73" s="101"/>
      <c r="D73" s="101"/>
      <c r="E73" s="101">
        <f ca="1">IFERROR(__xludf.DUMMYFUNCTION("GOOGLEFINANCE(""BOM:""&amp;A73,""PRICE"")"),0.19)</f>
        <v>0.19</v>
      </c>
      <c r="F73" s="112">
        <f ca="1">IFERROR(__xludf.DUMMYFUNCTION("GOOGLEFINANCE(""BOM:""&amp;A73,""MARKETCAP"")/10000000"),38.8523395)</f>
        <v>38.852339499999999</v>
      </c>
      <c r="G73" s="95">
        <f t="shared" ca="1" si="0"/>
        <v>8.6716268507522213E-4</v>
      </c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</row>
    <row r="74" spans="1:25" ht="14.4">
      <c r="A74" s="99">
        <v>530309</v>
      </c>
      <c r="B74" s="98" t="s">
        <v>3107</v>
      </c>
      <c r="C74" s="101"/>
      <c r="D74" s="101"/>
      <c r="E74" s="101">
        <f ca="1">IFERROR(__xludf.DUMMYFUNCTION("GOOGLEFINANCE(""BOM:""&amp;A74,""PRICE"")"),14.6)</f>
        <v>14.6</v>
      </c>
      <c r="F74" s="112">
        <f ca="1">IFERROR(__xludf.DUMMYFUNCTION("GOOGLEFINANCE(""BOM:""&amp;A74,""MARKETCAP"")/10000000"),40.4930864)</f>
        <v>40.493086400000003</v>
      </c>
      <c r="G74" s="95">
        <f t="shared" ca="1" si="0"/>
        <v>9.0378324655602691E-4</v>
      </c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</row>
    <row r="75" spans="1:25" ht="14.4">
      <c r="A75" s="99">
        <v>540361</v>
      </c>
      <c r="B75" s="98" t="s">
        <v>3108</v>
      </c>
      <c r="C75" s="101"/>
      <c r="D75" s="101"/>
      <c r="E75" s="101">
        <f ca="1">IFERROR(__xludf.DUMMYFUNCTION("GOOGLEFINANCE(""BOM:""&amp;A75,""PRICE"")"),4.28)</f>
        <v>4.28</v>
      </c>
      <c r="F75" s="112">
        <f ca="1">IFERROR(__xludf.DUMMYFUNCTION("GOOGLEFINANCE(""BOM:""&amp;A75,""MARKETCAP"")/10000000"),38.9437219)</f>
        <v>38.9437219</v>
      </c>
      <c r="G75" s="95">
        <f t="shared" ca="1" si="0"/>
        <v>8.6920228959768905E-4</v>
      </c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</row>
    <row r="76" spans="1:25" ht="14.4">
      <c r="A76" s="99">
        <v>539561</v>
      </c>
      <c r="B76" s="98" t="s">
        <v>3109</v>
      </c>
      <c r="C76" s="101"/>
      <c r="D76" s="101"/>
      <c r="E76" s="101">
        <f ca="1">IFERROR(__xludf.DUMMYFUNCTION("GOOGLEFINANCE(""BOM:""&amp;A76,""PRICE"")"),0.35)</f>
        <v>0.35</v>
      </c>
      <c r="F76" s="112">
        <f ca="1">IFERROR(__xludf.DUMMYFUNCTION("GOOGLEFINANCE(""BOM:""&amp;A76,""MARKETCAP"")/10000000"),31.75164)</f>
        <v>31.751639999999998</v>
      </c>
      <c r="G76" s="95">
        <f t="shared" ca="1" si="0"/>
        <v>7.0867900755221768E-4</v>
      </c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</row>
    <row r="77" spans="1:25" ht="14.4">
      <c r="A77" s="99">
        <v>540190</v>
      </c>
      <c r="B77" s="98" t="s">
        <v>3110</v>
      </c>
      <c r="C77" s="101"/>
      <c r="D77" s="101"/>
      <c r="E77" s="101">
        <f ca="1">IFERROR(__xludf.DUMMYFUNCTION("GOOGLEFINANCE(""BOM:""&amp;A77,""PRICE"")"),0.38)</f>
        <v>0.38</v>
      </c>
      <c r="F77" s="112">
        <f ca="1">IFERROR(__xludf.DUMMYFUNCTION("GOOGLEFINANCE(""BOM:""&amp;A77,""MARKETCAP"")/10000000"),29.3055996)</f>
        <v>29.305599600000001</v>
      </c>
      <c r="G77" s="95">
        <f t="shared" ca="1" si="0"/>
        <v>6.5408474145747016E-4</v>
      </c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ht="14.4">
      <c r="A78" s="99">
        <v>514223</v>
      </c>
      <c r="B78" s="98" t="s">
        <v>3111</v>
      </c>
      <c r="C78" s="101"/>
      <c r="D78" s="101"/>
      <c r="E78" s="101">
        <f ca="1">IFERROR(__xludf.DUMMYFUNCTION("GOOGLEFINANCE(""BOM:""&amp;A78,""PRICE"")"),20)</f>
        <v>20</v>
      </c>
      <c r="F78" s="112">
        <f ca="1">IFERROR(__xludf.DUMMYFUNCTION("GOOGLEFINANCE(""BOM:""&amp;A78,""MARKETCAP"")/10000000"),29)</f>
        <v>29</v>
      </c>
      <c r="G78" s="95">
        <f t="shared" ca="1" si="0"/>
        <v>6.472639277534739E-4</v>
      </c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ht="14.4">
      <c r="A79" s="99">
        <v>543319</v>
      </c>
      <c r="B79" s="98" t="s">
        <v>3112</v>
      </c>
      <c r="C79" s="101"/>
      <c r="D79" s="101"/>
      <c r="E79" s="101">
        <f ca="1">IFERROR(__xludf.DUMMYFUNCTION("GOOGLEFINANCE(""BOM:""&amp;A79,""PRICE"")"),1.19)</f>
        <v>1.19</v>
      </c>
      <c r="F79" s="112">
        <f ca="1">IFERROR(__xludf.DUMMYFUNCTION("GOOGLEFINANCE(""BOM:""&amp;A79,""MARKETCAP"")/10000000"),28.94651)</f>
        <v>28.94651</v>
      </c>
      <c r="G79" s="95">
        <f t="shared" ca="1" si="0"/>
        <v>6.4607006059845551E-4</v>
      </c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</row>
    <row r="80" spans="1:25" ht="14.4">
      <c r="A80" s="99">
        <v>531744</v>
      </c>
      <c r="B80" s="98" t="s">
        <v>3113</v>
      </c>
      <c r="C80" s="101"/>
      <c r="D80" s="101"/>
      <c r="E80" s="101">
        <f ca="1">IFERROR(__xludf.DUMMYFUNCTION("GOOGLEFINANCE(""BOM:""&amp;A80,""PRICE"")"),53.99)</f>
        <v>53.99</v>
      </c>
      <c r="F80" s="112">
        <f ca="1">IFERROR(__xludf.DUMMYFUNCTION("GOOGLEFINANCE(""BOM:""&amp;A80,""MARKETCAP"")/10000000"),30.1944483)</f>
        <v>30.194448300000001</v>
      </c>
      <c r="G80" s="95">
        <f t="shared" ca="1" si="0"/>
        <v>6.7392335182783465E-4</v>
      </c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5" ht="14.4">
      <c r="A81" s="99">
        <v>544270</v>
      </c>
      <c r="B81" s="98" t="s">
        <v>3114</v>
      </c>
      <c r="C81" s="101"/>
      <c r="D81" s="101"/>
      <c r="E81" s="101">
        <f ca="1">IFERROR(__xludf.DUMMYFUNCTION("GOOGLEFINANCE(""BOM:""&amp;A81,""PRICE"")"),39.7)</f>
        <v>39.700000000000003</v>
      </c>
      <c r="F81" s="112">
        <f ca="1">IFERROR(__xludf.DUMMYFUNCTION("GOOGLEFINANCE(""BOM:""&amp;A81,""MARKETCAP"")/10000000"),27.70306)</f>
        <v>27.703060000000001</v>
      </c>
      <c r="G81" s="95">
        <f t="shared" ca="1" si="0"/>
        <v>6.1831694573759159E-4</v>
      </c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5" ht="14.4">
      <c r="A82" s="99">
        <v>512425</v>
      </c>
      <c r="B82" s="98" t="s">
        <v>3115</v>
      </c>
      <c r="C82" s="101"/>
      <c r="D82" s="101"/>
      <c r="E82" s="101">
        <f ca="1">IFERROR(__xludf.DUMMYFUNCTION("GOOGLEFINANCE(""BOM:""&amp;A82,""PRICE"")"),680)</f>
        <v>680</v>
      </c>
      <c r="F82" s="112">
        <f ca="1">IFERROR(__xludf.DUMMYFUNCTION("GOOGLEFINANCE(""BOM:""&amp;A82,""MARKETCAP"")/10000000"),26.656)</f>
        <v>26.655999999999999</v>
      </c>
      <c r="G82" s="95">
        <f t="shared" ca="1" si="0"/>
        <v>5.949471468343656E-4</v>
      </c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</row>
    <row r="83" spans="1:25" ht="14.4">
      <c r="A83" s="99">
        <v>500370</v>
      </c>
      <c r="B83" s="98" t="s">
        <v>3116</v>
      </c>
      <c r="C83" s="101"/>
      <c r="D83" s="101"/>
      <c r="E83" s="101">
        <f ca="1">IFERROR(__xludf.DUMMYFUNCTION("GOOGLEFINANCE(""BOM:""&amp;A83,""PRICE"")"),30.66)</f>
        <v>30.66</v>
      </c>
      <c r="F83" s="112">
        <f ca="1">IFERROR(__xludf.DUMMYFUNCTION("GOOGLEFINANCE(""BOM:""&amp;A83,""MARKETCAP"")/10000000"),27.0031755)</f>
        <v>27.003175500000001</v>
      </c>
      <c r="G83" s="95">
        <f t="shared" ca="1" si="0"/>
        <v>6.026959115843579E-4</v>
      </c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5" ht="14.4">
      <c r="A84" s="99">
        <v>539938</v>
      </c>
      <c r="B84" s="98" t="s">
        <v>3117</v>
      </c>
      <c r="C84" s="101"/>
      <c r="D84" s="101"/>
      <c r="E84" s="101">
        <f ca="1">IFERROR(__xludf.DUMMYFUNCTION("GOOGLEFINANCE(""BOM:""&amp;A84,""PRICE"")"),28.4)</f>
        <v>28.4</v>
      </c>
      <c r="F84" s="112">
        <f ca="1">IFERROR(__xludf.DUMMYFUNCTION("GOOGLEFINANCE(""BOM:""&amp;A84,""MARKETCAP"")/10000000"),27.24)</f>
        <v>27.24</v>
      </c>
      <c r="G84" s="95">
        <f t="shared" ca="1" si="0"/>
        <v>6.079817031725734E-4</v>
      </c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</row>
    <row r="85" spans="1:25" ht="14.4">
      <c r="A85" s="99">
        <v>531780</v>
      </c>
      <c r="B85" s="98" t="s">
        <v>3118</v>
      </c>
      <c r="C85" s="101"/>
      <c r="D85" s="101"/>
      <c r="E85" s="101">
        <f ca="1">IFERROR(__xludf.DUMMYFUNCTION("GOOGLEFINANCE(""BOM:""&amp;A85,""PRICE"")"),5.37)</f>
        <v>5.37</v>
      </c>
      <c r="F85" s="112">
        <f ca="1">IFERROR(__xludf.DUMMYFUNCTION("GOOGLEFINANCE(""BOM:""&amp;A85,""MARKETCAP"")/10000000"),28.2574871)</f>
        <v>28.257487099999999</v>
      </c>
      <c r="G85" s="95">
        <f t="shared" ca="1" si="0"/>
        <v>6.3069145133755593E-4</v>
      </c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</row>
    <row r="86" spans="1:25" ht="14.4">
      <c r="A86" s="99">
        <v>521232</v>
      </c>
      <c r="B86" s="98" t="s">
        <v>3119</v>
      </c>
      <c r="C86" s="101"/>
      <c r="D86" s="101"/>
      <c r="E86" s="101">
        <f ca="1">IFERROR(__xludf.DUMMYFUNCTION("GOOGLEFINANCE(""BOM:""&amp;A86,""PRICE"")"),65.59)</f>
        <v>65.59</v>
      </c>
      <c r="F86" s="112">
        <f ca="1">IFERROR(__xludf.DUMMYFUNCTION("GOOGLEFINANCE(""BOM:""&amp;A86,""MARKETCAP"")/10000000"),27.5478)</f>
        <v>27.547799999999999</v>
      </c>
      <c r="G86" s="95">
        <f t="shared" ca="1" si="0"/>
        <v>6.148516285850741E-4</v>
      </c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</row>
    <row r="87" spans="1:25" ht="14.4">
      <c r="A87" s="99">
        <v>531930</v>
      </c>
      <c r="B87" s="98" t="s">
        <v>3120</v>
      </c>
      <c r="C87" s="101"/>
      <c r="D87" s="101"/>
      <c r="E87" s="101">
        <f ca="1">IFERROR(__xludf.DUMMYFUNCTION("GOOGLEFINANCE(""BOM:""&amp;A87,""PRICE"")"),27.8)</f>
        <v>27.8</v>
      </c>
      <c r="F87" s="112">
        <f ca="1">IFERROR(__xludf.DUMMYFUNCTION("GOOGLEFINANCE(""BOM:""&amp;A87,""MARKETCAP"")/10000000"),25.8312032)</f>
        <v>25.831203200000001</v>
      </c>
      <c r="G87" s="95">
        <f t="shared" ca="1" si="0"/>
        <v>5.7653813937345194E-4</v>
      </c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</row>
    <row r="88" spans="1:25" ht="14.4">
      <c r="A88" s="99">
        <v>524675</v>
      </c>
      <c r="B88" s="98" t="s">
        <v>3121</v>
      </c>
      <c r="C88" s="101"/>
      <c r="D88" s="101"/>
      <c r="E88" s="101">
        <f ca="1">IFERROR(__xludf.DUMMYFUNCTION("GOOGLEFINANCE(""BOM:""&amp;A88,""PRICE"")"),16.27)</f>
        <v>16.27</v>
      </c>
      <c r="F88" s="112">
        <f ca="1">IFERROR(__xludf.DUMMYFUNCTION("GOOGLEFINANCE(""BOM:""&amp;A88,""MARKETCAP"")/10000000"),28.4123017)</f>
        <v>28.4123017</v>
      </c>
      <c r="G88" s="95">
        <f t="shared" ca="1" si="0"/>
        <v>6.3414682740892093E-4</v>
      </c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</row>
    <row r="89" spans="1:25" ht="14.4">
      <c r="A89" s="99">
        <v>512301</v>
      </c>
      <c r="B89" s="98" t="s">
        <v>3122</v>
      </c>
      <c r="C89" s="101"/>
      <c r="D89" s="101"/>
      <c r="E89" s="101">
        <f ca="1">IFERROR(__xludf.DUMMYFUNCTION("GOOGLEFINANCE(""BOM:""&amp;A89,""PRICE"")"),33.63)</f>
        <v>33.630000000000003</v>
      </c>
      <c r="F89" s="112">
        <f ca="1">IFERROR(__xludf.DUMMYFUNCTION("GOOGLEFINANCE(""BOM:""&amp;A89,""MARKETCAP"")/10000000"),25.1846872)</f>
        <v>25.184687199999999</v>
      </c>
      <c r="G89" s="95">
        <f t="shared" ca="1" si="0"/>
        <v>5.6210826056257376E-4</v>
      </c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</row>
    <row r="90" spans="1:25" ht="14.4">
      <c r="A90" s="99">
        <v>519532</v>
      </c>
      <c r="B90" s="98" t="s">
        <v>3123</v>
      </c>
      <c r="C90" s="101"/>
      <c r="D90" s="101"/>
      <c r="E90" s="101">
        <f ca="1">IFERROR(__xludf.DUMMYFUNCTION("GOOGLEFINANCE(""BOM:""&amp;A90,""PRICE"")"),9.57)</f>
        <v>9.57</v>
      </c>
      <c r="F90" s="112">
        <f ca="1">IFERROR(__xludf.DUMMYFUNCTION("GOOGLEFINANCE(""BOM:""&amp;A90,""MARKETCAP"")/10000000"),23.8693018)</f>
        <v>23.869301799999999</v>
      </c>
      <c r="G90" s="95">
        <f t="shared" ca="1" si="0"/>
        <v>5.3274958744141605E-4</v>
      </c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</row>
    <row r="91" spans="1:25" ht="14.4">
      <c r="A91" s="99">
        <v>531402</v>
      </c>
      <c r="B91" s="98" t="s">
        <v>3124</v>
      </c>
      <c r="C91" s="101"/>
      <c r="D91" s="101"/>
      <c r="E91" s="101">
        <f ca="1">IFERROR(__xludf.DUMMYFUNCTION("GOOGLEFINANCE(""BOM:""&amp;A91,""PRICE"")"),15.68)</f>
        <v>15.68</v>
      </c>
      <c r="F91" s="112">
        <f ca="1">IFERROR(__xludf.DUMMYFUNCTION("GOOGLEFINANCE(""BOM:""&amp;A91,""MARKETCAP"")/10000000"),22.9427098)</f>
        <v>22.942709799999999</v>
      </c>
      <c r="G91" s="95">
        <f t="shared" ca="1" si="0"/>
        <v>5.1206856753296958E-4</v>
      </c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</row>
    <row r="92" spans="1:25" ht="14.4">
      <c r="A92" s="99">
        <v>539116</v>
      </c>
      <c r="B92" s="98" t="s">
        <v>3125</v>
      </c>
      <c r="C92" s="101"/>
      <c r="D92" s="101"/>
      <c r="E92" s="101">
        <f ca="1">IFERROR(__xludf.DUMMYFUNCTION("GOOGLEFINANCE(""BOM:""&amp;A92,""PRICE"")"),31.01)</f>
        <v>31.01</v>
      </c>
      <c r="F92" s="112">
        <f ca="1">IFERROR(__xludf.DUMMYFUNCTION("GOOGLEFINANCE(""BOM:""&amp;A92,""MARKETCAP"")/10000000"),22.3583995)</f>
        <v>22.358399500000001</v>
      </c>
      <c r="G92" s="95">
        <f t="shared" ca="1" si="0"/>
        <v>4.9902708547073474E-4</v>
      </c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</row>
    <row r="93" spans="1:25" ht="14.4">
      <c r="A93" s="99">
        <v>542627</v>
      </c>
      <c r="B93" s="98" t="s">
        <v>3126</v>
      </c>
      <c r="C93" s="101"/>
      <c r="D93" s="101"/>
      <c r="E93" s="101">
        <f ca="1">IFERROR(__xludf.DUMMYFUNCTION("GOOGLEFINANCE(""BOM:""&amp;A93,""PRICE"")"),70.65)</f>
        <v>70.650000000000006</v>
      </c>
      <c r="F93" s="112">
        <f ca="1">IFERROR(__xludf.DUMMYFUNCTION("GOOGLEFINANCE(""BOM:""&amp;A93,""MARKETCAP"")/10000000"),22.8018146)</f>
        <v>22.8018146</v>
      </c>
      <c r="G93" s="95">
        <f t="shared" ca="1" si="0"/>
        <v>5.0892386475525893E-4</v>
      </c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</row>
    <row r="94" spans="1:25" ht="14.4">
      <c r="A94" s="99">
        <v>501314</v>
      </c>
      <c r="B94" s="98" t="s">
        <v>3127</v>
      </c>
      <c r="C94" s="101"/>
      <c r="D94" s="101"/>
      <c r="E94" s="101">
        <f ca="1">IFERROR(__xludf.DUMMYFUNCTION("GOOGLEFINANCE(""BOM:""&amp;A94,""PRICE"")"),0.58)</f>
        <v>0.57999999999999996</v>
      </c>
      <c r="F94" s="112">
        <f ca="1">IFERROR(__xludf.DUMMYFUNCTION("GOOGLEFINANCE(""BOM:""&amp;A94,""MARKETCAP"")/10000000"),25.46776)</f>
        <v>25.467759999999998</v>
      </c>
      <c r="G94" s="95">
        <f t="shared" ca="1" si="0"/>
        <v>5.6842628857526939E-4</v>
      </c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</row>
    <row r="95" spans="1:25" ht="14.4">
      <c r="A95" s="99">
        <v>533602</v>
      </c>
      <c r="B95" s="98" t="s">
        <v>3128</v>
      </c>
      <c r="C95" s="101"/>
      <c r="D95" s="101"/>
      <c r="E95" s="101">
        <f ca="1">IFERROR(__xludf.DUMMYFUNCTION("GOOGLEFINANCE(""BOM:""&amp;A95,""PRICE"")"),0.78)</f>
        <v>0.78</v>
      </c>
      <c r="F95" s="112">
        <f ca="1">IFERROR(__xludf.DUMMYFUNCTION("GOOGLEFINANCE(""BOM:""&amp;A95,""MARKETCAP"")/10000000"),22.1922861)</f>
        <v>22.1922861</v>
      </c>
      <c r="G95" s="95">
        <f t="shared" ca="1" si="0"/>
        <v>4.9531952644533874E-4</v>
      </c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</row>
    <row r="96" spans="1:25" ht="14.4">
      <c r="A96" s="99">
        <v>522289</v>
      </c>
      <c r="B96" s="98" t="s">
        <v>3129</v>
      </c>
      <c r="C96" s="101"/>
      <c r="D96" s="101"/>
      <c r="E96" s="101">
        <f ca="1">IFERROR(__xludf.DUMMYFUNCTION("GOOGLEFINANCE(""BOM:""&amp;A96,""PRICE"")"),70)</f>
        <v>70</v>
      </c>
      <c r="F96" s="112">
        <f ca="1">IFERROR(__xludf.DUMMYFUNCTION("GOOGLEFINANCE(""BOM:""&amp;A96,""MARKETCAP"")/10000000"),20.58235)</f>
        <v>20.582350000000002</v>
      </c>
      <c r="G96" s="95">
        <f t="shared" ca="1" si="0"/>
        <v>4.5938664494471433E-4</v>
      </c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</row>
    <row r="97" spans="1:25" ht="14.4">
      <c r="A97" s="99">
        <v>544372</v>
      </c>
      <c r="B97" s="98" t="s">
        <v>3130</v>
      </c>
      <c r="C97" s="101"/>
      <c r="D97" s="101"/>
      <c r="E97" s="101">
        <f ca="1">IFERROR(__xludf.DUMMYFUNCTION("GOOGLEFINANCE(""BOM:""&amp;A97,""PRICE"")"),11.5)</f>
        <v>11.5</v>
      </c>
      <c r="F97" s="112">
        <f ca="1">IFERROR(__xludf.DUMMYFUNCTION("GOOGLEFINANCE(""BOM:""&amp;A97,""MARKETCAP"")/10000000"),22.60233)</f>
        <v>22.602329999999998</v>
      </c>
      <c r="G97" s="95">
        <f t="shared" ca="1" si="0"/>
        <v>5.0447147904069572E-4</v>
      </c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</row>
    <row r="98" spans="1:25" ht="14.4">
      <c r="A98" s="99">
        <v>512624</v>
      </c>
      <c r="B98" s="98" t="s">
        <v>3131</v>
      </c>
      <c r="C98" s="101"/>
      <c r="D98" s="101"/>
      <c r="E98" s="101">
        <f ca="1">IFERROR(__xludf.DUMMYFUNCTION("GOOGLEFINANCE(""BOM:""&amp;A98,""PRICE"")"),5.72)</f>
        <v>5.72</v>
      </c>
      <c r="F98" s="112">
        <f ca="1">IFERROR(__xludf.DUMMYFUNCTION("GOOGLEFINANCE(""BOM:""&amp;A98,""MARKETCAP"")/10000000"),19.1370314)</f>
        <v>19.137031400000001</v>
      </c>
      <c r="G98" s="95">
        <f t="shared" ca="1" si="0"/>
        <v>4.2712793481053667E-4</v>
      </c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</row>
    <row r="99" spans="1:25" ht="14.4">
      <c r="A99" s="99">
        <v>539900</v>
      </c>
      <c r="B99" s="98" t="s">
        <v>3132</v>
      </c>
      <c r="C99" s="101"/>
      <c r="D99" s="101"/>
      <c r="E99" s="101">
        <f ca="1">IFERROR(__xludf.DUMMYFUNCTION("GOOGLEFINANCE(""BOM:""&amp;A99,""PRICE"")"),9.21)</f>
        <v>9.2100000000000009</v>
      </c>
      <c r="F99" s="112">
        <f ca="1">IFERROR(__xludf.DUMMYFUNCTION("GOOGLEFINANCE(""BOM:""&amp;A99,""MARKETCAP"")/10000000"),18.6479475)</f>
        <v>18.647947500000001</v>
      </c>
      <c r="G99" s="95">
        <f t="shared" ca="1" si="0"/>
        <v>4.1621185322036468E-4</v>
      </c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</row>
    <row r="100" spans="1:25" ht="14.4">
      <c r="A100" s="99">
        <v>505523</v>
      </c>
      <c r="B100" s="98" t="s">
        <v>3133</v>
      </c>
      <c r="C100" s="101"/>
      <c r="D100" s="101"/>
      <c r="E100" s="101">
        <f ca="1">IFERROR(__xludf.DUMMYFUNCTION("GOOGLEFINANCE(""BOM:""&amp;A100,""PRICE"")"),0.31)</f>
        <v>0.31</v>
      </c>
      <c r="F100" s="112">
        <f ca="1">IFERROR(__xludf.DUMMYFUNCTION("GOOGLEFINANCE(""BOM:""&amp;A100,""MARKETCAP"")/10000000"),19.2469887)</f>
        <v>19.246988699999999</v>
      </c>
      <c r="G100" s="95">
        <f t="shared" ca="1" si="0"/>
        <v>4.2958212080650789E-4</v>
      </c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</row>
    <row r="101" spans="1:25" ht="14.4">
      <c r="A101" s="99">
        <v>539409</v>
      </c>
      <c r="B101" s="98" t="s">
        <v>3134</v>
      </c>
      <c r="C101" s="101"/>
      <c r="D101" s="101"/>
      <c r="E101" s="101">
        <f ca="1">IFERROR(__xludf.DUMMYFUNCTION("GOOGLEFINANCE(""BOM:""&amp;A101,""PRICE"")"),15.75)</f>
        <v>15.75</v>
      </c>
      <c r="F101" s="112">
        <f ca="1">IFERROR(__xludf.DUMMYFUNCTION("GOOGLEFINANCE(""BOM:""&amp;A101,""MARKETCAP"")/10000000"),17.325)</f>
        <v>17.324999999999999</v>
      </c>
      <c r="G101" s="95">
        <f t="shared" ca="1" si="0"/>
        <v>3.8668439821823919E-4</v>
      </c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</row>
    <row r="102" spans="1:25" ht="14.4">
      <c r="A102" s="99">
        <v>517360</v>
      </c>
      <c r="B102" s="98" t="s">
        <v>3135</v>
      </c>
      <c r="C102" s="101"/>
      <c r="D102" s="101"/>
      <c r="E102" s="101">
        <f ca="1">IFERROR(__xludf.DUMMYFUNCTION("GOOGLEFINANCE(""BOM:""&amp;A102,""PRICE"")"),18.6)</f>
        <v>18.600000000000001</v>
      </c>
      <c r="F102" s="112">
        <f ca="1">IFERROR(__xludf.DUMMYFUNCTION("GOOGLEFINANCE(""BOM:""&amp;A102,""MARKETCAP"")/10000000"),18.6000003)</f>
        <v>18.600000300000001</v>
      </c>
      <c r="G102" s="95">
        <f t="shared" ca="1" si="0"/>
        <v>4.1514169828944119E-4</v>
      </c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</row>
    <row r="103" spans="1:25" ht="14.4">
      <c r="A103" s="99">
        <v>539526</v>
      </c>
      <c r="B103" s="98" t="s">
        <v>3136</v>
      </c>
      <c r="C103" s="101"/>
      <c r="D103" s="101"/>
      <c r="E103" s="101">
        <f ca="1">IFERROR(__xludf.DUMMYFUNCTION("GOOGLEFINANCE(""BOM:""&amp;A103,""PRICE"")"),0.57)</f>
        <v>0.56999999999999995</v>
      </c>
      <c r="F103" s="112">
        <f ca="1">IFERROR(__xludf.DUMMYFUNCTION("GOOGLEFINANCE(""BOM:""&amp;A103,""MARKETCAP"")/10000000"),14.5349998)</f>
        <v>14.5349998</v>
      </c>
      <c r="G103" s="95">
        <f t="shared" ca="1" si="0"/>
        <v>3.2441314001530888E-4</v>
      </c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</row>
    <row r="104" spans="1:25" ht="14.4">
      <c r="A104" s="99">
        <v>541444</v>
      </c>
      <c r="B104" s="98" t="s">
        <v>3137</v>
      </c>
      <c r="C104" s="101"/>
      <c r="D104" s="101"/>
      <c r="E104" s="101">
        <f ca="1">IFERROR(__xludf.DUMMYFUNCTION("GOOGLEFINANCE(""BOM:""&amp;A104,""PRICE"")"),16.75)</f>
        <v>16.75</v>
      </c>
      <c r="F104" s="112">
        <f ca="1">IFERROR(__xludf.DUMMYFUNCTION("GOOGLEFINANCE(""BOM:""&amp;A104,""MARKETCAP"")/10000000"),16.8185912)</f>
        <v>16.8185912</v>
      </c>
      <c r="G104" s="95">
        <f t="shared" ca="1" si="0"/>
        <v>3.7538163446179353E-4</v>
      </c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</row>
    <row r="105" spans="1:25" ht="14.4">
      <c r="A105" s="99">
        <v>519483</v>
      </c>
      <c r="B105" s="98" t="s">
        <v>3138</v>
      </c>
      <c r="C105" s="101"/>
      <c r="D105" s="101"/>
      <c r="E105" s="101">
        <f ca="1">IFERROR(__xludf.DUMMYFUNCTION("GOOGLEFINANCE(""BOM:""&amp;A105,""PRICE"")"),23.84)</f>
        <v>23.84</v>
      </c>
      <c r="F105" s="112">
        <f ca="1">IFERROR(__xludf.DUMMYFUNCTION("GOOGLEFINANCE(""BOM:""&amp;A105,""MARKETCAP"")/10000000"),14.304)</f>
        <v>14.304</v>
      </c>
      <c r="G105" s="95">
        <f t="shared" ca="1" si="0"/>
        <v>3.1925735250295487E-4</v>
      </c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</row>
    <row r="106" spans="1:25" ht="14.4">
      <c r="A106" s="99">
        <v>542477</v>
      </c>
      <c r="B106" s="98" t="s">
        <v>3139</v>
      </c>
      <c r="C106" s="101"/>
      <c r="D106" s="101"/>
      <c r="E106" s="101">
        <f ca="1">IFERROR(__xludf.DUMMYFUNCTION("GOOGLEFINANCE(""BOM:""&amp;A106,""PRICE"")"),14.93)</f>
        <v>14.93</v>
      </c>
      <c r="F106" s="112">
        <f ca="1">IFERROR(__xludf.DUMMYFUNCTION("GOOGLEFINANCE(""BOM:""&amp;A106,""MARKETCAP"")/10000000"),14.95687)</f>
        <v>14.95687</v>
      </c>
      <c r="G106" s="95">
        <f t="shared" ca="1" si="0"/>
        <v>3.3382904907234835E-4</v>
      </c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</row>
    <row r="107" spans="1:25" ht="14.4">
      <c r="A107" s="99">
        <v>512443</v>
      </c>
      <c r="B107" s="98" t="s">
        <v>3140</v>
      </c>
      <c r="C107" s="101"/>
      <c r="D107" s="101"/>
      <c r="E107" s="101">
        <f ca="1">IFERROR(__xludf.DUMMYFUNCTION("GOOGLEFINANCE(""BOM:""&amp;A107,""PRICE"")"),15.5)</f>
        <v>15.5</v>
      </c>
      <c r="F107" s="112">
        <f ca="1">IFERROR(__xludf.DUMMYFUNCTION("GOOGLEFINANCE(""BOM:""&amp;A107,""MARKETCAP"")/10000000"),14.46305)</f>
        <v>14.463050000000001</v>
      </c>
      <c r="G107" s="95">
        <f t="shared" ca="1" si="0"/>
        <v>3.2280726035499591E-4</v>
      </c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</row>
    <row r="108" spans="1:25" ht="14.4">
      <c r="A108" s="99">
        <v>511601</v>
      </c>
      <c r="B108" s="98" t="s">
        <v>3141</v>
      </c>
      <c r="C108" s="101"/>
      <c r="D108" s="101"/>
      <c r="E108" s="101">
        <f ca="1">IFERROR(__xludf.DUMMYFUNCTION("GOOGLEFINANCE(""BOM:""&amp;A108,""PRICE"")"),7.99)</f>
        <v>7.99</v>
      </c>
      <c r="F108" s="112">
        <f ca="1">IFERROR(__xludf.DUMMYFUNCTION("GOOGLEFINANCE(""BOM:""&amp;A108,""MARKETCAP"")/10000000"),13.5829996)</f>
        <v>13.582999600000001</v>
      </c>
      <c r="G108" s="95">
        <f t="shared" ca="1" si="0"/>
        <v>3.0316502316447814E-4</v>
      </c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</row>
    <row r="109" spans="1:25" ht="14.4">
      <c r="A109" s="99">
        <v>538568</v>
      </c>
      <c r="B109" s="98" t="s">
        <v>3142</v>
      </c>
      <c r="C109" s="101"/>
      <c r="D109" s="101"/>
      <c r="E109" s="101">
        <f ca="1">IFERROR(__xludf.DUMMYFUNCTION("GOOGLEFINANCE(""BOM:""&amp;A109,""PRICE"")"),37.38)</f>
        <v>37.380000000000003</v>
      </c>
      <c r="F109" s="112">
        <f ca="1">IFERROR(__xludf.DUMMYFUNCTION("GOOGLEFINANCE(""BOM:""&amp;A109,""MARKETCAP"")/10000000"),14.9520004)</f>
        <v>14.952000399999999</v>
      </c>
      <c r="G109" s="95">
        <f t="shared" ca="1" si="0"/>
        <v>3.3372036229915565E-4</v>
      </c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</row>
    <row r="110" spans="1:25" ht="14.4">
      <c r="A110" s="99">
        <v>530993</v>
      </c>
      <c r="B110" s="98" t="s">
        <v>3143</v>
      </c>
      <c r="C110" s="101"/>
      <c r="D110" s="101"/>
      <c r="E110" s="101">
        <f ca="1">IFERROR(__xludf.DUMMYFUNCTION("GOOGLEFINANCE(""BOM:""&amp;A110,""PRICE"")"),48.45)</f>
        <v>48.45</v>
      </c>
      <c r="F110" s="112">
        <f ca="1">IFERROR(__xludf.DUMMYFUNCTION("GOOGLEFINANCE(""BOM:""&amp;A110,""MARKETCAP"")/10000000"),14.5350002)</f>
        <v>14.535000200000001</v>
      </c>
      <c r="G110" s="95">
        <f t="shared" ca="1" si="0"/>
        <v>3.2441314894308726E-4</v>
      </c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</row>
    <row r="111" spans="1:25" ht="14.4">
      <c r="A111" s="99">
        <v>524414</v>
      </c>
      <c r="B111" s="98" t="s">
        <v>3144</v>
      </c>
      <c r="C111" s="101"/>
      <c r="D111" s="101"/>
      <c r="E111" s="101">
        <f ca="1">IFERROR(__xludf.DUMMYFUNCTION("GOOGLEFINANCE(""BOM:""&amp;A111,""PRICE"")"),12.77)</f>
        <v>12.77</v>
      </c>
      <c r="F111" s="112">
        <f ca="1">IFERROR(__xludf.DUMMYFUNCTION("GOOGLEFINANCE(""BOM:""&amp;A111,""MARKETCAP"")/10000000"),12.7708815)</f>
        <v>12.7708815</v>
      </c>
      <c r="G111" s="95">
        <f t="shared" ca="1" si="0"/>
        <v>2.8503899726083369E-4</v>
      </c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ht="14.4">
      <c r="A112" s="99">
        <v>538579</v>
      </c>
      <c r="B112" s="98" t="s">
        <v>3145</v>
      </c>
      <c r="C112" s="101"/>
      <c r="D112" s="101"/>
      <c r="E112" s="101">
        <f ca="1">IFERROR(__xludf.DUMMYFUNCTION("GOOGLEFINANCE(""BOM:""&amp;A112,""PRICE"")"),17.32)</f>
        <v>17.32</v>
      </c>
      <c r="F112" s="112">
        <f ca="1">IFERROR(__xludf.DUMMYFUNCTION("GOOGLEFINANCE(""BOM:""&amp;A112,""MARKETCAP"")/10000000"),12.32231)</f>
        <v>12.32231</v>
      </c>
      <c r="G112" s="95">
        <f t="shared" ca="1" si="0"/>
        <v>2.7502712998606586E-4</v>
      </c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</row>
    <row r="113" spans="1:25" ht="14.4">
      <c r="A113" s="99">
        <v>523782</v>
      </c>
      <c r="B113" s="98" t="s">
        <v>3146</v>
      </c>
      <c r="C113" s="101"/>
      <c r="D113" s="101"/>
      <c r="E113" s="101">
        <f ca="1">IFERROR(__xludf.DUMMYFUNCTION("GOOGLEFINANCE(""BOM:""&amp;A113,""PRICE"")"),14.8)</f>
        <v>14.8</v>
      </c>
      <c r="F113" s="112">
        <f ca="1">IFERROR(__xludf.DUMMYFUNCTION("GOOGLEFINANCE(""BOM:""&amp;A113,""MARKETCAP"")/10000000"),13.0240001)</f>
        <v>13.0240001</v>
      </c>
      <c r="G113" s="95">
        <f t="shared" ca="1" si="0"/>
        <v>2.9068846413060818E-4</v>
      </c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</row>
    <row r="114" spans="1:25" ht="14.4">
      <c r="A114" s="99">
        <v>539584</v>
      </c>
      <c r="B114" s="98" t="s">
        <v>3147</v>
      </c>
      <c r="C114" s="101"/>
      <c r="D114" s="101"/>
      <c r="E114" s="101">
        <f ca="1">IFERROR(__xludf.DUMMYFUNCTION("GOOGLEFINANCE(""BOM:""&amp;A114,""PRICE"")"),0.2)</f>
        <v>0.2</v>
      </c>
      <c r="F114" s="112">
        <f ca="1">IFERROR(__xludf.DUMMYFUNCTION("GOOGLEFINANCE(""BOM:""&amp;A114,""MARKETCAP"")/10000000"),11.8806661)</f>
        <v>11.880666099999999</v>
      </c>
      <c r="G114" s="95">
        <f t="shared" ca="1" si="0"/>
        <v>2.6516988290391539E-4</v>
      </c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</row>
    <row r="115" spans="1:25" ht="14.4">
      <c r="A115" s="99">
        <v>531178</v>
      </c>
      <c r="B115" s="98" t="s">
        <v>3148</v>
      </c>
      <c r="C115" s="101"/>
      <c r="D115" s="101"/>
      <c r="E115" s="101">
        <f ca="1">IFERROR(__xludf.DUMMYFUNCTION("GOOGLEFINANCE(""BOM:""&amp;A115,""PRICE"")"),11.82)</f>
        <v>11.82</v>
      </c>
      <c r="F115" s="112">
        <f ca="1">IFERROR(__xludf.DUMMYFUNCTION("GOOGLEFINANCE(""BOM:""&amp;A115,""MARKETCAP"")/10000000"),15.6023995)</f>
        <v>15.602399500000001</v>
      </c>
      <c r="G115" s="95">
        <f t="shared" ca="1" si="0"/>
        <v>3.4823690974995997E-4</v>
      </c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</row>
    <row r="116" spans="1:25" ht="14.4">
      <c r="A116" s="99">
        <v>501477</v>
      </c>
      <c r="B116" s="98" t="s">
        <v>3149</v>
      </c>
      <c r="C116" s="101"/>
      <c r="D116" s="101"/>
      <c r="E116" s="101">
        <f ca="1">IFERROR(__xludf.DUMMYFUNCTION("GOOGLEFINANCE(""BOM:""&amp;A116,""PRICE"")"),218)</f>
        <v>218</v>
      </c>
      <c r="F116" s="112">
        <f ca="1">IFERROR(__xludf.DUMMYFUNCTION("GOOGLEFINANCE(""BOM:""&amp;A116,""MARKETCAP"")/10000000"),13.625)</f>
        <v>13.625</v>
      </c>
      <c r="G116" s="95">
        <f t="shared" ca="1" si="0"/>
        <v>3.0410244881520977E-4</v>
      </c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</row>
    <row r="117" spans="1:25" ht="14.4">
      <c r="A117" s="99">
        <v>519230</v>
      </c>
      <c r="B117" s="98" t="s">
        <v>3150</v>
      </c>
      <c r="C117" s="101"/>
      <c r="D117" s="101"/>
      <c r="E117" s="101">
        <f ca="1">IFERROR(__xludf.DUMMYFUNCTION("GOOGLEFINANCE(""BOM:""&amp;A117,""PRICE"")"),14.52)</f>
        <v>14.52</v>
      </c>
      <c r="F117" s="112">
        <f ca="1">IFERROR(__xludf.DUMMYFUNCTION("GOOGLEFINANCE(""BOM:""&amp;A117,""MARKETCAP"")/10000000"),12.7776004)</f>
        <v>12.777600400000001</v>
      </c>
      <c r="G117" s="95">
        <f t="shared" ca="1" si="0"/>
        <v>2.8518895938511586E-4</v>
      </c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</row>
    <row r="118" spans="1:25" ht="14.4">
      <c r="A118" s="99">
        <v>530445</v>
      </c>
      <c r="B118" s="98" t="s">
        <v>3151</v>
      </c>
      <c r="C118" s="101"/>
      <c r="D118" s="101"/>
      <c r="E118" s="101">
        <f ca="1">IFERROR(__xludf.DUMMYFUNCTION("GOOGLEFINANCE(""BOM:""&amp;A118,""PRICE"")"),1.52)</f>
        <v>1.52</v>
      </c>
      <c r="F118" s="112">
        <f ca="1">IFERROR(__xludf.DUMMYFUNCTION("GOOGLEFINANCE(""BOM:""&amp;A118,""MARKETCAP"")/10000000"),10.9439998)</f>
        <v>10.9439998</v>
      </c>
      <c r="G118" s="95">
        <f t="shared" ca="1" si="0"/>
        <v>2.4426401020280117E-4</v>
      </c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</row>
    <row r="119" spans="1:25" ht="14.4">
      <c r="A119" s="99">
        <v>539097</v>
      </c>
      <c r="B119" s="98" t="s">
        <v>3152</v>
      </c>
      <c r="C119" s="101"/>
      <c r="D119" s="101"/>
      <c r="E119" s="101">
        <f ca="1">IFERROR(__xludf.DUMMYFUNCTION("GOOGLEFINANCE(""BOM:""&amp;A119,""PRICE"")"),2.33)</f>
        <v>2.33</v>
      </c>
      <c r="F119" s="112">
        <f ca="1">IFERROR(__xludf.DUMMYFUNCTION("GOOGLEFINANCE(""BOM:""&amp;A119,""MARKETCAP"")/10000000"),12.2324995)</f>
        <v>12.232499499999999</v>
      </c>
      <c r="G119" s="95">
        <f t="shared" ca="1" si="0"/>
        <v>2.7302260940042779E-4</v>
      </c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</row>
    <row r="120" spans="1:25" ht="14.4">
      <c r="A120" s="99">
        <v>540696</v>
      </c>
      <c r="B120" s="98" t="s">
        <v>3153</v>
      </c>
      <c r="C120" s="101"/>
      <c r="D120" s="101"/>
      <c r="E120" s="101">
        <f ca="1">IFERROR(__xludf.DUMMYFUNCTION("GOOGLEFINANCE(""BOM:""&amp;A120,""PRICE"")"),4.95)</f>
        <v>4.95</v>
      </c>
      <c r="F120" s="112">
        <f ca="1">IFERROR(__xludf.DUMMYFUNCTION("GOOGLEFINANCE(""BOM:""&amp;A120,""MARKETCAP"")/10000000"),12.5178367)</f>
        <v>12.5178367</v>
      </c>
      <c r="G120" s="95">
        <f t="shared" ca="1" si="0"/>
        <v>2.793911775661581E-4</v>
      </c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</row>
    <row r="121" spans="1:25" ht="14.4">
      <c r="A121" s="99">
        <v>526675</v>
      </c>
      <c r="B121" s="98" t="s">
        <v>3154</v>
      </c>
      <c r="C121" s="101"/>
      <c r="D121" s="101"/>
      <c r="E121" s="101">
        <f ca="1">IFERROR(__xludf.DUMMYFUNCTION("GOOGLEFINANCE(""BOM:""&amp;A121,""PRICE"")"),25.5)</f>
        <v>25.5</v>
      </c>
      <c r="F121" s="112">
        <f ca="1">IFERROR(__xludf.DUMMYFUNCTION("GOOGLEFINANCE(""BOM:""&amp;A121,""MARKETCAP"")/10000000"),11.349234)</f>
        <v>11.349233999999999</v>
      </c>
      <c r="G121" s="95">
        <f t="shared" ca="1" si="0"/>
        <v>2.533086129597679E-4</v>
      </c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</row>
    <row r="122" spans="1:25" ht="14.4">
      <c r="A122" s="99">
        <v>517077</v>
      </c>
      <c r="B122" s="98" t="s">
        <v>3155</v>
      </c>
      <c r="C122" s="101"/>
      <c r="D122" s="101"/>
      <c r="E122" s="101">
        <f ca="1">IFERROR(__xludf.DUMMYFUNCTION("GOOGLEFINANCE(""BOM:""&amp;A122,""PRICE"")"),39.49)</f>
        <v>39.49</v>
      </c>
      <c r="F122" s="112">
        <f ca="1">IFERROR(__xludf.DUMMYFUNCTION("GOOGLEFINANCE(""BOM:""&amp;A122,""MARKETCAP"")/10000000"),12.07196)</f>
        <v>12.071960000000001</v>
      </c>
      <c r="G122" s="95">
        <f t="shared" ca="1" si="0"/>
        <v>2.6943945673389062E-4</v>
      </c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</row>
    <row r="123" spans="1:25" ht="14.4">
      <c r="A123" s="99">
        <v>540243</v>
      </c>
      <c r="B123" s="98" t="s">
        <v>3156</v>
      </c>
      <c r="C123" s="101"/>
      <c r="D123" s="101"/>
      <c r="E123" s="101">
        <f ca="1">IFERROR(__xludf.DUMMYFUNCTION("GOOGLEFINANCE(""BOM:""&amp;A123,""PRICE"")"),1.22)</f>
        <v>1.22</v>
      </c>
      <c r="F123" s="112">
        <f ca="1">IFERROR(__xludf.DUMMYFUNCTION("GOOGLEFINANCE(""BOM:""&amp;A123,""MARKETCAP"")/10000000"),10.6872185)</f>
        <v>10.6872185</v>
      </c>
      <c r="G123" s="95">
        <f t="shared" ca="1" si="0"/>
        <v>2.3853279389895139E-4</v>
      </c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</row>
    <row r="124" spans="1:25" ht="14.4">
      <c r="A124" s="99">
        <v>540132</v>
      </c>
      <c r="B124" s="98" t="s">
        <v>3157</v>
      </c>
      <c r="C124" s="101"/>
      <c r="D124" s="101"/>
      <c r="E124" s="101">
        <f ca="1">IFERROR(__xludf.DUMMYFUNCTION("GOOGLEFINANCE(""BOM:""&amp;A124,""PRICE"")"),13.37)</f>
        <v>13.37</v>
      </c>
      <c r="F124" s="112">
        <f ca="1">IFERROR(__xludf.DUMMYFUNCTION("GOOGLEFINANCE(""BOM:""&amp;A124,""MARKETCAP"")/10000000"),11.651281)</f>
        <v>11.651281000000001</v>
      </c>
      <c r="G124" s="95">
        <f t="shared" ca="1" si="0"/>
        <v>2.6005013460066981E-4</v>
      </c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</row>
    <row r="125" spans="1:25" ht="14.4">
      <c r="A125" s="99">
        <v>517411</v>
      </c>
      <c r="B125" s="98" t="s">
        <v>3158</v>
      </c>
      <c r="C125" s="101"/>
      <c r="D125" s="101"/>
      <c r="E125" s="101">
        <f ca="1">IFERROR(__xludf.DUMMYFUNCTION("GOOGLEFINANCE(""BOM:""&amp;A125,""PRICE"")"),9.35)</f>
        <v>9.35</v>
      </c>
      <c r="F125" s="112">
        <f ca="1">IFERROR(__xludf.DUMMYFUNCTION("GOOGLEFINANCE(""BOM:""&amp;A125,""MARKETCAP"")/10000000"),10.5599898)</f>
        <v>10.5599898</v>
      </c>
      <c r="G125" s="95">
        <f t="shared" ca="1" si="0"/>
        <v>2.3569311982705592E-4</v>
      </c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</row>
    <row r="126" spans="1:25" ht="14.4">
      <c r="A126" s="99">
        <v>538895</v>
      </c>
      <c r="B126" s="98" t="s">
        <v>3159</v>
      </c>
      <c r="C126" s="101"/>
      <c r="D126" s="101"/>
      <c r="E126" s="101">
        <f ca="1">IFERROR(__xludf.DUMMYFUNCTION("GOOGLEFINANCE(""BOM:""&amp;A126,""PRICE"")"),10.1)</f>
        <v>10.1</v>
      </c>
      <c r="F126" s="112">
        <f ca="1">IFERROR(__xludf.DUMMYFUNCTION("GOOGLEFINANCE(""BOM:""&amp;A126,""MARKETCAP"")/10000000"),10.1000003)</f>
        <v>10.1000003</v>
      </c>
      <c r="G126" s="95">
        <f t="shared" ca="1" si="0"/>
        <v>2.2542640912031947E-4</v>
      </c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</row>
    <row r="127" spans="1:25" ht="14.4">
      <c r="A127" s="99">
        <v>540811</v>
      </c>
      <c r="B127" s="98" t="s">
        <v>3160</v>
      </c>
      <c r="C127" s="101"/>
      <c r="D127" s="101"/>
      <c r="E127" s="101">
        <f ca="1">IFERROR(__xludf.DUMMYFUNCTION("GOOGLEFINANCE(""BOM:""&amp;A127,""PRICE"")"),10)</f>
        <v>10</v>
      </c>
      <c r="F127" s="112">
        <f ca="1">IFERROR(__xludf.DUMMYFUNCTION("GOOGLEFINANCE(""BOM:""&amp;A127,""MARKETCAP"")/10000000"),9.6775)</f>
        <v>9.6775000000000002</v>
      </c>
      <c r="G127" s="95">
        <f t="shared" ca="1" si="0"/>
        <v>2.1599643658049117E-4</v>
      </c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</row>
    <row r="128" spans="1:25" ht="14.4">
      <c r="A128" s="99">
        <v>540221</v>
      </c>
      <c r="B128" s="98" t="s">
        <v>3161</v>
      </c>
      <c r="C128" s="101"/>
      <c r="D128" s="101"/>
      <c r="E128" s="101">
        <f ca="1">IFERROR(__xludf.DUMMYFUNCTION("GOOGLEFINANCE(""BOM:""&amp;A128,""PRICE"")"),30.89)</f>
        <v>30.89</v>
      </c>
      <c r="F128" s="112">
        <f ca="1">IFERROR(__xludf.DUMMYFUNCTION("GOOGLEFINANCE(""BOM:""&amp;A128,""MARKETCAP"")/10000000"),9.556748)</f>
        <v>9.5567480000000007</v>
      </c>
      <c r="G128" s="95">
        <f t="shared" ca="1" si="0"/>
        <v>2.1330131886310887E-4</v>
      </c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</row>
    <row r="129" spans="1:25" ht="14.4">
      <c r="A129" s="99">
        <v>531158</v>
      </c>
      <c r="B129" s="98" t="s">
        <v>3162</v>
      </c>
      <c r="C129" s="101"/>
      <c r="D129" s="101"/>
      <c r="E129" s="101">
        <f ca="1">IFERROR(__xludf.DUMMYFUNCTION("GOOGLEFINANCE(""BOM:""&amp;A129,""PRICE"")"),17.9)</f>
        <v>17.899999999999999</v>
      </c>
      <c r="F129" s="112">
        <f ca="1">IFERROR(__xludf.DUMMYFUNCTION("GOOGLEFINANCE(""BOM:""&amp;A129,""MARKETCAP"")/10000000"),9.7619437)</f>
        <v>9.7619436999999998</v>
      </c>
      <c r="G129" s="95">
        <f t="shared" ca="1" si="0"/>
        <v>2.1788117316449241E-4</v>
      </c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</row>
    <row r="130" spans="1:25" ht="14.4">
      <c r="A130" s="99">
        <v>543516</v>
      </c>
      <c r="B130" s="98" t="s">
        <v>3163</v>
      </c>
      <c r="C130" s="101"/>
      <c r="D130" s="101"/>
      <c r="E130" s="101">
        <f ca="1">IFERROR(__xludf.DUMMYFUNCTION("GOOGLEFINANCE(""BOM:""&amp;A130,""PRICE"")"),5.21)</f>
        <v>5.21</v>
      </c>
      <c r="F130" s="112">
        <f ca="1">IFERROR(__xludf.DUMMYFUNCTION("GOOGLEFINANCE(""BOM:""&amp;A130,""MARKETCAP"")/10000000"),8.869504)</f>
        <v>8.8695039999999992</v>
      </c>
      <c r="G130" s="95">
        <f t="shared" ca="1" si="0"/>
        <v>1.9796241366431543E-4</v>
      </c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</row>
    <row r="131" spans="1:25" ht="14.4">
      <c r="A131" s="99">
        <v>531465</v>
      </c>
      <c r="B131" s="98" t="s">
        <v>3164</v>
      </c>
      <c r="C131" s="101"/>
      <c r="D131" s="101"/>
      <c r="E131" s="101">
        <f ca="1">IFERROR(__xludf.DUMMYFUNCTION("GOOGLEFINANCE(""BOM:""&amp;A131,""PRICE"")"),0.49)</f>
        <v>0.49</v>
      </c>
      <c r="F131" s="112">
        <f ca="1">IFERROR(__xludf.DUMMYFUNCTION("GOOGLEFINANCE(""BOM:""&amp;A131,""MARKETCAP"")/10000000"),9.0909701)</f>
        <v>9.0909700999999998</v>
      </c>
      <c r="G131" s="95">
        <f t="shared" ca="1" si="0"/>
        <v>2.0290541427639281E-4</v>
      </c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</row>
    <row r="132" spans="1:25" ht="14.4">
      <c r="A132" s="99">
        <v>540914</v>
      </c>
      <c r="B132" s="98" t="s">
        <v>3165</v>
      </c>
      <c r="C132" s="101"/>
      <c r="D132" s="101"/>
      <c r="E132" s="101">
        <f ca="1">IFERROR(__xludf.DUMMYFUNCTION("GOOGLEFINANCE(""BOM:""&amp;A132,""PRICE"")"),1.61)</f>
        <v>1.61</v>
      </c>
      <c r="F132" s="112">
        <f ca="1">IFERROR(__xludf.DUMMYFUNCTION("GOOGLEFINANCE(""BOM:""&amp;A132,""MARKETCAP"")/10000000"),9.6502177)</f>
        <v>9.6502177000000007</v>
      </c>
      <c r="G132" s="95">
        <f t="shared" ca="1" si="0"/>
        <v>2.1538751076476194E-4</v>
      </c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</row>
    <row r="133" spans="1:25" ht="14.4">
      <c r="A133" s="99">
        <v>514400</v>
      </c>
      <c r="B133" s="98" t="s">
        <v>3166</v>
      </c>
      <c r="C133" s="101"/>
      <c r="D133" s="101"/>
      <c r="E133" s="101">
        <f ca="1">IFERROR(__xludf.DUMMYFUNCTION("GOOGLEFINANCE(""BOM:""&amp;A133,""PRICE"")"),16.2)</f>
        <v>16.2</v>
      </c>
      <c r="F133" s="112">
        <f ca="1">IFERROR(__xludf.DUMMYFUNCTION("GOOGLEFINANCE(""BOM:""&amp;A133,""MARKETCAP"")/10000000"),9.4104184)</f>
        <v>9.4104183999999993</v>
      </c>
      <c r="G133" s="95">
        <f t="shared" ca="1" si="0"/>
        <v>2.1003532328922624E-4</v>
      </c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</row>
    <row r="134" spans="1:25" ht="14.4">
      <c r="A134" s="99">
        <v>523519</v>
      </c>
      <c r="B134" s="98" t="s">
        <v>3167</v>
      </c>
      <c r="C134" s="101"/>
      <c r="D134" s="101"/>
      <c r="E134" s="101">
        <f ca="1">IFERROR(__xludf.DUMMYFUNCTION("GOOGLEFINANCE(""BOM:""&amp;A134,""PRICE"")"),5.42)</f>
        <v>5.42</v>
      </c>
      <c r="F134" s="112">
        <f ca="1">IFERROR(__xludf.DUMMYFUNCTION("GOOGLEFINANCE(""BOM:""&amp;A134,""MARKETCAP"")/10000000"),7.941756)</f>
        <v>7.9417559999999998</v>
      </c>
      <c r="G134" s="95">
        <f t="shared" ca="1" si="0"/>
        <v>1.77255592476542E-4</v>
      </c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</row>
    <row r="135" spans="1:25" ht="14.4">
      <c r="A135" s="99">
        <v>540266</v>
      </c>
      <c r="B135" s="98" t="s">
        <v>3168</v>
      </c>
      <c r="C135" s="101"/>
      <c r="D135" s="101"/>
      <c r="E135" s="101">
        <f ca="1">IFERROR(__xludf.DUMMYFUNCTION("GOOGLEFINANCE(""BOM:""&amp;A135,""PRICE"")"),16.9)</f>
        <v>16.899999999999999</v>
      </c>
      <c r="F135" s="112">
        <f ca="1">IFERROR(__xludf.DUMMYFUNCTION("GOOGLEFINANCE(""BOM:""&amp;A135,""MARKETCAP"")/10000000"),10.1433797)</f>
        <v>10.143379700000001</v>
      </c>
      <c r="G135" s="95">
        <f t="shared" ca="1" si="0"/>
        <v>2.2639461328678809E-4</v>
      </c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</row>
    <row r="136" spans="1:25" ht="14.4">
      <c r="A136" s="99">
        <v>530797</v>
      </c>
      <c r="B136" s="98" t="s">
        <v>3169</v>
      </c>
      <c r="C136" s="101"/>
      <c r="D136" s="101"/>
      <c r="E136" s="101">
        <f ca="1">IFERROR(__xludf.DUMMYFUNCTION("GOOGLEFINANCE(""BOM:""&amp;A136,""PRICE"")"),15.22)</f>
        <v>15.22</v>
      </c>
      <c r="F136" s="112">
        <f ca="1">IFERROR(__xludf.DUMMYFUNCTION("GOOGLEFINANCE(""BOM:""&amp;A136,""MARKETCAP"")/10000000"),8.374044)</f>
        <v>8.3740439999999996</v>
      </c>
      <c r="G136" s="95">
        <f t="shared" ca="1" si="0"/>
        <v>1.8690402105587628E-4</v>
      </c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</row>
    <row r="137" spans="1:25" ht="14.4">
      <c r="A137" s="99">
        <v>539014</v>
      </c>
      <c r="B137" s="98" t="s">
        <v>3170</v>
      </c>
      <c r="C137" s="101"/>
      <c r="D137" s="101"/>
      <c r="E137" s="101">
        <f ca="1">IFERROR(__xludf.DUMMYFUNCTION("GOOGLEFINANCE(""BOM:""&amp;A137,""PRICE"")"),8.01)</f>
        <v>8.01</v>
      </c>
      <c r="F137" s="112">
        <f ca="1">IFERROR(__xludf.DUMMYFUNCTION("GOOGLEFINANCE(""BOM:""&amp;A137,""MARKETCAP"")/10000000"),8.2102502)</f>
        <v>8.2102502000000008</v>
      </c>
      <c r="G137" s="95">
        <f t="shared" ca="1" si="0"/>
        <v>1.8324823421692226E-4</v>
      </c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</row>
    <row r="138" spans="1:25" ht="14.4">
      <c r="A138" s="99">
        <v>539032</v>
      </c>
      <c r="B138" s="98" t="s">
        <v>3171</v>
      </c>
      <c r="C138" s="101"/>
      <c r="D138" s="101"/>
      <c r="E138" s="101">
        <f ca="1">IFERROR(__xludf.DUMMYFUNCTION("GOOGLEFINANCE(""BOM:""&amp;A138,""PRICE"")"),9.44)</f>
        <v>9.44</v>
      </c>
      <c r="F138" s="112">
        <f ca="1">IFERROR(__xludf.DUMMYFUNCTION("GOOGLEFINANCE(""BOM:""&amp;A138,""MARKETCAP"")/10000000"),7.6655628)</f>
        <v>7.6655628</v>
      </c>
      <c r="G138" s="95">
        <f t="shared" ca="1" si="0"/>
        <v>1.7109111332306613E-4</v>
      </c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</row>
    <row r="139" spans="1:25" ht="14.4">
      <c r="A139" s="99">
        <v>524590</v>
      </c>
      <c r="B139" s="98" t="s">
        <v>3172</v>
      </c>
      <c r="C139" s="101"/>
      <c r="D139" s="101"/>
      <c r="E139" s="101">
        <f ca="1">IFERROR(__xludf.DUMMYFUNCTION("GOOGLEFINANCE(""BOM:""&amp;A139,""PRICE"")"),10.83)</f>
        <v>10.83</v>
      </c>
      <c r="F139" s="112">
        <f ca="1">IFERROR(__xludf.DUMMYFUNCTION("GOOGLEFINANCE(""BOM:""&amp;A139,""MARKETCAP"")/10000000"),7.4357696)</f>
        <v>7.4357696000000004</v>
      </c>
      <c r="G139" s="95">
        <f t="shared" ca="1" si="0"/>
        <v>1.6596225645399581E-4</v>
      </c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</row>
    <row r="140" spans="1:25" ht="14.4">
      <c r="A140" s="99">
        <v>514378</v>
      </c>
      <c r="B140" s="98" t="s">
        <v>3173</v>
      </c>
      <c r="C140" s="101"/>
      <c r="D140" s="101"/>
      <c r="E140" s="101">
        <f ca="1">IFERROR(__xludf.DUMMYFUNCTION("GOOGLEFINANCE(""BOM:""&amp;A140,""PRICE"")"),14)</f>
        <v>14</v>
      </c>
      <c r="F140" s="112">
        <f ca="1">IFERROR(__xludf.DUMMYFUNCTION("GOOGLEFINANCE(""BOM:""&amp;A140,""MARKETCAP"")/10000000"),7.0509404)</f>
        <v>7.0509404</v>
      </c>
      <c r="G140" s="95">
        <f t="shared" ca="1" si="0"/>
        <v>1.5737308198826382E-4</v>
      </c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</row>
    <row r="141" spans="1:25" ht="14.4">
      <c r="A141" s="99">
        <v>524628</v>
      </c>
      <c r="B141" s="98" t="s">
        <v>3174</v>
      </c>
      <c r="C141" s="101"/>
      <c r="D141" s="101"/>
      <c r="E141" s="101">
        <f ca="1">IFERROR(__xludf.DUMMYFUNCTION("GOOGLEFINANCE(""BOM:""&amp;A141,""PRICE"")"),15.99)</f>
        <v>15.99</v>
      </c>
      <c r="F141" s="112">
        <f ca="1">IFERROR(__xludf.DUMMYFUNCTION("GOOGLEFINANCE(""BOM:""&amp;A141,""MARKETCAP"")/10000000"),7.641621)</f>
        <v>7.6416209999999998</v>
      </c>
      <c r="G141" s="95">
        <f t="shared" ca="1" si="0"/>
        <v>1.7055674561598032E-4</v>
      </c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</row>
    <row r="142" spans="1:25" ht="14.4">
      <c r="A142" s="99">
        <v>526877</v>
      </c>
      <c r="B142" s="98" t="s">
        <v>3175</v>
      </c>
      <c r="C142" s="101"/>
      <c r="D142" s="101"/>
      <c r="E142" s="101">
        <f ca="1">IFERROR(__xludf.DUMMYFUNCTION("GOOGLEFINANCE(""BOM:""&amp;A142,""PRICE"")"),22.99)</f>
        <v>22.99</v>
      </c>
      <c r="F142" s="112">
        <f ca="1">IFERROR(__xludf.DUMMYFUNCTION("GOOGLEFINANCE(""BOM:""&amp;A142,""MARKETCAP"")/10000000"),7.60946)</f>
        <v>7.6094600000000003</v>
      </c>
      <c r="G142" s="95">
        <f t="shared" ca="1" si="0"/>
        <v>1.6983892992010173E-4</v>
      </c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</row>
    <row r="143" spans="1:25" ht="14.4">
      <c r="A143" s="99">
        <v>530251</v>
      </c>
      <c r="B143" s="98" t="s">
        <v>3176</v>
      </c>
      <c r="C143" s="101"/>
      <c r="D143" s="101"/>
      <c r="E143" s="101">
        <f ca="1">IFERROR(__xludf.DUMMYFUNCTION("GOOGLEFINANCE(""BOM:""&amp;A143,""PRICE"")"),0.47)</f>
        <v>0.47</v>
      </c>
      <c r="F143" s="112">
        <f ca="1">IFERROR(__xludf.DUMMYFUNCTION("GOOGLEFINANCE(""BOM:""&amp;A143,""MARKETCAP"")/10000000"),7.4965093)</f>
        <v>7.4965092999999996</v>
      </c>
      <c r="G143" s="95">
        <f t="shared" ca="1" si="0"/>
        <v>1.6731793289511879E-4</v>
      </c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</row>
    <row r="144" spans="1:25" ht="14.4">
      <c r="A144" s="99">
        <v>539406</v>
      </c>
      <c r="B144" s="98" t="s">
        <v>3177</v>
      </c>
      <c r="C144" s="101"/>
      <c r="D144" s="101"/>
      <c r="E144" s="101">
        <f ca="1">IFERROR(__xludf.DUMMYFUNCTION("GOOGLEFINANCE(""BOM:""&amp;A144,""PRICE"")"),65.85)</f>
        <v>65.849999999999994</v>
      </c>
      <c r="F144" s="112">
        <f ca="1">IFERROR(__xludf.DUMMYFUNCTION("GOOGLEFINANCE(""BOM:""&amp;A144,""MARKETCAP"")/10000000"),7.8394423)</f>
        <v>7.8394423</v>
      </c>
      <c r="G144" s="95">
        <f t="shared" ca="1" si="0"/>
        <v>1.7497200739636991E-4</v>
      </c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</row>
    <row r="145" spans="1:25" ht="14.4">
      <c r="A145" s="99">
        <v>538667</v>
      </c>
      <c r="B145" s="98" t="s">
        <v>3178</v>
      </c>
      <c r="C145" s="101"/>
      <c r="D145" s="101"/>
      <c r="E145" s="101">
        <f ca="1">IFERROR(__xludf.DUMMYFUNCTION("GOOGLEFINANCE(""BOM:""&amp;A145,""PRICE"")"),7.27)</f>
        <v>7.27</v>
      </c>
      <c r="F145" s="112">
        <f ca="1">IFERROR(__xludf.DUMMYFUNCTION("GOOGLEFINANCE(""BOM:""&amp;A145,""MARKETCAP"")/10000000"),7.455452)</f>
        <v>7.4554520000000002</v>
      </c>
      <c r="G145" s="95">
        <f t="shared" ca="1" si="0"/>
        <v>1.6640155671370665E-4</v>
      </c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</row>
    <row r="146" spans="1:25" ht="14.4">
      <c r="A146" s="99">
        <v>531585</v>
      </c>
      <c r="B146" s="98" t="s">
        <v>3179</v>
      </c>
      <c r="C146" s="101"/>
      <c r="D146" s="101"/>
      <c r="E146" s="101">
        <f ca="1">IFERROR(__xludf.DUMMYFUNCTION("GOOGLEFINANCE(""BOM:""&amp;A146,""PRICE"")"),7.77)</f>
        <v>7.77</v>
      </c>
      <c r="F146" s="112">
        <f ca="1">IFERROR(__xludf.DUMMYFUNCTION("GOOGLEFINANCE(""BOM:""&amp;A146,""MARKETCAP"")/10000000"),7.4065186)</f>
        <v>7.4065186000000001</v>
      </c>
      <c r="G146" s="95">
        <f t="shared" ca="1" si="0"/>
        <v>1.6530939034535038E-4</v>
      </c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</row>
    <row r="147" spans="1:25" ht="14.4">
      <c r="A147" s="99">
        <v>514060</v>
      </c>
      <c r="B147" s="98" t="s">
        <v>3180</v>
      </c>
      <c r="C147" s="101"/>
      <c r="D147" s="101"/>
      <c r="E147" s="101">
        <f ca="1">IFERROR(__xludf.DUMMYFUNCTION("GOOGLEFINANCE(""BOM:""&amp;A147,""PRICE"")"),4.36)</f>
        <v>4.3600000000000003</v>
      </c>
      <c r="F147" s="112">
        <f ca="1">IFERROR(__xludf.DUMMYFUNCTION("GOOGLEFINANCE(""BOM:""&amp;A147,""MARKETCAP"")/10000000"),7.7568)</f>
        <v>7.7568000000000001</v>
      </c>
      <c r="G147" s="95">
        <f t="shared" ca="1" si="0"/>
        <v>1.7312747706200505E-4</v>
      </c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</row>
    <row r="148" spans="1:25" ht="14.4">
      <c r="A148" s="99">
        <v>504378</v>
      </c>
      <c r="B148" s="98" t="s">
        <v>3181</v>
      </c>
      <c r="C148" s="101"/>
      <c r="D148" s="101"/>
      <c r="E148" s="101">
        <f ca="1">IFERROR(__xludf.DUMMYFUNCTION("GOOGLEFINANCE(""BOM:""&amp;A148,""PRICE"")"),2.27)</f>
        <v>2.27</v>
      </c>
      <c r="F148" s="112">
        <f ca="1">IFERROR(__xludf.DUMMYFUNCTION("GOOGLEFINANCE(""BOM:""&amp;A148,""MARKETCAP"")/10000000"),6.8099999)</f>
        <v>6.8099999000000002</v>
      </c>
      <c r="G148" s="95">
        <f t="shared" ca="1" si="0"/>
        <v>1.5199542356119879E-4</v>
      </c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</row>
    <row r="149" spans="1:25" ht="14.4">
      <c r="A149" s="99">
        <v>514460</v>
      </c>
      <c r="B149" s="98" t="s">
        <v>3182</v>
      </c>
      <c r="C149" s="101"/>
      <c r="D149" s="101"/>
      <c r="E149" s="101">
        <f ca="1">IFERROR(__xludf.DUMMYFUNCTION("GOOGLEFINANCE(""BOM:""&amp;A149,""PRICE"")"),16.87)</f>
        <v>16.87</v>
      </c>
      <c r="F149" s="112">
        <f ca="1">IFERROR(__xludf.DUMMYFUNCTION("GOOGLEFINANCE(""BOM:""&amp;A149,""MARKETCAP"")/10000000"),6.76487)</f>
        <v>6.7648700000000002</v>
      </c>
      <c r="G149" s="95">
        <f t="shared" ca="1" si="0"/>
        <v>1.5098814920488425E-4</v>
      </c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</row>
    <row r="150" spans="1:25" ht="14.4">
      <c r="A150" s="99">
        <v>539449</v>
      </c>
      <c r="B150" s="98" t="s">
        <v>3183</v>
      </c>
      <c r="C150" s="101"/>
      <c r="D150" s="101"/>
      <c r="E150" s="101">
        <f ca="1">IFERROR(__xludf.DUMMYFUNCTION("GOOGLEFINANCE(""BOM:""&amp;A150,""PRICE"")"),1.95)</f>
        <v>1.95</v>
      </c>
      <c r="F150" s="112">
        <f ca="1">IFERROR(__xludf.DUMMYFUNCTION("GOOGLEFINANCE(""BOM:""&amp;A150,""MARKETCAP"")/10000000"),6.7704001)</f>
        <v>6.7704000999999998</v>
      </c>
      <c r="G150" s="95">
        <f t="shared" ca="1" si="0"/>
        <v>1.5111157797201768E-4</v>
      </c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</row>
    <row r="151" spans="1:25" ht="14.4">
      <c r="A151" s="99">
        <v>526574</v>
      </c>
      <c r="B151" s="98" t="s">
        <v>3184</v>
      </c>
      <c r="C151" s="101"/>
      <c r="D151" s="101"/>
      <c r="E151" s="101">
        <f ca="1">IFERROR(__xludf.DUMMYFUNCTION("GOOGLEFINANCE(""BOM:""&amp;A151,""PRICE"")"),21.86)</f>
        <v>21.86</v>
      </c>
      <c r="F151" s="112">
        <f ca="1">IFERROR(__xludf.DUMMYFUNCTION("GOOGLEFINANCE(""BOM:""&amp;A151,""MARKETCAP"")/10000000"),6.5243357)</f>
        <v>6.5243357</v>
      </c>
      <c r="G151" s="95">
        <f t="shared" ca="1" si="0"/>
        <v>1.4561955693669692E-4</v>
      </c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</row>
    <row r="152" spans="1:25" ht="14.4">
      <c r="A152" s="99">
        <v>512344</v>
      </c>
      <c r="B152" s="98" t="s">
        <v>3185</v>
      </c>
      <c r="C152" s="101"/>
      <c r="D152" s="101"/>
      <c r="E152" s="101">
        <f ca="1">IFERROR(__xludf.DUMMYFUNCTION("GOOGLEFINANCE(""BOM:""&amp;A152,""PRICE"")"),4.04)</f>
        <v>4.04</v>
      </c>
      <c r="F152" s="112">
        <f ca="1">IFERROR(__xludf.DUMMYFUNCTION("GOOGLEFINANCE(""BOM:""&amp;A152,""MARKETCAP"")/10000000"),6.1221513)</f>
        <v>6.1221512999999996</v>
      </c>
      <c r="G152" s="95">
        <f t="shared" ca="1" si="0"/>
        <v>1.3664302402548401E-4</v>
      </c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</row>
    <row r="153" spans="1:25" ht="14.4">
      <c r="A153" s="99">
        <v>504369</v>
      </c>
      <c r="B153" s="98" t="s">
        <v>3186</v>
      </c>
      <c r="C153" s="101"/>
      <c r="D153" s="101"/>
      <c r="E153" s="101">
        <f ca="1">IFERROR(__xludf.DUMMYFUNCTION("GOOGLEFINANCE(""BOM:""&amp;A153,""PRICE"")"),0.49)</f>
        <v>0.49</v>
      </c>
      <c r="F153" s="112">
        <f ca="1">IFERROR(__xludf.DUMMYFUNCTION("GOOGLEFINANCE(""BOM:""&amp;A153,""MARKETCAP"")/10000000"),6.3994001)</f>
        <v>6.3994001000000003</v>
      </c>
      <c r="G153" s="95">
        <f t="shared" ca="1" si="0"/>
        <v>1.4283106358593014E-4</v>
      </c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</row>
    <row r="154" spans="1:25" ht="14.4">
      <c r="A154" s="99">
        <v>538351</v>
      </c>
      <c r="B154" s="98" t="s">
        <v>3187</v>
      </c>
      <c r="C154" s="101"/>
      <c r="D154" s="101"/>
      <c r="E154" s="101">
        <f ca="1">IFERROR(__xludf.DUMMYFUNCTION("GOOGLEFINANCE(""BOM:""&amp;A154,""PRICE"")"),1.93)</f>
        <v>1.93</v>
      </c>
      <c r="F154" s="112">
        <f ca="1">IFERROR(__xludf.DUMMYFUNCTION("GOOGLEFINANCE(""BOM:""&amp;A154,""MARKETCAP"")/10000000"),6.4534643)</f>
        <v>6.4534643000000003</v>
      </c>
      <c r="G154" s="95">
        <f t="shared" ca="1" si="0"/>
        <v>1.4403774656671805E-4</v>
      </c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</row>
    <row r="155" spans="1:25" ht="14.4">
      <c r="A155" s="99">
        <v>540267</v>
      </c>
      <c r="B155" s="98" t="s">
        <v>3188</v>
      </c>
      <c r="C155" s="101"/>
      <c r="D155" s="101"/>
      <c r="E155" s="101">
        <f ca="1">IFERROR(__xludf.DUMMYFUNCTION("GOOGLEFINANCE(""BOM:""&amp;A155,""PRICE"")"),7.99)</f>
        <v>7.99</v>
      </c>
      <c r="F155" s="112">
        <f ca="1">IFERROR(__xludf.DUMMYFUNCTION("GOOGLEFINANCE(""BOM:""&amp;A155,""MARKETCAP"")/10000000"),6.9783659)</f>
        <v>6.9783659</v>
      </c>
      <c r="G155" s="95">
        <f t="shared" ca="1" si="0"/>
        <v>1.5575325937016918E-4</v>
      </c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</row>
    <row r="156" spans="1:25" ht="14.4">
      <c r="A156" s="99">
        <v>524055</v>
      </c>
      <c r="B156" s="98" t="s">
        <v>3189</v>
      </c>
      <c r="C156" s="101"/>
      <c r="D156" s="101"/>
      <c r="E156" s="101">
        <f ca="1">IFERROR(__xludf.DUMMYFUNCTION("GOOGLEFINANCE(""BOM:""&amp;A156,""PRICE"")"),44.96)</f>
        <v>44.96</v>
      </c>
      <c r="F156" s="112">
        <f ca="1">IFERROR(__xludf.DUMMYFUNCTION("GOOGLEFINANCE(""BOM:""&amp;A156,""MARKETCAP"")/10000000"),6.294431)</f>
        <v>6.2944310000000003</v>
      </c>
      <c r="G156" s="95">
        <f t="shared" ca="1" si="0"/>
        <v>1.4048821144942161E-4</v>
      </c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</row>
    <row r="157" spans="1:25" ht="14.4">
      <c r="A157" s="99">
        <v>512153</v>
      </c>
      <c r="B157" s="98" t="s">
        <v>3190</v>
      </c>
      <c r="C157" s="101"/>
      <c r="D157" s="101"/>
      <c r="E157" s="101">
        <f ca="1">IFERROR(__xludf.DUMMYFUNCTION("GOOGLEFINANCE(""BOM:""&amp;A157,""PRICE"")"),10.55)</f>
        <v>10.55</v>
      </c>
      <c r="F157" s="112">
        <f ca="1">IFERROR(__xludf.DUMMYFUNCTION("GOOGLEFINANCE(""BOM:""&amp;A157,""MARKETCAP"")/10000000"),6.2938)</f>
        <v>6.2938000000000001</v>
      </c>
      <c r="G157" s="95">
        <f t="shared" ca="1" si="0"/>
        <v>1.4047412787913154E-4</v>
      </c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</row>
    <row r="158" spans="1:25" ht="14.4">
      <c r="A158" s="99">
        <v>524580</v>
      </c>
      <c r="B158" s="98" t="s">
        <v>3191</v>
      </c>
      <c r="C158" s="101"/>
      <c r="D158" s="101"/>
      <c r="E158" s="101">
        <f ca="1">IFERROR(__xludf.DUMMYFUNCTION("GOOGLEFINANCE(""BOM:""&amp;A158,""PRICE"")"),23)</f>
        <v>23</v>
      </c>
      <c r="F158" s="112">
        <f ca="1">IFERROR(__xludf.DUMMYFUNCTION("GOOGLEFINANCE(""BOM:""&amp;A158,""MARKETCAP"")/10000000"),6.9052877)</f>
        <v>6.9052876999999997</v>
      </c>
      <c r="G158" s="95">
        <f t="shared" ca="1" si="0"/>
        <v>1.5412219444723284E-4</v>
      </c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</row>
    <row r="159" spans="1:25" ht="14.4">
      <c r="A159" s="99">
        <v>543500</v>
      </c>
      <c r="B159" s="98" t="s">
        <v>3192</v>
      </c>
      <c r="C159" s="101"/>
      <c r="D159" s="101"/>
      <c r="E159" s="101">
        <f ca="1">IFERROR(__xludf.DUMMYFUNCTION("GOOGLEFINANCE(""BOM:""&amp;A159,""PRICE"")"),2.75)</f>
        <v>2.75</v>
      </c>
      <c r="F159" s="112">
        <f ca="1">IFERROR(__xludf.DUMMYFUNCTION("GOOGLEFINANCE(""BOM:""&amp;A159,""MARKETCAP"")/10000000"),6.8475)</f>
        <v>6.8475000000000001</v>
      </c>
      <c r="G159" s="95">
        <f t="shared" ca="1" si="0"/>
        <v>1.5283240501006597E-4</v>
      </c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</row>
    <row r="160" spans="1:25" ht="14.4">
      <c r="A160" s="99">
        <v>535205</v>
      </c>
      <c r="B160" s="98" t="s">
        <v>3193</v>
      </c>
      <c r="C160" s="101"/>
      <c r="D160" s="101"/>
      <c r="E160" s="101">
        <f ca="1">IFERROR(__xludf.DUMMYFUNCTION("GOOGLEFINANCE(""BOM:""&amp;A160,""PRICE"")"),3.31)</f>
        <v>3.31</v>
      </c>
      <c r="F160" s="112">
        <f ca="1">IFERROR(__xludf.DUMMYFUNCTION("GOOGLEFINANCE(""BOM:""&amp;A160,""MARKETCAP"")/10000000"),6.5426253)</f>
        <v>6.5426253000000001</v>
      </c>
      <c r="G160" s="95">
        <f t="shared" ca="1" si="0"/>
        <v>1.46027770672319E-4</v>
      </c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</row>
    <row r="161" spans="1:25" ht="14.4">
      <c r="A161" s="99">
        <v>538569</v>
      </c>
      <c r="B161" s="98" t="s">
        <v>3194</v>
      </c>
      <c r="C161" s="101"/>
      <c r="D161" s="101"/>
      <c r="E161" s="101">
        <f ca="1">IFERROR(__xludf.DUMMYFUNCTION("GOOGLEFINANCE(""BOM:""&amp;A161,""PRICE"")"),1.14)</f>
        <v>1.1399999999999999</v>
      </c>
      <c r="F161" s="112">
        <f ca="1">IFERROR(__xludf.DUMMYFUNCTION("GOOGLEFINANCE(""BOM:""&amp;A161,""MARKETCAP"")/10000000"),6.5253599)</f>
        <v>6.5253598999999998</v>
      </c>
      <c r="G161" s="95">
        <f t="shared" ca="1" si="0"/>
        <v>1.456424165130695E-4</v>
      </c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</row>
    <row r="162" spans="1:25" ht="14.4">
      <c r="A162" s="99">
        <v>521003</v>
      </c>
      <c r="B162" s="98" t="s">
        <v>3195</v>
      </c>
      <c r="C162" s="101"/>
      <c r="D162" s="101"/>
      <c r="E162" s="101">
        <f ca="1">IFERROR(__xludf.DUMMYFUNCTION("GOOGLEFINANCE(""BOM:""&amp;A162,""PRICE"")"),40.92)</f>
        <v>40.92</v>
      </c>
      <c r="F162" s="112">
        <f ca="1">IFERROR(__xludf.DUMMYFUNCTION("GOOGLEFINANCE(""BOM:""&amp;A162,""MARKETCAP"")/10000000"),6.344216)</f>
        <v>6.3442160000000003</v>
      </c>
      <c r="G162" s="95">
        <f t="shared" ca="1" si="0"/>
        <v>1.4159938505780805E-4</v>
      </c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</row>
    <row r="163" spans="1:25" ht="14.4">
      <c r="A163" s="99">
        <v>526525</v>
      </c>
      <c r="B163" s="98" t="s">
        <v>3196</v>
      </c>
      <c r="C163" s="101"/>
      <c r="D163" s="101"/>
      <c r="E163" s="101">
        <f ca="1">IFERROR(__xludf.DUMMYFUNCTION("GOOGLEFINANCE(""BOM:""&amp;A163,""PRICE"")"),16.02)</f>
        <v>16.02</v>
      </c>
      <c r="F163" s="112">
        <f ca="1">IFERROR(__xludf.DUMMYFUNCTION("GOOGLEFINANCE(""BOM:""&amp;A163,""MARKETCAP"")/10000000"),5.2646527)</f>
        <v>5.2646527000000001</v>
      </c>
      <c r="G163" s="95">
        <f t="shared" ca="1" si="0"/>
        <v>1.1750413051241143E-4</v>
      </c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</row>
    <row r="164" spans="1:25" ht="14.4">
      <c r="A164" s="99">
        <v>526439</v>
      </c>
      <c r="B164" s="98" t="s">
        <v>3197</v>
      </c>
      <c r="C164" s="101"/>
      <c r="D164" s="101"/>
      <c r="E164" s="101">
        <f ca="1">IFERROR(__xludf.DUMMYFUNCTION("GOOGLEFINANCE(""BOM:""&amp;A164,""PRICE"")"),10.25)</f>
        <v>10.25</v>
      </c>
      <c r="F164" s="112">
        <f ca="1">IFERROR(__xludf.DUMMYFUNCTION("GOOGLEFINANCE(""BOM:""&amp;A164,""MARKETCAP"")/10000000"),5.95525)</f>
        <v>5.9552500000000004</v>
      </c>
      <c r="G164" s="95">
        <f t="shared" ca="1" si="0"/>
        <v>1.3291787950875435E-4</v>
      </c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</row>
    <row r="165" spans="1:25" ht="14.4">
      <c r="A165" s="99">
        <v>535204</v>
      </c>
      <c r="B165" s="98" t="s">
        <v>3198</v>
      </c>
      <c r="C165" s="101"/>
      <c r="D165" s="101"/>
      <c r="E165" s="101">
        <f ca="1">IFERROR(__xludf.DUMMYFUNCTION("GOOGLEFINANCE(""BOM:""&amp;A165,""PRICE"")"),2.55)</f>
        <v>2.5499999999999998</v>
      </c>
      <c r="F165" s="112">
        <f ca="1">IFERROR(__xludf.DUMMYFUNCTION("GOOGLEFINANCE(""BOM:""&amp;A165,""MARKETCAP"")/10000000"),5.5288486)</f>
        <v>5.5288485999999999</v>
      </c>
      <c r="G165" s="95">
        <f t="shared" ca="1" si="0"/>
        <v>1.2340083657897571E-4</v>
      </c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</row>
    <row r="166" spans="1:25" ht="14.4">
      <c r="A166" s="99">
        <v>512097</v>
      </c>
      <c r="B166" s="98" t="s">
        <v>3199</v>
      </c>
      <c r="C166" s="101"/>
      <c r="D166" s="101"/>
      <c r="E166" s="101">
        <f ca="1">IFERROR(__xludf.DUMMYFUNCTION("GOOGLEFINANCE(""BOM:""&amp;A166,""PRICE"")"),0.25)</f>
        <v>0.25</v>
      </c>
      <c r="F166" s="112">
        <f ca="1">IFERROR(__xludf.DUMMYFUNCTION("GOOGLEFINANCE(""BOM:""&amp;A166,""MARKETCAP"")/10000000"),5.68)</f>
        <v>5.68</v>
      </c>
      <c r="G166" s="95">
        <f t="shared" ca="1" si="0"/>
        <v>1.2677445205654247E-4</v>
      </c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</row>
    <row r="167" spans="1:25" ht="14.4">
      <c r="A167" s="99">
        <v>526865</v>
      </c>
      <c r="B167" s="98" t="s">
        <v>3200</v>
      </c>
      <c r="C167" s="101"/>
      <c r="D167" s="101"/>
      <c r="E167" s="101">
        <f ca="1">IFERROR(__xludf.DUMMYFUNCTION("GOOGLEFINANCE(""BOM:""&amp;A167,""PRICE"")"),4.98)</f>
        <v>4.9800000000000004</v>
      </c>
      <c r="F167" s="112">
        <f ca="1">IFERROR(__xludf.DUMMYFUNCTION("GOOGLEFINANCE(""BOM:""&amp;A167,""MARKETCAP"")/10000000"),4.98)</f>
        <v>4.9800000000000004</v>
      </c>
      <c r="G167" s="95">
        <f t="shared" ca="1" si="0"/>
        <v>1.1115084000732071E-4</v>
      </c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</row>
    <row r="168" spans="1:25" ht="14.4">
      <c r="A168" s="99">
        <v>542025</v>
      </c>
      <c r="B168" s="98" t="s">
        <v>3201</v>
      </c>
      <c r="C168" s="101"/>
      <c r="D168" s="101"/>
      <c r="E168" s="101">
        <f ca="1">IFERROR(__xludf.DUMMYFUNCTION("GOOGLEFINANCE(""BOM:""&amp;A168,""PRICE"")"),0.33)</f>
        <v>0.33</v>
      </c>
      <c r="F168" s="112">
        <f ca="1">IFERROR(__xludf.DUMMYFUNCTION("GOOGLEFINANCE(""BOM:""&amp;A168,""MARKETCAP"")/10000000"),5.1205442)</f>
        <v>5.1205442000000003</v>
      </c>
      <c r="G168" s="95">
        <f t="shared" ca="1" si="0"/>
        <v>1.1428770865956104E-4</v>
      </c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</row>
    <row r="169" spans="1:25" ht="14.4">
      <c r="A169" s="99">
        <v>506906</v>
      </c>
      <c r="B169" s="98" t="s">
        <v>3202</v>
      </c>
      <c r="C169" s="101"/>
      <c r="D169" s="101"/>
      <c r="E169" s="101">
        <f ca="1">IFERROR(__xludf.DUMMYFUNCTION("GOOGLEFINANCE(""BOM:""&amp;A169,""PRICE"")"),46)</f>
        <v>46</v>
      </c>
      <c r="F169" s="112">
        <f ca="1">IFERROR(__xludf.DUMMYFUNCTION("GOOGLEFINANCE(""BOM:""&amp;A169,""MARKETCAP"")/10000000"),4.9368396)</f>
        <v>4.9368395999999999</v>
      </c>
      <c r="G169" s="95">
        <f t="shared" ca="1" si="0"/>
        <v>1.1018752379947894E-4</v>
      </c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</row>
    <row r="170" spans="1:25" ht="14.4">
      <c r="A170" s="99">
        <v>507530</v>
      </c>
      <c r="B170" s="98" t="s">
        <v>3203</v>
      </c>
      <c r="C170" s="101"/>
      <c r="D170" s="101"/>
      <c r="E170" s="101">
        <f ca="1">IFERROR(__xludf.DUMMYFUNCTION("GOOGLEFINANCE(""BOM:""&amp;A170,""PRICE"")"),21.03)</f>
        <v>21.03</v>
      </c>
      <c r="F170" s="112">
        <f ca="1">IFERROR(__xludf.DUMMYFUNCTION("GOOGLEFINANCE(""BOM:""&amp;A170,""MARKETCAP"")/10000000"),3.329575)</f>
        <v>3.3295750000000002</v>
      </c>
      <c r="G170" s="95">
        <f t="shared" ca="1" si="0"/>
        <v>7.4314268698268043E-5</v>
      </c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</row>
    <row r="171" spans="1:25" ht="14.4">
      <c r="A171" s="99">
        <v>532645</v>
      </c>
      <c r="B171" s="98" t="s">
        <v>3204</v>
      </c>
      <c r="C171" s="101"/>
      <c r="D171" s="101"/>
      <c r="E171" s="101">
        <f ca="1">IFERROR(__xludf.DUMMYFUNCTION("GOOGLEFINANCE(""BOM:""&amp;A171,""PRICE"")"),2.54)</f>
        <v>2.54</v>
      </c>
      <c r="F171" s="112">
        <f ca="1">IFERROR(__xludf.DUMMYFUNCTION("GOOGLEFINANCE(""BOM:""&amp;A171,""MARKETCAP"")/10000000"),3.5919282)</f>
        <v>3.5919281999999999</v>
      </c>
      <c r="G171" s="95">
        <f t="shared" ca="1" si="0"/>
        <v>8.0169846722085022E-5</v>
      </c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</row>
    <row r="172" spans="1:25" ht="14.4">
      <c r="A172" s="99">
        <v>542155</v>
      </c>
      <c r="B172" s="98" t="s">
        <v>3205</v>
      </c>
      <c r="C172" s="101"/>
      <c r="D172" s="101"/>
      <c r="E172" s="101">
        <f ca="1">IFERROR(__xludf.DUMMYFUNCTION("GOOGLEFINANCE(""BOM:""&amp;A172,""PRICE"")"),1.1)</f>
        <v>1.1000000000000001</v>
      </c>
      <c r="F172" s="112">
        <f ca="1">IFERROR(__xludf.DUMMYFUNCTION("GOOGLEFINANCE(""BOM:""&amp;A172,""MARKETCAP"")/10000000"),1.0854019)</f>
        <v>1.0854018999999999</v>
      </c>
      <c r="G172" s="95">
        <f t="shared" ca="1" si="0"/>
        <v>2.4225568861554598E-5</v>
      </c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</row>
    <row r="173" spans="1:25" ht="14.4">
      <c r="A173" s="99">
        <v>501111</v>
      </c>
      <c r="B173" s="98" t="s">
        <v>3206</v>
      </c>
      <c r="C173" s="101"/>
      <c r="D173" s="101"/>
      <c r="E173" s="101">
        <f ca="1">IFERROR(__xludf.DUMMYFUNCTION("GOOGLEFINANCE(""BOM:""&amp;A173,""PRICE"")"),12.14)</f>
        <v>12.14</v>
      </c>
      <c r="F173" s="112">
        <f ca="1">IFERROR(__xludf.DUMMYFUNCTION("GOOGLEFINANCE(""BOM:""&amp;A173,""MARKETCAP"")/10000000"),0.953718)</f>
        <v>0.95371799999999995</v>
      </c>
      <c r="G173" s="95">
        <f t="shared" ca="1" si="0"/>
        <v>2.1286457194799573E-5</v>
      </c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</row>
    <row r="174" spans="1:25" ht="14.4">
      <c r="A174" s="99">
        <v>512213</v>
      </c>
      <c r="B174" s="98" t="s">
        <v>3207</v>
      </c>
      <c r="C174" s="101"/>
      <c r="D174" s="101"/>
      <c r="E174" s="101">
        <f ca="1">IFERROR(__xludf.DUMMYFUNCTION("GOOGLEFINANCE(""BOM:""&amp;A174,""PRICE"")"),2.71)</f>
        <v>2.71</v>
      </c>
      <c r="F174" s="112">
        <f ca="1">IFERROR(__xludf.DUMMYFUNCTION("GOOGLEFINANCE(""BOM:""&amp;A174,""MARKETCAP"")/10000000"),0.516414)</f>
        <v>0.51641400000000004</v>
      </c>
      <c r="G174" s="95">
        <f t="shared" ca="1" si="0"/>
        <v>1.1526074275409742E-5</v>
      </c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</row>
    <row r="175" spans="1:25" ht="14.4">
      <c r="A175" s="99">
        <v>501479</v>
      </c>
      <c r="B175" s="98" t="s">
        <v>3208</v>
      </c>
      <c r="C175" s="101"/>
      <c r="D175" s="101"/>
      <c r="E175" s="101">
        <f ca="1">IFERROR(__xludf.DUMMYFUNCTION("GOOGLEFINANCE(""BOM:""&amp;A175,""PRICE"")"),11.02)</f>
        <v>11.02</v>
      </c>
      <c r="F175" s="112"/>
      <c r="G175" s="95">
        <f t="shared" ca="1" si="0"/>
        <v>0</v>
      </c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</row>
    <row r="176" spans="1:25" ht="14.4">
      <c r="A176" s="99">
        <v>503772</v>
      </c>
      <c r="B176" s="98" t="s">
        <v>3209</v>
      </c>
      <c r="C176" s="101"/>
      <c r="D176" s="101"/>
      <c r="E176" s="101">
        <f ca="1">IFERROR(__xludf.DUMMYFUNCTION("GOOGLEFINANCE(""BOM:""&amp;A176,""PRICE"")"),62.5)</f>
        <v>62.5</v>
      </c>
      <c r="F176" s="112"/>
      <c r="G176" s="95">
        <f t="shared" ca="1" si="0"/>
        <v>0</v>
      </c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</row>
    <row r="177" spans="1:25" ht="14.4">
      <c r="A177" s="99">
        <v>506120</v>
      </c>
      <c r="B177" s="98" t="s">
        <v>3210</v>
      </c>
      <c r="C177" s="101"/>
      <c r="D177" s="101"/>
      <c r="E177" s="101">
        <f ca="1">IFERROR(__xludf.DUMMYFUNCTION("GOOGLEFINANCE(""BOM:""&amp;A177,""PRICE"")"),0)</f>
        <v>0</v>
      </c>
      <c r="F177" s="112"/>
      <c r="G177" s="95">
        <f t="shared" ca="1" si="0"/>
        <v>0</v>
      </c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</row>
    <row r="178" spans="1:25" ht="14.4">
      <c r="A178" s="99">
        <v>512433</v>
      </c>
      <c r="B178" s="98" t="s">
        <v>3211</v>
      </c>
      <c r="C178" s="101"/>
      <c r="D178" s="101"/>
      <c r="E178" s="101">
        <f ca="1">IFERROR(__xludf.DUMMYFUNCTION("GOOGLEFINANCE(""BOM:""&amp;A178,""PRICE"")"),0)</f>
        <v>0</v>
      </c>
      <c r="F178" s="112"/>
      <c r="G178" s="95">
        <f t="shared" ca="1" si="0"/>
        <v>0</v>
      </c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</row>
    <row r="179" spans="1:25" ht="14.4">
      <c r="A179" s="99">
        <v>512261</v>
      </c>
      <c r="B179" s="98" t="s">
        <v>3212</v>
      </c>
      <c r="C179" s="101"/>
      <c r="D179" s="101"/>
      <c r="E179" s="101">
        <f ca="1">IFERROR(__xludf.DUMMYFUNCTION("GOOGLEFINANCE(""BOM:""&amp;A179,""PRICE"")"),0)</f>
        <v>0</v>
      </c>
      <c r="F179" s="112"/>
      <c r="G179" s="95">
        <f t="shared" ca="1" si="0"/>
        <v>0</v>
      </c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</row>
    <row r="180" spans="1:25" ht="14.4">
      <c r="A180" s="99">
        <v>539335</v>
      </c>
      <c r="B180" s="98" t="s">
        <v>3213</v>
      </c>
      <c r="C180" s="101"/>
      <c r="D180" s="101"/>
      <c r="E180" s="101">
        <f ca="1">IFERROR(__xludf.DUMMYFUNCTION("GOOGLEFINANCE(""BOM:""&amp;A180,""PRICE"")"),200.45)</f>
        <v>200.45</v>
      </c>
      <c r="F180" s="112"/>
      <c r="G180" s="95">
        <f t="shared" ca="1" si="0"/>
        <v>0</v>
      </c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</row>
    <row r="181" spans="1:25" ht="14.4">
      <c r="A181" s="99">
        <v>523874</v>
      </c>
      <c r="B181" s="98" t="s">
        <v>3214</v>
      </c>
      <c r="C181" s="101"/>
      <c r="D181" s="101"/>
      <c r="E181" s="101">
        <f ca="1">IFERROR(__xludf.DUMMYFUNCTION("GOOGLEFINANCE(""BOM:""&amp;A181,""PRICE"")"),104.3)</f>
        <v>104.3</v>
      </c>
      <c r="F181" s="112"/>
      <c r="G181" s="95">
        <f t="shared" ca="1" si="0"/>
        <v>0</v>
      </c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</row>
    <row r="182" spans="1:25" ht="14.4">
      <c r="A182" s="99">
        <v>538652</v>
      </c>
      <c r="B182" s="98" t="s">
        <v>3215</v>
      </c>
      <c r="C182" s="101"/>
      <c r="D182" s="101"/>
      <c r="E182" s="101">
        <f ca="1">IFERROR(__xludf.DUMMYFUNCTION("GOOGLEFINANCE(""BOM:""&amp;A182,""PRICE"")"),3.81)</f>
        <v>3.81</v>
      </c>
      <c r="F182" s="112"/>
      <c r="G182" s="95">
        <f t="shared" ca="1" si="0"/>
        <v>0</v>
      </c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</row>
    <row r="183" spans="1:25" ht="14.4">
      <c r="A183" s="99">
        <v>511048</v>
      </c>
      <c r="B183" s="98" t="s">
        <v>3216</v>
      </c>
      <c r="C183" s="101"/>
      <c r="D183" s="101"/>
      <c r="E183" s="101">
        <f ca="1">IFERROR(__xludf.DUMMYFUNCTION("GOOGLEFINANCE(""BOM:""&amp;A183,""PRICE"")"),5.18)</f>
        <v>5.18</v>
      </c>
      <c r="F183" s="112"/>
      <c r="G183" s="95">
        <f t="shared" ca="1" si="0"/>
        <v>0</v>
      </c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</row>
    <row r="184" spans="1:25" ht="14.4">
      <c r="A184" s="99">
        <v>517172</v>
      </c>
      <c r="B184" s="98" t="s">
        <v>3217</v>
      </c>
      <c r="C184" s="101"/>
      <c r="D184" s="101"/>
      <c r="E184" s="101">
        <f ca="1">IFERROR(__xludf.DUMMYFUNCTION("GOOGLEFINANCE(""BOM:""&amp;A184,""PRICE"")"),12)</f>
        <v>12</v>
      </c>
      <c r="F184" s="112"/>
      <c r="G184" s="95">
        <f t="shared" ca="1" si="0"/>
        <v>0</v>
      </c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</row>
    <row r="185" spans="1:25" ht="14.4">
      <c r="A185" s="99">
        <v>540270</v>
      </c>
      <c r="B185" s="98" t="s">
        <v>3218</v>
      </c>
      <c r="C185" s="101"/>
      <c r="D185" s="101"/>
      <c r="E185" s="101">
        <f ca="1">IFERROR(__xludf.DUMMYFUNCTION("GOOGLEFINANCE(""BOM:""&amp;A185,""PRICE"")"),0)</f>
        <v>0</v>
      </c>
      <c r="F185" s="112"/>
      <c r="G185" s="95">
        <f t="shared" ca="1" si="0"/>
        <v>0</v>
      </c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</row>
    <row r="186" spans="1:25" ht="14.4">
      <c r="A186" s="99">
        <v>539691</v>
      </c>
      <c r="B186" s="98" t="s">
        <v>3219</v>
      </c>
      <c r="C186" s="101"/>
      <c r="D186" s="101"/>
      <c r="E186" s="101">
        <f ca="1">IFERROR(__xludf.DUMMYFUNCTION("GOOGLEFINANCE(""BOM:""&amp;A186,""PRICE"")"),0)</f>
        <v>0</v>
      </c>
      <c r="F186" s="112"/>
      <c r="G186" s="95">
        <f t="shared" ca="1" si="0"/>
        <v>0</v>
      </c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</row>
    <row r="187" spans="1:25" ht="14.4">
      <c r="A187" s="99">
        <v>531885</v>
      </c>
      <c r="B187" s="98" t="s">
        <v>3220</v>
      </c>
      <c r="C187" s="101"/>
      <c r="D187" s="101"/>
      <c r="E187" s="101">
        <f ca="1">IFERROR(__xludf.DUMMYFUNCTION("GOOGLEFINANCE(""BOM:""&amp;A187,""PRICE"")"),8.13)</f>
        <v>8.1300000000000008</v>
      </c>
      <c r="F187" s="112"/>
      <c r="G187" s="95">
        <f t="shared" ca="1" si="0"/>
        <v>0</v>
      </c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</row>
    <row r="188" spans="1:25" ht="14.4">
      <c r="A188" s="99">
        <v>512038</v>
      </c>
      <c r="B188" s="98" t="s">
        <v>3221</v>
      </c>
      <c r="C188" s="101"/>
      <c r="D188" s="101"/>
      <c r="E188" s="101">
        <f ca="1">IFERROR(__xludf.DUMMYFUNCTION("GOOGLEFINANCE(""BOM:""&amp;A188,""PRICE"")"),356.9)</f>
        <v>356.9</v>
      </c>
      <c r="F188" s="112"/>
      <c r="G188" s="95">
        <f t="shared" ca="1" si="0"/>
        <v>0</v>
      </c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</row>
    <row r="189" spans="1:25" ht="14.4">
      <c r="A189" s="99">
        <v>514236</v>
      </c>
      <c r="B189" s="98" t="s">
        <v>3222</v>
      </c>
      <c r="C189" s="101"/>
      <c r="D189" s="101"/>
      <c r="E189" s="101">
        <f ca="1">IFERROR(__xludf.DUMMYFUNCTION("GOOGLEFINANCE(""BOM:""&amp;A189,""PRICE"")"),0)</f>
        <v>0</v>
      </c>
      <c r="F189" s="112"/>
      <c r="G189" s="95">
        <f t="shared" ca="1" si="0"/>
        <v>0</v>
      </c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</row>
    <row r="190" spans="1:25" ht="14.4">
      <c r="A190" s="99">
        <v>506178</v>
      </c>
      <c r="B190" s="98" t="s">
        <v>3223</v>
      </c>
      <c r="C190" s="101"/>
      <c r="D190" s="101"/>
      <c r="E190" s="101">
        <f ca="1">IFERROR(__xludf.DUMMYFUNCTION("GOOGLEFINANCE(""BOM:""&amp;A190,""PRICE"")"),0)</f>
        <v>0</v>
      </c>
      <c r="F190" s="112"/>
      <c r="G190" s="95">
        <f t="shared" ca="1" si="0"/>
        <v>0</v>
      </c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</row>
    <row r="191" spans="1:25" ht="14.4">
      <c r="A191" s="99">
        <v>530177</v>
      </c>
      <c r="B191" s="98" t="s">
        <v>3224</v>
      </c>
      <c r="C191" s="101"/>
      <c r="D191" s="101"/>
      <c r="E191" s="101">
        <f ca="1">IFERROR(__xludf.DUMMYFUNCTION("GOOGLEFINANCE(""BOM:""&amp;A191,""PRICE"")"),25)</f>
        <v>25</v>
      </c>
      <c r="F191" s="112"/>
      <c r="G191" s="95">
        <f t="shared" ca="1" si="0"/>
        <v>0</v>
      </c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</row>
    <row r="192" spans="1:25" ht="14.4">
      <c r="A192" s="99">
        <v>513012</v>
      </c>
      <c r="B192" s="98" t="s">
        <v>3225</v>
      </c>
      <c r="C192" s="101"/>
      <c r="D192" s="101"/>
      <c r="E192" s="101">
        <f ca="1">IFERROR(__xludf.DUMMYFUNCTION("GOOGLEFINANCE(""BOM:""&amp;A192,""PRICE"")"),0)</f>
        <v>0</v>
      </c>
      <c r="F192" s="112"/>
      <c r="G192" s="95">
        <f t="shared" ca="1" si="0"/>
        <v>0</v>
      </c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</row>
    <row r="193" spans="1:25" ht="13.2">
      <c r="A193" s="101"/>
      <c r="B193" s="101"/>
      <c r="C193" s="101"/>
      <c r="D193" s="101"/>
      <c r="E193" s="101"/>
      <c r="F193" s="112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</row>
    <row r="194" spans="1:25" ht="13.2">
      <c r="A194" s="101"/>
      <c r="B194" s="101"/>
      <c r="C194" s="101"/>
      <c r="D194" s="101"/>
      <c r="E194" s="101"/>
      <c r="F194" s="112">
        <f t="shared" ref="F194:G194" ca="1" si="1">SUM(F2:F192)</f>
        <v>44803.979885999994</v>
      </c>
      <c r="G194" s="95">
        <f t="shared" ca="1" si="1"/>
        <v>0.999999999999999</v>
      </c>
      <c r="H194" s="101">
        <f t="shared" ref="H194:O194" si="2">SUM(H2:H192)</f>
        <v>86589</v>
      </c>
      <c r="I194" s="101">
        <f t="shared" si="2"/>
        <v>73321</v>
      </c>
      <c r="J194" s="101">
        <f t="shared" si="2"/>
        <v>1450</v>
      </c>
      <c r="K194" s="101">
        <f t="shared" si="2"/>
        <v>1342</v>
      </c>
      <c r="L194" s="101">
        <f t="shared" si="2"/>
        <v>31160.34</v>
      </c>
      <c r="M194" s="101">
        <f t="shared" si="2"/>
        <v>26885.25</v>
      </c>
      <c r="N194" s="101">
        <f t="shared" si="2"/>
        <v>529</v>
      </c>
      <c r="O194" s="101">
        <f t="shared" si="2"/>
        <v>466</v>
      </c>
      <c r="P194" s="95">
        <f t="shared" ref="P194:Q194" si="3">J194/H194</f>
        <v>1.6745776022358497E-2</v>
      </c>
      <c r="Q194" s="95">
        <f t="shared" si="3"/>
        <v>1.8303078244977563E-2</v>
      </c>
      <c r="R194" s="95">
        <f>P194-Q194</f>
        <v>-1.5573022226190655E-3</v>
      </c>
      <c r="S194" s="95">
        <f t="shared" ref="S194:T194" si="4">N194/L194</f>
        <v>1.6976708213068278E-2</v>
      </c>
      <c r="T194" s="95">
        <f t="shared" si="4"/>
        <v>1.733292418705424E-2</v>
      </c>
      <c r="U194" s="95">
        <f>S194-T194</f>
        <v>-3.5621597398596133E-4</v>
      </c>
      <c r="V194" s="95">
        <f>(H194/I194)-1</f>
        <v>0.18095770652336984</v>
      </c>
      <c r="W194" s="95">
        <f>(J194/K194)-1</f>
        <v>8.0476900149031305E-2</v>
      </c>
      <c r="X194" s="95">
        <f>(L194/M194)-1</f>
        <v>0.1590124696627333</v>
      </c>
      <c r="Y194" s="95">
        <f>(N194/O194)-1</f>
        <v>0.13519313304721026</v>
      </c>
    </row>
    <row r="195" spans="1:25" ht="13.2">
      <c r="F195" s="94"/>
    </row>
    <row r="196" spans="1:25" ht="13.2">
      <c r="F196" s="94"/>
    </row>
    <row r="197" spans="1:25" ht="13.2">
      <c r="F197" s="94"/>
    </row>
    <row r="198" spans="1:25" ht="13.2">
      <c r="F198" s="94"/>
    </row>
    <row r="199" spans="1:25" ht="13.2">
      <c r="F199" s="94"/>
    </row>
    <row r="200" spans="1:25" ht="13.2">
      <c r="F200" s="94"/>
    </row>
    <row r="201" spans="1:25" ht="13.2">
      <c r="F201" s="94"/>
    </row>
    <row r="202" spans="1:25" ht="13.2">
      <c r="F202" s="94"/>
    </row>
    <row r="203" spans="1:25" ht="13.2">
      <c r="F203" s="94"/>
    </row>
    <row r="204" spans="1:25" ht="13.2">
      <c r="F204" s="94"/>
    </row>
    <row r="205" spans="1:25" ht="13.2">
      <c r="F205" s="94"/>
    </row>
    <row r="206" spans="1:25" ht="13.2">
      <c r="F206" s="94"/>
    </row>
    <row r="207" spans="1:25" ht="13.2">
      <c r="F207" s="94"/>
    </row>
    <row r="208" spans="1:25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92" xr:uid="{00000000-0009-0000-0000-000059000000}"/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544288</v>
      </c>
      <c r="B2" s="98" t="s">
        <v>3226</v>
      </c>
      <c r="C2" s="101" t="str">
        <f>VLOOKUP(A2,'BSE ALL CAP'!$B$4:$Y$1038,2,)</f>
        <v>Services</v>
      </c>
      <c r="D2" s="101" t="str">
        <f>VLOOKUP(A2,'BSE ALL CAP'!$B$4:$Y$1038,3,)</f>
        <v>Transport Related Services</v>
      </c>
      <c r="E2" s="101">
        <f ca="1">IFERROR(__xludf.DUMMYFUNCTION("GOOGLEFINANCE(""BOM:""&amp;A2,""PRICE"")"),569)</f>
        <v>569</v>
      </c>
      <c r="F2" s="112">
        <f ca="1">IFERROR(__xludf.DUMMYFUNCTION("GOOGLEFINANCE(""BOM:""&amp;A2,""MARKETCAP"")/10000000"),10359.6788071)</f>
        <v>10359.678807099999</v>
      </c>
      <c r="G2" s="95">
        <f t="shared" ref="G2:G3" ca="1" si="0">F2/$F$5</f>
        <v>0.86340824114074477</v>
      </c>
      <c r="H2" s="101">
        <f>VLOOKUP(A2,'BSE ALL CAP'!$B$4:$Y$1038,7,)</f>
        <v>466</v>
      </c>
      <c r="I2" s="101">
        <f>VLOOKUP(A2,'BSE ALL CAP'!$B$4:$Y$1038,8,)</f>
        <v>304</v>
      </c>
      <c r="J2" s="101">
        <f>VLOOKUP(A2,'BSE ALL CAP'!$B$4:$Y$1038,9,)</f>
        <v>94</v>
      </c>
      <c r="K2" s="101">
        <f>VLOOKUP(A2,'BSE ALL CAP'!$B$4:$Y$1038,10,)</f>
        <v>-288</v>
      </c>
      <c r="L2" s="101">
        <f>VLOOKUP(A2,'BSE ALL CAP'!$B$4:$Y$1038,11,)</f>
        <v>171</v>
      </c>
      <c r="M2" s="101">
        <f>VLOOKUP(A2,'BSE ALL CAP'!$B$4:$Y$1038,12,)</f>
        <v>113</v>
      </c>
      <c r="N2" s="101">
        <f>VLOOKUP(A2,'BSE ALL CAP'!$B$4:$Y$1038,13,)</f>
        <v>31</v>
      </c>
      <c r="O2" s="101">
        <f>VLOOKUP(A2,'BSE ALL CAP'!$B$4:$Y$1038,14,)</f>
        <v>-48</v>
      </c>
      <c r="P2" s="95">
        <f>VLOOKUP(A2,'BSE ALL CAP'!$B$4:$Y$1038,15,)</f>
        <v>0.20171673819742489</v>
      </c>
      <c r="Q2" s="95">
        <f>VLOOKUP(A2,'BSE ALL CAP'!$B$4:$Y$1038,16,)</f>
        <v>-0.94736842105263153</v>
      </c>
      <c r="R2" s="95">
        <f>VLOOKUP(A2,'BSE ALL CAP'!$B$4:$Y$1038,17,)</f>
        <v>1.1490851592500564</v>
      </c>
      <c r="S2" s="95">
        <f>VLOOKUP(A2,'BSE ALL CAP'!$B$4:$Y$1038,18,)</f>
        <v>0.18128654970760233</v>
      </c>
      <c r="T2" s="95">
        <f>VLOOKUP(A2,'BSE ALL CAP'!$B$4:$Y$1038,19,)</f>
        <v>-0.4247787610619469</v>
      </c>
      <c r="U2" s="95">
        <f>VLOOKUP(A2,'BSE ALL CAP'!$B$4:$Y$1038,20,)</f>
        <v>0.60606531076954928</v>
      </c>
      <c r="V2" s="95">
        <f>VLOOKUP(A2,'BSE ALL CAP'!$B$4:$Y$1038,21,)</f>
        <v>0.53289473684210531</v>
      </c>
      <c r="W2" s="95">
        <f>VLOOKUP(A2,'BSE ALL CAP'!$B$4:$Y$1038,22,)</f>
        <v>-1.3263888888888888</v>
      </c>
      <c r="X2" s="95">
        <f>VLOOKUP(A2,'BSE ALL CAP'!$B$4:$Y$1038,23,)</f>
        <v>0.51327433628318575</v>
      </c>
      <c r="Y2" s="95">
        <f>VLOOKUP(A2,'BSE ALL CAP'!$B$4:$Y$1038,24,)</f>
        <v>-1.6458333333333335</v>
      </c>
    </row>
    <row r="3" spans="1:25" ht="15.75" customHeight="1">
      <c r="A3" s="99">
        <v>532686</v>
      </c>
      <c r="B3" s="98" t="s">
        <v>3227</v>
      </c>
      <c r="C3" s="101" t="e">
        <f>VLOOKUP(A3,'BSE ALL CAP'!$B$4:$Y$1038,2,)</f>
        <v>#N/A</v>
      </c>
      <c r="D3" s="101" t="e">
        <f>VLOOKUP(A3,'BSE ALL CAP'!$B$4:$Y$1038,3,)</f>
        <v>#N/A</v>
      </c>
      <c r="E3" s="101">
        <f ca="1">IFERROR(__xludf.DUMMYFUNCTION("GOOGLEFINANCE(""BOM:""&amp;A3,""PRICE"")"),976.25)</f>
        <v>976.25</v>
      </c>
      <c r="F3" s="112">
        <f ca="1">IFERROR(__xludf.DUMMYFUNCTION("GOOGLEFINANCE(""BOM:""&amp;A3,""MARKETCAP"")/10000000"),1638.9080878)</f>
        <v>1638.9080878</v>
      </c>
      <c r="G3" s="95">
        <f t="shared" ca="1" si="0"/>
        <v>0.13659175885925517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>
      <c r="A4" s="101"/>
      <c r="B4" s="101"/>
      <c r="C4" s="101"/>
      <c r="D4" s="101"/>
      <c r="E4" s="101"/>
      <c r="F4" s="112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101"/>
      <c r="B5" s="101"/>
      <c r="C5" s="101"/>
      <c r="D5" s="101"/>
      <c r="E5" s="101"/>
      <c r="F5" s="112">
        <f t="shared" ref="F5:G5" ca="1" si="1">SUM(F2:F3)</f>
        <v>11998.5868949</v>
      </c>
      <c r="G5" s="95">
        <f t="shared" ca="1" si="1"/>
        <v>1</v>
      </c>
      <c r="H5" s="101">
        <f t="shared" ref="H5:O5" si="2">SUM(H2:H3)</f>
        <v>466</v>
      </c>
      <c r="I5" s="101">
        <f t="shared" si="2"/>
        <v>304</v>
      </c>
      <c r="J5" s="101">
        <f t="shared" si="2"/>
        <v>94</v>
      </c>
      <c r="K5" s="101">
        <f t="shared" si="2"/>
        <v>-288</v>
      </c>
      <c r="L5" s="101">
        <f t="shared" si="2"/>
        <v>171</v>
      </c>
      <c r="M5" s="101">
        <f t="shared" si="2"/>
        <v>113</v>
      </c>
      <c r="N5" s="101">
        <f t="shared" si="2"/>
        <v>31</v>
      </c>
      <c r="O5" s="101">
        <f t="shared" si="2"/>
        <v>-48</v>
      </c>
      <c r="P5" s="95">
        <f t="shared" ref="P5:Q5" si="3">J5/H5</f>
        <v>0.20171673819742489</v>
      </c>
      <c r="Q5" s="95">
        <f t="shared" si="3"/>
        <v>-0.94736842105263153</v>
      </c>
      <c r="R5" s="95">
        <f>P5-Q5</f>
        <v>1.1490851592500564</v>
      </c>
      <c r="S5" s="95">
        <f t="shared" ref="S5:T5" si="4">N5/L5</f>
        <v>0.18128654970760233</v>
      </c>
      <c r="T5" s="95">
        <f t="shared" si="4"/>
        <v>-0.4247787610619469</v>
      </c>
      <c r="U5" s="95">
        <f>S5-T5</f>
        <v>0.60606531076954928</v>
      </c>
      <c r="V5" s="95">
        <f>(H5/I5)-1</f>
        <v>0.53289473684210531</v>
      </c>
      <c r="W5" s="95">
        <f>(J5/K5)-1</f>
        <v>-1.3263888888888888</v>
      </c>
      <c r="X5" s="95">
        <f>(L5/M5)-1</f>
        <v>0.51327433628318575</v>
      </c>
      <c r="Y5" s="95">
        <f>(N5/O5)-1</f>
        <v>-1.6458333333333335</v>
      </c>
    </row>
    <row r="6" spans="1:25">
      <c r="F6" s="94"/>
    </row>
    <row r="7" spans="1:25">
      <c r="F7" s="94"/>
    </row>
    <row r="8" spans="1:25">
      <c r="F8" s="94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4" xr:uid="{00000000-0009-0000-0000-00005A000000}"/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outlinePr summaryBelow="0" summaryRight="0"/>
  </sheetPr>
  <dimension ref="A1:Y191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524715</v>
      </c>
      <c r="B2" s="98" t="s">
        <v>3228</v>
      </c>
      <c r="C2" s="101" t="str">
        <f>VLOOKUP(A2,'BSE ALL CAP'!$B$4:$Y$1038,2,)</f>
        <v>Healthcare</v>
      </c>
      <c r="D2" s="101" t="str">
        <f>VLOOKUP(A2,'BSE ALL CAP'!$B$4:$Y$1038,3,)</f>
        <v>Pharmaceuticals</v>
      </c>
      <c r="E2" s="101">
        <f ca="1">IFERROR(__xludf.DUMMYFUNCTION("GOOGLEFINANCE(""BOM:""&amp;A2,""PRICE"")"),1687.15)</f>
        <v>1687.15</v>
      </c>
      <c r="F2" s="112">
        <f ca="1">IFERROR(__xludf.DUMMYFUNCTION("GOOGLEFINANCE(""BOM:""&amp;A2,""MARKETCAP"")/10000000"),404647.84775)</f>
        <v>404647.84775000002</v>
      </c>
      <c r="G2" s="95">
        <f t="shared" ref="G2:G189" ca="1" si="0">F2/$F$191</f>
        <v>0.18256557253421588</v>
      </c>
      <c r="H2" s="101">
        <f>VLOOKUP(A2,'BSE ALL CAP'!$B$4:$Y$1038,7,)</f>
        <v>43850</v>
      </c>
      <c r="I2" s="101">
        <f>VLOOKUP(A2,'BSE ALL CAP'!$B$4:$Y$1038,8,)</f>
        <v>39619</v>
      </c>
      <c r="J2" s="101">
        <f>VLOOKUP(A2,'BSE ALL CAP'!$B$4:$Y$1038,9,)</f>
        <v>8765</v>
      </c>
      <c r="K2" s="101">
        <f>VLOOKUP(A2,'BSE ALL CAP'!$B$4:$Y$1038,10,)</f>
        <v>8779</v>
      </c>
      <c r="L2" s="101">
        <f>VLOOKUP(A2,'BSE ALL CAP'!$B$4:$Y$1038,11,)</f>
        <v>15520</v>
      </c>
      <c r="M2" s="101">
        <f>VLOOKUP(A2,'BSE ALL CAP'!$B$4:$Y$1038,12,)</f>
        <v>13675</v>
      </c>
      <c r="N2" s="101">
        <f>VLOOKUP(A2,'BSE ALL CAP'!$B$4:$Y$1038,13,)</f>
        <v>3368</v>
      </c>
      <c r="O2" s="101">
        <f>VLOOKUP(A2,'BSE ALL CAP'!$B$4:$Y$1038,14,)</f>
        <v>2903</v>
      </c>
      <c r="P2" s="95">
        <f>VLOOKUP(A2,'BSE ALL CAP'!$B$4:$Y$1038,15,)</f>
        <v>0.19988597491448118</v>
      </c>
      <c r="Q2" s="95">
        <f>VLOOKUP(A2,'BSE ALL CAP'!$B$4:$Y$1038,16,)</f>
        <v>0.22158560286731113</v>
      </c>
      <c r="R2" s="95">
        <f>VLOOKUP(A2,'BSE ALL CAP'!$B$4:$Y$1038,17,)</f>
        <v>-2.1699627952829953E-2</v>
      </c>
      <c r="S2" s="95">
        <f>VLOOKUP(A2,'BSE ALL CAP'!$B$4:$Y$1038,18,)</f>
        <v>0.21701030927835052</v>
      </c>
      <c r="T2" s="95">
        <f>VLOOKUP(A2,'BSE ALL CAP'!$B$4:$Y$1038,19,)</f>
        <v>0.2122851919561243</v>
      </c>
      <c r="U2" s="95">
        <f>VLOOKUP(A2,'BSE ALL CAP'!$B$4:$Y$1038,20,)</f>
        <v>4.7251173222262188E-3</v>
      </c>
      <c r="V2" s="95">
        <f>VLOOKUP(A2,'BSE ALL CAP'!$B$4:$Y$1038,21,)</f>
        <v>0.1067921956636968</v>
      </c>
      <c r="W2" s="95">
        <f>VLOOKUP(A2,'BSE ALL CAP'!$B$4:$Y$1038,22,)</f>
        <v>-1.5947146599840645E-3</v>
      </c>
      <c r="X2" s="95">
        <f>VLOOKUP(A2,'BSE ALL CAP'!$B$4:$Y$1038,23,)</f>
        <v>0.13491773308957944</v>
      </c>
      <c r="Y2" s="95">
        <f>VLOOKUP(A2,'BSE ALL CAP'!$B$4:$Y$1038,24,)</f>
        <v>0.16017912504305887</v>
      </c>
    </row>
    <row r="3" spans="1:25" ht="15.75" customHeight="1">
      <c r="A3" s="99">
        <v>532488</v>
      </c>
      <c r="B3" s="98" t="s">
        <v>101</v>
      </c>
      <c r="C3" s="101" t="str">
        <f>VLOOKUP(A3,'BSE ALL CAP'!$B$4:$Y$1038,2,)</f>
        <v>Healthcare</v>
      </c>
      <c r="D3" s="101" t="str">
        <f>VLOOKUP(A3,'BSE ALL CAP'!$B$4:$Y$1038,3,)</f>
        <v>Pharmaceuticals</v>
      </c>
      <c r="E3" s="101">
        <f ca="1">IFERROR(__xludf.DUMMYFUNCTION("GOOGLEFINANCE(""BOM:""&amp;A3,""PRICE"")"),5813.9)</f>
        <v>5813.9</v>
      </c>
      <c r="F3" s="112">
        <f ca="1">IFERROR(__xludf.DUMMYFUNCTION("GOOGLEFINANCE(""BOM:""&amp;A3,""MARKETCAP"")/10000000"),154436.35805)</f>
        <v>154436.35805000001</v>
      </c>
      <c r="G3" s="95">
        <f t="shared" ca="1" si="0"/>
        <v>6.9677281824854123E-2</v>
      </c>
      <c r="H3" s="101">
        <f>VLOOKUP(A3,'BSE ALL CAP'!$B$4:$Y$1038,7,)</f>
        <v>7729</v>
      </c>
      <c r="I3" s="101">
        <f>VLOOKUP(A3,'BSE ALL CAP'!$B$4:$Y$1038,8,)</f>
        <v>6775</v>
      </c>
      <c r="J3" s="101">
        <f>VLOOKUP(A3,'BSE ALL CAP'!$B$4:$Y$1038,9,)</f>
        <v>1817</v>
      </c>
      <c r="K3" s="101">
        <f>VLOOKUP(A3,'BSE ALL CAP'!$B$4:$Y$1038,10,)</f>
        <v>1529</v>
      </c>
      <c r="L3" s="101">
        <f>VLOOKUP(A3,'BSE ALL CAP'!$B$4:$Y$1038,11,)</f>
        <v>2604</v>
      </c>
      <c r="M3" s="101">
        <f>VLOOKUP(A3,'BSE ALL CAP'!$B$4:$Y$1038,12,)</f>
        <v>2319</v>
      </c>
      <c r="N3" s="101">
        <f>VLOOKUP(A3,'BSE ALL CAP'!$B$4:$Y$1038,13,)</f>
        <v>583</v>
      </c>
      <c r="O3" s="101">
        <f>VLOOKUP(A3,'BSE ALL CAP'!$B$4:$Y$1038,14,)</f>
        <v>589</v>
      </c>
      <c r="P3" s="95">
        <f>VLOOKUP(A3,'BSE ALL CAP'!$B$4:$Y$1038,15,)</f>
        <v>0.2350886272480269</v>
      </c>
      <c r="Q3" s="95">
        <f>VLOOKUP(A3,'BSE ALL CAP'!$B$4:$Y$1038,16,)</f>
        <v>0.22568265682656827</v>
      </c>
      <c r="R3" s="95">
        <f>VLOOKUP(A3,'BSE ALL CAP'!$B$4:$Y$1038,17,)</f>
        <v>9.4059704214586315E-3</v>
      </c>
      <c r="S3" s="95">
        <f>VLOOKUP(A3,'BSE ALL CAP'!$B$4:$Y$1038,18,)</f>
        <v>0.22388632872503841</v>
      </c>
      <c r="T3" s="95">
        <f>VLOOKUP(A3,'BSE ALL CAP'!$B$4:$Y$1038,19,)</f>
        <v>0.2539887882708064</v>
      </c>
      <c r="U3" s="95">
        <f>VLOOKUP(A3,'BSE ALL CAP'!$B$4:$Y$1038,20,)</f>
        <v>-3.0102459545767984E-2</v>
      </c>
      <c r="V3" s="95">
        <f>VLOOKUP(A3,'BSE ALL CAP'!$B$4:$Y$1038,21,)</f>
        <v>0.14081180811808114</v>
      </c>
      <c r="W3" s="95">
        <f>VLOOKUP(A3,'BSE ALL CAP'!$B$4:$Y$1038,22,)</f>
        <v>0.18835840418574223</v>
      </c>
      <c r="X3" s="95">
        <f>VLOOKUP(A3,'BSE ALL CAP'!$B$4:$Y$1038,23,)</f>
        <v>0.12289780077619672</v>
      </c>
      <c r="Y3" s="95">
        <f>VLOOKUP(A3,'BSE ALL CAP'!$B$4:$Y$1038,24,)</f>
        <v>-1.018675721561968E-2</v>
      </c>
    </row>
    <row r="4" spans="1:25" ht="15.75" customHeight="1">
      <c r="A4" s="99">
        <v>500420</v>
      </c>
      <c r="B4" s="98" t="s">
        <v>3229</v>
      </c>
      <c r="C4" s="101" t="str">
        <f>VLOOKUP(A4,'BSE ALL CAP'!$B$4:$Y$1038,2,)</f>
        <v>Healthcare</v>
      </c>
      <c r="D4" s="101" t="str">
        <f>VLOOKUP(A4,'BSE ALL CAP'!$B$4:$Y$1038,3,)</f>
        <v>Pharmaceuticals</v>
      </c>
      <c r="E4" s="101">
        <f ca="1">IFERROR(__xludf.DUMMYFUNCTION("GOOGLEFINANCE(""BOM:""&amp;A4,""PRICE"")"),4007.6)</f>
        <v>4007.6</v>
      </c>
      <c r="F4" s="112">
        <f ca="1">IFERROR(__xludf.DUMMYFUNCTION("GOOGLEFINANCE(""BOM:""&amp;A4,""MARKETCAP"")/10000000"),135581.2673)</f>
        <v>135581.26730000001</v>
      </c>
      <c r="G4" s="95">
        <f t="shared" ca="1" si="0"/>
        <v>6.117040243058864E-2</v>
      </c>
      <c r="H4" s="101">
        <f>VLOOKUP(A4,'BSE ALL CAP'!$B$4:$Y$1038,7,)</f>
        <v>9783</v>
      </c>
      <c r="I4" s="101">
        <f>VLOOKUP(A4,'BSE ALL CAP'!$B$4:$Y$1038,8,)</f>
        <v>8557</v>
      </c>
      <c r="J4" s="101">
        <f>VLOOKUP(A4,'BSE ALL CAP'!$B$4:$Y$1038,9,)</f>
        <v>1774</v>
      </c>
      <c r="K4" s="101">
        <f>VLOOKUP(A4,'BSE ALL CAP'!$B$4:$Y$1038,10,)</f>
        <v>1413</v>
      </c>
      <c r="L4" s="101">
        <f>VLOOKUP(A4,'BSE ALL CAP'!$B$4:$Y$1038,11,)</f>
        <v>3303</v>
      </c>
      <c r="M4" s="101">
        <f>VLOOKUP(A4,'BSE ALL CAP'!$B$4:$Y$1038,12,)</f>
        <v>2809</v>
      </c>
      <c r="N4" s="101">
        <f>VLOOKUP(A4,'BSE ALL CAP'!$B$4:$Y$1038,13,)</f>
        <v>635</v>
      </c>
      <c r="O4" s="101">
        <f>VLOOKUP(A4,'BSE ALL CAP'!$B$4:$Y$1038,14,)</f>
        <v>503</v>
      </c>
      <c r="P4" s="95">
        <f>VLOOKUP(A4,'BSE ALL CAP'!$B$4:$Y$1038,15,)</f>
        <v>0.18133496882346928</v>
      </c>
      <c r="Q4" s="95">
        <f>VLOOKUP(A4,'BSE ALL CAP'!$B$4:$Y$1038,16,)</f>
        <v>0.16512796540843755</v>
      </c>
      <c r="R4" s="95">
        <f>VLOOKUP(A4,'BSE ALL CAP'!$B$4:$Y$1038,17,)</f>
        <v>1.6207003415031729E-2</v>
      </c>
      <c r="S4" s="95">
        <f>VLOOKUP(A4,'BSE ALL CAP'!$B$4:$Y$1038,18,)</f>
        <v>0.19224947017862548</v>
      </c>
      <c r="T4" s="95">
        <f>VLOOKUP(A4,'BSE ALL CAP'!$B$4:$Y$1038,19,)</f>
        <v>0.17906728373086508</v>
      </c>
      <c r="U4" s="95">
        <f>VLOOKUP(A4,'BSE ALL CAP'!$B$4:$Y$1038,20,)</f>
        <v>1.3182186447760397E-2</v>
      </c>
      <c r="V4" s="95">
        <f>VLOOKUP(A4,'BSE ALL CAP'!$B$4:$Y$1038,21,)</f>
        <v>0.14327451209536046</v>
      </c>
      <c r="W4" s="95">
        <f>VLOOKUP(A4,'BSE ALL CAP'!$B$4:$Y$1038,22,)</f>
        <v>0.25548478414720455</v>
      </c>
      <c r="X4" s="95">
        <f>VLOOKUP(A4,'BSE ALL CAP'!$B$4:$Y$1038,23,)</f>
        <v>0.17586329654681387</v>
      </c>
      <c r="Y4" s="95">
        <f>VLOOKUP(A4,'BSE ALL CAP'!$B$4:$Y$1038,24,)</f>
        <v>0.2624254473161034</v>
      </c>
    </row>
    <row r="5" spans="1:25" ht="15.75" customHeight="1">
      <c r="A5" s="99">
        <v>500087</v>
      </c>
      <c r="B5" s="98" t="s">
        <v>3230</v>
      </c>
      <c r="C5" s="101" t="str">
        <f>VLOOKUP(A5,'BSE ALL CAP'!$B$4:$Y$1038,2,)</f>
        <v>Healthcare</v>
      </c>
      <c r="D5" s="101" t="str">
        <f>VLOOKUP(A5,'BSE ALL CAP'!$B$4:$Y$1038,3,)</f>
        <v>Pharmaceuticals</v>
      </c>
      <c r="E5" s="101">
        <f ca="1">IFERROR(__xludf.DUMMYFUNCTION("GOOGLEFINANCE(""BOM:""&amp;A5,""PRICE"")"),1198.45)</f>
        <v>1198.45</v>
      </c>
      <c r="F5" s="112">
        <f ca="1">IFERROR(__xludf.DUMMYFUNCTION("GOOGLEFINANCE(""BOM:""&amp;A5,""MARKETCAP"")/10000000"),96956.3020647)</f>
        <v>96956.302064699994</v>
      </c>
      <c r="G5" s="95">
        <f t="shared" ca="1" si="0"/>
        <v>4.3743919300859128E-2</v>
      </c>
      <c r="H5" s="101">
        <f>VLOOKUP(A5,'BSE ALL CAP'!$B$4:$Y$1038,7,)</f>
        <v>21621</v>
      </c>
      <c r="I5" s="101">
        <f>VLOOKUP(A5,'BSE ALL CAP'!$B$4:$Y$1038,8,)</f>
        <v>20817</v>
      </c>
      <c r="J5" s="101">
        <f>VLOOKUP(A5,'BSE ALL CAP'!$B$4:$Y$1038,9,)</f>
        <v>3319</v>
      </c>
      <c r="K5" s="101">
        <f>VLOOKUP(A5,'BSE ALL CAP'!$B$4:$Y$1038,10,)</f>
        <v>4055</v>
      </c>
      <c r="L5" s="101">
        <f>VLOOKUP(A5,'BSE ALL CAP'!$B$4:$Y$1038,11,)</f>
        <v>7074</v>
      </c>
      <c r="M5" s="101">
        <f>VLOOKUP(A5,'BSE ALL CAP'!$B$4:$Y$1038,12,)</f>
        <v>7072</v>
      </c>
      <c r="N5" s="101">
        <f>VLOOKUP(A5,'BSE ALL CAP'!$B$4:$Y$1038,13,)</f>
        <v>674</v>
      </c>
      <c r="O5" s="101">
        <f>VLOOKUP(A5,'BSE ALL CAP'!$B$4:$Y$1038,14,)</f>
        <v>1574</v>
      </c>
      <c r="P5" s="95">
        <f>VLOOKUP(A5,'BSE ALL CAP'!$B$4:$Y$1038,15,)</f>
        <v>0.15350816335969658</v>
      </c>
      <c r="Q5" s="95">
        <f>VLOOKUP(A5,'BSE ALL CAP'!$B$4:$Y$1038,16,)</f>
        <v>0.19479271749051255</v>
      </c>
      <c r="R5" s="95">
        <f>VLOOKUP(A5,'BSE ALL CAP'!$B$4:$Y$1038,17,)</f>
        <v>-4.128455413081597E-2</v>
      </c>
      <c r="S5" s="95">
        <f>VLOOKUP(A5,'BSE ALL CAP'!$B$4:$Y$1038,18,)</f>
        <v>9.5278484591461696E-2</v>
      </c>
      <c r="T5" s="95">
        <f>VLOOKUP(A5,'BSE ALL CAP'!$B$4:$Y$1038,19,)</f>
        <v>0.22256787330316741</v>
      </c>
      <c r="U5" s="95">
        <f>VLOOKUP(A5,'BSE ALL CAP'!$B$4:$Y$1038,20,)</f>
        <v>-0.1272893887117057</v>
      </c>
      <c r="V5" s="95">
        <f>VLOOKUP(A5,'BSE ALL CAP'!$B$4:$Y$1038,21,)</f>
        <v>3.8622279867416065E-2</v>
      </c>
      <c r="W5" s="95">
        <f>VLOOKUP(A5,'BSE ALL CAP'!$B$4:$Y$1038,22,)</f>
        <v>-0.18150431565967939</v>
      </c>
      <c r="X5" s="95">
        <f>VLOOKUP(A5,'BSE ALL CAP'!$B$4:$Y$1038,23,)</f>
        <v>2.8280542986425239E-4</v>
      </c>
      <c r="Y5" s="95">
        <f>VLOOKUP(A5,'BSE ALL CAP'!$B$4:$Y$1038,24,)</f>
        <v>-0.5717916137229988</v>
      </c>
    </row>
    <row r="6" spans="1:25" ht="15.75" customHeight="1">
      <c r="A6" s="99">
        <v>500124</v>
      </c>
      <c r="B6" s="98" t="s">
        <v>3231</v>
      </c>
      <c r="C6" s="101" t="str">
        <f>VLOOKUP(A6,'BSE ALL CAP'!$B$4:$Y$1038,2,)</f>
        <v>Healthcare</v>
      </c>
      <c r="D6" s="101" t="str">
        <f>VLOOKUP(A6,'BSE ALL CAP'!$B$4:$Y$1038,3,)</f>
        <v>Pharmaceuticals</v>
      </c>
      <c r="E6" s="101">
        <f ca="1">IFERROR(__xludf.DUMMYFUNCTION("GOOGLEFINANCE(""BOM:""&amp;A6,""PRICE"")"),1211.95)</f>
        <v>1211.95</v>
      </c>
      <c r="F6" s="112">
        <f ca="1">IFERROR(__xludf.DUMMYFUNCTION("GOOGLEFINANCE(""BOM:""&amp;A6,""MARKETCAP"")/10000000"),100711.27703)</f>
        <v>100711.27703</v>
      </c>
      <c r="G6" s="95">
        <f t="shared" ca="1" si="0"/>
        <v>4.543805695216125E-2</v>
      </c>
      <c r="H6" s="101">
        <f>VLOOKUP(A6,'BSE ALL CAP'!$B$4:$Y$1038,7,)</f>
        <v>26077</v>
      </c>
      <c r="I6" s="101">
        <f>VLOOKUP(A6,'BSE ALL CAP'!$B$4:$Y$1038,8,)</f>
        <v>24047</v>
      </c>
      <c r="J6" s="101">
        <f>VLOOKUP(A6,'BSE ALL CAP'!$B$4:$Y$1038,9,)</f>
        <v>4026</v>
      </c>
      <c r="K6" s="101">
        <f>VLOOKUP(A6,'BSE ALL CAP'!$B$4:$Y$1038,10,)</f>
        <v>4137</v>
      </c>
      <c r="L6" s="101">
        <f>VLOOKUP(A6,'BSE ALL CAP'!$B$4:$Y$1038,11,)</f>
        <v>8726</v>
      </c>
      <c r="M6" s="101">
        <f>VLOOKUP(A6,'BSE ALL CAP'!$B$4:$Y$1038,12,)</f>
        <v>8358</v>
      </c>
      <c r="N6" s="101">
        <f>VLOOKUP(A6,'BSE ALL CAP'!$B$4:$Y$1038,13,)</f>
        <v>1189</v>
      </c>
      <c r="O6" s="101">
        <f>VLOOKUP(A6,'BSE ALL CAP'!$B$4:$Y$1038,14,)</f>
        <v>1403</v>
      </c>
      <c r="P6" s="95">
        <f>VLOOKUP(A6,'BSE ALL CAP'!$B$4:$Y$1038,15,)</f>
        <v>0.15438892510641561</v>
      </c>
      <c r="Q6" s="95">
        <f>VLOOKUP(A6,'BSE ALL CAP'!$B$4:$Y$1038,16,)</f>
        <v>0.17203809206969684</v>
      </c>
      <c r="R6" s="95">
        <f>VLOOKUP(A6,'BSE ALL CAP'!$B$4:$Y$1038,17,)</f>
        <v>-1.7649166963281226E-2</v>
      </c>
      <c r="S6" s="95">
        <f>VLOOKUP(A6,'BSE ALL CAP'!$B$4:$Y$1038,18,)</f>
        <v>0.1362594545037818</v>
      </c>
      <c r="T6" s="95">
        <f>VLOOKUP(A6,'BSE ALL CAP'!$B$4:$Y$1038,19,)</f>
        <v>0.16786312514955731</v>
      </c>
      <c r="U6" s="95">
        <f>VLOOKUP(A6,'BSE ALL CAP'!$B$4:$Y$1038,20,)</f>
        <v>-3.1603670645775517E-2</v>
      </c>
      <c r="V6" s="95">
        <f>VLOOKUP(A6,'BSE ALL CAP'!$B$4:$Y$1038,21,)</f>
        <v>8.4418014721171053E-2</v>
      </c>
      <c r="W6" s="95">
        <f>VLOOKUP(A6,'BSE ALL CAP'!$B$4:$Y$1038,22,)</f>
        <v>-2.6831036983321233E-2</v>
      </c>
      <c r="X6" s="95">
        <f>VLOOKUP(A6,'BSE ALL CAP'!$B$4:$Y$1038,23,)</f>
        <v>4.4029672170375678E-2</v>
      </c>
      <c r="Y6" s="95">
        <f>VLOOKUP(A6,'BSE ALL CAP'!$B$4:$Y$1038,24,)</f>
        <v>-0.15253029223093373</v>
      </c>
    </row>
    <row r="7" spans="1:25" ht="15.75" customHeight="1">
      <c r="A7" s="99">
        <v>500257</v>
      </c>
      <c r="B7" s="98" t="s">
        <v>3232</v>
      </c>
      <c r="C7" s="101" t="str">
        <f>VLOOKUP(A7,'BSE ALL CAP'!$B$4:$Y$1038,2,)</f>
        <v>Healthcare</v>
      </c>
      <c r="D7" s="101" t="str">
        <f>VLOOKUP(A7,'BSE ALL CAP'!$B$4:$Y$1038,3,)</f>
        <v>Pharmaceuticals</v>
      </c>
      <c r="E7" s="101">
        <f ca="1">IFERROR(__xludf.DUMMYFUNCTION("GOOGLEFINANCE(""BOM:""&amp;A7,""PRICE"")"),2273.7)</f>
        <v>2273.6999999999998</v>
      </c>
      <c r="F7" s="112">
        <f ca="1">IFERROR(__xludf.DUMMYFUNCTION("GOOGLEFINANCE(""BOM:""&amp;A7,""MARKETCAP"")/10000000"),103962.52734)</f>
        <v>103962.52734</v>
      </c>
      <c r="G7" s="95">
        <f t="shared" ca="1" si="0"/>
        <v>4.6904928400008206E-2</v>
      </c>
      <c r="H7" s="101">
        <f>VLOOKUP(A7,'BSE ALL CAP'!$B$4:$Y$1038,7,)</f>
        <v>20095</v>
      </c>
      <c r="I7" s="101">
        <f>VLOOKUP(A7,'BSE ALL CAP'!$B$4:$Y$1038,8,)</f>
        <v>16629</v>
      </c>
      <c r="J7" s="101">
        <f>VLOOKUP(A7,'BSE ALL CAP'!$B$4:$Y$1038,9,)</f>
        <v>3886</v>
      </c>
      <c r="K7" s="101">
        <f>VLOOKUP(A7,'BSE ALL CAP'!$B$4:$Y$1038,10,)</f>
        <v>2523</v>
      </c>
      <c r="L7" s="101">
        <f>VLOOKUP(A7,'BSE ALL CAP'!$B$4:$Y$1038,11,)</f>
        <v>7100</v>
      </c>
      <c r="M7" s="101">
        <f>VLOOKUP(A7,'BSE ALL CAP'!$B$4:$Y$1038,12,)</f>
        <v>5618</v>
      </c>
      <c r="N7" s="101">
        <f>VLOOKUP(A7,'BSE ALL CAP'!$B$4:$Y$1038,13,)</f>
        <v>1180</v>
      </c>
      <c r="O7" s="101">
        <f>VLOOKUP(A7,'BSE ALL CAP'!$B$4:$Y$1038,14,)</f>
        <v>858</v>
      </c>
      <c r="P7" s="95">
        <f>VLOOKUP(A7,'BSE ALL CAP'!$B$4:$Y$1038,15,)</f>
        <v>0.19338143816869868</v>
      </c>
      <c r="Q7" s="95">
        <f>VLOOKUP(A7,'BSE ALL CAP'!$B$4:$Y$1038,16,)</f>
        <v>0.15172289373985207</v>
      </c>
      <c r="R7" s="95">
        <f>VLOOKUP(A7,'BSE ALL CAP'!$B$4:$Y$1038,17,)</f>
        <v>4.1658544428846617E-2</v>
      </c>
      <c r="S7" s="95">
        <f>VLOOKUP(A7,'BSE ALL CAP'!$B$4:$Y$1038,18,)</f>
        <v>0.16619718309859155</v>
      </c>
      <c r="T7" s="95">
        <f>VLOOKUP(A7,'BSE ALL CAP'!$B$4:$Y$1038,19,)</f>
        <v>0.15272338910644356</v>
      </c>
      <c r="U7" s="95">
        <f>VLOOKUP(A7,'BSE ALL CAP'!$B$4:$Y$1038,20,)</f>
        <v>1.3473793992147987E-2</v>
      </c>
      <c r="V7" s="95">
        <f>VLOOKUP(A7,'BSE ALL CAP'!$B$4:$Y$1038,21,)</f>
        <v>0.20843105418245234</v>
      </c>
      <c r="W7" s="95">
        <f>VLOOKUP(A7,'BSE ALL CAP'!$B$4:$Y$1038,22,)</f>
        <v>0.54022988505747116</v>
      </c>
      <c r="X7" s="95">
        <f>VLOOKUP(A7,'BSE ALL CAP'!$B$4:$Y$1038,23,)</f>
        <v>0.26379494482022081</v>
      </c>
      <c r="Y7" s="95">
        <f>VLOOKUP(A7,'BSE ALL CAP'!$B$4:$Y$1038,24,)</f>
        <v>0.37529137529137535</v>
      </c>
    </row>
    <row r="8" spans="1:25" ht="15.75" customHeight="1">
      <c r="A8" s="99">
        <v>532321</v>
      </c>
      <c r="B8" s="98" t="s">
        <v>3233</v>
      </c>
      <c r="C8" s="101" t="str">
        <f>VLOOKUP(A8,'BSE ALL CAP'!$B$4:$Y$1038,2,)</f>
        <v>Healthcare</v>
      </c>
      <c r="D8" s="101" t="str">
        <f>VLOOKUP(A8,'BSE ALL CAP'!$B$4:$Y$1038,3,)</f>
        <v>Packaged Foods</v>
      </c>
      <c r="E8" s="101">
        <f ca="1">IFERROR(__xludf.DUMMYFUNCTION("GOOGLEFINANCE(""BOM:""&amp;A8,""PRICE"")"),862.8)</f>
        <v>862.8</v>
      </c>
      <c r="F8" s="112">
        <f ca="1">IFERROR(__xludf.DUMMYFUNCTION("GOOGLEFINANCE(""BOM:""&amp;A8,""MARKETCAP"")/10000000"),86777.6226166)</f>
        <v>86777.622616599998</v>
      </c>
      <c r="G8" s="95">
        <f t="shared" ca="1" si="0"/>
        <v>3.9151589324517046E-2</v>
      </c>
      <c r="H8" s="101">
        <f>VLOOKUP(A8,'BSE ALL CAP'!$B$4:$Y$1038,7,)</f>
        <v>2463</v>
      </c>
      <c r="I8" s="101">
        <f>VLOOKUP(A8,'BSE ALL CAP'!$B$4:$Y$1038,8,)</f>
        <v>1780</v>
      </c>
      <c r="J8" s="101">
        <f>VLOOKUP(A8,'BSE ALL CAP'!$B$4:$Y$1038,9,)</f>
        <v>35</v>
      </c>
      <c r="K8" s="101">
        <f>VLOOKUP(A8,'BSE ALL CAP'!$B$4:$Y$1038,10,)</f>
        <v>175</v>
      </c>
      <c r="L8" s="101">
        <f>VLOOKUP(A8,'BSE ALL CAP'!$B$4:$Y$1038,11,)</f>
        <v>963</v>
      </c>
      <c r="M8" s="101">
        <f>VLOOKUP(A8,'BSE ALL CAP'!$B$4:$Y$1038,12,)</f>
        <v>450</v>
      </c>
      <c r="N8" s="101">
        <f>VLOOKUP(A8,'BSE ALL CAP'!$B$4:$Y$1038,13,)</f>
        <v>-39</v>
      </c>
      <c r="O8" s="101">
        <f>VLOOKUP(A8,'BSE ALL CAP'!$B$4:$Y$1038,14,)</f>
        <v>6</v>
      </c>
      <c r="P8" s="95">
        <f>VLOOKUP(A8,'BSE ALL CAP'!$B$4:$Y$1038,15,)</f>
        <v>1.4210312626877792E-2</v>
      </c>
      <c r="Q8" s="95">
        <f>VLOOKUP(A8,'BSE ALL CAP'!$B$4:$Y$1038,16,)</f>
        <v>9.8314606741573038E-2</v>
      </c>
      <c r="R8" s="95">
        <f>VLOOKUP(A8,'BSE ALL CAP'!$B$4:$Y$1038,17,)</f>
        <v>-8.4104294114695249E-2</v>
      </c>
      <c r="S8" s="95">
        <f>VLOOKUP(A8,'BSE ALL CAP'!$B$4:$Y$1038,18,)</f>
        <v>-4.0498442367601244E-2</v>
      </c>
      <c r="T8" s="95">
        <f>VLOOKUP(A8,'BSE ALL CAP'!$B$4:$Y$1038,19,)</f>
        <v>1.3333333333333334E-2</v>
      </c>
      <c r="U8" s="95">
        <f>VLOOKUP(A8,'BSE ALL CAP'!$B$4:$Y$1038,20,)</f>
        <v>-5.383177570093458E-2</v>
      </c>
      <c r="V8" s="95">
        <f>VLOOKUP(A8,'BSE ALL CAP'!$B$4:$Y$1038,21,)</f>
        <v>0.38370786516853927</v>
      </c>
      <c r="W8" s="95">
        <f>VLOOKUP(A8,'BSE ALL CAP'!$B$4:$Y$1038,22,)</f>
        <v>-0.8</v>
      </c>
      <c r="X8" s="95">
        <f>VLOOKUP(A8,'BSE ALL CAP'!$B$4:$Y$1038,23,)</f>
        <v>1.1400000000000001</v>
      </c>
      <c r="Y8" s="95">
        <f>VLOOKUP(A8,'BSE ALL CAP'!$B$4:$Y$1038,24,)</f>
        <v>-7.5</v>
      </c>
    </row>
    <row r="9" spans="1:25" ht="15.75" customHeight="1">
      <c r="A9" s="99">
        <v>543904</v>
      </c>
      <c r="B9" s="98" t="s">
        <v>3234</v>
      </c>
      <c r="C9" s="101" t="str">
        <f>VLOOKUP(A9,'BSE ALL CAP'!$B$4:$Y$1038,2,)</f>
        <v>Healthcare</v>
      </c>
      <c r="D9" s="101" t="str">
        <f>VLOOKUP(A9,'BSE ALL CAP'!$B$4:$Y$1038,3,)</f>
        <v>Pharmaceuticals</v>
      </c>
      <c r="E9" s="101">
        <f ca="1">IFERROR(__xludf.DUMMYFUNCTION("GOOGLEFINANCE(""BOM:""&amp;A9,""PRICE"")"),2013.7)</f>
        <v>2013.7</v>
      </c>
      <c r="F9" s="112">
        <f ca="1">IFERROR(__xludf.DUMMYFUNCTION("GOOGLEFINANCE(""BOM:""&amp;A9,""MARKETCAP"")/10000000"),83139.4923448)</f>
        <v>83139.492344800005</v>
      </c>
      <c r="G9" s="95">
        <f t="shared" ca="1" si="0"/>
        <v>3.7510168667720216E-2</v>
      </c>
      <c r="H9" s="101">
        <f>VLOOKUP(A9,'BSE ALL CAP'!$B$4:$Y$1038,7,)</f>
        <v>10835</v>
      </c>
      <c r="I9" s="101">
        <f>VLOOKUP(A9,'BSE ALL CAP'!$B$4:$Y$1038,8,)</f>
        <v>9128</v>
      </c>
      <c r="J9" s="101">
        <f>VLOOKUP(A9,'BSE ALL CAP'!$B$4:$Y$1038,9,)</f>
        <v>1379</v>
      </c>
      <c r="K9" s="101">
        <f>VLOOKUP(A9,'BSE ALL CAP'!$B$4:$Y$1038,10,)</f>
        <v>1586</v>
      </c>
      <c r="L9" s="101">
        <f>VLOOKUP(A9,'BSE ALL CAP'!$B$4:$Y$1038,11,)</f>
        <v>3567</v>
      </c>
      <c r="M9" s="101">
        <f>VLOOKUP(A9,'BSE ALL CAP'!$B$4:$Y$1038,12,)</f>
        <v>3199</v>
      </c>
      <c r="N9" s="101">
        <f>VLOOKUP(A9,'BSE ALL CAP'!$B$4:$Y$1038,13,)</f>
        <v>414</v>
      </c>
      <c r="O9" s="101">
        <f>VLOOKUP(A9,'BSE ALL CAP'!$B$4:$Y$1038,14,)</f>
        <v>386</v>
      </c>
      <c r="P9" s="95">
        <f>VLOOKUP(A9,'BSE ALL CAP'!$B$4:$Y$1038,15,)</f>
        <v>0.12727272727272726</v>
      </c>
      <c r="Q9" s="95">
        <f>VLOOKUP(A9,'BSE ALL CAP'!$B$4:$Y$1038,16,)</f>
        <v>0.17375109553023663</v>
      </c>
      <c r="R9" s="95">
        <f>VLOOKUP(A9,'BSE ALL CAP'!$B$4:$Y$1038,17,)</f>
        <v>-4.6478368257509367E-2</v>
      </c>
      <c r="S9" s="95">
        <f>VLOOKUP(A9,'BSE ALL CAP'!$B$4:$Y$1038,18,)</f>
        <v>0.11606391925988226</v>
      </c>
      <c r="T9" s="95">
        <f>VLOOKUP(A9,'BSE ALL CAP'!$B$4:$Y$1038,19,)</f>
        <v>0.12066270709596749</v>
      </c>
      <c r="U9" s="95">
        <f>VLOOKUP(A9,'BSE ALL CAP'!$B$4:$Y$1038,20,)</f>
        <v>-4.5987878360852358E-3</v>
      </c>
      <c r="V9" s="95">
        <f>VLOOKUP(A9,'BSE ALL CAP'!$B$4:$Y$1038,21,)</f>
        <v>0.1870070113935145</v>
      </c>
      <c r="W9" s="95">
        <f>VLOOKUP(A9,'BSE ALL CAP'!$B$4:$Y$1038,22,)</f>
        <v>-0.13051702395964693</v>
      </c>
      <c r="X9" s="95">
        <f>VLOOKUP(A9,'BSE ALL CAP'!$B$4:$Y$1038,23,)</f>
        <v>0.11503594873397938</v>
      </c>
      <c r="Y9" s="95">
        <f>VLOOKUP(A9,'BSE ALL CAP'!$B$4:$Y$1038,24,)</f>
        <v>7.2538860103626979E-2</v>
      </c>
    </row>
    <row r="10" spans="1:25" ht="15.75" customHeight="1">
      <c r="A10" s="99">
        <v>524804</v>
      </c>
      <c r="B10" s="98" t="s">
        <v>3235</v>
      </c>
      <c r="C10" s="101" t="str">
        <f>VLOOKUP(A10,'BSE ALL CAP'!$B$4:$Y$1038,2,)</f>
        <v>Healthcare</v>
      </c>
      <c r="D10" s="101" t="str">
        <f>VLOOKUP(A10,'BSE ALL CAP'!$B$4:$Y$1038,3,)</f>
        <v>Pharmaceuticals</v>
      </c>
      <c r="E10" s="101">
        <f ca="1">IFERROR(__xludf.DUMMYFUNCTION("GOOGLEFINANCE(""BOM:""&amp;A10,""PRICE"")"),1336.65)</f>
        <v>1336.65</v>
      </c>
      <c r="F10" s="112">
        <f ca="1">IFERROR(__xludf.DUMMYFUNCTION("GOOGLEFINANCE(""BOM:""&amp;A10,""MARKETCAP"")/10000000"),77670.6008039)</f>
        <v>77670.600803900001</v>
      </c>
      <c r="G10" s="95">
        <f t="shared" ca="1" si="0"/>
        <v>3.504276072067785E-2</v>
      </c>
      <c r="H10" s="101">
        <f>VLOOKUP(A10,'BSE ALL CAP'!$B$4:$Y$1038,7,)</f>
        <v>24633</v>
      </c>
      <c r="I10" s="101">
        <f>VLOOKUP(A10,'BSE ALL CAP'!$B$4:$Y$1038,8,)</f>
        <v>22997</v>
      </c>
      <c r="J10" s="101">
        <f>VLOOKUP(A10,'BSE ALL CAP'!$B$4:$Y$1038,9,)</f>
        <v>2582</v>
      </c>
      <c r="K10" s="101">
        <f>VLOOKUP(A10,'BSE ALL CAP'!$B$4:$Y$1038,10,)</f>
        <v>2580</v>
      </c>
      <c r="L10" s="101">
        <f>VLOOKUP(A10,'BSE ALL CAP'!$B$4:$Y$1038,11,)</f>
        <v>8604</v>
      </c>
      <c r="M10" s="101">
        <f>VLOOKUP(A10,'BSE ALL CAP'!$B$4:$Y$1038,12,)</f>
        <v>7893</v>
      </c>
      <c r="N10" s="101">
        <f>VLOOKUP(A10,'BSE ALL CAP'!$B$4:$Y$1038,13,)</f>
        <v>909</v>
      </c>
      <c r="O10" s="101">
        <f>VLOOKUP(A10,'BSE ALL CAP'!$B$4:$Y$1038,14,)</f>
        <v>845</v>
      </c>
      <c r="P10" s="95">
        <f>VLOOKUP(A10,'BSE ALL CAP'!$B$4:$Y$1038,15,)</f>
        <v>0.10481873908983884</v>
      </c>
      <c r="Q10" s="95">
        <f>VLOOKUP(A10,'BSE ALL CAP'!$B$4:$Y$1038,16,)</f>
        <v>0.11218854633213028</v>
      </c>
      <c r="R10" s="95">
        <f>VLOOKUP(A10,'BSE ALL CAP'!$B$4:$Y$1038,17,)</f>
        <v>-7.3698072422914429E-3</v>
      </c>
      <c r="S10" s="95">
        <f>VLOOKUP(A10,'BSE ALL CAP'!$B$4:$Y$1038,18,)</f>
        <v>0.10564853556485355</v>
      </c>
      <c r="T10" s="95">
        <f>VLOOKUP(A10,'BSE ALL CAP'!$B$4:$Y$1038,19,)</f>
        <v>0.10705688584821994</v>
      </c>
      <c r="U10" s="95">
        <f>VLOOKUP(A10,'BSE ALL CAP'!$B$4:$Y$1038,20,)</f>
        <v>-1.4083502833663886E-3</v>
      </c>
      <c r="V10" s="95">
        <f>VLOOKUP(A10,'BSE ALL CAP'!$B$4:$Y$1038,21,)</f>
        <v>7.1139713875722821E-2</v>
      </c>
      <c r="W10" s="95">
        <f>VLOOKUP(A10,'BSE ALL CAP'!$B$4:$Y$1038,22,)</f>
        <v>7.751937984497026E-4</v>
      </c>
      <c r="X10" s="95">
        <f>VLOOKUP(A10,'BSE ALL CAP'!$B$4:$Y$1038,23,)</f>
        <v>9.0079817559863162E-2</v>
      </c>
      <c r="Y10" s="95">
        <f>VLOOKUP(A10,'BSE ALL CAP'!$B$4:$Y$1038,24,)</f>
        <v>7.5739644970414188E-2</v>
      </c>
    </row>
    <row r="11" spans="1:25" ht="15.75" customHeight="1">
      <c r="A11" s="99">
        <v>539523</v>
      </c>
      <c r="B11" s="98" t="s">
        <v>3236</v>
      </c>
      <c r="C11" s="101" t="str">
        <f>VLOOKUP(A11,'BSE ALL CAP'!$B$4:$Y$1038,2,)</f>
        <v>Healthcare</v>
      </c>
      <c r="D11" s="101" t="str">
        <f>VLOOKUP(A11,'BSE ALL CAP'!$B$4:$Y$1038,3,)</f>
        <v>Pharmaceuticals</v>
      </c>
      <c r="E11" s="101">
        <f ca="1">IFERROR(__xludf.DUMMYFUNCTION("GOOGLEFINANCE(""BOM:""&amp;A11,""PRICE"")"),5218.5)</f>
        <v>5218.5</v>
      </c>
      <c r="F11" s="112">
        <f ca="1">IFERROR(__xludf.DUMMYFUNCTION("GOOGLEFINANCE(""BOM:""&amp;A11,""MARKETCAP"")/10000000"),62383.03875)</f>
        <v>62383.03875</v>
      </c>
      <c r="G11" s="95">
        <f t="shared" ca="1" si="0"/>
        <v>2.8145448565079945E-2</v>
      </c>
      <c r="H11" s="101">
        <f>VLOOKUP(A11,'BSE ALL CAP'!$B$4:$Y$1038,7,)</f>
        <v>11108</v>
      </c>
      <c r="I11" s="101">
        <f>VLOOKUP(A11,'BSE ALL CAP'!$B$4:$Y$1038,8,)</f>
        <v>9820</v>
      </c>
      <c r="J11" s="101">
        <f>VLOOKUP(A11,'BSE ALL CAP'!$B$4:$Y$1038,9,)</f>
        <v>2100</v>
      </c>
      <c r="K11" s="101">
        <f>VLOOKUP(A11,'BSE ALL CAP'!$B$4:$Y$1038,10,)</f>
        <v>1892</v>
      </c>
      <c r="L11" s="101">
        <f>VLOOKUP(A11,'BSE ALL CAP'!$B$4:$Y$1038,11,)</f>
        <v>3736</v>
      </c>
      <c r="M11" s="101">
        <f>VLOOKUP(A11,'BSE ALL CAP'!$B$4:$Y$1038,12,)</f>
        <v>3374</v>
      </c>
      <c r="N11" s="101">
        <f>VLOOKUP(A11,'BSE ALL CAP'!$B$4:$Y$1038,13,)</f>
        <v>653</v>
      </c>
      <c r="O11" s="101">
        <f>VLOOKUP(A11,'BSE ALL CAP'!$B$4:$Y$1038,14,)</f>
        <v>640</v>
      </c>
      <c r="P11" s="95">
        <f>VLOOKUP(A11,'BSE ALL CAP'!$B$4:$Y$1038,15,)</f>
        <v>0.18905293482175009</v>
      </c>
      <c r="Q11" s="95">
        <f>VLOOKUP(A11,'BSE ALL CAP'!$B$4:$Y$1038,16,)</f>
        <v>0.19266802443991854</v>
      </c>
      <c r="R11" s="95">
        <f>VLOOKUP(A11,'BSE ALL CAP'!$B$4:$Y$1038,17,)</f>
        <v>-3.6150896181684489E-3</v>
      </c>
      <c r="S11" s="95">
        <f>VLOOKUP(A11,'BSE ALL CAP'!$B$4:$Y$1038,18,)</f>
        <v>0.17478586723768735</v>
      </c>
      <c r="T11" s="95">
        <f>VLOOKUP(A11,'BSE ALL CAP'!$B$4:$Y$1038,19,)</f>
        <v>0.1896858328393598</v>
      </c>
      <c r="U11" s="95">
        <f>VLOOKUP(A11,'BSE ALL CAP'!$B$4:$Y$1038,20,)</f>
        <v>-1.4899965601672449E-2</v>
      </c>
      <c r="V11" s="95">
        <f>VLOOKUP(A11,'BSE ALL CAP'!$B$4:$Y$1038,21,)</f>
        <v>0.13116089613034632</v>
      </c>
      <c r="W11" s="95">
        <f>VLOOKUP(A11,'BSE ALL CAP'!$B$4:$Y$1038,22,)</f>
        <v>0.10993657505285404</v>
      </c>
      <c r="X11" s="95">
        <f>VLOOKUP(A11,'BSE ALL CAP'!$B$4:$Y$1038,23,)</f>
        <v>0.10729104919976296</v>
      </c>
      <c r="Y11" s="95">
        <f>VLOOKUP(A11,'BSE ALL CAP'!$B$4:$Y$1038,24,)</f>
        <v>2.0312499999999956E-2</v>
      </c>
    </row>
    <row r="12" spans="1:25" ht="15.75" customHeight="1">
      <c r="A12" s="99">
        <v>532523</v>
      </c>
      <c r="B12" s="98" t="s">
        <v>3237</v>
      </c>
      <c r="C12" s="101" t="str">
        <f>VLOOKUP(A12,'BSE ALL CAP'!$B$4:$Y$1038,2,)</f>
        <v>Healthcare</v>
      </c>
      <c r="D12" s="101" t="str">
        <f>VLOOKUP(A12,'BSE ALL CAP'!$B$4:$Y$1038,3,)</f>
        <v>Pharmaceuticals</v>
      </c>
      <c r="E12" s="101">
        <f ca="1">IFERROR(__xludf.DUMMYFUNCTION("GOOGLEFINANCE(""BOM:""&amp;A12,""PRICE"")"),354.8)</f>
        <v>354.8</v>
      </c>
      <c r="F12" s="112">
        <f ca="1">IFERROR(__xludf.DUMMYFUNCTION("GOOGLEFINANCE(""BOM:""&amp;A12,""MARKETCAP"")/10000000"),57453.8619032)</f>
        <v>57453.861903199999</v>
      </c>
      <c r="G12" s="95">
        <f t="shared" ca="1" si="0"/>
        <v>2.5921544500935707E-2</v>
      </c>
      <c r="H12" s="101">
        <f>VLOOKUP(A12,'BSE ALL CAP'!$B$4:$Y$1038,7,)</f>
        <v>12410</v>
      </c>
      <c r="I12" s="101">
        <f>VLOOKUP(A12,'BSE ALL CAP'!$B$4:$Y$1038,8,)</f>
        <v>10844</v>
      </c>
      <c r="J12" s="101">
        <f>VLOOKUP(A12,'BSE ALL CAP'!$B$4:$Y$1038,9,)</f>
        <v>170</v>
      </c>
      <c r="K12" s="101">
        <f>VLOOKUP(A12,'BSE ALL CAP'!$B$4:$Y$1038,10,)</f>
        <v>970</v>
      </c>
      <c r="L12" s="101">
        <f>VLOOKUP(A12,'BSE ALL CAP'!$B$4:$Y$1038,11,)</f>
        <v>4173</v>
      </c>
      <c r="M12" s="101">
        <f>VLOOKUP(A12,'BSE ALL CAP'!$B$4:$Y$1038,12,)</f>
        <v>3821</v>
      </c>
      <c r="N12" s="101">
        <f>VLOOKUP(A12,'BSE ALL CAP'!$B$4:$Y$1038,13,)</f>
        <v>-51</v>
      </c>
      <c r="O12" s="101">
        <f>VLOOKUP(A12,'BSE ALL CAP'!$B$4:$Y$1038,14,)</f>
        <v>81</v>
      </c>
      <c r="P12" s="95">
        <f>VLOOKUP(A12,'BSE ALL CAP'!$B$4:$Y$1038,15,)</f>
        <v>1.3698630136986301E-2</v>
      </c>
      <c r="Q12" s="95">
        <f>VLOOKUP(A12,'BSE ALL CAP'!$B$4:$Y$1038,16,)</f>
        <v>8.9450387310955365E-2</v>
      </c>
      <c r="R12" s="95">
        <f>VLOOKUP(A12,'BSE ALL CAP'!$B$4:$Y$1038,17,)</f>
        <v>-7.5751757173969064E-2</v>
      </c>
      <c r="S12" s="95">
        <f>VLOOKUP(A12,'BSE ALL CAP'!$B$4:$Y$1038,18,)</f>
        <v>-1.2221423436376708E-2</v>
      </c>
      <c r="T12" s="95">
        <f>VLOOKUP(A12,'BSE ALL CAP'!$B$4:$Y$1038,19,)</f>
        <v>2.1198639099712119E-2</v>
      </c>
      <c r="U12" s="95">
        <f>VLOOKUP(A12,'BSE ALL CAP'!$B$4:$Y$1038,20,)</f>
        <v>-3.3420062536088826E-2</v>
      </c>
      <c r="V12" s="95">
        <f>VLOOKUP(A12,'BSE ALL CAP'!$B$4:$Y$1038,21,)</f>
        <v>0.14441165621541874</v>
      </c>
      <c r="W12" s="95">
        <f>VLOOKUP(A12,'BSE ALL CAP'!$B$4:$Y$1038,22,)</f>
        <v>-0.82474226804123707</v>
      </c>
      <c r="X12" s="95">
        <f>VLOOKUP(A12,'BSE ALL CAP'!$B$4:$Y$1038,23,)</f>
        <v>9.2122481025909364E-2</v>
      </c>
      <c r="Y12" s="95">
        <f>VLOOKUP(A12,'BSE ALL CAP'!$B$4:$Y$1038,24,)</f>
        <v>-1.6296296296296298</v>
      </c>
    </row>
    <row r="13" spans="1:25" ht="15.75" customHeight="1">
      <c r="A13" s="99">
        <v>532296</v>
      </c>
      <c r="B13" s="98" t="s">
        <v>3238</v>
      </c>
      <c r="C13" s="101" t="str">
        <f>VLOOKUP(A13,'BSE ALL CAP'!$B$4:$Y$1038,2,)</f>
        <v>Healthcare</v>
      </c>
      <c r="D13" s="101" t="str">
        <f>VLOOKUP(A13,'BSE ALL CAP'!$B$4:$Y$1038,3,)</f>
        <v>Pharmaceuticals</v>
      </c>
      <c r="E13" s="101">
        <f ca="1">IFERROR(__xludf.DUMMYFUNCTION("GOOGLEFINANCE(""BOM:""&amp;A13,""PRICE"")"),2105.3)</f>
        <v>2105.3000000000002</v>
      </c>
      <c r="F13" s="112">
        <f ca="1">IFERROR(__xludf.DUMMYFUNCTION("GOOGLEFINANCE(""BOM:""&amp;A13,""MARKETCAP"")/10000000"),59406.0721128)</f>
        <v>59406.0721128</v>
      </c>
      <c r="G13" s="95">
        <f t="shared" ca="1" si="0"/>
        <v>2.6802326090667433E-2</v>
      </c>
      <c r="H13" s="101">
        <f>VLOOKUP(A13,'BSE ALL CAP'!$B$4:$Y$1038,7,)</f>
        <v>13211</v>
      </c>
      <c r="I13" s="101">
        <f>VLOOKUP(A13,'BSE ALL CAP'!$B$4:$Y$1038,8,)</f>
        <v>10065</v>
      </c>
      <c r="J13" s="101">
        <f>VLOOKUP(A13,'BSE ALL CAP'!$B$4:$Y$1038,9,)</f>
        <v>1060</v>
      </c>
      <c r="K13" s="101">
        <f>VLOOKUP(A13,'BSE ALL CAP'!$B$4:$Y$1038,10,)</f>
        <v>1042</v>
      </c>
      <c r="L13" s="101">
        <f>VLOOKUP(A13,'BSE ALL CAP'!$B$4:$Y$1038,11,)</f>
        <v>3900</v>
      </c>
      <c r="M13" s="101">
        <f>VLOOKUP(A13,'BSE ALL CAP'!$B$4:$Y$1038,12,)</f>
        <v>3387</v>
      </c>
      <c r="N13" s="101">
        <f>VLOOKUP(A13,'BSE ALL CAP'!$B$4:$Y$1038,13,)</f>
        <v>403</v>
      </c>
      <c r="O13" s="101">
        <f>VLOOKUP(A13,'BSE ALL CAP'!$B$4:$Y$1038,14,)</f>
        <v>348</v>
      </c>
      <c r="P13" s="95">
        <f>VLOOKUP(A13,'BSE ALL CAP'!$B$4:$Y$1038,15,)</f>
        <v>8.0236166830671404E-2</v>
      </c>
      <c r="Q13" s="95">
        <f>VLOOKUP(A13,'BSE ALL CAP'!$B$4:$Y$1038,16,)</f>
        <v>0.1035270740188773</v>
      </c>
      <c r="R13" s="95">
        <f>VLOOKUP(A13,'BSE ALL CAP'!$B$4:$Y$1038,17,)</f>
        <v>-2.3290907188205895E-2</v>
      </c>
      <c r="S13" s="95">
        <f>VLOOKUP(A13,'BSE ALL CAP'!$B$4:$Y$1038,18,)</f>
        <v>0.10333333333333333</v>
      </c>
      <c r="T13" s="95">
        <f>VLOOKUP(A13,'BSE ALL CAP'!$B$4:$Y$1038,19,)</f>
        <v>0.10274579273693533</v>
      </c>
      <c r="U13" s="95">
        <f>VLOOKUP(A13,'BSE ALL CAP'!$B$4:$Y$1038,20,)</f>
        <v>5.8754059639799794E-4</v>
      </c>
      <c r="V13" s="95">
        <f>VLOOKUP(A13,'BSE ALL CAP'!$B$4:$Y$1038,21,)</f>
        <v>0.312568306010929</v>
      </c>
      <c r="W13" s="95">
        <f>VLOOKUP(A13,'BSE ALL CAP'!$B$4:$Y$1038,22,)</f>
        <v>1.7274472168905985E-2</v>
      </c>
      <c r="X13" s="95">
        <f>VLOOKUP(A13,'BSE ALL CAP'!$B$4:$Y$1038,23,)</f>
        <v>0.15146147032772372</v>
      </c>
      <c r="Y13" s="95">
        <f>VLOOKUP(A13,'BSE ALL CAP'!$B$4:$Y$1038,24,)</f>
        <v>0.15804597701149414</v>
      </c>
    </row>
    <row r="14" spans="1:25" ht="15.75" customHeight="1">
      <c r="A14" s="99">
        <v>540222</v>
      </c>
      <c r="B14" s="98" t="s">
        <v>3239</v>
      </c>
      <c r="C14" s="101" t="str">
        <f>VLOOKUP(A14,'BSE ALL CAP'!$B$4:$Y$1038,2,)</f>
        <v>Healthcare</v>
      </c>
      <c r="D14" s="101" t="str">
        <f>VLOOKUP(A14,'BSE ALL CAP'!$B$4:$Y$1038,3,)</f>
        <v>Pharmaceuticals</v>
      </c>
      <c r="E14" s="101">
        <f ca="1">IFERROR(__xludf.DUMMYFUNCTION("GOOGLEFINANCE(""BOM:""&amp;A14,""PRICE"")"),1058.4)</f>
        <v>1058.4000000000001</v>
      </c>
      <c r="F14" s="112">
        <f ca="1">IFERROR(__xludf.DUMMYFUNCTION("GOOGLEFINANCE(""BOM:""&amp;A14,""MARKETCAP"")/10000000"),57168.1014314)</f>
        <v>57168.101431399999</v>
      </c>
      <c r="G14" s="95">
        <f t="shared" ca="1" si="0"/>
        <v>2.5792617522992046E-2</v>
      </c>
      <c r="H14" s="101">
        <f>VLOOKUP(A14,'BSE ALL CAP'!$B$4:$Y$1038,7,)</f>
        <v>5001</v>
      </c>
      <c r="I14" s="101">
        <f>VLOOKUP(A14,'BSE ALL CAP'!$B$4:$Y$1038,8,)</f>
        <v>3833</v>
      </c>
      <c r="J14" s="101">
        <f>VLOOKUP(A14,'BSE ALL CAP'!$B$4:$Y$1038,9,)</f>
        <v>607</v>
      </c>
      <c r="K14" s="101">
        <f>VLOOKUP(A14,'BSE ALL CAP'!$B$4:$Y$1038,10,)</f>
        <v>120</v>
      </c>
      <c r="L14" s="101">
        <f>VLOOKUP(A14,'BSE ALL CAP'!$B$4:$Y$1038,11,)</f>
        <v>1778</v>
      </c>
      <c r="M14" s="101">
        <f>VLOOKUP(A14,'BSE ALL CAP'!$B$4:$Y$1038,12,)</f>
        <v>1415</v>
      </c>
      <c r="N14" s="101">
        <f>VLOOKUP(A14,'BSE ALL CAP'!$B$4:$Y$1038,13,)</f>
        <v>253</v>
      </c>
      <c r="O14" s="101">
        <f>VLOOKUP(A14,'BSE ALL CAP'!$B$4:$Y$1038,14,)</f>
        <v>90</v>
      </c>
      <c r="P14" s="95">
        <f>VLOOKUP(A14,'BSE ALL CAP'!$B$4:$Y$1038,15,)</f>
        <v>0.121375724855029</v>
      </c>
      <c r="Q14" s="95">
        <f>VLOOKUP(A14,'BSE ALL CAP'!$B$4:$Y$1038,16,)</f>
        <v>3.1307070180015655E-2</v>
      </c>
      <c r="R14" s="95">
        <f>VLOOKUP(A14,'BSE ALL CAP'!$B$4:$Y$1038,17,)</f>
        <v>9.0068654675013349E-2</v>
      </c>
      <c r="S14" s="95">
        <f>VLOOKUP(A14,'BSE ALL CAP'!$B$4:$Y$1038,18,)</f>
        <v>0.1422947131608549</v>
      </c>
      <c r="T14" s="95">
        <f>VLOOKUP(A14,'BSE ALL CAP'!$B$4:$Y$1038,19,)</f>
        <v>6.3604240282685506E-2</v>
      </c>
      <c r="U14" s="95">
        <f>VLOOKUP(A14,'BSE ALL CAP'!$B$4:$Y$1038,20,)</f>
        <v>7.8690472878169396E-2</v>
      </c>
      <c r="V14" s="95">
        <f>VLOOKUP(A14,'BSE ALL CAP'!$B$4:$Y$1038,21,)</f>
        <v>0.30472214975215239</v>
      </c>
      <c r="W14" s="95">
        <f>VLOOKUP(A14,'BSE ALL CAP'!$B$4:$Y$1038,22,)</f>
        <v>4.0583333333333336</v>
      </c>
      <c r="X14" s="95">
        <f>VLOOKUP(A14,'BSE ALL CAP'!$B$4:$Y$1038,23,)</f>
        <v>0.25653710247349815</v>
      </c>
      <c r="Y14" s="95">
        <f>VLOOKUP(A14,'BSE ALL CAP'!$B$4:$Y$1038,24,)</f>
        <v>1.8111111111111109</v>
      </c>
    </row>
    <row r="15" spans="1:25" ht="15.75" customHeight="1">
      <c r="A15" s="99">
        <v>500488</v>
      </c>
      <c r="B15" s="98" t="s">
        <v>3240</v>
      </c>
      <c r="C15" s="101" t="str">
        <f>VLOOKUP(A15,'BSE ALL CAP'!$B$4:$Y$1038,2,)</f>
        <v>Healthcare</v>
      </c>
      <c r="D15" s="101" t="str">
        <f>VLOOKUP(A15,'BSE ALL CAP'!$B$4:$Y$1038,3,)</f>
        <v>Pharmaceuticals</v>
      </c>
      <c r="E15" s="101">
        <f ca="1">IFERROR(__xludf.DUMMYFUNCTION("GOOGLEFINANCE(""BOM:""&amp;A15,""PRICE"")"),25905.55)</f>
        <v>25905.55</v>
      </c>
      <c r="F15" s="112">
        <f ca="1">IFERROR(__xludf.DUMMYFUNCTION("GOOGLEFINANCE(""BOM:""&amp;A15,""MARKETCAP"")/10000000"),55035.687)</f>
        <v>55035.686999999998</v>
      </c>
      <c r="G15" s="95">
        <f t="shared" ca="1" si="0"/>
        <v>2.4830532925944376E-2</v>
      </c>
      <c r="H15" s="101">
        <f>VLOOKUP(A15,'BSE ALL CAP'!$B$4:$Y$1038,7,)</f>
        <v>5220</v>
      </c>
      <c r="I15" s="101">
        <f>VLOOKUP(A15,'BSE ALL CAP'!$B$4:$Y$1038,8,)</f>
        <v>4805</v>
      </c>
      <c r="J15" s="101">
        <f>VLOOKUP(A15,'BSE ALL CAP'!$B$4:$Y$1038,9,)</f>
        <v>1157</v>
      </c>
      <c r="K15" s="101">
        <f>VLOOKUP(A15,'BSE ALL CAP'!$B$4:$Y$1038,10,)</f>
        <v>1047</v>
      </c>
      <c r="L15" s="101">
        <f>VLOOKUP(A15,'BSE ALL CAP'!$B$4:$Y$1038,11,)</f>
        <v>1724</v>
      </c>
      <c r="M15" s="101">
        <f>VLOOKUP(A15,'BSE ALL CAP'!$B$4:$Y$1038,12,)</f>
        <v>1614</v>
      </c>
      <c r="N15" s="101">
        <f>VLOOKUP(A15,'BSE ALL CAP'!$B$4:$Y$1038,13,)</f>
        <v>376</v>
      </c>
      <c r="O15" s="101">
        <f>VLOOKUP(A15,'BSE ALL CAP'!$B$4:$Y$1038,14,)</f>
        <v>361</v>
      </c>
      <c r="P15" s="95">
        <f>VLOOKUP(A15,'BSE ALL CAP'!$B$4:$Y$1038,15,)</f>
        <v>0.22164750957854407</v>
      </c>
      <c r="Q15" s="95">
        <f>VLOOKUP(A15,'BSE ALL CAP'!$B$4:$Y$1038,16,)</f>
        <v>0.21789802289281998</v>
      </c>
      <c r="R15" s="95">
        <f>VLOOKUP(A15,'BSE ALL CAP'!$B$4:$Y$1038,17,)</f>
        <v>3.7494866857240849E-3</v>
      </c>
      <c r="S15" s="95">
        <f>VLOOKUP(A15,'BSE ALL CAP'!$B$4:$Y$1038,18,)</f>
        <v>0.21809744779582366</v>
      </c>
      <c r="T15" s="95">
        <f>VLOOKUP(A15,'BSE ALL CAP'!$B$4:$Y$1038,19,)</f>
        <v>0.22366790582403964</v>
      </c>
      <c r="U15" s="95">
        <f>VLOOKUP(A15,'BSE ALL CAP'!$B$4:$Y$1038,20,)</f>
        <v>-5.5704580282159855E-3</v>
      </c>
      <c r="V15" s="95">
        <f>VLOOKUP(A15,'BSE ALL CAP'!$B$4:$Y$1038,21,)</f>
        <v>8.6368366285119569E-2</v>
      </c>
      <c r="W15" s="95">
        <f>VLOOKUP(A15,'BSE ALL CAP'!$B$4:$Y$1038,22,)</f>
        <v>0.10506208213944612</v>
      </c>
      <c r="X15" s="95">
        <f>VLOOKUP(A15,'BSE ALL CAP'!$B$4:$Y$1038,23,)</f>
        <v>6.8153655514250344E-2</v>
      </c>
      <c r="Y15" s="95">
        <f>VLOOKUP(A15,'BSE ALL CAP'!$B$4:$Y$1038,24,)</f>
        <v>4.1551246537396169E-2</v>
      </c>
    </row>
    <row r="16" spans="1:25" ht="15.75" customHeight="1">
      <c r="A16" s="99">
        <v>500660</v>
      </c>
      <c r="B16" s="98" t="s">
        <v>3241</v>
      </c>
      <c r="C16" s="101" t="str">
        <f>VLOOKUP(A16,'BSE ALL CAP'!$B$4:$Y$1038,2,)</f>
        <v>Healthcare</v>
      </c>
      <c r="D16" s="101" t="str">
        <f>VLOOKUP(A16,'BSE ALL CAP'!$B$4:$Y$1038,3,)</f>
        <v>Pharmaceuticals</v>
      </c>
      <c r="E16" s="101">
        <f ca="1">IFERROR(__xludf.DUMMYFUNCTION("GOOGLEFINANCE(""BOM:""&amp;A16,""PRICE"")"),2330.7)</f>
        <v>2330.6999999999998</v>
      </c>
      <c r="F16" s="112">
        <f ca="1">IFERROR(__xludf.DUMMYFUNCTION("GOOGLEFINANCE(""BOM:""&amp;A16,""MARKETCAP"")/10000000"),39534.2773928)</f>
        <v>39534.277392800002</v>
      </c>
      <c r="G16" s="95">
        <f t="shared" ca="1" si="0"/>
        <v>1.7836738851017501E-2</v>
      </c>
      <c r="H16" s="101">
        <f>VLOOKUP(A16,'BSE ALL CAP'!$B$4:$Y$1038,7,)</f>
        <v>2926</v>
      </c>
      <c r="I16" s="101">
        <f>VLOOKUP(A16,'BSE ALL CAP'!$B$4:$Y$1038,8,)</f>
        <v>2774</v>
      </c>
      <c r="J16" s="101">
        <f>VLOOKUP(A16,'BSE ALL CAP'!$B$4:$Y$1038,9,)</f>
        <v>758</v>
      </c>
      <c r="K16" s="101">
        <f>VLOOKUP(A16,'BSE ALL CAP'!$B$4:$Y$1038,10,)</f>
        <v>664</v>
      </c>
      <c r="L16" s="101">
        <f>VLOOKUP(A16,'BSE ALL CAP'!$B$4:$Y$1038,11,)</f>
        <v>1041</v>
      </c>
      <c r="M16" s="101">
        <f>VLOOKUP(A16,'BSE ALL CAP'!$B$4:$Y$1038,12,)</f>
        <v>909</v>
      </c>
      <c r="N16" s="101">
        <f>VLOOKUP(A16,'BSE ALL CAP'!$B$4:$Y$1038,13,)</f>
        <v>295</v>
      </c>
      <c r="O16" s="101">
        <f>VLOOKUP(A16,'BSE ALL CAP'!$B$4:$Y$1038,14,)</f>
        <v>929</v>
      </c>
      <c r="P16" s="95">
        <f>VLOOKUP(A16,'BSE ALL CAP'!$B$4:$Y$1038,15,)</f>
        <v>0.25905673274094326</v>
      </c>
      <c r="Q16" s="95">
        <f>VLOOKUP(A16,'BSE ALL CAP'!$B$4:$Y$1038,16,)</f>
        <v>0.23936553713049746</v>
      </c>
      <c r="R16" s="95">
        <f>VLOOKUP(A16,'BSE ALL CAP'!$B$4:$Y$1038,17,)</f>
        <v>1.96911956104458E-2</v>
      </c>
      <c r="S16" s="95">
        <f>VLOOKUP(A16,'BSE ALL CAP'!$B$4:$Y$1038,18,)</f>
        <v>0.28338136407300674</v>
      </c>
      <c r="T16" s="95">
        <f>VLOOKUP(A16,'BSE ALL CAP'!$B$4:$Y$1038,19,)</f>
        <v>1.022002200220022</v>
      </c>
      <c r="U16" s="95">
        <f>VLOOKUP(A16,'BSE ALL CAP'!$B$4:$Y$1038,20,)</f>
        <v>-0.73862083614701524</v>
      </c>
      <c r="V16" s="95">
        <f>VLOOKUP(A16,'BSE ALL CAP'!$B$4:$Y$1038,21,)</f>
        <v>5.4794520547945202E-2</v>
      </c>
      <c r="W16" s="95">
        <f>VLOOKUP(A16,'BSE ALL CAP'!$B$4:$Y$1038,22,)</f>
        <v>0.14156626506024095</v>
      </c>
      <c r="X16" s="95">
        <f>VLOOKUP(A16,'BSE ALL CAP'!$B$4:$Y$1038,23,)</f>
        <v>0.1452145214521452</v>
      </c>
      <c r="Y16" s="95">
        <f>VLOOKUP(A16,'BSE ALL CAP'!$B$4:$Y$1038,24,)</f>
        <v>-0.68245425188374598</v>
      </c>
    </row>
    <row r="17" spans="1:25" ht="15.75" customHeight="1">
      <c r="A17" s="99">
        <v>524494</v>
      </c>
      <c r="B17" s="98" t="s">
        <v>3242</v>
      </c>
      <c r="C17" s="101" t="str">
        <f>VLOOKUP(A17,'BSE ALL CAP'!$B$4:$Y$1038,2,)</f>
        <v>Healthcare</v>
      </c>
      <c r="D17" s="101" t="str">
        <f>VLOOKUP(A17,'BSE ALL CAP'!$B$4:$Y$1038,3,)</f>
        <v>Pharmaceuticals</v>
      </c>
      <c r="E17" s="101">
        <f ca="1">IFERROR(__xludf.DUMMYFUNCTION("GOOGLEFINANCE(""BOM:""&amp;A17,""PRICE"")"),1444.3)</f>
        <v>1444.3</v>
      </c>
      <c r="F17" s="112">
        <f ca="1">IFERROR(__xludf.DUMMYFUNCTION("GOOGLEFINANCE(""BOM:""&amp;A17,""MARKETCAP"")/10000000"),36650.1081126)</f>
        <v>36650.108112599999</v>
      </c>
      <c r="G17" s="95">
        <f t="shared" ca="1" si="0"/>
        <v>1.6535483898462745E-2</v>
      </c>
      <c r="H17" s="101">
        <f>VLOOKUP(A17,'BSE ALL CAP'!$B$4:$Y$1038,7,)</f>
        <v>7258</v>
      </c>
      <c r="I17" s="101">
        <f>VLOOKUP(A17,'BSE ALL CAP'!$B$4:$Y$1038,8,)</f>
        <v>6693</v>
      </c>
      <c r="J17" s="101">
        <f>VLOOKUP(A17,'BSE ALL CAP'!$B$4:$Y$1038,9,)</f>
        <v>893</v>
      </c>
      <c r="K17" s="101">
        <f>VLOOKUP(A17,'BSE ALL CAP'!$B$4:$Y$1038,10,)</f>
        <v>704</v>
      </c>
      <c r="L17" s="101">
        <f>VLOOKUP(A17,'BSE ALL CAP'!$B$4:$Y$1038,11,)</f>
        <v>2352</v>
      </c>
      <c r="M17" s="101">
        <f>VLOOKUP(A17,'BSE ALL CAP'!$B$4:$Y$1038,12,)</f>
        <v>2245</v>
      </c>
      <c r="N17" s="101">
        <f>VLOOKUP(A17,'BSE ALL CAP'!$B$4:$Y$1038,13,)</f>
        <v>363</v>
      </c>
      <c r="O17" s="101">
        <f>VLOOKUP(A17,'BSE ALL CAP'!$B$4:$Y$1038,14,)</f>
        <v>264</v>
      </c>
      <c r="P17" s="95">
        <f>VLOOKUP(A17,'BSE ALL CAP'!$B$4:$Y$1038,15,)</f>
        <v>0.12303664921465969</v>
      </c>
      <c r="Q17" s="95">
        <f>VLOOKUP(A17,'BSE ALL CAP'!$B$4:$Y$1038,16,)</f>
        <v>0.10518452114149111</v>
      </c>
      <c r="R17" s="95">
        <f>VLOOKUP(A17,'BSE ALL CAP'!$B$4:$Y$1038,17,)</f>
        <v>1.7852128073168577E-2</v>
      </c>
      <c r="S17" s="95">
        <f>VLOOKUP(A17,'BSE ALL CAP'!$B$4:$Y$1038,18,)</f>
        <v>0.15433673469387754</v>
      </c>
      <c r="T17" s="95">
        <f>VLOOKUP(A17,'BSE ALL CAP'!$B$4:$Y$1038,19,)</f>
        <v>0.11759465478841871</v>
      </c>
      <c r="U17" s="95">
        <f>VLOOKUP(A17,'BSE ALL CAP'!$B$4:$Y$1038,20,)</f>
        <v>3.674207990545883E-2</v>
      </c>
      <c r="V17" s="95">
        <f>VLOOKUP(A17,'BSE ALL CAP'!$B$4:$Y$1038,21,)</f>
        <v>8.4416554609293204E-2</v>
      </c>
      <c r="W17" s="95">
        <f>VLOOKUP(A17,'BSE ALL CAP'!$B$4:$Y$1038,22,)</f>
        <v>0.26846590909090917</v>
      </c>
      <c r="X17" s="95">
        <f>VLOOKUP(A17,'BSE ALL CAP'!$B$4:$Y$1038,23,)</f>
        <v>4.7661469933184764E-2</v>
      </c>
      <c r="Y17" s="95">
        <f>VLOOKUP(A17,'BSE ALL CAP'!$B$4:$Y$1038,24,)</f>
        <v>0.375</v>
      </c>
    </row>
    <row r="18" spans="1:25" ht="15.75" customHeight="1">
      <c r="A18" s="99">
        <v>532331</v>
      </c>
      <c r="B18" s="98" t="s">
        <v>3243</v>
      </c>
      <c r="C18" s="101" t="str">
        <f>VLOOKUP(A18,'BSE ALL CAP'!$B$4:$Y$1038,2,)</f>
        <v>Healthcare</v>
      </c>
      <c r="D18" s="101" t="str">
        <f>VLOOKUP(A18,'BSE ALL CAP'!$B$4:$Y$1038,3,)</f>
        <v>Pharmaceuticals</v>
      </c>
      <c r="E18" s="101">
        <f ca="1">IFERROR(__xludf.DUMMYFUNCTION("GOOGLEFINANCE(""BOM:""&amp;A18,""PRICE"")"),2739.9)</f>
        <v>2739.9</v>
      </c>
      <c r="F18" s="112">
        <f ca="1">IFERROR(__xludf.DUMMYFUNCTION("GOOGLEFINANCE(""BOM:""&amp;A18,""MARKETCAP"")/10000000"),34226.10762)</f>
        <v>34226.107620000002</v>
      </c>
      <c r="G18" s="95">
        <f t="shared" ca="1" si="0"/>
        <v>1.5441843983619679E-2</v>
      </c>
      <c r="H18" s="101">
        <f>VLOOKUP(A18,'BSE ALL CAP'!$B$4:$Y$1038,7,)</f>
        <v>4031</v>
      </c>
      <c r="I18" s="101">
        <f>VLOOKUP(A18,'BSE ALL CAP'!$B$4:$Y$1038,8,)</f>
        <v>3478</v>
      </c>
      <c r="J18" s="101">
        <f>VLOOKUP(A18,'BSE ALL CAP'!$B$4:$Y$1038,9,)</f>
        <v>789</v>
      </c>
      <c r="K18" s="101">
        <f>VLOOKUP(A18,'BSE ALL CAP'!$B$4:$Y$1038,10,)</f>
        <v>695</v>
      </c>
      <c r="L18" s="101">
        <f>VLOOKUP(A18,'BSE ALL CAP'!$B$4:$Y$1038,11,)</f>
        <v>1375</v>
      </c>
      <c r="M18" s="101">
        <f>VLOOKUP(A18,'BSE ALL CAP'!$B$4:$Y$1038,12,)</f>
        <v>1146</v>
      </c>
      <c r="N18" s="101">
        <f>VLOOKUP(A18,'BSE ALL CAP'!$B$4:$Y$1038,13,)</f>
        <v>274</v>
      </c>
      <c r="O18" s="101">
        <f>VLOOKUP(A18,'BSE ALL CAP'!$B$4:$Y$1038,14,)</f>
        <v>233</v>
      </c>
      <c r="P18" s="95">
        <f>VLOOKUP(A18,'BSE ALL CAP'!$B$4:$Y$1038,15,)</f>
        <v>0.19573306871743984</v>
      </c>
      <c r="Q18" s="95">
        <f>VLOOKUP(A18,'BSE ALL CAP'!$B$4:$Y$1038,16,)</f>
        <v>0.19982748706152961</v>
      </c>
      <c r="R18" s="95">
        <f>VLOOKUP(A18,'BSE ALL CAP'!$B$4:$Y$1038,17,)</f>
        <v>-4.094418344089773E-3</v>
      </c>
      <c r="S18" s="95">
        <f>VLOOKUP(A18,'BSE ALL CAP'!$B$4:$Y$1038,18,)</f>
        <v>0.19927272727272727</v>
      </c>
      <c r="T18" s="95">
        <f>VLOOKUP(A18,'BSE ALL CAP'!$B$4:$Y$1038,19,)</f>
        <v>0.20331588132635253</v>
      </c>
      <c r="U18" s="95">
        <f>VLOOKUP(A18,'BSE ALL CAP'!$B$4:$Y$1038,20,)</f>
        <v>-4.0431540536252641E-3</v>
      </c>
      <c r="V18" s="95">
        <f>VLOOKUP(A18,'BSE ALL CAP'!$B$4:$Y$1038,21,)</f>
        <v>0.1589994249568718</v>
      </c>
      <c r="W18" s="95">
        <f>VLOOKUP(A18,'BSE ALL CAP'!$B$4:$Y$1038,22,)</f>
        <v>0.13525179856115099</v>
      </c>
      <c r="X18" s="95">
        <f>VLOOKUP(A18,'BSE ALL CAP'!$B$4:$Y$1038,23,)</f>
        <v>0.19982547993019195</v>
      </c>
      <c r="Y18" s="95">
        <f>VLOOKUP(A18,'BSE ALL CAP'!$B$4:$Y$1038,24,)</f>
        <v>0.17596566523605151</v>
      </c>
    </row>
    <row r="19" spans="1:25" ht="15.75" customHeight="1">
      <c r="A19" s="99">
        <v>506943</v>
      </c>
      <c r="B19" s="98" t="s">
        <v>3244</v>
      </c>
      <c r="C19" s="101" t="str">
        <f>VLOOKUP(A19,'BSE ALL CAP'!$B$4:$Y$1038,2,)</f>
        <v>Healthcare</v>
      </c>
      <c r="D19" s="101" t="str">
        <f>VLOOKUP(A19,'BSE ALL CAP'!$B$4:$Y$1038,3,)</f>
        <v>Pharmaceuticals</v>
      </c>
      <c r="E19" s="101">
        <f ca="1">IFERROR(__xludf.DUMMYFUNCTION("GOOGLEFINANCE(""BOM:""&amp;A19,""PRICE"")"),1952.45)</f>
        <v>1952.45</v>
      </c>
      <c r="F19" s="112">
        <f ca="1">IFERROR(__xludf.DUMMYFUNCTION("GOOGLEFINANCE(""BOM:""&amp;A19,""MARKETCAP"")/10000000"),31373.16998)</f>
        <v>31373.169979999999</v>
      </c>
      <c r="G19" s="95">
        <f t="shared" ca="1" si="0"/>
        <v>1.415467985671987E-2</v>
      </c>
      <c r="H19" s="101">
        <f>VLOOKUP(A19,'BSE ALL CAP'!$B$4:$Y$1038,7,)</f>
        <v>3243</v>
      </c>
      <c r="I19" s="101">
        <f>VLOOKUP(A19,'BSE ALL CAP'!$B$4:$Y$1038,8,)</f>
        <v>2968</v>
      </c>
      <c r="J19" s="101">
        <f>VLOOKUP(A19,'BSE ALL CAP'!$B$4:$Y$1038,9,)</f>
        <v>608</v>
      </c>
      <c r="K19" s="101">
        <f>VLOOKUP(A19,'BSE ALL CAP'!$B$4:$Y$1038,10,)</f>
        <v>513</v>
      </c>
      <c r="L19" s="101">
        <f>VLOOKUP(A19,'BSE ALL CAP'!$B$4:$Y$1038,11,)</f>
        <v>1064</v>
      </c>
      <c r="M19" s="101">
        <f>VLOOKUP(A19,'BSE ALL CAP'!$B$4:$Y$1038,12,)</f>
        <v>963</v>
      </c>
      <c r="N19" s="101">
        <f>VLOOKUP(A19,'BSE ALL CAP'!$B$4:$Y$1038,13,)</f>
        <v>197</v>
      </c>
      <c r="O19" s="101">
        <f>VLOOKUP(A19,'BSE ALL CAP'!$B$4:$Y$1038,14,)</f>
        <v>162</v>
      </c>
      <c r="P19" s="95">
        <f>VLOOKUP(A19,'BSE ALL CAP'!$B$4:$Y$1038,15,)</f>
        <v>0.18748072772124577</v>
      </c>
      <c r="Q19" s="95">
        <f>VLOOKUP(A19,'BSE ALL CAP'!$B$4:$Y$1038,16,)</f>
        <v>0.17284366576819407</v>
      </c>
      <c r="R19" s="95">
        <f>VLOOKUP(A19,'BSE ALL CAP'!$B$4:$Y$1038,17,)</f>
        <v>1.46370619530517E-2</v>
      </c>
      <c r="S19" s="95">
        <f>VLOOKUP(A19,'BSE ALL CAP'!$B$4:$Y$1038,18,)</f>
        <v>0.18515037593984962</v>
      </c>
      <c r="T19" s="95">
        <f>VLOOKUP(A19,'BSE ALL CAP'!$B$4:$Y$1038,19,)</f>
        <v>0.16822429906542055</v>
      </c>
      <c r="U19" s="95">
        <f>VLOOKUP(A19,'BSE ALL CAP'!$B$4:$Y$1038,20,)</f>
        <v>1.6926076874429069E-2</v>
      </c>
      <c r="V19" s="95">
        <f>VLOOKUP(A19,'BSE ALL CAP'!$B$4:$Y$1038,21,)</f>
        <v>9.2654986522911154E-2</v>
      </c>
      <c r="W19" s="95">
        <f>VLOOKUP(A19,'BSE ALL CAP'!$B$4:$Y$1038,22,)</f>
        <v>0.18518518518518512</v>
      </c>
      <c r="X19" s="95">
        <f>VLOOKUP(A19,'BSE ALL CAP'!$B$4:$Y$1038,23,)</f>
        <v>0.10488058151609558</v>
      </c>
      <c r="Y19" s="95">
        <f>VLOOKUP(A19,'BSE ALL CAP'!$B$4:$Y$1038,24,)</f>
        <v>0.21604938271604945</v>
      </c>
    </row>
    <row r="20" spans="1:25" ht="15.75" customHeight="1">
      <c r="A20" s="99">
        <v>543245</v>
      </c>
      <c r="B20" s="98" t="s">
        <v>3245</v>
      </c>
      <c r="C20" s="101" t="str">
        <f>VLOOKUP(A20,'BSE ALL CAP'!$B$4:$Y$1038,2,)</f>
        <v>Healthcare</v>
      </c>
      <c r="D20" s="101" t="str">
        <f>VLOOKUP(A20,'BSE ALL CAP'!$B$4:$Y$1038,3,)</f>
        <v>Pharmaceuticals</v>
      </c>
      <c r="E20" s="101">
        <f ca="1">IFERROR(__xludf.DUMMYFUNCTION("GOOGLEFINANCE(""BOM:""&amp;A20,""PRICE"")"),1698.45)</f>
        <v>1698.45</v>
      </c>
      <c r="F20" s="112">
        <f ca="1">IFERROR(__xludf.DUMMYFUNCTION("GOOGLEFINANCE(""BOM:""&amp;A20,""MARKETCAP"")/10000000"),27960.8082417)</f>
        <v>27960.808241700001</v>
      </c>
      <c r="G20" s="95">
        <f t="shared" ca="1" si="0"/>
        <v>1.2615119525655213E-2</v>
      </c>
      <c r="H20" s="101">
        <f>VLOOKUP(A20,'BSE ALL CAP'!$B$4:$Y$1038,7,)</f>
        <v>4687</v>
      </c>
      <c r="I20" s="101">
        <f>VLOOKUP(A20,'BSE ALL CAP'!$B$4:$Y$1038,8,)</f>
        <v>4191</v>
      </c>
      <c r="J20" s="101">
        <f>VLOOKUP(A20,'BSE ALL CAP'!$B$4:$Y$1038,9,)</f>
        <v>660</v>
      </c>
      <c r="K20" s="101">
        <f>VLOOKUP(A20,'BSE ALL CAP'!$B$4:$Y$1038,10,)</f>
        <v>511</v>
      </c>
      <c r="L20" s="101">
        <f>VLOOKUP(A20,'BSE ALL CAP'!$B$4:$Y$1038,11,)</f>
        <v>1695</v>
      </c>
      <c r="M20" s="101">
        <f>VLOOKUP(A20,'BSE ALL CAP'!$B$4:$Y$1038,12,)</f>
        <v>1384</v>
      </c>
      <c r="N20" s="101">
        <f>VLOOKUP(A20,'BSE ALL CAP'!$B$4:$Y$1038,13,)</f>
        <v>261</v>
      </c>
      <c r="O20" s="101">
        <f>VLOOKUP(A20,'BSE ALL CAP'!$B$4:$Y$1038,14,)</f>
        <v>204</v>
      </c>
      <c r="P20" s="95">
        <f>VLOOKUP(A20,'BSE ALL CAP'!$B$4:$Y$1038,15,)</f>
        <v>0.14081502026882867</v>
      </c>
      <c r="Q20" s="95">
        <f>VLOOKUP(A20,'BSE ALL CAP'!$B$4:$Y$1038,16,)</f>
        <v>0.12192794082557862</v>
      </c>
      <c r="R20" s="95">
        <f>VLOOKUP(A20,'BSE ALL CAP'!$B$4:$Y$1038,17,)</f>
        <v>1.8887079443250049E-2</v>
      </c>
      <c r="S20" s="95">
        <f>VLOOKUP(A20,'BSE ALL CAP'!$B$4:$Y$1038,18,)</f>
        <v>0.15398230088495576</v>
      </c>
      <c r="T20" s="95">
        <f>VLOOKUP(A20,'BSE ALL CAP'!$B$4:$Y$1038,19,)</f>
        <v>0.14739884393063585</v>
      </c>
      <c r="U20" s="95">
        <f>VLOOKUP(A20,'BSE ALL CAP'!$B$4:$Y$1038,20,)</f>
        <v>6.5834569543199162E-3</v>
      </c>
      <c r="V20" s="95">
        <f>VLOOKUP(A20,'BSE ALL CAP'!$B$4:$Y$1038,21,)</f>
        <v>0.11834884275829149</v>
      </c>
      <c r="W20" s="95">
        <f>VLOOKUP(A20,'BSE ALL CAP'!$B$4:$Y$1038,22,)</f>
        <v>0.29158512720156549</v>
      </c>
      <c r="X20" s="95">
        <f>VLOOKUP(A20,'BSE ALL CAP'!$B$4:$Y$1038,23,)</f>
        <v>0.2247109826589595</v>
      </c>
      <c r="Y20" s="95">
        <f>VLOOKUP(A20,'BSE ALL CAP'!$B$4:$Y$1038,24,)</f>
        <v>0.27941176470588225</v>
      </c>
    </row>
    <row r="21" spans="1:25" ht="15.75" customHeight="1">
      <c r="A21" s="99">
        <v>544210</v>
      </c>
      <c r="B21" s="98" t="s">
        <v>3246</v>
      </c>
      <c r="C21" s="101" t="str">
        <f>VLOOKUP(A21,'BSE ALL CAP'!$B$4:$Y$1038,2,)</f>
        <v>Healthcare</v>
      </c>
      <c r="D21" s="101" t="str">
        <f>VLOOKUP(A21,'BSE ALL CAP'!$B$4:$Y$1038,3,)</f>
        <v>Pharmaceuticals</v>
      </c>
      <c r="E21" s="101">
        <f ca="1">IFERROR(__xludf.DUMMYFUNCTION("GOOGLEFINANCE(""BOM:""&amp;A21,""PRICE"")"),1553.5)</f>
        <v>1553.5</v>
      </c>
      <c r="F21" s="112">
        <f ca="1">IFERROR(__xludf.DUMMYFUNCTION("GOOGLEFINANCE(""BOM:""&amp;A21,""MARKETCAP"")/10000000"),29435.6653071)</f>
        <v>29435.6653071</v>
      </c>
      <c r="G21" s="95">
        <f t="shared" ca="1" si="0"/>
        <v>1.3280532985897408E-2</v>
      </c>
      <c r="H21" s="101">
        <f>VLOOKUP(A21,'BSE ALL CAP'!$B$4:$Y$1038,7,)</f>
        <v>6733</v>
      </c>
      <c r="I21" s="101">
        <f>VLOOKUP(A21,'BSE ALL CAP'!$B$4:$Y$1038,8,)</f>
        <v>5779</v>
      </c>
      <c r="J21" s="101">
        <f>VLOOKUP(A21,'BSE ALL CAP'!$B$4:$Y$1038,9,)</f>
        <v>697</v>
      </c>
      <c r="K21" s="101">
        <f>VLOOKUP(A21,'BSE ALL CAP'!$B$4:$Y$1038,10,)</f>
        <v>510</v>
      </c>
      <c r="L21" s="101">
        <f>VLOOKUP(A21,'BSE ALL CAP'!$B$4:$Y$1038,11,)</f>
        <v>2363</v>
      </c>
      <c r="M21" s="101">
        <f>VLOOKUP(A21,'BSE ALL CAP'!$B$4:$Y$1038,12,)</f>
        <v>1962</v>
      </c>
      <c r="N21" s="101">
        <f>VLOOKUP(A21,'BSE ALL CAP'!$B$4:$Y$1038,13,)</f>
        <v>231</v>
      </c>
      <c r="O21" s="101">
        <f>VLOOKUP(A21,'BSE ALL CAP'!$B$4:$Y$1038,14,)</f>
        <v>156</v>
      </c>
      <c r="P21" s="95">
        <f>VLOOKUP(A21,'BSE ALL CAP'!$B$4:$Y$1038,15,)</f>
        <v>0.10351997623644735</v>
      </c>
      <c r="Q21" s="95">
        <f>VLOOKUP(A21,'BSE ALL CAP'!$B$4:$Y$1038,16,)</f>
        <v>8.8250562381034778E-2</v>
      </c>
      <c r="R21" s="95">
        <f>VLOOKUP(A21,'BSE ALL CAP'!$B$4:$Y$1038,17,)</f>
        <v>1.526941385541257E-2</v>
      </c>
      <c r="S21" s="95">
        <f>VLOOKUP(A21,'BSE ALL CAP'!$B$4:$Y$1038,18,)</f>
        <v>9.7757088446889545E-2</v>
      </c>
      <c r="T21" s="95">
        <f>VLOOKUP(A21,'BSE ALL CAP'!$B$4:$Y$1038,19,)</f>
        <v>7.9510703363914373E-2</v>
      </c>
      <c r="U21" s="95">
        <f>VLOOKUP(A21,'BSE ALL CAP'!$B$4:$Y$1038,20,)</f>
        <v>1.8246385082975172E-2</v>
      </c>
      <c r="V21" s="95">
        <f>VLOOKUP(A21,'BSE ALL CAP'!$B$4:$Y$1038,21,)</f>
        <v>0.16508046374805319</v>
      </c>
      <c r="W21" s="95">
        <f>VLOOKUP(A21,'BSE ALL CAP'!$B$4:$Y$1038,22,)</f>
        <v>0.3666666666666667</v>
      </c>
      <c r="X21" s="95">
        <f>VLOOKUP(A21,'BSE ALL CAP'!$B$4:$Y$1038,23,)</f>
        <v>0.20438328236493364</v>
      </c>
      <c r="Y21" s="95">
        <f>VLOOKUP(A21,'BSE ALL CAP'!$B$4:$Y$1038,24,)</f>
        <v>0.48076923076923084</v>
      </c>
    </row>
    <row r="22" spans="1:25" ht="15.75" customHeight="1">
      <c r="A22" s="99">
        <v>500680</v>
      </c>
      <c r="B22" s="98" t="s">
        <v>3247</v>
      </c>
      <c r="C22" s="101" t="str">
        <f>VLOOKUP(A22,'BSE ALL CAP'!$B$4:$Y$1038,2,)</f>
        <v>Healthcare</v>
      </c>
      <c r="D22" s="101" t="str">
        <f>VLOOKUP(A22,'BSE ALL CAP'!$B$4:$Y$1038,3,)</f>
        <v>Pharmaceuticals</v>
      </c>
      <c r="E22" s="101">
        <f ca="1">IFERROR(__xludf.DUMMYFUNCTION("GOOGLEFINANCE(""BOM:""&amp;A22,""PRICE"")"),4835.3)</f>
        <v>4835.3</v>
      </c>
      <c r="F22" s="112">
        <f ca="1">IFERROR(__xludf.DUMMYFUNCTION("GOOGLEFINANCE(""BOM:""&amp;A22,""MARKETCAP"")/10000000"),22110.7889239)</f>
        <v>22110.7889239</v>
      </c>
      <c r="G22" s="95">
        <f t="shared" ca="1" si="0"/>
        <v>9.9757575914970441E-3</v>
      </c>
      <c r="H22" s="101">
        <f>VLOOKUP(A22,'BSE ALL CAP'!$B$4:$Y$1038,7,)</f>
        <v>1890</v>
      </c>
      <c r="I22" s="101">
        <f>VLOOKUP(A22,'BSE ALL CAP'!$B$4:$Y$1038,8,)</f>
        <v>1689</v>
      </c>
      <c r="J22" s="101">
        <f>VLOOKUP(A22,'BSE ALL CAP'!$B$4:$Y$1038,9,)</f>
        <v>523</v>
      </c>
      <c r="K22" s="101">
        <f>VLOOKUP(A22,'BSE ALL CAP'!$B$4:$Y$1038,10,)</f>
        <v>437</v>
      </c>
      <c r="L22" s="101">
        <f>VLOOKUP(A22,'BSE ALL CAP'!$B$4:$Y$1038,11,)</f>
        <v>645</v>
      </c>
      <c r="M22" s="101">
        <f>VLOOKUP(A22,'BSE ALL CAP'!$B$4:$Y$1038,12,)</f>
        <v>538</v>
      </c>
      <c r="N22" s="101">
        <f>VLOOKUP(A22,'BSE ALL CAP'!$B$4:$Y$1038,13,)</f>
        <v>142</v>
      </c>
      <c r="O22" s="101">
        <f>VLOOKUP(A22,'BSE ALL CAP'!$B$4:$Y$1038,14,)</f>
        <v>128</v>
      </c>
      <c r="P22" s="95">
        <f>VLOOKUP(A22,'BSE ALL CAP'!$B$4:$Y$1038,15,)</f>
        <v>0.2767195767195767</v>
      </c>
      <c r="Q22" s="95">
        <f>VLOOKUP(A22,'BSE ALL CAP'!$B$4:$Y$1038,16,)</f>
        <v>0.25873297809354645</v>
      </c>
      <c r="R22" s="95">
        <f>VLOOKUP(A22,'BSE ALL CAP'!$B$4:$Y$1038,17,)</f>
        <v>1.7986598626030248E-2</v>
      </c>
      <c r="S22" s="95">
        <f>VLOOKUP(A22,'BSE ALL CAP'!$B$4:$Y$1038,18,)</f>
        <v>0.22015503875968992</v>
      </c>
      <c r="T22" s="95">
        <f>VLOOKUP(A22,'BSE ALL CAP'!$B$4:$Y$1038,19,)</f>
        <v>0.23791821561338289</v>
      </c>
      <c r="U22" s="95">
        <f>VLOOKUP(A22,'BSE ALL CAP'!$B$4:$Y$1038,20,)</f>
        <v>-1.7763176853692969E-2</v>
      </c>
      <c r="V22" s="95">
        <f>VLOOKUP(A22,'BSE ALL CAP'!$B$4:$Y$1038,21,)</f>
        <v>0.11900532859680291</v>
      </c>
      <c r="W22" s="95">
        <f>VLOOKUP(A22,'BSE ALL CAP'!$B$4:$Y$1038,22,)</f>
        <v>0.19679633867276891</v>
      </c>
      <c r="X22" s="95">
        <f>VLOOKUP(A22,'BSE ALL CAP'!$B$4:$Y$1038,23,)</f>
        <v>0.1988847583643123</v>
      </c>
      <c r="Y22" s="95">
        <f>VLOOKUP(A22,'BSE ALL CAP'!$B$4:$Y$1038,24,)</f>
        <v>0.109375</v>
      </c>
    </row>
    <row r="23" spans="1:25" ht="15.75" customHeight="1">
      <c r="A23" s="99">
        <v>532300</v>
      </c>
      <c r="B23" s="98" t="s">
        <v>3248</v>
      </c>
      <c r="C23" s="101" t="str">
        <f>VLOOKUP(A23,'BSE ALL CAP'!$B$4:$Y$1038,2,)</f>
        <v>Healthcare</v>
      </c>
      <c r="D23" s="101" t="str">
        <f>VLOOKUP(A23,'BSE ALL CAP'!$B$4:$Y$1038,3,)</f>
        <v>Pharmaceuticals</v>
      </c>
      <c r="E23" s="101">
        <f ca="1">IFERROR(__xludf.DUMMYFUNCTION("GOOGLEFINANCE(""BOM:""&amp;A23,""PRICE"")"),1272.25)</f>
        <v>1272.25</v>
      </c>
      <c r="F23" s="112">
        <f ca="1">IFERROR(__xludf.DUMMYFUNCTION("GOOGLEFINANCE(""BOM:""&amp;A23,""MARKETCAP"")/10000000"),20670.6196442)</f>
        <v>20670.6196442</v>
      </c>
      <c r="G23" s="95">
        <f t="shared" ca="1" si="0"/>
        <v>9.3259942712258809E-3</v>
      </c>
      <c r="H23" s="101">
        <f>VLOOKUP(A23,'BSE ALL CAP'!$B$4:$Y$1038,7,)</f>
        <v>2408</v>
      </c>
      <c r="I23" s="101">
        <f>VLOOKUP(A23,'BSE ALL CAP'!$B$4:$Y$1038,8,)</f>
        <v>2269</v>
      </c>
      <c r="J23" s="101">
        <f>VLOOKUP(A23,'BSE ALL CAP'!$B$4:$Y$1038,9,)</f>
        <v>35</v>
      </c>
      <c r="K23" s="101">
        <f>VLOOKUP(A23,'BSE ALL CAP'!$B$4:$Y$1038,10,)</f>
        <v>-12</v>
      </c>
      <c r="L23" s="101">
        <f>VLOOKUP(A23,'BSE ALL CAP'!$B$4:$Y$1038,11,)</f>
        <v>888</v>
      </c>
      <c r="M23" s="101">
        <f>VLOOKUP(A23,'BSE ALL CAP'!$B$4:$Y$1038,12,)</f>
        <v>721</v>
      </c>
      <c r="N23" s="101">
        <f>VLOOKUP(A23,'BSE ALL CAP'!$B$4:$Y$1038,13,)</f>
        <v>61</v>
      </c>
      <c r="O23" s="101">
        <f>VLOOKUP(A23,'BSE ALL CAP'!$B$4:$Y$1038,14,)</f>
        <v>20</v>
      </c>
      <c r="P23" s="95">
        <f>VLOOKUP(A23,'BSE ALL CAP'!$B$4:$Y$1038,15,)</f>
        <v>1.4534883720930232E-2</v>
      </c>
      <c r="Q23" s="95">
        <f>VLOOKUP(A23,'BSE ALL CAP'!$B$4:$Y$1038,16,)</f>
        <v>-5.2886734244160421E-3</v>
      </c>
      <c r="R23" s="95">
        <f>VLOOKUP(A23,'BSE ALL CAP'!$B$4:$Y$1038,17,)</f>
        <v>1.9823557145346275E-2</v>
      </c>
      <c r="S23" s="95">
        <f>VLOOKUP(A23,'BSE ALL CAP'!$B$4:$Y$1038,18,)</f>
        <v>6.86936936936937E-2</v>
      </c>
      <c r="T23" s="95">
        <f>VLOOKUP(A23,'BSE ALL CAP'!$B$4:$Y$1038,19,)</f>
        <v>2.7739251040221916E-2</v>
      </c>
      <c r="U23" s="95">
        <f>VLOOKUP(A23,'BSE ALL CAP'!$B$4:$Y$1038,20,)</f>
        <v>4.0954442653471784E-2</v>
      </c>
      <c r="V23" s="95">
        <f>VLOOKUP(A23,'BSE ALL CAP'!$B$4:$Y$1038,21,)</f>
        <v>6.1260467166152521E-2</v>
      </c>
      <c r="W23" s="95">
        <f>VLOOKUP(A23,'BSE ALL CAP'!$B$4:$Y$1038,22,)</f>
        <v>-3.9166666666666665</v>
      </c>
      <c r="X23" s="95">
        <f>VLOOKUP(A23,'BSE ALL CAP'!$B$4:$Y$1038,23,)</f>
        <v>0.23162274618585288</v>
      </c>
      <c r="Y23" s="95">
        <f>VLOOKUP(A23,'BSE ALL CAP'!$B$4:$Y$1038,24,)</f>
        <v>2.0499999999999998</v>
      </c>
    </row>
    <row r="24" spans="1:25" ht="15.75" customHeight="1">
      <c r="A24" s="99">
        <v>506820</v>
      </c>
      <c r="B24" s="98" t="s">
        <v>3249</v>
      </c>
      <c r="C24" s="101" t="str">
        <f>VLOOKUP(A24,'BSE ALL CAP'!$B$4:$Y$1038,2,)</f>
        <v>Healthcare</v>
      </c>
      <c r="D24" s="101" t="str">
        <f>VLOOKUP(A24,'BSE ALL CAP'!$B$4:$Y$1038,3,)</f>
        <v>Pharmaceuticals</v>
      </c>
      <c r="E24" s="101">
        <f ca="1">IFERROR(__xludf.DUMMYFUNCTION("GOOGLEFINANCE(""BOM:""&amp;A24,""PRICE"")"),7758.05)</f>
        <v>7758.05</v>
      </c>
      <c r="F24" s="112">
        <f ca="1">IFERROR(__xludf.DUMMYFUNCTION("GOOGLEFINANCE(""BOM:""&amp;A24,""MARKETCAP"")/10000000"),19420)</f>
        <v>19420</v>
      </c>
      <c r="G24" s="95">
        <f t="shared" ca="1" si="0"/>
        <v>8.7617503424975828E-3</v>
      </c>
      <c r="H24" s="101">
        <f>VLOOKUP(A24,'BSE ALL CAP'!$B$4:$Y$1038,7,)</f>
        <v>1696</v>
      </c>
      <c r="I24" s="101">
        <f>VLOOKUP(A24,'BSE ALL CAP'!$B$4:$Y$1038,8,)</f>
        <v>1235</v>
      </c>
      <c r="J24" s="101">
        <f>VLOOKUP(A24,'BSE ALL CAP'!$B$4:$Y$1038,9,)</f>
        <v>142</v>
      </c>
      <c r="K24" s="101">
        <f>VLOOKUP(A24,'BSE ALL CAP'!$B$4:$Y$1038,10,)</f>
        <v>57</v>
      </c>
      <c r="L24" s="101">
        <f>VLOOKUP(A24,'BSE ALL CAP'!$B$4:$Y$1038,11,)</f>
        <v>611</v>
      </c>
      <c r="M24" s="101">
        <f>VLOOKUP(A24,'BSE ALL CAP'!$B$4:$Y$1038,12,)</f>
        <v>440</v>
      </c>
      <c r="N24" s="101">
        <f>VLOOKUP(A24,'BSE ALL CAP'!$B$4:$Y$1038,13,)</f>
        <v>32</v>
      </c>
      <c r="O24" s="101">
        <f>VLOOKUP(A24,'BSE ALL CAP'!$B$4:$Y$1038,14,)</f>
        <v>30</v>
      </c>
      <c r="P24" s="95">
        <f>VLOOKUP(A24,'BSE ALL CAP'!$B$4:$Y$1038,15,)</f>
        <v>8.3726415094339618E-2</v>
      </c>
      <c r="Q24" s="95">
        <f>VLOOKUP(A24,'BSE ALL CAP'!$B$4:$Y$1038,16,)</f>
        <v>4.6153846153846156E-2</v>
      </c>
      <c r="R24" s="95">
        <f>VLOOKUP(A24,'BSE ALL CAP'!$B$4:$Y$1038,17,)</f>
        <v>3.7572568940493462E-2</v>
      </c>
      <c r="S24" s="95">
        <f>VLOOKUP(A24,'BSE ALL CAP'!$B$4:$Y$1038,18,)</f>
        <v>5.2373158756137482E-2</v>
      </c>
      <c r="T24" s="95">
        <f>VLOOKUP(A24,'BSE ALL CAP'!$B$4:$Y$1038,19,)</f>
        <v>6.8181818181818177E-2</v>
      </c>
      <c r="U24" s="95">
        <f>VLOOKUP(A24,'BSE ALL CAP'!$B$4:$Y$1038,20,)</f>
        <v>-1.5808659425680695E-2</v>
      </c>
      <c r="V24" s="95">
        <f>VLOOKUP(A24,'BSE ALL CAP'!$B$4:$Y$1038,21,)</f>
        <v>0.3732793522267206</v>
      </c>
      <c r="W24" s="95">
        <f>VLOOKUP(A24,'BSE ALL CAP'!$B$4:$Y$1038,22,)</f>
        <v>1.4912280701754388</v>
      </c>
      <c r="X24" s="95">
        <f>VLOOKUP(A24,'BSE ALL CAP'!$B$4:$Y$1038,23,)</f>
        <v>0.38863636363636367</v>
      </c>
      <c r="Y24" s="95">
        <f>VLOOKUP(A24,'BSE ALL CAP'!$B$4:$Y$1038,24,)</f>
        <v>6.6666666666666652E-2</v>
      </c>
    </row>
    <row r="25" spans="1:25" ht="14.4">
      <c r="A25" s="99">
        <v>544306</v>
      </c>
      <c r="B25" s="98" t="s">
        <v>3250</v>
      </c>
      <c r="C25" s="101" t="str">
        <f>VLOOKUP(A25,'BSE ALL CAP'!$B$4:$Y$1038,2,)</f>
        <v>Healthcare</v>
      </c>
      <c r="D25" s="101" t="str">
        <f>VLOOKUP(A25,'BSE ALL CAP'!$B$4:$Y$1038,3,)</f>
        <v>Pharmaceuticals</v>
      </c>
      <c r="E25" s="101">
        <f ca="1">IFERROR(__xludf.DUMMYFUNCTION("GOOGLEFINANCE(""BOM:""&amp;A25,""PRICE"")"),937.1)</f>
        <v>937.1</v>
      </c>
      <c r="F25" s="112">
        <f ca="1">IFERROR(__xludf.DUMMYFUNCTION("GOOGLEFINANCE(""BOM:""&amp;A25,""MARKETCAP"")/10000000"),19843.71104)</f>
        <v>19843.711039999998</v>
      </c>
      <c r="G25" s="95">
        <f t="shared" ca="1" si="0"/>
        <v>8.952916683889962E-3</v>
      </c>
      <c r="H25" s="101">
        <f>VLOOKUP(A25,'BSE ALL CAP'!$B$4:$Y$1038,7,)</f>
        <v>1590</v>
      </c>
      <c r="I25" s="101">
        <f>VLOOKUP(A25,'BSE ALL CAP'!$B$4:$Y$1038,8,)</f>
        <v>1115</v>
      </c>
      <c r="J25" s="101">
        <f>VLOOKUP(A25,'BSE ALL CAP'!$B$4:$Y$1038,9,)</f>
        <v>244</v>
      </c>
      <c r="K25" s="101">
        <f>VLOOKUP(A25,'BSE ALL CAP'!$B$4:$Y$1038,10,)</f>
        <v>81</v>
      </c>
      <c r="L25" s="101">
        <f>VLOOKUP(A25,'BSE ALL CAP'!$B$4:$Y$1038,11,)</f>
        <v>556</v>
      </c>
      <c r="M25" s="101">
        <f>VLOOKUP(A25,'BSE ALL CAP'!$B$4:$Y$1038,12,)</f>
        <v>439</v>
      </c>
      <c r="N25" s="101">
        <f>VLOOKUP(A25,'BSE ALL CAP'!$B$4:$Y$1038,13,)</f>
        <v>100</v>
      </c>
      <c r="O25" s="101">
        <f>VLOOKUP(A25,'BSE ALL CAP'!$B$4:$Y$1038,14,)</f>
        <v>53</v>
      </c>
      <c r="P25" s="95">
        <f>VLOOKUP(A25,'BSE ALL CAP'!$B$4:$Y$1038,15,)</f>
        <v>0.15345911949685534</v>
      </c>
      <c r="Q25" s="95">
        <f>VLOOKUP(A25,'BSE ALL CAP'!$B$4:$Y$1038,16,)</f>
        <v>7.2645739910313895E-2</v>
      </c>
      <c r="R25" s="95">
        <f>VLOOKUP(A25,'BSE ALL CAP'!$B$4:$Y$1038,17,)</f>
        <v>8.0813379586541445E-2</v>
      </c>
      <c r="S25" s="95">
        <f>VLOOKUP(A25,'BSE ALL CAP'!$B$4:$Y$1038,18,)</f>
        <v>0.17985611510791366</v>
      </c>
      <c r="T25" s="95">
        <f>VLOOKUP(A25,'BSE ALL CAP'!$B$4:$Y$1038,19,)</f>
        <v>0.12072892938496584</v>
      </c>
      <c r="U25" s="95">
        <f>VLOOKUP(A25,'BSE ALL CAP'!$B$4:$Y$1038,20,)</f>
        <v>5.9127185722947825E-2</v>
      </c>
      <c r="V25" s="95">
        <f>VLOOKUP(A25,'BSE ALL CAP'!$B$4:$Y$1038,21,)</f>
        <v>0.42600896860986537</v>
      </c>
      <c r="W25" s="95">
        <f>VLOOKUP(A25,'BSE ALL CAP'!$B$4:$Y$1038,22,)</f>
        <v>2.0123456790123457</v>
      </c>
      <c r="X25" s="95">
        <f>VLOOKUP(A25,'BSE ALL CAP'!$B$4:$Y$1038,23,)</f>
        <v>0.26651480637813219</v>
      </c>
      <c r="Y25" s="95">
        <f>VLOOKUP(A25,'BSE ALL CAP'!$B$4:$Y$1038,24,)</f>
        <v>0.8867924528301887</v>
      </c>
    </row>
    <row r="26" spans="1:25" ht="14.4">
      <c r="A26" s="99">
        <v>543635</v>
      </c>
      <c r="B26" s="98" t="s">
        <v>3251</v>
      </c>
      <c r="C26" s="101" t="str">
        <f>VLOOKUP(A26,'BSE ALL CAP'!$B$4:$Y$1038,2,)</f>
        <v>Healthcare</v>
      </c>
      <c r="D26" s="101" t="str">
        <f>VLOOKUP(A26,'BSE ALL CAP'!$B$4:$Y$1038,3,)</f>
        <v>Pharmaceuticals</v>
      </c>
      <c r="E26" s="101">
        <f ca="1">IFERROR(__xludf.DUMMYFUNCTION("GOOGLEFINANCE(""BOM:""&amp;A26,""PRICE"")"),140.35)</f>
        <v>140.35</v>
      </c>
      <c r="F26" s="112">
        <f ca="1">IFERROR(__xludf.DUMMYFUNCTION("GOOGLEFINANCE(""BOM:""&amp;A26,""MARKETCAP"")/10000000"),18535.491976)</f>
        <v>18535.491976000001</v>
      </c>
      <c r="G26" s="95">
        <f t="shared" ca="1" si="0"/>
        <v>8.3626855390874985E-3</v>
      </c>
      <c r="H26" s="101">
        <f>VLOOKUP(A26,'BSE ALL CAP'!$B$4:$Y$1038,7,)</f>
        <v>6117</v>
      </c>
      <c r="I26" s="101">
        <f>VLOOKUP(A26,'BSE ALL CAP'!$B$4:$Y$1038,8,)</f>
        <v>6397</v>
      </c>
      <c r="J26" s="101">
        <f>VLOOKUP(A26,'BSE ALL CAP'!$B$4:$Y$1038,9,)</f>
        <v>-317</v>
      </c>
      <c r="K26" s="101">
        <f>VLOOKUP(A26,'BSE ALL CAP'!$B$4:$Y$1038,10,)</f>
        <v>-62</v>
      </c>
      <c r="L26" s="101">
        <f>VLOOKUP(A26,'BSE ALL CAP'!$B$4:$Y$1038,11,)</f>
        <v>2140</v>
      </c>
      <c r="M26" s="101">
        <f>VLOOKUP(A26,'BSE ALL CAP'!$B$4:$Y$1038,12,)</f>
        <v>2204</v>
      </c>
      <c r="N26" s="101">
        <f>VLOOKUP(A26,'BSE ALL CAP'!$B$4:$Y$1038,13,)</f>
        <v>-136</v>
      </c>
      <c r="O26" s="101">
        <f>VLOOKUP(A26,'BSE ALL CAP'!$B$4:$Y$1038,14,)</f>
        <v>4</v>
      </c>
      <c r="P26" s="95">
        <f>VLOOKUP(A26,'BSE ALL CAP'!$B$4:$Y$1038,15,)</f>
        <v>-5.1822788948831126E-2</v>
      </c>
      <c r="Q26" s="95">
        <f>VLOOKUP(A26,'BSE ALL CAP'!$B$4:$Y$1038,16,)</f>
        <v>-9.6920431452243248E-3</v>
      </c>
      <c r="R26" s="95">
        <f>VLOOKUP(A26,'BSE ALL CAP'!$B$4:$Y$1038,17,)</f>
        <v>-4.2130745803606803E-2</v>
      </c>
      <c r="S26" s="95">
        <f>VLOOKUP(A26,'BSE ALL CAP'!$B$4:$Y$1038,18,)</f>
        <v>-6.3551401869158877E-2</v>
      </c>
      <c r="T26" s="95">
        <f>VLOOKUP(A26,'BSE ALL CAP'!$B$4:$Y$1038,19,)</f>
        <v>1.8148820326678765E-3</v>
      </c>
      <c r="U26" s="95">
        <f>VLOOKUP(A26,'BSE ALL CAP'!$B$4:$Y$1038,20,)</f>
        <v>-6.5366283901826749E-2</v>
      </c>
      <c r="V26" s="95">
        <f>VLOOKUP(A26,'BSE ALL CAP'!$B$4:$Y$1038,21,)</f>
        <v>-4.3770517430045341E-2</v>
      </c>
      <c r="W26" s="95">
        <f>VLOOKUP(A26,'BSE ALL CAP'!$B$4:$Y$1038,22,)</f>
        <v>4.112903225806452</v>
      </c>
      <c r="X26" s="95">
        <f>VLOOKUP(A26,'BSE ALL CAP'!$B$4:$Y$1038,23,)</f>
        <v>-2.9038112522686066E-2</v>
      </c>
      <c r="Y26" s="95">
        <f>VLOOKUP(A26,'BSE ALL CAP'!$B$4:$Y$1038,24,)</f>
        <v>-35</v>
      </c>
    </row>
    <row r="27" spans="1:25" ht="14.4">
      <c r="A27" s="99">
        <v>540596</v>
      </c>
      <c r="B27" s="98" t="s">
        <v>3252</v>
      </c>
      <c r="C27" s="101" t="str">
        <f>VLOOKUP(A27,'BSE ALL CAP'!$B$4:$Y$1038,2,)</f>
        <v>Healthcare</v>
      </c>
      <c r="D27" s="101" t="str">
        <f>VLOOKUP(A27,'BSE ALL CAP'!$B$4:$Y$1038,3,)</f>
        <v>Pharmaceuticals</v>
      </c>
      <c r="E27" s="101">
        <f ca="1">IFERROR(__xludf.DUMMYFUNCTION("GOOGLEFINANCE(""BOM:""&amp;A27,""PRICE"")"),1335.05)</f>
        <v>1335.05</v>
      </c>
      <c r="F27" s="112">
        <f ca="1">IFERROR(__xludf.DUMMYFUNCTION("GOOGLEFINANCE(""BOM:""&amp;A27,""MARKETCAP"")/10000000"),18528.7277842)</f>
        <v>18528.7277842</v>
      </c>
      <c r="G27" s="95">
        <f t="shared" ca="1" si="0"/>
        <v>8.3596337285921137E-3</v>
      </c>
      <c r="H27" s="101">
        <f>VLOOKUP(A27,'BSE ALL CAP'!$B$4:$Y$1038,7,)</f>
        <v>2373</v>
      </c>
      <c r="I27" s="101">
        <f>VLOOKUP(A27,'BSE ALL CAP'!$B$4:$Y$1038,8,)</f>
        <v>2188</v>
      </c>
      <c r="J27" s="101">
        <f>VLOOKUP(A27,'BSE ALL CAP'!$B$4:$Y$1038,9,)</f>
        <v>479</v>
      </c>
      <c r="K27" s="101">
        <f>VLOOKUP(A27,'BSE ALL CAP'!$B$4:$Y$1038,10,)</f>
        <v>361</v>
      </c>
      <c r="L27" s="101">
        <f>VLOOKUP(A27,'BSE ALL CAP'!$B$4:$Y$1038,11,)</f>
        <v>807</v>
      </c>
      <c r="M27" s="101">
        <f>VLOOKUP(A27,'BSE ALL CAP'!$B$4:$Y$1038,12,)</f>
        <v>727</v>
      </c>
      <c r="N27" s="101">
        <f>VLOOKUP(A27,'BSE ALL CAP'!$B$4:$Y$1038,13,)</f>
        <v>109</v>
      </c>
      <c r="O27" s="101">
        <f>VLOOKUP(A27,'BSE ALL CAP'!$B$4:$Y$1038,14,)</f>
        <v>87</v>
      </c>
      <c r="P27" s="95">
        <f>VLOOKUP(A27,'BSE ALL CAP'!$B$4:$Y$1038,15,)</f>
        <v>0.20185419300463547</v>
      </c>
      <c r="Q27" s="95">
        <f>VLOOKUP(A27,'BSE ALL CAP'!$B$4:$Y$1038,16,)</f>
        <v>0.16499085923217549</v>
      </c>
      <c r="R27" s="95">
        <f>VLOOKUP(A27,'BSE ALL CAP'!$B$4:$Y$1038,17,)</f>
        <v>3.6863333772459983E-2</v>
      </c>
      <c r="S27" s="95">
        <f>VLOOKUP(A27,'BSE ALL CAP'!$B$4:$Y$1038,18,)</f>
        <v>0.13506815365551425</v>
      </c>
      <c r="T27" s="95">
        <f>VLOOKUP(A27,'BSE ALL CAP'!$B$4:$Y$1038,19,)</f>
        <v>0.11966987620357634</v>
      </c>
      <c r="U27" s="95">
        <f>VLOOKUP(A27,'BSE ALL CAP'!$B$4:$Y$1038,20,)</f>
        <v>1.5398277451937906E-2</v>
      </c>
      <c r="V27" s="95">
        <f>VLOOKUP(A27,'BSE ALL CAP'!$B$4:$Y$1038,21,)</f>
        <v>8.4552102376599603E-2</v>
      </c>
      <c r="W27" s="95">
        <f>VLOOKUP(A27,'BSE ALL CAP'!$B$4:$Y$1038,22,)</f>
        <v>0.32686980609418281</v>
      </c>
      <c r="X27" s="95">
        <f>VLOOKUP(A27,'BSE ALL CAP'!$B$4:$Y$1038,23,)</f>
        <v>0.11004126547455306</v>
      </c>
      <c r="Y27" s="95">
        <f>VLOOKUP(A27,'BSE ALL CAP'!$B$4:$Y$1038,24,)</f>
        <v>0.25287356321839072</v>
      </c>
    </row>
    <row r="28" spans="1:25" ht="14.4">
      <c r="A28" s="99">
        <v>543349</v>
      </c>
      <c r="B28" s="98" t="s">
        <v>3253</v>
      </c>
      <c r="C28" s="101" t="str">
        <f>VLOOKUP(A28,'BSE ALL CAP'!$B$4:$Y$1038,2,)</f>
        <v>Healthcare</v>
      </c>
      <c r="D28" s="101" t="str">
        <f>VLOOKUP(A28,'BSE ALL CAP'!$B$4:$Y$1038,3,)</f>
        <v>Pharmaceuticals</v>
      </c>
      <c r="E28" s="101">
        <f ca="1">IFERROR(__xludf.DUMMYFUNCTION("GOOGLEFINANCE(""BOM:""&amp;A28,""PRICE"")"),2227.7)</f>
        <v>2227.6999999999998</v>
      </c>
      <c r="F28" s="112">
        <f ca="1">IFERROR(__xludf.DUMMYFUNCTION("GOOGLEFINANCE(""BOM:""&amp;A28,""MARKETCAP"")/10000000"),18239.2440577)</f>
        <v>18239.244057700002</v>
      </c>
      <c r="G28" s="95">
        <f t="shared" ca="1" si="0"/>
        <v>8.2290269242765186E-3</v>
      </c>
      <c r="H28" s="101">
        <f>VLOOKUP(A28,'BSE ALL CAP'!$B$4:$Y$1038,7,)</f>
        <v>906</v>
      </c>
      <c r="I28" s="101">
        <f>VLOOKUP(A28,'BSE ALL CAP'!$B$4:$Y$1038,8,)</f>
        <v>698</v>
      </c>
      <c r="J28" s="101">
        <f>VLOOKUP(A28,'BSE ALL CAP'!$B$4:$Y$1038,9,)</f>
        <v>222</v>
      </c>
      <c r="K28" s="101">
        <f>VLOOKUP(A28,'BSE ALL CAP'!$B$4:$Y$1038,10,)</f>
        <v>97</v>
      </c>
      <c r="L28" s="101">
        <f>VLOOKUP(A28,'BSE ALL CAP'!$B$4:$Y$1038,11,)</f>
        <v>393</v>
      </c>
      <c r="M28" s="101">
        <f>VLOOKUP(A28,'BSE ALL CAP'!$B$4:$Y$1038,12,)</f>
        <v>274</v>
      </c>
      <c r="N28" s="101">
        <f>VLOOKUP(A28,'BSE ALL CAP'!$B$4:$Y$1038,13,)</f>
        <v>106</v>
      </c>
      <c r="O28" s="101">
        <f>VLOOKUP(A28,'BSE ALL CAP'!$B$4:$Y$1038,14,)</f>
        <v>45</v>
      </c>
      <c r="P28" s="95">
        <f>VLOOKUP(A28,'BSE ALL CAP'!$B$4:$Y$1038,15,)</f>
        <v>0.24503311258278146</v>
      </c>
      <c r="Q28" s="95">
        <f>VLOOKUP(A28,'BSE ALL CAP'!$B$4:$Y$1038,16,)</f>
        <v>0.13896848137535817</v>
      </c>
      <c r="R28" s="95">
        <f>VLOOKUP(A28,'BSE ALL CAP'!$B$4:$Y$1038,17,)</f>
        <v>0.10606463120742329</v>
      </c>
      <c r="S28" s="95">
        <f>VLOOKUP(A28,'BSE ALL CAP'!$B$4:$Y$1038,18,)</f>
        <v>0.26972010178117051</v>
      </c>
      <c r="T28" s="95">
        <f>VLOOKUP(A28,'BSE ALL CAP'!$B$4:$Y$1038,19,)</f>
        <v>0.16423357664233576</v>
      </c>
      <c r="U28" s="95">
        <f>VLOOKUP(A28,'BSE ALL CAP'!$B$4:$Y$1038,20,)</f>
        <v>0.10548652513883475</v>
      </c>
      <c r="V28" s="95">
        <f>VLOOKUP(A28,'BSE ALL CAP'!$B$4:$Y$1038,21,)</f>
        <v>0.29799426934097428</v>
      </c>
      <c r="W28" s="95">
        <f>VLOOKUP(A28,'BSE ALL CAP'!$B$4:$Y$1038,22,)</f>
        <v>1.2886597938144329</v>
      </c>
      <c r="X28" s="95">
        <f>VLOOKUP(A28,'BSE ALL CAP'!$B$4:$Y$1038,23,)</f>
        <v>0.43430656934306566</v>
      </c>
      <c r="Y28" s="95">
        <f>VLOOKUP(A28,'BSE ALL CAP'!$B$4:$Y$1038,24,)</f>
        <v>1.3555555555555556</v>
      </c>
    </row>
    <row r="29" spans="1:25" ht="14.4">
      <c r="A29" s="99">
        <v>524816</v>
      </c>
      <c r="B29" s="98" t="s">
        <v>3254</v>
      </c>
      <c r="C29" s="101" t="str">
        <f>VLOOKUP(A29,'BSE ALL CAP'!$B$4:$Y$1038,2,)</f>
        <v>Healthcare</v>
      </c>
      <c r="D29" s="101" t="str">
        <f>VLOOKUP(A29,'BSE ALL CAP'!$B$4:$Y$1038,3,)</f>
        <v>Pharmaceuticals</v>
      </c>
      <c r="E29" s="101">
        <f ca="1">IFERROR(__xludf.DUMMYFUNCTION("GOOGLEFINANCE(""BOM:""&amp;A29,""PRICE"")"),1026.5)</f>
        <v>1026.5</v>
      </c>
      <c r="F29" s="112">
        <f ca="1">IFERROR(__xludf.DUMMYFUNCTION("GOOGLEFINANCE(""BOM:""&amp;A29,""MARKETCAP"")/10000000"),18397.2635442)</f>
        <v>18397.263544199999</v>
      </c>
      <c r="G29" s="95">
        <f t="shared" ca="1" si="0"/>
        <v>8.3003208115042561E-3</v>
      </c>
      <c r="H29" s="101">
        <f>VLOOKUP(A29,'BSE ALL CAP'!$B$4:$Y$1038,7,)</f>
        <v>3339</v>
      </c>
      <c r="I29" s="101">
        <f>VLOOKUP(A29,'BSE ALL CAP'!$B$4:$Y$1038,8,)</f>
        <v>3208</v>
      </c>
      <c r="J29" s="101">
        <f>VLOOKUP(A29,'BSE ALL CAP'!$B$4:$Y$1038,9,)</f>
        <v>1149</v>
      </c>
      <c r="K29" s="101">
        <f>VLOOKUP(A29,'BSE ALL CAP'!$B$4:$Y$1038,10,)</f>
        <v>1477</v>
      </c>
      <c r="L29" s="101">
        <f>VLOOKUP(A29,'BSE ALL CAP'!$B$4:$Y$1038,11,)</f>
        <v>647</v>
      </c>
      <c r="M29" s="101">
        <f>VLOOKUP(A29,'BSE ALL CAP'!$B$4:$Y$1038,12,)</f>
        <v>474</v>
      </c>
      <c r="N29" s="101">
        <f>VLOOKUP(A29,'BSE ALL CAP'!$B$4:$Y$1038,13,)</f>
        <v>151</v>
      </c>
      <c r="O29" s="101">
        <f>VLOOKUP(A29,'BSE ALL CAP'!$B$4:$Y$1038,14,)</f>
        <v>132</v>
      </c>
      <c r="P29" s="95">
        <f>VLOOKUP(A29,'BSE ALL CAP'!$B$4:$Y$1038,15,)</f>
        <v>0.34411500449236299</v>
      </c>
      <c r="Q29" s="95">
        <f>VLOOKUP(A29,'BSE ALL CAP'!$B$4:$Y$1038,16,)</f>
        <v>0.46041147132169574</v>
      </c>
      <c r="R29" s="95">
        <f>VLOOKUP(A29,'BSE ALL CAP'!$B$4:$Y$1038,17,)</f>
        <v>-0.11629646682933276</v>
      </c>
      <c r="S29" s="95">
        <f>VLOOKUP(A29,'BSE ALL CAP'!$B$4:$Y$1038,18,)</f>
        <v>0.23338485316846985</v>
      </c>
      <c r="T29" s="95">
        <f>VLOOKUP(A29,'BSE ALL CAP'!$B$4:$Y$1038,19,)</f>
        <v>0.27848101265822783</v>
      </c>
      <c r="U29" s="95">
        <f>VLOOKUP(A29,'BSE ALL CAP'!$B$4:$Y$1038,20,)</f>
        <v>-4.5096159489757981E-2</v>
      </c>
      <c r="V29" s="95">
        <f>VLOOKUP(A29,'BSE ALL CAP'!$B$4:$Y$1038,21,)</f>
        <v>4.0835411471321637E-2</v>
      </c>
      <c r="W29" s="95">
        <f>VLOOKUP(A29,'BSE ALL CAP'!$B$4:$Y$1038,22,)</f>
        <v>-0.22207176709546372</v>
      </c>
      <c r="X29" s="95">
        <f>VLOOKUP(A29,'BSE ALL CAP'!$B$4:$Y$1038,23,)</f>
        <v>0.36497890295358659</v>
      </c>
      <c r="Y29" s="95">
        <f>VLOOKUP(A29,'BSE ALL CAP'!$B$4:$Y$1038,24,)</f>
        <v>0.14393939393939403</v>
      </c>
    </row>
    <row r="30" spans="1:25" ht="14.4">
      <c r="A30" s="99">
        <v>524558</v>
      </c>
      <c r="B30" s="98" t="s">
        <v>3255</v>
      </c>
      <c r="C30" s="101" t="str">
        <f>VLOOKUP(A30,'BSE ALL CAP'!$B$4:$Y$1038,2,)</f>
        <v>Healthcare</v>
      </c>
      <c r="D30" s="101" t="str">
        <f>VLOOKUP(A30,'BSE ALL CAP'!$B$4:$Y$1038,3,)</f>
        <v>Pharmaceuticals</v>
      </c>
      <c r="E30" s="101">
        <f ca="1">IFERROR(__xludf.DUMMYFUNCTION("GOOGLEFINANCE(""BOM:""&amp;A30,""PRICE"")"),13147)</f>
        <v>13147</v>
      </c>
      <c r="F30" s="112">
        <f ca="1">IFERROR(__xludf.DUMMYFUNCTION("GOOGLEFINANCE(""BOM:""&amp;A30,""MARKETCAP"")/10000000"),16858.910833)</f>
        <v>16858.910833000002</v>
      </c>
      <c r="G30" s="95">
        <f t="shared" ca="1" si="0"/>
        <v>7.6062599261160647E-3</v>
      </c>
      <c r="H30" s="101">
        <f>VLOOKUP(A30,'BSE ALL CAP'!$B$4:$Y$1038,7,)</f>
        <v>1246</v>
      </c>
      <c r="I30" s="101">
        <f>VLOOKUP(A30,'BSE ALL CAP'!$B$4:$Y$1038,8,)</f>
        <v>1148</v>
      </c>
      <c r="J30" s="101">
        <f>VLOOKUP(A30,'BSE ALL CAP'!$B$4:$Y$1038,9,)</f>
        <v>151</v>
      </c>
      <c r="K30" s="101">
        <f>VLOOKUP(A30,'BSE ALL CAP'!$B$4:$Y$1038,10,)</f>
        <v>232</v>
      </c>
      <c r="L30" s="101">
        <f>VLOOKUP(A30,'BSE ALL CAP'!$B$4:$Y$1038,11,)</f>
        <v>439</v>
      </c>
      <c r="M30" s="101">
        <f>VLOOKUP(A30,'BSE ALL CAP'!$B$4:$Y$1038,12,)</f>
        <v>398</v>
      </c>
      <c r="N30" s="101">
        <f>VLOOKUP(A30,'BSE ALL CAP'!$B$4:$Y$1038,13,)</f>
        <v>40</v>
      </c>
      <c r="O30" s="101">
        <f>VLOOKUP(A30,'BSE ALL CAP'!$B$4:$Y$1038,14,)</f>
        <v>101</v>
      </c>
      <c r="P30" s="95">
        <f>VLOOKUP(A30,'BSE ALL CAP'!$B$4:$Y$1038,15,)</f>
        <v>0.12118780096308186</v>
      </c>
      <c r="Q30" s="95">
        <f>VLOOKUP(A30,'BSE ALL CAP'!$B$4:$Y$1038,16,)</f>
        <v>0.20209059233449478</v>
      </c>
      <c r="R30" s="95">
        <f>VLOOKUP(A30,'BSE ALL CAP'!$B$4:$Y$1038,17,)</f>
        <v>-8.0902791371412916E-2</v>
      </c>
      <c r="S30" s="95">
        <f>VLOOKUP(A30,'BSE ALL CAP'!$B$4:$Y$1038,18,)</f>
        <v>9.1116173120728935E-2</v>
      </c>
      <c r="T30" s="95">
        <f>VLOOKUP(A30,'BSE ALL CAP'!$B$4:$Y$1038,19,)</f>
        <v>0.25376884422110552</v>
      </c>
      <c r="U30" s="95">
        <f>VLOOKUP(A30,'BSE ALL CAP'!$B$4:$Y$1038,20,)</f>
        <v>-0.16265267110037657</v>
      </c>
      <c r="V30" s="95">
        <f>VLOOKUP(A30,'BSE ALL CAP'!$B$4:$Y$1038,21,)</f>
        <v>8.5365853658536661E-2</v>
      </c>
      <c r="W30" s="95">
        <f>VLOOKUP(A30,'BSE ALL CAP'!$B$4:$Y$1038,22,)</f>
        <v>-0.34913793103448276</v>
      </c>
      <c r="X30" s="95">
        <f>VLOOKUP(A30,'BSE ALL CAP'!$B$4:$Y$1038,23,)</f>
        <v>0.10301507537688437</v>
      </c>
      <c r="Y30" s="95">
        <f>VLOOKUP(A30,'BSE ALL CAP'!$B$4:$Y$1038,24,)</f>
        <v>-0.60396039603960394</v>
      </c>
    </row>
    <row r="31" spans="1:25" ht="14.4">
      <c r="A31" s="99">
        <v>544292</v>
      </c>
      <c r="B31" s="98" t="s">
        <v>3256</v>
      </c>
      <c r="C31" s="101" t="str">
        <f>VLOOKUP(A31,'BSE ALL CAP'!$B$4:$Y$1038,2,)</f>
        <v>Healthcare</v>
      </c>
      <c r="D31" s="101" t="str">
        <f>VLOOKUP(A31,'BSE ALL CAP'!$B$4:$Y$1038,3,)</f>
        <v>Pharmaceuticals</v>
      </c>
      <c r="E31" s="101">
        <f ca="1">IFERROR(__xludf.DUMMYFUNCTION("GOOGLEFINANCE(""BOM:""&amp;A31,""PRICE"")"),1402.45)</f>
        <v>1402.45</v>
      </c>
      <c r="F31" s="112">
        <f ca="1">IFERROR(__xludf.DUMMYFUNCTION("GOOGLEFINANCE(""BOM:""&amp;A31,""MARKETCAP"")/10000000"),16045.8220678)</f>
        <v>16045.8220678</v>
      </c>
      <c r="G31" s="95">
        <f t="shared" ca="1" si="0"/>
        <v>7.239417456138101E-3</v>
      </c>
      <c r="H31" s="101">
        <f>VLOOKUP(A31,'BSE ALL CAP'!$B$4:$Y$1038,7,)</f>
        <v>993</v>
      </c>
      <c r="I31" s="101">
        <f>VLOOKUP(A31,'BSE ALL CAP'!$B$4:$Y$1038,8,)</f>
        <v>1018</v>
      </c>
      <c r="J31" s="101">
        <f>VLOOKUP(A31,'BSE ALL CAP'!$B$4:$Y$1038,9,)</f>
        <v>-78</v>
      </c>
      <c r="K31" s="101">
        <f>VLOOKUP(A31,'BSE ALL CAP'!$B$4:$Y$1038,10,)</f>
        <v>-116</v>
      </c>
      <c r="L31" s="101">
        <f>VLOOKUP(A31,'BSE ALL CAP'!$B$4:$Y$1038,11,)</f>
        <v>290</v>
      </c>
      <c r="M31" s="101">
        <f>VLOOKUP(A31,'BSE ALL CAP'!$B$4:$Y$1038,12,)</f>
        <v>392</v>
      </c>
      <c r="N31" s="101">
        <f>VLOOKUP(A31,'BSE ALL CAP'!$B$4:$Y$1038,13,)</f>
        <v>-88</v>
      </c>
      <c r="O31" s="101">
        <f>VLOOKUP(A31,'BSE ALL CAP'!$B$4:$Y$1038,14,)</f>
        <v>-68</v>
      </c>
      <c r="P31" s="95">
        <f>VLOOKUP(A31,'BSE ALL CAP'!$B$4:$Y$1038,15,)</f>
        <v>-7.8549848942598186E-2</v>
      </c>
      <c r="Q31" s="95">
        <f>VLOOKUP(A31,'BSE ALL CAP'!$B$4:$Y$1038,16,)</f>
        <v>-0.11394891944990176</v>
      </c>
      <c r="R31" s="95">
        <f>VLOOKUP(A31,'BSE ALL CAP'!$B$4:$Y$1038,17,)</f>
        <v>3.5399070507303579E-2</v>
      </c>
      <c r="S31" s="95">
        <f>VLOOKUP(A31,'BSE ALL CAP'!$B$4:$Y$1038,18,)</f>
        <v>-0.30344827586206896</v>
      </c>
      <c r="T31" s="95">
        <f>VLOOKUP(A31,'BSE ALL CAP'!$B$4:$Y$1038,19,)</f>
        <v>-0.17346938775510204</v>
      </c>
      <c r="U31" s="95">
        <f>VLOOKUP(A31,'BSE ALL CAP'!$B$4:$Y$1038,20,)</f>
        <v>-0.12997888810696692</v>
      </c>
      <c r="V31" s="95">
        <f>VLOOKUP(A31,'BSE ALL CAP'!$B$4:$Y$1038,21,)</f>
        <v>-2.4557956777996104E-2</v>
      </c>
      <c r="W31" s="95">
        <f>VLOOKUP(A31,'BSE ALL CAP'!$B$4:$Y$1038,22,)</f>
        <v>-0.32758620689655171</v>
      </c>
      <c r="X31" s="95">
        <f>VLOOKUP(A31,'BSE ALL CAP'!$B$4:$Y$1038,23,)</f>
        <v>-0.26020408163265307</v>
      </c>
      <c r="Y31" s="95">
        <f>VLOOKUP(A31,'BSE ALL CAP'!$B$4:$Y$1038,24,)</f>
        <v>0.29411764705882359</v>
      </c>
    </row>
    <row r="32" spans="1:25" ht="14.4">
      <c r="A32" s="99">
        <v>532482</v>
      </c>
      <c r="B32" s="98" t="s">
        <v>3257</v>
      </c>
      <c r="C32" s="101" t="str">
        <f>VLOOKUP(A32,'BSE ALL CAP'!$B$4:$Y$1038,2,)</f>
        <v>Healthcare</v>
      </c>
      <c r="D32" s="101" t="str">
        <f>VLOOKUP(A32,'BSE ALL CAP'!$B$4:$Y$1038,3,)</f>
        <v>Pharmaceuticals</v>
      </c>
      <c r="E32" s="101">
        <f ca="1">IFERROR(__xludf.DUMMYFUNCTION("GOOGLEFINANCE(""BOM:""&amp;A32,""PRICE"")"),633.5)</f>
        <v>633.5</v>
      </c>
      <c r="F32" s="112">
        <f ca="1">IFERROR(__xludf.DUMMYFUNCTION("GOOGLEFINANCE(""BOM:""&amp;A32,""MARKETCAP"")/10000000"),15714.0410184)</f>
        <v>15714.041018399999</v>
      </c>
      <c r="G32" s="95">
        <f t="shared" ca="1" si="0"/>
        <v>7.0897273056121143E-3</v>
      </c>
      <c r="H32" s="101">
        <f>VLOOKUP(A32,'BSE ALL CAP'!$B$4:$Y$1038,7,)</f>
        <v>3895</v>
      </c>
      <c r="I32" s="101">
        <f>VLOOKUP(A32,'BSE ALL CAP'!$B$4:$Y$1038,8,)</f>
        <v>3284</v>
      </c>
      <c r="J32" s="101">
        <f>VLOOKUP(A32,'BSE ALL CAP'!$B$4:$Y$1038,9,)</f>
        <v>393</v>
      </c>
      <c r="K32" s="101">
        <f>VLOOKUP(A32,'BSE ALL CAP'!$B$4:$Y$1038,10,)</f>
        <v>349</v>
      </c>
      <c r="L32" s="101">
        <f>VLOOKUP(A32,'BSE ALL CAP'!$B$4:$Y$1038,11,)</f>
        <v>1387</v>
      </c>
      <c r="M32" s="101">
        <f>VLOOKUP(A32,'BSE ALL CAP'!$B$4:$Y$1038,12,)</f>
        <v>1137</v>
      </c>
      <c r="N32" s="101">
        <f>VLOOKUP(A32,'BSE ALL CAP'!$B$4:$Y$1038,13,)</f>
        <v>150</v>
      </c>
      <c r="O32" s="101">
        <f>VLOOKUP(A32,'BSE ALL CAP'!$B$4:$Y$1038,14,)</f>
        <v>117</v>
      </c>
      <c r="P32" s="95">
        <f>VLOOKUP(A32,'BSE ALL CAP'!$B$4:$Y$1038,15,)</f>
        <v>0.10089858793324775</v>
      </c>
      <c r="Q32" s="95">
        <f>VLOOKUP(A32,'BSE ALL CAP'!$B$4:$Y$1038,16,)</f>
        <v>0.10627283800243606</v>
      </c>
      <c r="R32" s="95">
        <f>VLOOKUP(A32,'BSE ALL CAP'!$B$4:$Y$1038,17,)</f>
        <v>-5.3742500691883049E-3</v>
      </c>
      <c r="S32" s="95">
        <f>VLOOKUP(A32,'BSE ALL CAP'!$B$4:$Y$1038,18,)</f>
        <v>0.10814708002883922</v>
      </c>
      <c r="T32" s="95">
        <f>VLOOKUP(A32,'BSE ALL CAP'!$B$4:$Y$1038,19,)</f>
        <v>0.10290237467018469</v>
      </c>
      <c r="U32" s="95">
        <f>VLOOKUP(A32,'BSE ALL CAP'!$B$4:$Y$1038,20,)</f>
        <v>5.244705358654525E-3</v>
      </c>
      <c r="V32" s="95">
        <f>VLOOKUP(A32,'BSE ALL CAP'!$B$4:$Y$1038,21,)</f>
        <v>0.1860535931790499</v>
      </c>
      <c r="W32" s="95">
        <f>VLOOKUP(A32,'BSE ALL CAP'!$B$4:$Y$1038,22,)</f>
        <v>0.12607449856733521</v>
      </c>
      <c r="X32" s="95">
        <f>VLOOKUP(A32,'BSE ALL CAP'!$B$4:$Y$1038,23,)</f>
        <v>0.2198768689533861</v>
      </c>
      <c r="Y32" s="95">
        <f>VLOOKUP(A32,'BSE ALL CAP'!$B$4:$Y$1038,24,)</f>
        <v>0.28205128205128216</v>
      </c>
    </row>
    <row r="33" spans="1:25" ht="14.4">
      <c r="A33" s="99">
        <v>533573</v>
      </c>
      <c r="B33" s="98" t="s">
        <v>3258</v>
      </c>
      <c r="C33" s="101" t="str">
        <f>VLOOKUP(A33,'BSE ALL CAP'!$B$4:$Y$1038,2,)</f>
        <v>Healthcare</v>
      </c>
      <c r="D33" s="101" t="str">
        <f>VLOOKUP(A33,'BSE ALL CAP'!$B$4:$Y$1038,3,)</f>
        <v>Pharmaceuticals</v>
      </c>
      <c r="E33" s="101">
        <f ca="1">IFERROR(__xludf.DUMMYFUNCTION("GOOGLEFINANCE(""BOM:""&amp;A33,""PRICE"")"),651.3)</f>
        <v>651.29999999999995</v>
      </c>
      <c r="F33" s="112">
        <f ca="1">IFERROR(__xludf.DUMMYFUNCTION("GOOGLEFINANCE(""BOM:""&amp;A33,""MARKETCAP"")/10000000"),12797.233875)</f>
        <v>12797.233875</v>
      </c>
      <c r="G33" s="95">
        <f t="shared" ca="1" si="0"/>
        <v>5.7737470796757426E-3</v>
      </c>
      <c r="H33" s="101">
        <f>VLOOKUP(A33,'BSE ALL CAP'!$B$4:$Y$1038,7,)</f>
        <v>5497</v>
      </c>
      <c r="I33" s="101">
        <f>VLOOKUP(A33,'BSE ALL CAP'!$B$4:$Y$1038,8,)</f>
        <v>4902</v>
      </c>
      <c r="J33" s="101">
        <f>VLOOKUP(A33,'BSE ALL CAP'!$B$4:$Y$1038,9,)</f>
        <v>469</v>
      </c>
      <c r="K33" s="101">
        <f>VLOOKUP(A33,'BSE ALL CAP'!$B$4:$Y$1038,10,)</f>
        <v>425</v>
      </c>
      <c r="L33" s="101">
        <f>VLOOKUP(A33,'BSE ALL CAP'!$B$4:$Y$1038,11,)</f>
        <v>1876</v>
      </c>
      <c r="M33" s="101">
        <f>VLOOKUP(A33,'BSE ALL CAP'!$B$4:$Y$1038,12,)</f>
        <v>1693</v>
      </c>
      <c r="N33" s="101">
        <f>VLOOKUP(A33,'BSE ALL CAP'!$B$4:$Y$1038,13,)</f>
        <v>132</v>
      </c>
      <c r="O33" s="101">
        <f>VLOOKUP(A33,'BSE ALL CAP'!$B$4:$Y$1038,14,)</f>
        <v>138</v>
      </c>
      <c r="P33" s="95">
        <f>VLOOKUP(A33,'BSE ALL CAP'!$B$4:$Y$1038,15,)</f>
        <v>8.5319265053665633E-2</v>
      </c>
      <c r="Q33" s="95">
        <f>VLOOKUP(A33,'BSE ALL CAP'!$B$4:$Y$1038,16,)</f>
        <v>8.6699306405548751E-2</v>
      </c>
      <c r="R33" s="95">
        <f>VLOOKUP(A33,'BSE ALL CAP'!$B$4:$Y$1038,17,)</f>
        <v>-1.3800413518831184E-3</v>
      </c>
      <c r="S33" s="95">
        <f>VLOOKUP(A33,'BSE ALL CAP'!$B$4:$Y$1038,18,)</f>
        <v>7.0362473347547971E-2</v>
      </c>
      <c r="T33" s="95">
        <f>VLOOKUP(A33,'BSE ALL CAP'!$B$4:$Y$1038,19,)</f>
        <v>8.1512108682811571E-2</v>
      </c>
      <c r="U33" s="95">
        <f>VLOOKUP(A33,'BSE ALL CAP'!$B$4:$Y$1038,20,)</f>
        <v>-1.11496353352636E-2</v>
      </c>
      <c r="V33" s="95">
        <f>VLOOKUP(A33,'BSE ALL CAP'!$B$4:$Y$1038,21,)</f>
        <v>0.12137902896776831</v>
      </c>
      <c r="W33" s="95">
        <f>VLOOKUP(A33,'BSE ALL CAP'!$B$4:$Y$1038,22,)</f>
        <v>0.10352941176470587</v>
      </c>
      <c r="X33" s="95">
        <f>VLOOKUP(A33,'BSE ALL CAP'!$B$4:$Y$1038,23,)</f>
        <v>0.10809214412285884</v>
      </c>
      <c r="Y33" s="95">
        <f>VLOOKUP(A33,'BSE ALL CAP'!$B$4:$Y$1038,24,)</f>
        <v>-4.3478260869565188E-2</v>
      </c>
    </row>
    <row r="34" spans="1:25" ht="14.4">
      <c r="A34" s="99">
        <v>530019</v>
      </c>
      <c r="B34" s="98" t="s">
        <v>3259</v>
      </c>
      <c r="C34" s="101" t="str">
        <f>VLOOKUP(A34,'BSE ALL CAP'!$B$4:$Y$1038,2,)</f>
        <v>Healthcare</v>
      </c>
      <c r="D34" s="101" t="str">
        <f>VLOOKUP(A34,'BSE ALL CAP'!$B$4:$Y$1038,3,)</f>
        <v>Pharmaceuticals</v>
      </c>
      <c r="E34" s="101">
        <f ca="1">IFERROR(__xludf.DUMMYFUNCTION("GOOGLEFINANCE(""BOM:""&amp;A34,""PRICE"")"),850)</f>
        <v>850</v>
      </c>
      <c r="F34" s="112">
        <f ca="1">IFERROR(__xludf.DUMMYFUNCTION("GOOGLEFINANCE(""BOM:""&amp;A34,""MARKETCAP"")/10000000"),13474.8855378)</f>
        <v>13474.885537800001</v>
      </c>
      <c r="G34" s="95">
        <f t="shared" ca="1" si="0"/>
        <v>6.0794841903159058E-3</v>
      </c>
      <c r="H34" s="101">
        <f>VLOOKUP(A34,'BSE ALL CAP'!$B$4:$Y$1038,7,)</f>
        <v>5989</v>
      </c>
      <c r="I34" s="101">
        <f>VLOOKUP(A34,'BSE ALL CAP'!$B$4:$Y$1038,8,)</f>
        <v>5305</v>
      </c>
      <c r="J34" s="101">
        <f>VLOOKUP(A34,'BSE ALL CAP'!$B$4:$Y$1038,9,)</f>
        <v>278</v>
      </c>
      <c r="K34" s="101">
        <f>VLOOKUP(A34,'BSE ALL CAP'!$B$4:$Y$1038,10,)</f>
        <v>985</v>
      </c>
      <c r="L34" s="101">
        <f>VLOOKUP(A34,'BSE ALL CAP'!$B$4:$Y$1038,11,)</f>
        <v>2116</v>
      </c>
      <c r="M34" s="101">
        <f>VLOOKUP(A34,'BSE ALL CAP'!$B$4:$Y$1038,12,)</f>
        <v>1813</v>
      </c>
      <c r="N34" s="101">
        <f>VLOOKUP(A34,'BSE ALL CAP'!$B$4:$Y$1038,13,)</f>
        <v>55</v>
      </c>
      <c r="O34" s="101">
        <f>VLOOKUP(A34,'BSE ALL CAP'!$B$4:$Y$1038,14,)</f>
        <v>110</v>
      </c>
      <c r="P34" s="95">
        <f>VLOOKUP(A34,'BSE ALL CAP'!$B$4:$Y$1038,15,)</f>
        <v>4.6418433795291369E-2</v>
      </c>
      <c r="Q34" s="95">
        <f>VLOOKUP(A34,'BSE ALL CAP'!$B$4:$Y$1038,16,)</f>
        <v>0.18567389255419417</v>
      </c>
      <c r="R34" s="95">
        <f>VLOOKUP(A34,'BSE ALL CAP'!$B$4:$Y$1038,17,)</f>
        <v>-0.1392554587589028</v>
      </c>
      <c r="S34" s="95">
        <f>VLOOKUP(A34,'BSE ALL CAP'!$B$4:$Y$1038,18,)</f>
        <v>2.5992438563327031E-2</v>
      </c>
      <c r="T34" s="95">
        <f>VLOOKUP(A34,'BSE ALL CAP'!$B$4:$Y$1038,19,)</f>
        <v>6.0672917815774961E-2</v>
      </c>
      <c r="U34" s="95">
        <f>VLOOKUP(A34,'BSE ALL CAP'!$B$4:$Y$1038,20,)</f>
        <v>-3.4680479252447931E-2</v>
      </c>
      <c r="V34" s="95">
        <f>VLOOKUP(A34,'BSE ALL CAP'!$B$4:$Y$1038,21,)</f>
        <v>0.1289349670122526</v>
      </c>
      <c r="W34" s="95">
        <f>VLOOKUP(A34,'BSE ALL CAP'!$B$4:$Y$1038,22,)</f>
        <v>-0.71776649746192889</v>
      </c>
      <c r="X34" s="95">
        <f>VLOOKUP(A34,'BSE ALL CAP'!$B$4:$Y$1038,23,)</f>
        <v>0.16712630998345279</v>
      </c>
      <c r="Y34" s="95">
        <f>VLOOKUP(A34,'BSE ALL CAP'!$B$4:$Y$1038,24,)</f>
        <v>-0.5</v>
      </c>
    </row>
    <row r="35" spans="1:25" ht="14.4">
      <c r="A35" s="99">
        <v>524742</v>
      </c>
      <c r="B35" s="98" t="s">
        <v>3260</v>
      </c>
      <c r="C35" s="101" t="str">
        <f>VLOOKUP(A35,'BSE ALL CAP'!$B$4:$Y$1038,2,)</f>
        <v>Healthcare</v>
      </c>
      <c r="D35" s="101" t="str">
        <f>VLOOKUP(A35,'BSE ALL CAP'!$B$4:$Y$1038,3,)</f>
        <v>Pharmaceuticals</v>
      </c>
      <c r="E35" s="101">
        <f ca="1">IFERROR(__xludf.DUMMYFUNCTION("GOOGLEFINANCE(""BOM:""&amp;A35,""PRICE"")"),1562.1)</f>
        <v>1562.1</v>
      </c>
      <c r="F35" s="112">
        <f ca="1">IFERROR(__xludf.DUMMYFUNCTION("GOOGLEFINANCE(""BOM:""&amp;A35,""MARKETCAP"")/10000000"),11880.625584)</f>
        <v>11880.625583999999</v>
      </c>
      <c r="G35" s="95">
        <f t="shared" ca="1" si="0"/>
        <v>5.3601995509627983E-3</v>
      </c>
      <c r="H35" s="101">
        <f>VLOOKUP(A35,'BSE ALL CAP'!$B$4:$Y$1038,7,)</f>
        <v>1587</v>
      </c>
      <c r="I35" s="101">
        <f>VLOOKUP(A35,'BSE ALL CAP'!$B$4:$Y$1038,8,)</f>
        <v>1435</v>
      </c>
      <c r="J35" s="101">
        <f>VLOOKUP(A35,'BSE ALL CAP'!$B$4:$Y$1038,9,)</f>
        <v>477</v>
      </c>
      <c r="K35" s="101">
        <f>VLOOKUP(A35,'BSE ALL CAP'!$B$4:$Y$1038,10,)</f>
        <v>396</v>
      </c>
      <c r="L35" s="101">
        <f>VLOOKUP(A35,'BSE ALL CAP'!$B$4:$Y$1038,11,)</f>
        <v>543</v>
      </c>
      <c r="M35" s="101">
        <f>VLOOKUP(A35,'BSE ALL CAP'!$B$4:$Y$1038,12,)</f>
        <v>493</v>
      </c>
      <c r="N35" s="101">
        <f>VLOOKUP(A35,'BSE ALL CAP'!$B$4:$Y$1038,13,)</f>
        <v>166</v>
      </c>
      <c r="O35" s="101">
        <f>VLOOKUP(A35,'BSE ALL CAP'!$B$4:$Y$1038,14,)</f>
        <v>140</v>
      </c>
      <c r="P35" s="95">
        <f>VLOOKUP(A35,'BSE ALL CAP'!$B$4:$Y$1038,15,)</f>
        <v>0.30056710775047257</v>
      </c>
      <c r="Q35" s="95">
        <f>VLOOKUP(A35,'BSE ALL CAP'!$B$4:$Y$1038,16,)</f>
        <v>0.27595818815331008</v>
      </c>
      <c r="R35" s="95">
        <f>VLOOKUP(A35,'BSE ALL CAP'!$B$4:$Y$1038,17,)</f>
        <v>2.4608919597162493E-2</v>
      </c>
      <c r="S35" s="95">
        <f>VLOOKUP(A35,'BSE ALL CAP'!$B$4:$Y$1038,18,)</f>
        <v>0.30570902394106814</v>
      </c>
      <c r="T35" s="95">
        <f>VLOOKUP(A35,'BSE ALL CAP'!$B$4:$Y$1038,19,)</f>
        <v>0.28397565922920892</v>
      </c>
      <c r="U35" s="95">
        <f>VLOOKUP(A35,'BSE ALL CAP'!$B$4:$Y$1038,20,)</f>
        <v>2.1733364711859215E-2</v>
      </c>
      <c r="V35" s="95">
        <f>VLOOKUP(A35,'BSE ALL CAP'!$B$4:$Y$1038,21,)</f>
        <v>0.10592334494773525</v>
      </c>
      <c r="W35" s="95">
        <f>VLOOKUP(A35,'BSE ALL CAP'!$B$4:$Y$1038,22,)</f>
        <v>0.20454545454545459</v>
      </c>
      <c r="X35" s="95">
        <f>VLOOKUP(A35,'BSE ALL CAP'!$B$4:$Y$1038,23,)</f>
        <v>0.10141987829614596</v>
      </c>
      <c r="Y35" s="95">
        <f>VLOOKUP(A35,'BSE ALL CAP'!$B$4:$Y$1038,24,)</f>
        <v>0.18571428571428572</v>
      </c>
    </row>
    <row r="36" spans="1:25" ht="14.4">
      <c r="A36" s="99">
        <v>544578</v>
      </c>
      <c r="B36" s="98" t="s">
        <v>3261</v>
      </c>
      <c r="C36" s="101" t="e">
        <f>VLOOKUP(A36,'BSE ALL CAP'!$B$4:$Y$1038,2,)</f>
        <v>#N/A</v>
      </c>
      <c r="D36" s="101" t="e">
        <f>VLOOKUP(A36,'BSE ALL CAP'!$B$4:$Y$1038,3,)</f>
        <v>#N/A</v>
      </c>
      <c r="E36" s="101">
        <f ca="1">IFERROR(__xludf.DUMMYFUNCTION("GOOGLEFINANCE(""BOM:""&amp;A36,""PRICE"")"),778.3)</f>
        <v>778.3</v>
      </c>
      <c r="F36" s="112">
        <f ca="1">IFERROR(__xludf.DUMMYFUNCTION("GOOGLEFINANCE(""BOM:""&amp;A36,""MARKETCAP"")/10000000"),12802.8846)</f>
        <v>12802.884599999999</v>
      </c>
      <c r="G36" s="95">
        <f t="shared" ca="1" si="0"/>
        <v>5.7762965256955212E-3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543960</v>
      </c>
      <c r="B37" s="98" t="s">
        <v>3262</v>
      </c>
      <c r="C37" s="101" t="str">
        <f>VLOOKUP(A37,'BSE ALL CAP'!$B$4:$Y$1038,2,)</f>
        <v>Healthcare</v>
      </c>
      <c r="D37" s="101" t="str">
        <f>VLOOKUP(A37,'BSE ALL CAP'!$B$4:$Y$1038,3,)</f>
        <v>Pharmaceuticals</v>
      </c>
      <c r="E37" s="101">
        <f ca="1">IFERROR(__xludf.DUMMYFUNCTION("GOOGLEFINANCE(""BOM:""&amp;A37,""PRICE"")"),1042.4)</f>
        <v>1042.4000000000001</v>
      </c>
      <c r="F37" s="112">
        <f ca="1">IFERROR(__xludf.DUMMYFUNCTION("GOOGLEFINANCE(""BOM:""&amp;A37,""MARKETCAP"")/10000000"),10901.00804)</f>
        <v>10901.008040000001</v>
      </c>
      <c r="G37" s="95">
        <f t="shared" ca="1" si="0"/>
        <v>4.9182240436683273E-3</v>
      </c>
      <c r="H37" s="101">
        <f>VLOOKUP(A37,'BSE ALL CAP'!$B$4:$Y$1038,7,)</f>
        <v>728</v>
      </c>
      <c r="I37" s="101">
        <f>VLOOKUP(A37,'BSE ALL CAP'!$B$4:$Y$1038,8,)</f>
        <v>770</v>
      </c>
      <c r="J37" s="101">
        <f>VLOOKUP(A37,'BSE ALL CAP'!$B$4:$Y$1038,9,)</f>
        <v>170</v>
      </c>
      <c r="K37" s="101">
        <f>VLOOKUP(A37,'BSE ALL CAP'!$B$4:$Y$1038,10,)</f>
        <v>231</v>
      </c>
      <c r="L37" s="101">
        <f>VLOOKUP(A37,'BSE ALL CAP'!$B$4:$Y$1038,11,)</f>
        <v>277</v>
      </c>
      <c r="M37" s="101">
        <f>VLOOKUP(A37,'BSE ALL CAP'!$B$4:$Y$1038,12,)</f>
        <v>244</v>
      </c>
      <c r="N37" s="101">
        <f>VLOOKUP(A37,'BSE ALL CAP'!$B$4:$Y$1038,13,)</f>
        <v>63</v>
      </c>
      <c r="O37" s="101">
        <f>VLOOKUP(A37,'BSE ALL CAP'!$B$4:$Y$1038,14,)</f>
        <v>75</v>
      </c>
      <c r="P37" s="95">
        <f>VLOOKUP(A37,'BSE ALL CAP'!$B$4:$Y$1038,15,)</f>
        <v>0.23351648351648352</v>
      </c>
      <c r="Q37" s="95">
        <f>VLOOKUP(A37,'BSE ALL CAP'!$B$4:$Y$1038,16,)</f>
        <v>0.3</v>
      </c>
      <c r="R37" s="95">
        <f>VLOOKUP(A37,'BSE ALL CAP'!$B$4:$Y$1038,17,)</f>
        <v>-6.6483516483516469E-2</v>
      </c>
      <c r="S37" s="95">
        <f>VLOOKUP(A37,'BSE ALL CAP'!$B$4:$Y$1038,18,)</f>
        <v>0.22743682310469315</v>
      </c>
      <c r="T37" s="95">
        <f>VLOOKUP(A37,'BSE ALL CAP'!$B$4:$Y$1038,19,)</f>
        <v>0.30737704918032788</v>
      </c>
      <c r="U37" s="95">
        <f>VLOOKUP(A37,'BSE ALL CAP'!$B$4:$Y$1038,20,)</f>
        <v>-7.9940226075634724E-2</v>
      </c>
      <c r="V37" s="95">
        <f>VLOOKUP(A37,'BSE ALL CAP'!$B$4:$Y$1038,21,)</f>
        <v>-5.4545454545454564E-2</v>
      </c>
      <c r="W37" s="95">
        <f>VLOOKUP(A37,'BSE ALL CAP'!$B$4:$Y$1038,22,)</f>
        <v>-0.26406926406926412</v>
      </c>
      <c r="X37" s="95">
        <f>VLOOKUP(A37,'BSE ALL CAP'!$B$4:$Y$1038,23,)</f>
        <v>0.13524590163934436</v>
      </c>
      <c r="Y37" s="95">
        <f>VLOOKUP(A37,'BSE ALL CAP'!$B$4:$Y$1038,24,)</f>
        <v>-0.16000000000000003</v>
      </c>
    </row>
    <row r="38" spans="1:25" ht="14.4">
      <c r="A38" s="99">
        <v>543064</v>
      </c>
      <c r="B38" s="98" t="s">
        <v>3263</v>
      </c>
      <c r="C38" s="101" t="str">
        <f>VLOOKUP(A38,'BSE ALL CAP'!$B$4:$Y$1038,2,)</f>
        <v>Healthcare</v>
      </c>
      <c r="D38" s="101" t="str">
        <f>VLOOKUP(A38,'BSE ALL CAP'!$B$4:$Y$1038,3,)</f>
        <v>Pharmaceuticals</v>
      </c>
      <c r="E38" s="101">
        <f ca="1">IFERROR(__xludf.DUMMYFUNCTION("GOOGLEFINANCE(""BOM:""&amp;A38,""PRICE"")"),299.75)</f>
        <v>299.75</v>
      </c>
      <c r="F38" s="112">
        <f ca="1">IFERROR(__xludf.DUMMYFUNCTION("GOOGLEFINANCE(""BOM:""&amp;A38,""MARKETCAP"")/10000000"),11461.7135455)</f>
        <v>11461.713545500001</v>
      </c>
      <c r="G38" s="95">
        <f t="shared" ca="1" si="0"/>
        <v>5.171198382229342E-3</v>
      </c>
      <c r="H38" s="101">
        <f>VLOOKUP(A38,'BSE ALL CAP'!$B$4:$Y$1038,7,)</f>
        <v>1649</v>
      </c>
      <c r="I38" s="101">
        <f>VLOOKUP(A38,'BSE ALL CAP'!$B$4:$Y$1038,8,)</f>
        <v>1768</v>
      </c>
      <c r="J38" s="101">
        <f>VLOOKUP(A38,'BSE ALL CAP'!$B$4:$Y$1038,9,)</f>
        <v>142</v>
      </c>
      <c r="K38" s="101">
        <f>VLOOKUP(A38,'BSE ALL CAP'!$B$4:$Y$1038,10,)</f>
        <v>367</v>
      </c>
      <c r="L38" s="101">
        <f>VLOOKUP(A38,'BSE ALL CAP'!$B$4:$Y$1038,11,)</f>
        <v>544</v>
      </c>
      <c r="M38" s="101">
        <f>VLOOKUP(A38,'BSE ALL CAP'!$B$4:$Y$1038,12,)</f>
        <v>676</v>
      </c>
      <c r="N38" s="101">
        <f>VLOOKUP(A38,'BSE ALL CAP'!$B$4:$Y$1038,13,)</f>
        <v>29</v>
      </c>
      <c r="O38" s="101">
        <f>VLOOKUP(A38,'BSE ALL CAP'!$B$4:$Y$1038,14,)</f>
        <v>153</v>
      </c>
      <c r="P38" s="95">
        <f>VLOOKUP(A38,'BSE ALL CAP'!$B$4:$Y$1038,15,)</f>
        <v>8.6112795633717404E-2</v>
      </c>
      <c r="Q38" s="95">
        <f>VLOOKUP(A38,'BSE ALL CAP'!$B$4:$Y$1038,16,)</f>
        <v>0.207579185520362</v>
      </c>
      <c r="R38" s="95">
        <f>VLOOKUP(A38,'BSE ALL CAP'!$B$4:$Y$1038,17,)</f>
        <v>-0.1214663898866446</v>
      </c>
      <c r="S38" s="95">
        <f>VLOOKUP(A38,'BSE ALL CAP'!$B$4:$Y$1038,18,)</f>
        <v>5.3308823529411763E-2</v>
      </c>
      <c r="T38" s="95">
        <f>VLOOKUP(A38,'BSE ALL CAP'!$B$4:$Y$1038,19,)</f>
        <v>0.22633136094674555</v>
      </c>
      <c r="U38" s="95">
        <f>VLOOKUP(A38,'BSE ALL CAP'!$B$4:$Y$1038,20,)</f>
        <v>-0.17302253741733378</v>
      </c>
      <c r="V38" s="95">
        <f>VLOOKUP(A38,'BSE ALL CAP'!$B$4:$Y$1038,21,)</f>
        <v>-6.7307692307692291E-2</v>
      </c>
      <c r="W38" s="95">
        <f>VLOOKUP(A38,'BSE ALL CAP'!$B$4:$Y$1038,22,)</f>
        <v>-0.61307901907356954</v>
      </c>
      <c r="X38" s="95">
        <f>VLOOKUP(A38,'BSE ALL CAP'!$B$4:$Y$1038,23,)</f>
        <v>-0.19526627218934911</v>
      </c>
      <c r="Y38" s="95">
        <f>VLOOKUP(A38,'BSE ALL CAP'!$B$4:$Y$1038,24,)</f>
        <v>-0.81045751633986929</v>
      </c>
    </row>
    <row r="39" spans="1:25" ht="14.4">
      <c r="A39" s="99">
        <v>543322</v>
      </c>
      <c r="B39" s="98" t="s">
        <v>3264</v>
      </c>
      <c r="C39" s="101" t="str">
        <f>VLOOKUP(A39,'BSE ALL CAP'!$B$4:$Y$1038,2,)</f>
        <v>Healthcare</v>
      </c>
      <c r="D39" s="101" t="str">
        <f>VLOOKUP(A39,'BSE ALL CAP'!$B$4:$Y$1038,3,)</f>
        <v>Pharmaceuticals</v>
      </c>
      <c r="E39" s="101">
        <f ca="1">IFERROR(__xludf.DUMMYFUNCTION("GOOGLEFINANCE(""BOM:""&amp;A39,""PRICE"")"),999.2)</f>
        <v>999.2</v>
      </c>
      <c r="F39" s="112">
        <f ca="1">IFERROR(__xludf.DUMMYFUNCTION("GOOGLEFINANCE(""BOM:""&amp;A39,""MARKETCAP"")/10000000"),12279.1532833)</f>
        <v>12279.1532833</v>
      </c>
      <c r="G39" s="95">
        <f t="shared" ca="1" si="0"/>
        <v>5.5400038869996959E-3</v>
      </c>
      <c r="H39" s="101">
        <f>VLOOKUP(A39,'BSE ALL CAP'!$B$4:$Y$1038,7,)</f>
        <v>1862</v>
      </c>
      <c r="I39" s="101">
        <f>VLOOKUP(A39,'BSE ALL CAP'!$B$4:$Y$1038,8,)</f>
        <v>1737</v>
      </c>
      <c r="J39" s="101">
        <f>VLOOKUP(A39,'BSE ALL CAP'!$B$4:$Y$1038,9,)</f>
        <v>401</v>
      </c>
      <c r="K39" s="101">
        <f>VLOOKUP(A39,'BSE ALL CAP'!$B$4:$Y$1038,10,)</f>
        <v>343</v>
      </c>
      <c r="L39" s="101">
        <f>VLOOKUP(A39,'BSE ALL CAP'!$B$4:$Y$1038,11,)</f>
        <v>672</v>
      </c>
      <c r="M39" s="101">
        <f>VLOOKUP(A39,'BSE ALL CAP'!$B$4:$Y$1038,12,)</f>
        <v>641</v>
      </c>
      <c r="N39" s="101">
        <f>VLOOKUP(A39,'BSE ALL CAP'!$B$4:$Y$1038,13,)</f>
        <v>150</v>
      </c>
      <c r="O39" s="101">
        <f>VLOOKUP(A39,'BSE ALL CAP'!$B$4:$Y$1038,14,)</f>
        <v>136</v>
      </c>
      <c r="P39" s="95">
        <f>VLOOKUP(A39,'BSE ALL CAP'!$B$4:$Y$1038,15,)</f>
        <v>0.21535982814178303</v>
      </c>
      <c r="Q39" s="95">
        <f>VLOOKUP(A39,'BSE ALL CAP'!$B$4:$Y$1038,16,)</f>
        <v>0.19746689694876224</v>
      </c>
      <c r="R39" s="95">
        <f>VLOOKUP(A39,'BSE ALL CAP'!$B$4:$Y$1038,17,)</f>
        <v>1.7892931193020795E-2</v>
      </c>
      <c r="S39" s="95">
        <f>VLOOKUP(A39,'BSE ALL CAP'!$B$4:$Y$1038,18,)</f>
        <v>0.22321428571428573</v>
      </c>
      <c r="T39" s="95">
        <f>VLOOKUP(A39,'BSE ALL CAP'!$B$4:$Y$1038,19,)</f>
        <v>0.21216848673946959</v>
      </c>
      <c r="U39" s="95">
        <f>VLOOKUP(A39,'BSE ALL CAP'!$B$4:$Y$1038,20,)</f>
        <v>1.104579897481614E-2</v>
      </c>
      <c r="V39" s="95">
        <f>VLOOKUP(A39,'BSE ALL CAP'!$B$4:$Y$1038,21,)</f>
        <v>7.1963154864709278E-2</v>
      </c>
      <c r="W39" s="95">
        <f>VLOOKUP(A39,'BSE ALL CAP'!$B$4:$Y$1038,22,)</f>
        <v>0.16909620991253638</v>
      </c>
      <c r="X39" s="95">
        <f>VLOOKUP(A39,'BSE ALL CAP'!$B$4:$Y$1038,23,)</f>
        <v>4.8361934477379132E-2</v>
      </c>
      <c r="Y39" s="95">
        <f>VLOOKUP(A39,'BSE ALL CAP'!$B$4:$Y$1038,24,)</f>
        <v>0.10294117647058831</v>
      </c>
    </row>
    <row r="40" spans="1:25" ht="14.4">
      <c r="A40" s="99">
        <v>544250</v>
      </c>
      <c r="B40" s="98" t="s">
        <v>3265</v>
      </c>
      <c r="C40" s="101" t="e">
        <f>VLOOKUP(A40,'BSE ALL CAP'!$B$4:$Y$1038,2,)</f>
        <v>#N/A</v>
      </c>
      <c r="D40" s="101" t="e">
        <f>VLOOKUP(A40,'BSE ALL CAP'!$B$4:$Y$1038,3,)</f>
        <v>#N/A</v>
      </c>
      <c r="E40" s="101">
        <f ca="1">IFERROR(__xludf.DUMMYFUNCTION("GOOGLEFINANCE(""BOM:""&amp;A40,""PRICE"")"),4647.2)</f>
        <v>4647.2</v>
      </c>
      <c r="F40" s="112">
        <f ca="1">IFERROR(__xludf.DUMMYFUNCTION("GOOGLEFINANCE(""BOM:""&amp;A40,""MARKETCAP"")/10000000"),10663.4075911)</f>
        <v>10663.4075911</v>
      </c>
      <c r="G40" s="95">
        <f t="shared" ca="1" si="0"/>
        <v>4.8110254950315011E-3</v>
      </c>
      <c r="H40" s="101" t="e">
        <f>VLOOKUP(A40,'BSE ALL CAP'!$B$4:$Y$1038,7,)</f>
        <v>#N/A</v>
      </c>
      <c r="I40" s="101" t="e">
        <f>VLOOKUP(A40,'BSE ALL CAP'!$B$4:$Y$1038,8,)</f>
        <v>#N/A</v>
      </c>
      <c r="J40" s="101" t="e">
        <f>VLOOKUP(A40,'BSE ALL CAP'!$B$4:$Y$1038,9,)</f>
        <v>#N/A</v>
      </c>
      <c r="K40" s="101" t="e">
        <f>VLOOKUP(A40,'BSE ALL CAP'!$B$4:$Y$1038,10,)</f>
        <v>#N/A</v>
      </c>
      <c r="L40" s="101" t="e">
        <f>VLOOKUP(A40,'BSE ALL CAP'!$B$4:$Y$1038,11,)</f>
        <v>#N/A</v>
      </c>
      <c r="M40" s="101" t="e">
        <f>VLOOKUP(A40,'BSE ALL CAP'!$B$4:$Y$1038,12,)</f>
        <v>#N/A</v>
      </c>
      <c r="N40" s="101" t="e">
        <f>VLOOKUP(A40,'BSE ALL CAP'!$B$4:$Y$1038,13,)</f>
        <v>#N/A</v>
      </c>
      <c r="O40" s="101" t="e">
        <f>VLOOKUP(A40,'BSE ALL CAP'!$B$4:$Y$1038,14,)</f>
        <v>#N/A</v>
      </c>
      <c r="P40" s="95" t="e">
        <f>VLOOKUP(A40,'BSE ALL CAP'!$B$4:$Y$1038,15,)</f>
        <v>#N/A</v>
      </c>
      <c r="Q40" s="95" t="e">
        <f>VLOOKUP(A40,'BSE ALL CAP'!$B$4:$Y$1038,16,)</f>
        <v>#N/A</v>
      </c>
      <c r="R40" s="95" t="e">
        <f>VLOOKUP(A40,'BSE ALL CAP'!$B$4:$Y$1038,17,)</f>
        <v>#N/A</v>
      </c>
      <c r="S40" s="95" t="e">
        <f>VLOOKUP(A40,'BSE ALL CAP'!$B$4:$Y$1038,18,)</f>
        <v>#N/A</v>
      </c>
      <c r="T40" s="95" t="e">
        <f>VLOOKUP(A40,'BSE ALL CAP'!$B$4:$Y$1038,19,)</f>
        <v>#N/A</v>
      </c>
      <c r="U40" s="95" t="e">
        <f>VLOOKUP(A40,'BSE ALL CAP'!$B$4:$Y$1038,20,)</f>
        <v>#N/A</v>
      </c>
      <c r="V40" s="95" t="e">
        <f>VLOOKUP(A40,'BSE ALL CAP'!$B$4:$Y$1038,21,)</f>
        <v>#N/A</v>
      </c>
      <c r="W40" s="95" t="e">
        <f>VLOOKUP(A40,'BSE ALL CAP'!$B$4:$Y$1038,22,)</f>
        <v>#N/A</v>
      </c>
      <c r="X40" s="95" t="e">
        <f>VLOOKUP(A40,'BSE ALL CAP'!$B$4:$Y$1038,23,)</f>
        <v>#N/A</v>
      </c>
      <c r="Y40" s="95" t="e">
        <f>VLOOKUP(A40,'BSE ALL CAP'!$B$4:$Y$1038,24,)</f>
        <v>#N/A</v>
      </c>
    </row>
    <row r="41" spans="1:25" ht="14.4">
      <c r="A41" s="99">
        <v>544644</v>
      </c>
      <c r="B41" s="98" t="s">
        <v>3266</v>
      </c>
      <c r="C41" s="101" t="e">
        <f>VLOOKUP(A41,'BSE ALL CAP'!$B$4:$Y$1038,2,)</f>
        <v>#N/A</v>
      </c>
      <c r="D41" s="101" t="e">
        <f>VLOOKUP(A41,'BSE ALL CAP'!$B$4:$Y$1038,3,)</f>
        <v>#N/A</v>
      </c>
      <c r="E41" s="101">
        <f ca="1">IFERROR(__xludf.DUMMYFUNCTION("GOOGLEFINANCE(""BOM:""&amp;A41,""PRICE"")"),1485)</f>
        <v>1485</v>
      </c>
      <c r="F41" s="112">
        <f ca="1">IFERROR(__xludf.DUMMYFUNCTION("GOOGLEFINANCE(""BOM:""&amp;A41,""MARKETCAP"")/10000000"),9089.6107909)</f>
        <v>9089.6107909000002</v>
      </c>
      <c r="G41" s="95">
        <f t="shared" ca="1" si="0"/>
        <v>4.1009732471852627E-3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512529</v>
      </c>
      <c r="B42" s="98" t="s">
        <v>3267</v>
      </c>
      <c r="C42" s="101" t="str">
        <f>VLOOKUP(A42,'BSE ALL CAP'!$B$4:$Y$1038,2,)</f>
        <v>Healthcare</v>
      </c>
      <c r="D42" s="101" t="str">
        <f>VLOOKUP(A42,'BSE ALL CAP'!$B$4:$Y$1038,3,)</f>
        <v>Pharmaceuticals</v>
      </c>
      <c r="E42" s="101">
        <f ca="1">IFERROR(__xludf.DUMMYFUNCTION("GOOGLEFINANCE(""BOM:""&amp;A42,""PRICE"")"),195.55)</f>
        <v>195.55</v>
      </c>
      <c r="F42" s="112">
        <f ca="1">IFERROR(__xludf.DUMMYFUNCTION("GOOGLEFINANCE(""BOM:""&amp;A42,""MARKETCAP"")/10000000"),8369.466)</f>
        <v>8369.4660000000003</v>
      </c>
      <c r="G42" s="95">
        <f t="shared" ca="1" si="0"/>
        <v>3.7760644486108073E-3</v>
      </c>
      <c r="H42" s="101">
        <f>VLOOKUP(A42,'BSE ALL CAP'!$B$4:$Y$1038,7,)</f>
        <v>2500</v>
      </c>
      <c r="I42" s="101">
        <f>VLOOKUP(A42,'BSE ALL CAP'!$B$4:$Y$1038,8,)</f>
        <v>2234</v>
      </c>
      <c r="J42" s="101">
        <f>VLOOKUP(A42,'BSE ALL CAP'!$B$4:$Y$1038,9,)</f>
        <v>158</v>
      </c>
      <c r="K42" s="101">
        <f>VLOOKUP(A42,'BSE ALL CAP'!$B$4:$Y$1038,10,)</f>
        <v>47</v>
      </c>
      <c r="L42" s="101">
        <f>VLOOKUP(A42,'BSE ALL CAP'!$B$4:$Y$1038,11,)</f>
        <v>858</v>
      </c>
      <c r="M42" s="101">
        <f>VLOOKUP(A42,'BSE ALL CAP'!$B$4:$Y$1038,12,)</f>
        <v>774</v>
      </c>
      <c r="N42" s="101">
        <f>VLOOKUP(A42,'BSE ALL CAP'!$B$4:$Y$1038,13,)</f>
        <v>48</v>
      </c>
      <c r="O42" s="101">
        <f>VLOOKUP(A42,'BSE ALL CAP'!$B$4:$Y$1038,14,)</f>
        <v>41</v>
      </c>
      <c r="P42" s="95">
        <f>VLOOKUP(A42,'BSE ALL CAP'!$B$4:$Y$1038,15,)</f>
        <v>6.3200000000000006E-2</v>
      </c>
      <c r="Q42" s="95">
        <f>VLOOKUP(A42,'BSE ALL CAP'!$B$4:$Y$1038,16,)</f>
        <v>2.1038495971351837E-2</v>
      </c>
      <c r="R42" s="95">
        <f>VLOOKUP(A42,'BSE ALL CAP'!$B$4:$Y$1038,17,)</f>
        <v>4.216150402864817E-2</v>
      </c>
      <c r="S42" s="95">
        <f>VLOOKUP(A42,'BSE ALL CAP'!$B$4:$Y$1038,18,)</f>
        <v>5.5944055944055944E-2</v>
      </c>
      <c r="T42" s="95">
        <f>VLOOKUP(A42,'BSE ALL CAP'!$B$4:$Y$1038,19,)</f>
        <v>5.2971576227390182E-2</v>
      </c>
      <c r="U42" s="95">
        <f>VLOOKUP(A42,'BSE ALL CAP'!$B$4:$Y$1038,20,)</f>
        <v>2.9724797166657616E-3</v>
      </c>
      <c r="V42" s="95">
        <f>VLOOKUP(A42,'BSE ALL CAP'!$B$4:$Y$1038,21,)</f>
        <v>0.11906893464637425</v>
      </c>
      <c r="W42" s="95">
        <f>VLOOKUP(A42,'BSE ALL CAP'!$B$4:$Y$1038,22,)</f>
        <v>2.3617021276595747</v>
      </c>
      <c r="X42" s="95">
        <f>VLOOKUP(A42,'BSE ALL CAP'!$B$4:$Y$1038,23,)</f>
        <v>0.10852713178294571</v>
      </c>
      <c r="Y42" s="95">
        <f>VLOOKUP(A42,'BSE ALL CAP'!$B$4:$Y$1038,24,)</f>
        <v>0.1707317073170731</v>
      </c>
    </row>
    <row r="43" spans="1:25" ht="14.4">
      <c r="A43" s="99">
        <v>500674</v>
      </c>
      <c r="B43" s="98" t="s">
        <v>3268</v>
      </c>
      <c r="C43" s="101" t="str">
        <f>VLOOKUP(A43,'BSE ALL CAP'!$B$4:$Y$1038,2,)</f>
        <v>Healthcare</v>
      </c>
      <c r="D43" s="101" t="str">
        <f>VLOOKUP(A43,'BSE ALL CAP'!$B$4:$Y$1038,3,)</f>
        <v>Pharmaceuticals</v>
      </c>
      <c r="E43" s="101">
        <f ca="1">IFERROR(__xludf.DUMMYFUNCTION("GOOGLEFINANCE(""BOM:""&amp;A43,""PRICE"")"),3340.4)</f>
        <v>3340.4</v>
      </c>
      <c r="F43" s="112">
        <f ca="1">IFERROR(__xludf.DUMMYFUNCTION("GOOGLEFINANCE(""BOM:""&amp;A43,""MARKETCAP"")/10000000"),7680.4812388)</f>
        <v>7680.4812388</v>
      </c>
      <c r="G43" s="95">
        <f t="shared" ca="1" si="0"/>
        <v>3.4652141670752914E-3</v>
      </c>
      <c r="H43" s="101">
        <f>VLOOKUP(A43,'BSE ALL CAP'!$B$4:$Y$1038,7,)</f>
        <v>0</v>
      </c>
      <c r="I43" s="101">
        <f>VLOOKUP(A43,'BSE ALL CAP'!$B$4:$Y$1038,8,)</f>
        <v>0</v>
      </c>
      <c r="J43" s="101">
        <f>VLOOKUP(A43,'BSE ALL CAP'!$B$4:$Y$1038,9,)</f>
        <v>0</v>
      </c>
      <c r="K43" s="101">
        <f>VLOOKUP(A43,'BSE ALL CAP'!$B$4:$Y$1038,10,)</f>
        <v>0</v>
      </c>
      <c r="L43" s="101">
        <f>VLOOKUP(A43,'BSE ALL CAP'!$B$4:$Y$1038,11,)</f>
        <v>0</v>
      </c>
      <c r="M43" s="101">
        <f>VLOOKUP(A43,'BSE ALL CAP'!$B$4:$Y$1038,12,)</f>
        <v>0</v>
      </c>
      <c r="N43" s="101">
        <f>VLOOKUP(A43,'BSE ALL CAP'!$B$4:$Y$1038,13,)</f>
        <v>0</v>
      </c>
      <c r="O43" s="101">
        <f>VLOOKUP(A43,'BSE ALL CAP'!$B$4:$Y$1038,14,)</f>
        <v>0</v>
      </c>
      <c r="P43" s="95" t="e">
        <f>VLOOKUP(A43,'BSE ALL CAP'!$B$4:$Y$1038,15,)</f>
        <v>#DIV/0!</v>
      </c>
      <c r="Q43" s="95" t="e">
        <f>VLOOKUP(A43,'BSE ALL CAP'!$B$4:$Y$1038,16,)</f>
        <v>#DIV/0!</v>
      </c>
      <c r="R43" s="95" t="e">
        <f>VLOOKUP(A43,'BSE ALL CAP'!$B$4:$Y$1038,17,)</f>
        <v>#DIV/0!</v>
      </c>
      <c r="S43" s="95" t="e">
        <f>VLOOKUP(A43,'BSE ALL CAP'!$B$4:$Y$1038,18,)</f>
        <v>#DIV/0!</v>
      </c>
      <c r="T43" s="95" t="e">
        <f>VLOOKUP(A43,'BSE ALL CAP'!$B$4:$Y$1038,19,)</f>
        <v>#DIV/0!</v>
      </c>
      <c r="U43" s="95" t="e">
        <f>VLOOKUP(A43,'BSE ALL CAP'!$B$4:$Y$1038,20,)</f>
        <v>#DIV/0!</v>
      </c>
      <c r="V43" s="95" t="e">
        <f>VLOOKUP(A43,'BSE ALL CAP'!$B$4:$Y$1038,21,)</f>
        <v>#DIV/0!</v>
      </c>
      <c r="W43" s="95" t="e">
        <f>VLOOKUP(A43,'BSE ALL CAP'!$B$4:$Y$1038,22,)</f>
        <v>#DIV/0!</v>
      </c>
      <c r="X43" s="95" t="e">
        <f>VLOOKUP(A43,'BSE ALL CAP'!$B$4:$Y$1038,23,)</f>
        <v>#DIV/0!</v>
      </c>
      <c r="Y43" s="95" t="e">
        <f>VLOOKUP(A43,'BSE ALL CAP'!$B$4:$Y$1038,24,)</f>
        <v>#DIV/0!</v>
      </c>
    </row>
    <row r="44" spans="1:25" ht="14.4">
      <c r="A44" s="99">
        <v>500126</v>
      </c>
      <c r="B44" s="98" t="s">
        <v>3269</v>
      </c>
      <c r="C44" s="101" t="str">
        <f>VLOOKUP(A44,'BSE ALL CAP'!$B$4:$Y$1038,2,)</f>
        <v>Healthcare</v>
      </c>
      <c r="D44" s="101" t="str">
        <f>VLOOKUP(A44,'BSE ALL CAP'!$B$4:$Y$1038,3,)</f>
        <v>Pharmaceuticals</v>
      </c>
      <c r="E44" s="101">
        <f ca="1">IFERROR(__xludf.DUMMYFUNCTION("GOOGLEFINANCE(""BOM:""&amp;A44,""PRICE"")"),4800.6)</f>
        <v>4800.6000000000004</v>
      </c>
      <c r="F44" s="112">
        <f ca="1">IFERROR(__xludf.DUMMYFUNCTION("GOOGLEFINANCE(""BOM:""&amp;A44,""MARKETCAP"")/10000000"),7992.2691581)</f>
        <v>7992.2691580999999</v>
      </c>
      <c r="G44" s="95">
        <f t="shared" ca="1" si="0"/>
        <v>3.6058839872974021E-3</v>
      </c>
      <c r="H44" s="101">
        <f>VLOOKUP(A44,'BSE ALL CAP'!$B$4:$Y$1038,7,)</f>
        <v>1037</v>
      </c>
      <c r="I44" s="101">
        <f>VLOOKUP(A44,'BSE ALL CAP'!$B$4:$Y$1038,8,)</f>
        <v>907</v>
      </c>
      <c r="J44" s="101">
        <f>VLOOKUP(A44,'BSE ALL CAP'!$B$4:$Y$1038,9,)</f>
        <v>232</v>
      </c>
      <c r="K44" s="101">
        <f>VLOOKUP(A44,'BSE ALL CAP'!$B$4:$Y$1038,10,)</f>
        <v>190</v>
      </c>
      <c r="L44" s="101">
        <f>VLOOKUP(A44,'BSE ALL CAP'!$B$4:$Y$1038,11,)</f>
        <v>373</v>
      </c>
      <c r="M44" s="101">
        <f>VLOOKUP(A44,'BSE ALL CAP'!$B$4:$Y$1038,12,)</f>
        <v>309</v>
      </c>
      <c r="N44" s="101">
        <f>VLOOKUP(A44,'BSE ALL CAP'!$B$4:$Y$1038,13,)</f>
        <v>77</v>
      </c>
      <c r="O44" s="101">
        <f>VLOOKUP(A44,'BSE ALL CAP'!$B$4:$Y$1038,14,)</f>
        <v>90</v>
      </c>
      <c r="P44" s="95">
        <f>VLOOKUP(A44,'BSE ALL CAP'!$B$4:$Y$1038,15,)</f>
        <v>0.22372227579556414</v>
      </c>
      <c r="Q44" s="95">
        <f>VLOOKUP(A44,'BSE ALL CAP'!$B$4:$Y$1038,16,)</f>
        <v>0.20948180815876516</v>
      </c>
      <c r="R44" s="95">
        <f>VLOOKUP(A44,'BSE ALL CAP'!$B$4:$Y$1038,17,)</f>
        <v>1.4240467636798981E-2</v>
      </c>
      <c r="S44" s="95">
        <f>VLOOKUP(A44,'BSE ALL CAP'!$B$4:$Y$1038,18,)</f>
        <v>0.2064343163538874</v>
      </c>
      <c r="T44" s="95">
        <f>VLOOKUP(A44,'BSE ALL CAP'!$B$4:$Y$1038,19,)</f>
        <v>0.29126213592233008</v>
      </c>
      <c r="U44" s="95">
        <f>VLOOKUP(A44,'BSE ALL CAP'!$B$4:$Y$1038,20,)</f>
        <v>-8.4827819568442681E-2</v>
      </c>
      <c r="V44" s="95">
        <f>VLOOKUP(A44,'BSE ALL CAP'!$B$4:$Y$1038,21,)</f>
        <v>0.14332965821389188</v>
      </c>
      <c r="W44" s="95">
        <f>VLOOKUP(A44,'BSE ALL CAP'!$B$4:$Y$1038,22,)</f>
        <v>0.22105263157894739</v>
      </c>
      <c r="X44" s="95">
        <f>VLOOKUP(A44,'BSE ALL CAP'!$B$4:$Y$1038,23,)</f>
        <v>0.20711974110032361</v>
      </c>
      <c r="Y44" s="95">
        <f>VLOOKUP(A44,'BSE ALL CAP'!$B$4:$Y$1038,24,)</f>
        <v>-0.14444444444444449</v>
      </c>
    </row>
    <row r="45" spans="1:25" ht="14.4">
      <c r="A45" s="99">
        <v>532531</v>
      </c>
      <c r="B45" s="98" t="s">
        <v>3270</v>
      </c>
      <c r="C45" s="101" t="str">
        <f>VLOOKUP(A45,'BSE ALL CAP'!$B$4:$Y$1038,2,)</f>
        <v>Healthcare</v>
      </c>
      <c r="D45" s="101" t="str">
        <f>VLOOKUP(A45,'BSE ALL CAP'!$B$4:$Y$1038,3,)</f>
        <v>Pharmaceuticals</v>
      </c>
      <c r="E45" s="101">
        <f ca="1">IFERROR(__xludf.DUMMYFUNCTION("GOOGLEFINANCE(""BOM:""&amp;A45,""PRICE"")"),977.95)</f>
        <v>977.95</v>
      </c>
      <c r="F45" s="112">
        <f ca="1">IFERROR(__xludf.DUMMYFUNCTION("GOOGLEFINANCE(""BOM:""&amp;A45,""MARKETCAP"")/10000000"),9017.2561067)</f>
        <v>9017.2561067000006</v>
      </c>
      <c r="G45" s="95">
        <f t="shared" ca="1" si="0"/>
        <v>4.0683288764813159E-3</v>
      </c>
      <c r="H45" s="101">
        <f>VLOOKUP(A45,'BSE ALL CAP'!$B$4:$Y$1038,7,)</f>
        <v>3535</v>
      </c>
      <c r="I45" s="101">
        <f>VLOOKUP(A45,'BSE ALL CAP'!$B$4:$Y$1038,8,)</f>
        <v>3374</v>
      </c>
      <c r="J45" s="101">
        <f>VLOOKUP(A45,'BSE ALL CAP'!$B$4:$Y$1038,9,)</f>
        <v>445</v>
      </c>
      <c r="K45" s="101">
        <f>VLOOKUP(A45,'BSE ALL CAP'!$B$4:$Y$1038,10,)</f>
        <v>3511</v>
      </c>
      <c r="L45" s="101">
        <f>VLOOKUP(A45,'BSE ALL CAP'!$B$4:$Y$1038,11,)</f>
        <v>1194</v>
      </c>
      <c r="M45" s="101">
        <f>VLOOKUP(A45,'BSE ALL CAP'!$B$4:$Y$1038,12,)</f>
        <v>1153</v>
      </c>
      <c r="N45" s="101">
        <f>VLOOKUP(A45,'BSE ALL CAP'!$B$4:$Y$1038,13,)</f>
        <v>208</v>
      </c>
      <c r="O45" s="101">
        <f>VLOOKUP(A45,'BSE ALL CAP'!$B$4:$Y$1038,14,)</f>
        <v>90</v>
      </c>
      <c r="P45" s="95">
        <f>VLOOKUP(A45,'BSE ALL CAP'!$B$4:$Y$1038,15,)</f>
        <v>0.12588401697312587</v>
      </c>
      <c r="Q45" s="95">
        <f>VLOOKUP(A45,'BSE ALL CAP'!$B$4:$Y$1038,16,)</f>
        <v>1.0406046235921755</v>
      </c>
      <c r="R45" s="95">
        <f>VLOOKUP(A45,'BSE ALL CAP'!$B$4:$Y$1038,17,)</f>
        <v>-0.91472060661904964</v>
      </c>
      <c r="S45" s="95">
        <f>VLOOKUP(A45,'BSE ALL CAP'!$B$4:$Y$1038,18,)</f>
        <v>0.17420435510887772</v>
      </c>
      <c r="T45" s="95">
        <f>VLOOKUP(A45,'BSE ALL CAP'!$B$4:$Y$1038,19,)</f>
        <v>7.8057241977450134E-2</v>
      </c>
      <c r="U45" s="95">
        <f>VLOOKUP(A45,'BSE ALL CAP'!$B$4:$Y$1038,20,)</f>
        <v>9.6147113131427583E-2</v>
      </c>
      <c r="V45" s="95">
        <f>VLOOKUP(A45,'BSE ALL CAP'!$B$4:$Y$1038,21,)</f>
        <v>4.7717842323651505E-2</v>
      </c>
      <c r="W45" s="95">
        <f>VLOOKUP(A45,'BSE ALL CAP'!$B$4:$Y$1038,22,)</f>
        <v>-0.873255482768442</v>
      </c>
      <c r="X45" s="95">
        <f>VLOOKUP(A45,'BSE ALL CAP'!$B$4:$Y$1038,23,)</f>
        <v>3.555941023417164E-2</v>
      </c>
      <c r="Y45" s="95">
        <f>VLOOKUP(A45,'BSE ALL CAP'!$B$4:$Y$1038,24,)</f>
        <v>1.3111111111111109</v>
      </c>
    </row>
    <row r="46" spans="1:25" ht="14.4">
      <c r="A46" s="99">
        <v>524404</v>
      </c>
      <c r="B46" s="98" t="s">
        <v>3271</v>
      </c>
      <c r="C46" s="101" t="str">
        <f>VLOOKUP(A46,'BSE ALL CAP'!$B$4:$Y$1038,2,)</f>
        <v>Healthcare</v>
      </c>
      <c r="D46" s="101" t="str">
        <f>VLOOKUP(A46,'BSE ALL CAP'!$B$4:$Y$1038,3,)</f>
        <v>Pharmaceuticals</v>
      </c>
      <c r="E46" s="101">
        <f ca="1">IFERROR(__xludf.DUMMYFUNCTION("GOOGLEFINANCE(""BOM:""&amp;A46,""PRICE"")"),165.9)</f>
        <v>165.9</v>
      </c>
      <c r="F46" s="112">
        <f ca="1">IFERROR(__xludf.DUMMYFUNCTION("GOOGLEFINANCE(""BOM:""&amp;A46,""MARKETCAP"")/10000000"),7514.3608053)</f>
        <v>7514.3608052999998</v>
      </c>
      <c r="G46" s="95">
        <f t="shared" ca="1" si="0"/>
        <v>3.3902653635163589E-3</v>
      </c>
      <c r="H46" s="101">
        <f>VLOOKUP(A46,'BSE ALL CAP'!$B$4:$Y$1038,7,)</f>
        <v>2142</v>
      </c>
      <c r="I46" s="101">
        <f>VLOOKUP(A46,'BSE ALL CAP'!$B$4:$Y$1038,8,)</f>
        <v>1966</v>
      </c>
      <c r="J46" s="101">
        <f>VLOOKUP(A46,'BSE ALL CAP'!$B$4:$Y$1038,9,)</f>
        <v>271</v>
      </c>
      <c r="K46" s="101">
        <f>VLOOKUP(A46,'BSE ALL CAP'!$B$4:$Y$1038,10,)</f>
        <v>291</v>
      </c>
      <c r="L46" s="101">
        <f>VLOOKUP(A46,'BSE ALL CAP'!$B$4:$Y$1038,11,)</f>
        <v>774</v>
      </c>
      <c r="M46" s="101">
        <f>VLOOKUP(A46,'BSE ALL CAP'!$B$4:$Y$1038,12,)</f>
        <v>717</v>
      </c>
      <c r="N46" s="101">
        <f>VLOOKUP(A46,'BSE ALL CAP'!$B$4:$Y$1038,13,)</f>
        <v>113</v>
      </c>
      <c r="O46" s="101">
        <f>VLOOKUP(A46,'BSE ALL CAP'!$B$4:$Y$1038,14,)</f>
        <v>106</v>
      </c>
      <c r="P46" s="95">
        <f>VLOOKUP(A46,'BSE ALL CAP'!$B$4:$Y$1038,15,)</f>
        <v>0.1265172735760971</v>
      </c>
      <c r="Q46" s="95">
        <f>VLOOKUP(A46,'BSE ALL CAP'!$B$4:$Y$1038,16,)</f>
        <v>0.14801627670396744</v>
      </c>
      <c r="R46" s="95">
        <f>VLOOKUP(A46,'BSE ALL CAP'!$B$4:$Y$1038,17,)</f>
        <v>-2.1499003127870342E-2</v>
      </c>
      <c r="S46" s="95">
        <f>VLOOKUP(A46,'BSE ALL CAP'!$B$4:$Y$1038,18,)</f>
        <v>0.14599483204134367</v>
      </c>
      <c r="T46" s="95">
        <f>VLOOKUP(A46,'BSE ALL CAP'!$B$4:$Y$1038,19,)</f>
        <v>0.14783821478382148</v>
      </c>
      <c r="U46" s="95">
        <f>VLOOKUP(A46,'BSE ALL CAP'!$B$4:$Y$1038,20,)</f>
        <v>-1.843382742477806E-3</v>
      </c>
      <c r="V46" s="95">
        <f>VLOOKUP(A46,'BSE ALL CAP'!$B$4:$Y$1038,21,)</f>
        <v>8.9521871820956278E-2</v>
      </c>
      <c r="W46" s="95">
        <f>VLOOKUP(A46,'BSE ALL CAP'!$B$4:$Y$1038,22,)</f>
        <v>-6.8728522336769737E-2</v>
      </c>
      <c r="X46" s="95">
        <f>VLOOKUP(A46,'BSE ALL CAP'!$B$4:$Y$1038,23,)</f>
        <v>7.9497907949790836E-2</v>
      </c>
      <c r="Y46" s="95">
        <f>VLOOKUP(A46,'BSE ALL CAP'!$B$4:$Y$1038,24,)</f>
        <v>6.60377358490567E-2</v>
      </c>
    </row>
    <row r="47" spans="1:25" ht="14.4">
      <c r="A47" s="99">
        <v>544476</v>
      </c>
      <c r="B47" s="98" t="s">
        <v>3272</v>
      </c>
      <c r="C47" s="101" t="e">
        <f>VLOOKUP(A47,'BSE ALL CAP'!$B$4:$Y$1038,2,)</f>
        <v>#N/A</v>
      </c>
      <c r="D47" s="101" t="e">
        <f>VLOOKUP(A47,'BSE ALL CAP'!$B$4:$Y$1038,3,)</f>
        <v>#N/A</v>
      </c>
      <c r="E47" s="101">
        <f ca="1">IFERROR(__xludf.DUMMYFUNCTION("GOOGLEFINANCE(""BOM:""&amp;A47,""PRICE"")"),620.45)</f>
        <v>620.45000000000005</v>
      </c>
      <c r="F47" s="112">
        <f ca="1">IFERROR(__xludf.DUMMYFUNCTION("GOOGLEFINANCE(""BOM:""&amp;A47,""MARKETCAP"")/10000000"),7719.07347)</f>
        <v>7719.0734700000003</v>
      </c>
      <c r="G47" s="95">
        <f t="shared" ca="1" si="0"/>
        <v>3.4826258815415299E-3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4.4">
      <c r="A48" s="99">
        <v>544222</v>
      </c>
      <c r="B48" s="98" t="s">
        <v>3273</v>
      </c>
      <c r="C48" s="101" t="str">
        <f>VLOOKUP(A48,'BSE ALL CAP'!$B$4:$Y$1038,2,)</f>
        <v>Healthcare</v>
      </c>
      <c r="D48" s="101" t="str">
        <f>VLOOKUP(A48,'BSE ALL CAP'!$B$4:$Y$1038,3,)</f>
        <v>Pharmaceuticals</v>
      </c>
      <c r="E48" s="101">
        <f ca="1">IFERROR(__xludf.DUMMYFUNCTION("GOOGLEFINANCE(""BOM:""&amp;A48,""PRICE"")"),493.45)</f>
        <v>493.45</v>
      </c>
      <c r="F48" s="112">
        <f ca="1">IFERROR(__xludf.DUMMYFUNCTION("GOOGLEFINANCE(""BOM:""&amp;A48,""MARKETCAP"")/10000000"),7544.8663731)</f>
        <v>7544.8663730999997</v>
      </c>
      <c r="G48" s="95">
        <f t="shared" ca="1" si="0"/>
        <v>3.4040286060045017E-3</v>
      </c>
      <c r="H48" s="101">
        <f>VLOOKUP(A48,'BSE ALL CAP'!$B$4:$Y$1038,7,)</f>
        <v>3201</v>
      </c>
      <c r="I48" s="101">
        <f>VLOOKUP(A48,'BSE ALL CAP'!$B$4:$Y$1038,8,)</f>
        <v>3062</v>
      </c>
      <c r="J48" s="101">
        <f>VLOOKUP(A48,'BSE ALL CAP'!$B$4:$Y$1038,9,)</f>
        <v>175</v>
      </c>
      <c r="K48" s="101">
        <f>VLOOKUP(A48,'BSE ALL CAP'!$B$4:$Y$1038,10,)</f>
        <v>194</v>
      </c>
      <c r="L48" s="101">
        <f>VLOOKUP(A48,'BSE ALL CAP'!$B$4:$Y$1038,11,)</f>
        <v>1159</v>
      </c>
      <c r="M48" s="101">
        <f>VLOOKUP(A48,'BSE ALL CAP'!$B$4:$Y$1038,12,)</f>
        <v>1010</v>
      </c>
      <c r="N48" s="101">
        <f>VLOOKUP(A48,'BSE ALL CAP'!$B$4:$Y$1038,13,)</f>
        <v>67</v>
      </c>
      <c r="O48" s="101">
        <f>VLOOKUP(A48,'BSE ALL CAP'!$B$4:$Y$1038,14,)</f>
        <v>66</v>
      </c>
      <c r="P48" s="95">
        <f>VLOOKUP(A48,'BSE ALL CAP'!$B$4:$Y$1038,15,)</f>
        <v>5.4670415495157762E-2</v>
      </c>
      <c r="Q48" s="95">
        <f>VLOOKUP(A48,'BSE ALL CAP'!$B$4:$Y$1038,16,)</f>
        <v>6.3357282821685179E-2</v>
      </c>
      <c r="R48" s="95">
        <f>VLOOKUP(A48,'BSE ALL CAP'!$B$4:$Y$1038,17,)</f>
        <v>-8.6868673265274171E-3</v>
      </c>
      <c r="S48" s="95">
        <f>VLOOKUP(A48,'BSE ALL CAP'!$B$4:$Y$1038,18,)</f>
        <v>5.7808455565142365E-2</v>
      </c>
      <c r="T48" s="95">
        <f>VLOOKUP(A48,'BSE ALL CAP'!$B$4:$Y$1038,19,)</f>
        <v>6.5346534653465349E-2</v>
      </c>
      <c r="U48" s="95">
        <f>VLOOKUP(A48,'BSE ALL CAP'!$B$4:$Y$1038,20,)</f>
        <v>-7.538079088322984E-3</v>
      </c>
      <c r="V48" s="95">
        <f>VLOOKUP(A48,'BSE ALL CAP'!$B$4:$Y$1038,21,)</f>
        <v>4.53951665578054E-2</v>
      </c>
      <c r="W48" s="95">
        <f>VLOOKUP(A48,'BSE ALL CAP'!$B$4:$Y$1038,22,)</f>
        <v>-9.7938144329896892E-2</v>
      </c>
      <c r="X48" s="95">
        <f>VLOOKUP(A48,'BSE ALL CAP'!$B$4:$Y$1038,23,)</f>
        <v>0.14752475247524743</v>
      </c>
      <c r="Y48" s="95">
        <f>VLOOKUP(A48,'BSE ALL CAP'!$B$4:$Y$1038,24,)</f>
        <v>1.5151515151515138E-2</v>
      </c>
    </row>
    <row r="49" spans="1:25" ht="14.4">
      <c r="A49" s="99">
        <v>544009</v>
      </c>
      <c r="B49" s="98" t="s">
        <v>3274</v>
      </c>
      <c r="C49" s="101" t="str">
        <f>VLOOKUP(A49,'BSE ALL CAP'!$B$4:$Y$1038,2,)</f>
        <v>Healthcare</v>
      </c>
      <c r="D49" s="101" t="str">
        <f>VLOOKUP(A49,'BSE ALL CAP'!$B$4:$Y$1038,3,)</f>
        <v>Pharmaceuticals</v>
      </c>
      <c r="E49" s="101">
        <f ca="1">IFERROR(__xludf.DUMMYFUNCTION("GOOGLEFINANCE(""BOM:""&amp;A49,""PRICE"")"),362.9)</f>
        <v>362.9</v>
      </c>
      <c r="F49" s="112">
        <f ca="1">IFERROR(__xludf.DUMMYFUNCTION("GOOGLEFINANCE(""BOM:""&amp;A49,""MARKETCAP"")/10000000"),6280.3145952)</f>
        <v>6280.3145952000004</v>
      </c>
      <c r="G49" s="95">
        <f t="shared" ca="1" si="0"/>
        <v>2.8334988957510903E-3</v>
      </c>
      <c r="H49" s="101">
        <f>VLOOKUP(A49,'BSE ALL CAP'!$B$4:$Y$1038,7,)</f>
        <v>712</v>
      </c>
      <c r="I49" s="101">
        <f>VLOOKUP(A49,'BSE ALL CAP'!$B$4:$Y$1038,8,)</f>
        <v>689</v>
      </c>
      <c r="J49" s="101">
        <f>VLOOKUP(A49,'BSE ALL CAP'!$B$4:$Y$1038,9,)</f>
        <v>183</v>
      </c>
      <c r="K49" s="101">
        <f>VLOOKUP(A49,'BSE ALL CAP'!$B$4:$Y$1038,10,)</f>
        <v>195</v>
      </c>
      <c r="L49" s="101">
        <f>VLOOKUP(A49,'BSE ALL CAP'!$B$4:$Y$1038,11,)</f>
        <v>192</v>
      </c>
      <c r="M49" s="101">
        <f>VLOOKUP(A49,'BSE ALL CAP'!$B$4:$Y$1038,12,)</f>
        <v>318</v>
      </c>
      <c r="N49" s="101">
        <f>VLOOKUP(A49,'BSE ALL CAP'!$B$4:$Y$1038,13,)</f>
        <v>40</v>
      </c>
      <c r="O49" s="101">
        <f>VLOOKUP(A49,'BSE ALL CAP'!$B$4:$Y$1038,14,)</f>
        <v>98</v>
      </c>
      <c r="P49" s="95">
        <f>VLOOKUP(A49,'BSE ALL CAP'!$B$4:$Y$1038,15,)</f>
        <v>0.25702247191011235</v>
      </c>
      <c r="Q49" s="95">
        <f>VLOOKUP(A49,'BSE ALL CAP'!$B$4:$Y$1038,16,)</f>
        <v>0.28301886792452829</v>
      </c>
      <c r="R49" s="95">
        <f>VLOOKUP(A49,'BSE ALL CAP'!$B$4:$Y$1038,17,)</f>
        <v>-2.5996396014415946E-2</v>
      </c>
      <c r="S49" s="95">
        <f>VLOOKUP(A49,'BSE ALL CAP'!$B$4:$Y$1038,18,)</f>
        <v>0.20833333333333334</v>
      </c>
      <c r="T49" s="95">
        <f>VLOOKUP(A49,'BSE ALL CAP'!$B$4:$Y$1038,19,)</f>
        <v>0.3081761006289308</v>
      </c>
      <c r="U49" s="95">
        <f>VLOOKUP(A49,'BSE ALL CAP'!$B$4:$Y$1038,20,)</f>
        <v>-9.9842767295597462E-2</v>
      </c>
      <c r="V49" s="95">
        <f>VLOOKUP(A49,'BSE ALL CAP'!$B$4:$Y$1038,21,)</f>
        <v>3.3381712626995741E-2</v>
      </c>
      <c r="W49" s="95">
        <f>VLOOKUP(A49,'BSE ALL CAP'!$B$4:$Y$1038,22,)</f>
        <v>-6.1538461538461542E-2</v>
      </c>
      <c r="X49" s="95">
        <f>VLOOKUP(A49,'BSE ALL CAP'!$B$4:$Y$1038,23,)</f>
        <v>-0.39622641509433965</v>
      </c>
      <c r="Y49" s="95">
        <f>VLOOKUP(A49,'BSE ALL CAP'!$B$4:$Y$1038,24,)</f>
        <v>-0.59183673469387754</v>
      </c>
    </row>
    <row r="50" spans="1:25" ht="14.4">
      <c r="A50" s="99">
        <v>530549</v>
      </c>
      <c r="B50" s="98" t="s">
        <v>3275</v>
      </c>
      <c r="C50" s="101" t="str">
        <f>VLOOKUP(A50,'BSE ALL CAP'!$B$4:$Y$1038,2,)</f>
        <v>Healthcare</v>
      </c>
      <c r="D50" s="101" t="str">
        <f>VLOOKUP(A50,'BSE ALL CAP'!$B$4:$Y$1038,3,)</f>
        <v>Pharmaceuticals</v>
      </c>
      <c r="E50" s="101">
        <f ca="1">IFERROR(__xludf.DUMMYFUNCTION("GOOGLEFINANCE(""BOM:""&amp;A50,""PRICE"")"),385.8)</f>
        <v>385.8</v>
      </c>
      <c r="F50" s="112">
        <f ca="1">IFERROR(__xludf.DUMMYFUNCTION("GOOGLEFINANCE(""BOM:""&amp;A50,""MARKETCAP"")/10000000"),7546.5238723)</f>
        <v>7546.5238723000002</v>
      </c>
      <c r="G50" s="95">
        <f t="shared" ca="1" si="0"/>
        <v>3.4047764223888114E-3</v>
      </c>
      <c r="H50" s="101">
        <f>VLOOKUP(A50,'BSE ALL CAP'!$B$4:$Y$1038,7,)</f>
        <v>1101</v>
      </c>
      <c r="I50" s="101">
        <f>VLOOKUP(A50,'BSE ALL CAP'!$B$4:$Y$1038,8,)</f>
        <v>955</v>
      </c>
      <c r="J50" s="101">
        <f>VLOOKUP(A50,'BSE ALL CAP'!$B$4:$Y$1038,9,)</f>
        <v>135</v>
      </c>
      <c r="K50" s="101">
        <f>VLOOKUP(A50,'BSE ALL CAP'!$B$4:$Y$1038,10,)</f>
        <v>63</v>
      </c>
      <c r="L50" s="101">
        <f>VLOOKUP(A50,'BSE ALL CAP'!$B$4:$Y$1038,11,)</f>
        <v>409</v>
      </c>
      <c r="M50" s="101">
        <f>VLOOKUP(A50,'BSE ALL CAP'!$B$4:$Y$1038,12,)</f>
        <v>319</v>
      </c>
      <c r="N50" s="101">
        <f>VLOOKUP(A50,'BSE ALL CAP'!$B$4:$Y$1038,13,)</f>
        <v>44</v>
      </c>
      <c r="O50" s="101">
        <f>VLOOKUP(A50,'BSE ALL CAP'!$B$4:$Y$1038,14,)</f>
        <v>31</v>
      </c>
      <c r="P50" s="95">
        <f>VLOOKUP(A50,'BSE ALL CAP'!$B$4:$Y$1038,15,)</f>
        <v>0.1226158038147139</v>
      </c>
      <c r="Q50" s="95">
        <f>VLOOKUP(A50,'BSE ALL CAP'!$B$4:$Y$1038,16,)</f>
        <v>6.5968586387434552E-2</v>
      </c>
      <c r="R50" s="95">
        <f>VLOOKUP(A50,'BSE ALL CAP'!$B$4:$Y$1038,17,)</f>
        <v>5.664721742727935E-2</v>
      </c>
      <c r="S50" s="95">
        <f>VLOOKUP(A50,'BSE ALL CAP'!$B$4:$Y$1038,18,)</f>
        <v>0.10757946210268948</v>
      </c>
      <c r="T50" s="95">
        <f>VLOOKUP(A50,'BSE ALL CAP'!$B$4:$Y$1038,19,)</f>
        <v>9.7178683385579931E-2</v>
      </c>
      <c r="U50" s="95">
        <f>VLOOKUP(A50,'BSE ALL CAP'!$B$4:$Y$1038,20,)</f>
        <v>1.0400778717109552E-2</v>
      </c>
      <c r="V50" s="95">
        <f>VLOOKUP(A50,'BSE ALL CAP'!$B$4:$Y$1038,21,)</f>
        <v>0.15287958115183242</v>
      </c>
      <c r="W50" s="95">
        <f>VLOOKUP(A50,'BSE ALL CAP'!$B$4:$Y$1038,22,)</f>
        <v>1.1428571428571428</v>
      </c>
      <c r="X50" s="95">
        <f>VLOOKUP(A50,'BSE ALL CAP'!$B$4:$Y$1038,23,)</f>
        <v>0.28213166144200619</v>
      </c>
      <c r="Y50" s="95">
        <f>VLOOKUP(A50,'BSE ALL CAP'!$B$4:$Y$1038,24,)</f>
        <v>0.41935483870967749</v>
      </c>
    </row>
    <row r="51" spans="1:25" ht="14.4">
      <c r="A51" s="99">
        <v>543748</v>
      </c>
      <c r="B51" s="98" t="s">
        <v>3276</v>
      </c>
      <c r="C51" s="101" t="str">
        <f>VLOOKUP(A51,'BSE ALL CAP'!$B$4:$Y$1038,2,)</f>
        <v>Healthcare</v>
      </c>
      <c r="D51" s="101" t="str">
        <f>VLOOKUP(A51,'BSE ALL CAP'!$B$4:$Y$1038,3,)</f>
        <v>Pharmaceuticals</v>
      </c>
      <c r="E51" s="101">
        <f ca="1">IFERROR(__xludf.DUMMYFUNCTION("GOOGLEFINANCE(""BOM:""&amp;A51,""PRICE"")"),648.7)</f>
        <v>648.70000000000005</v>
      </c>
      <c r="F51" s="112">
        <f ca="1">IFERROR(__xludf.DUMMYFUNCTION("GOOGLEFINANCE(""BOM:""&amp;A51,""MARKETCAP"")/10000000"),5880.0614436)</f>
        <v>5880.0614435999996</v>
      </c>
      <c r="G51" s="95">
        <f t="shared" ca="1" si="0"/>
        <v>2.6529160848284823E-3</v>
      </c>
      <c r="H51" s="101">
        <f>VLOOKUP(A51,'BSE ALL CAP'!$B$4:$Y$1038,7,)</f>
        <v>1236</v>
      </c>
      <c r="I51" s="101">
        <f>VLOOKUP(A51,'BSE ALL CAP'!$B$4:$Y$1038,8,)</f>
        <v>1551</v>
      </c>
      <c r="J51" s="101">
        <f>VLOOKUP(A51,'BSE ALL CAP'!$B$4:$Y$1038,9,)</f>
        <v>125</v>
      </c>
      <c r="K51" s="101">
        <f>VLOOKUP(A51,'BSE ALL CAP'!$B$4:$Y$1038,10,)</f>
        <v>184</v>
      </c>
      <c r="L51" s="101">
        <f>VLOOKUP(A51,'BSE ALL CAP'!$B$4:$Y$1038,11,)</f>
        <v>432</v>
      </c>
      <c r="M51" s="101">
        <f>VLOOKUP(A51,'BSE ALL CAP'!$B$4:$Y$1038,12,)</f>
        <v>537</v>
      </c>
      <c r="N51" s="101">
        <f>VLOOKUP(A51,'BSE ALL CAP'!$B$4:$Y$1038,13,)</f>
        <v>47</v>
      </c>
      <c r="O51" s="101">
        <f>VLOOKUP(A51,'BSE ALL CAP'!$B$4:$Y$1038,14,)</f>
        <v>73</v>
      </c>
      <c r="P51" s="95">
        <f>VLOOKUP(A51,'BSE ALL CAP'!$B$4:$Y$1038,15,)</f>
        <v>0.1011326860841424</v>
      </c>
      <c r="Q51" s="95">
        <f>VLOOKUP(A51,'BSE ALL CAP'!$B$4:$Y$1038,16,)</f>
        <v>0.11863313990973566</v>
      </c>
      <c r="R51" s="95">
        <f>VLOOKUP(A51,'BSE ALL CAP'!$B$4:$Y$1038,17,)</f>
        <v>-1.750045382559326E-2</v>
      </c>
      <c r="S51" s="95">
        <f>VLOOKUP(A51,'BSE ALL CAP'!$B$4:$Y$1038,18,)</f>
        <v>0.10879629629629629</v>
      </c>
      <c r="T51" s="95">
        <f>VLOOKUP(A51,'BSE ALL CAP'!$B$4:$Y$1038,19,)</f>
        <v>0.13594040968342644</v>
      </c>
      <c r="U51" s="95">
        <f>VLOOKUP(A51,'BSE ALL CAP'!$B$4:$Y$1038,20,)</f>
        <v>-2.7144113387130145E-2</v>
      </c>
      <c r="V51" s="95">
        <f>VLOOKUP(A51,'BSE ALL CAP'!$B$4:$Y$1038,21,)</f>
        <v>-0.20309477756286265</v>
      </c>
      <c r="W51" s="95">
        <f>VLOOKUP(A51,'BSE ALL CAP'!$B$4:$Y$1038,22,)</f>
        <v>-0.32065217391304346</v>
      </c>
      <c r="X51" s="95">
        <f>VLOOKUP(A51,'BSE ALL CAP'!$B$4:$Y$1038,23,)</f>
        <v>-0.1955307262569832</v>
      </c>
      <c r="Y51" s="95">
        <f>VLOOKUP(A51,'BSE ALL CAP'!$B$4:$Y$1038,24,)</f>
        <v>-0.35616438356164382</v>
      </c>
    </row>
    <row r="52" spans="1:25" ht="14.4">
      <c r="A52" s="99">
        <v>531599</v>
      </c>
      <c r="B52" s="98" t="s">
        <v>3277</v>
      </c>
      <c r="C52" s="101" t="str">
        <f>VLOOKUP(A52,'BSE ALL CAP'!$B$4:$Y$1038,2,)</f>
        <v>Healthcare</v>
      </c>
      <c r="D52" s="101" t="str">
        <f>VLOOKUP(A52,'BSE ALL CAP'!$B$4:$Y$1038,3,)</f>
        <v>Pharmaceuticals</v>
      </c>
      <c r="E52" s="101">
        <f ca="1">IFERROR(__xludf.DUMMYFUNCTION("GOOGLEFINANCE(""BOM:""&amp;A52,""PRICE"")"),335.45)</f>
        <v>335.45</v>
      </c>
      <c r="F52" s="112">
        <f ca="1">IFERROR(__xludf.DUMMYFUNCTION("GOOGLEFINANCE(""BOM:""&amp;A52,""MARKETCAP"")/10000000"),5465.5318987)</f>
        <v>5465.5318987000001</v>
      </c>
      <c r="G52" s="95">
        <f t="shared" ca="1" si="0"/>
        <v>2.4658921722639647E-3</v>
      </c>
      <c r="H52" s="101">
        <f>VLOOKUP(A52,'BSE ALL CAP'!$B$4:$Y$1038,7,)</f>
        <v>1586</v>
      </c>
      <c r="I52" s="101">
        <f>VLOOKUP(A52,'BSE ALL CAP'!$B$4:$Y$1038,8,)</f>
        <v>1616</v>
      </c>
      <c r="J52" s="101">
        <f>VLOOKUP(A52,'BSE ALL CAP'!$B$4:$Y$1038,9,)</f>
        <v>178</v>
      </c>
      <c r="K52" s="101">
        <f>VLOOKUP(A52,'BSE ALL CAP'!$B$4:$Y$1038,10,)</f>
        <v>228</v>
      </c>
      <c r="L52" s="101">
        <f>VLOOKUP(A52,'BSE ALL CAP'!$B$4:$Y$1038,11,)</f>
        <v>464</v>
      </c>
      <c r="M52" s="101">
        <f>VLOOKUP(A52,'BSE ALL CAP'!$B$4:$Y$1038,12,)</f>
        <v>464</v>
      </c>
      <c r="N52" s="101">
        <f>VLOOKUP(A52,'BSE ALL CAP'!$B$4:$Y$1038,13,)</f>
        <v>28</v>
      </c>
      <c r="O52" s="101">
        <f>VLOOKUP(A52,'BSE ALL CAP'!$B$4:$Y$1038,14,)</f>
        <v>37</v>
      </c>
      <c r="P52" s="95">
        <f>VLOOKUP(A52,'BSE ALL CAP'!$B$4:$Y$1038,15,)</f>
        <v>0.11223203026481715</v>
      </c>
      <c r="Q52" s="95">
        <f>VLOOKUP(A52,'BSE ALL CAP'!$B$4:$Y$1038,16,)</f>
        <v>0.14108910891089108</v>
      </c>
      <c r="R52" s="95">
        <f>VLOOKUP(A52,'BSE ALL CAP'!$B$4:$Y$1038,17,)</f>
        <v>-2.8857078646073925E-2</v>
      </c>
      <c r="S52" s="95">
        <f>VLOOKUP(A52,'BSE ALL CAP'!$B$4:$Y$1038,18,)</f>
        <v>6.0344827586206899E-2</v>
      </c>
      <c r="T52" s="95">
        <f>VLOOKUP(A52,'BSE ALL CAP'!$B$4:$Y$1038,19,)</f>
        <v>7.9741379310344834E-2</v>
      </c>
      <c r="U52" s="95">
        <f>VLOOKUP(A52,'BSE ALL CAP'!$B$4:$Y$1038,20,)</f>
        <v>-1.9396551724137935E-2</v>
      </c>
      <c r="V52" s="95">
        <f>VLOOKUP(A52,'BSE ALL CAP'!$B$4:$Y$1038,21,)</f>
        <v>-1.8564356435643581E-2</v>
      </c>
      <c r="W52" s="95">
        <f>VLOOKUP(A52,'BSE ALL CAP'!$B$4:$Y$1038,22,)</f>
        <v>-0.2192982456140351</v>
      </c>
      <c r="X52" s="95">
        <f>VLOOKUP(A52,'BSE ALL CAP'!$B$4:$Y$1038,23,)</f>
        <v>0</v>
      </c>
      <c r="Y52" s="95">
        <f>VLOOKUP(A52,'BSE ALL CAP'!$B$4:$Y$1038,24,)</f>
        <v>-0.2432432432432432</v>
      </c>
    </row>
    <row r="53" spans="1:25" ht="14.4">
      <c r="A53" s="99">
        <v>543434</v>
      </c>
      <c r="B53" s="98" t="s">
        <v>3278</v>
      </c>
      <c r="C53" s="101" t="str">
        <f>VLOOKUP(A53,'BSE ALL CAP'!$B$4:$Y$1038,2,)</f>
        <v>Healthcare</v>
      </c>
      <c r="D53" s="101" t="str">
        <f>VLOOKUP(A53,'BSE ALL CAP'!$B$4:$Y$1038,3,)</f>
        <v>Pharmaceuticals</v>
      </c>
      <c r="E53" s="101">
        <f ca="1">IFERROR(__xludf.DUMMYFUNCTION("GOOGLEFINANCE(""BOM:""&amp;A53,""PRICE"")"),613.9)</f>
        <v>613.9</v>
      </c>
      <c r="F53" s="112">
        <f ca="1">IFERROR(__xludf.DUMMYFUNCTION("GOOGLEFINANCE(""BOM:""&amp;A53,""MARKETCAP"")/10000000"),4941.6459531)</f>
        <v>4941.6459531</v>
      </c>
      <c r="G53" s="95">
        <f t="shared" ca="1" si="0"/>
        <v>2.2295297694168753E-3</v>
      </c>
      <c r="H53" s="101">
        <f>VLOOKUP(A53,'BSE ALL CAP'!$B$4:$Y$1038,7,)</f>
        <v>551</v>
      </c>
      <c r="I53" s="101">
        <f>VLOOKUP(A53,'BSE ALL CAP'!$B$4:$Y$1038,8,)</f>
        <v>512</v>
      </c>
      <c r="J53" s="101">
        <f>VLOOKUP(A53,'BSE ALL CAP'!$B$4:$Y$1038,9,)</f>
        <v>134</v>
      </c>
      <c r="K53" s="101">
        <f>VLOOKUP(A53,'BSE ALL CAP'!$B$4:$Y$1038,10,)</f>
        <v>137</v>
      </c>
      <c r="L53" s="101">
        <f>VLOOKUP(A53,'BSE ALL CAP'!$B$4:$Y$1038,11,)</f>
        <v>206</v>
      </c>
      <c r="M53" s="101">
        <f>VLOOKUP(A53,'BSE ALL CAP'!$B$4:$Y$1038,12,)</f>
        <v>185</v>
      </c>
      <c r="N53" s="101">
        <f>VLOOKUP(A53,'BSE ALL CAP'!$B$4:$Y$1038,13,)</f>
        <v>49</v>
      </c>
      <c r="O53" s="101">
        <f>VLOOKUP(A53,'BSE ALL CAP'!$B$4:$Y$1038,14,)</f>
        <v>46</v>
      </c>
      <c r="P53" s="95">
        <f>VLOOKUP(A53,'BSE ALL CAP'!$B$4:$Y$1038,15,)</f>
        <v>0.24319419237749546</v>
      </c>
      <c r="Q53" s="95">
        <f>VLOOKUP(A53,'BSE ALL CAP'!$B$4:$Y$1038,16,)</f>
        <v>0.267578125</v>
      </c>
      <c r="R53" s="95">
        <f>VLOOKUP(A53,'BSE ALL CAP'!$B$4:$Y$1038,17,)</f>
        <v>-2.4383932622504545E-2</v>
      </c>
      <c r="S53" s="95">
        <f>VLOOKUP(A53,'BSE ALL CAP'!$B$4:$Y$1038,18,)</f>
        <v>0.23786407766990292</v>
      </c>
      <c r="T53" s="95">
        <f>VLOOKUP(A53,'BSE ALL CAP'!$B$4:$Y$1038,19,)</f>
        <v>0.24864864864864866</v>
      </c>
      <c r="U53" s="95">
        <f>VLOOKUP(A53,'BSE ALL CAP'!$B$4:$Y$1038,20,)</f>
        <v>-1.0784570978745744E-2</v>
      </c>
      <c r="V53" s="95">
        <f>VLOOKUP(A53,'BSE ALL CAP'!$B$4:$Y$1038,21,)</f>
        <v>7.6171875E-2</v>
      </c>
      <c r="W53" s="95">
        <f>VLOOKUP(A53,'BSE ALL CAP'!$B$4:$Y$1038,22,)</f>
        <v>-2.1897810218978075E-2</v>
      </c>
      <c r="X53" s="95">
        <f>VLOOKUP(A53,'BSE ALL CAP'!$B$4:$Y$1038,23,)</f>
        <v>0.11351351351351346</v>
      </c>
      <c r="Y53" s="95">
        <f>VLOOKUP(A53,'BSE ALL CAP'!$B$4:$Y$1038,24,)</f>
        <v>6.5217391304347894E-2</v>
      </c>
    </row>
    <row r="54" spans="1:25" ht="14.4">
      <c r="A54" s="99">
        <v>532872</v>
      </c>
      <c r="B54" s="98" t="s">
        <v>3279</v>
      </c>
      <c r="C54" s="101" t="str">
        <f>VLOOKUP(A54,'BSE ALL CAP'!$B$4:$Y$1038,2,)</f>
        <v>Healthcare</v>
      </c>
      <c r="D54" s="101" t="str">
        <f>VLOOKUP(A54,'BSE ALL CAP'!$B$4:$Y$1038,3,)</f>
        <v>Pharmaceuticals</v>
      </c>
      <c r="E54" s="101">
        <f ca="1">IFERROR(__xludf.DUMMYFUNCTION("GOOGLEFINANCE(""BOM:""&amp;A54,""PRICE"")"),121.95)</f>
        <v>121.95</v>
      </c>
      <c r="F54" s="112">
        <f ca="1">IFERROR(__xludf.DUMMYFUNCTION("GOOGLEFINANCE(""BOM:""&amp;A54,""MARKETCAP"")/10000000"),3946.7238482)</f>
        <v>3946.7238481999998</v>
      </c>
      <c r="G54" s="95">
        <f t="shared" ca="1" si="0"/>
        <v>1.7806492805720767E-3</v>
      </c>
      <c r="H54" s="101">
        <f>VLOOKUP(A54,'BSE ALL CAP'!$B$4:$Y$1038,7,)</f>
        <v>25</v>
      </c>
      <c r="I54" s="101">
        <f>VLOOKUP(A54,'BSE ALL CAP'!$B$4:$Y$1038,8,)</f>
        <v>44</v>
      </c>
      <c r="J54" s="101">
        <f>VLOOKUP(A54,'BSE ALL CAP'!$B$4:$Y$1038,9,)</f>
        <v>-208</v>
      </c>
      <c r="K54" s="101">
        <f>VLOOKUP(A54,'BSE ALL CAP'!$B$4:$Y$1038,10,)</f>
        <v>-282</v>
      </c>
      <c r="L54" s="101">
        <f>VLOOKUP(A54,'BSE ALL CAP'!$B$4:$Y$1038,11,)</f>
        <v>8</v>
      </c>
      <c r="M54" s="101">
        <f>VLOOKUP(A54,'BSE ALL CAP'!$B$4:$Y$1038,12,)</f>
        <v>14</v>
      </c>
      <c r="N54" s="101">
        <f>VLOOKUP(A54,'BSE ALL CAP'!$B$4:$Y$1038,13,)</f>
        <v>-80</v>
      </c>
      <c r="O54" s="101">
        <f>VLOOKUP(A54,'BSE ALL CAP'!$B$4:$Y$1038,14,)</f>
        <v>-79</v>
      </c>
      <c r="P54" s="95">
        <f>VLOOKUP(A54,'BSE ALL CAP'!$B$4:$Y$1038,15,)</f>
        <v>-8.32</v>
      </c>
      <c r="Q54" s="95">
        <f>VLOOKUP(A54,'BSE ALL CAP'!$B$4:$Y$1038,16,)</f>
        <v>-6.4090909090909092</v>
      </c>
      <c r="R54" s="95">
        <f>VLOOKUP(A54,'BSE ALL CAP'!$B$4:$Y$1038,17,)</f>
        <v>-1.9109090909090911</v>
      </c>
      <c r="S54" s="95">
        <f>VLOOKUP(A54,'BSE ALL CAP'!$B$4:$Y$1038,18,)</f>
        <v>-10</v>
      </c>
      <c r="T54" s="95">
        <f>VLOOKUP(A54,'BSE ALL CAP'!$B$4:$Y$1038,19,)</f>
        <v>-5.6428571428571432</v>
      </c>
      <c r="U54" s="95">
        <f>VLOOKUP(A54,'BSE ALL CAP'!$B$4:$Y$1038,20,)</f>
        <v>-4.3571428571428568</v>
      </c>
      <c r="V54" s="95">
        <f>VLOOKUP(A54,'BSE ALL CAP'!$B$4:$Y$1038,21,)</f>
        <v>-0.43181818181818177</v>
      </c>
      <c r="W54" s="95">
        <f>VLOOKUP(A54,'BSE ALL CAP'!$B$4:$Y$1038,22,)</f>
        <v>-0.26241134751773054</v>
      </c>
      <c r="X54" s="95">
        <f>VLOOKUP(A54,'BSE ALL CAP'!$B$4:$Y$1038,23,)</f>
        <v>-0.4285714285714286</v>
      </c>
      <c r="Y54" s="95">
        <f>VLOOKUP(A54,'BSE ALL CAP'!$B$4:$Y$1038,24,)</f>
        <v>1.2658227848101333E-2</v>
      </c>
    </row>
    <row r="55" spans="1:25" ht="14.4">
      <c r="A55" s="99">
        <v>544067</v>
      </c>
      <c r="B55" s="98" t="s">
        <v>3280</v>
      </c>
      <c r="C55" s="101" t="str">
        <f>VLOOKUP(A55,'BSE ALL CAP'!$B$4:$Y$1038,2,)</f>
        <v>Healthcare</v>
      </c>
      <c r="D55" s="101" t="str">
        <f>VLOOKUP(A55,'BSE ALL CAP'!$B$4:$Y$1038,3,)</f>
        <v>Pharmaceuticals</v>
      </c>
      <c r="E55" s="101">
        <f ca="1">IFERROR(__xludf.DUMMYFUNCTION("GOOGLEFINANCE(""BOM:""&amp;A55,""PRICE"")"),698.2)</f>
        <v>698.2</v>
      </c>
      <c r="F55" s="112">
        <f ca="1">IFERROR(__xludf.DUMMYFUNCTION("GOOGLEFINANCE(""BOM:""&amp;A55,""MARKETCAP"")/10000000"),3988.0048145)</f>
        <v>3988.0048145000001</v>
      </c>
      <c r="G55" s="95">
        <f t="shared" ca="1" si="0"/>
        <v>1.7992740756605245E-3</v>
      </c>
      <c r="H55" s="101">
        <f>VLOOKUP(A55,'BSE ALL CAP'!$B$4:$Y$1038,7,)</f>
        <v>1188</v>
      </c>
      <c r="I55" s="101">
        <f>VLOOKUP(A55,'BSE ALL CAP'!$B$4:$Y$1038,8,)</f>
        <v>937</v>
      </c>
      <c r="J55" s="101">
        <f>VLOOKUP(A55,'BSE ALL CAP'!$B$4:$Y$1038,9,)</f>
        <v>102</v>
      </c>
      <c r="K55" s="101">
        <f>VLOOKUP(A55,'BSE ALL CAP'!$B$4:$Y$1038,10,)</f>
        <v>98</v>
      </c>
      <c r="L55" s="101">
        <f>VLOOKUP(A55,'BSE ALL CAP'!$B$4:$Y$1038,11,)</f>
        <v>451</v>
      </c>
      <c r="M55" s="101">
        <f>VLOOKUP(A55,'BSE ALL CAP'!$B$4:$Y$1038,12,)</f>
        <v>320</v>
      </c>
      <c r="N55" s="101">
        <f>VLOOKUP(A55,'BSE ALL CAP'!$B$4:$Y$1038,13,)</f>
        <v>42</v>
      </c>
      <c r="O55" s="101">
        <f>VLOOKUP(A55,'BSE ALL CAP'!$B$4:$Y$1038,14,)</f>
        <v>34</v>
      </c>
      <c r="P55" s="95">
        <f>VLOOKUP(A55,'BSE ALL CAP'!$B$4:$Y$1038,15,)</f>
        <v>8.5858585858585856E-2</v>
      </c>
      <c r="Q55" s="95">
        <f>VLOOKUP(A55,'BSE ALL CAP'!$B$4:$Y$1038,16,)</f>
        <v>0.10458911419423693</v>
      </c>
      <c r="R55" s="95">
        <f>VLOOKUP(A55,'BSE ALL CAP'!$B$4:$Y$1038,17,)</f>
        <v>-1.8730528335651073E-2</v>
      </c>
      <c r="S55" s="95">
        <f>VLOOKUP(A55,'BSE ALL CAP'!$B$4:$Y$1038,18,)</f>
        <v>9.3126385809312637E-2</v>
      </c>
      <c r="T55" s="95">
        <f>VLOOKUP(A55,'BSE ALL CAP'!$B$4:$Y$1038,19,)</f>
        <v>0.10625</v>
      </c>
      <c r="U55" s="95">
        <f>VLOOKUP(A55,'BSE ALL CAP'!$B$4:$Y$1038,20,)</f>
        <v>-1.312361419068736E-2</v>
      </c>
      <c r="V55" s="95">
        <f>VLOOKUP(A55,'BSE ALL CAP'!$B$4:$Y$1038,21,)</f>
        <v>0.26787620064034146</v>
      </c>
      <c r="W55" s="95">
        <f>VLOOKUP(A55,'BSE ALL CAP'!$B$4:$Y$1038,22,)</f>
        <v>4.081632653061229E-2</v>
      </c>
      <c r="X55" s="95">
        <f>VLOOKUP(A55,'BSE ALL CAP'!$B$4:$Y$1038,23,)</f>
        <v>0.40937500000000004</v>
      </c>
      <c r="Y55" s="95">
        <f>VLOOKUP(A55,'BSE ALL CAP'!$B$4:$Y$1038,24,)</f>
        <v>0.23529411764705888</v>
      </c>
    </row>
    <row r="56" spans="1:25" ht="14.4">
      <c r="A56" s="99">
        <v>532815</v>
      </c>
      <c r="B56" s="98" t="s">
        <v>3281</v>
      </c>
      <c r="C56" s="101" t="str">
        <f>VLOOKUP(A56,'BSE ALL CAP'!$B$4:$Y$1038,2,)</f>
        <v>Healthcare</v>
      </c>
      <c r="D56" s="101" t="str">
        <f>VLOOKUP(A56,'BSE ALL CAP'!$B$4:$Y$1038,3,)</f>
        <v>Pharmaceuticals</v>
      </c>
      <c r="E56" s="101">
        <f ca="1">IFERROR(__xludf.DUMMYFUNCTION("GOOGLEFINANCE(""BOM:""&amp;A56,""PRICE"")"),386.95)</f>
        <v>386.95</v>
      </c>
      <c r="F56" s="112">
        <f ca="1">IFERROR(__xludf.DUMMYFUNCTION("GOOGLEFINANCE(""BOM:""&amp;A56,""MARKETCAP"")/10000000"),3628.5476292)</f>
        <v>3628.5476291999998</v>
      </c>
      <c r="G56" s="95">
        <f t="shared" ca="1" si="0"/>
        <v>1.6370972416535476E-3</v>
      </c>
      <c r="H56" s="101">
        <f>VLOOKUP(A56,'BSE ALL CAP'!$B$4:$Y$1038,7,)</f>
        <v>648</v>
      </c>
      <c r="I56" s="101">
        <f>VLOOKUP(A56,'BSE ALL CAP'!$B$4:$Y$1038,8,)</f>
        <v>534</v>
      </c>
      <c r="J56" s="101">
        <f>VLOOKUP(A56,'BSE ALL CAP'!$B$4:$Y$1038,9,)</f>
        <v>67</v>
      </c>
      <c r="K56" s="101">
        <f>VLOOKUP(A56,'BSE ALL CAP'!$B$4:$Y$1038,10,)</f>
        <v>47</v>
      </c>
      <c r="L56" s="101">
        <f>VLOOKUP(A56,'BSE ALL CAP'!$B$4:$Y$1038,11,)</f>
        <v>210</v>
      </c>
      <c r="M56" s="101">
        <f>VLOOKUP(A56,'BSE ALL CAP'!$B$4:$Y$1038,12,)</f>
        <v>173</v>
      </c>
      <c r="N56" s="101">
        <f>VLOOKUP(A56,'BSE ALL CAP'!$B$4:$Y$1038,13,)</f>
        <v>23</v>
      </c>
      <c r="O56" s="101">
        <f>VLOOKUP(A56,'BSE ALL CAP'!$B$4:$Y$1038,14,)</f>
        <v>17</v>
      </c>
      <c r="P56" s="95">
        <f>VLOOKUP(A56,'BSE ALL CAP'!$B$4:$Y$1038,15,)</f>
        <v>0.10339506172839506</v>
      </c>
      <c r="Q56" s="95">
        <f>VLOOKUP(A56,'BSE ALL CAP'!$B$4:$Y$1038,16,)</f>
        <v>8.8014981273408247E-2</v>
      </c>
      <c r="R56" s="95">
        <f>VLOOKUP(A56,'BSE ALL CAP'!$B$4:$Y$1038,17,)</f>
        <v>1.5380080454986816E-2</v>
      </c>
      <c r="S56" s="95">
        <f>VLOOKUP(A56,'BSE ALL CAP'!$B$4:$Y$1038,18,)</f>
        <v>0.10952380952380952</v>
      </c>
      <c r="T56" s="95">
        <f>VLOOKUP(A56,'BSE ALL CAP'!$B$4:$Y$1038,19,)</f>
        <v>9.8265895953757232E-2</v>
      </c>
      <c r="U56" s="95">
        <f>VLOOKUP(A56,'BSE ALL CAP'!$B$4:$Y$1038,20,)</f>
        <v>1.1257913570052291E-2</v>
      </c>
      <c r="V56" s="95">
        <f>VLOOKUP(A56,'BSE ALL CAP'!$B$4:$Y$1038,21,)</f>
        <v>0.21348314606741581</v>
      </c>
      <c r="W56" s="95">
        <f>VLOOKUP(A56,'BSE ALL CAP'!$B$4:$Y$1038,22,)</f>
        <v>0.42553191489361697</v>
      </c>
      <c r="X56" s="95">
        <f>VLOOKUP(A56,'BSE ALL CAP'!$B$4:$Y$1038,23,)</f>
        <v>0.21387283236994215</v>
      </c>
      <c r="Y56" s="95">
        <f>VLOOKUP(A56,'BSE ALL CAP'!$B$4:$Y$1038,24,)</f>
        <v>0.35294117647058831</v>
      </c>
    </row>
    <row r="57" spans="1:25" ht="14.4">
      <c r="A57" s="99">
        <v>544319</v>
      </c>
      <c r="B57" s="98" t="s">
        <v>3282</v>
      </c>
      <c r="C57" s="101" t="str">
        <f>VLOOKUP(A57,'BSE ALL CAP'!$B$4:$Y$1038,2,)</f>
        <v>Healthcare</v>
      </c>
      <c r="D57" s="101" t="str">
        <f>VLOOKUP(A57,'BSE ALL CAP'!$B$4:$Y$1038,3,)</f>
        <v>Pharmaceuticals</v>
      </c>
      <c r="E57" s="101">
        <f ca="1">IFERROR(__xludf.DUMMYFUNCTION("GOOGLEFINANCE(""BOM:""&amp;A57,""PRICE"")"),781.65)</f>
        <v>781.65</v>
      </c>
      <c r="F57" s="112">
        <f ca="1">IFERROR(__xludf.DUMMYFUNCTION("GOOGLEFINANCE(""BOM:""&amp;A57,""MARKETCAP"")/10000000"),3605.996097)</f>
        <v>3605.9960970000002</v>
      </c>
      <c r="G57" s="95">
        <f t="shared" ca="1" si="0"/>
        <v>1.626922633261313E-3</v>
      </c>
      <c r="H57" s="101">
        <f>VLOOKUP(A57,'BSE ALL CAP'!$B$4:$Y$1038,7,)</f>
        <v>474</v>
      </c>
      <c r="I57" s="101">
        <f>VLOOKUP(A57,'BSE ALL CAP'!$B$4:$Y$1038,8,)</f>
        <v>284</v>
      </c>
      <c r="J57" s="101">
        <f>VLOOKUP(A57,'BSE ALL CAP'!$B$4:$Y$1038,9,)</f>
        <v>85</v>
      </c>
      <c r="K57" s="101">
        <f>VLOOKUP(A57,'BSE ALL CAP'!$B$4:$Y$1038,10,)</f>
        <v>40</v>
      </c>
      <c r="L57" s="101">
        <f>VLOOKUP(A57,'BSE ALL CAP'!$B$4:$Y$1038,11,)</f>
        <v>175</v>
      </c>
      <c r="M57" s="101">
        <f>VLOOKUP(A57,'BSE ALL CAP'!$B$4:$Y$1038,12,)</f>
        <v>103</v>
      </c>
      <c r="N57" s="101">
        <f>VLOOKUP(A57,'BSE ALL CAP'!$B$4:$Y$1038,13,)</f>
        <v>34</v>
      </c>
      <c r="O57" s="101">
        <f>VLOOKUP(A57,'BSE ALL CAP'!$B$4:$Y$1038,14,)</f>
        <v>16</v>
      </c>
      <c r="P57" s="95">
        <f>VLOOKUP(A57,'BSE ALL CAP'!$B$4:$Y$1038,15,)</f>
        <v>0.17932489451476794</v>
      </c>
      <c r="Q57" s="95">
        <f>VLOOKUP(A57,'BSE ALL CAP'!$B$4:$Y$1038,16,)</f>
        <v>0.14084507042253522</v>
      </c>
      <c r="R57" s="95">
        <f>VLOOKUP(A57,'BSE ALL CAP'!$B$4:$Y$1038,17,)</f>
        <v>3.8479824092232717E-2</v>
      </c>
      <c r="S57" s="95">
        <f>VLOOKUP(A57,'BSE ALL CAP'!$B$4:$Y$1038,18,)</f>
        <v>0.19428571428571428</v>
      </c>
      <c r="T57" s="95">
        <f>VLOOKUP(A57,'BSE ALL CAP'!$B$4:$Y$1038,19,)</f>
        <v>0.1553398058252427</v>
      </c>
      <c r="U57" s="95">
        <f>VLOOKUP(A57,'BSE ALL CAP'!$B$4:$Y$1038,20,)</f>
        <v>3.8945908460471579E-2</v>
      </c>
      <c r="V57" s="95">
        <f>VLOOKUP(A57,'BSE ALL CAP'!$B$4:$Y$1038,21,)</f>
        <v>0.66901408450704225</v>
      </c>
      <c r="W57" s="95">
        <f>VLOOKUP(A57,'BSE ALL CAP'!$B$4:$Y$1038,22,)</f>
        <v>1.125</v>
      </c>
      <c r="X57" s="95">
        <f>VLOOKUP(A57,'BSE ALL CAP'!$B$4:$Y$1038,23,)</f>
        <v>0.69902912621359214</v>
      </c>
      <c r="Y57" s="95">
        <f>VLOOKUP(A57,'BSE ALL CAP'!$B$4:$Y$1038,24,)</f>
        <v>1.125</v>
      </c>
    </row>
    <row r="58" spans="1:25" ht="14.4">
      <c r="A58" s="99">
        <v>524348</v>
      </c>
      <c r="B58" s="98" t="s">
        <v>3283</v>
      </c>
      <c r="C58" s="101" t="str">
        <f>VLOOKUP(A58,'BSE ALL CAP'!$B$4:$Y$1038,2,)</f>
        <v>Healthcare</v>
      </c>
      <c r="D58" s="101" t="str">
        <f>VLOOKUP(A58,'BSE ALL CAP'!$B$4:$Y$1038,3,)</f>
        <v>Pharmaceuticals</v>
      </c>
      <c r="E58" s="101">
        <f ca="1">IFERROR(__xludf.DUMMYFUNCTION("GOOGLEFINANCE(""BOM:""&amp;A58,""PRICE"")"),352.5)</f>
        <v>352.5</v>
      </c>
      <c r="F58" s="112">
        <f ca="1">IFERROR(__xludf.DUMMYFUNCTION("GOOGLEFINANCE(""BOM:""&amp;A58,""MARKETCAP"")/10000000"),3220.4620057)</f>
        <v>3220.4620057000002</v>
      </c>
      <c r="G58" s="95">
        <f t="shared" ca="1" si="0"/>
        <v>1.4529806427107327E-3</v>
      </c>
      <c r="H58" s="101">
        <f>VLOOKUP(A58,'BSE ALL CAP'!$B$4:$Y$1038,7,)</f>
        <v>1628</v>
      </c>
      <c r="I58" s="101">
        <f>VLOOKUP(A58,'BSE ALL CAP'!$B$4:$Y$1038,8,)</f>
        <v>1550</v>
      </c>
      <c r="J58" s="101">
        <f>VLOOKUP(A58,'BSE ALL CAP'!$B$4:$Y$1038,9,)</f>
        <v>124</v>
      </c>
      <c r="K58" s="101">
        <f>VLOOKUP(A58,'BSE ALL CAP'!$B$4:$Y$1038,10,)</f>
        <v>95</v>
      </c>
      <c r="L58" s="101">
        <f>VLOOKUP(A58,'BSE ALL CAP'!$B$4:$Y$1038,11,)</f>
        <v>528</v>
      </c>
      <c r="M58" s="101">
        <f>VLOOKUP(A58,'BSE ALL CAP'!$B$4:$Y$1038,12,)</f>
        <v>514</v>
      </c>
      <c r="N58" s="101">
        <f>VLOOKUP(A58,'BSE ALL CAP'!$B$4:$Y$1038,13,)</f>
        <v>33</v>
      </c>
      <c r="O58" s="101">
        <f>VLOOKUP(A58,'BSE ALL CAP'!$B$4:$Y$1038,14,)</f>
        <v>38</v>
      </c>
      <c r="P58" s="95">
        <f>VLOOKUP(A58,'BSE ALL CAP'!$B$4:$Y$1038,15,)</f>
        <v>7.6167076167076173E-2</v>
      </c>
      <c r="Q58" s="95">
        <f>VLOOKUP(A58,'BSE ALL CAP'!$B$4:$Y$1038,16,)</f>
        <v>6.1290322580645158E-2</v>
      </c>
      <c r="R58" s="95">
        <f>VLOOKUP(A58,'BSE ALL CAP'!$B$4:$Y$1038,17,)</f>
        <v>1.4876753586431014E-2</v>
      </c>
      <c r="S58" s="95">
        <f>VLOOKUP(A58,'BSE ALL CAP'!$B$4:$Y$1038,18,)</f>
        <v>6.25E-2</v>
      </c>
      <c r="T58" s="95">
        <f>VLOOKUP(A58,'BSE ALL CAP'!$B$4:$Y$1038,19,)</f>
        <v>7.3929961089494164E-2</v>
      </c>
      <c r="U58" s="95">
        <f>VLOOKUP(A58,'BSE ALL CAP'!$B$4:$Y$1038,20,)</f>
        <v>-1.1429961089494164E-2</v>
      </c>
      <c r="V58" s="95">
        <f>VLOOKUP(A58,'BSE ALL CAP'!$B$4:$Y$1038,21,)</f>
        <v>5.0322580645161263E-2</v>
      </c>
      <c r="W58" s="95">
        <f>VLOOKUP(A58,'BSE ALL CAP'!$B$4:$Y$1038,22,)</f>
        <v>0.3052631578947369</v>
      </c>
      <c r="X58" s="95">
        <f>VLOOKUP(A58,'BSE ALL CAP'!$B$4:$Y$1038,23,)</f>
        <v>2.7237354085603016E-2</v>
      </c>
      <c r="Y58" s="95">
        <f>VLOOKUP(A58,'BSE ALL CAP'!$B$4:$Y$1038,24,)</f>
        <v>-0.13157894736842102</v>
      </c>
    </row>
    <row r="59" spans="1:25" ht="14.4">
      <c r="A59" s="99">
        <v>506879</v>
      </c>
      <c r="B59" s="98" t="s">
        <v>3284</v>
      </c>
      <c r="C59" s="101" t="str">
        <f>VLOOKUP(A59,'BSE ALL CAP'!$B$4:$Y$1038,2,)</f>
        <v>Healthcare</v>
      </c>
      <c r="D59" s="101" t="str">
        <f>VLOOKUP(A59,'BSE ALL CAP'!$B$4:$Y$1038,3,)</f>
        <v>Pharmaceuticals</v>
      </c>
      <c r="E59" s="101">
        <f ca="1">IFERROR(__xludf.DUMMYFUNCTION("GOOGLEFINANCE(""BOM:""&amp;A59,""PRICE"")"),258.05)</f>
        <v>258.05</v>
      </c>
      <c r="F59" s="112">
        <f ca="1">IFERROR(__xludf.DUMMYFUNCTION("GOOGLEFINANCE(""BOM:""&amp;A59,""MARKETCAP"")/10000000"),2811.6290422)</f>
        <v>2811.6290422000002</v>
      </c>
      <c r="G59" s="95">
        <f t="shared" ca="1" si="0"/>
        <v>1.2685268652663235E-3</v>
      </c>
      <c r="H59" s="101">
        <f>VLOOKUP(A59,'BSE ALL CAP'!$B$4:$Y$1038,7,)</f>
        <v>121</v>
      </c>
      <c r="I59" s="101">
        <f>VLOOKUP(A59,'BSE ALL CAP'!$B$4:$Y$1038,8,)</f>
        <v>113</v>
      </c>
      <c r="J59" s="101">
        <f>VLOOKUP(A59,'BSE ALL CAP'!$B$4:$Y$1038,9,)</f>
        <v>35</v>
      </c>
      <c r="K59" s="101">
        <f>VLOOKUP(A59,'BSE ALL CAP'!$B$4:$Y$1038,10,)</f>
        <v>36</v>
      </c>
      <c r="L59" s="101">
        <f>VLOOKUP(A59,'BSE ALL CAP'!$B$4:$Y$1038,11,)</f>
        <v>43</v>
      </c>
      <c r="M59" s="101">
        <f>VLOOKUP(A59,'BSE ALL CAP'!$B$4:$Y$1038,12,)</f>
        <v>39</v>
      </c>
      <c r="N59" s="101">
        <f>VLOOKUP(A59,'BSE ALL CAP'!$B$4:$Y$1038,13,)</f>
        <v>12</v>
      </c>
      <c r="O59" s="101">
        <f>VLOOKUP(A59,'BSE ALL CAP'!$B$4:$Y$1038,14,)</f>
        <v>12</v>
      </c>
      <c r="P59" s="95">
        <f>VLOOKUP(A59,'BSE ALL CAP'!$B$4:$Y$1038,15,)</f>
        <v>0.28925619834710742</v>
      </c>
      <c r="Q59" s="95">
        <f>VLOOKUP(A59,'BSE ALL CAP'!$B$4:$Y$1038,16,)</f>
        <v>0.31858407079646017</v>
      </c>
      <c r="R59" s="95">
        <f>VLOOKUP(A59,'BSE ALL CAP'!$B$4:$Y$1038,17,)</f>
        <v>-2.9327872449352754E-2</v>
      </c>
      <c r="S59" s="95">
        <f>VLOOKUP(A59,'BSE ALL CAP'!$B$4:$Y$1038,18,)</f>
        <v>0.27906976744186046</v>
      </c>
      <c r="T59" s="95">
        <f>VLOOKUP(A59,'BSE ALL CAP'!$B$4:$Y$1038,19,)</f>
        <v>0.30769230769230771</v>
      </c>
      <c r="U59" s="95">
        <f>VLOOKUP(A59,'BSE ALL CAP'!$B$4:$Y$1038,20,)</f>
        <v>-2.8622540250447248E-2</v>
      </c>
      <c r="V59" s="95">
        <f>VLOOKUP(A59,'BSE ALL CAP'!$B$4:$Y$1038,21,)</f>
        <v>7.079646017699126E-2</v>
      </c>
      <c r="W59" s="95">
        <f>VLOOKUP(A59,'BSE ALL CAP'!$B$4:$Y$1038,22,)</f>
        <v>-2.777777777777779E-2</v>
      </c>
      <c r="X59" s="95">
        <f>VLOOKUP(A59,'BSE ALL CAP'!$B$4:$Y$1038,23,)</f>
        <v>0.10256410256410264</v>
      </c>
      <c r="Y59" s="95">
        <f>VLOOKUP(A59,'BSE ALL CAP'!$B$4:$Y$1038,24,)</f>
        <v>0</v>
      </c>
    </row>
    <row r="60" spans="1:25" ht="14.4">
      <c r="A60" s="99">
        <v>524372</v>
      </c>
      <c r="B60" s="98" t="s">
        <v>3285</v>
      </c>
      <c r="C60" s="101" t="str">
        <f>VLOOKUP(A60,'BSE ALL CAP'!$B$4:$Y$1038,2,)</f>
        <v>Healthcare</v>
      </c>
      <c r="D60" s="101" t="str">
        <f>VLOOKUP(A60,'BSE ALL CAP'!$B$4:$Y$1038,3,)</f>
        <v>Pharmaceuticals</v>
      </c>
      <c r="E60" s="101">
        <f ca="1">IFERROR(__xludf.DUMMYFUNCTION("GOOGLEFINANCE(""BOM:""&amp;A60,""PRICE"")"),524.3)</f>
        <v>524.29999999999995</v>
      </c>
      <c r="F60" s="112">
        <f ca="1">IFERROR(__xludf.DUMMYFUNCTION("GOOGLEFINANCE(""BOM:""&amp;A60,""MARKETCAP"")/10000000"),2655.1454085)</f>
        <v>2655.1454085</v>
      </c>
      <c r="G60" s="95">
        <f t="shared" ca="1" si="0"/>
        <v>1.1979259110353122E-3</v>
      </c>
      <c r="H60" s="101">
        <f>VLOOKUP(A60,'BSE ALL CAP'!$B$4:$Y$1038,7,)</f>
        <v>573</v>
      </c>
      <c r="I60" s="101">
        <f>VLOOKUP(A60,'BSE ALL CAP'!$B$4:$Y$1038,8,)</f>
        <v>684</v>
      </c>
      <c r="J60" s="101">
        <f>VLOOKUP(A60,'BSE ALL CAP'!$B$4:$Y$1038,9,)</f>
        <v>-3</v>
      </c>
      <c r="K60" s="101">
        <f>VLOOKUP(A60,'BSE ALL CAP'!$B$4:$Y$1038,10,)</f>
        <v>77</v>
      </c>
      <c r="L60" s="101">
        <f>VLOOKUP(A60,'BSE ALL CAP'!$B$4:$Y$1038,11,)</f>
        <v>207</v>
      </c>
      <c r="M60" s="101">
        <f>VLOOKUP(A60,'BSE ALL CAP'!$B$4:$Y$1038,12,)</f>
        <v>217</v>
      </c>
      <c r="N60" s="101">
        <f>VLOOKUP(A60,'BSE ALL CAP'!$B$4:$Y$1038,13,)</f>
        <v>-12</v>
      </c>
      <c r="O60" s="101">
        <f>VLOOKUP(A60,'BSE ALL CAP'!$B$4:$Y$1038,14,)</f>
        <v>22</v>
      </c>
      <c r="P60" s="95">
        <f>VLOOKUP(A60,'BSE ALL CAP'!$B$4:$Y$1038,15,)</f>
        <v>-5.235602094240838E-3</v>
      </c>
      <c r="Q60" s="95">
        <f>VLOOKUP(A60,'BSE ALL CAP'!$B$4:$Y$1038,16,)</f>
        <v>0.11257309941520467</v>
      </c>
      <c r="R60" s="95">
        <f>VLOOKUP(A60,'BSE ALL CAP'!$B$4:$Y$1038,17,)</f>
        <v>-0.11780870150944552</v>
      </c>
      <c r="S60" s="95">
        <f>VLOOKUP(A60,'BSE ALL CAP'!$B$4:$Y$1038,18,)</f>
        <v>-5.7971014492753624E-2</v>
      </c>
      <c r="T60" s="95">
        <f>VLOOKUP(A60,'BSE ALL CAP'!$B$4:$Y$1038,19,)</f>
        <v>0.10138248847926268</v>
      </c>
      <c r="U60" s="95">
        <f>VLOOKUP(A60,'BSE ALL CAP'!$B$4:$Y$1038,20,)</f>
        <v>-0.15935350297201631</v>
      </c>
      <c r="V60" s="95">
        <f>VLOOKUP(A60,'BSE ALL CAP'!$B$4:$Y$1038,21,)</f>
        <v>-0.16228070175438591</v>
      </c>
      <c r="W60" s="95">
        <f>VLOOKUP(A60,'BSE ALL CAP'!$B$4:$Y$1038,22,)</f>
        <v>-1.0389610389610389</v>
      </c>
      <c r="X60" s="95">
        <f>VLOOKUP(A60,'BSE ALL CAP'!$B$4:$Y$1038,23,)</f>
        <v>-4.6082949308755783E-2</v>
      </c>
      <c r="Y60" s="95">
        <f>VLOOKUP(A60,'BSE ALL CAP'!$B$4:$Y$1038,24,)</f>
        <v>-1.5454545454545454</v>
      </c>
    </row>
    <row r="61" spans="1:25" ht="14.4">
      <c r="A61" s="99">
        <v>532983</v>
      </c>
      <c r="B61" s="98" t="s">
        <v>3286</v>
      </c>
      <c r="C61" s="101" t="str">
        <f>VLOOKUP(A61,'BSE ALL CAP'!$B$4:$Y$1038,2,)</f>
        <v>Healthcare</v>
      </c>
      <c r="D61" s="101" t="str">
        <f>VLOOKUP(A61,'BSE ALL CAP'!$B$4:$Y$1038,3,)</f>
        <v>Pharmaceuticals</v>
      </c>
      <c r="E61" s="101">
        <f ca="1">IFERROR(__xludf.DUMMYFUNCTION("GOOGLEFINANCE(""BOM:""&amp;A61,""PRICE"")"),1915.6)</f>
        <v>1915.6</v>
      </c>
      <c r="F61" s="112">
        <f ca="1">IFERROR(__xludf.DUMMYFUNCTION("GOOGLEFINANCE(""BOM:""&amp;A61,""MARKETCAP"")/10000000"),3169.2050154)</f>
        <v>3169.2050153999999</v>
      </c>
      <c r="G61" s="95">
        <f t="shared" ca="1" si="0"/>
        <v>1.4298549500064886E-3</v>
      </c>
      <c r="H61" s="101">
        <f>VLOOKUP(A61,'BSE ALL CAP'!$B$4:$Y$1038,7,)</f>
        <v>530</v>
      </c>
      <c r="I61" s="101">
        <f>VLOOKUP(A61,'BSE ALL CAP'!$B$4:$Y$1038,8,)</f>
        <v>510</v>
      </c>
      <c r="J61" s="101">
        <f>VLOOKUP(A61,'BSE ALL CAP'!$B$4:$Y$1038,9,)</f>
        <v>85</v>
      </c>
      <c r="K61" s="101">
        <f>VLOOKUP(A61,'BSE ALL CAP'!$B$4:$Y$1038,10,)</f>
        <v>65</v>
      </c>
      <c r="L61" s="101">
        <f>VLOOKUP(A61,'BSE ALL CAP'!$B$4:$Y$1038,11,)</f>
        <v>180</v>
      </c>
      <c r="M61" s="101">
        <f>VLOOKUP(A61,'BSE ALL CAP'!$B$4:$Y$1038,12,)</f>
        <v>172</v>
      </c>
      <c r="N61" s="101">
        <f>VLOOKUP(A61,'BSE ALL CAP'!$B$4:$Y$1038,13,)</f>
        <v>22</v>
      </c>
      <c r="O61" s="101">
        <f>VLOOKUP(A61,'BSE ALL CAP'!$B$4:$Y$1038,14,)</f>
        <v>34</v>
      </c>
      <c r="P61" s="95">
        <f>VLOOKUP(A61,'BSE ALL CAP'!$B$4:$Y$1038,15,)</f>
        <v>0.16037735849056603</v>
      </c>
      <c r="Q61" s="95">
        <f>VLOOKUP(A61,'BSE ALL CAP'!$B$4:$Y$1038,16,)</f>
        <v>0.12745098039215685</v>
      </c>
      <c r="R61" s="95">
        <f>VLOOKUP(A61,'BSE ALL CAP'!$B$4:$Y$1038,17,)</f>
        <v>3.2926378098409176E-2</v>
      </c>
      <c r="S61" s="95">
        <f>VLOOKUP(A61,'BSE ALL CAP'!$B$4:$Y$1038,18,)</f>
        <v>0.12222222222222222</v>
      </c>
      <c r="T61" s="95">
        <f>VLOOKUP(A61,'BSE ALL CAP'!$B$4:$Y$1038,19,)</f>
        <v>0.19767441860465115</v>
      </c>
      <c r="U61" s="95">
        <f>VLOOKUP(A61,'BSE ALL CAP'!$B$4:$Y$1038,20,)</f>
        <v>-7.5452196382428935E-2</v>
      </c>
      <c r="V61" s="95">
        <f>VLOOKUP(A61,'BSE ALL CAP'!$B$4:$Y$1038,21,)</f>
        <v>3.9215686274509887E-2</v>
      </c>
      <c r="W61" s="95">
        <f>VLOOKUP(A61,'BSE ALL CAP'!$B$4:$Y$1038,22,)</f>
        <v>0.30769230769230771</v>
      </c>
      <c r="X61" s="95">
        <f>VLOOKUP(A61,'BSE ALL CAP'!$B$4:$Y$1038,23,)</f>
        <v>4.6511627906976827E-2</v>
      </c>
      <c r="Y61" s="95">
        <f>VLOOKUP(A61,'BSE ALL CAP'!$B$4:$Y$1038,24,)</f>
        <v>-0.3529411764705882</v>
      </c>
    </row>
    <row r="62" spans="1:25" ht="14.4">
      <c r="A62" s="99">
        <v>509079</v>
      </c>
      <c r="B62" s="98" t="s">
        <v>3287</v>
      </c>
      <c r="C62" s="101" t="str">
        <f>VLOOKUP(A62,'BSE ALL CAP'!$B$4:$Y$1038,2,)</f>
        <v>Healthcare</v>
      </c>
      <c r="D62" s="101" t="str">
        <f>VLOOKUP(A62,'BSE ALL CAP'!$B$4:$Y$1038,3,)</f>
        <v>PHArmaceuticals</v>
      </c>
      <c r="E62" s="101">
        <f ca="1">IFERROR(__xludf.DUMMYFUNCTION("GOOGLEFINANCE(""BOM:""&amp;A62,""PRICE"")"),291.45)</f>
        <v>291.45</v>
      </c>
      <c r="F62" s="112">
        <f ca="1">IFERROR(__xludf.DUMMYFUNCTION("GOOGLEFINANCE(""BOM:""&amp;A62,""MARKETCAP"")/10000000"),2920.2265224)</f>
        <v>2920.2265223999998</v>
      </c>
      <c r="G62" s="95">
        <f t="shared" ca="1" si="0"/>
        <v>1.317522952255856E-3</v>
      </c>
      <c r="H62" s="101">
        <f>VLOOKUP(A62,'BSE ALL CAP'!$B$4:$Y$1038,7,)</f>
        <v>692</v>
      </c>
      <c r="I62" s="101">
        <f>VLOOKUP(A62,'BSE ALL CAP'!$B$4:$Y$1038,8,)</f>
        <v>614</v>
      </c>
      <c r="J62" s="101">
        <f>VLOOKUP(A62,'BSE ALL CAP'!$B$4:$Y$1038,9,)</f>
        <v>42</v>
      </c>
      <c r="K62" s="101">
        <f>VLOOKUP(A62,'BSE ALL CAP'!$B$4:$Y$1038,10,)</f>
        <v>61</v>
      </c>
      <c r="L62" s="101">
        <f>VLOOKUP(A62,'BSE ALL CAP'!$B$4:$Y$1038,11,)</f>
        <v>231</v>
      </c>
      <c r="M62" s="101">
        <f>VLOOKUP(A62,'BSE ALL CAP'!$B$4:$Y$1038,12,)</f>
        <v>207</v>
      </c>
      <c r="N62" s="101">
        <f>VLOOKUP(A62,'BSE ALL CAP'!$B$4:$Y$1038,13,)</f>
        <v>12</v>
      </c>
      <c r="O62" s="101">
        <f>VLOOKUP(A62,'BSE ALL CAP'!$B$4:$Y$1038,14,)</f>
        <v>19</v>
      </c>
      <c r="P62" s="95">
        <f>VLOOKUP(A62,'BSE ALL CAP'!$B$4:$Y$1038,15,)</f>
        <v>6.0693641618497107E-2</v>
      </c>
      <c r="Q62" s="95">
        <f>VLOOKUP(A62,'BSE ALL CAP'!$B$4:$Y$1038,16,)</f>
        <v>9.93485342019544E-2</v>
      </c>
      <c r="R62" s="95">
        <f>VLOOKUP(A62,'BSE ALL CAP'!$B$4:$Y$1038,17,)</f>
        <v>-3.8654892583457293E-2</v>
      </c>
      <c r="S62" s="95">
        <f>VLOOKUP(A62,'BSE ALL CAP'!$B$4:$Y$1038,18,)</f>
        <v>5.1948051948051951E-2</v>
      </c>
      <c r="T62" s="95">
        <f>VLOOKUP(A62,'BSE ALL CAP'!$B$4:$Y$1038,19,)</f>
        <v>9.1787439613526575E-2</v>
      </c>
      <c r="U62" s="95">
        <f>VLOOKUP(A62,'BSE ALL CAP'!$B$4:$Y$1038,20,)</f>
        <v>-3.9839387665474624E-2</v>
      </c>
      <c r="V62" s="95">
        <f>VLOOKUP(A62,'BSE ALL CAP'!$B$4:$Y$1038,21,)</f>
        <v>0.12703583061889256</v>
      </c>
      <c r="W62" s="95">
        <f>VLOOKUP(A62,'BSE ALL CAP'!$B$4:$Y$1038,22,)</f>
        <v>-0.31147540983606559</v>
      </c>
      <c r="X62" s="95">
        <f>VLOOKUP(A62,'BSE ALL CAP'!$B$4:$Y$1038,23,)</f>
        <v>0.11594202898550732</v>
      </c>
      <c r="Y62" s="95">
        <f>VLOOKUP(A62,'BSE ALL CAP'!$B$4:$Y$1038,24,)</f>
        <v>-0.36842105263157898</v>
      </c>
    </row>
    <row r="63" spans="1:25" ht="14.4">
      <c r="A63" s="99">
        <v>540701</v>
      </c>
      <c r="B63" s="98" t="s">
        <v>3288</v>
      </c>
      <c r="C63" s="101" t="str">
        <f>VLOOKUP(A63,'BSE ALL CAP'!$B$4:$Y$1038,2,)</f>
        <v>Healthcare</v>
      </c>
      <c r="D63" s="101" t="str">
        <f>VLOOKUP(A63,'BSE ALL CAP'!$B$4:$Y$1038,3,)</f>
        <v>Pharmaceuticals</v>
      </c>
      <c r="E63" s="101">
        <f ca="1">IFERROR(__xludf.DUMMYFUNCTION("GOOGLEFINANCE(""BOM:""&amp;A63,""PRICE"")"),146.85)</f>
        <v>146.85</v>
      </c>
      <c r="F63" s="112">
        <f ca="1">IFERROR(__xludf.DUMMYFUNCTION("GOOGLEFINANCE(""BOM:""&amp;A63,""MARKETCAP"")/10000000"),2302.5166161)</f>
        <v>2302.5166161000002</v>
      </c>
      <c r="G63" s="95">
        <f t="shared" ca="1" si="0"/>
        <v>1.0388298532296885E-3</v>
      </c>
      <c r="H63" s="101">
        <f>VLOOKUP(A63,'BSE ALL CAP'!$B$4:$Y$1038,7,)</f>
        <v>2080</v>
      </c>
      <c r="I63" s="101">
        <f>VLOOKUP(A63,'BSE ALL CAP'!$B$4:$Y$1038,8,)</f>
        <v>1995</v>
      </c>
      <c r="J63" s="101">
        <f>VLOOKUP(A63,'BSE ALL CAP'!$B$4:$Y$1038,9,)</f>
        <v>76</v>
      </c>
      <c r="K63" s="101">
        <f>VLOOKUP(A63,'BSE ALL CAP'!$B$4:$Y$1038,10,)</f>
        <v>-40</v>
      </c>
      <c r="L63" s="101">
        <f>VLOOKUP(A63,'BSE ALL CAP'!$B$4:$Y$1038,11,)</f>
        <v>720</v>
      </c>
      <c r="M63" s="101">
        <f>VLOOKUP(A63,'BSE ALL CAP'!$B$4:$Y$1038,12,)</f>
        <v>682</v>
      </c>
      <c r="N63" s="101">
        <f>VLOOKUP(A63,'BSE ALL CAP'!$B$4:$Y$1038,13,)</f>
        <v>-13</v>
      </c>
      <c r="O63" s="101">
        <f>VLOOKUP(A63,'BSE ALL CAP'!$B$4:$Y$1038,14,)</f>
        <v>5</v>
      </c>
      <c r="P63" s="95">
        <f>VLOOKUP(A63,'BSE ALL CAP'!$B$4:$Y$1038,15,)</f>
        <v>3.653846153846154E-2</v>
      </c>
      <c r="Q63" s="95">
        <f>VLOOKUP(A63,'BSE ALL CAP'!$B$4:$Y$1038,16,)</f>
        <v>-2.0050125313283207E-2</v>
      </c>
      <c r="R63" s="95">
        <f>VLOOKUP(A63,'BSE ALL CAP'!$B$4:$Y$1038,17,)</f>
        <v>5.6588586851744747E-2</v>
      </c>
      <c r="S63" s="95">
        <f>VLOOKUP(A63,'BSE ALL CAP'!$B$4:$Y$1038,18,)</f>
        <v>-1.8055555555555554E-2</v>
      </c>
      <c r="T63" s="95">
        <f>VLOOKUP(A63,'BSE ALL CAP'!$B$4:$Y$1038,19,)</f>
        <v>7.331378299120235E-3</v>
      </c>
      <c r="U63" s="95">
        <f>VLOOKUP(A63,'BSE ALL CAP'!$B$4:$Y$1038,20,)</f>
        <v>-2.5386933854675789E-2</v>
      </c>
      <c r="V63" s="95">
        <f>VLOOKUP(A63,'BSE ALL CAP'!$B$4:$Y$1038,21,)</f>
        <v>4.2606516290726759E-2</v>
      </c>
      <c r="W63" s="95">
        <f>VLOOKUP(A63,'BSE ALL CAP'!$B$4:$Y$1038,22,)</f>
        <v>-2.9</v>
      </c>
      <c r="X63" s="95">
        <f>VLOOKUP(A63,'BSE ALL CAP'!$B$4:$Y$1038,23,)</f>
        <v>5.5718475073313734E-2</v>
      </c>
      <c r="Y63" s="95">
        <f>VLOOKUP(A63,'BSE ALL CAP'!$B$4:$Y$1038,24,)</f>
        <v>-3.6</v>
      </c>
    </row>
    <row r="64" spans="1:25" ht="14.4">
      <c r="A64" s="99">
        <v>506690</v>
      </c>
      <c r="B64" s="98" t="s">
        <v>3289</v>
      </c>
      <c r="C64" s="101" t="str">
        <f>VLOOKUP(A64,'BSE ALL CAP'!$B$4:$Y$1038,2,)</f>
        <v>Healthcare</v>
      </c>
      <c r="D64" s="101" t="str">
        <f>VLOOKUP(A64,'BSE ALL CAP'!$B$4:$Y$1038,3,)</f>
        <v>Pharmaceuticals</v>
      </c>
      <c r="E64" s="101">
        <f ca="1">IFERROR(__xludf.DUMMYFUNCTION("GOOGLEFINANCE(""BOM:""&amp;A64,""PRICE"")"),299)</f>
        <v>299</v>
      </c>
      <c r="F64" s="112">
        <f ca="1">IFERROR(__xludf.DUMMYFUNCTION("GOOGLEFINANCE(""BOM:""&amp;A64,""MARKETCAP"")/10000000"),2105.132224)</f>
        <v>2105.132224</v>
      </c>
      <c r="G64" s="95">
        <f t="shared" ca="1" si="0"/>
        <v>9.497756428751132E-4</v>
      </c>
      <c r="H64" s="101">
        <f>VLOOKUP(A64,'BSE ALL CAP'!$B$4:$Y$1038,7,)</f>
        <v>1627</v>
      </c>
      <c r="I64" s="101">
        <f>VLOOKUP(A64,'BSE ALL CAP'!$B$4:$Y$1038,8,)</f>
        <v>1524</v>
      </c>
      <c r="J64" s="101">
        <f>VLOOKUP(A64,'BSE ALL CAP'!$B$4:$Y$1038,9,)</f>
        <v>242</v>
      </c>
      <c r="K64" s="101">
        <f>VLOOKUP(A64,'BSE ALL CAP'!$B$4:$Y$1038,10,)</f>
        <v>84</v>
      </c>
      <c r="L64" s="101">
        <f>VLOOKUP(A64,'BSE ALL CAP'!$B$4:$Y$1038,11,)</f>
        <v>521</v>
      </c>
      <c r="M64" s="101">
        <f>VLOOKUP(A64,'BSE ALL CAP'!$B$4:$Y$1038,12,)</f>
        <v>533</v>
      </c>
      <c r="N64" s="101">
        <f>VLOOKUP(A64,'BSE ALL CAP'!$B$4:$Y$1038,13,)</f>
        <v>264</v>
      </c>
      <c r="O64" s="101">
        <f>VLOOKUP(A64,'BSE ALL CAP'!$B$4:$Y$1038,14,)</f>
        <v>58</v>
      </c>
      <c r="P64" s="95">
        <f>VLOOKUP(A64,'BSE ALL CAP'!$B$4:$Y$1038,15,)</f>
        <v>0.14874001229256301</v>
      </c>
      <c r="Q64" s="95">
        <f>VLOOKUP(A64,'BSE ALL CAP'!$B$4:$Y$1038,16,)</f>
        <v>5.5118110236220472E-2</v>
      </c>
      <c r="R64" s="95">
        <f>VLOOKUP(A64,'BSE ALL CAP'!$B$4:$Y$1038,17,)</f>
        <v>9.3621902056342535E-2</v>
      </c>
      <c r="S64" s="95">
        <f>VLOOKUP(A64,'BSE ALL CAP'!$B$4:$Y$1038,18,)</f>
        <v>0.50671785028790783</v>
      </c>
      <c r="T64" s="95">
        <f>VLOOKUP(A64,'BSE ALL CAP'!$B$4:$Y$1038,19,)</f>
        <v>0.10881801125703565</v>
      </c>
      <c r="U64" s="95">
        <f>VLOOKUP(A64,'BSE ALL CAP'!$B$4:$Y$1038,20,)</f>
        <v>0.39789983903087217</v>
      </c>
      <c r="V64" s="95">
        <f>VLOOKUP(A64,'BSE ALL CAP'!$B$4:$Y$1038,21,)</f>
        <v>6.7585301837270295E-2</v>
      </c>
      <c r="W64" s="95">
        <f>VLOOKUP(A64,'BSE ALL CAP'!$B$4:$Y$1038,22,)</f>
        <v>1.8809523809523809</v>
      </c>
      <c r="X64" s="95">
        <f>VLOOKUP(A64,'BSE ALL CAP'!$B$4:$Y$1038,23,)</f>
        <v>-2.2514071294559068E-2</v>
      </c>
      <c r="Y64" s="95">
        <f>VLOOKUP(A64,'BSE ALL CAP'!$B$4:$Y$1038,24,)</f>
        <v>3.5517241379310347</v>
      </c>
    </row>
    <row r="65" spans="1:25" ht="14.4">
      <c r="A65" s="99">
        <v>524735</v>
      </c>
      <c r="B65" s="98" t="s">
        <v>3290</v>
      </c>
      <c r="C65" s="101" t="str">
        <f>VLOOKUP(A65,'BSE ALL CAP'!$B$4:$Y$1038,2,)</f>
        <v>Healthcare</v>
      </c>
      <c r="D65" s="101" t="str">
        <f>VLOOKUP(A65,'BSE ALL CAP'!$B$4:$Y$1038,3,)</f>
        <v>Pharmaceuticals</v>
      </c>
      <c r="E65" s="101">
        <f ca="1">IFERROR(__xludf.DUMMYFUNCTION("GOOGLEFINANCE(""BOM:""&amp;A65,""PRICE"")"),163.15)</f>
        <v>163.15</v>
      </c>
      <c r="F65" s="112">
        <f ca="1">IFERROR(__xludf.DUMMYFUNCTION("GOOGLEFINANCE(""BOM:""&amp;A65,""MARKETCAP"")/10000000"),2011.7742663)</f>
        <v>2011.7742662999999</v>
      </c>
      <c r="G65" s="95">
        <f t="shared" ca="1" si="0"/>
        <v>9.0765519396404984E-4</v>
      </c>
      <c r="H65" s="101">
        <f>VLOOKUP(A65,'BSE ALL CAP'!$B$4:$Y$1038,7,)</f>
        <v>1193</v>
      </c>
      <c r="I65" s="101">
        <f>VLOOKUP(A65,'BSE ALL CAP'!$B$4:$Y$1038,8,)</f>
        <v>1307</v>
      </c>
      <c r="J65" s="101">
        <f>VLOOKUP(A65,'BSE ALL CAP'!$B$4:$Y$1038,9,)</f>
        <v>-63</v>
      </c>
      <c r="K65" s="101">
        <f>VLOOKUP(A65,'BSE ALL CAP'!$B$4:$Y$1038,10,)</f>
        <v>40</v>
      </c>
      <c r="L65" s="101">
        <f>VLOOKUP(A65,'BSE ALL CAP'!$B$4:$Y$1038,11,)</f>
        <v>494</v>
      </c>
      <c r="M65" s="101">
        <f>VLOOKUP(A65,'BSE ALL CAP'!$B$4:$Y$1038,12,)</f>
        <v>447</v>
      </c>
      <c r="N65" s="101">
        <f>VLOOKUP(A65,'BSE ALL CAP'!$B$4:$Y$1038,13,)</f>
        <v>-5</v>
      </c>
      <c r="O65" s="101">
        <f>VLOOKUP(A65,'BSE ALL CAP'!$B$4:$Y$1038,14,)</f>
        <v>17</v>
      </c>
      <c r="P65" s="95">
        <f>VLOOKUP(A65,'BSE ALL CAP'!$B$4:$Y$1038,15,)</f>
        <v>-5.2808046940486172E-2</v>
      </c>
      <c r="Q65" s="95">
        <f>VLOOKUP(A65,'BSE ALL CAP'!$B$4:$Y$1038,16,)</f>
        <v>3.0604437643458302E-2</v>
      </c>
      <c r="R65" s="95">
        <f>VLOOKUP(A65,'BSE ALL CAP'!$B$4:$Y$1038,17,)</f>
        <v>-8.3412484583944471E-2</v>
      </c>
      <c r="S65" s="95">
        <f>VLOOKUP(A65,'BSE ALL CAP'!$B$4:$Y$1038,18,)</f>
        <v>-1.0121457489878543E-2</v>
      </c>
      <c r="T65" s="95">
        <f>VLOOKUP(A65,'BSE ALL CAP'!$B$4:$Y$1038,19,)</f>
        <v>3.803131991051454E-2</v>
      </c>
      <c r="U65" s="95">
        <f>VLOOKUP(A65,'BSE ALL CAP'!$B$4:$Y$1038,20,)</f>
        <v>-4.8152777400393081E-2</v>
      </c>
      <c r="V65" s="95">
        <f>VLOOKUP(A65,'BSE ALL CAP'!$B$4:$Y$1038,21,)</f>
        <v>-8.7222647283856203E-2</v>
      </c>
      <c r="W65" s="95">
        <f>VLOOKUP(A65,'BSE ALL CAP'!$B$4:$Y$1038,22,)</f>
        <v>-2.5750000000000002</v>
      </c>
      <c r="X65" s="95">
        <f>VLOOKUP(A65,'BSE ALL CAP'!$B$4:$Y$1038,23,)</f>
        <v>0.10514541387024612</v>
      </c>
      <c r="Y65" s="95">
        <f>VLOOKUP(A65,'BSE ALL CAP'!$B$4:$Y$1038,24,)</f>
        <v>-1.2941176470588236</v>
      </c>
    </row>
    <row r="66" spans="1:25" ht="14.4">
      <c r="A66" s="99">
        <v>500288</v>
      </c>
      <c r="B66" s="98" t="s">
        <v>3291</v>
      </c>
      <c r="C66" s="101" t="str">
        <f>VLOOKUP(A66,'BSE ALL CAP'!$B$4:$Y$1038,2,)</f>
        <v>Healthcare</v>
      </c>
      <c r="D66" s="101" t="str">
        <f>VLOOKUP(A66,'BSE ALL CAP'!$B$4:$Y$1038,3,)</f>
        <v>Pharmaceuticals</v>
      </c>
      <c r="E66" s="101">
        <f ca="1">IFERROR(__xludf.DUMMYFUNCTION("GOOGLEFINANCE(""BOM:""&amp;A66,""PRICE"")"),38.09)</f>
        <v>38.090000000000003</v>
      </c>
      <c r="F66" s="112">
        <f ca="1">IFERROR(__xludf.DUMMYFUNCTION("GOOGLEFINANCE(""BOM:""&amp;A66,""MARKETCAP"")/10000000"),2087.7035133)</f>
        <v>2087.7035132999999</v>
      </c>
      <c r="G66" s="95">
        <f t="shared" ca="1" si="0"/>
        <v>9.4191230549380445E-4</v>
      </c>
      <c r="H66" s="101">
        <f>VLOOKUP(A66,'BSE ALL CAP'!$B$4:$Y$1038,7,)</f>
        <v>1320</v>
      </c>
      <c r="I66" s="101">
        <f>VLOOKUP(A66,'BSE ALL CAP'!$B$4:$Y$1038,8,)</f>
        <v>1345</v>
      </c>
      <c r="J66" s="101">
        <f>VLOOKUP(A66,'BSE ALL CAP'!$B$4:$Y$1038,9,)</f>
        <v>79</v>
      </c>
      <c r="K66" s="101">
        <f>VLOOKUP(A66,'BSE ALL CAP'!$B$4:$Y$1038,10,)</f>
        <v>97</v>
      </c>
      <c r="L66" s="101">
        <f>VLOOKUP(A66,'BSE ALL CAP'!$B$4:$Y$1038,11,)</f>
        <v>484</v>
      </c>
      <c r="M66" s="101">
        <f>VLOOKUP(A66,'BSE ALL CAP'!$B$4:$Y$1038,12,)</f>
        <v>452</v>
      </c>
      <c r="N66" s="101">
        <f>VLOOKUP(A66,'BSE ALL CAP'!$B$4:$Y$1038,13,)</f>
        <v>27</v>
      </c>
      <c r="O66" s="101">
        <f>VLOOKUP(A66,'BSE ALL CAP'!$B$4:$Y$1038,14,)</f>
        <v>26</v>
      </c>
      <c r="P66" s="95">
        <f>VLOOKUP(A66,'BSE ALL CAP'!$B$4:$Y$1038,15,)</f>
        <v>5.9848484848484845E-2</v>
      </c>
      <c r="Q66" s="95">
        <f>VLOOKUP(A66,'BSE ALL CAP'!$B$4:$Y$1038,16,)</f>
        <v>7.2118959107806691E-2</v>
      </c>
      <c r="R66" s="95">
        <f>VLOOKUP(A66,'BSE ALL CAP'!$B$4:$Y$1038,17,)</f>
        <v>-1.2270474259321845E-2</v>
      </c>
      <c r="S66" s="95">
        <f>VLOOKUP(A66,'BSE ALL CAP'!$B$4:$Y$1038,18,)</f>
        <v>5.578512396694215E-2</v>
      </c>
      <c r="T66" s="95">
        <f>VLOOKUP(A66,'BSE ALL CAP'!$B$4:$Y$1038,19,)</f>
        <v>5.7522123893805309E-2</v>
      </c>
      <c r="U66" s="95">
        <f>VLOOKUP(A66,'BSE ALL CAP'!$B$4:$Y$1038,20,)</f>
        <v>-1.7369999268631586E-3</v>
      </c>
      <c r="V66" s="95">
        <f>VLOOKUP(A66,'BSE ALL CAP'!$B$4:$Y$1038,21,)</f>
        <v>-1.8587360594795488E-2</v>
      </c>
      <c r="W66" s="95">
        <f>VLOOKUP(A66,'BSE ALL CAP'!$B$4:$Y$1038,22,)</f>
        <v>-0.18556701030927836</v>
      </c>
      <c r="X66" s="95">
        <f>VLOOKUP(A66,'BSE ALL CAP'!$B$4:$Y$1038,23,)</f>
        <v>7.079646017699126E-2</v>
      </c>
      <c r="Y66" s="95">
        <f>VLOOKUP(A66,'BSE ALL CAP'!$B$4:$Y$1038,24,)</f>
        <v>3.8461538461538547E-2</v>
      </c>
    </row>
    <row r="67" spans="1:25" ht="14.4">
      <c r="A67" s="99">
        <v>500672</v>
      </c>
      <c r="B67" s="98" t="s">
        <v>3292</v>
      </c>
      <c r="C67" s="101" t="e">
        <f>VLOOKUP(A67,'BSE ALL CAP'!$B$4:$Y$1038,2,)</f>
        <v>#N/A</v>
      </c>
      <c r="D67" s="101" t="e">
        <f>VLOOKUP(A67,'BSE ALL CAP'!$B$4:$Y$1038,3,)</f>
        <v>#N/A</v>
      </c>
      <c r="E67" s="101">
        <f ca="1">IFERROR(__xludf.DUMMYFUNCTION("GOOGLEFINANCE(""BOM:""&amp;A67,""PRICE"")"),1003.4)</f>
        <v>1003.4</v>
      </c>
      <c r="F67" s="112">
        <f ca="1">IFERROR(__xludf.DUMMYFUNCTION("GOOGLEFINANCE(""BOM:""&amp;A67,""MARKETCAP"")/10000000"),2477.4749322)</f>
        <v>2477.4749321999998</v>
      </c>
      <c r="G67" s="95">
        <f t="shared" ca="1" si="0"/>
        <v>1.1177660574527562E-3</v>
      </c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</row>
    <row r="68" spans="1:25" ht="14.4">
      <c r="A68" s="99">
        <v>506197</v>
      </c>
      <c r="B68" s="98" t="s">
        <v>3293</v>
      </c>
      <c r="C68" s="101" t="e">
        <f>VLOOKUP(A68,'BSE ALL CAP'!$B$4:$Y$1038,2,)</f>
        <v>#N/A</v>
      </c>
      <c r="D68" s="101" t="e">
        <f>VLOOKUP(A68,'BSE ALL CAP'!$B$4:$Y$1038,3,)</f>
        <v>#N/A</v>
      </c>
      <c r="E68" s="101">
        <f ca="1">IFERROR(__xludf.DUMMYFUNCTION("GOOGLEFINANCE(""BOM:""&amp;A68,""PRICE"")"),237.55)</f>
        <v>237.55</v>
      </c>
      <c r="F68" s="112">
        <f ca="1">IFERROR(__xludf.DUMMYFUNCTION("GOOGLEFINANCE(""BOM:""&amp;A68,""MARKETCAP"")/10000000"),2512.7850809)</f>
        <v>2512.7850809000001</v>
      </c>
      <c r="G68" s="95">
        <f t="shared" ca="1" si="0"/>
        <v>1.1336969898660346E-3</v>
      </c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</row>
    <row r="69" spans="1:25" ht="14.4">
      <c r="A69" s="99">
        <v>524164</v>
      </c>
      <c r="B69" s="98" t="s">
        <v>3294</v>
      </c>
      <c r="C69" s="101" t="str">
        <f>VLOOKUP(A69,'BSE ALL CAP'!$B$4:$Y$1038,2,)</f>
        <v>Healthcare</v>
      </c>
      <c r="D69" s="101" t="str">
        <f>VLOOKUP(A69,'BSE ALL CAP'!$B$4:$Y$1038,3,)</f>
        <v>Pharmaceuticals</v>
      </c>
      <c r="E69" s="101">
        <f ca="1">IFERROR(__xludf.DUMMYFUNCTION("GOOGLEFINANCE(""BOM:""&amp;A69,""PRICE"")"),78.42)</f>
        <v>78.42</v>
      </c>
      <c r="F69" s="112">
        <f ca="1">IFERROR(__xludf.DUMMYFUNCTION("GOOGLEFINANCE(""BOM:""&amp;A69,""MARKETCAP"")/10000000"),2300.9612706)</f>
        <v>2300.9612705999998</v>
      </c>
      <c r="G69" s="95">
        <f t="shared" ca="1" si="0"/>
        <v>1.0381281256824522E-3</v>
      </c>
      <c r="H69" s="101">
        <f>VLOOKUP(A69,'BSE ALL CAP'!$B$4:$Y$1038,7,)</f>
        <v>1700</v>
      </c>
      <c r="I69" s="101">
        <f>VLOOKUP(A69,'BSE ALL CAP'!$B$4:$Y$1038,8,)</f>
        <v>1551</v>
      </c>
      <c r="J69" s="101">
        <f>VLOOKUP(A69,'BSE ALL CAP'!$B$4:$Y$1038,9,)</f>
        <v>84</v>
      </c>
      <c r="K69" s="101">
        <f>VLOOKUP(A69,'BSE ALL CAP'!$B$4:$Y$1038,10,)</f>
        <v>70</v>
      </c>
      <c r="L69" s="101">
        <f>VLOOKUP(A69,'BSE ALL CAP'!$B$4:$Y$1038,11,)</f>
        <v>580</v>
      </c>
      <c r="M69" s="101">
        <f>VLOOKUP(A69,'BSE ALL CAP'!$B$4:$Y$1038,12,)</f>
        <v>523</v>
      </c>
      <c r="N69" s="101">
        <f>VLOOKUP(A69,'BSE ALL CAP'!$B$4:$Y$1038,13,)</f>
        <v>21</v>
      </c>
      <c r="O69" s="101">
        <f>VLOOKUP(A69,'BSE ALL CAP'!$B$4:$Y$1038,14,)</f>
        <v>20</v>
      </c>
      <c r="P69" s="95">
        <f>VLOOKUP(A69,'BSE ALL CAP'!$B$4:$Y$1038,15,)</f>
        <v>4.9411764705882349E-2</v>
      </c>
      <c r="Q69" s="95">
        <f>VLOOKUP(A69,'BSE ALL CAP'!$B$4:$Y$1038,16,)</f>
        <v>4.5132172791747263E-2</v>
      </c>
      <c r="R69" s="95">
        <f>VLOOKUP(A69,'BSE ALL CAP'!$B$4:$Y$1038,17,)</f>
        <v>4.2795919141350863E-3</v>
      </c>
      <c r="S69" s="95">
        <f>VLOOKUP(A69,'BSE ALL CAP'!$B$4:$Y$1038,18,)</f>
        <v>3.6206896551724141E-2</v>
      </c>
      <c r="T69" s="95">
        <f>VLOOKUP(A69,'BSE ALL CAP'!$B$4:$Y$1038,19,)</f>
        <v>3.8240917782026769E-2</v>
      </c>
      <c r="U69" s="95">
        <f>VLOOKUP(A69,'BSE ALL CAP'!$B$4:$Y$1038,20,)</f>
        <v>-2.0340212303026281E-3</v>
      </c>
      <c r="V69" s="95">
        <f>VLOOKUP(A69,'BSE ALL CAP'!$B$4:$Y$1038,21,)</f>
        <v>9.6067053513862133E-2</v>
      </c>
      <c r="W69" s="95">
        <f>VLOOKUP(A69,'BSE ALL CAP'!$B$4:$Y$1038,22,)</f>
        <v>0.19999999999999996</v>
      </c>
      <c r="X69" s="95">
        <f>VLOOKUP(A69,'BSE ALL CAP'!$B$4:$Y$1038,23,)</f>
        <v>0.10898661567877621</v>
      </c>
      <c r="Y69" s="95">
        <f>VLOOKUP(A69,'BSE ALL CAP'!$B$4:$Y$1038,24,)</f>
        <v>5.0000000000000044E-2</v>
      </c>
    </row>
    <row r="70" spans="1:25" ht="14.4">
      <c r="A70" s="99">
        <v>531349</v>
      </c>
      <c r="B70" s="98" t="s">
        <v>3295</v>
      </c>
      <c r="C70" s="101" t="str">
        <f>VLOOKUP(A70,'BSE ALL CAP'!$B$4:$Y$1038,2,)</f>
        <v>Healthcare</v>
      </c>
      <c r="D70" s="101" t="str">
        <f>VLOOKUP(A70,'BSE ALL CAP'!$B$4:$Y$1038,3,)</f>
        <v>Pharmaceuticals</v>
      </c>
      <c r="E70" s="101">
        <f ca="1">IFERROR(__xludf.DUMMYFUNCTION("GOOGLEFINANCE(""BOM:""&amp;A70,""PRICE"")"),324.8)</f>
        <v>324.8</v>
      </c>
      <c r="F70" s="112">
        <f ca="1">IFERROR(__xludf.DUMMYFUNCTION("GOOGLEFINANCE(""BOM:""&amp;A70,""MARKETCAP"")/10000000"),1978.398902)</f>
        <v>1978.3989019999999</v>
      </c>
      <c r="G70" s="95">
        <f t="shared" ca="1" si="0"/>
        <v>8.9259718111201554E-4</v>
      </c>
      <c r="H70" s="101">
        <f>VLOOKUP(A70,'BSE ALL CAP'!$B$4:$Y$1038,7,)</f>
        <v>473</v>
      </c>
      <c r="I70" s="101">
        <f>VLOOKUP(A70,'BSE ALL CAP'!$B$4:$Y$1038,8,)</f>
        <v>426</v>
      </c>
      <c r="J70" s="101">
        <f>VLOOKUP(A70,'BSE ALL CAP'!$B$4:$Y$1038,9,)</f>
        <v>-6</v>
      </c>
      <c r="K70" s="101">
        <f>VLOOKUP(A70,'BSE ALL CAP'!$B$4:$Y$1038,10,)</f>
        <v>-6</v>
      </c>
      <c r="L70" s="101">
        <f>VLOOKUP(A70,'BSE ALL CAP'!$B$4:$Y$1038,11,)</f>
        <v>165</v>
      </c>
      <c r="M70" s="101">
        <f>VLOOKUP(A70,'BSE ALL CAP'!$B$4:$Y$1038,12,)</f>
        <v>163</v>
      </c>
      <c r="N70" s="101">
        <f>VLOOKUP(A70,'BSE ALL CAP'!$B$4:$Y$1038,13,)</f>
        <v>3</v>
      </c>
      <c r="O70" s="101">
        <f>VLOOKUP(A70,'BSE ALL CAP'!$B$4:$Y$1038,14,)</f>
        <v>4</v>
      </c>
      <c r="P70" s="95">
        <f>VLOOKUP(A70,'BSE ALL CAP'!$B$4:$Y$1038,15,)</f>
        <v>-1.2684989429175475E-2</v>
      </c>
      <c r="Q70" s="95">
        <f>VLOOKUP(A70,'BSE ALL CAP'!$B$4:$Y$1038,16,)</f>
        <v>-1.4084507042253521E-2</v>
      </c>
      <c r="R70" s="95">
        <f>VLOOKUP(A70,'BSE ALL CAP'!$B$4:$Y$1038,17,)</f>
        <v>1.3995176130780461E-3</v>
      </c>
      <c r="S70" s="95">
        <f>VLOOKUP(A70,'BSE ALL CAP'!$B$4:$Y$1038,18,)</f>
        <v>1.8181818181818181E-2</v>
      </c>
      <c r="T70" s="95">
        <f>VLOOKUP(A70,'BSE ALL CAP'!$B$4:$Y$1038,19,)</f>
        <v>2.4539877300613498E-2</v>
      </c>
      <c r="U70" s="95">
        <f>VLOOKUP(A70,'BSE ALL CAP'!$B$4:$Y$1038,20,)</f>
        <v>-6.3580591187953166E-3</v>
      </c>
      <c r="V70" s="95">
        <f>VLOOKUP(A70,'BSE ALL CAP'!$B$4:$Y$1038,21,)</f>
        <v>0.11032863849765251</v>
      </c>
      <c r="W70" s="95">
        <f>VLOOKUP(A70,'BSE ALL CAP'!$B$4:$Y$1038,22,)</f>
        <v>0</v>
      </c>
      <c r="X70" s="95">
        <f>VLOOKUP(A70,'BSE ALL CAP'!$B$4:$Y$1038,23,)</f>
        <v>1.2269938650306678E-2</v>
      </c>
      <c r="Y70" s="95">
        <f>VLOOKUP(A70,'BSE ALL CAP'!$B$4:$Y$1038,24,)</f>
        <v>-0.25</v>
      </c>
    </row>
    <row r="71" spans="1:25" ht="14.4">
      <c r="A71" s="99">
        <v>541540</v>
      </c>
      <c r="B71" s="98" t="s">
        <v>3296</v>
      </c>
      <c r="C71" s="101" t="str">
        <f>VLOOKUP(A71,'BSE ALL CAP'!$B$4:$Y$1038,2,)</f>
        <v>Healthcare</v>
      </c>
      <c r="D71" s="101" t="str">
        <f>VLOOKUP(A71,'BSE ALL CAP'!$B$4:$Y$1038,3,)</f>
        <v>Pharmaceuticals</v>
      </c>
      <c r="E71" s="101">
        <f ca="1">IFERROR(__xludf.DUMMYFUNCTION("GOOGLEFINANCE(""BOM:""&amp;A71,""PRICE"")"),471.35)</f>
        <v>471.35</v>
      </c>
      <c r="F71" s="112">
        <f ca="1">IFERROR(__xludf.DUMMYFUNCTION("GOOGLEFINANCE(""BOM:""&amp;A71,""MARKETCAP"")/10000000"),2063.7522678)</f>
        <v>2063.7522678</v>
      </c>
      <c r="G71" s="95">
        <f t="shared" ca="1" si="0"/>
        <v>9.3110618636595339E-4</v>
      </c>
      <c r="H71" s="101">
        <f>VLOOKUP(A71,'BSE ALL CAP'!$B$4:$Y$1038,7,)</f>
        <v>982</v>
      </c>
      <c r="I71" s="101">
        <f>VLOOKUP(A71,'BSE ALL CAP'!$B$4:$Y$1038,8,)</f>
        <v>1011</v>
      </c>
      <c r="J71" s="101">
        <f>VLOOKUP(A71,'BSE ALL CAP'!$B$4:$Y$1038,9,)</f>
        <v>-17</v>
      </c>
      <c r="K71" s="101">
        <f>VLOOKUP(A71,'BSE ALL CAP'!$B$4:$Y$1038,10,)</f>
        <v>3</v>
      </c>
      <c r="L71" s="101">
        <f>VLOOKUP(A71,'BSE ALL CAP'!$B$4:$Y$1038,11,)</f>
        <v>349</v>
      </c>
      <c r="M71" s="101">
        <f>VLOOKUP(A71,'BSE ALL CAP'!$B$4:$Y$1038,12,)</f>
        <v>300</v>
      </c>
      <c r="N71" s="101">
        <f>VLOOKUP(A71,'BSE ALL CAP'!$B$4:$Y$1038,13,)</f>
        <v>-17</v>
      </c>
      <c r="O71" s="101">
        <f>VLOOKUP(A71,'BSE ALL CAP'!$B$4:$Y$1038,14,)</f>
        <v>8</v>
      </c>
      <c r="P71" s="95">
        <f>VLOOKUP(A71,'BSE ALL CAP'!$B$4:$Y$1038,15,)</f>
        <v>-1.7311608961303463E-2</v>
      </c>
      <c r="Q71" s="95">
        <f>VLOOKUP(A71,'BSE ALL CAP'!$B$4:$Y$1038,16,)</f>
        <v>2.967359050445104E-3</v>
      </c>
      <c r="R71" s="95">
        <f>VLOOKUP(A71,'BSE ALL CAP'!$B$4:$Y$1038,17,)</f>
        <v>-2.0278968011748569E-2</v>
      </c>
      <c r="S71" s="95">
        <f>VLOOKUP(A71,'BSE ALL CAP'!$B$4:$Y$1038,18,)</f>
        <v>-4.8710601719197708E-2</v>
      </c>
      <c r="T71" s="95">
        <f>VLOOKUP(A71,'BSE ALL CAP'!$B$4:$Y$1038,19,)</f>
        <v>2.6666666666666668E-2</v>
      </c>
      <c r="U71" s="95">
        <f>VLOOKUP(A71,'BSE ALL CAP'!$B$4:$Y$1038,20,)</f>
        <v>-7.5377268385864379E-2</v>
      </c>
      <c r="V71" s="95">
        <f>VLOOKUP(A71,'BSE ALL CAP'!$B$4:$Y$1038,21,)</f>
        <v>-2.8684470820969366E-2</v>
      </c>
      <c r="W71" s="95">
        <f>VLOOKUP(A71,'BSE ALL CAP'!$B$4:$Y$1038,22,)</f>
        <v>-6.666666666666667</v>
      </c>
      <c r="X71" s="95">
        <f>VLOOKUP(A71,'BSE ALL CAP'!$B$4:$Y$1038,23,)</f>
        <v>0.16333333333333333</v>
      </c>
      <c r="Y71" s="95">
        <f>VLOOKUP(A71,'BSE ALL CAP'!$B$4:$Y$1038,24,)</f>
        <v>-3.125</v>
      </c>
    </row>
    <row r="72" spans="1:25" ht="14.4">
      <c r="A72" s="99">
        <v>532612</v>
      </c>
      <c r="B72" s="98" t="s">
        <v>3297</v>
      </c>
      <c r="C72" s="101"/>
      <c r="D72" s="101"/>
      <c r="E72" s="101">
        <f ca="1">IFERROR(__xludf.DUMMYFUNCTION("GOOGLEFINANCE(""BOM:""&amp;A72,""PRICE"")"),189.5)</f>
        <v>189.5</v>
      </c>
      <c r="F72" s="112">
        <f ca="1">IFERROR(__xludf.DUMMYFUNCTION("GOOGLEFINANCE(""BOM:""&amp;A72,""MARKETCAP"")/10000000"),1745.9634423)</f>
        <v>1745.9634423</v>
      </c>
      <c r="G72" s="95">
        <f t="shared" ca="1" si="0"/>
        <v>7.8772892835016911E-4</v>
      </c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</row>
    <row r="73" spans="1:25" ht="14.4">
      <c r="A73" s="99">
        <v>524632</v>
      </c>
      <c r="B73" s="98" t="s">
        <v>3298</v>
      </c>
      <c r="C73" s="101"/>
      <c r="D73" s="101"/>
      <c r="E73" s="101">
        <f ca="1">IFERROR(__xludf.DUMMYFUNCTION("GOOGLEFINANCE(""BOM:""&amp;A73,""PRICE"")"),33.48)</f>
        <v>33.479999999999997</v>
      </c>
      <c r="F73" s="112">
        <f ca="1">IFERROR(__xludf.DUMMYFUNCTION("GOOGLEFINANCE(""BOM:""&amp;A73,""MARKETCAP"")/10000000"),1466.0205459)</f>
        <v>1466.0205458999999</v>
      </c>
      <c r="G73" s="95">
        <f t="shared" ca="1" si="0"/>
        <v>6.6142667456991848E-4</v>
      </c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</row>
    <row r="74" spans="1:25" ht="14.4">
      <c r="A74" s="99">
        <v>590006</v>
      </c>
      <c r="B74" s="98" t="s">
        <v>3299</v>
      </c>
      <c r="C74" s="101"/>
      <c r="D74" s="101"/>
      <c r="E74" s="101">
        <f ca="1">IFERROR(__xludf.DUMMYFUNCTION("GOOGLEFINANCE(""BOM:""&amp;A74,""PRICE"")"),511)</f>
        <v>511</v>
      </c>
      <c r="F74" s="112">
        <f ca="1">IFERROR(__xludf.DUMMYFUNCTION("GOOGLEFINANCE(""BOM:""&amp;A74,""MARKETCAP"")/10000000"),1487.0535811)</f>
        <v>1487.0535811</v>
      </c>
      <c r="G74" s="95">
        <f t="shared" ca="1" si="0"/>
        <v>6.7091618040757888E-4</v>
      </c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</row>
    <row r="75" spans="1:25" ht="14.4">
      <c r="A75" s="99">
        <v>539997</v>
      </c>
      <c r="B75" s="98" t="s">
        <v>3300</v>
      </c>
      <c r="C75" s="101"/>
      <c r="D75" s="101"/>
      <c r="E75" s="101">
        <f ca="1">IFERROR(__xludf.DUMMYFUNCTION("GOOGLEFINANCE(""BOM:""&amp;A75,""PRICE"")"),1436.95)</f>
        <v>1436.95</v>
      </c>
      <c r="F75" s="112">
        <f ca="1">IFERROR(__xludf.DUMMYFUNCTION("GOOGLEFINANCE(""BOM:""&amp;A75,""MARKETCAP"")/10000000"),1491.0065713)</f>
        <v>1491.0065712999999</v>
      </c>
      <c r="G75" s="95">
        <f t="shared" ca="1" si="0"/>
        <v>6.7269965688743162E-4</v>
      </c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</row>
    <row r="76" spans="1:25" ht="14.4">
      <c r="A76" s="99">
        <v>543329</v>
      </c>
      <c r="B76" s="98" t="s">
        <v>3301</v>
      </c>
      <c r="C76" s="101"/>
      <c r="D76" s="101"/>
      <c r="E76" s="101">
        <f ca="1">IFERROR(__xludf.DUMMYFUNCTION("GOOGLEFINANCE(""BOM:""&amp;A76,""PRICE"")"),766.95)</f>
        <v>766.95</v>
      </c>
      <c r="F76" s="112">
        <f ca="1">IFERROR(__xludf.DUMMYFUNCTION("GOOGLEFINANCE(""BOM:""&amp;A76,""MARKETCAP"")/10000000"),1622.3296518)</f>
        <v>1622.3296518</v>
      </c>
      <c r="G76" s="95">
        <f t="shared" ca="1" si="0"/>
        <v>7.319488868332974E-4</v>
      </c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</row>
    <row r="77" spans="1:25" ht="14.4">
      <c r="A77" s="99">
        <v>524774</v>
      </c>
      <c r="B77" s="98" t="s">
        <v>3302</v>
      </c>
      <c r="C77" s="101"/>
      <c r="D77" s="101"/>
      <c r="E77" s="101">
        <f ca="1">IFERROR(__xludf.DUMMYFUNCTION("GOOGLEFINANCE(""BOM:""&amp;A77,""PRICE"")"),2220.1)</f>
        <v>2220.1</v>
      </c>
      <c r="F77" s="112">
        <f ca="1">IFERROR(__xludf.DUMMYFUNCTION("GOOGLEFINANCE(""BOM:""&amp;A77,""MARKETCAP"")/10000000"),1371.5827245)</f>
        <v>1371.5827245</v>
      </c>
      <c r="G77" s="95">
        <f t="shared" ca="1" si="0"/>
        <v>6.188190219439569E-4</v>
      </c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ht="14.4">
      <c r="A78" s="99">
        <v>524669</v>
      </c>
      <c r="B78" s="98" t="s">
        <v>3303</v>
      </c>
      <c r="C78" s="101"/>
      <c r="D78" s="101"/>
      <c r="E78" s="101">
        <f ca="1">IFERROR(__xludf.DUMMYFUNCTION("GOOGLEFINANCE(""BOM:""&amp;A78,""PRICE"")"),1422.15)</f>
        <v>1422.15</v>
      </c>
      <c r="F78" s="112">
        <f ca="1">IFERROR(__xludf.DUMMYFUNCTION("GOOGLEFINANCE(""BOM:""&amp;A78,""MARKETCAP"")/10000000"),1209.5056806)</f>
        <v>1209.5056806</v>
      </c>
      <c r="G78" s="95">
        <f t="shared" ca="1" si="0"/>
        <v>5.4569448049690127E-4</v>
      </c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ht="14.4">
      <c r="A79" s="99">
        <v>532305</v>
      </c>
      <c r="B79" s="98" t="s">
        <v>3304</v>
      </c>
      <c r="C79" s="101"/>
      <c r="D79" s="101"/>
      <c r="E79" s="101">
        <f ca="1">IFERROR(__xludf.DUMMYFUNCTION("GOOGLEFINANCE(""BOM:""&amp;A79,""PRICE"")"),140.4)</f>
        <v>140.4</v>
      </c>
      <c r="F79" s="112">
        <f ca="1">IFERROR(__xludf.DUMMYFUNCTION("GOOGLEFINANCE(""BOM:""&amp;A79,""MARKETCAP"")/10000000"),1220.2276592)</f>
        <v>1220.2276592000001</v>
      </c>
      <c r="G79" s="95">
        <f t="shared" ca="1" si="0"/>
        <v>5.5053193156130926E-4</v>
      </c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</row>
    <row r="80" spans="1:25" ht="14.4">
      <c r="A80" s="99">
        <v>531633</v>
      </c>
      <c r="B80" s="98" t="s">
        <v>3305</v>
      </c>
      <c r="C80" s="101"/>
      <c r="D80" s="101"/>
      <c r="E80" s="101">
        <f ca="1">IFERROR(__xludf.DUMMYFUNCTION("GOOGLEFINANCE(""BOM:""&amp;A80,""PRICE"")"),576)</f>
        <v>576</v>
      </c>
      <c r="F80" s="112">
        <f ca="1">IFERROR(__xludf.DUMMYFUNCTION("GOOGLEFINANCE(""BOM:""&amp;A80,""MARKETCAP"")/10000000"),1151.6087758)</f>
        <v>1151.6087758000001</v>
      </c>
      <c r="G80" s="95">
        <f t="shared" ca="1" si="0"/>
        <v>5.1957304767192962E-4</v>
      </c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5" ht="14.4">
      <c r="A81" s="99">
        <v>524470</v>
      </c>
      <c r="B81" s="98" t="s">
        <v>3306</v>
      </c>
      <c r="C81" s="101"/>
      <c r="D81" s="101"/>
      <c r="E81" s="101">
        <f ca="1">IFERROR(__xludf.DUMMYFUNCTION("GOOGLEFINANCE(""BOM:""&amp;A81,""PRICE"")"),11.7)</f>
        <v>11.7</v>
      </c>
      <c r="F81" s="112">
        <f ca="1">IFERROR(__xludf.DUMMYFUNCTION("GOOGLEFINANCE(""BOM:""&amp;A81,""MARKETCAP"")/10000000"),1103.5599784)</f>
        <v>1103.5599784000001</v>
      </c>
      <c r="G81" s="95">
        <f t="shared" ca="1" si="0"/>
        <v>4.9789480013969238E-4</v>
      </c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5" ht="14.4">
      <c r="A82" s="99">
        <v>507789</v>
      </c>
      <c r="B82" s="98" t="s">
        <v>3307</v>
      </c>
      <c r="C82" s="101"/>
      <c r="D82" s="101"/>
      <c r="E82" s="101">
        <f ca="1">IFERROR(__xludf.DUMMYFUNCTION("GOOGLEFINANCE(""BOM:""&amp;A82,""PRICE"")"),190.55)</f>
        <v>190.55</v>
      </c>
      <c r="F82" s="112">
        <f ca="1">IFERROR(__xludf.DUMMYFUNCTION("GOOGLEFINANCE(""BOM:""&amp;A82,""MARKETCAP"")/10000000"),1277.9073636)</f>
        <v>1277.9073636000001</v>
      </c>
      <c r="G82" s="95">
        <f t="shared" ca="1" si="0"/>
        <v>5.7655536975810941E-4</v>
      </c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</row>
    <row r="83" spans="1:25" ht="14.4">
      <c r="A83" s="99">
        <v>539872</v>
      </c>
      <c r="B83" s="98" t="s">
        <v>3308</v>
      </c>
      <c r="C83" s="101"/>
      <c r="D83" s="101"/>
      <c r="E83" s="101">
        <f ca="1">IFERROR(__xludf.DUMMYFUNCTION("GOOGLEFINANCE(""BOM:""&amp;A83,""PRICE"")"),317.55)</f>
        <v>317.55</v>
      </c>
      <c r="F83" s="112">
        <f ca="1">IFERROR(__xludf.DUMMYFUNCTION("GOOGLEFINANCE(""BOM:""&amp;A83,""MARKETCAP"")/10000000"),1070.472906)</f>
        <v>1070.472906</v>
      </c>
      <c r="G83" s="95">
        <f t="shared" ca="1" si="0"/>
        <v>4.8296685637383538E-4</v>
      </c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5" ht="14.4">
      <c r="A84" s="99">
        <v>506414</v>
      </c>
      <c r="B84" s="98" t="s">
        <v>3309</v>
      </c>
      <c r="C84" s="101"/>
      <c r="D84" s="101"/>
      <c r="E84" s="101">
        <f ca="1">IFERROR(__xludf.DUMMYFUNCTION("GOOGLEFINANCE(""BOM:""&amp;A84,""PRICE"")"),341.05)</f>
        <v>341.05</v>
      </c>
      <c r="F84" s="112">
        <f ca="1">IFERROR(__xludf.DUMMYFUNCTION("GOOGLEFINANCE(""BOM:""&amp;A84,""MARKETCAP"")/10000000"),973.6855)</f>
        <v>973.68550000000005</v>
      </c>
      <c r="G84" s="95">
        <f t="shared" ca="1" si="0"/>
        <v>4.3929913816220036E-4</v>
      </c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</row>
    <row r="85" spans="1:25" ht="14.4">
      <c r="A85" s="99">
        <v>524212</v>
      </c>
      <c r="B85" s="98" t="s">
        <v>3310</v>
      </c>
      <c r="C85" s="101"/>
      <c r="D85" s="101"/>
      <c r="E85" s="101">
        <f ca="1">IFERROR(__xludf.DUMMYFUNCTION("GOOGLEFINANCE(""BOM:""&amp;A85,""PRICE"")"),229.05)</f>
        <v>229.05</v>
      </c>
      <c r="F85" s="112">
        <f ca="1">IFERROR(__xludf.DUMMYFUNCTION("GOOGLEFINANCE(""BOM:""&amp;A85,""MARKETCAP"")/10000000"),796.3985695)</f>
        <v>796.39856950000001</v>
      </c>
      <c r="G85" s="95">
        <f t="shared" ca="1" si="0"/>
        <v>3.5931232950984604E-4</v>
      </c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</row>
    <row r="86" spans="1:25" ht="14.4">
      <c r="A86" s="99">
        <v>526953</v>
      </c>
      <c r="B86" s="98" t="s">
        <v>3311</v>
      </c>
      <c r="C86" s="101"/>
      <c r="D86" s="101"/>
      <c r="E86" s="101">
        <f ca="1">IFERROR(__xludf.DUMMYFUNCTION("GOOGLEFINANCE(""BOM:""&amp;A86,""PRICE"")"),924.35)</f>
        <v>924.35</v>
      </c>
      <c r="F86" s="112">
        <f ca="1">IFERROR(__xludf.DUMMYFUNCTION("GOOGLEFINANCE(""BOM:""&amp;A86,""MARKETCAP"")/10000000"),1232.3019188)</f>
        <v>1232.3019188000001</v>
      </c>
      <c r="G86" s="95">
        <f t="shared" ca="1" si="0"/>
        <v>5.5597949325985219E-4</v>
      </c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</row>
    <row r="87" spans="1:25" ht="14.4">
      <c r="A87" s="99">
        <v>539730</v>
      </c>
      <c r="B87" s="98" t="s">
        <v>3312</v>
      </c>
      <c r="C87" s="101"/>
      <c r="D87" s="101"/>
      <c r="E87" s="101">
        <f ca="1">IFERROR(__xludf.DUMMYFUNCTION("GOOGLEFINANCE(""BOM:""&amp;A87,""PRICE"")"),1712)</f>
        <v>1712</v>
      </c>
      <c r="F87" s="112">
        <f ca="1">IFERROR(__xludf.DUMMYFUNCTION("GOOGLEFINANCE(""BOM:""&amp;A87,""MARKETCAP"")/10000000"),936.924528)</f>
        <v>936.92452800000001</v>
      </c>
      <c r="G87" s="95">
        <f t="shared" ca="1" si="0"/>
        <v>4.2271363563843389E-4</v>
      </c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</row>
    <row r="88" spans="1:25" ht="14.4">
      <c r="A88" s="99">
        <v>530199</v>
      </c>
      <c r="B88" s="98" t="s">
        <v>3313</v>
      </c>
      <c r="C88" s="101"/>
      <c r="D88" s="101"/>
      <c r="E88" s="101">
        <f ca="1">IFERROR(__xludf.DUMMYFUNCTION("GOOGLEFINANCE(""BOM:""&amp;A88,""PRICE"")"),80.08)</f>
        <v>80.08</v>
      </c>
      <c r="F88" s="112">
        <f ca="1">IFERROR(__xludf.DUMMYFUNCTION("GOOGLEFINANCE(""BOM:""&amp;A88,""MARKETCAP"")/10000000"),731.6432963)</f>
        <v>731.64329629999997</v>
      </c>
      <c r="G88" s="95">
        <f t="shared" ca="1" si="0"/>
        <v>3.3009659639251214E-4</v>
      </c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</row>
    <row r="89" spans="1:25" ht="14.4">
      <c r="A89" s="99">
        <v>541096</v>
      </c>
      <c r="B89" s="98" t="s">
        <v>3314</v>
      </c>
      <c r="C89" s="101"/>
      <c r="D89" s="101"/>
      <c r="E89" s="101">
        <f ca="1">IFERROR(__xludf.DUMMYFUNCTION("GOOGLEFINANCE(""BOM:""&amp;A89,""PRICE"")"),1036)</f>
        <v>1036</v>
      </c>
      <c r="F89" s="112">
        <f ca="1">IFERROR(__xludf.DUMMYFUNCTION("GOOGLEFINANCE(""BOM:""&amp;A89,""MARKETCAP"")/10000000"),714.0072632)</f>
        <v>714.00726320000001</v>
      </c>
      <c r="G89" s="95">
        <f t="shared" ca="1" si="0"/>
        <v>3.2213972105501348E-4</v>
      </c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</row>
    <row r="90" spans="1:25" ht="14.4">
      <c r="A90" s="99">
        <v>506260</v>
      </c>
      <c r="B90" s="98" t="s">
        <v>3315</v>
      </c>
      <c r="C90" s="101"/>
      <c r="D90" s="101"/>
      <c r="E90" s="101">
        <f ca="1">IFERROR(__xludf.DUMMYFUNCTION("GOOGLEFINANCE(""BOM:""&amp;A90,""PRICE"")"),73)</f>
        <v>73</v>
      </c>
      <c r="F90" s="112">
        <f ca="1">IFERROR(__xludf.DUMMYFUNCTION("GOOGLEFINANCE(""BOM:""&amp;A90,""MARKETCAP"")/10000000"),732.9373531)</f>
        <v>732.9373531</v>
      </c>
      <c r="G90" s="95">
        <f t="shared" ca="1" si="0"/>
        <v>3.3068043792755904E-4</v>
      </c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</row>
    <row r="91" spans="1:25" ht="14.4">
      <c r="A91" s="99">
        <v>543389</v>
      </c>
      <c r="B91" s="98" t="s">
        <v>3316</v>
      </c>
      <c r="C91" s="101"/>
      <c r="D91" s="101"/>
      <c r="E91" s="101">
        <f ca="1">IFERROR(__xludf.DUMMYFUNCTION("GOOGLEFINANCE(""BOM:""&amp;A91,""PRICE"")"),19.47)</f>
        <v>19.47</v>
      </c>
      <c r="F91" s="112">
        <f ca="1">IFERROR(__xludf.DUMMYFUNCTION("GOOGLEFINANCE(""BOM:""&amp;A91,""MARKETCAP"")/10000000"),739.7785353)</f>
        <v>739.77853530000004</v>
      </c>
      <c r="G91" s="95">
        <f t="shared" ca="1" si="0"/>
        <v>3.3376698429645396E-4</v>
      </c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</row>
    <row r="92" spans="1:25" ht="14.4">
      <c r="A92" s="99">
        <v>540737</v>
      </c>
      <c r="B92" s="98" t="s">
        <v>3317</v>
      </c>
      <c r="C92" s="101"/>
      <c r="D92" s="101"/>
      <c r="E92" s="101">
        <f ca="1">IFERROR(__xludf.DUMMYFUNCTION("GOOGLEFINANCE(""BOM:""&amp;A92,""PRICE"")"),475)</f>
        <v>475</v>
      </c>
      <c r="F92" s="112">
        <f ca="1">IFERROR(__xludf.DUMMYFUNCTION("GOOGLEFINANCE(""BOM:""&amp;A92,""MARKETCAP"")/10000000"),609.786475)</f>
        <v>609.786475</v>
      </c>
      <c r="G92" s="95">
        <f t="shared" ca="1" si="0"/>
        <v>2.7511827271790135E-4</v>
      </c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</row>
    <row r="93" spans="1:25" ht="14.4">
      <c r="A93" s="99">
        <v>524280</v>
      </c>
      <c r="B93" s="98" t="s">
        <v>3318</v>
      </c>
      <c r="C93" s="101"/>
      <c r="D93" s="101"/>
      <c r="E93" s="101">
        <f ca="1">IFERROR(__xludf.DUMMYFUNCTION("GOOGLEFINANCE(""BOM:""&amp;A93,""PRICE"")"),124.5)</f>
        <v>124.5</v>
      </c>
      <c r="F93" s="112">
        <f ca="1">IFERROR(__xludf.DUMMYFUNCTION("GOOGLEFINANCE(""BOM:""&amp;A93,""MARKETCAP"")/10000000"),601.107424)</f>
        <v>601.10742400000004</v>
      </c>
      <c r="G93" s="95">
        <f t="shared" ca="1" si="0"/>
        <v>2.7120253234345215E-4</v>
      </c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</row>
    <row r="94" spans="1:25" ht="14.4">
      <c r="A94" s="99">
        <v>544497</v>
      </c>
      <c r="B94" s="98" t="s">
        <v>3319</v>
      </c>
      <c r="C94" s="101"/>
      <c r="D94" s="101"/>
      <c r="E94" s="101">
        <f ca="1">IFERROR(__xludf.DUMMYFUNCTION("GOOGLEFINANCE(""BOM:""&amp;A94,""PRICE"")"),115.65)</f>
        <v>115.65</v>
      </c>
      <c r="F94" s="112">
        <f ca="1">IFERROR(__xludf.DUMMYFUNCTION("GOOGLEFINANCE(""BOM:""&amp;A94,""MARKETCAP"")/10000000"),613.7402615)</f>
        <v>613.74026149999997</v>
      </c>
      <c r="G94" s="95">
        <f t="shared" ca="1" si="0"/>
        <v>2.769021084656118E-4</v>
      </c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</row>
    <row r="95" spans="1:25" ht="14.4">
      <c r="A95" s="99">
        <v>524500</v>
      </c>
      <c r="B95" s="98" t="s">
        <v>3320</v>
      </c>
      <c r="C95" s="101"/>
      <c r="D95" s="101"/>
      <c r="E95" s="101">
        <f ca="1">IFERROR(__xludf.DUMMYFUNCTION("GOOGLEFINANCE(""BOM:""&amp;A95,""PRICE"")"),134.4)</f>
        <v>134.4</v>
      </c>
      <c r="F95" s="112">
        <f ca="1">IFERROR(__xludf.DUMMYFUNCTION("GOOGLEFINANCE(""BOM:""&amp;A95,""MARKETCAP"")/10000000"),482.2947095)</f>
        <v>482.29470950000001</v>
      </c>
      <c r="G95" s="95">
        <f t="shared" ca="1" si="0"/>
        <v>2.1759762287056631E-4</v>
      </c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</row>
    <row r="96" spans="1:25" ht="14.4">
      <c r="A96" s="99">
        <v>524731</v>
      </c>
      <c r="B96" s="98" t="s">
        <v>3321</v>
      </c>
      <c r="C96" s="101"/>
      <c r="D96" s="101"/>
      <c r="E96" s="101">
        <f ca="1">IFERROR(__xludf.DUMMYFUNCTION("GOOGLEFINANCE(""BOM:""&amp;A96,""PRICE"")"),1012.95)</f>
        <v>1012.95</v>
      </c>
      <c r="F96" s="112">
        <f ca="1">IFERROR(__xludf.DUMMYFUNCTION("GOOGLEFINANCE(""BOM:""&amp;A96,""MARKETCAP"")/10000000"),447.0451275)</f>
        <v>447.04512749999998</v>
      </c>
      <c r="G96" s="95">
        <f t="shared" ca="1" si="0"/>
        <v>2.0169401642559221E-4</v>
      </c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</row>
    <row r="97" spans="1:25" ht="14.4">
      <c r="A97" s="99">
        <v>524075</v>
      </c>
      <c r="B97" s="98" t="s">
        <v>3322</v>
      </c>
      <c r="C97" s="101"/>
      <c r="D97" s="101"/>
      <c r="E97" s="101">
        <f ca="1">IFERROR(__xludf.DUMMYFUNCTION("GOOGLEFINANCE(""BOM:""&amp;A97,""PRICE"")"),651)</f>
        <v>651</v>
      </c>
      <c r="F97" s="112">
        <f ca="1">IFERROR(__xludf.DUMMYFUNCTION("GOOGLEFINANCE(""BOM:""&amp;A97,""MARKETCAP"")/10000000"),372.1925185)</f>
        <v>372.19251850000001</v>
      </c>
      <c r="G97" s="95">
        <f t="shared" ca="1" si="0"/>
        <v>1.6792265326685959E-4</v>
      </c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</row>
    <row r="98" spans="1:25" ht="14.4">
      <c r="A98" s="99">
        <v>531146</v>
      </c>
      <c r="B98" s="98" t="s">
        <v>3323</v>
      </c>
      <c r="C98" s="101"/>
      <c r="D98" s="101"/>
      <c r="E98" s="101">
        <f ca="1">IFERROR(__xludf.DUMMYFUNCTION("GOOGLEFINANCE(""BOM:""&amp;A98,""PRICE"")"),228.15)</f>
        <v>228.15</v>
      </c>
      <c r="F98" s="112">
        <f ca="1">IFERROR(__xludf.DUMMYFUNCTION("GOOGLEFINANCE(""BOM:""&amp;A98,""MARKETCAP"")/10000000"),312.0802663)</f>
        <v>312.08026630000001</v>
      </c>
      <c r="G98" s="95">
        <f t="shared" ca="1" si="0"/>
        <v>1.4080171885379826E-4</v>
      </c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</row>
    <row r="99" spans="1:25" ht="14.4">
      <c r="A99" s="99">
        <v>544502</v>
      </c>
      <c r="B99" s="98" t="s">
        <v>3324</v>
      </c>
      <c r="C99" s="101"/>
      <c r="D99" s="101"/>
      <c r="E99" s="101">
        <f ca="1">IFERROR(__xludf.DUMMYFUNCTION("GOOGLEFINANCE(""BOM:""&amp;A99,""PRICE"")"),107.45)</f>
        <v>107.45</v>
      </c>
      <c r="F99" s="112">
        <f ca="1">IFERROR(__xludf.DUMMYFUNCTION("GOOGLEFINANCE(""BOM:""&amp;A99,""MARKETCAP"")/10000000"),417.2213539)</f>
        <v>417.2213539</v>
      </c>
      <c r="G99" s="95">
        <f t="shared" ca="1" si="0"/>
        <v>1.8823838004277191E-4</v>
      </c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</row>
    <row r="100" spans="1:25" ht="14.4">
      <c r="A100" s="99">
        <v>540679</v>
      </c>
      <c r="B100" s="98" t="s">
        <v>3325</v>
      </c>
      <c r="C100" s="101"/>
      <c r="D100" s="101"/>
      <c r="E100" s="101">
        <f ca="1">IFERROR(__xludf.DUMMYFUNCTION("GOOGLEFINANCE(""BOM:""&amp;A100,""PRICE"")"),1299)</f>
        <v>1299</v>
      </c>
      <c r="F100" s="112">
        <f ca="1">IFERROR(__xludf.DUMMYFUNCTION("GOOGLEFINANCE(""BOM:""&amp;A100,""MARKETCAP"")/10000000"),386.7691206)</f>
        <v>386.76912060000001</v>
      </c>
      <c r="G100" s="95">
        <f t="shared" ca="1" si="0"/>
        <v>1.744992005604809E-4</v>
      </c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</row>
    <row r="101" spans="1:25" ht="14.4">
      <c r="A101" s="99">
        <v>540937</v>
      </c>
      <c r="B101" s="98" t="s">
        <v>3326</v>
      </c>
      <c r="C101" s="101"/>
      <c r="D101" s="101"/>
      <c r="E101" s="101">
        <f ca="1">IFERROR(__xludf.DUMMYFUNCTION("GOOGLEFINANCE(""BOM:""&amp;A101,""PRICE"")"),38.27)</f>
        <v>38.270000000000003</v>
      </c>
      <c r="F101" s="112">
        <f ca="1">IFERROR(__xludf.DUMMYFUNCTION("GOOGLEFINANCE(""BOM:""&amp;A101,""MARKETCAP"")/10000000"),315.339162)</f>
        <v>315.33916199999999</v>
      </c>
      <c r="G101" s="95">
        <f t="shared" ca="1" si="0"/>
        <v>1.4227203968364576E-4</v>
      </c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</row>
    <row r="102" spans="1:25" ht="14.4">
      <c r="A102" s="99">
        <v>524790</v>
      </c>
      <c r="B102" s="98" t="s">
        <v>3327</v>
      </c>
      <c r="C102" s="101"/>
      <c r="D102" s="101"/>
      <c r="E102" s="101">
        <f ca="1">IFERROR(__xludf.DUMMYFUNCTION("GOOGLEFINANCE(""BOM:""&amp;A102,""PRICE"")"),234.9)</f>
        <v>234.9</v>
      </c>
      <c r="F102" s="112">
        <f ca="1">IFERROR(__xludf.DUMMYFUNCTION("GOOGLEFINANCE(""BOM:""&amp;A102,""MARKETCAP"")/10000000"),228.1002733)</f>
        <v>228.1002733</v>
      </c>
      <c r="G102" s="95">
        <f t="shared" ca="1" si="0"/>
        <v>1.029123402528356E-4</v>
      </c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</row>
    <row r="103" spans="1:25" ht="14.4">
      <c r="A103" s="99">
        <v>541400</v>
      </c>
      <c r="B103" s="98" t="s">
        <v>3328</v>
      </c>
      <c r="C103" s="101"/>
      <c r="D103" s="101"/>
      <c r="E103" s="101">
        <f ca="1">IFERROR(__xludf.DUMMYFUNCTION("GOOGLEFINANCE(""BOM:""&amp;A103,""PRICE"")"),67.7)</f>
        <v>67.7</v>
      </c>
      <c r="F103" s="112">
        <f ca="1">IFERROR(__xludf.DUMMYFUNCTION("GOOGLEFINANCE(""BOM:""&amp;A103,""MARKETCAP"")/10000000"),366.543219)</f>
        <v>366.54321900000002</v>
      </c>
      <c r="G103" s="95">
        <f t="shared" ca="1" si="0"/>
        <v>1.6537385039204001E-4</v>
      </c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</row>
    <row r="104" spans="1:25" ht="14.4">
      <c r="A104" s="99">
        <v>512600</v>
      </c>
      <c r="B104" s="98" t="s">
        <v>3329</v>
      </c>
      <c r="C104" s="101"/>
      <c r="D104" s="101"/>
      <c r="E104" s="101">
        <f ca="1">IFERROR(__xludf.DUMMYFUNCTION("GOOGLEFINANCE(""BOM:""&amp;A104,""PRICE"")"),70.69)</f>
        <v>70.69</v>
      </c>
      <c r="F104" s="112">
        <f ca="1">IFERROR(__xludf.DUMMYFUNCTION("GOOGLEFINANCE(""BOM:""&amp;A104,""MARKETCAP"")/10000000"),298.4222987)</f>
        <v>298.4222987</v>
      </c>
      <c r="G104" s="95">
        <f t="shared" ca="1" si="0"/>
        <v>1.3463963325662415E-4</v>
      </c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</row>
    <row r="105" spans="1:25" ht="14.4">
      <c r="A105" s="99">
        <v>543616</v>
      </c>
      <c r="B105" s="98" t="s">
        <v>3330</v>
      </c>
      <c r="C105" s="101"/>
      <c r="D105" s="101"/>
      <c r="E105" s="101">
        <f ca="1">IFERROR(__xludf.DUMMYFUNCTION("GOOGLEFINANCE(""BOM:""&amp;A105,""PRICE"")"),263.75)</f>
        <v>263.75</v>
      </c>
      <c r="F105" s="112">
        <f ca="1">IFERROR(__xludf.DUMMYFUNCTION("GOOGLEFINANCE(""BOM:""&amp;A105,""MARKETCAP"")/10000000"),314.8522122)</f>
        <v>314.8522122</v>
      </c>
      <c r="G105" s="95">
        <f t="shared" ca="1" si="0"/>
        <v>1.4205234181665662E-4</v>
      </c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</row>
    <row r="106" spans="1:25" ht="14.4">
      <c r="A106" s="99">
        <v>543998</v>
      </c>
      <c r="B106" s="98" t="s">
        <v>3331</v>
      </c>
      <c r="C106" s="101"/>
      <c r="D106" s="101"/>
      <c r="E106" s="101">
        <f ca="1">IFERROR(__xludf.DUMMYFUNCTION("GOOGLEFINANCE(""BOM:""&amp;A106,""PRICE"")"),56.4)</f>
        <v>56.4</v>
      </c>
      <c r="F106" s="112">
        <f ca="1">IFERROR(__xludf.DUMMYFUNCTION("GOOGLEFINANCE(""BOM:""&amp;A106,""MARKETCAP"")/10000000"),306.9742524)</f>
        <v>306.97425240000001</v>
      </c>
      <c r="G106" s="95">
        <f t="shared" ca="1" si="0"/>
        <v>1.3849803095281358E-4</v>
      </c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</row>
    <row r="107" spans="1:25" ht="14.4">
      <c r="A107" s="99">
        <v>532039</v>
      </c>
      <c r="B107" s="98" t="s">
        <v>3332</v>
      </c>
      <c r="C107" s="101"/>
      <c r="D107" s="101"/>
      <c r="E107" s="101">
        <f ca="1">IFERROR(__xludf.DUMMYFUNCTION("GOOGLEFINANCE(""BOM:""&amp;A107,""PRICE"")"),43.19)</f>
        <v>43.19</v>
      </c>
      <c r="F107" s="112">
        <f ca="1">IFERROR(__xludf.DUMMYFUNCTION("GOOGLEFINANCE(""BOM:""&amp;A107,""MARKETCAP"")/10000000"),263.5909802)</f>
        <v>263.59098019999999</v>
      </c>
      <c r="G107" s="95">
        <f t="shared" ca="1" si="0"/>
        <v>1.1892473537830194E-4</v>
      </c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</row>
    <row r="108" spans="1:25" ht="14.4">
      <c r="A108" s="99">
        <v>531739</v>
      </c>
      <c r="B108" s="98" t="s">
        <v>3333</v>
      </c>
      <c r="C108" s="101"/>
      <c r="D108" s="101"/>
      <c r="E108" s="101">
        <f ca="1">IFERROR(__xludf.DUMMYFUNCTION("GOOGLEFINANCE(""BOM:""&amp;A108,""PRICE"")"),9.5)</f>
        <v>9.5</v>
      </c>
      <c r="F108" s="112">
        <f ca="1">IFERROR(__xludf.DUMMYFUNCTION("GOOGLEFINANCE(""BOM:""&amp;A108,""MARKETCAP"")/10000000"),230.800315)</f>
        <v>230.80031500000001</v>
      </c>
      <c r="G108" s="95">
        <f t="shared" ca="1" si="0"/>
        <v>1.0413052209061792E-4</v>
      </c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</row>
    <row r="109" spans="1:25" ht="14.4">
      <c r="A109" s="99">
        <v>532989</v>
      </c>
      <c r="B109" s="98" t="s">
        <v>3334</v>
      </c>
      <c r="C109" s="101"/>
      <c r="D109" s="101"/>
      <c r="E109" s="101">
        <f ca="1">IFERROR(__xludf.DUMMYFUNCTION("GOOGLEFINANCE(""BOM:""&amp;A109,""PRICE"")"),109.6)</f>
        <v>109.6</v>
      </c>
      <c r="F109" s="112">
        <f ca="1">IFERROR(__xludf.DUMMYFUNCTION("GOOGLEFINANCE(""BOM:""&amp;A109,""MARKETCAP"")/10000000"),267.0563079)</f>
        <v>267.05630789999998</v>
      </c>
      <c r="G109" s="95">
        <f t="shared" ca="1" si="0"/>
        <v>1.2048819244124433E-4</v>
      </c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</row>
    <row r="110" spans="1:25" ht="14.4">
      <c r="A110" s="99">
        <v>530163</v>
      </c>
      <c r="B110" s="98" t="s">
        <v>3335</v>
      </c>
      <c r="C110" s="101"/>
      <c r="D110" s="101"/>
      <c r="E110" s="101">
        <f ca="1">IFERROR(__xludf.DUMMYFUNCTION("GOOGLEFINANCE(""BOM:""&amp;A110,""PRICE"")"),208)</f>
        <v>208</v>
      </c>
      <c r="F110" s="112">
        <f ca="1">IFERROR(__xludf.DUMMYFUNCTION("GOOGLEFINANCE(""BOM:""&amp;A110,""MARKETCAP"")/10000000"),270.297664)</f>
        <v>270.297664</v>
      </c>
      <c r="G110" s="95">
        <f t="shared" ca="1" si="0"/>
        <v>1.219505999036198E-4</v>
      </c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</row>
    <row r="111" spans="1:25" ht="14.4">
      <c r="A111" s="99">
        <v>524828</v>
      </c>
      <c r="B111" s="98" t="s">
        <v>3336</v>
      </c>
      <c r="C111" s="101"/>
      <c r="D111" s="101"/>
      <c r="E111" s="101">
        <f ca="1">IFERROR(__xludf.DUMMYFUNCTION("GOOGLEFINANCE(""BOM:""&amp;A111,""PRICE"")"),370.2)</f>
        <v>370.2</v>
      </c>
      <c r="F111" s="112">
        <f ca="1">IFERROR(__xludf.DUMMYFUNCTION("GOOGLEFINANCE(""BOM:""&amp;A111,""MARKETCAP"")/10000000"),213.135253)</f>
        <v>213.13525300000001</v>
      </c>
      <c r="G111" s="95">
        <f t="shared" ca="1" si="0"/>
        <v>9.6160549741043202E-5</v>
      </c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ht="14.4">
      <c r="A112" s="99">
        <v>532649</v>
      </c>
      <c r="B112" s="98" t="s">
        <v>3337</v>
      </c>
      <c r="C112" s="101"/>
      <c r="D112" s="101"/>
      <c r="E112" s="101">
        <f ca="1">IFERROR(__xludf.DUMMYFUNCTION("GOOGLEFINANCE(""BOM:""&amp;A112,""PRICE"")"),9.96)</f>
        <v>9.9600000000000009</v>
      </c>
      <c r="F112" s="112">
        <f ca="1">IFERROR(__xludf.DUMMYFUNCTION("GOOGLEFINANCE(""BOM:""&amp;A112,""MARKETCAP"")/10000000"),194.2609)</f>
        <v>194.26089999999999</v>
      </c>
      <c r="G112" s="95">
        <f t="shared" ca="1" si="0"/>
        <v>8.7644979768737837E-5</v>
      </c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</row>
    <row r="113" spans="1:25" ht="14.4">
      <c r="A113" s="99">
        <v>531569</v>
      </c>
      <c r="B113" s="98" t="s">
        <v>3338</v>
      </c>
      <c r="C113" s="101"/>
      <c r="D113" s="101"/>
      <c r="E113" s="101">
        <f ca="1">IFERROR(__xludf.DUMMYFUNCTION("GOOGLEFINANCE(""BOM:""&amp;A113,""PRICE"")"),153.55)</f>
        <v>153.55000000000001</v>
      </c>
      <c r="F113" s="112">
        <f ca="1">IFERROR(__xludf.DUMMYFUNCTION("GOOGLEFINANCE(""BOM:""&amp;A113,""MARKETCAP"")/10000000"),188.6252766)</f>
        <v>188.62527660000001</v>
      </c>
      <c r="G113" s="95">
        <f t="shared" ca="1" si="0"/>
        <v>8.5102347160337355E-5</v>
      </c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</row>
    <row r="114" spans="1:25" ht="14.4">
      <c r="A114" s="99">
        <v>500259</v>
      </c>
      <c r="B114" s="98" t="s">
        <v>3339</v>
      </c>
      <c r="C114" s="101"/>
      <c r="D114" s="101"/>
      <c r="E114" s="101">
        <f ca="1">IFERROR(__xludf.DUMMYFUNCTION("GOOGLEFINANCE(""BOM:""&amp;A114,""PRICE"")"),54.99)</f>
        <v>54.99</v>
      </c>
      <c r="F114" s="112">
        <f ca="1">IFERROR(__xludf.DUMMYFUNCTION("GOOGLEFINANCE(""BOM:""&amp;A114,""MARKETCAP"")/10000000"),195.9381054)</f>
        <v>195.93810540000001</v>
      </c>
      <c r="G114" s="95">
        <f t="shared" ca="1" si="0"/>
        <v>8.8401687028670319E-5</v>
      </c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</row>
    <row r="115" spans="1:25" ht="14.4">
      <c r="A115" s="99">
        <v>500422</v>
      </c>
      <c r="B115" s="98" t="s">
        <v>3340</v>
      </c>
      <c r="C115" s="101"/>
      <c r="D115" s="101"/>
      <c r="E115" s="101">
        <f ca="1">IFERROR(__xludf.DUMMYFUNCTION("GOOGLEFINANCE(""BOM:""&amp;A115,""PRICE"")"),148)</f>
        <v>148</v>
      </c>
      <c r="F115" s="112">
        <f ca="1">IFERROR(__xludf.DUMMYFUNCTION("GOOGLEFINANCE(""BOM:""&amp;A115,""MARKETCAP"")/10000000"),181.152)</f>
        <v>181.15199999999999</v>
      </c>
      <c r="G115" s="95">
        <f t="shared" ca="1" si="0"/>
        <v>8.1730617818955817E-5</v>
      </c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</row>
    <row r="116" spans="1:25" ht="14.4">
      <c r="A116" s="99">
        <v>524412</v>
      </c>
      <c r="B116" s="98" t="s">
        <v>3341</v>
      </c>
      <c r="C116" s="101"/>
      <c r="D116" s="101"/>
      <c r="E116" s="101">
        <f ca="1">IFERROR(__xludf.DUMMYFUNCTION("GOOGLEFINANCE(""BOM:""&amp;A116,""PRICE"")"),56.77)</f>
        <v>56.77</v>
      </c>
      <c r="F116" s="112">
        <f ca="1">IFERROR(__xludf.DUMMYFUNCTION("GOOGLEFINANCE(""BOM:""&amp;A116,""MARKETCAP"")/10000000"),159.8956583)</f>
        <v>159.89565830000001</v>
      </c>
      <c r="G116" s="95">
        <f t="shared" ca="1" si="0"/>
        <v>7.2140362454886794E-5</v>
      </c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</row>
    <row r="117" spans="1:25" ht="14.4">
      <c r="A117" s="99">
        <v>531173</v>
      </c>
      <c r="B117" s="98" t="s">
        <v>3342</v>
      </c>
      <c r="C117" s="101"/>
      <c r="D117" s="101"/>
      <c r="E117" s="101">
        <f ca="1">IFERROR(__xludf.DUMMYFUNCTION("GOOGLEFINANCE(""BOM:""&amp;A117,""PRICE"")"),46.88)</f>
        <v>46.88</v>
      </c>
      <c r="F117" s="112">
        <f ca="1">IFERROR(__xludf.DUMMYFUNCTION("GOOGLEFINANCE(""BOM:""&amp;A117,""MARKETCAP"")/10000000"),229.7729492)</f>
        <v>229.7729492</v>
      </c>
      <c r="G117" s="95">
        <f t="shared" ca="1" si="0"/>
        <v>1.0366700393150257E-4</v>
      </c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</row>
    <row r="118" spans="1:25" ht="14.4">
      <c r="A118" s="99">
        <v>500009</v>
      </c>
      <c r="B118" s="98" t="s">
        <v>3343</v>
      </c>
      <c r="C118" s="101"/>
      <c r="D118" s="101"/>
      <c r="E118" s="101">
        <f ca="1">IFERROR(__xludf.DUMMYFUNCTION("GOOGLEFINANCE(""BOM:""&amp;A118,""PRICE"")"),27.36)</f>
        <v>27.36</v>
      </c>
      <c r="F118" s="112">
        <f ca="1">IFERROR(__xludf.DUMMYFUNCTION("GOOGLEFINANCE(""BOM:""&amp;A118,""MARKETCAP"")/10000000"),209.6686587)</f>
        <v>209.66865870000001</v>
      </c>
      <c r="G118" s="95">
        <f t="shared" ca="1" si="0"/>
        <v>9.4596521224291145E-5</v>
      </c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</row>
    <row r="119" spans="1:25" ht="14.4">
      <c r="A119" s="99">
        <v>533543</v>
      </c>
      <c r="B119" s="98" t="s">
        <v>3344</v>
      </c>
      <c r="C119" s="101"/>
      <c r="D119" s="101"/>
      <c r="E119" s="101">
        <f ca="1">IFERROR(__xludf.DUMMYFUNCTION("GOOGLEFINANCE(""BOM:""&amp;A119,""PRICE"")"),64.42)</f>
        <v>64.42</v>
      </c>
      <c r="F119" s="112">
        <f ca="1">IFERROR(__xludf.DUMMYFUNCTION("GOOGLEFINANCE(""BOM:""&amp;A119,""MARKETCAP"")/10000000"),188.6736311)</f>
        <v>188.67363109999999</v>
      </c>
      <c r="G119" s="95">
        <f t="shared" ca="1" si="0"/>
        <v>8.5124163332167229E-5</v>
      </c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</row>
    <row r="120" spans="1:25" ht="14.4">
      <c r="A120" s="99">
        <v>524636</v>
      </c>
      <c r="B120" s="98" t="s">
        <v>3345</v>
      </c>
      <c r="C120" s="101"/>
      <c r="D120" s="101"/>
      <c r="E120" s="101">
        <f ca="1">IFERROR(__xludf.DUMMYFUNCTION("GOOGLEFINANCE(""BOM:""&amp;A120,""PRICE"")"),49.8)</f>
        <v>49.8</v>
      </c>
      <c r="F120" s="112">
        <f ca="1">IFERROR(__xludf.DUMMYFUNCTION("GOOGLEFINANCE(""BOM:""&amp;A120,""MARKETCAP"")/10000000"),184.1778271)</f>
        <v>184.1778271</v>
      </c>
      <c r="G120" s="95">
        <f t="shared" ca="1" si="0"/>
        <v>8.3095784741188755E-5</v>
      </c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</row>
    <row r="121" spans="1:25" ht="14.4">
      <c r="A121" s="99">
        <v>544529</v>
      </c>
      <c r="B121" s="98" t="s">
        <v>3346</v>
      </c>
      <c r="C121" s="101"/>
      <c r="D121" s="101"/>
      <c r="E121" s="101">
        <f ca="1">IFERROR(__xludf.DUMMYFUNCTION("GOOGLEFINANCE(""BOM:""&amp;A121,""PRICE"")"),345.05)</f>
        <v>345.05</v>
      </c>
      <c r="F121" s="112">
        <f ca="1">IFERROR(__xludf.DUMMYFUNCTION("GOOGLEFINANCE(""BOM:""&amp;A121,""MARKETCAP"")/10000000"),236.7043)</f>
        <v>236.70429999999999</v>
      </c>
      <c r="G121" s="95">
        <f t="shared" ca="1" si="0"/>
        <v>1.0679423180204173E-4</v>
      </c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</row>
    <row r="122" spans="1:25" ht="14.4">
      <c r="A122" s="99">
        <v>530233</v>
      </c>
      <c r="B122" s="98" t="s">
        <v>3347</v>
      </c>
      <c r="C122" s="101"/>
      <c r="D122" s="101"/>
      <c r="E122" s="101">
        <f ca="1">IFERROR(__xludf.DUMMYFUNCTION("GOOGLEFINANCE(""BOM:""&amp;A122,""PRICE"")"),268)</f>
        <v>268</v>
      </c>
      <c r="F122" s="112">
        <f ca="1">IFERROR(__xludf.DUMMYFUNCTION("GOOGLEFINANCE(""BOM:""&amp;A122,""MARKETCAP"")/10000000"),167.0309464)</f>
        <v>167.0309464</v>
      </c>
      <c r="G122" s="95">
        <f t="shared" ca="1" si="0"/>
        <v>7.5359601021003888E-5</v>
      </c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</row>
    <row r="123" spans="1:25" ht="14.4">
      <c r="A123" s="99">
        <v>544409</v>
      </c>
      <c r="B123" s="98" t="s">
        <v>3348</v>
      </c>
      <c r="C123" s="101"/>
      <c r="D123" s="101"/>
      <c r="E123" s="101">
        <f ca="1">IFERROR(__xludf.DUMMYFUNCTION("GOOGLEFINANCE(""BOM:""&amp;A123,""PRICE"")"),159.6)</f>
        <v>159.6</v>
      </c>
      <c r="F123" s="112">
        <f ca="1">IFERROR(__xludf.DUMMYFUNCTION("GOOGLEFINANCE(""BOM:""&amp;A123,""MARKETCAP"")/10000000"),167.7556)</f>
        <v>167.75559999999999</v>
      </c>
      <c r="G123" s="95">
        <f t="shared" ca="1" si="0"/>
        <v>7.5686544065699658E-5</v>
      </c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</row>
    <row r="124" spans="1:25" ht="14.4">
      <c r="A124" s="99">
        <v>530313</v>
      </c>
      <c r="B124" s="98" t="s">
        <v>3349</v>
      </c>
      <c r="C124" s="101"/>
      <c r="D124" s="101"/>
      <c r="E124" s="101">
        <f ca="1">IFERROR(__xludf.DUMMYFUNCTION("GOOGLEFINANCE(""BOM:""&amp;A124,""PRICE"")"),28)</f>
        <v>28</v>
      </c>
      <c r="F124" s="112">
        <f ca="1">IFERROR(__xludf.DUMMYFUNCTION("GOOGLEFINANCE(""BOM:""&amp;A124,""MARKETCAP"")/10000000"),132.475644)</f>
        <v>132.47564399999999</v>
      </c>
      <c r="G124" s="95">
        <f t="shared" ca="1" si="0"/>
        <v>5.9769233737877845E-5</v>
      </c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</row>
    <row r="125" spans="1:25" ht="14.4">
      <c r="A125" s="99">
        <v>524506</v>
      </c>
      <c r="B125" s="98" t="s">
        <v>3350</v>
      </c>
      <c r="C125" s="101"/>
      <c r="D125" s="101"/>
      <c r="E125" s="101">
        <f ca="1">IFERROR(__xludf.DUMMYFUNCTION("GOOGLEFINANCE(""BOM:""&amp;A125,""PRICE"")"),398)</f>
        <v>398</v>
      </c>
      <c r="F125" s="112">
        <f ca="1">IFERROR(__xludf.DUMMYFUNCTION("GOOGLEFINANCE(""BOM:""&amp;A125,""MARKETCAP"")/10000000"),142.1894402)</f>
        <v>142.18944020000001</v>
      </c>
      <c r="G125" s="95">
        <f t="shared" ca="1" si="0"/>
        <v>6.4151821646338291E-5</v>
      </c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</row>
    <row r="126" spans="1:25" ht="14.4">
      <c r="A126" s="99">
        <v>524654</v>
      </c>
      <c r="B126" s="98" t="s">
        <v>3351</v>
      </c>
      <c r="C126" s="101"/>
      <c r="D126" s="101"/>
      <c r="E126" s="101">
        <f ca="1">IFERROR(__xludf.DUMMYFUNCTION("GOOGLEFINANCE(""BOM:""&amp;A126,""PRICE"")"),153.5)</f>
        <v>153.5</v>
      </c>
      <c r="F126" s="112">
        <f ca="1">IFERROR(__xludf.DUMMYFUNCTION("GOOGLEFINANCE(""BOM:""&amp;A126,""MARKETCAP"")/10000000"),159.3235346)</f>
        <v>159.32353459999999</v>
      </c>
      <c r="G126" s="95">
        <f t="shared" ca="1" si="0"/>
        <v>7.1882236552496165E-5</v>
      </c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</row>
    <row r="127" spans="1:25" ht="14.4">
      <c r="A127" s="99">
        <v>506128</v>
      </c>
      <c r="B127" s="98" t="s">
        <v>3352</v>
      </c>
      <c r="C127" s="101"/>
      <c r="D127" s="101"/>
      <c r="E127" s="101">
        <f ca="1">IFERROR(__xludf.DUMMYFUNCTION("GOOGLEFINANCE(""BOM:""&amp;A127,""PRICE"")"),133)</f>
        <v>133</v>
      </c>
      <c r="F127" s="112">
        <f ca="1">IFERROR(__xludf.DUMMYFUNCTION("GOOGLEFINANCE(""BOM:""&amp;A127,""MARKETCAP"")/10000000"),152.758613)</f>
        <v>152.758613</v>
      </c>
      <c r="G127" s="95">
        <f t="shared" ca="1" si="0"/>
        <v>6.8920331090226861E-5</v>
      </c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</row>
    <row r="128" spans="1:25" ht="14.4">
      <c r="A128" s="99">
        <v>531726</v>
      </c>
      <c r="B128" s="98" t="s">
        <v>3353</v>
      </c>
      <c r="C128" s="101"/>
      <c r="D128" s="101"/>
      <c r="E128" s="101">
        <f ca="1">IFERROR(__xludf.DUMMYFUNCTION("GOOGLEFINANCE(""BOM:""&amp;A128,""PRICE"")"),104.2)</f>
        <v>104.2</v>
      </c>
      <c r="F128" s="112">
        <f ca="1">IFERROR(__xludf.DUMMYFUNCTION("GOOGLEFINANCE(""BOM:""&amp;A128,""MARKETCAP"")/10000000"),137.2496309)</f>
        <v>137.2496309</v>
      </c>
      <c r="G128" s="95">
        <f t="shared" ca="1" si="0"/>
        <v>6.1923120522437784E-5</v>
      </c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</row>
    <row r="129" spans="1:25" ht="14.4">
      <c r="A129" s="99">
        <v>544694</v>
      </c>
      <c r="B129" s="98" t="s">
        <v>3354</v>
      </c>
      <c r="C129" s="101"/>
      <c r="D129" s="101"/>
      <c r="E129" s="101">
        <f ca="1">IFERROR(__xludf.DUMMYFUNCTION("GOOGLEFINANCE(""BOM:""&amp;A129,""PRICE"")"),193.55)</f>
        <v>193.55</v>
      </c>
      <c r="F129" s="112">
        <f ca="1">IFERROR(__xludf.DUMMYFUNCTION("GOOGLEFINANCE(""BOM:""&amp;A129,""MARKETCAP"")/10000000"),140.1302022)</f>
        <v>140.13020220000001</v>
      </c>
      <c r="G129" s="95">
        <f t="shared" ca="1" si="0"/>
        <v>6.3222752168903482E-5</v>
      </c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</row>
    <row r="130" spans="1:25" ht="14.4">
      <c r="A130" s="99">
        <v>532878</v>
      </c>
      <c r="B130" s="98" t="s">
        <v>3355</v>
      </c>
      <c r="C130" s="101"/>
      <c r="D130" s="101"/>
      <c r="E130" s="101">
        <f ca="1">IFERROR(__xludf.DUMMYFUNCTION("GOOGLEFINANCE(""BOM:""&amp;A130,""PRICE"")"),61.87)</f>
        <v>61.87</v>
      </c>
      <c r="F130" s="112">
        <f ca="1">IFERROR(__xludf.DUMMYFUNCTION("GOOGLEFINANCE(""BOM:""&amp;A130,""MARKETCAP"")/10000000"),130.6620606)</f>
        <v>130.66206059999999</v>
      </c>
      <c r="G130" s="95">
        <f t="shared" ca="1" si="0"/>
        <v>5.8950996612435112E-5</v>
      </c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</row>
    <row r="131" spans="1:25" ht="14.4">
      <c r="A131" s="99">
        <v>540686</v>
      </c>
      <c r="B131" s="98" t="s">
        <v>3356</v>
      </c>
      <c r="C131" s="101"/>
      <c r="D131" s="101"/>
      <c r="E131" s="101">
        <f ca="1">IFERROR(__xludf.DUMMYFUNCTION("GOOGLEFINANCE(""BOM:""&amp;A131,""PRICE"")"),103.2)</f>
        <v>103.2</v>
      </c>
      <c r="F131" s="112">
        <f ca="1">IFERROR(__xludf.DUMMYFUNCTION("GOOGLEFINANCE(""BOM:""&amp;A131,""MARKETCAP"")/10000000"),118.1256061)</f>
        <v>118.1256061</v>
      </c>
      <c r="G131" s="95">
        <f t="shared" ca="1" si="0"/>
        <v>5.3294905752029329E-5</v>
      </c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</row>
    <row r="132" spans="1:25" ht="14.4">
      <c r="A132" s="99">
        <v>524518</v>
      </c>
      <c r="B132" s="98" t="s">
        <v>3357</v>
      </c>
      <c r="C132" s="101"/>
      <c r="D132" s="101"/>
      <c r="E132" s="101">
        <f ca="1">IFERROR(__xludf.DUMMYFUNCTION("GOOGLEFINANCE(""BOM:""&amp;A132,""PRICE"")"),54.72)</f>
        <v>54.72</v>
      </c>
      <c r="F132" s="112">
        <f ca="1">IFERROR(__xludf.DUMMYFUNCTION("GOOGLEFINANCE(""BOM:""&amp;A132,""MARKETCAP"")/10000000"),123.2187751)</f>
        <v>123.2187751</v>
      </c>
      <c r="G132" s="95">
        <f t="shared" ca="1" si="0"/>
        <v>5.5592798400337676E-5</v>
      </c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</row>
    <row r="133" spans="1:25" ht="14.4">
      <c r="A133" s="99">
        <v>543499</v>
      </c>
      <c r="B133" s="98" t="s">
        <v>3358</v>
      </c>
      <c r="C133" s="101"/>
      <c r="D133" s="101"/>
      <c r="E133" s="101">
        <f ca="1">IFERROR(__xludf.DUMMYFUNCTION("GOOGLEFINANCE(""BOM:""&amp;A133,""PRICE"")"),5.47)</f>
        <v>5.47</v>
      </c>
      <c r="F133" s="112">
        <f ca="1">IFERROR(__xludf.DUMMYFUNCTION("GOOGLEFINANCE(""BOM:""&amp;A133,""MARKETCAP"")/10000000"),132.0222192)</f>
        <v>132.02221919999999</v>
      </c>
      <c r="G133" s="95">
        <f t="shared" ca="1" si="0"/>
        <v>5.9564661395102519E-5</v>
      </c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</row>
    <row r="134" spans="1:25" ht="14.4">
      <c r="A134" s="99">
        <v>524824</v>
      </c>
      <c r="B134" s="98" t="s">
        <v>3359</v>
      </c>
      <c r="C134" s="101"/>
      <c r="D134" s="101"/>
      <c r="E134" s="101">
        <f ca="1">IFERROR(__xludf.DUMMYFUNCTION("GOOGLEFINANCE(""BOM:""&amp;A134,""PRICE"")"),68.98)</f>
        <v>68.98</v>
      </c>
      <c r="F134" s="112">
        <f ca="1">IFERROR(__xludf.DUMMYFUNCTION("GOOGLEFINANCE(""BOM:""&amp;A134,""MARKETCAP"")/10000000"),108.261916)</f>
        <v>108.261916</v>
      </c>
      <c r="G134" s="95">
        <f t="shared" ca="1" si="0"/>
        <v>4.8844689989312283E-5</v>
      </c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</row>
    <row r="135" spans="1:25" ht="14.4">
      <c r="A135" s="99">
        <v>524202</v>
      </c>
      <c r="B135" s="98" t="s">
        <v>3360</v>
      </c>
      <c r="C135" s="101"/>
      <c r="D135" s="101"/>
      <c r="E135" s="101">
        <f ca="1">IFERROR(__xludf.DUMMYFUNCTION("GOOGLEFINANCE(""BOM:""&amp;A135,""PRICE"")"),87.44)</f>
        <v>87.44</v>
      </c>
      <c r="F135" s="112">
        <f ca="1">IFERROR(__xludf.DUMMYFUNCTION("GOOGLEFINANCE(""BOM:""&amp;A135,""MARKETCAP"")/10000000"),110.078219)</f>
        <v>110.078219</v>
      </c>
      <c r="G135" s="95">
        <f t="shared" ca="1" si="0"/>
        <v>4.9664154120740168E-5</v>
      </c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</row>
    <row r="136" spans="1:25" ht="14.4">
      <c r="A136" s="99">
        <v>532384</v>
      </c>
      <c r="B136" s="98" t="s">
        <v>3361</v>
      </c>
      <c r="C136" s="101"/>
      <c r="D136" s="101"/>
      <c r="E136" s="101">
        <f ca="1">IFERROR(__xludf.DUMMYFUNCTION("GOOGLEFINANCE(""BOM:""&amp;A136,""PRICE"")"),111.45)</f>
        <v>111.45</v>
      </c>
      <c r="F136" s="112">
        <f ca="1">IFERROR(__xludf.DUMMYFUNCTION("GOOGLEFINANCE(""BOM:""&amp;A136,""MARKETCAP"")/10000000"),114.0756474)</f>
        <v>114.07564739999999</v>
      </c>
      <c r="G136" s="95">
        <f t="shared" ca="1" si="0"/>
        <v>5.1467679849515111E-5</v>
      </c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</row>
    <row r="137" spans="1:25" ht="14.4">
      <c r="A137" s="99">
        <v>524572</v>
      </c>
      <c r="B137" s="98" t="s">
        <v>3362</v>
      </c>
      <c r="C137" s="101"/>
      <c r="D137" s="101"/>
      <c r="E137" s="101">
        <f ca="1">IFERROR(__xludf.DUMMYFUNCTION("GOOGLEFINANCE(""BOM:""&amp;A137,""PRICE"")"),31)</f>
        <v>31</v>
      </c>
      <c r="F137" s="112">
        <f ca="1">IFERROR(__xludf.DUMMYFUNCTION("GOOGLEFINANCE(""BOM:""&amp;A137,""MARKETCAP"")/10000000"),109.330242)</f>
        <v>109.330242</v>
      </c>
      <c r="G137" s="95">
        <f t="shared" ca="1" si="0"/>
        <v>4.9326688222906468E-5</v>
      </c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</row>
    <row r="138" spans="1:25" ht="14.4">
      <c r="A138" s="99">
        <v>537536</v>
      </c>
      <c r="B138" s="98" t="s">
        <v>3363</v>
      </c>
      <c r="C138" s="101"/>
      <c r="D138" s="101"/>
      <c r="E138" s="101">
        <f ca="1">IFERROR(__xludf.DUMMYFUNCTION("GOOGLEFINANCE(""BOM:""&amp;A138,""PRICE"")"),68.82)</f>
        <v>68.819999999999993</v>
      </c>
      <c r="F138" s="112">
        <f ca="1">IFERROR(__xludf.DUMMYFUNCTION("GOOGLEFINANCE(""BOM:""&amp;A138,""MARKETCAP"")/10000000"),95.4991736)</f>
        <v>95.499173600000006</v>
      </c>
      <c r="G138" s="95">
        <f t="shared" ca="1" si="0"/>
        <v>4.308650447981649E-5</v>
      </c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</row>
    <row r="139" spans="1:25" ht="14.4">
      <c r="A139" s="99">
        <v>538964</v>
      </c>
      <c r="B139" s="98" t="s">
        <v>3364</v>
      </c>
      <c r="C139" s="101"/>
      <c r="D139" s="101"/>
      <c r="E139" s="101">
        <f ca="1">IFERROR(__xludf.DUMMYFUNCTION("GOOGLEFINANCE(""BOM:""&amp;A139,""PRICE"")"),800)</f>
        <v>800</v>
      </c>
      <c r="F139" s="112">
        <f ca="1">IFERROR(__xludf.DUMMYFUNCTION("GOOGLEFINANCE(""BOM:""&amp;A139,""MARKETCAP"")/10000000"),96)</f>
        <v>96</v>
      </c>
      <c r="G139" s="95">
        <f t="shared" ca="1" si="0"/>
        <v>4.3312463073108547E-5</v>
      </c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</row>
    <row r="140" spans="1:25" ht="14.4">
      <c r="A140" s="99">
        <v>524238</v>
      </c>
      <c r="B140" s="98" t="s">
        <v>3365</v>
      </c>
      <c r="C140" s="101"/>
      <c r="D140" s="101"/>
      <c r="E140" s="101">
        <f ca="1">IFERROR(__xludf.DUMMYFUNCTION("GOOGLEFINANCE(""BOM:""&amp;A140,""PRICE"")"),84.18)</f>
        <v>84.18</v>
      </c>
      <c r="F140" s="112">
        <f ca="1">IFERROR(__xludf.DUMMYFUNCTION("GOOGLEFINANCE(""BOM:""&amp;A140,""MARKETCAP"")/10000000"),123.3152824)</f>
        <v>123.3152824</v>
      </c>
      <c r="G140" s="95">
        <f t="shared" ca="1" si="0"/>
        <v>5.5636339742707837E-5</v>
      </c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</row>
    <row r="141" spans="1:25" ht="14.4">
      <c r="A141" s="99">
        <v>506919</v>
      </c>
      <c r="B141" s="98" t="s">
        <v>3366</v>
      </c>
      <c r="C141" s="101"/>
      <c r="D141" s="101"/>
      <c r="E141" s="101">
        <f ca="1">IFERROR(__xludf.DUMMYFUNCTION("GOOGLEFINANCE(""BOM:""&amp;A141,""PRICE"")"),153.3)</f>
        <v>153.30000000000001</v>
      </c>
      <c r="F141" s="112">
        <f ca="1">IFERROR(__xludf.DUMMYFUNCTION("GOOGLEFINANCE(""BOM:""&amp;A141,""MARKETCAP"")/10000000"),90.4527505)</f>
        <v>90.452750499999993</v>
      </c>
      <c r="G141" s="95">
        <f t="shared" ca="1" si="0"/>
        <v>4.0809702248878651E-5</v>
      </c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</row>
    <row r="142" spans="1:25" ht="14.4">
      <c r="A142" s="99">
        <v>531398</v>
      </c>
      <c r="B142" s="98" t="s">
        <v>3367</v>
      </c>
      <c r="C142" s="101"/>
      <c r="D142" s="101"/>
      <c r="E142" s="101">
        <f ca="1">IFERROR(__xludf.DUMMYFUNCTION("GOOGLEFINANCE(""BOM:""&amp;A142,""PRICE"")"),123)</f>
        <v>123</v>
      </c>
      <c r="F142" s="112">
        <f ca="1">IFERROR(__xludf.DUMMYFUNCTION("GOOGLEFINANCE(""BOM:""&amp;A142,""MARKETCAP"")/10000000"),79.1742513)</f>
        <v>79.174251299999995</v>
      </c>
      <c r="G142" s="95">
        <f t="shared" ca="1" si="0"/>
        <v>3.5721164955961107E-5</v>
      </c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</row>
    <row r="143" spans="1:25" ht="14.4">
      <c r="A143" s="99">
        <v>524663</v>
      </c>
      <c r="B143" s="98" t="s">
        <v>3368</v>
      </c>
      <c r="C143" s="101"/>
      <c r="D143" s="101"/>
      <c r="E143" s="101">
        <f ca="1">IFERROR(__xludf.DUMMYFUNCTION("GOOGLEFINANCE(""BOM:""&amp;A143,""PRICE"")"),17.17)</f>
        <v>17.170000000000002</v>
      </c>
      <c r="F143" s="112">
        <f ca="1">IFERROR(__xludf.DUMMYFUNCTION("GOOGLEFINANCE(""BOM:""&amp;A143,""MARKETCAP"")/10000000"),74.1400603)</f>
        <v>74.140060300000002</v>
      </c>
      <c r="G143" s="95">
        <f t="shared" ca="1" si="0"/>
        <v>3.3449881499810325E-5</v>
      </c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</row>
    <row r="144" spans="1:25" ht="14.4">
      <c r="A144" s="99">
        <v>538965</v>
      </c>
      <c r="B144" s="98" t="s">
        <v>3369</v>
      </c>
      <c r="C144" s="101"/>
      <c r="D144" s="101"/>
      <c r="E144" s="101">
        <f ca="1">IFERROR(__xludf.DUMMYFUNCTION("GOOGLEFINANCE(""BOM:""&amp;A144,""PRICE"")"),70.3)</f>
        <v>70.3</v>
      </c>
      <c r="F144" s="112">
        <f ca="1">IFERROR(__xludf.DUMMYFUNCTION("GOOGLEFINANCE(""BOM:""&amp;A144,""MARKETCAP"")/10000000"),70.300003)</f>
        <v>70.300003000000004</v>
      </c>
      <c r="G144" s="95">
        <f t="shared" ca="1" si="0"/>
        <v>3.1717357124759589E-5</v>
      </c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</row>
    <row r="145" spans="1:25" ht="14.4">
      <c r="A145" s="99">
        <v>544353</v>
      </c>
      <c r="B145" s="98" t="s">
        <v>3370</v>
      </c>
      <c r="C145" s="101"/>
      <c r="D145" s="101"/>
      <c r="E145" s="101">
        <f ca="1">IFERROR(__xludf.DUMMYFUNCTION("GOOGLEFINANCE(""BOM:""&amp;A145,""PRICE"")"),31.79)</f>
        <v>31.79</v>
      </c>
      <c r="F145" s="112">
        <f ca="1">IFERROR(__xludf.DUMMYFUNCTION("GOOGLEFINANCE(""BOM:""&amp;A145,""MARKETCAP"")/10000000"),63.59144)</f>
        <v>63.591439999999999</v>
      </c>
      <c r="G145" s="95">
        <f t="shared" ca="1" si="0"/>
        <v>2.8690644757977058E-5</v>
      </c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</row>
    <row r="146" spans="1:25" ht="14.4">
      <c r="A146" s="99">
        <v>544445</v>
      </c>
      <c r="B146" s="98" t="s">
        <v>3371</v>
      </c>
      <c r="C146" s="101"/>
      <c r="D146" s="101"/>
      <c r="E146" s="101">
        <f ca="1">IFERROR(__xludf.DUMMYFUNCTION("GOOGLEFINANCE(""BOM:""&amp;A146,""PRICE"")"),75.15)</f>
        <v>75.150000000000006</v>
      </c>
      <c r="F146" s="112">
        <f ca="1">IFERROR(__xludf.DUMMYFUNCTION("GOOGLEFINANCE(""BOM:""&amp;A146,""MARKETCAP"")/10000000"),63.9703866)</f>
        <v>63.970386599999998</v>
      </c>
      <c r="G146" s="95">
        <f t="shared" ca="1" si="0"/>
        <v>2.8861614660260183E-5</v>
      </c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</row>
    <row r="147" spans="1:25" ht="14.4">
      <c r="A147" s="99">
        <v>537253</v>
      </c>
      <c r="B147" s="98" t="s">
        <v>3372</v>
      </c>
      <c r="C147" s="101"/>
      <c r="D147" s="101"/>
      <c r="E147" s="101">
        <f ca="1">IFERROR(__xludf.DUMMYFUNCTION("GOOGLEFINANCE(""BOM:""&amp;A147,""PRICE"")"),59.9)</f>
        <v>59.9</v>
      </c>
      <c r="F147" s="112">
        <f ca="1">IFERROR(__xludf.DUMMYFUNCTION("GOOGLEFINANCE(""BOM:""&amp;A147,""MARKETCAP"")/10000000"),61.425954)</f>
        <v>61.425953999999997</v>
      </c>
      <c r="G147" s="95">
        <f t="shared" ca="1" si="0"/>
        <v>2.7713639212036086E-5</v>
      </c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</row>
    <row r="148" spans="1:25" ht="14.4">
      <c r="A148" s="99">
        <v>524516</v>
      </c>
      <c r="B148" s="98" t="s">
        <v>3373</v>
      </c>
      <c r="C148" s="101"/>
      <c r="D148" s="101"/>
      <c r="E148" s="101">
        <f ca="1">IFERROR(__xludf.DUMMYFUNCTION("GOOGLEFINANCE(""BOM:""&amp;A148,""PRICE"")"),55.23)</f>
        <v>55.23</v>
      </c>
      <c r="F148" s="112">
        <f ca="1">IFERROR(__xludf.DUMMYFUNCTION("GOOGLEFINANCE(""BOM:""&amp;A148,""MARKETCAP"")/10000000"),79.2716183)</f>
        <v>79.2716183</v>
      </c>
      <c r="G148" s="95">
        <f t="shared" ca="1" si="0"/>
        <v>3.5765094170461516E-5</v>
      </c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</row>
    <row r="149" spans="1:25" ht="14.4">
      <c r="A149" s="99">
        <v>530125</v>
      </c>
      <c r="B149" s="98" t="s">
        <v>3374</v>
      </c>
      <c r="C149" s="101"/>
      <c r="D149" s="101"/>
      <c r="E149" s="101">
        <f ca="1">IFERROR(__xludf.DUMMYFUNCTION("GOOGLEFINANCE(""BOM:""&amp;A149,""PRICE"")"),211.5)</f>
        <v>211.5</v>
      </c>
      <c r="F149" s="112">
        <f ca="1">IFERROR(__xludf.DUMMYFUNCTION("GOOGLEFINANCE(""BOM:""&amp;A149,""MARKETCAP"")/10000000"),65.3471338)</f>
        <v>65.347133799999995</v>
      </c>
      <c r="G149" s="95">
        <f t="shared" ca="1" si="0"/>
        <v>2.9482763746312324E-5</v>
      </c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</row>
    <row r="150" spans="1:25" ht="14.4">
      <c r="A150" s="99">
        <v>532660</v>
      </c>
      <c r="B150" s="98" t="s">
        <v>3375</v>
      </c>
      <c r="C150" s="101"/>
      <c r="D150" s="101"/>
      <c r="E150" s="101">
        <f ca="1">IFERROR(__xludf.DUMMYFUNCTION("GOOGLEFINANCE(""BOM:""&amp;A150,""PRICE"")"),5.82)</f>
        <v>5.82</v>
      </c>
      <c r="F150" s="112">
        <f ca="1">IFERROR(__xludf.DUMMYFUNCTION("GOOGLEFINANCE(""BOM:""&amp;A150,""MARKETCAP"")/10000000"),50.3287508)</f>
        <v>50.328750800000002</v>
      </c>
      <c r="G150" s="95">
        <f t="shared" ca="1" si="0"/>
        <v>2.2706897505632106E-5</v>
      </c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</row>
    <row r="151" spans="1:25" ht="14.4">
      <c r="A151" s="99">
        <v>543963</v>
      </c>
      <c r="B151" s="98" t="s">
        <v>3376</v>
      </c>
      <c r="C151" s="101"/>
      <c r="D151" s="101"/>
      <c r="E151" s="101">
        <f ca="1">IFERROR(__xludf.DUMMYFUNCTION("GOOGLEFINANCE(""BOM:""&amp;A151,""PRICE"")"),28.7)</f>
        <v>28.7</v>
      </c>
      <c r="F151" s="112">
        <f ca="1">IFERROR(__xludf.DUMMYFUNCTION("GOOGLEFINANCE(""BOM:""&amp;A151,""MARKETCAP"")/10000000"),47.6758385)</f>
        <v>47.675838499999998</v>
      </c>
      <c r="G151" s="95">
        <f t="shared" ca="1" si="0"/>
        <v>2.150997910948684E-5</v>
      </c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</row>
    <row r="152" spans="1:25" ht="14.4">
      <c r="A152" s="99">
        <v>523620</v>
      </c>
      <c r="B152" s="98" t="s">
        <v>3377</v>
      </c>
      <c r="C152" s="101"/>
      <c r="D152" s="101"/>
      <c r="E152" s="101">
        <f ca="1">IFERROR(__xludf.DUMMYFUNCTION("GOOGLEFINANCE(""BOM:""&amp;A152,""PRICE"")"),70.01)</f>
        <v>70.010000000000005</v>
      </c>
      <c r="F152" s="112">
        <f ca="1">IFERROR(__xludf.DUMMYFUNCTION("GOOGLEFINANCE(""BOM:""&amp;A152,""MARKETCAP"")/10000000"),47.7955414)</f>
        <v>47.795541399999998</v>
      </c>
      <c r="G152" s="95">
        <f t="shared" ca="1" si="0"/>
        <v>2.1563985645278445E-5</v>
      </c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</row>
    <row r="153" spans="1:25" ht="14.4">
      <c r="A153" s="99">
        <v>543298</v>
      </c>
      <c r="B153" s="98" t="s">
        <v>3378</v>
      </c>
      <c r="C153" s="101"/>
      <c r="D153" s="101"/>
      <c r="E153" s="101">
        <f ca="1">IFERROR(__xludf.DUMMYFUNCTION("GOOGLEFINANCE(""BOM:""&amp;A153,""PRICE"")"),30.01)</f>
        <v>30.01</v>
      </c>
      <c r="F153" s="112">
        <f ca="1">IFERROR(__xludf.DUMMYFUNCTION("GOOGLEFINANCE(""BOM:""&amp;A153,""MARKETCAP"")/10000000"),57.5803666)</f>
        <v>57.580366599999998</v>
      </c>
      <c r="G153" s="95">
        <f t="shared" ca="1" si="0"/>
        <v>2.5978619813526591E-5</v>
      </c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</row>
    <row r="154" spans="1:25" ht="14.4">
      <c r="A154" s="99">
        <v>530317</v>
      </c>
      <c r="B154" s="98" t="s">
        <v>3379</v>
      </c>
      <c r="C154" s="101"/>
      <c r="D154" s="101"/>
      <c r="E154" s="101">
        <f ca="1">IFERROR(__xludf.DUMMYFUNCTION("GOOGLEFINANCE(""BOM:""&amp;A154,""PRICE"")"),92)</f>
        <v>92</v>
      </c>
      <c r="F154" s="112">
        <f ca="1">IFERROR(__xludf.DUMMYFUNCTION("GOOGLEFINANCE(""BOM:""&amp;A154,""MARKETCAP"")/10000000"),69.2805908)</f>
        <v>69.280590799999999</v>
      </c>
      <c r="G154" s="95">
        <f t="shared" ca="1" si="0"/>
        <v>3.1257427403209832E-5</v>
      </c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</row>
    <row r="155" spans="1:25" ht="14.4">
      <c r="A155" s="99">
        <v>524396</v>
      </c>
      <c r="B155" s="98" t="s">
        <v>3380</v>
      </c>
      <c r="C155" s="101"/>
      <c r="D155" s="101"/>
      <c r="E155" s="101">
        <f ca="1">IFERROR(__xludf.DUMMYFUNCTION("GOOGLEFINANCE(""BOM:""&amp;A155,""PRICE"")"),27.9)</f>
        <v>27.9</v>
      </c>
      <c r="F155" s="112">
        <f ca="1">IFERROR(__xludf.DUMMYFUNCTION("GOOGLEFINANCE(""BOM:""&amp;A155,""MARKETCAP"")/10000000"),46.1524694)</f>
        <v>46.152469400000001</v>
      </c>
      <c r="G155" s="95">
        <f t="shared" ca="1" si="0"/>
        <v>2.0822678402294503E-5</v>
      </c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</row>
    <row r="156" spans="1:25" ht="14.4">
      <c r="A156" s="99">
        <v>532637</v>
      </c>
      <c r="B156" s="98" t="s">
        <v>3381</v>
      </c>
      <c r="C156" s="101"/>
      <c r="D156" s="101"/>
      <c r="E156" s="101">
        <f ca="1">IFERROR(__xludf.DUMMYFUNCTION("GOOGLEFINANCE(""BOM:""&amp;A156,""PRICE"")"),29.16)</f>
        <v>29.16</v>
      </c>
      <c r="F156" s="112">
        <f ca="1">IFERROR(__xludf.DUMMYFUNCTION("GOOGLEFINANCE(""BOM:""&amp;A156,""MARKETCAP"")/10000000"),48.276132)</f>
        <v>48.276131999999997</v>
      </c>
      <c r="G156" s="95">
        <f t="shared" ca="1" si="0"/>
        <v>2.1780814422526185E-5</v>
      </c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</row>
    <row r="157" spans="1:25" ht="14.4">
      <c r="A157" s="99">
        <v>541601</v>
      </c>
      <c r="B157" s="98" t="s">
        <v>3382</v>
      </c>
      <c r="C157" s="101"/>
      <c r="D157" s="101"/>
      <c r="E157" s="101">
        <f ca="1">IFERROR(__xludf.DUMMYFUNCTION("GOOGLEFINANCE(""BOM:""&amp;A157,""PRICE"")"),0.47)</f>
        <v>0.47</v>
      </c>
      <c r="F157" s="112">
        <f ca="1">IFERROR(__xludf.DUMMYFUNCTION("GOOGLEFINANCE(""BOM:""&amp;A157,""MARKETCAP"")/10000000"),47.7213088)</f>
        <v>47.721308800000003</v>
      </c>
      <c r="G157" s="95">
        <f t="shared" ca="1" si="0"/>
        <v>2.1530494012504273E-5</v>
      </c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</row>
    <row r="158" spans="1:25" ht="14.4">
      <c r="A158" s="99">
        <v>524711</v>
      </c>
      <c r="B158" s="98" t="s">
        <v>3383</v>
      </c>
      <c r="C158" s="101"/>
      <c r="D158" s="101"/>
      <c r="E158" s="101">
        <f ca="1">IFERROR(__xludf.DUMMYFUNCTION("GOOGLEFINANCE(""BOM:""&amp;A158,""PRICE"")"),6.76)</f>
        <v>6.76</v>
      </c>
      <c r="F158" s="112">
        <f ca="1">IFERROR(__xludf.DUMMYFUNCTION("GOOGLEFINANCE(""BOM:""&amp;A158,""MARKETCAP"")/10000000"),41.6090858)</f>
        <v>41.609085800000003</v>
      </c>
      <c r="G158" s="95">
        <f t="shared" ca="1" si="0"/>
        <v>1.8772833252274013E-5</v>
      </c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</row>
    <row r="159" spans="1:25" ht="14.4">
      <c r="A159" s="99">
        <v>538634</v>
      </c>
      <c r="B159" s="98" t="s">
        <v>3384</v>
      </c>
      <c r="C159" s="101"/>
      <c r="D159" s="101"/>
      <c r="E159" s="101">
        <f ca="1">IFERROR(__xludf.DUMMYFUNCTION("GOOGLEFINANCE(""BOM:""&amp;A159,""PRICE"")"),121.9)</f>
        <v>121.9</v>
      </c>
      <c r="F159" s="112">
        <f ca="1">IFERROR(__xludf.DUMMYFUNCTION("GOOGLEFINANCE(""BOM:""&amp;A159,""MARKETCAP"")/10000000"),38.7422584)</f>
        <v>38.742258399999997</v>
      </c>
      <c r="G159" s="95">
        <f t="shared" ca="1" si="0"/>
        <v>1.747940246165447E-5</v>
      </c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</row>
    <row r="160" spans="1:25" ht="14.4">
      <c r="A160" s="99">
        <v>511523</v>
      </c>
      <c r="B160" s="98" t="s">
        <v>3385</v>
      </c>
      <c r="C160" s="101"/>
      <c r="D160" s="101"/>
      <c r="E160" s="101">
        <f ca="1">IFERROR(__xludf.DUMMYFUNCTION("GOOGLEFINANCE(""BOM:""&amp;A160,""PRICE"")"),20.79)</f>
        <v>20.79</v>
      </c>
      <c r="F160" s="112">
        <f ca="1">IFERROR(__xludf.DUMMYFUNCTION("GOOGLEFINANCE(""BOM:""&amp;A160,""MARKETCAP"")/10000000"),41.5768209)</f>
        <v>41.576820900000001</v>
      </c>
      <c r="G160" s="95">
        <f t="shared" ca="1" si="0"/>
        <v>1.8758276249255183E-5</v>
      </c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</row>
    <row r="161" spans="1:25" ht="14.4">
      <c r="A161" s="99">
        <v>540702</v>
      </c>
      <c r="B161" s="98" t="s">
        <v>3386</v>
      </c>
      <c r="C161" s="101"/>
      <c r="D161" s="101"/>
      <c r="E161" s="101">
        <f ca="1">IFERROR(__xludf.DUMMYFUNCTION("GOOGLEFINANCE(""BOM:""&amp;A161,""PRICE"")"),6.56)</f>
        <v>6.56</v>
      </c>
      <c r="F161" s="112">
        <f ca="1">IFERROR(__xludf.DUMMYFUNCTION("GOOGLEFINANCE(""BOM:""&amp;A161,""MARKETCAP"")/10000000"),32.8138216)</f>
        <v>32.813821599999997</v>
      </c>
      <c r="G161" s="95">
        <f t="shared" ca="1" si="0"/>
        <v>1.4804660795183036E-5</v>
      </c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</row>
    <row r="162" spans="1:25" ht="14.4">
      <c r="A162" s="99">
        <v>524661</v>
      </c>
      <c r="B162" s="98" t="s">
        <v>3387</v>
      </c>
      <c r="C162" s="101"/>
      <c r="D162" s="101"/>
      <c r="E162" s="101">
        <f ca="1">IFERROR(__xludf.DUMMYFUNCTION("GOOGLEFINANCE(""BOM:""&amp;A162,""PRICE"")"),0.26)</f>
        <v>0.26</v>
      </c>
      <c r="F162" s="112">
        <f ca="1">IFERROR(__xludf.DUMMYFUNCTION("GOOGLEFINANCE(""BOM:""&amp;A162,""MARKETCAP"")/10000000"),32.1344388)</f>
        <v>32.134438799999998</v>
      </c>
      <c r="G162" s="95">
        <f t="shared" ca="1" si="0"/>
        <v>1.4498142644792358E-5</v>
      </c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</row>
    <row r="163" spans="1:25" ht="14.4">
      <c r="A163" s="99">
        <v>530991</v>
      </c>
      <c r="B163" s="98" t="s">
        <v>3388</v>
      </c>
      <c r="C163" s="101"/>
      <c r="D163" s="101"/>
      <c r="E163" s="101">
        <f ca="1">IFERROR(__xludf.DUMMYFUNCTION("GOOGLEFINANCE(""BOM:""&amp;A163,""PRICE"")"),46.94)</f>
        <v>46.94</v>
      </c>
      <c r="F163" s="112">
        <f ca="1">IFERROR(__xludf.DUMMYFUNCTION("GOOGLEFINANCE(""BOM:""&amp;A163,""MARKETCAP"")/10000000"),36.9207451)</f>
        <v>36.920745099999998</v>
      </c>
      <c r="G163" s="95">
        <f t="shared" ca="1" si="0"/>
        <v>1.6657587591410451E-5</v>
      </c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</row>
    <row r="164" spans="1:25" ht="14.4">
      <c r="A164" s="99">
        <v>531099</v>
      </c>
      <c r="B164" s="98" t="s">
        <v>3389</v>
      </c>
      <c r="C164" s="101"/>
      <c r="D164" s="101"/>
      <c r="E164" s="101">
        <f ca="1">IFERROR(__xludf.DUMMYFUNCTION("GOOGLEFINANCE(""BOM:""&amp;A164,""PRICE"")"),41.34)</f>
        <v>41.34</v>
      </c>
      <c r="F164" s="112">
        <f ca="1">IFERROR(__xludf.DUMMYFUNCTION("GOOGLEFINANCE(""BOM:""&amp;A164,""MARKETCAP"")/10000000"),22.6059481)</f>
        <v>22.605948099999999</v>
      </c>
      <c r="G164" s="95">
        <f t="shared" ca="1" si="0"/>
        <v>1.0199159294936024E-5</v>
      </c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</row>
    <row r="165" spans="1:25" ht="14.4">
      <c r="A165" s="99">
        <v>524703</v>
      </c>
      <c r="B165" s="98" t="s">
        <v>3390</v>
      </c>
      <c r="C165" s="101"/>
      <c r="D165" s="101"/>
      <c r="E165" s="101">
        <f ca="1">IFERROR(__xludf.DUMMYFUNCTION("GOOGLEFINANCE(""BOM:""&amp;A165,""PRICE"")"),35)</f>
        <v>35</v>
      </c>
      <c r="F165" s="112">
        <f ca="1">IFERROR(__xludf.DUMMYFUNCTION("GOOGLEFINANCE(""BOM:""&amp;A165,""MARKETCAP"")/10000000"),33.813465)</f>
        <v>33.813465000000001</v>
      </c>
      <c r="G165" s="95">
        <f t="shared" ca="1" si="0"/>
        <v>1.5255671397774462E-5</v>
      </c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</row>
    <row r="166" spans="1:25" ht="14.4">
      <c r="A166" s="99">
        <v>524314</v>
      </c>
      <c r="B166" s="98" t="s">
        <v>3391</v>
      </c>
      <c r="C166" s="101"/>
      <c r="D166" s="101"/>
      <c r="E166" s="101">
        <f ca="1">IFERROR(__xludf.DUMMYFUNCTION("GOOGLEFINANCE(""BOM:""&amp;A166,""PRICE"")"),32.43)</f>
        <v>32.43</v>
      </c>
      <c r="F166" s="112">
        <f ca="1">IFERROR(__xludf.DUMMYFUNCTION("GOOGLEFINANCE(""BOM:""&amp;A166,""MARKETCAP"")/10000000"),25.2671796)</f>
        <v>25.267179599999999</v>
      </c>
      <c r="G166" s="95">
        <f t="shared" ca="1" si="0"/>
        <v>1.1399831076943765E-5</v>
      </c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</row>
    <row r="167" spans="1:25" ht="14.4">
      <c r="A167" s="99">
        <v>540694</v>
      </c>
      <c r="B167" s="98" t="s">
        <v>3392</v>
      </c>
      <c r="C167" s="101"/>
      <c r="D167" s="101"/>
      <c r="E167" s="101">
        <f ca="1">IFERROR(__xludf.DUMMYFUNCTION("GOOGLEFINANCE(""BOM:""&amp;A167,""PRICE"")"),23.09)</f>
        <v>23.09</v>
      </c>
      <c r="F167" s="112">
        <f ca="1">IFERROR(__xludf.DUMMYFUNCTION("GOOGLEFINANCE(""BOM:""&amp;A167,""MARKETCAP"")/10000000"),30.1515687)</f>
        <v>30.151568699999999</v>
      </c>
      <c r="G167" s="95">
        <f t="shared" ca="1" si="0"/>
        <v>1.3603528186615056E-5</v>
      </c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</row>
    <row r="168" spans="1:25" ht="14.4">
      <c r="A168" s="99">
        <v>523144</v>
      </c>
      <c r="B168" s="98" t="s">
        <v>3393</v>
      </c>
      <c r="C168" s="101"/>
      <c r="D168" s="101"/>
      <c r="E168" s="101">
        <f ca="1">IFERROR(__xludf.DUMMYFUNCTION("GOOGLEFINANCE(""BOM:""&amp;A168,""PRICE"")"),25.48)</f>
        <v>25.48</v>
      </c>
      <c r="F168" s="112">
        <f ca="1">IFERROR(__xludf.DUMMYFUNCTION("GOOGLEFINANCE(""BOM:""&amp;A168,""MARKETCAP"")/10000000"),31.773432)</f>
        <v>31.773432</v>
      </c>
      <c r="G168" s="95">
        <f t="shared" ca="1" si="0"/>
        <v>1.4335266668811723E-5</v>
      </c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</row>
    <row r="169" spans="1:25" ht="14.4">
      <c r="A169" s="99">
        <v>542934</v>
      </c>
      <c r="B169" s="98" t="s">
        <v>3394</v>
      </c>
      <c r="C169" s="101"/>
      <c r="D169" s="101"/>
      <c r="E169" s="101">
        <f ca="1">IFERROR(__xludf.DUMMYFUNCTION("GOOGLEFINANCE(""BOM:""&amp;A169,""PRICE"")"),32)</f>
        <v>32</v>
      </c>
      <c r="F169" s="112">
        <f ca="1">IFERROR(__xludf.DUMMYFUNCTION("GOOGLEFINANCE(""BOM:""&amp;A169,""MARKETCAP"")/10000000"),24.14418)</f>
        <v>24.144179999999999</v>
      </c>
      <c r="G169" s="95">
        <f t="shared" ca="1" si="0"/>
        <v>1.0893165673755062E-5</v>
      </c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</row>
    <row r="170" spans="1:25" ht="14.4">
      <c r="A170" s="99">
        <v>543594</v>
      </c>
      <c r="B170" s="98" t="s">
        <v>3395</v>
      </c>
      <c r="C170" s="101"/>
      <c r="D170" s="101"/>
      <c r="E170" s="101">
        <f ca="1">IFERROR(__xludf.DUMMYFUNCTION("GOOGLEFINANCE(""BOM:""&amp;A170,""PRICE"")"),9)</f>
        <v>9</v>
      </c>
      <c r="F170" s="112">
        <f ca="1">IFERROR(__xludf.DUMMYFUNCTION("GOOGLEFINANCE(""BOM:""&amp;A170,""MARKETCAP"")/10000000"),23.660325)</f>
        <v>23.660325</v>
      </c>
      <c r="G170" s="95">
        <f t="shared" ca="1" si="0"/>
        <v>1.067486409229424E-5</v>
      </c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</row>
    <row r="171" spans="1:25" ht="14.4">
      <c r="A171" s="99">
        <v>524400</v>
      </c>
      <c r="B171" s="98" t="s">
        <v>3396</v>
      </c>
      <c r="C171" s="101"/>
      <c r="D171" s="101"/>
      <c r="E171" s="101">
        <f ca="1">IFERROR(__xludf.DUMMYFUNCTION("GOOGLEFINANCE(""BOM:""&amp;A171,""PRICE"")"),75.68)</f>
        <v>75.680000000000007</v>
      </c>
      <c r="F171" s="112">
        <f ca="1">IFERROR(__xludf.DUMMYFUNCTION("GOOGLEFINANCE(""BOM:""&amp;A171,""MARKETCAP"")/10000000"),22.6305829)</f>
        <v>22.6305829</v>
      </c>
      <c r="G171" s="95">
        <f t="shared" ca="1" si="0"/>
        <v>1.0210273814366372E-5</v>
      </c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</row>
    <row r="172" spans="1:25" ht="14.4">
      <c r="A172" s="99">
        <v>531015</v>
      </c>
      <c r="B172" s="98" t="s">
        <v>3397</v>
      </c>
      <c r="C172" s="101"/>
      <c r="D172" s="101"/>
      <c r="E172" s="101">
        <f ca="1">IFERROR(__xludf.DUMMYFUNCTION("GOOGLEFINANCE(""BOM:""&amp;A172,""PRICE"")"),26.85)</f>
        <v>26.85</v>
      </c>
      <c r="F172" s="112">
        <f ca="1">IFERROR(__xludf.DUMMYFUNCTION("GOOGLEFINANCE(""BOM:""&amp;A172,""MARKETCAP"")/10000000"),31.1001674)</f>
        <v>31.1001674</v>
      </c>
      <c r="G172" s="95">
        <f t="shared" ca="1" si="0"/>
        <v>1.4031508875833273E-5</v>
      </c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</row>
    <row r="173" spans="1:25" ht="14.4">
      <c r="A173" s="99">
        <v>530665</v>
      </c>
      <c r="B173" s="98" t="s">
        <v>3398</v>
      </c>
      <c r="C173" s="101"/>
      <c r="D173" s="101"/>
      <c r="E173" s="101">
        <f ca="1">IFERROR(__xludf.DUMMYFUNCTION("GOOGLEFINANCE(""BOM:""&amp;A173,""PRICE"")"),3.33)</f>
        <v>3.33</v>
      </c>
      <c r="F173" s="112">
        <f ca="1">IFERROR(__xludf.DUMMYFUNCTION("GOOGLEFINANCE(""BOM:""&amp;A173,""MARKETCAP"")/10000000"),17.8950832)</f>
        <v>17.895083199999998</v>
      </c>
      <c r="G173" s="95">
        <f t="shared" ca="1" si="0"/>
        <v>8.0737513571896364E-6</v>
      </c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</row>
    <row r="174" spans="1:25" ht="14.4">
      <c r="A174" s="99">
        <v>539287</v>
      </c>
      <c r="B174" s="98" t="s">
        <v>3399</v>
      </c>
      <c r="C174" s="101"/>
      <c r="D174" s="101"/>
      <c r="E174" s="101">
        <f ca="1">IFERROR(__xludf.DUMMYFUNCTION("GOOGLEFINANCE(""BOM:""&amp;A174,""PRICE"")"),13.06)</f>
        <v>13.06</v>
      </c>
      <c r="F174" s="112">
        <f ca="1">IFERROR(__xludf.DUMMYFUNCTION("GOOGLEFINANCE(""BOM:""&amp;A174,""MARKETCAP"")/10000000"),11.3920817)</f>
        <v>11.3920817</v>
      </c>
      <c r="G174" s="95">
        <f t="shared" ca="1" si="0"/>
        <v>5.1397824787196422E-6</v>
      </c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</row>
    <row r="175" spans="1:25" ht="14.4">
      <c r="A175" s="99">
        <v>531521</v>
      </c>
      <c r="B175" s="98" t="s">
        <v>3400</v>
      </c>
      <c r="C175" s="101"/>
      <c r="D175" s="101"/>
      <c r="E175" s="101">
        <f ca="1">IFERROR(__xludf.DUMMYFUNCTION("GOOGLEFINANCE(""BOM:""&amp;A175,""PRICE"")"),27)</f>
        <v>27</v>
      </c>
      <c r="F175" s="112">
        <f ca="1">IFERROR(__xludf.DUMMYFUNCTION("GOOGLEFINANCE(""BOM:""&amp;A175,""MARKETCAP"")/10000000"),15.38548)</f>
        <v>15.385479999999999</v>
      </c>
      <c r="G175" s="95">
        <f t="shared" ca="1" si="0"/>
        <v>6.9414899412713548E-6</v>
      </c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</row>
    <row r="176" spans="1:25" ht="14.4">
      <c r="A176" s="99">
        <v>506365</v>
      </c>
      <c r="B176" s="98" t="s">
        <v>3401</v>
      </c>
      <c r="C176" s="101"/>
      <c r="D176" s="101"/>
      <c r="E176" s="101">
        <f ca="1">IFERROR(__xludf.DUMMYFUNCTION("GOOGLEFINANCE(""BOM:""&amp;A176,""PRICE"")"),118.6)</f>
        <v>118.6</v>
      </c>
      <c r="F176" s="112">
        <f ca="1">IFERROR(__xludf.DUMMYFUNCTION("GOOGLEFINANCE(""BOM:""&amp;A176,""MARKETCAP"")/10000000"),17.7899997)</f>
        <v>17.789999699999999</v>
      </c>
      <c r="G176" s="95">
        <f t="shared" ca="1" si="0"/>
        <v>8.0263406778839803E-6</v>
      </c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</row>
    <row r="177" spans="1:25" ht="14.4">
      <c r="A177" s="99">
        <v>531210</v>
      </c>
      <c r="B177" s="98" t="s">
        <v>3402</v>
      </c>
      <c r="C177" s="101"/>
      <c r="D177" s="101"/>
      <c r="E177" s="101">
        <f ca="1">IFERROR(__xludf.DUMMYFUNCTION("GOOGLEFINANCE(""BOM:""&amp;A177,""PRICE"")"),42)</f>
        <v>42</v>
      </c>
      <c r="F177" s="112">
        <f ca="1">IFERROR(__xludf.DUMMYFUNCTION("GOOGLEFINANCE(""BOM:""&amp;A177,""MARKETCAP"")/10000000"),10.58022)</f>
        <v>10.580220000000001</v>
      </c>
      <c r="G177" s="95">
        <f t="shared" ca="1" si="0"/>
        <v>4.7734936255767136E-6</v>
      </c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</row>
    <row r="178" spans="1:25" ht="14.4">
      <c r="A178" s="99">
        <v>540359</v>
      </c>
      <c r="B178" s="98" t="s">
        <v>3403</v>
      </c>
      <c r="C178" s="101"/>
      <c r="D178" s="101"/>
      <c r="E178" s="101">
        <f ca="1">IFERROR(__xludf.DUMMYFUNCTION("GOOGLEFINANCE(""BOM:""&amp;A178,""PRICE"")"),30.95)</f>
        <v>30.95</v>
      </c>
      <c r="F178" s="112">
        <f ca="1">IFERROR(__xludf.DUMMYFUNCTION("GOOGLEFINANCE(""BOM:""&amp;A178,""MARKETCAP"")/10000000"),11.5793175)</f>
        <v>11.5793175</v>
      </c>
      <c r="G178" s="95">
        <f t="shared" ca="1" si="0"/>
        <v>5.2242579336515579E-6</v>
      </c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</row>
    <row r="179" spans="1:25" ht="14.4">
      <c r="A179" s="99">
        <v>524606</v>
      </c>
      <c r="B179" s="98" t="s">
        <v>3404</v>
      </c>
      <c r="C179" s="101"/>
      <c r="D179" s="101"/>
      <c r="E179" s="101">
        <f ca="1">IFERROR(__xludf.DUMMYFUNCTION("GOOGLEFINANCE(""BOM:""&amp;A179,""PRICE"")"),19.99)</f>
        <v>19.989999999999998</v>
      </c>
      <c r="F179" s="112">
        <f ca="1">IFERROR(__xludf.DUMMYFUNCTION("GOOGLEFINANCE(""BOM:""&amp;A179,""MARKETCAP"")/10000000"),10.1383261)</f>
        <v>10.1383261</v>
      </c>
      <c r="G179" s="95">
        <f t="shared" ca="1" si="0"/>
        <v>4.5741236961394025E-6</v>
      </c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</row>
    <row r="180" spans="1:25" ht="14.4">
      <c r="A180" s="99">
        <v>531762</v>
      </c>
      <c r="B180" s="98" t="s">
        <v>3405</v>
      </c>
      <c r="C180" s="101"/>
      <c r="D180" s="101"/>
      <c r="E180" s="101">
        <f ca="1">IFERROR(__xludf.DUMMYFUNCTION("GOOGLEFINANCE(""BOM:""&amp;A180,""PRICE"")"),19.37)</f>
        <v>19.37</v>
      </c>
      <c r="F180" s="112">
        <f ca="1">IFERROR(__xludf.DUMMYFUNCTION("GOOGLEFINANCE(""BOM:""&amp;A180,""MARKETCAP"")/10000000"),8.6787288)</f>
        <v>8.6787288</v>
      </c>
      <c r="G180" s="95">
        <f t="shared" ca="1" si="0"/>
        <v>3.9155950069950377E-6</v>
      </c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</row>
    <row r="181" spans="1:25" ht="14.4">
      <c r="A181" s="99">
        <v>530057</v>
      </c>
      <c r="B181" s="98" t="s">
        <v>3406</v>
      </c>
      <c r="C181" s="101"/>
      <c r="D181" s="101"/>
      <c r="E181" s="101">
        <f ca="1">IFERROR(__xludf.DUMMYFUNCTION("GOOGLEFINANCE(""BOM:""&amp;A181,""PRICE"")"),1.9)</f>
        <v>1.9</v>
      </c>
      <c r="F181" s="112">
        <f ca="1">IFERROR(__xludf.DUMMYFUNCTION("GOOGLEFINANCE(""BOM:""&amp;A181,""MARKETCAP"")/10000000"),7.5999999)</f>
        <v>7.5999999000000003</v>
      </c>
      <c r="G181" s="95">
        <f t="shared" ca="1" si="0"/>
        <v>3.4289032815039442E-6</v>
      </c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</row>
    <row r="182" spans="1:25" ht="14.4">
      <c r="A182" s="99">
        <v>524752</v>
      </c>
      <c r="B182" s="98" t="s">
        <v>3407</v>
      </c>
      <c r="C182" s="101"/>
      <c r="D182" s="101"/>
      <c r="E182" s="101">
        <f ca="1">IFERROR(__xludf.DUMMYFUNCTION("GOOGLEFINANCE(""BOM:""&amp;A182,""PRICE"")"),6.25)</f>
        <v>6.25</v>
      </c>
      <c r="F182" s="112">
        <f ca="1">IFERROR(__xludf.DUMMYFUNCTION("GOOGLEFINANCE(""BOM:""&amp;A182,""MARKETCAP"")/10000000"),5.7469)</f>
        <v>5.7469000000000001</v>
      </c>
      <c r="G182" s="95">
        <f t="shared" ca="1" si="0"/>
        <v>2.592837437862995E-6</v>
      </c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</row>
    <row r="183" spans="1:25" ht="14.4">
      <c r="A183" s="99">
        <v>539680</v>
      </c>
      <c r="B183" s="98" t="s">
        <v>3408</v>
      </c>
      <c r="C183" s="101"/>
      <c r="D183" s="101"/>
      <c r="E183" s="101">
        <f ca="1">IFERROR(__xludf.DUMMYFUNCTION("GOOGLEFINANCE(""BOM:""&amp;A183,""PRICE"")"),12)</f>
        <v>12</v>
      </c>
      <c r="F183" s="112">
        <f ca="1">IFERROR(__xludf.DUMMYFUNCTION("GOOGLEFINANCE(""BOM:""&amp;A183,""MARKETCAP"")/10000000"),7.0938)</f>
        <v>7.0937999999999999</v>
      </c>
      <c r="G183" s="95">
        <f t="shared" ca="1" si="0"/>
        <v>3.2005203182085149E-6</v>
      </c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</row>
    <row r="184" spans="1:25" ht="14.4">
      <c r="A184" s="99">
        <v>530207</v>
      </c>
      <c r="B184" s="98" t="s">
        <v>3409</v>
      </c>
      <c r="C184" s="101"/>
      <c r="D184" s="101"/>
      <c r="E184" s="101">
        <f ca="1">IFERROR(__xludf.DUMMYFUNCTION("GOOGLEFINANCE(""BOM:""&amp;A184,""PRICE"")"),20)</f>
        <v>20</v>
      </c>
      <c r="F184" s="112">
        <f ca="1">IFERROR(__xludf.DUMMYFUNCTION("GOOGLEFINANCE(""BOM:""&amp;A184,""MARKETCAP"")/10000000"),6.000598)</f>
        <v>6.0005980000000001</v>
      </c>
      <c r="G184" s="95">
        <f t="shared" ca="1" si="0"/>
        <v>2.7072987426205103E-6</v>
      </c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</row>
    <row r="185" spans="1:25" ht="14.4">
      <c r="A185" s="99">
        <v>531219</v>
      </c>
      <c r="B185" s="98" t="s">
        <v>3410</v>
      </c>
      <c r="C185" s="101"/>
      <c r="D185" s="101"/>
      <c r="E185" s="101">
        <f ca="1">IFERROR(__xludf.DUMMYFUNCTION("GOOGLEFINANCE(""BOM:""&amp;A185,""PRICE"")"),3)</f>
        <v>3</v>
      </c>
      <c r="F185" s="112">
        <f ca="1">IFERROR(__xludf.DUMMYFUNCTION("GOOGLEFINANCE(""BOM:""&amp;A185,""MARKETCAP"")/10000000"),3.01932)</f>
        <v>3.01932</v>
      </c>
      <c r="G185" s="95">
        <f t="shared" ca="1" si="0"/>
        <v>1.3622311042281051E-6</v>
      </c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</row>
    <row r="186" spans="1:25" ht="14.4">
      <c r="A186" s="99">
        <v>543444</v>
      </c>
      <c r="B186" s="98" t="s">
        <v>3411</v>
      </c>
      <c r="C186" s="101"/>
      <c r="D186" s="101"/>
      <c r="E186" s="101">
        <f ca="1">IFERROR(__xludf.DUMMYFUNCTION("GOOGLEFINANCE(""BOM:""&amp;A186,""PRICE"")"),16.73)</f>
        <v>16.73</v>
      </c>
      <c r="F186" s="112">
        <f ca="1">IFERROR(__xludf.DUMMYFUNCTION("GOOGLEFINANCE(""BOM:""&amp;A186,""MARKETCAP"")/10000000"),3.5133)</f>
        <v>3.5133000000000001</v>
      </c>
      <c r="G186" s="95">
        <f t="shared" ca="1" si="0"/>
        <v>1.5851007970286694E-6</v>
      </c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</row>
    <row r="187" spans="1:25" ht="14.4">
      <c r="A187" s="99">
        <v>524322</v>
      </c>
      <c r="B187" s="98" t="s">
        <v>3412</v>
      </c>
      <c r="C187" s="101"/>
      <c r="D187" s="101"/>
      <c r="E187" s="101">
        <f ca="1">IFERROR(__xludf.DUMMYFUNCTION("GOOGLEFINANCE(""BOM:""&amp;A187,""PRICE"")"),27)</f>
        <v>27</v>
      </c>
      <c r="F187" s="101"/>
      <c r="G187" s="95">
        <f t="shared" ca="1" si="0"/>
        <v>0</v>
      </c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</row>
    <row r="188" spans="1:25" ht="14.4">
      <c r="A188" s="99">
        <v>512101</v>
      </c>
      <c r="B188" s="98" t="s">
        <v>3413</v>
      </c>
      <c r="C188" s="101"/>
      <c r="D188" s="101"/>
      <c r="E188" s="101">
        <f ca="1">IFERROR(__xludf.DUMMYFUNCTION("GOOGLEFINANCE(""BOM:""&amp;A188,""PRICE"")"),17.4)</f>
        <v>17.399999999999999</v>
      </c>
      <c r="F188" s="101"/>
      <c r="G188" s="95">
        <f t="shared" ca="1" si="0"/>
        <v>0</v>
      </c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</row>
    <row r="189" spans="1:25" ht="14.4">
      <c r="A189" s="99">
        <v>526075</v>
      </c>
      <c r="B189" s="98" t="s">
        <v>3414</v>
      </c>
      <c r="C189" s="101"/>
      <c r="D189" s="101"/>
      <c r="E189" s="101">
        <f ca="1">IFERROR(__xludf.DUMMYFUNCTION("GOOGLEFINANCE(""BOM:""&amp;A189,""PRICE"")"),36.85)</f>
        <v>36.85</v>
      </c>
      <c r="F189" s="101"/>
      <c r="G189" s="95">
        <f t="shared" ca="1" si="0"/>
        <v>0</v>
      </c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</row>
    <row r="190" spans="1:25" ht="13.2">
      <c r="A190" s="101"/>
      <c r="B190" s="101"/>
      <c r="C190" s="101"/>
      <c r="D190" s="101"/>
      <c r="E190" s="101"/>
      <c r="F190" s="101"/>
      <c r="G190" s="95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</row>
    <row r="191" spans="1:25" ht="13.2">
      <c r="A191" s="101"/>
      <c r="B191" s="101"/>
      <c r="C191" s="101"/>
      <c r="D191" s="101"/>
      <c r="E191" s="101"/>
      <c r="F191" s="112">
        <f ca="1">SUM(F2:F189)</f>
        <v>2216452.1061284002</v>
      </c>
      <c r="G191" s="95">
        <f ca="1">F191/$F$191</f>
        <v>1</v>
      </c>
      <c r="H191" s="101" t="e">
        <f t="shared" ref="H191:O191" si="1">SUM(H2:H189)</f>
        <v>#N/A</v>
      </c>
      <c r="I191" s="101" t="e">
        <f t="shared" si="1"/>
        <v>#N/A</v>
      </c>
      <c r="J191" s="101" t="e">
        <f t="shared" si="1"/>
        <v>#N/A</v>
      </c>
      <c r="K191" s="101" t="e">
        <f t="shared" si="1"/>
        <v>#N/A</v>
      </c>
      <c r="L191" s="101" t="e">
        <f t="shared" si="1"/>
        <v>#N/A</v>
      </c>
      <c r="M191" s="101" t="e">
        <f t="shared" si="1"/>
        <v>#N/A</v>
      </c>
      <c r="N191" s="101" t="e">
        <f t="shared" si="1"/>
        <v>#N/A</v>
      </c>
      <c r="O191" s="101" t="e">
        <f t="shared" si="1"/>
        <v>#N/A</v>
      </c>
      <c r="P191" s="95" t="e">
        <f t="shared" ref="P191:Q191" si="2">J191/H191</f>
        <v>#N/A</v>
      </c>
      <c r="Q191" s="95" t="e">
        <f t="shared" si="2"/>
        <v>#N/A</v>
      </c>
      <c r="R191" s="95" t="e">
        <f>P191-Q191</f>
        <v>#N/A</v>
      </c>
      <c r="S191" s="95" t="e">
        <f t="shared" ref="S191:T191" si="3">N191/L191</f>
        <v>#N/A</v>
      </c>
      <c r="T191" s="95" t="e">
        <f t="shared" si="3"/>
        <v>#N/A</v>
      </c>
      <c r="U191" s="95" t="e">
        <f>S191-T191</f>
        <v>#N/A</v>
      </c>
      <c r="V191" s="95" t="e">
        <f>(H191/I191)-1</f>
        <v>#N/A</v>
      </c>
      <c r="W191" s="95" t="e">
        <f>(J191/K191)-1</f>
        <v>#N/A</v>
      </c>
      <c r="X191" s="95" t="e">
        <f>(L191/M191)-1</f>
        <v>#N/A</v>
      </c>
      <c r="Y191" s="95" t="e">
        <f>(N191/O191)-1</f>
        <v>#N/A</v>
      </c>
    </row>
  </sheetData>
  <autoFilter ref="A1:Y189" xr:uid="{00000000-0009-0000-0000-00005B000000}"/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532454</v>
      </c>
      <c r="B2" s="98" t="s">
        <v>129</v>
      </c>
      <c r="C2" s="101" t="str">
        <f>VLOOKUP(A2,'BSE ALL CAP'!$B$4:$Y$1038,2,)</f>
        <v>Telecommunication</v>
      </c>
      <c r="D2" s="101" t="str">
        <f>VLOOKUP(A2,'BSE ALL CAP'!$B$4:$Y$1038,3,)</f>
        <v>Telecom - Cellular &amp; Fixed line services</v>
      </c>
      <c r="E2" s="6">
        <f ca="1">IFERROR(__xludf.DUMMYFUNCTION("GOOGLEFINANCE(""BOM:""&amp;A2,""PRICE"")"),1790)</f>
        <v>1790</v>
      </c>
      <c r="F2" s="112">
        <f ca="1">IFERROR(__xludf.DUMMYFUNCTION("GOOGLEFINANCE(""BOM:""&amp;A2,""MARKETCAP"")/10000000"),1090476.4905969)</f>
        <v>1090476.4905969</v>
      </c>
      <c r="G2" s="95">
        <f t="shared" ref="G2:G9" ca="1" si="0">F2/$F$11</f>
        <v>0.83220895872267164</v>
      </c>
      <c r="H2" s="101">
        <f>VLOOKUP(A2,'BSE ALL CAP'!$B$4:$Y$1038,7,)</f>
        <v>155589</v>
      </c>
      <c r="I2" s="101">
        <f>VLOOKUP(A2,'BSE ALL CAP'!$B$4:$Y$1038,8,)</f>
        <v>125109</v>
      </c>
      <c r="J2" s="101">
        <f>VLOOKUP(A2,'BSE ALL CAP'!$B$4:$Y$1038,9,)</f>
        <v>24575</v>
      </c>
      <c r="K2" s="101">
        <f>VLOOKUP(A2,'BSE ALL CAP'!$B$4:$Y$1038,10,)</f>
        <v>25005</v>
      </c>
      <c r="L2" s="101">
        <f>VLOOKUP(A2,'BSE ALL CAP'!$B$4:$Y$1038,11,)</f>
        <v>53981</v>
      </c>
      <c r="M2" s="101">
        <f>VLOOKUP(A2,'BSE ALL CAP'!$B$4:$Y$1038,12,)</f>
        <v>45129</v>
      </c>
      <c r="N2" s="101">
        <f>VLOOKUP(A2,'BSE ALL CAP'!$B$4:$Y$1038,13,)</f>
        <v>8502</v>
      </c>
      <c r="O2" s="101">
        <f>VLOOKUP(A2,'BSE ALL CAP'!$B$4:$Y$1038,14,)</f>
        <v>16134</v>
      </c>
      <c r="P2" s="95">
        <f>VLOOKUP(A2,'BSE ALL CAP'!$B$4:$Y$1038,15,)</f>
        <v>0.15794818399758337</v>
      </c>
      <c r="Q2" s="95">
        <f>VLOOKUP(A2,'BSE ALL CAP'!$B$4:$Y$1038,16,)</f>
        <v>0.19986571709469342</v>
      </c>
      <c r="R2" s="95">
        <f>VLOOKUP(A2,'BSE ALL CAP'!$B$4:$Y$1038,17,)</f>
        <v>-4.1917533097110049E-2</v>
      </c>
      <c r="S2" s="95">
        <f>VLOOKUP(A2,'BSE ALL CAP'!$B$4:$Y$1038,18,)</f>
        <v>0.1574998610622256</v>
      </c>
      <c r="T2" s="95">
        <f>VLOOKUP(A2,'BSE ALL CAP'!$B$4:$Y$1038,19,)</f>
        <v>0.35750847570298477</v>
      </c>
      <c r="U2" s="95">
        <f>VLOOKUP(A2,'BSE ALL CAP'!$B$4:$Y$1038,20,)</f>
        <v>-0.20000861464075917</v>
      </c>
      <c r="V2" s="95">
        <f>VLOOKUP(A2,'BSE ALL CAP'!$B$4:$Y$1038,21,)</f>
        <v>0.24362755677049619</v>
      </c>
      <c r="W2" s="95">
        <f>VLOOKUP(A2,'BSE ALL CAP'!$B$4:$Y$1038,22,)</f>
        <v>-1.7196560687862461E-2</v>
      </c>
      <c r="X2" s="95">
        <f>VLOOKUP(A2,'BSE ALL CAP'!$B$4:$Y$1038,23,)</f>
        <v>0.19614881783332216</v>
      </c>
      <c r="Y2" s="95">
        <f>VLOOKUP(A2,'BSE ALL CAP'!$B$4:$Y$1038,24,)</f>
        <v>-0.47303830420230564</v>
      </c>
    </row>
    <row r="3" spans="1:25" ht="15.75" customHeight="1">
      <c r="A3" s="99">
        <v>532822</v>
      </c>
      <c r="B3" s="98" t="s">
        <v>3415</v>
      </c>
      <c r="C3" s="101" t="str">
        <f>VLOOKUP(A3,'BSE ALL CAP'!$B$4:$Y$1038,2,)</f>
        <v>Telecommunication</v>
      </c>
      <c r="D3" s="101" t="str">
        <f>VLOOKUP(A3,'BSE ALL CAP'!$B$4:$Y$1038,3,)</f>
        <v>Telecom - Cellular &amp; Fixed line services</v>
      </c>
      <c r="E3" s="6">
        <f ca="1">IFERROR(__xludf.DUMMYFUNCTION("GOOGLEFINANCE(""BOM:""&amp;A3,""PRICE"")"),8.77)</f>
        <v>8.77</v>
      </c>
      <c r="F3" s="112">
        <f ca="1">IFERROR(__xludf.DUMMYFUNCTION("GOOGLEFINANCE(""BOM:""&amp;A3,""MARKETCAP"")/10000000"),94908.4704797)</f>
        <v>94908.470479700001</v>
      </c>
      <c r="G3" s="95">
        <f t="shared" ca="1" si="0"/>
        <v>7.2430428416332793E-2</v>
      </c>
      <c r="H3" s="101">
        <f>VLOOKUP(A3,'BSE ALL CAP'!$B$4:$Y$1038,7,)</f>
        <v>33541</v>
      </c>
      <c r="I3" s="101">
        <f>VLOOKUP(A3,'BSE ALL CAP'!$B$4:$Y$1038,8,)</f>
        <v>32557</v>
      </c>
      <c r="J3" s="101">
        <f>VLOOKUP(A3,'BSE ALL CAP'!$B$4:$Y$1038,9,)</f>
        <v>-17418</v>
      </c>
      <c r="K3" s="101">
        <f>VLOOKUP(A3,'BSE ALL CAP'!$B$4:$Y$1038,10,)</f>
        <v>-20217</v>
      </c>
      <c r="L3" s="101">
        <f>VLOOKUP(A3,'BSE ALL CAP'!$B$4:$Y$1038,11,)</f>
        <v>11323</v>
      </c>
      <c r="M3" s="101">
        <f>VLOOKUP(A3,'BSE ALL CAP'!$B$4:$Y$1038,12,)</f>
        <v>11117</v>
      </c>
      <c r="N3" s="101">
        <f>VLOOKUP(A3,'BSE ALL CAP'!$B$4:$Y$1038,13,)</f>
        <v>-5286</v>
      </c>
      <c r="O3" s="101">
        <f>VLOOKUP(A3,'BSE ALL CAP'!$B$4:$Y$1038,14,)</f>
        <v>-6609</v>
      </c>
      <c r="P3" s="95">
        <f>VLOOKUP(A3,'BSE ALL CAP'!$B$4:$Y$1038,15,)</f>
        <v>-0.51930473152261414</v>
      </c>
      <c r="Q3" s="95">
        <f>VLOOKUP(A3,'BSE ALL CAP'!$B$4:$Y$1038,16,)</f>
        <v>-0.62097244832140552</v>
      </c>
      <c r="R3" s="95">
        <f>VLOOKUP(A3,'BSE ALL CAP'!$B$4:$Y$1038,17,)</f>
        <v>0.10166771679879139</v>
      </c>
      <c r="S3" s="95">
        <f>VLOOKUP(A3,'BSE ALL CAP'!$B$4:$Y$1038,18,)</f>
        <v>-0.46683741058023492</v>
      </c>
      <c r="T3" s="95">
        <f>VLOOKUP(A3,'BSE ALL CAP'!$B$4:$Y$1038,19,)</f>
        <v>-0.59449491769362239</v>
      </c>
      <c r="U3" s="95">
        <f>VLOOKUP(A3,'BSE ALL CAP'!$B$4:$Y$1038,20,)</f>
        <v>0.12765750711338747</v>
      </c>
      <c r="V3" s="95">
        <f>VLOOKUP(A3,'BSE ALL CAP'!$B$4:$Y$1038,21,)</f>
        <v>3.0223914979881528E-2</v>
      </c>
      <c r="W3" s="95">
        <f>VLOOKUP(A3,'BSE ALL CAP'!$B$4:$Y$1038,22,)</f>
        <v>-0.13844784092595341</v>
      </c>
      <c r="X3" s="95">
        <f>VLOOKUP(A3,'BSE ALL CAP'!$B$4:$Y$1038,23,)</f>
        <v>1.8530179005127323E-2</v>
      </c>
      <c r="Y3" s="95">
        <f>VLOOKUP(A3,'BSE ALL CAP'!$B$4:$Y$1038,24,)</f>
        <v>-0.20018157058556518</v>
      </c>
    </row>
    <row r="4" spans="1:25" ht="15.75" customHeight="1">
      <c r="A4" s="99">
        <v>544162</v>
      </c>
      <c r="B4" s="98" t="s">
        <v>3416</v>
      </c>
      <c r="C4" s="101" t="str">
        <f>VLOOKUP(A4,'BSE ALL CAP'!$B$4:$Y$1038,2,)</f>
        <v>Telecommunication</v>
      </c>
      <c r="D4" s="101" t="str">
        <f>VLOOKUP(A4,'BSE ALL CAP'!$B$4:$Y$1038,3,)</f>
        <v>Telecom - Cellular &amp; Fixed line services</v>
      </c>
      <c r="E4" s="6">
        <f ca="1">IFERROR(__xludf.DUMMYFUNCTION("GOOGLEFINANCE(""BOM:""&amp;A4,""PRICE"")"),1519.95)</f>
        <v>1519.95</v>
      </c>
      <c r="F4" s="112">
        <f ca="1">IFERROR(__xludf.DUMMYFUNCTION("GOOGLEFINANCE(""BOM:""&amp;A4,""MARKETCAP"")/10000000"),76009.9975585)</f>
        <v>76009.997558500007</v>
      </c>
      <c r="G4" s="95">
        <f t="shared" ca="1" si="0"/>
        <v>5.8007853875003956E-2</v>
      </c>
      <c r="H4" s="101">
        <f>VLOOKUP(A4,'BSE ALL CAP'!$B$4:$Y$1038,7,)</f>
        <v>6940</v>
      </c>
      <c r="I4" s="101">
        <f>VLOOKUP(A4,'BSE ALL CAP'!$B$4:$Y$1038,8,)</f>
        <v>6258</v>
      </c>
      <c r="J4" s="101">
        <f>VLOOKUP(A4,'BSE ALL CAP'!$B$4:$Y$1038,9,)</f>
        <v>1286</v>
      </c>
      <c r="K4" s="101">
        <f>VLOOKUP(A4,'BSE ALL CAP'!$B$4:$Y$1038,10,)</f>
        <v>1025</v>
      </c>
      <c r="L4" s="101">
        <f>VLOOKUP(A4,'BSE ALL CAP'!$B$4:$Y$1038,11,)</f>
        <v>2359</v>
      </c>
      <c r="M4" s="101">
        <f>VLOOKUP(A4,'BSE ALL CAP'!$B$4:$Y$1038,12,)</f>
        <v>2250</v>
      </c>
      <c r="N4" s="101">
        <f>VLOOKUP(A4,'BSE ALL CAP'!$B$4:$Y$1038,13,)</f>
        <v>473</v>
      </c>
      <c r="O4" s="101">
        <f>VLOOKUP(A4,'BSE ALL CAP'!$B$4:$Y$1038,14,)</f>
        <v>260</v>
      </c>
      <c r="P4" s="95">
        <f>VLOOKUP(A4,'BSE ALL CAP'!$B$4:$Y$1038,15,)</f>
        <v>0.18530259365994237</v>
      </c>
      <c r="Q4" s="95">
        <f>VLOOKUP(A4,'BSE ALL CAP'!$B$4:$Y$1038,16,)</f>
        <v>0.16379034835410675</v>
      </c>
      <c r="R4" s="95">
        <f>VLOOKUP(A4,'BSE ALL CAP'!$B$4:$Y$1038,17,)</f>
        <v>2.151224530583562E-2</v>
      </c>
      <c r="S4" s="95">
        <f>VLOOKUP(A4,'BSE ALL CAP'!$B$4:$Y$1038,18,)</f>
        <v>0.20050869012293346</v>
      </c>
      <c r="T4" s="95">
        <f>VLOOKUP(A4,'BSE ALL CAP'!$B$4:$Y$1038,19,)</f>
        <v>0.11555555555555555</v>
      </c>
      <c r="U4" s="95">
        <f>VLOOKUP(A4,'BSE ALL CAP'!$B$4:$Y$1038,20,)</f>
        <v>8.4953134567377908E-2</v>
      </c>
      <c r="V4" s="95">
        <f>VLOOKUP(A4,'BSE ALL CAP'!$B$4:$Y$1038,21,)</f>
        <v>0.10898050495365941</v>
      </c>
      <c r="W4" s="95">
        <f>VLOOKUP(A4,'BSE ALL CAP'!$B$4:$Y$1038,22,)</f>
        <v>0.25463414634146342</v>
      </c>
      <c r="X4" s="95">
        <f>VLOOKUP(A4,'BSE ALL CAP'!$B$4:$Y$1038,23,)</f>
        <v>4.8444444444444512E-2</v>
      </c>
      <c r="Y4" s="95">
        <f>VLOOKUP(A4,'BSE ALL CAP'!$B$4:$Y$1038,24,)</f>
        <v>0.81923076923076921</v>
      </c>
    </row>
    <row r="5" spans="1:25" ht="15.75" customHeight="1">
      <c r="A5" s="99">
        <v>500483</v>
      </c>
      <c r="B5" s="98" t="s">
        <v>3417</v>
      </c>
      <c r="C5" s="101" t="str">
        <f>VLOOKUP(A5,'BSE ALL CAP'!$B$4:$Y$1038,2,)</f>
        <v>Telecommunication</v>
      </c>
      <c r="D5" s="101" t="str">
        <f>VLOOKUP(A5,'BSE ALL CAP'!$B$4:$Y$1038,3,)</f>
        <v>Telecom - Cellular &amp; Fixed line services</v>
      </c>
      <c r="E5" s="6">
        <f ca="1">IFERROR(__xludf.DUMMYFUNCTION("GOOGLEFINANCE(""BOM:""&amp;A5,""PRICE"")"),1396.15)</f>
        <v>1396.15</v>
      </c>
      <c r="F5" s="112">
        <f ca="1">IFERROR(__xludf.DUMMYFUNCTION("GOOGLEFINANCE(""BOM:""&amp;A5,""MARKETCAP"")/10000000"),39773.452088)</f>
        <v>39773.452087999998</v>
      </c>
      <c r="G5" s="95">
        <f t="shared" ca="1" si="0"/>
        <v>3.0353541256852332E-2</v>
      </c>
      <c r="H5" s="101">
        <f>VLOOKUP(A5,'BSE ALL CAP'!$B$4:$Y$1038,7,)</f>
        <v>18248</v>
      </c>
      <c r="I5" s="101">
        <f>VLOOKUP(A5,'BSE ALL CAP'!$B$4:$Y$1038,8,)</f>
        <v>17118</v>
      </c>
      <c r="J5" s="101">
        <f>VLOOKUP(A5,'BSE ALL CAP'!$B$4:$Y$1038,9,)</f>
        <v>737</v>
      </c>
      <c r="K5" s="101">
        <f>VLOOKUP(A5,'BSE ALL CAP'!$B$4:$Y$1038,10,)</f>
        <v>796</v>
      </c>
      <c r="L5" s="101">
        <f>VLOOKUP(A5,'BSE ALL CAP'!$B$4:$Y$1038,11,)</f>
        <v>6188</v>
      </c>
      <c r="M5" s="101">
        <f>VLOOKUP(A5,'BSE ALL CAP'!$B$4:$Y$1038,12,)</f>
        <v>5798</v>
      </c>
      <c r="N5" s="101">
        <f>VLOOKUP(A5,'BSE ALL CAP'!$B$4:$Y$1038,13,)</f>
        <v>364</v>
      </c>
      <c r="O5" s="101">
        <f>VLOOKUP(A5,'BSE ALL CAP'!$B$4:$Y$1038,14,)</f>
        <v>236</v>
      </c>
      <c r="P5" s="95">
        <f>VLOOKUP(A5,'BSE ALL CAP'!$B$4:$Y$1038,15,)</f>
        <v>4.0387987724682155E-2</v>
      </c>
      <c r="Q5" s="95">
        <f>VLOOKUP(A5,'BSE ALL CAP'!$B$4:$Y$1038,16,)</f>
        <v>4.6500759434513379E-2</v>
      </c>
      <c r="R5" s="95">
        <f>VLOOKUP(A5,'BSE ALL CAP'!$B$4:$Y$1038,17,)</f>
        <v>-6.1127717098312245E-3</v>
      </c>
      <c r="S5" s="95">
        <f>VLOOKUP(A5,'BSE ALL CAP'!$B$4:$Y$1038,18,)</f>
        <v>5.8823529411764705E-2</v>
      </c>
      <c r="T5" s="95">
        <f>VLOOKUP(A5,'BSE ALL CAP'!$B$4:$Y$1038,19,)</f>
        <v>4.0703690927906176E-2</v>
      </c>
      <c r="U5" s="95">
        <f>VLOOKUP(A5,'BSE ALL CAP'!$B$4:$Y$1038,20,)</f>
        <v>1.8119838483858529E-2</v>
      </c>
      <c r="V5" s="95">
        <f>VLOOKUP(A5,'BSE ALL CAP'!$B$4:$Y$1038,21,)</f>
        <v>6.6012384624372089E-2</v>
      </c>
      <c r="W5" s="95">
        <f>VLOOKUP(A5,'BSE ALL CAP'!$B$4:$Y$1038,22,)</f>
        <v>-7.4120603015075393E-2</v>
      </c>
      <c r="X5" s="95">
        <f>VLOOKUP(A5,'BSE ALL CAP'!$B$4:$Y$1038,23,)</f>
        <v>6.7264573991031362E-2</v>
      </c>
      <c r="Y5" s="95">
        <f>VLOOKUP(A5,'BSE ALL CAP'!$B$4:$Y$1038,24,)</f>
        <v>0.54237288135593231</v>
      </c>
    </row>
    <row r="6" spans="1:25" ht="15.75" customHeight="1">
      <c r="A6" s="99">
        <v>532371</v>
      </c>
      <c r="B6" s="98" t="s">
        <v>3418</v>
      </c>
      <c r="C6" s="101" t="str">
        <f>VLOOKUP(A6,'BSE ALL CAP'!$B$4:$Y$1038,2,)</f>
        <v>Telecommunication</v>
      </c>
      <c r="D6" s="101" t="str">
        <f>VLOOKUP(A6,'BSE ALL CAP'!$B$4:$Y$1038,3,)</f>
        <v>Telecom - Cellular &amp; Fixed line services</v>
      </c>
      <c r="E6" s="6">
        <f ca="1">IFERROR(__xludf.DUMMYFUNCTION("GOOGLEFINANCE(""BOM:""&amp;A6,""PRICE"")"),37.49)</f>
        <v>37.49</v>
      </c>
      <c r="F6" s="112">
        <f ca="1">IFERROR(__xludf.DUMMYFUNCTION("GOOGLEFINANCE(""BOM:""&amp;A6,""MARKETCAP"")/10000000"),7323.156363)</f>
        <v>7323.1563630000001</v>
      </c>
      <c r="G6" s="95">
        <f t="shared" ca="1" si="0"/>
        <v>5.5887461893649945E-3</v>
      </c>
      <c r="H6" s="101">
        <f>VLOOKUP(A6,'BSE ALL CAP'!$B$4:$Y$1038,7,)</f>
        <v>865</v>
      </c>
      <c r="I6" s="101">
        <f>VLOOKUP(A6,'BSE ALL CAP'!$B$4:$Y$1038,8,)</f>
        <v>1000</v>
      </c>
      <c r="J6" s="101">
        <f>VLOOKUP(A6,'BSE ALL CAP'!$B$4:$Y$1038,9,)</f>
        <v>-796</v>
      </c>
      <c r="K6" s="101">
        <f>VLOOKUP(A6,'BSE ALL CAP'!$B$4:$Y$1038,10,)</f>
        <v>-969</v>
      </c>
      <c r="L6" s="101">
        <f>VLOOKUP(A6,'BSE ALL CAP'!$B$4:$Y$1038,11,)</f>
        <v>294</v>
      </c>
      <c r="M6" s="101">
        <f>VLOOKUP(A6,'BSE ALL CAP'!$B$4:$Y$1038,12,)</f>
        <v>333</v>
      </c>
      <c r="N6" s="101">
        <f>VLOOKUP(A6,'BSE ALL CAP'!$B$4:$Y$1038,13,)</f>
        <v>-151</v>
      </c>
      <c r="O6" s="101">
        <f>VLOOKUP(A6,'BSE ALL CAP'!$B$4:$Y$1038,14,)</f>
        <v>-315</v>
      </c>
      <c r="P6" s="95">
        <f>VLOOKUP(A6,'BSE ALL CAP'!$B$4:$Y$1038,15,)</f>
        <v>-0.92023121387283235</v>
      </c>
      <c r="Q6" s="95">
        <f>VLOOKUP(A6,'BSE ALL CAP'!$B$4:$Y$1038,16,)</f>
        <v>-0.96899999999999997</v>
      </c>
      <c r="R6" s="95">
        <f>VLOOKUP(A6,'BSE ALL CAP'!$B$4:$Y$1038,17,)</f>
        <v>4.8768786127167618E-2</v>
      </c>
      <c r="S6" s="95">
        <f>VLOOKUP(A6,'BSE ALL CAP'!$B$4:$Y$1038,18,)</f>
        <v>-0.51360544217687076</v>
      </c>
      <c r="T6" s="95">
        <f>VLOOKUP(A6,'BSE ALL CAP'!$B$4:$Y$1038,19,)</f>
        <v>-0.94594594594594594</v>
      </c>
      <c r="U6" s="95">
        <f>VLOOKUP(A6,'BSE ALL CAP'!$B$4:$Y$1038,20,)</f>
        <v>0.43234050376907518</v>
      </c>
      <c r="V6" s="95">
        <f>VLOOKUP(A6,'BSE ALL CAP'!$B$4:$Y$1038,21,)</f>
        <v>-0.13500000000000001</v>
      </c>
      <c r="W6" s="95">
        <f>VLOOKUP(A6,'BSE ALL CAP'!$B$4:$Y$1038,22,)</f>
        <v>-0.17853457172342624</v>
      </c>
      <c r="X6" s="95">
        <f>VLOOKUP(A6,'BSE ALL CAP'!$B$4:$Y$1038,23,)</f>
        <v>-0.11711711711711714</v>
      </c>
      <c r="Y6" s="95">
        <f>VLOOKUP(A6,'BSE ALL CAP'!$B$4:$Y$1038,24,)</f>
        <v>-0.52063492063492056</v>
      </c>
    </row>
    <row r="7" spans="1:25" ht="15.75" customHeight="1">
      <c r="A7" s="99">
        <v>500108</v>
      </c>
      <c r="B7" s="98" t="s">
        <v>3419</v>
      </c>
      <c r="C7" s="101" t="str">
        <f>VLOOKUP(A7,'BSE ALL CAP'!$B$4:$Y$1038,2,)</f>
        <v>Telecommunication</v>
      </c>
      <c r="D7" s="101" t="str">
        <f>VLOOKUP(A7,'BSE ALL CAP'!$B$4:$Y$1038,3,)</f>
        <v>Telecom - Cellular &amp; Fixed line services</v>
      </c>
      <c r="E7" s="6">
        <f ca="1">IFERROR(__xludf.DUMMYFUNCTION("GOOGLEFINANCE(""BOM:""&amp;A7,""PRICE"")"),25.5)</f>
        <v>25.5</v>
      </c>
      <c r="F7" s="112">
        <f ca="1">IFERROR(__xludf.DUMMYFUNCTION("GOOGLEFINANCE(""BOM:""&amp;A7,""MARKETCAP"")/10000000"),1609.0200576)</f>
        <v>1609.0200576</v>
      </c>
      <c r="G7" s="95">
        <f t="shared" ca="1" si="0"/>
        <v>1.2279411048707993E-3</v>
      </c>
      <c r="H7" s="101">
        <f>VLOOKUP(A7,'BSE ALL CAP'!$B$4:$Y$1038,7,)</f>
        <v>660</v>
      </c>
      <c r="I7" s="101">
        <f>VLOOKUP(A7,'BSE ALL CAP'!$B$4:$Y$1038,8,)</f>
        <v>817</v>
      </c>
      <c r="J7" s="101">
        <f>VLOOKUP(A7,'BSE ALL CAP'!$B$4:$Y$1038,9,)</f>
        <v>-2800</v>
      </c>
      <c r="K7" s="101">
        <f>VLOOKUP(A7,'BSE ALL CAP'!$B$4:$Y$1038,10,)</f>
        <v>-2500</v>
      </c>
      <c r="L7" s="101">
        <f>VLOOKUP(A7,'BSE ALL CAP'!$B$4:$Y$1038,11,)</f>
        <v>197</v>
      </c>
      <c r="M7" s="101">
        <f>VLOOKUP(A7,'BSE ALL CAP'!$B$4:$Y$1038,12,)</f>
        <v>261</v>
      </c>
      <c r="N7" s="101">
        <f>VLOOKUP(A7,'BSE ALL CAP'!$B$4:$Y$1038,13,)</f>
        <v>-897</v>
      </c>
      <c r="O7" s="101">
        <f>VLOOKUP(A7,'BSE ALL CAP'!$B$4:$Y$1038,14,)</f>
        <v>-836</v>
      </c>
      <c r="P7" s="95">
        <f>VLOOKUP(A7,'BSE ALL CAP'!$B$4:$Y$1038,15,)</f>
        <v>-4.2424242424242422</v>
      </c>
      <c r="Q7" s="95">
        <f>VLOOKUP(A7,'BSE ALL CAP'!$B$4:$Y$1038,16,)</f>
        <v>-3.0599755201958385</v>
      </c>
      <c r="R7" s="95">
        <f>VLOOKUP(A7,'BSE ALL CAP'!$B$4:$Y$1038,17,)</f>
        <v>-1.1824487222284037</v>
      </c>
      <c r="S7" s="95">
        <f>VLOOKUP(A7,'BSE ALL CAP'!$B$4:$Y$1038,18,)</f>
        <v>-4.5532994923857872</v>
      </c>
      <c r="T7" s="95">
        <f>VLOOKUP(A7,'BSE ALL CAP'!$B$4:$Y$1038,19,)</f>
        <v>-3.2030651340996168</v>
      </c>
      <c r="U7" s="95">
        <f>VLOOKUP(A7,'BSE ALL CAP'!$B$4:$Y$1038,20,)</f>
        <v>-1.3502343582861704</v>
      </c>
      <c r="V7" s="95">
        <f>VLOOKUP(A7,'BSE ALL CAP'!$B$4:$Y$1038,21,)</f>
        <v>-0.19216646266829862</v>
      </c>
      <c r="W7" s="95">
        <f>VLOOKUP(A7,'BSE ALL CAP'!$B$4:$Y$1038,22,)</f>
        <v>0.12000000000000011</v>
      </c>
      <c r="X7" s="95">
        <f>VLOOKUP(A7,'BSE ALL CAP'!$B$4:$Y$1038,23,)</f>
        <v>-0.24521072796934862</v>
      </c>
      <c r="Y7" s="95">
        <f>VLOOKUP(A7,'BSE ALL CAP'!$B$4:$Y$1038,24,)</f>
        <v>7.2966507177033568E-2</v>
      </c>
    </row>
    <row r="8" spans="1:25" ht="15.75" customHeight="1">
      <c r="A8" s="99">
        <v>532712</v>
      </c>
      <c r="B8" s="98" t="s">
        <v>3420</v>
      </c>
      <c r="C8" s="101"/>
      <c r="D8" s="101"/>
      <c r="E8" s="6">
        <f ca="1">IFERROR(__xludf.DUMMYFUNCTION("GOOGLEFINANCE(""BOM:""&amp;A8,""PRICE"")"),0.86)</f>
        <v>0.86</v>
      </c>
      <c r="F8" s="112">
        <f ca="1">IFERROR(__xludf.DUMMYFUNCTION("GOOGLEFINANCE(""BOM:""&amp;A8,""MARKETCAP"")/10000000"),236.0057619)</f>
        <v>236.00576190000001</v>
      </c>
      <c r="G8" s="95">
        <f t="shared" ca="1" si="0"/>
        <v>1.8011035639644272E-4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538674</v>
      </c>
      <c r="B9" s="98" t="s">
        <v>3421</v>
      </c>
      <c r="C9" s="101"/>
      <c r="D9" s="101"/>
      <c r="E9" s="6">
        <f ca="1">IFERROR(__xludf.DUMMYFUNCTION("GOOGLEFINANCE(""BOM:""&amp;A9,""PRICE"")"),6.14)</f>
        <v>6.14</v>
      </c>
      <c r="F9" s="112">
        <f ca="1">IFERROR(__xludf.DUMMYFUNCTION("GOOGLEFINANCE(""BOM:""&amp;A9,""MARKETCAP"")/10000000"),3.1711251)</f>
        <v>3.1711250999999998</v>
      </c>
      <c r="G9" s="95">
        <f t="shared" ca="1" si="0"/>
        <v>2.4200785071540452E-6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8"/>
      <c r="B10" s="98"/>
      <c r="C10" s="101"/>
      <c r="D10" s="101"/>
      <c r="E10" s="101"/>
      <c r="F10" s="112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>
      <c r="A11" s="101"/>
      <c r="B11" s="101"/>
      <c r="C11" s="101"/>
      <c r="D11" s="101"/>
      <c r="E11" s="101"/>
      <c r="F11" s="112">
        <f ca="1">SUM(F2:F9)</f>
        <v>1310339.7640306999</v>
      </c>
      <c r="G11" s="95">
        <f ca="1">F11/$F$11</f>
        <v>1</v>
      </c>
      <c r="H11" s="101">
        <f t="shared" ref="H11:O11" si="1">SUM(H2:H9)</f>
        <v>215843</v>
      </c>
      <c r="I11" s="101">
        <f t="shared" si="1"/>
        <v>182859</v>
      </c>
      <c r="J11" s="101">
        <f t="shared" si="1"/>
        <v>5584</v>
      </c>
      <c r="K11" s="101">
        <f t="shared" si="1"/>
        <v>3140</v>
      </c>
      <c r="L11" s="101">
        <f t="shared" si="1"/>
        <v>74342</v>
      </c>
      <c r="M11" s="101">
        <f t="shared" si="1"/>
        <v>64888</v>
      </c>
      <c r="N11" s="101">
        <f t="shared" si="1"/>
        <v>3005</v>
      </c>
      <c r="O11" s="101">
        <f t="shared" si="1"/>
        <v>8870</v>
      </c>
      <c r="P11" s="95">
        <f t="shared" ref="P11:Q11" si="2">J11/H11</f>
        <v>2.5870655986063945E-2</v>
      </c>
      <c r="Q11" s="95">
        <f t="shared" si="2"/>
        <v>1.7171700599915782E-2</v>
      </c>
      <c r="R11" s="95">
        <f>P11-Q11</f>
        <v>8.6989553861481633E-3</v>
      </c>
      <c r="S11" s="95">
        <f t="shared" ref="S11:T11" si="3">N11/L11</f>
        <v>4.0421296171746793E-2</v>
      </c>
      <c r="T11" s="95">
        <f t="shared" si="3"/>
        <v>0.13669707804216497</v>
      </c>
      <c r="U11" s="95">
        <f>S11-T11</f>
        <v>-9.6275781870418173E-2</v>
      </c>
      <c r="V11" s="95">
        <f>(H11/I11)-1</f>
        <v>0.18037941802153568</v>
      </c>
      <c r="W11" s="95">
        <f>(J11/K11)-1</f>
        <v>0.77834394904458604</v>
      </c>
      <c r="X11" s="95">
        <f>(L11/M11)-1</f>
        <v>0.14569720133152519</v>
      </c>
      <c r="Y11" s="95">
        <f>(N11/O11)-1</f>
        <v>-0.66121758737316805</v>
      </c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9" xr:uid="{00000000-0009-0000-0000-00005C000000}"/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71">
        <v>522261</v>
      </c>
      <c r="B2" s="71" t="s">
        <v>3422</v>
      </c>
      <c r="C2" s="101" t="e">
        <f>VLOOKUP(A2,'BSE ALL CAP'!$B$4:$Y$1038,2,)</f>
        <v>#N/A</v>
      </c>
      <c r="D2" s="101" t="e">
        <f>VLOOKUP(A2,'BSE ALL CAP'!$B$4:$Y$1038,3,)</f>
        <v>#N/A</v>
      </c>
      <c r="E2" s="6">
        <f ca="1">IFERROR(__xludf.DUMMYFUNCTION("GOOGLEFINANCE(""BOM:""&amp;A2,""PRICE"")"),406.7)</f>
        <v>406.7</v>
      </c>
      <c r="F2" s="112">
        <f ca="1">IFERROR(__xludf.DUMMYFUNCTION("GOOGLEFINANCE(""BOM:""&amp;A2,""MARKETCAP"")/10000000"),1640.18819)</f>
        <v>1640.1881900000001</v>
      </c>
      <c r="G2" s="95">
        <f t="shared" ref="G2:G5" ca="1" si="0">F2/$F$7</f>
        <v>0.49790814399181188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.75" customHeight="1">
      <c r="A3" s="71">
        <v>511034</v>
      </c>
      <c r="B3" s="71" t="s">
        <v>3423</v>
      </c>
      <c r="C3" s="101" t="e">
        <f>VLOOKUP(A3,'BSE ALL CAP'!$B$4:$Y$1038,2,)</f>
        <v>#N/A</v>
      </c>
      <c r="D3" s="101" t="e">
        <f>VLOOKUP(A3,'BSE ALL CAP'!$B$4:$Y$1038,3,)</f>
        <v>#N/A</v>
      </c>
      <c r="E3" s="6">
        <f ca="1">IFERROR(__xludf.DUMMYFUNCTION("GOOGLEFINANCE(""BOM:""&amp;A3,""PRICE"")"),488)</f>
        <v>488</v>
      </c>
      <c r="F3" s="112">
        <f ca="1">IFERROR(__xludf.DUMMYFUNCTION("GOOGLEFINANCE(""BOM:""&amp;A3,""MARKETCAP"")/10000000"),1411.379083)</f>
        <v>1411.379083</v>
      </c>
      <c r="G3" s="95">
        <f t="shared" ca="1" si="0"/>
        <v>0.42844909137249393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71">
        <v>526397</v>
      </c>
      <c r="B4" s="71" t="s">
        <v>3424</v>
      </c>
      <c r="C4" s="101" t="e">
        <f>VLOOKUP(A4,'BSE ALL CAP'!$B$4:$Y$1038,2,)</f>
        <v>#N/A</v>
      </c>
      <c r="D4" s="101" t="e">
        <f>VLOOKUP(A4,'BSE ALL CAP'!$B$4:$Y$1038,3,)</f>
        <v>#N/A</v>
      </c>
      <c r="E4" s="6">
        <f ca="1">IFERROR(__xludf.DUMMYFUNCTION("GOOGLEFINANCE(""BOM:""&amp;A4,""PRICE"")"),187.1)</f>
        <v>187.1</v>
      </c>
      <c r="F4" s="112">
        <f ca="1">IFERROR(__xludf.DUMMYFUNCTION("GOOGLEFINANCE(""BOM:""&amp;A4,""MARKETCAP"")/10000000"),119.8486022)</f>
        <v>119.8486022</v>
      </c>
      <c r="G4" s="95">
        <f t="shared" ca="1" si="0"/>
        <v>3.6382163611003063E-2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71">
        <v>523204</v>
      </c>
      <c r="B5" s="71" t="s">
        <v>3425</v>
      </c>
      <c r="C5" s="101" t="e">
        <f>VLOOKUP(A5,'BSE ALL CAP'!$B$4:$Y$1038,2,)</f>
        <v>#N/A</v>
      </c>
      <c r="D5" s="101" t="e">
        <f>VLOOKUP(A5,'BSE ALL CAP'!$B$4:$Y$1038,3,)</f>
        <v>#N/A</v>
      </c>
      <c r="E5" s="6">
        <f ca="1">IFERROR(__xludf.DUMMYFUNCTION("GOOGLEFINANCE(""BOM:""&amp;A5,""PRICE"")"),21.12)</f>
        <v>21.12</v>
      </c>
      <c r="F5" s="112">
        <f ca="1">IFERROR(__xludf.DUMMYFUNCTION("GOOGLEFINANCE(""BOM:""&amp;A5,""MARKETCAP"")/10000000"),122.742314)</f>
        <v>122.74231399999999</v>
      </c>
      <c r="G5" s="95">
        <f t="shared" ca="1" si="0"/>
        <v>3.7260601024691066E-2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>
      <c r="A6" s="101"/>
      <c r="B6" s="101"/>
      <c r="C6" s="101"/>
      <c r="D6" s="101"/>
      <c r="E6" s="101"/>
      <c r="F6" s="112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342"/>
      <c r="B7" s="342"/>
      <c r="C7" s="101"/>
      <c r="D7" s="101"/>
      <c r="E7" s="101"/>
      <c r="F7" s="112">
        <f t="shared" ref="F7:G7" ca="1" si="1">SUM(F2:F5)</f>
        <v>3294.1581892000004</v>
      </c>
      <c r="G7" s="95">
        <f t="shared" ca="1" si="1"/>
        <v>1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F8" s="94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5" xr:uid="{00000000-0009-0000-0000-00005D000000}"/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outlinePr summaryBelow="0" summaryRight="0"/>
  </sheetPr>
  <dimension ref="A1:Y33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533570</v>
      </c>
      <c r="B2" s="98" t="s">
        <v>3426</v>
      </c>
      <c r="C2" s="101" t="e">
        <f>VLOOKUP(A2,'BSE ALL CAP'!$B$4:$Y$1038,2,)</f>
        <v>#N/A</v>
      </c>
      <c r="D2" s="101" t="e">
        <f>VLOOKUP(A2,'BSE ALL CAP'!$B$4:$Y$1038,3,)</f>
        <v>#N/A</v>
      </c>
      <c r="E2" s="101">
        <f ca="1">IFERROR(__xludf.DUMMYFUNCTION("GOOGLEFINANCE(""BOM:""&amp;A2,""PRICE"")"),123.74)</f>
        <v>123.74</v>
      </c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.75" customHeight="1">
      <c r="A3" s="99">
        <v>590106</v>
      </c>
      <c r="B3" s="98" t="s">
        <v>3427</v>
      </c>
      <c r="C3" s="101" t="e">
        <f>VLOOKUP(A3,'BSE ALL CAP'!$B$4:$Y$1038,2,)</f>
        <v>#N/A</v>
      </c>
      <c r="D3" s="101" t="e">
        <f>VLOOKUP(A3,'BSE ALL CAP'!$B$4:$Y$1038,3,)</f>
        <v>#N/A</v>
      </c>
      <c r="E3" s="101">
        <f ca="1">IFERROR(__xludf.DUMMYFUNCTION("GOOGLEFINANCE(""BOM:""&amp;A3,""PRICE"")"),541.75)</f>
        <v>541.75</v>
      </c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533408</v>
      </c>
      <c r="B4" s="98" t="s">
        <v>3428</v>
      </c>
      <c r="C4" s="101" t="e">
        <f>VLOOKUP(A4,'BSE ALL CAP'!$B$4:$Y$1038,2,)</f>
        <v>#N/A</v>
      </c>
      <c r="D4" s="101" t="e">
        <f>VLOOKUP(A4,'BSE ALL CAP'!$B$4:$Y$1038,3,)</f>
        <v>#N/A</v>
      </c>
      <c r="E4" s="101">
        <f ca="1">IFERROR(__xludf.DUMMYFUNCTION("GOOGLEFINANCE(""BOM:""&amp;A4,""PRICE"")"),130.38)</f>
        <v>130.38</v>
      </c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538057</v>
      </c>
      <c r="B5" s="98" t="s">
        <v>3429</v>
      </c>
      <c r="C5" s="101"/>
      <c r="D5" s="101"/>
      <c r="E5" s="101">
        <f ca="1">IFERROR(__xludf.DUMMYFUNCTION("GOOGLEFINANCE(""BOM:""&amp;A5,""PRICE"")"),101.5)</f>
        <v>101.5</v>
      </c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590097</v>
      </c>
      <c r="B6" s="98" t="s">
        <v>3430</v>
      </c>
      <c r="C6" s="101"/>
      <c r="D6" s="101"/>
      <c r="E6" s="101">
        <f ca="1">IFERROR(__xludf.DUMMYFUNCTION("GOOGLEFINANCE(""BOM:""&amp;A6,""PRICE"")"),123.78)</f>
        <v>123.78</v>
      </c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590095</v>
      </c>
      <c r="B7" s="98" t="s">
        <v>3431</v>
      </c>
      <c r="C7" s="101"/>
      <c r="D7" s="101"/>
      <c r="E7" s="101">
        <f ca="1">IFERROR(__xludf.DUMMYFUNCTION("GOOGLEFINANCE(""BOM:""&amp;A7,""PRICE"")"),122.7)</f>
        <v>122.7</v>
      </c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590101</v>
      </c>
      <c r="B8" s="98" t="s">
        <v>3432</v>
      </c>
      <c r="C8" s="101"/>
      <c r="D8" s="101"/>
      <c r="E8" s="101">
        <f ca="1">IFERROR(__xludf.DUMMYFUNCTION("GOOGLEFINANCE(""BOM:""&amp;A8,""PRICE"")"),124.81)</f>
        <v>124.81</v>
      </c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533244</v>
      </c>
      <c r="B9" s="98" t="s">
        <v>3433</v>
      </c>
      <c r="C9" s="101"/>
      <c r="D9" s="101"/>
      <c r="E9" s="101">
        <f ca="1">IFERROR(__xludf.DUMMYFUNCTION("GOOGLEFINANCE(""BOM:""&amp;A9,""PRICE"")"),127.13)</f>
        <v>127.13</v>
      </c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533230</v>
      </c>
      <c r="B10" s="98" t="s">
        <v>3434</v>
      </c>
      <c r="C10" s="101"/>
      <c r="D10" s="101"/>
      <c r="E10" s="101">
        <f ca="1">IFERROR(__xludf.DUMMYFUNCTION("GOOGLEFINANCE(""BOM:""&amp;A10,""PRICE"")"),126.55)</f>
        <v>126.55</v>
      </c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590113</v>
      </c>
      <c r="B11" s="98" t="s">
        <v>3435</v>
      </c>
      <c r="C11" s="101"/>
      <c r="D11" s="101"/>
      <c r="E11" s="101">
        <f ca="1">IFERROR(__xludf.DUMMYFUNCTION("GOOGLEFINANCE(""BOM:""&amp;A11,""PRICE"")"),480.95)</f>
        <v>480.95</v>
      </c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533172</v>
      </c>
      <c r="B12" s="98" t="s">
        <v>3436</v>
      </c>
      <c r="C12" s="101"/>
      <c r="D12" s="101"/>
      <c r="E12" s="101">
        <f ca="1">IFERROR(__xludf.DUMMYFUNCTION("GOOGLEFINANCE(""BOM:""&amp;A12,""PRICE"")"),12924.16)</f>
        <v>12924.16</v>
      </c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590104</v>
      </c>
      <c r="B13" s="98" t="s">
        <v>3437</v>
      </c>
      <c r="C13" s="101"/>
      <c r="D13" s="101"/>
      <c r="E13" s="101">
        <f ca="1">IFERROR(__xludf.DUMMYFUNCTION("GOOGLEFINANCE(""BOM:""&amp;A13,""PRICE"")"),676.65)</f>
        <v>676.65</v>
      </c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533719</v>
      </c>
      <c r="B14" s="98" t="s">
        <v>3438</v>
      </c>
      <c r="C14" s="101"/>
      <c r="D14" s="101"/>
      <c r="E14" s="101">
        <f ca="1">IFERROR(__xludf.DUMMYFUNCTION("GOOGLEFINANCE(""BOM:""&amp;A14,""PRICE"")"),133.91)</f>
        <v>133.91</v>
      </c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590096</v>
      </c>
      <c r="B15" s="98" t="s">
        <v>3439</v>
      </c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536960</v>
      </c>
      <c r="B16" s="98" t="s">
        <v>3440</v>
      </c>
      <c r="C16" s="101"/>
      <c r="D16" s="101"/>
      <c r="E16" s="101">
        <f ca="1">IFERROR(__xludf.DUMMYFUNCTION("GOOGLEFINANCE(""BOM:""&amp;A16,""PRICE"")"),58.78)</f>
        <v>58.78</v>
      </c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590115</v>
      </c>
      <c r="B17" s="98" t="s">
        <v>3441</v>
      </c>
      <c r="C17" s="101"/>
      <c r="D17" s="101"/>
      <c r="E17" s="101">
        <f ca="1">IFERROR(__xludf.DUMMYFUNCTION("GOOGLEFINANCE(""BOM:""&amp;A17,""PRICE"")"),239.43)</f>
        <v>239.43</v>
      </c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533385</v>
      </c>
      <c r="B18" s="98" t="s">
        <v>3442</v>
      </c>
      <c r="C18" s="101"/>
      <c r="D18" s="101"/>
      <c r="E18" s="101">
        <f ca="1">IFERROR(__xludf.DUMMYFUNCTION("GOOGLEFINANCE(""BOM:""&amp;A18,""PRICE"")"),241.37)</f>
        <v>241.37</v>
      </c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544352</v>
      </c>
      <c r="B19" s="98" t="s">
        <v>3443</v>
      </c>
      <c r="C19" s="101"/>
      <c r="D19" s="101"/>
      <c r="E19" s="101">
        <f ca="1">IFERROR(__xludf.DUMMYFUNCTION("GOOGLEFINANCE(""BOM:""&amp;A19,""PRICE"")"),38.23)</f>
        <v>38.229999999999997</v>
      </c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590103</v>
      </c>
      <c r="B20" s="98" t="s">
        <v>3444</v>
      </c>
      <c r="C20" s="101"/>
      <c r="D20" s="101"/>
      <c r="E20" s="101">
        <f ca="1">IFERROR(__xludf.DUMMYFUNCTION("GOOGLEFINANCE(""BOM:""&amp;A20,""PRICE"")"),259.81)</f>
        <v>259.81</v>
      </c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590107</v>
      </c>
      <c r="B21" s="98" t="s">
        <v>3445</v>
      </c>
      <c r="C21" s="101"/>
      <c r="D21" s="101"/>
      <c r="E21" s="101">
        <f ca="1">IFERROR(__xludf.DUMMYFUNCTION("GOOGLEFINANCE(""BOM:""&amp;A21,""PRICE"")"),822.71)</f>
        <v>822.71</v>
      </c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590108</v>
      </c>
      <c r="B22" s="98" t="s">
        <v>3446</v>
      </c>
      <c r="C22" s="101"/>
      <c r="D22" s="101"/>
      <c r="E22" s="101">
        <f ca="1">IFERROR(__xludf.DUMMYFUNCTION("GOOGLEFINANCE(""BOM:""&amp;A22,""PRICE"")"),92.15)</f>
        <v>92.15</v>
      </c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590099</v>
      </c>
      <c r="B23" s="98" t="s">
        <v>3447</v>
      </c>
      <c r="C23" s="101"/>
      <c r="D23" s="101"/>
      <c r="E23" s="101">
        <f ca="1">IFERROR(__xludf.DUMMYFUNCTION("GOOGLEFINANCE(""BOM:""&amp;A23,""PRICE"")"),122.8)</f>
        <v>122.8</v>
      </c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590110</v>
      </c>
      <c r="B24" s="98" t="s">
        <v>3448</v>
      </c>
      <c r="C24" s="101"/>
      <c r="D24" s="101"/>
      <c r="E24" s="101">
        <f ca="1">IFERROR(__xludf.DUMMYFUNCTION("GOOGLEFINANCE(""BOM:""&amp;A24,""PRICE"")"),250.2)</f>
        <v>250.2</v>
      </c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544376</v>
      </c>
      <c r="B25" s="98" t="s">
        <v>3449</v>
      </c>
      <c r="C25" s="101"/>
      <c r="D25" s="101"/>
      <c r="E25" s="101">
        <f ca="1">IFERROR(__xludf.DUMMYFUNCTION("GOOGLEFINANCE(""BOM:""&amp;A25,""PRICE"")"),39.14)</f>
        <v>39.14</v>
      </c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532985</v>
      </c>
      <c r="B26" s="98" t="s">
        <v>3450</v>
      </c>
      <c r="C26" s="101"/>
      <c r="D26" s="101"/>
      <c r="E26" s="101">
        <f ca="1">IFERROR(__xludf.DUMMYFUNCTION("GOOGLEFINANCE(""BOM:""&amp;A26,""PRICE"")"),80.87)</f>
        <v>80.87</v>
      </c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555555</v>
      </c>
      <c r="B27" s="98" t="s">
        <v>3451</v>
      </c>
      <c r="C27" s="101"/>
      <c r="D27" s="101"/>
      <c r="E27" s="101">
        <f ca="1">IFERROR(__xludf.DUMMYFUNCTION("GOOGLEFINANCE(""BOM:""&amp;A27,""PRICE"")"),842.66)</f>
        <v>842.66</v>
      </c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590098</v>
      </c>
      <c r="B28" s="98" t="s">
        <v>3452</v>
      </c>
      <c r="C28" s="101"/>
      <c r="D28" s="101"/>
      <c r="E28" s="101">
        <f ca="1">IFERROR(__xludf.DUMMYFUNCTION("GOOGLEFINANCE(""BOM:""&amp;A28,""PRICE"")"),126.59)</f>
        <v>126.59</v>
      </c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590109</v>
      </c>
      <c r="B29" s="98" t="s">
        <v>3453</v>
      </c>
      <c r="C29" s="101"/>
      <c r="D29" s="101"/>
      <c r="E29" s="101">
        <f ca="1">IFERROR(__xludf.DUMMYFUNCTION("GOOGLEFINANCE(""BOM:""&amp;A29,""PRICE"")"),452.46)</f>
        <v>452.46</v>
      </c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590145</v>
      </c>
      <c r="B30" s="98" t="s">
        <v>3454</v>
      </c>
      <c r="C30" s="101"/>
      <c r="D30" s="101"/>
      <c r="E30" s="101">
        <f ca="1">IFERROR(__xludf.DUMMYFUNCTION("GOOGLEFINANCE(""BOM:""&amp;A30,""PRICE"")"),221.96)</f>
        <v>221.96</v>
      </c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544384</v>
      </c>
      <c r="B31" s="98" t="s">
        <v>3455</v>
      </c>
      <c r="C31" s="101"/>
      <c r="D31" s="101"/>
      <c r="E31" s="101">
        <f ca="1">IFERROR(__xludf.DUMMYFUNCTION("GOOGLEFINANCE(""BOM:""&amp;A31,""PRICE"")"),23.55)</f>
        <v>23.55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3.2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3.2">
      <c r="A33" s="101"/>
      <c r="B33" s="101"/>
      <c r="C33" s="101"/>
      <c r="D33" s="101"/>
      <c r="E33" s="101"/>
      <c r="F33" s="101">
        <f>SUM(F2:F31)</f>
        <v>0</v>
      </c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</sheetData>
  <autoFilter ref="A1:Y31" xr:uid="{00000000-0009-0000-0000-00005E000000}"/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541770</v>
      </c>
      <c r="B2" s="98" t="s">
        <v>3456</v>
      </c>
      <c r="C2" s="101" t="str">
        <f>VLOOKUP(A2,'BSE ALL CAP'!$B$4:$Y$1038,2,)</f>
        <v>Financial Services</v>
      </c>
      <c r="D2" s="101" t="str">
        <f>VLOOKUP(A2,'BSE ALL CAP'!$B$4:$Y$1038,3,)</f>
        <v>Microfinance Institutions</v>
      </c>
      <c r="E2" s="101">
        <f ca="1">IFERROR(__xludf.DUMMYFUNCTION("GOOGLEFINANCE(""BOM:""&amp;A2,""PRICE"")"),1186.45)</f>
        <v>1186.45</v>
      </c>
      <c r="F2" s="112">
        <f ca="1">IFERROR(__xludf.DUMMYFUNCTION("GOOGLEFINANCE(""BOM:""&amp;A2,""MARKETCAP"")/10000000"),19048.9059688)</f>
        <v>19048.905968800002</v>
      </c>
      <c r="G2" s="95">
        <f t="shared" ref="G2:G6" ca="1" si="0">F2/$F$8</f>
        <v>0.69784384009240064</v>
      </c>
      <c r="H2" s="101">
        <f>VLOOKUP(A2,'BSE ALL CAP'!$B$4:$Y$1038,7,)</f>
        <v>4464</v>
      </c>
      <c r="I2" s="101">
        <f>VLOOKUP(A2,'BSE ALL CAP'!$B$4:$Y$1038,8,)</f>
        <v>4348</v>
      </c>
      <c r="J2" s="101">
        <f>VLOOKUP(A2,'BSE ALL CAP'!$B$4:$Y$1038,9,)</f>
        <v>438</v>
      </c>
      <c r="K2" s="101">
        <f>VLOOKUP(A2,'BSE ALL CAP'!$B$4:$Y$1038,10,)</f>
        <v>484</v>
      </c>
      <c r="L2" s="101">
        <f>VLOOKUP(A2,'BSE ALL CAP'!$B$4:$Y$1038,11,)</f>
        <v>1491</v>
      </c>
      <c r="M2" s="101">
        <f>VLOOKUP(A2,'BSE ALL CAP'!$B$4:$Y$1038,12,)</f>
        <v>1382</v>
      </c>
      <c r="N2" s="101">
        <f>VLOOKUP(A2,'BSE ALL CAP'!$B$4:$Y$1038,13,)</f>
        <v>252</v>
      </c>
      <c r="O2" s="101">
        <f>VLOOKUP(A2,'BSE ALL CAP'!$B$4:$Y$1038,14,)</f>
        <v>-99</v>
      </c>
      <c r="P2" s="95">
        <f>VLOOKUP(A2,'BSE ALL CAP'!$B$4:$Y$1038,15,)</f>
        <v>9.8118279569892469E-2</v>
      </c>
      <c r="Q2" s="95">
        <f>VLOOKUP(A2,'BSE ALL CAP'!$B$4:$Y$1038,16,)</f>
        <v>0.11131554737810488</v>
      </c>
      <c r="R2" s="95">
        <f>VLOOKUP(A2,'BSE ALL CAP'!$B$4:$Y$1038,17,)</f>
        <v>-1.3197267808212412E-2</v>
      </c>
      <c r="S2" s="95">
        <f>VLOOKUP(A2,'BSE ALL CAP'!$B$4:$Y$1038,18,)</f>
        <v>0.16901408450704225</v>
      </c>
      <c r="T2" s="95">
        <f>VLOOKUP(A2,'BSE ALL CAP'!$B$4:$Y$1038,19,)</f>
        <v>-7.1635311143270625E-2</v>
      </c>
      <c r="U2" s="95">
        <f>VLOOKUP(A2,'BSE ALL CAP'!$B$4:$Y$1038,20,)</f>
        <v>0.24064939565031288</v>
      </c>
      <c r="V2" s="95">
        <f>VLOOKUP(A2,'BSE ALL CAP'!$B$4:$Y$1038,21,)</f>
        <v>2.6678932842686187E-2</v>
      </c>
      <c r="W2" s="95">
        <f>VLOOKUP(A2,'BSE ALL CAP'!$B$4:$Y$1038,22,)</f>
        <v>-9.5041322314049603E-2</v>
      </c>
      <c r="X2" s="95">
        <f>VLOOKUP(A2,'BSE ALL CAP'!$B$4:$Y$1038,23,)</f>
        <v>7.8871201157742377E-2</v>
      </c>
      <c r="Y2" s="95">
        <f>VLOOKUP(A2,'BSE ALL CAP'!$B$4:$Y$1038,24,)</f>
        <v>-3.5454545454545454</v>
      </c>
    </row>
    <row r="3" spans="1:25" ht="15.75" customHeight="1">
      <c r="A3" s="99">
        <v>543652</v>
      </c>
      <c r="B3" s="98" t="s">
        <v>3457</v>
      </c>
      <c r="C3" s="101" t="str">
        <f>VLOOKUP(A3,'BSE ALL CAP'!$B$4:$Y$1038,2,)</f>
        <v>Financial Services</v>
      </c>
      <c r="D3" s="101" t="str">
        <f>VLOOKUP(A3,'BSE ALL CAP'!$B$4:$Y$1038,3,)</f>
        <v>Microfinance Institutions</v>
      </c>
      <c r="E3" s="101">
        <f ca="1">IFERROR(__xludf.DUMMYFUNCTION("GOOGLEFINANCE(""BOM:""&amp;A3,""PRICE"")"),153.95)</f>
        <v>153.94999999999999</v>
      </c>
      <c r="F3" s="112">
        <f ca="1">IFERROR(__xludf.DUMMYFUNCTION("GOOGLEFINANCE(""BOM:""&amp;A3,""MARKETCAP"")/10000000"),2479.7027773)</f>
        <v>2479.7027773</v>
      </c>
      <c r="G3" s="95">
        <f t="shared" ca="1" si="0"/>
        <v>9.0842241083718966E-2</v>
      </c>
      <c r="H3" s="101">
        <f>VLOOKUP(A3,'BSE ALL CAP'!$B$4:$Y$1038,7,)</f>
        <v>1275</v>
      </c>
      <c r="I3" s="101">
        <f>VLOOKUP(A3,'BSE ALL CAP'!$B$4:$Y$1038,8,)</f>
        <v>1870</v>
      </c>
      <c r="J3" s="101">
        <f>VLOOKUP(A3,'BSE ALL CAP'!$B$4:$Y$1038,9,)</f>
        <v>-100</v>
      </c>
      <c r="K3" s="101">
        <f>VLOOKUP(A3,'BSE ALL CAP'!$B$4:$Y$1038,10,)</f>
        <v>-1060</v>
      </c>
      <c r="L3" s="101">
        <f>VLOOKUP(A3,'BSE ALL CAP'!$B$4:$Y$1038,11,)</f>
        <v>416</v>
      </c>
      <c r="M3" s="101">
        <f>VLOOKUP(A3,'BSE ALL CAP'!$B$4:$Y$1038,12,)</f>
        <v>480</v>
      </c>
      <c r="N3" s="101">
        <f>VLOOKUP(A3,'BSE ALL CAP'!$B$4:$Y$1038,13,)</f>
        <v>14</v>
      </c>
      <c r="O3" s="101">
        <f>VLOOKUP(A3,'BSE ALL CAP'!$B$4:$Y$1038,14,)</f>
        <v>-719</v>
      </c>
      <c r="P3" s="95">
        <f>VLOOKUP(A3,'BSE ALL CAP'!$B$4:$Y$1038,15,)</f>
        <v>-7.8431372549019607E-2</v>
      </c>
      <c r="Q3" s="95">
        <f>VLOOKUP(A3,'BSE ALL CAP'!$B$4:$Y$1038,16,)</f>
        <v>-0.5668449197860963</v>
      </c>
      <c r="R3" s="95">
        <f>VLOOKUP(A3,'BSE ALL CAP'!$B$4:$Y$1038,17,)</f>
        <v>0.4884135472370767</v>
      </c>
      <c r="S3" s="95">
        <f>VLOOKUP(A3,'BSE ALL CAP'!$B$4:$Y$1038,18,)</f>
        <v>3.3653846153846152E-2</v>
      </c>
      <c r="T3" s="95">
        <f>VLOOKUP(A3,'BSE ALL CAP'!$B$4:$Y$1038,19,)</f>
        <v>-1.4979166666666666</v>
      </c>
      <c r="U3" s="95">
        <f>VLOOKUP(A3,'BSE ALL CAP'!$B$4:$Y$1038,20,)</f>
        <v>1.5315705128205128</v>
      </c>
      <c r="V3" s="95">
        <f>VLOOKUP(A3,'BSE ALL CAP'!$B$4:$Y$1038,21,)</f>
        <v>-0.31818181818181823</v>
      </c>
      <c r="W3" s="95">
        <f>VLOOKUP(A3,'BSE ALL CAP'!$B$4:$Y$1038,22,)</f>
        <v>-0.90566037735849059</v>
      </c>
      <c r="X3" s="95">
        <f>VLOOKUP(A3,'BSE ALL CAP'!$B$4:$Y$1038,23,)</f>
        <v>-0.1333333333333333</v>
      </c>
      <c r="Y3" s="95">
        <f>VLOOKUP(A3,'BSE ALL CAP'!$B$4:$Y$1038,24,)</f>
        <v>-1.0194714881780251</v>
      </c>
    </row>
    <row r="4" spans="1:25" ht="15.75" customHeight="1">
      <c r="A4" s="99">
        <v>544055</v>
      </c>
      <c r="B4" s="98" t="s">
        <v>3458</v>
      </c>
      <c r="C4" s="101" t="str">
        <f>VLOOKUP(A4,'BSE ALL CAP'!$B$4:$Y$1038,2,)</f>
        <v>Financial Services</v>
      </c>
      <c r="D4" s="101" t="str">
        <f>VLOOKUP(A4,'BSE ALL CAP'!$B$4:$Y$1038,3,)</f>
        <v>Microfinance Institutions</v>
      </c>
      <c r="E4" s="101">
        <f ca="1">IFERROR(__xludf.DUMMYFUNCTION("GOOGLEFINANCE(""BOM:""&amp;A4,""PRICE"")"),154.85)</f>
        <v>154.85</v>
      </c>
      <c r="F4" s="112">
        <f ca="1">IFERROR(__xludf.DUMMYFUNCTION("GOOGLEFINANCE(""BOM:""&amp;A4,""MARKETCAP"")/10000000"),2595.7140401)</f>
        <v>2595.7140401000001</v>
      </c>
      <c r="G4" s="95">
        <f t="shared" ca="1" si="0"/>
        <v>9.5092235558935576E-2</v>
      </c>
      <c r="H4" s="101">
        <f>VLOOKUP(A4,'BSE ALL CAP'!$B$4:$Y$1038,7,)</f>
        <v>1737</v>
      </c>
      <c r="I4" s="101">
        <f>VLOOKUP(A4,'BSE ALL CAP'!$B$4:$Y$1038,8,)</f>
        <v>2006</v>
      </c>
      <c r="J4" s="101">
        <f>VLOOKUP(A4,'BSE ALL CAP'!$B$4:$Y$1038,9,)</f>
        <v>99</v>
      </c>
      <c r="K4" s="101">
        <f>VLOOKUP(A4,'BSE ALL CAP'!$B$4:$Y$1038,10,)</f>
        <v>178</v>
      </c>
      <c r="L4" s="101">
        <f>VLOOKUP(A4,'BSE ALL CAP'!$B$4:$Y$1038,11,)</f>
        <v>605</v>
      </c>
      <c r="M4" s="101">
        <f>VLOOKUP(A4,'BSE ALL CAP'!$B$4:$Y$1038,12,)</f>
        <v>681</v>
      </c>
      <c r="N4" s="101">
        <f>VLOOKUP(A4,'BSE ALL CAP'!$B$4:$Y$1038,13,)</f>
        <v>62</v>
      </c>
      <c r="O4" s="101">
        <f>VLOOKUP(A4,'BSE ALL CAP'!$B$4:$Y$1038,14,)</f>
        <v>3</v>
      </c>
      <c r="P4" s="95">
        <f>VLOOKUP(A4,'BSE ALL CAP'!$B$4:$Y$1038,15,)</f>
        <v>5.6994818652849742E-2</v>
      </c>
      <c r="Q4" s="95">
        <f>VLOOKUP(A4,'BSE ALL CAP'!$B$4:$Y$1038,16,)</f>
        <v>8.8733798604187439E-2</v>
      </c>
      <c r="R4" s="95">
        <f>VLOOKUP(A4,'BSE ALL CAP'!$B$4:$Y$1038,17,)</f>
        <v>-3.1738979951337697E-2</v>
      </c>
      <c r="S4" s="95">
        <f>VLOOKUP(A4,'BSE ALL CAP'!$B$4:$Y$1038,18,)</f>
        <v>0.10247933884297521</v>
      </c>
      <c r="T4" s="95">
        <f>VLOOKUP(A4,'BSE ALL CAP'!$B$4:$Y$1038,19,)</f>
        <v>4.4052863436123352E-3</v>
      </c>
      <c r="U4" s="95">
        <f>VLOOKUP(A4,'BSE ALL CAP'!$B$4:$Y$1038,20,)</f>
        <v>9.8074052499362865E-2</v>
      </c>
      <c r="V4" s="95">
        <f>VLOOKUP(A4,'BSE ALL CAP'!$B$4:$Y$1038,21,)</f>
        <v>-0.13409770687936196</v>
      </c>
      <c r="W4" s="95">
        <f>VLOOKUP(A4,'BSE ALL CAP'!$B$4:$Y$1038,22,)</f>
        <v>-0.4438202247191011</v>
      </c>
      <c r="X4" s="95">
        <f>VLOOKUP(A4,'BSE ALL CAP'!$B$4:$Y$1038,23,)</f>
        <v>-0.11160058737151246</v>
      </c>
      <c r="Y4" s="95">
        <f>VLOOKUP(A4,'BSE ALL CAP'!$B$4:$Y$1038,24,)</f>
        <v>19.666666666666668</v>
      </c>
    </row>
    <row r="5" spans="1:25" ht="15.75" customHeight="1">
      <c r="A5" s="99">
        <v>542759</v>
      </c>
      <c r="B5" s="98" t="s">
        <v>3459</v>
      </c>
      <c r="C5" s="101"/>
      <c r="D5" s="101"/>
      <c r="E5" s="101">
        <f ca="1">IFERROR(__xludf.DUMMYFUNCTION("GOOGLEFINANCE(""BOM:""&amp;A5,""PRICE"")"),202)</f>
        <v>202</v>
      </c>
      <c r="F5" s="112">
        <f ca="1">IFERROR(__xludf.DUMMYFUNCTION("GOOGLEFINANCE(""BOM:""&amp;A5,""MARKETCAP"")/10000000"),1573.3648907)</f>
        <v>1573.3648906999999</v>
      </c>
      <c r="G5" s="95">
        <f t="shared" ca="1" si="0"/>
        <v>5.7639163056975029E-2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539404</v>
      </c>
      <c r="B6" s="98" t="s">
        <v>3460</v>
      </c>
      <c r="C6" s="101"/>
      <c r="D6" s="101"/>
      <c r="E6" s="101">
        <f ca="1">IFERROR(__xludf.DUMMYFUNCTION("GOOGLEFINANCE(""BOM:""&amp;A6,""PRICE"")"),145.35)</f>
        <v>145.35</v>
      </c>
      <c r="F6" s="112">
        <f ca="1">IFERROR(__xludf.DUMMYFUNCTION("GOOGLEFINANCE(""BOM:""&amp;A6,""MARKETCAP"")/10000000"),1599.1155252)</f>
        <v>1599.1155252000001</v>
      </c>
      <c r="G6" s="95">
        <f t="shared" ca="1" si="0"/>
        <v>5.8582520207969876E-2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101"/>
      <c r="B7" s="101"/>
      <c r="C7" s="101"/>
      <c r="D7" s="101"/>
      <c r="E7" s="101"/>
      <c r="F7" s="112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12">
        <f t="shared" ref="F8:O8" ca="1" si="1">SUM(F2:F6)</f>
        <v>27296.8032021</v>
      </c>
      <c r="G8" s="95">
        <f t="shared" ca="1" si="1"/>
        <v>1</v>
      </c>
      <c r="H8" s="101">
        <f t="shared" si="1"/>
        <v>7476</v>
      </c>
      <c r="I8" s="101">
        <f t="shared" si="1"/>
        <v>8224</v>
      </c>
      <c r="J8" s="101">
        <f t="shared" si="1"/>
        <v>437</v>
      </c>
      <c r="K8" s="101">
        <f t="shared" si="1"/>
        <v>-398</v>
      </c>
      <c r="L8" s="101">
        <f t="shared" si="1"/>
        <v>2512</v>
      </c>
      <c r="M8" s="101">
        <f t="shared" si="1"/>
        <v>2543</v>
      </c>
      <c r="N8" s="101">
        <f t="shared" si="1"/>
        <v>328</v>
      </c>
      <c r="O8" s="101">
        <f t="shared" si="1"/>
        <v>-815</v>
      </c>
      <c r="P8" s="95">
        <f t="shared" ref="P8:Q8" si="2">J8/H8</f>
        <v>5.8453718566078117E-2</v>
      </c>
      <c r="Q8" s="95">
        <f t="shared" si="2"/>
        <v>-4.8394941634241247E-2</v>
      </c>
      <c r="R8" s="95">
        <f>P8-Q8</f>
        <v>0.10684866020031936</v>
      </c>
      <c r="S8" s="95">
        <f t="shared" ref="S8:T8" si="3">N8/L8</f>
        <v>0.13057324840764331</v>
      </c>
      <c r="T8" s="95">
        <f t="shared" si="3"/>
        <v>-0.32048761305544632</v>
      </c>
      <c r="U8" s="95">
        <f>S8-T8</f>
        <v>0.45106086146308966</v>
      </c>
      <c r="V8" s="95">
        <f>(H8/I8)-1</f>
        <v>-9.0953307392996119E-2</v>
      </c>
      <c r="W8" s="95">
        <f>(J8/K8)-1</f>
        <v>-2.0979899497487438</v>
      </c>
      <c r="X8" s="95">
        <f>(L8/M8)-1</f>
        <v>-1.2190326386158135E-2</v>
      </c>
      <c r="Y8" s="95">
        <f>(N8/O8)-1</f>
        <v>-1.4024539877300612</v>
      </c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6" xr:uid="{00000000-0009-0000-0000-00005F000000}"/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cols>
    <col min="1" max="1" width="10.6640625" customWidth="1"/>
  </cols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>
      <c r="A2" s="6">
        <v>531768</v>
      </c>
      <c r="B2" s="6" t="s">
        <v>3461</v>
      </c>
      <c r="C2" s="101" t="str">
        <f>VLOOKUP(A2,'BSE ALL CAP'!$B$4:$Y$1038,2,)</f>
        <v>Healthcare</v>
      </c>
      <c r="D2" s="101" t="str">
        <f>VLOOKUP(A2,'BSE ALL CAP'!$B$4:$Y$1038,3,)</f>
        <v>Medical Equipment &amp; Supplies</v>
      </c>
      <c r="E2" s="6">
        <f ca="1">IFERROR(__xludf.DUMMYFUNCTION("GOOGLEFINANCE(""BOM:""&amp;A2,""PRICE"")"),1356.8)</f>
        <v>1356.8</v>
      </c>
      <c r="F2" s="112">
        <f ca="1">IFERROR(__xludf.DUMMYFUNCTION("GOOGLEFINANCE(""BOM:""&amp;A2,""MARKETCAP"")/10000000"),13767.6477969)</f>
        <v>13767.647796900001</v>
      </c>
      <c r="G2" s="95">
        <f t="shared" ref="G2:G19" ca="1" si="0">F2/$F$21</f>
        <v>0.66556698975893469</v>
      </c>
      <c r="H2" s="101">
        <f>VLOOKUP(A2,'BSE ALL CAP'!$B$4:$Y$1038,7,)</f>
        <v>1340</v>
      </c>
      <c r="I2" s="101">
        <f>VLOOKUP(A2,'BSE ALL CAP'!$B$4:$Y$1038,8,)</f>
        <v>1229</v>
      </c>
      <c r="J2" s="101">
        <f>VLOOKUP(A2,'BSE ALL CAP'!$B$4:$Y$1038,9,)</f>
        <v>255</v>
      </c>
      <c r="K2" s="101">
        <f>VLOOKUP(A2,'BSE ALL CAP'!$B$4:$Y$1038,10,)</f>
        <v>246</v>
      </c>
      <c r="L2" s="101">
        <f>VLOOKUP(A2,'BSE ALL CAP'!$B$4:$Y$1038,11,)</f>
        <v>493</v>
      </c>
      <c r="M2" s="101">
        <f>VLOOKUP(A2,'BSE ALL CAP'!$B$4:$Y$1038,12,)</f>
        <v>424</v>
      </c>
      <c r="N2" s="101">
        <f>VLOOKUP(A2,'BSE ALL CAP'!$B$4:$Y$1038,13,)</f>
        <v>70</v>
      </c>
      <c r="O2" s="101">
        <f>VLOOKUP(A2,'BSE ALL CAP'!$B$4:$Y$1038,14,)</f>
        <v>85</v>
      </c>
      <c r="P2" s="95">
        <f>VLOOKUP(A2,'BSE ALL CAP'!$B$4:$Y$1038,15,)</f>
        <v>0.19029850746268656</v>
      </c>
      <c r="Q2" s="95">
        <f>VLOOKUP(A2,'BSE ALL CAP'!$B$4:$Y$1038,16,)</f>
        <v>0.2001627339300244</v>
      </c>
      <c r="R2" s="95">
        <f>VLOOKUP(A2,'BSE ALL CAP'!$B$4:$Y$1038,17,)</f>
        <v>-9.8642264673378388E-3</v>
      </c>
      <c r="S2" s="95">
        <f>VLOOKUP(A2,'BSE ALL CAP'!$B$4:$Y$1038,18,)</f>
        <v>0.14198782961460446</v>
      </c>
      <c r="T2" s="95">
        <f>VLOOKUP(A2,'BSE ALL CAP'!$B$4:$Y$1038,19,)</f>
        <v>0.20047169811320756</v>
      </c>
      <c r="U2" s="95">
        <f>VLOOKUP(A2,'BSE ALL CAP'!$B$4:$Y$1038,20,)</f>
        <v>-5.8483868498603098E-2</v>
      </c>
      <c r="V2" s="95">
        <f>VLOOKUP(A2,'BSE ALL CAP'!$B$4:$Y$1038,21,)</f>
        <v>9.0317331163547676E-2</v>
      </c>
      <c r="W2" s="95">
        <f>VLOOKUP(A2,'BSE ALL CAP'!$B$4:$Y$1038,22,)</f>
        <v>3.6585365853658569E-2</v>
      </c>
      <c r="X2" s="95">
        <f>VLOOKUP(A2,'BSE ALL CAP'!$B$4:$Y$1038,23,)</f>
        <v>0.16273584905660377</v>
      </c>
      <c r="Y2" s="95">
        <f>VLOOKUP(A2,'BSE ALL CAP'!$B$4:$Y$1038,24,)</f>
        <v>-0.17647058823529416</v>
      </c>
    </row>
    <row r="3" spans="1:25">
      <c r="A3" s="6">
        <v>524743</v>
      </c>
      <c r="B3" s="6" t="s">
        <v>3462</v>
      </c>
      <c r="C3" s="101" t="str">
        <f>VLOOKUP(A3,'BSE ALL CAP'!$B$4:$Y$1038,2,)</f>
        <v>Healthcare</v>
      </c>
      <c r="D3" s="101" t="str">
        <f>VLOOKUP(A3,'BSE ALL CAP'!$B$4:$Y$1038,3,)</f>
        <v>Medical Equipment &amp; Supplies</v>
      </c>
      <c r="E3" s="6">
        <f ca="1">IFERROR(__xludf.DUMMYFUNCTION("GOOGLEFINANCE(""BOM:""&amp;A3,""PRICE"")"),40.47)</f>
        <v>40.47</v>
      </c>
      <c r="F3" s="112">
        <f ca="1">IFERROR(__xludf.DUMMYFUNCTION("GOOGLEFINANCE(""BOM:""&amp;A3,""MARKETCAP"")/10000000"),2662.804732)</f>
        <v>2662.8047320000001</v>
      </c>
      <c r="G3" s="95">
        <f t="shared" ca="1" si="0"/>
        <v>0.12872750348771575</v>
      </c>
      <c r="H3" s="101">
        <f>VLOOKUP(A3,'BSE ALL CAP'!$B$4:$Y$1038,7,)</f>
        <v>210</v>
      </c>
      <c r="I3" s="101">
        <f>VLOOKUP(A3,'BSE ALL CAP'!$B$4:$Y$1038,8,)</f>
        <v>61</v>
      </c>
      <c r="J3" s="101">
        <f>VLOOKUP(A3,'BSE ALL CAP'!$B$4:$Y$1038,9,)</f>
        <v>38</v>
      </c>
      <c r="K3" s="101">
        <f>VLOOKUP(A3,'BSE ALL CAP'!$B$4:$Y$1038,10,)</f>
        <v>-0.42</v>
      </c>
      <c r="L3" s="101">
        <f>VLOOKUP(A3,'BSE ALL CAP'!$B$4:$Y$1038,11,)</f>
        <v>101</v>
      </c>
      <c r="M3" s="101">
        <f>VLOOKUP(A3,'BSE ALL CAP'!$B$4:$Y$1038,12,)</f>
        <v>11</v>
      </c>
      <c r="N3" s="101">
        <f>VLOOKUP(A3,'BSE ALL CAP'!$B$4:$Y$1038,13,)</f>
        <v>19</v>
      </c>
      <c r="O3" s="101">
        <f>VLOOKUP(A3,'BSE ALL CAP'!$B$4:$Y$1038,14,)</f>
        <v>-0.39</v>
      </c>
      <c r="P3" s="95">
        <f>VLOOKUP(A3,'BSE ALL CAP'!$B$4:$Y$1038,15,)</f>
        <v>0.18095238095238095</v>
      </c>
      <c r="Q3" s="95">
        <f>VLOOKUP(A3,'BSE ALL CAP'!$B$4:$Y$1038,16,)</f>
        <v>-6.8852459016393438E-3</v>
      </c>
      <c r="R3" s="95">
        <f>VLOOKUP(A3,'BSE ALL CAP'!$B$4:$Y$1038,17,)</f>
        <v>0.18783762685402028</v>
      </c>
      <c r="S3" s="95">
        <f>VLOOKUP(A3,'BSE ALL CAP'!$B$4:$Y$1038,18,)</f>
        <v>0.18811881188118812</v>
      </c>
      <c r="T3" s="95">
        <f>VLOOKUP(A3,'BSE ALL CAP'!$B$4:$Y$1038,19,)</f>
        <v>-3.5454545454545454E-2</v>
      </c>
      <c r="U3" s="95">
        <f>VLOOKUP(A3,'BSE ALL CAP'!$B$4:$Y$1038,20,)</f>
        <v>0.22357335733573358</v>
      </c>
      <c r="V3" s="95">
        <f>VLOOKUP(A3,'BSE ALL CAP'!$B$4:$Y$1038,21,)</f>
        <v>2.442622950819672</v>
      </c>
      <c r="W3" s="95">
        <f>VLOOKUP(A3,'BSE ALL CAP'!$B$4:$Y$1038,22,)</f>
        <v>-91.476190476190482</v>
      </c>
      <c r="X3" s="95">
        <f>VLOOKUP(A3,'BSE ALL CAP'!$B$4:$Y$1038,23,)</f>
        <v>8.1818181818181817</v>
      </c>
      <c r="Y3" s="95">
        <f>VLOOKUP(A3,'BSE ALL CAP'!$B$4:$Y$1038,24,)</f>
        <v>-49.717948717948715</v>
      </c>
    </row>
    <row r="4" spans="1:25">
      <c r="A4" s="6">
        <v>544339</v>
      </c>
      <c r="B4" s="6" t="s">
        <v>3463</v>
      </c>
      <c r="C4" s="6"/>
      <c r="D4" s="6"/>
      <c r="E4" s="6">
        <f ca="1">IFERROR(__xludf.DUMMYFUNCTION("GOOGLEFINANCE(""BOM:""&amp;A4,""PRICE"")"),185.25)</f>
        <v>185.25</v>
      </c>
      <c r="F4" s="112">
        <f ca="1">IFERROR(__xludf.DUMMYFUNCTION("GOOGLEFINANCE(""BOM:""&amp;A4,""MARKETCAP"")/10000000"),1018.6133506)</f>
        <v>1018.6133506</v>
      </c>
      <c r="G4" s="95">
        <f t="shared" ca="1" si="0"/>
        <v>4.9242647072926755E-2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>
      <c r="A5" s="6">
        <v>543399</v>
      </c>
      <c r="B5" s="6" t="s">
        <v>3464</v>
      </c>
      <c r="C5" s="6"/>
      <c r="D5" s="6"/>
      <c r="E5" s="6">
        <f ca="1">IFERROR(__xludf.DUMMYFUNCTION("GOOGLEFINANCE(""BOM:""&amp;A5,""PRICE"")"),184.85)</f>
        <v>184.85</v>
      </c>
      <c r="F5" s="112">
        <f ca="1">IFERROR(__xludf.DUMMYFUNCTION("GOOGLEFINANCE(""BOM:""&amp;A5,""MARKETCAP"")/10000000"),983.9967703)</f>
        <v>983.99677029999998</v>
      </c>
      <c r="G5" s="95">
        <f t="shared" ca="1" si="0"/>
        <v>4.7569183785232311E-2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>
      <c r="A6" s="6">
        <v>544558</v>
      </c>
      <c r="B6" s="6" t="s">
        <v>3465</v>
      </c>
      <c r="C6" s="6"/>
      <c r="D6" s="6"/>
      <c r="E6" s="6">
        <f ca="1">IFERROR(__xludf.DUMMYFUNCTION("GOOGLEFINANCE(""BOM:""&amp;A6,""PRICE"")"),149.35)</f>
        <v>149.35</v>
      </c>
      <c r="F6" s="112">
        <f ca="1">IFERROR(__xludf.DUMMYFUNCTION("GOOGLEFINANCE(""BOM:""&amp;A6,""MARKETCAP"")/10000000"),671.206929)</f>
        <v>671.20692899999995</v>
      </c>
      <c r="G6" s="95">
        <f t="shared" ca="1" si="0"/>
        <v>3.2448039187961929E-2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6">
        <v>543363</v>
      </c>
      <c r="B7" s="6" t="s">
        <v>3466</v>
      </c>
      <c r="C7" s="6"/>
      <c r="D7" s="6"/>
      <c r="E7" s="6">
        <f ca="1">IFERROR(__xludf.DUMMYFUNCTION("GOOGLEFINANCE(""BOM:""&amp;A7,""PRICE"")"),385.75)</f>
        <v>385.75</v>
      </c>
      <c r="F7" s="112">
        <f ca="1">IFERROR(__xludf.DUMMYFUNCTION("GOOGLEFINANCE(""BOM:""&amp;A7,""MARKETCAP"")/10000000"),463.0153392)</f>
        <v>463.01533920000003</v>
      </c>
      <c r="G7" s="95">
        <f t="shared" ca="1" si="0"/>
        <v>2.2383469570811134E-2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6">
        <v>543916</v>
      </c>
      <c r="B8" s="6" t="s">
        <v>3467</v>
      </c>
      <c r="C8" s="6"/>
      <c r="D8" s="6"/>
      <c r="E8" s="6">
        <f ca="1">IFERROR(__xludf.DUMMYFUNCTION("GOOGLEFINANCE(""BOM:""&amp;A8,""PRICE"")"),274)</f>
        <v>274</v>
      </c>
      <c r="F8" s="112">
        <f ca="1">IFERROR(__xludf.DUMMYFUNCTION("GOOGLEFINANCE(""BOM:""&amp;A8,""MARKETCAP"")/10000000"),357.251886)</f>
        <v>357.25188600000001</v>
      </c>
      <c r="G8" s="95">
        <f t="shared" ca="1" si="0"/>
        <v>1.7270565448678957E-2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A9" s="6">
        <v>543264</v>
      </c>
      <c r="B9" s="6" t="s">
        <v>3468</v>
      </c>
      <c r="C9" s="6"/>
      <c r="D9" s="6"/>
      <c r="E9" s="6">
        <f ca="1">IFERROR(__xludf.DUMMYFUNCTION("GOOGLEFINANCE(""BOM:""&amp;A9,""PRICE"")"),238.5)</f>
        <v>238.5</v>
      </c>
      <c r="F9" s="112">
        <f ca="1">IFERROR(__xludf.DUMMYFUNCTION("GOOGLEFINANCE(""BOM:""&amp;A9,""MARKETCAP"")/10000000"),227.9660381)</f>
        <v>227.96603809999999</v>
      </c>
      <c r="G9" s="95">
        <f t="shared" ca="1" si="0"/>
        <v>1.1020522313161673E-2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>
      <c r="A10" s="6">
        <v>544549</v>
      </c>
      <c r="B10" s="6" t="s">
        <v>3469</v>
      </c>
      <c r="C10" s="6"/>
      <c r="D10" s="6"/>
      <c r="E10" s="6">
        <f ca="1">IFERROR(__xludf.DUMMYFUNCTION("GOOGLEFINANCE(""BOM:""&amp;A10,""PRICE"")"),121)</f>
        <v>121</v>
      </c>
      <c r="F10" s="112">
        <f ca="1">IFERROR(__xludf.DUMMYFUNCTION("GOOGLEFINANCE(""BOM:""&amp;A10,""MARKETCAP"")/10000000"),166.422553)</f>
        <v>166.42255299999999</v>
      </c>
      <c r="G10" s="95">
        <f t="shared" ca="1" si="0"/>
        <v>8.0453363756986356E-3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>
      <c r="A11" s="6">
        <v>544143</v>
      </c>
      <c r="B11" s="6" t="s">
        <v>3470</v>
      </c>
      <c r="C11" s="6"/>
      <c r="D11" s="6"/>
      <c r="E11" s="6">
        <f ca="1">IFERROR(__xludf.DUMMYFUNCTION("GOOGLEFINANCE(""BOM:""&amp;A11,""PRICE"")"),152.6)</f>
        <v>152.6</v>
      </c>
      <c r="F11" s="112">
        <f ca="1">IFERROR(__xludf.DUMMYFUNCTION("GOOGLEFINANCE(""BOM:""&amp;A11,""MARKETCAP"")/10000000"),81.6432312)</f>
        <v>81.643231200000002</v>
      </c>
      <c r="G11" s="95">
        <f t="shared" ca="1" si="0"/>
        <v>3.9468644481312209E-3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>
      <c r="A12" s="6">
        <v>530427</v>
      </c>
      <c r="B12" s="6" t="s">
        <v>3471</v>
      </c>
      <c r="C12" s="6"/>
      <c r="D12" s="6"/>
      <c r="E12" s="6">
        <f ca="1">IFERROR(__xludf.DUMMYFUNCTION("GOOGLEFINANCE(""BOM:""&amp;A12,""PRICE"")"),145.1)</f>
        <v>145.1</v>
      </c>
      <c r="F12" s="112">
        <f ca="1">IFERROR(__xludf.DUMMYFUNCTION("GOOGLEFINANCE(""BOM:""&amp;A12,""MARKETCAP"")/10000000"),82.723008)</f>
        <v>82.723007999999993</v>
      </c>
      <c r="G12" s="95">
        <f t="shared" ca="1" si="0"/>
        <v>3.9990639091422257E-3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>
      <c r="A13" s="6">
        <v>544169</v>
      </c>
      <c r="B13" s="6" t="s">
        <v>3472</v>
      </c>
      <c r="C13" s="6"/>
      <c r="D13" s="6"/>
      <c r="E13" s="6">
        <f ca="1">IFERROR(__xludf.DUMMYFUNCTION("GOOGLEFINANCE(""BOM:""&amp;A13,""PRICE"")"),52)</f>
        <v>52</v>
      </c>
      <c r="F13" s="112">
        <f ca="1">IFERROR(__xludf.DUMMYFUNCTION("GOOGLEFINANCE(""BOM:""&amp;A13,""MARKETCAP"")/10000000"),45.00933)</f>
        <v>45.009329999999999</v>
      </c>
      <c r="G13" s="95">
        <f t="shared" ca="1" si="0"/>
        <v>2.175878168957208E-3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>
      <c r="A14" s="6">
        <v>527005</v>
      </c>
      <c r="B14" s="6" t="s">
        <v>3473</v>
      </c>
      <c r="C14" s="6"/>
      <c r="D14" s="6"/>
      <c r="E14" s="6">
        <f ca="1">IFERROR(__xludf.DUMMYFUNCTION("GOOGLEFINANCE(""BOM:""&amp;A14,""PRICE"")"),117.38)</f>
        <v>117.38</v>
      </c>
      <c r="F14" s="112">
        <f ca="1">IFERROR(__xludf.DUMMYFUNCTION("GOOGLEFINANCE(""BOM:""&amp;A14,""MARKETCAP"")/10000000"),44.0139658)</f>
        <v>44.013965800000001</v>
      </c>
      <c r="G14" s="95">
        <f t="shared" ca="1" si="0"/>
        <v>2.127759451505925E-3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>
      <c r="A15" s="6">
        <v>540468</v>
      </c>
      <c r="B15" s="6" t="s">
        <v>3474</v>
      </c>
      <c r="C15" s="6"/>
      <c r="D15" s="6"/>
      <c r="E15" s="6">
        <f ca="1">IFERROR(__xludf.DUMMYFUNCTION("GOOGLEFINANCE(""BOM:""&amp;A15,""PRICE"")"),126.5)</f>
        <v>126.5</v>
      </c>
      <c r="F15" s="112">
        <f ca="1">IFERROR(__xludf.DUMMYFUNCTION("GOOGLEFINANCE(""BOM:""&amp;A15,""MARKETCAP"")/10000000"),41.745)</f>
        <v>41.744999999999997</v>
      </c>
      <c r="G15" s="95">
        <f t="shared" ca="1" si="0"/>
        <v>2.0180712346333225E-3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>
      <c r="A16" s="6">
        <v>531380</v>
      </c>
      <c r="B16" s="6" t="s">
        <v>3475</v>
      </c>
      <c r="C16" s="6"/>
      <c r="D16" s="6"/>
      <c r="E16" s="6">
        <f ca="1">IFERROR(__xludf.DUMMYFUNCTION("GOOGLEFINANCE(""BOM:""&amp;A16,""PRICE"")"),76.3)</f>
        <v>76.3</v>
      </c>
      <c r="F16" s="112">
        <f ca="1">IFERROR(__xludf.DUMMYFUNCTION("GOOGLEFINANCE(""BOM:""&amp;A16,""MARKETCAP"")/10000000"),27.8365301)</f>
        <v>27.836530100000001</v>
      </c>
      <c r="G16" s="95">
        <f t="shared" ca="1" si="0"/>
        <v>1.3456965065711977E-3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>
      <c r="A17" s="6">
        <v>533212</v>
      </c>
      <c r="B17" s="6" t="s">
        <v>3476</v>
      </c>
      <c r="C17" s="6"/>
      <c r="D17" s="6"/>
      <c r="E17" s="6">
        <f ca="1">IFERROR(__xludf.DUMMYFUNCTION("GOOGLEFINANCE(""BOM:""&amp;A17,""PRICE"")"),56)</f>
        <v>56</v>
      </c>
      <c r="F17" s="112">
        <f ca="1">IFERROR(__xludf.DUMMYFUNCTION("GOOGLEFINANCE(""BOM:""&amp;A17,""MARKETCAP"")/10000000"),28.2272424)</f>
        <v>28.227242400000002</v>
      </c>
      <c r="G17" s="95">
        <f t="shared" ca="1" si="0"/>
        <v>1.3645846429623206E-3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>
      <c r="A18" s="6">
        <v>542765</v>
      </c>
      <c r="B18" s="6" t="s">
        <v>3477</v>
      </c>
      <c r="C18" s="6"/>
      <c r="D18" s="6"/>
      <c r="E18" s="6">
        <f ca="1">IFERROR(__xludf.DUMMYFUNCTION("GOOGLEFINANCE(""BOM:""&amp;A18,""PRICE"")"),200)</f>
        <v>200</v>
      </c>
      <c r="F18" s="112">
        <f ca="1">IFERROR(__xludf.DUMMYFUNCTION("GOOGLEFINANCE(""BOM:""&amp;A18,""MARKETCAP"")/10000000"),7.734598)</f>
        <v>7.7345980000000001</v>
      </c>
      <c r="G18" s="95">
        <f t="shared" ca="1" si="0"/>
        <v>3.7391231848730213E-4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>
      <c r="A19" s="6">
        <v>542765</v>
      </c>
      <c r="B19" s="6" t="s">
        <v>3477</v>
      </c>
      <c r="C19" s="6"/>
      <c r="D19" s="6"/>
      <c r="E19" s="6">
        <f ca="1">IFERROR(__xludf.DUMMYFUNCTION("GOOGLEFINANCE(""BOM:""&amp;A19,""PRICE"")"),200)</f>
        <v>200</v>
      </c>
      <c r="F19" s="112">
        <f ca="1">IFERROR(__xludf.DUMMYFUNCTION("GOOGLEFINANCE(""BOM:""&amp;A19,""MARKETCAP"")/10000000"),7.734598)</f>
        <v>7.7345980000000001</v>
      </c>
      <c r="G19" s="95">
        <f t="shared" ca="1" si="0"/>
        <v>3.7391231848730213E-4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>
      <c r="A20" s="101"/>
      <c r="B20" s="101"/>
      <c r="C20" s="6"/>
      <c r="D20" s="6"/>
      <c r="E20" s="6"/>
      <c r="F20" s="112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>
      <c r="A21" s="6"/>
      <c r="B21" s="6"/>
      <c r="C21" s="6"/>
      <c r="D21" s="6"/>
      <c r="E21" s="6"/>
      <c r="F21" s="112">
        <f t="shared" ref="F21:O21" ca="1" si="1">SUM(F2:F19)</f>
        <v>20685.592898600004</v>
      </c>
      <c r="G21" s="95">
        <f t="shared" ca="1" si="1"/>
        <v>0.99999999999999978</v>
      </c>
      <c r="H21" s="101">
        <f t="shared" si="1"/>
        <v>1550</v>
      </c>
      <c r="I21" s="101">
        <f t="shared" si="1"/>
        <v>1290</v>
      </c>
      <c r="J21" s="101">
        <f t="shared" si="1"/>
        <v>293</v>
      </c>
      <c r="K21" s="101">
        <f t="shared" si="1"/>
        <v>245.58</v>
      </c>
      <c r="L21" s="101">
        <f t="shared" si="1"/>
        <v>594</v>
      </c>
      <c r="M21" s="101">
        <f t="shared" si="1"/>
        <v>435</v>
      </c>
      <c r="N21" s="101">
        <f t="shared" si="1"/>
        <v>89</v>
      </c>
      <c r="O21" s="101">
        <f t="shared" si="1"/>
        <v>84.61</v>
      </c>
      <c r="P21" s="95">
        <f t="shared" ref="P21:Q21" si="2">J21/H21</f>
        <v>0.18903225806451612</v>
      </c>
      <c r="Q21" s="95">
        <f t="shared" si="2"/>
        <v>0.19037209302325583</v>
      </c>
      <c r="R21" s="95">
        <f>P21-Q21</f>
        <v>-1.3398349587397107E-3</v>
      </c>
      <c r="S21" s="95">
        <f t="shared" ref="S21:T21" si="3">N21/L21</f>
        <v>0.14983164983164984</v>
      </c>
      <c r="T21" s="95">
        <f t="shared" si="3"/>
        <v>0.19450574712643678</v>
      </c>
      <c r="U21" s="95">
        <f>S21-T21</f>
        <v>-4.4674097294786941E-2</v>
      </c>
      <c r="V21" s="95">
        <f>(H21/I21)-1</f>
        <v>0.20155038759689914</v>
      </c>
      <c r="W21" s="95">
        <f>(J21/K21)-1</f>
        <v>0.1930939001547356</v>
      </c>
      <c r="X21" s="95">
        <f>(L21/M21)-1</f>
        <v>0.36551724137931041</v>
      </c>
      <c r="Y21" s="95">
        <f>(N21/O21)-1</f>
        <v>5.1885119962179482E-2</v>
      </c>
    </row>
    <row r="22" spans="1:25">
      <c r="C22" s="1"/>
      <c r="D22" s="1"/>
      <c r="E22" s="1"/>
      <c r="F22" s="94"/>
    </row>
    <row r="23" spans="1:25">
      <c r="A23" s="1"/>
      <c r="B23" s="1"/>
      <c r="C23" s="1"/>
      <c r="D23" s="1"/>
      <c r="E23" s="1"/>
      <c r="F23" s="94"/>
    </row>
    <row r="24" spans="1:25">
      <c r="C24" s="1"/>
      <c r="D24" s="1"/>
      <c r="E24" s="1"/>
      <c r="F24" s="94"/>
    </row>
    <row r="25" spans="1:25" ht="13.2">
      <c r="A25" s="1"/>
      <c r="B25" s="1"/>
      <c r="C25" s="1"/>
      <c r="D25" s="1"/>
      <c r="E25" s="1"/>
      <c r="F25" s="94"/>
    </row>
    <row r="26" spans="1:25" ht="13.2">
      <c r="C26" s="1"/>
      <c r="D26" s="1"/>
      <c r="E26" s="1"/>
      <c r="F26" s="94"/>
    </row>
    <row r="27" spans="1:25" ht="13.2">
      <c r="A27" s="1"/>
      <c r="B27" s="1"/>
      <c r="C27" s="1"/>
      <c r="D27" s="1"/>
      <c r="E27" s="1"/>
      <c r="F27" s="94"/>
    </row>
    <row r="28" spans="1:25" ht="13.2">
      <c r="C28" s="1"/>
      <c r="D28" s="1"/>
      <c r="E28" s="1"/>
      <c r="F28" s="94"/>
    </row>
    <row r="29" spans="1:25" ht="13.2">
      <c r="A29" s="1"/>
      <c r="B29" s="1"/>
      <c r="C29" s="1"/>
      <c r="D29" s="1"/>
      <c r="E29" s="1"/>
      <c r="F29" s="94"/>
    </row>
    <row r="30" spans="1:25" ht="13.2">
      <c r="C30" s="1"/>
      <c r="D30" s="1"/>
      <c r="E30" s="1"/>
      <c r="F30" s="94"/>
    </row>
    <row r="31" spans="1:25" ht="13.2">
      <c r="A31" s="1"/>
      <c r="B31" s="1"/>
      <c r="C31" s="1"/>
      <c r="D31" s="1"/>
      <c r="E31" s="1"/>
      <c r="F31" s="94"/>
    </row>
    <row r="32" spans="1:25" ht="13.2">
      <c r="C32" s="1"/>
      <c r="D32" s="1"/>
      <c r="E32" s="1"/>
      <c r="F32" s="94"/>
    </row>
    <row r="33" spans="3:6" ht="13.2">
      <c r="C33" s="1"/>
      <c r="D33" s="1"/>
      <c r="E33" s="1"/>
      <c r="F33" s="94"/>
    </row>
    <row r="34" spans="3:6" ht="13.2">
      <c r="C34" s="1"/>
      <c r="D34" s="1"/>
      <c r="E34" s="1"/>
      <c r="F34" s="94"/>
    </row>
    <row r="35" spans="3:6" ht="13.2">
      <c r="F35" s="94"/>
    </row>
    <row r="36" spans="3:6" ht="13.2">
      <c r="F36" s="94"/>
    </row>
    <row r="37" spans="3:6" ht="13.2">
      <c r="F37" s="94"/>
    </row>
    <row r="38" spans="3:6" ht="13.2">
      <c r="F38" s="94"/>
    </row>
    <row r="39" spans="3:6" ht="13.2">
      <c r="F39" s="94"/>
    </row>
    <row r="40" spans="3:6" ht="13.2">
      <c r="F40" s="94"/>
    </row>
    <row r="41" spans="3:6" ht="13.2">
      <c r="F41" s="94"/>
    </row>
    <row r="42" spans="3:6" ht="13.2">
      <c r="F42" s="94"/>
    </row>
    <row r="43" spans="3:6" ht="13.2">
      <c r="F43" s="94"/>
    </row>
    <row r="44" spans="3:6" ht="13.2">
      <c r="F44" s="94"/>
    </row>
    <row r="45" spans="3:6" ht="13.2">
      <c r="F45" s="94"/>
    </row>
    <row r="46" spans="3:6" ht="13.2">
      <c r="F46" s="94"/>
    </row>
    <row r="47" spans="3:6" ht="13.2">
      <c r="F47" s="94"/>
    </row>
    <row r="48" spans="3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9" xr:uid="{00000000-0009-0000-0000-000060000000}"/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532748</v>
      </c>
      <c r="B2" s="98" t="s">
        <v>3478</v>
      </c>
      <c r="C2" s="101" t="str">
        <f>VLOOKUP(A2,'BSE ALL CAP'!$B$4:$Y$1038,2,)</f>
        <v>Consumer Discretionary</v>
      </c>
      <c r="D2" s="101" t="str">
        <f>VLOOKUP(A2,'BSE ALL CAP'!$B$4:$Y$1038,3,)</f>
        <v>Media &amp; Entertainment</v>
      </c>
      <c r="E2" s="101">
        <f ca="1">IFERROR(__xludf.DUMMYFUNCTION("GOOGLEFINANCE(""BOM:""&amp;A2,""PRICE"")"),351.85)</f>
        <v>351.85</v>
      </c>
      <c r="F2" s="112">
        <f ca="1">IFERROR(__xludf.DUMMYFUNCTION("GOOGLEFINANCE(""BOM:""&amp;A2,""MARKETCAP"")/10000000"),27291.5903492)</f>
        <v>27291.5903492</v>
      </c>
      <c r="G2" s="95">
        <f t="shared" ref="G2:G15" ca="1" si="0">F2/$F$17</f>
        <v>0.57676523979110517</v>
      </c>
      <c r="H2" s="101">
        <f>VLOOKUP(A2,'BSE ALL CAP'!$B$4:$Y$1038,7,)</f>
        <v>3211</v>
      </c>
      <c r="I2" s="101">
        <f>VLOOKUP(A2,'BSE ALL CAP'!$B$4:$Y$1038,8,)</f>
        <v>2570</v>
      </c>
      <c r="J2" s="101">
        <f>VLOOKUP(A2,'BSE ALL CAP'!$B$4:$Y$1038,9,)</f>
        <v>183</v>
      </c>
      <c r="K2" s="101">
        <f>VLOOKUP(A2,'BSE ALL CAP'!$B$4:$Y$1038,10,)</f>
        <v>-206</v>
      </c>
      <c r="L2" s="101">
        <f>VLOOKUP(A2,'BSE ALL CAP'!$B$4:$Y$1038,11,)</f>
        <v>1192</v>
      </c>
      <c r="M2" s="101">
        <f>VLOOKUP(A2,'BSE ALL CAP'!$B$4:$Y$1038,12,)</f>
        <v>889</v>
      </c>
      <c r="N2" s="101">
        <f>VLOOKUP(A2,'BSE ALL CAP'!$B$4:$Y$1038,13,)</f>
        <v>69</v>
      </c>
      <c r="O2" s="101">
        <f>VLOOKUP(A2,'BSE ALL CAP'!$B$4:$Y$1038,14,)</f>
        <v>-98</v>
      </c>
      <c r="P2" s="95">
        <f>VLOOKUP(A2,'BSE ALL CAP'!$B$4:$Y$1038,15,)</f>
        <v>5.6991591404546869E-2</v>
      </c>
      <c r="Q2" s="95">
        <f>VLOOKUP(A2,'BSE ALL CAP'!$B$4:$Y$1038,16,)</f>
        <v>-8.015564202334631E-2</v>
      </c>
      <c r="R2" s="95">
        <f>VLOOKUP(A2,'BSE ALL CAP'!$B$4:$Y$1038,17,)</f>
        <v>0.13714723342789317</v>
      </c>
      <c r="S2" s="95">
        <f>VLOOKUP(A2,'BSE ALL CAP'!$B$4:$Y$1038,18,)</f>
        <v>5.7885906040268456E-2</v>
      </c>
      <c r="T2" s="95">
        <f>VLOOKUP(A2,'BSE ALL CAP'!$B$4:$Y$1038,19,)</f>
        <v>-0.11023622047244094</v>
      </c>
      <c r="U2" s="95">
        <f>VLOOKUP(A2,'BSE ALL CAP'!$B$4:$Y$1038,20,)</f>
        <v>0.16812212651270941</v>
      </c>
      <c r="V2" s="95">
        <f>VLOOKUP(A2,'BSE ALL CAP'!$B$4:$Y$1038,21,)</f>
        <v>0.24941634241245136</v>
      </c>
      <c r="W2" s="95">
        <f>VLOOKUP(A2,'BSE ALL CAP'!$B$4:$Y$1038,22,)</f>
        <v>-1.8883495145631068</v>
      </c>
      <c r="X2" s="95">
        <f>VLOOKUP(A2,'BSE ALL CAP'!$B$4:$Y$1038,23,)</f>
        <v>0.34083239595050618</v>
      </c>
      <c r="Y2" s="95">
        <f>VLOOKUP(A2,'BSE ALL CAP'!$B$4:$Y$1038,24,)</f>
        <v>-1.7040816326530612</v>
      </c>
    </row>
    <row r="3" spans="1:25" ht="15.75" customHeight="1">
      <c r="A3" s="99">
        <v>532375</v>
      </c>
      <c r="B3" s="98" t="s">
        <v>3479</v>
      </c>
      <c r="C3" s="101" t="str">
        <f>VLOOKUP(A3,'BSE ALL CAP'!$B$4:$Y$1038,2,)</f>
        <v>Consumer Discretionary</v>
      </c>
      <c r="D3" s="101" t="str">
        <f>VLOOKUP(A3,'BSE ALL CAP'!$B$4:$Y$1038,3,)</f>
        <v>Media &amp; Entertainment</v>
      </c>
      <c r="E3" s="101">
        <f ca="1">IFERROR(__xludf.DUMMYFUNCTION("GOOGLEFINANCE(""BOM:""&amp;A3,""PRICE"")"),527.95)</f>
        <v>527.95000000000005</v>
      </c>
      <c r="F3" s="112">
        <f ca="1">IFERROR(__xludf.DUMMYFUNCTION("GOOGLEFINANCE(""BOM:""&amp;A3,""MARKETCAP"")/10000000"),6755.2557735)</f>
        <v>6755.2557735</v>
      </c>
      <c r="G3" s="95">
        <f t="shared" ca="1" si="0"/>
        <v>0.14276180560387111</v>
      </c>
      <c r="H3" s="101">
        <f>VLOOKUP(A3,'BSE ALL CAP'!$B$4:$Y$1038,7,)</f>
        <v>271</v>
      </c>
      <c r="I3" s="101">
        <f>VLOOKUP(A3,'BSE ALL CAP'!$B$4:$Y$1038,8,)</f>
        <v>232</v>
      </c>
      <c r="J3" s="101">
        <f>VLOOKUP(A3,'BSE ALL CAP'!$B$4:$Y$1038,9,)</f>
        <v>157</v>
      </c>
      <c r="K3" s="101">
        <f>VLOOKUP(A3,'BSE ALL CAP'!$B$4:$Y$1038,10,)</f>
        <v>135</v>
      </c>
      <c r="L3" s="101">
        <f>VLOOKUP(A3,'BSE ALL CAP'!$B$4:$Y$1038,11,)</f>
        <v>94</v>
      </c>
      <c r="M3" s="101">
        <f>VLOOKUP(A3,'BSE ALL CAP'!$B$4:$Y$1038,12,)</f>
        <v>77</v>
      </c>
      <c r="N3" s="101">
        <f>VLOOKUP(A3,'BSE ALL CAP'!$B$4:$Y$1038,13,)</f>
        <v>58</v>
      </c>
      <c r="O3" s="101">
        <f>VLOOKUP(A3,'BSE ALL CAP'!$B$4:$Y$1038,14,)</f>
        <v>44</v>
      </c>
      <c r="P3" s="95">
        <f>VLOOKUP(A3,'BSE ALL CAP'!$B$4:$Y$1038,15,)</f>
        <v>0.57933579335793361</v>
      </c>
      <c r="Q3" s="95">
        <f>VLOOKUP(A3,'BSE ALL CAP'!$B$4:$Y$1038,16,)</f>
        <v>0.5818965517241379</v>
      </c>
      <c r="R3" s="95">
        <f>VLOOKUP(A3,'BSE ALL CAP'!$B$4:$Y$1038,17,)</f>
        <v>-2.5607583662042854E-3</v>
      </c>
      <c r="S3" s="95">
        <f>VLOOKUP(A3,'BSE ALL CAP'!$B$4:$Y$1038,18,)</f>
        <v>0.61702127659574468</v>
      </c>
      <c r="T3" s="95">
        <f>VLOOKUP(A3,'BSE ALL CAP'!$B$4:$Y$1038,19,)</f>
        <v>0.5714285714285714</v>
      </c>
      <c r="U3" s="95">
        <f>VLOOKUP(A3,'BSE ALL CAP'!$B$4:$Y$1038,20,)</f>
        <v>4.5592705167173286E-2</v>
      </c>
      <c r="V3" s="95">
        <f>VLOOKUP(A3,'BSE ALL CAP'!$B$4:$Y$1038,21,)</f>
        <v>0.1681034482758621</v>
      </c>
      <c r="W3" s="95">
        <f>VLOOKUP(A3,'BSE ALL CAP'!$B$4:$Y$1038,22,)</f>
        <v>0.16296296296296298</v>
      </c>
      <c r="X3" s="95">
        <f>VLOOKUP(A3,'BSE ALL CAP'!$B$4:$Y$1038,23,)</f>
        <v>0.22077922077922074</v>
      </c>
      <c r="Y3" s="95">
        <f>VLOOKUP(A3,'BSE ALL CAP'!$B$4:$Y$1038,24,)</f>
        <v>0.31818181818181812</v>
      </c>
    </row>
    <row r="4" spans="1:25" ht="15.75" customHeight="1">
      <c r="A4" s="99">
        <v>532163</v>
      </c>
      <c r="B4" s="98" t="s">
        <v>3480</v>
      </c>
      <c r="C4" s="101" t="str">
        <f>VLOOKUP(A4,'BSE ALL CAP'!$B$4:$Y$1038,2,)</f>
        <v>Consumer Discretionary</v>
      </c>
      <c r="D4" s="101" t="str">
        <f>VLOOKUP(A4,'BSE ALL CAP'!$B$4:$Y$1038,3,)</f>
        <v>Media &amp; Entertainment</v>
      </c>
      <c r="E4" s="101">
        <f ca="1">IFERROR(__xludf.DUMMYFUNCTION("GOOGLEFINANCE(""BOM:""&amp;A4,""PRICE"")"),317.5)</f>
        <v>317.5</v>
      </c>
      <c r="F4" s="112">
        <f ca="1">IFERROR(__xludf.DUMMYFUNCTION("GOOGLEFINANCE(""BOM:""&amp;A4,""MARKETCAP"")/10000000"),6098.5535493)</f>
        <v>6098.5535492999998</v>
      </c>
      <c r="G4" s="95">
        <f t="shared" ca="1" si="0"/>
        <v>0.12888342728418598</v>
      </c>
      <c r="H4" s="101">
        <f>VLOOKUP(A4,'BSE ALL CAP'!$B$4:$Y$1038,7,)</f>
        <v>697</v>
      </c>
      <c r="I4" s="101">
        <f>VLOOKUP(A4,'BSE ALL CAP'!$B$4:$Y$1038,8,)</f>
        <v>930</v>
      </c>
      <c r="J4" s="101">
        <f>VLOOKUP(A4,'BSE ALL CAP'!$B$4:$Y$1038,9,)</f>
        <v>131</v>
      </c>
      <c r="K4" s="101">
        <f>VLOOKUP(A4,'BSE ALL CAP'!$B$4:$Y$1038,10,)</f>
        <v>144</v>
      </c>
      <c r="L4" s="101">
        <f>VLOOKUP(A4,'BSE ALL CAP'!$B$4:$Y$1038,11,)</f>
        <v>260</v>
      </c>
      <c r="M4" s="101">
        <f>VLOOKUP(A4,'BSE ALL CAP'!$B$4:$Y$1038,12,)</f>
        <v>483</v>
      </c>
      <c r="N4" s="101">
        <f>VLOOKUP(A4,'BSE ALL CAP'!$B$4:$Y$1038,13,)</f>
        <v>51</v>
      </c>
      <c r="O4" s="101">
        <f>VLOOKUP(A4,'BSE ALL CAP'!$B$4:$Y$1038,14,)</f>
        <v>62</v>
      </c>
      <c r="P4" s="95">
        <f>VLOOKUP(A4,'BSE ALL CAP'!$B$4:$Y$1038,15,)</f>
        <v>0.18794835007173602</v>
      </c>
      <c r="Q4" s="95">
        <f>VLOOKUP(A4,'BSE ALL CAP'!$B$4:$Y$1038,16,)</f>
        <v>0.15483870967741936</v>
      </c>
      <c r="R4" s="95">
        <f>VLOOKUP(A4,'BSE ALL CAP'!$B$4:$Y$1038,17,)</f>
        <v>3.3109640394316658E-2</v>
      </c>
      <c r="S4" s="95">
        <f>VLOOKUP(A4,'BSE ALL CAP'!$B$4:$Y$1038,18,)</f>
        <v>0.19615384615384615</v>
      </c>
      <c r="T4" s="95">
        <f>VLOOKUP(A4,'BSE ALL CAP'!$B$4:$Y$1038,19,)</f>
        <v>0.12836438923395446</v>
      </c>
      <c r="U4" s="95">
        <f>VLOOKUP(A4,'BSE ALL CAP'!$B$4:$Y$1038,20,)</f>
        <v>6.7789456919891689E-2</v>
      </c>
      <c r="V4" s="95">
        <f>VLOOKUP(A4,'BSE ALL CAP'!$B$4:$Y$1038,21,)</f>
        <v>-0.25053763440860211</v>
      </c>
      <c r="W4" s="95">
        <f>VLOOKUP(A4,'BSE ALL CAP'!$B$4:$Y$1038,22,)</f>
        <v>-9.027777777777779E-2</v>
      </c>
      <c r="X4" s="95">
        <f>VLOOKUP(A4,'BSE ALL CAP'!$B$4:$Y$1038,23,)</f>
        <v>-0.4616977225672878</v>
      </c>
      <c r="Y4" s="95">
        <f>VLOOKUP(A4,'BSE ALL CAP'!$B$4:$Y$1038,24,)</f>
        <v>-0.17741935483870963</v>
      </c>
    </row>
    <row r="5" spans="1:25" ht="15.75" customHeight="1">
      <c r="A5" s="99">
        <v>532798</v>
      </c>
      <c r="B5" s="98" t="s">
        <v>3481</v>
      </c>
      <c r="C5" s="101" t="str">
        <f>VLOOKUP(A5,'BSE ALL CAP'!$B$4:$Y$1038,2,)</f>
        <v>Consumer Discretionary</v>
      </c>
      <c r="D5" s="101" t="str">
        <f>VLOOKUP(A5,'BSE ALL CAP'!$B$4:$Y$1038,3,)</f>
        <v>Media &amp; Entertainment</v>
      </c>
      <c r="E5" s="101">
        <f ca="1">IFERROR(__xludf.DUMMYFUNCTION("GOOGLEFINANCE(""BOM:""&amp;A5,""PRICE"")"),30.35)</f>
        <v>30.35</v>
      </c>
      <c r="F5" s="112">
        <f ca="1">IFERROR(__xludf.DUMMYFUNCTION("GOOGLEFINANCE(""BOM:""&amp;A5,""MARKETCAP"")/10000000"),4664.55)</f>
        <v>4664.55</v>
      </c>
      <c r="G5" s="95">
        <f t="shared" ca="1" si="0"/>
        <v>9.8577996549272628E-2</v>
      </c>
      <c r="H5" s="101">
        <f>VLOOKUP(A5,'BSE ALL CAP'!$B$4:$Y$1038,7,)</f>
        <v>1505</v>
      </c>
      <c r="I5" s="101">
        <f>VLOOKUP(A5,'BSE ALL CAP'!$B$4:$Y$1038,8,)</f>
        <v>6326</v>
      </c>
      <c r="J5" s="101">
        <f>VLOOKUP(A5,'BSE ALL CAP'!$B$4:$Y$1038,9,)</f>
        <v>184</v>
      </c>
      <c r="K5" s="101">
        <f>VLOOKUP(A5,'BSE ALL CAP'!$B$4:$Y$1038,10,)</f>
        <v>-1747</v>
      </c>
      <c r="L5" s="101">
        <f>VLOOKUP(A5,'BSE ALL CAP'!$B$4:$Y$1038,11,)</f>
        <v>539</v>
      </c>
      <c r="M5" s="101">
        <f>VLOOKUP(A5,'BSE ALL CAP'!$B$4:$Y$1038,12,)</f>
        <v>1360</v>
      </c>
      <c r="N5" s="101">
        <f>VLOOKUP(A5,'BSE ALL CAP'!$B$4:$Y$1038,13,)</f>
        <v>-5</v>
      </c>
      <c r="O5" s="101">
        <f>VLOOKUP(A5,'BSE ALL CAP'!$B$4:$Y$1038,14,)</f>
        <v>-1399</v>
      </c>
      <c r="P5" s="95">
        <f>VLOOKUP(A5,'BSE ALL CAP'!$B$4:$Y$1038,15,)</f>
        <v>0.12225913621262459</v>
      </c>
      <c r="Q5" s="95">
        <f>VLOOKUP(A5,'BSE ALL CAP'!$B$4:$Y$1038,16,)</f>
        <v>-0.27616187164084732</v>
      </c>
      <c r="R5" s="95">
        <f>VLOOKUP(A5,'BSE ALL CAP'!$B$4:$Y$1038,17,)</f>
        <v>0.3984210078534719</v>
      </c>
      <c r="S5" s="95">
        <f>VLOOKUP(A5,'BSE ALL CAP'!$B$4:$Y$1038,18,)</f>
        <v>-9.2764378478664197E-3</v>
      </c>
      <c r="T5" s="95">
        <f>VLOOKUP(A5,'BSE ALL CAP'!$B$4:$Y$1038,19,)</f>
        <v>-1.0286764705882352</v>
      </c>
      <c r="U5" s="95">
        <f>VLOOKUP(A5,'BSE ALL CAP'!$B$4:$Y$1038,20,)</f>
        <v>1.0194000327403687</v>
      </c>
      <c r="V5" s="95">
        <f>VLOOKUP(A5,'BSE ALL CAP'!$B$4:$Y$1038,21,)</f>
        <v>-0.76209294973126784</v>
      </c>
      <c r="W5" s="95">
        <f>VLOOKUP(A5,'BSE ALL CAP'!$B$4:$Y$1038,22,)</f>
        <v>-1.1053234115626789</v>
      </c>
      <c r="X5" s="95">
        <f>VLOOKUP(A5,'BSE ALL CAP'!$B$4:$Y$1038,23,)</f>
        <v>-0.60367647058823537</v>
      </c>
      <c r="Y5" s="95">
        <f>VLOOKUP(A5,'BSE ALL CAP'!$B$4:$Y$1038,24,)</f>
        <v>-0.99642601858470337</v>
      </c>
    </row>
    <row r="6" spans="1:25" ht="15.75" customHeight="1">
      <c r="A6" s="99">
        <v>532382</v>
      </c>
      <c r="B6" s="98" t="s">
        <v>3482</v>
      </c>
      <c r="C6" s="101"/>
      <c r="D6" s="101"/>
      <c r="E6" s="101">
        <f ca="1">IFERROR(__xludf.DUMMYFUNCTION("GOOGLEFINANCE(""BOM:""&amp;A6,""PRICE"")"),84.86)</f>
        <v>84.86</v>
      </c>
      <c r="F6" s="112">
        <f ca="1">IFERROR(__xludf.DUMMYFUNCTION("GOOGLEFINANCE(""BOM:""&amp;A6,""MARKETCAP"")/10000000"),1030.5269634)</f>
        <v>1030.5269634000001</v>
      </c>
      <c r="G6" s="95">
        <f t="shared" ca="1" si="0"/>
        <v>2.1778581737140264E-2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532700</v>
      </c>
      <c r="B7" s="98" t="s">
        <v>3483</v>
      </c>
      <c r="C7" s="101"/>
      <c r="D7" s="101"/>
      <c r="E7" s="101">
        <f ca="1">IFERROR(__xludf.DUMMYFUNCTION("GOOGLEFINANCE(""BOM:""&amp;A7,""PRICE"")"),103)</f>
        <v>103</v>
      </c>
      <c r="F7" s="112">
        <f ca="1">IFERROR(__xludf.DUMMYFUNCTION("GOOGLEFINANCE(""BOM:""&amp;A7,""MARKETCAP"")/10000000"),498.5371565)</f>
        <v>498.53715649999998</v>
      </c>
      <c r="G7" s="95">
        <f t="shared" ca="1" si="0"/>
        <v>1.0535806046272671E-2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540366</v>
      </c>
      <c r="B8" s="98" t="s">
        <v>3484</v>
      </c>
      <c r="C8" s="101"/>
      <c r="D8" s="101"/>
      <c r="E8" s="101">
        <f ca="1">IFERROR(__xludf.DUMMYFUNCTION("GOOGLEFINANCE(""BOM:""&amp;A8,""PRICE"")"),5.58)</f>
        <v>5.58</v>
      </c>
      <c r="F8" s="112">
        <f ca="1">IFERROR(__xludf.DUMMYFUNCTION("GOOGLEFINANCE(""BOM:""&amp;A8,""MARKETCAP"")/10000000"),310.9512421)</f>
        <v>310.9512421</v>
      </c>
      <c r="G8" s="95">
        <f t="shared" ca="1" si="0"/>
        <v>6.5714700176278179E-3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538685</v>
      </c>
      <c r="B9" s="98" t="s">
        <v>3485</v>
      </c>
      <c r="C9" s="101"/>
      <c r="D9" s="101"/>
      <c r="E9" s="101">
        <f ca="1">IFERROR(__xludf.DUMMYFUNCTION("GOOGLEFINANCE(""BOM:""&amp;A9,""PRICE"")"),88.3)</f>
        <v>88.3</v>
      </c>
      <c r="F9" s="112">
        <f ca="1">IFERROR(__xludf.DUMMYFUNCTION("GOOGLEFINANCE(""BOM:""&amp;A9,""MARKETCAP"")/10000000"),252.2520427)</f>
        <v>252.2520427</v>
      </c>
      <c r="G9" s="95">
        <f t="shared" ca="1" si="0"/>
        <v>5.3309538958372345E-3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539175</v>
      </c>
      <c r="B10" s="98" t="s">
        <v>3486</v>
      </c>
      <c r="C10" s="101"/>
      <c r="D10" s="101"/>
      <c r="E10" s="101">
        <f ca="1">IFERROR(__xludf.DUMMYFUNCTION("GOOGLEFINANCE(""BOM:""&amp;A10,""PRICE"")"),3.52)</f>
        <v>3.52</v>
      </c>
      <c r="F10" s="112">
        <f ca="1">IFERROR(__xludf.DUMMYFUNCTION("GOOGLEFINANCE(""BOM:""&amp;A10,""MARKETCAP"")/10000000"),230.0781107)</f>
        <v>230.0781107</v>
      </c>
      <c r="G10" s="95">
        <f t="shared" ca="1" si="0"/>
        <v>4.8623423915807023E-3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532324</v>
      </c>
      <c r="B11" s="98" t="s">
        <v>3487</v>
      </c>
      <c r="C11" s="101"/>
      <c r="D11" s="101"/>
      <c r="E11" s="101">
        <f ca="1">IFERROR(__xludf.DUMMYFUNCTION("GOOGLEFINANCE(""BOM:""&amp;A11,""PRICE"")"),15.19)</f>
        <v>15.19</v>
      </c>
      <c r="F11" s="112">
        <f ca="1">IFERROR(__xludf.DUMMYFUNCTION("GOOGLEFINANCE(""BOM:""&amp;A11,""MARKETCAP"")/10000000"),82.1341531)</f>
        <v>82.134153100000006</v>
      </c>
      <c r="G11" s="95">
        <f t="shared" ca="1" si="0"/>
        <v>1.7357773549151001E-3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512499</v>
      </c>
      <c r="B12" s="98" t="s">
        <v>3488</v>
      </c>
      <c r="C12" s="101"/>
      <c r="D12" s="101"/>
      <c r="E12" s="101">
        <f ca="1">IFERROR(__xludf.DUMMYFUNCTION("GOOGLEFINANCE(""BOM:""&amp;A12,""PRICE"")"),0.49)</f>
        <v>0.49</v>
      </c>
      <c r="F12" s="112">
        <f ca="1">IFERROR(__xludf.DUMMYFUNCTION("GOOGLEFINANCE(""BOM:""&amp;A12,""MARKETCAP"")/10000000"),48.2320876)</f>
        <v>48.2320876</v>
      </c>
      <c r="G12" s="95">
        <f t="shared" ca="1" si="0"/>
        <v>1.0193100224023786E-3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532416</v>
      </c>
      <c r="B13" s="98" t="s">
        <v>3489</v>
      </c>
      <c r="C13" s="101"/>
      <c r="D13" s="101"/>
      <c r="E13" s="101">
        <f ca="1">IFERROR(__xludf.DUMMYFUNCTION("GOOGLEFINANCE(""BOM:""&amp;A13,""PRICE"")"),4.19)</f>
        <v>4.1900000000000004</v>
      </c>
      <c r="F13" s="112">
        <f ca="1">IFERROR(__xludf.DUMMYFUNCTION("GOOGLEFINANCE(""BOM:""&amp;A13,""MARKETCAP"")/10000000"),27.4260924)</f>
        <v>27.426092400000002</v>
      </c>
      <c r="G13" s="95">
        <f t="shared" ca="1" si="0"/>
        <v>5.7960773107099985E-4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590070</v>
      </c>
      <c r="B14" s="98" t="s">
        <v>3490</v>
      </c>
      <c r="C14" s="101"/>
      <c r="D14" s="101"/>
      <c r="E14" s="101">
        <f ca="1">IFERROR(__xludf.DUMMYFUNCTION("GOOGLEFINANCE(""BOM:""&amp;A14,""PRICE"")"),2.88)</f>
        <v>2.88</v>
      </c>
      <c r="F14" s="112">
        <f ca="1">IFERROR(__xludf.DUMMYFUNCTION("GOOGLEFINANCE(""BOM:""&amp;A14,""MARKETCAP"")/10000000"),16.045791)</f>
        <v>16.045791000000001</v>
      </c>
      <c r="G14" s="95">
        <f t="shared" ca="1" si="0"/>
        <v>3.3910279230115441E-4</v>
      </c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ht="15.75" customHeight="1">
      <c r="A15" s="99">
        <v>532392</v>
      </c>
      <c r="B15" s="98" t="s">
        <v>3491</v>
      </c>
      <c r="C15" s="101"/>
      <c r="D15" s="101"/>
      <c r="E15" s="101">
        <f ca="1">IFERROR(__xludf.DUMMYFUNCTION("GOOGLEFINANCE(""BOM:""&amp;A15,""PRICE"")"),6.02)</f>
        <v>6.02</v>
      </c>
      <c r="F15" s="112">
        <f ca="1">IFERROR(__xludf.DUMMYFUNCTION("GOOGLEFINANCE(""BOM:""&amp;A15,""MARKETCAP"")/10000000"),12.2355262)</f>
        <v>12.235526200000001</v>
      </c>
      <c r="G15" s="95">
        <f t="shared" ca="1" si="0"/>
        <v>2.5857878241676796E-4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>
      <c r="A16" s="101"/>
      <c r="B16" s="101"/>
      <c r="C16" s="101"/>
      <c r="D16" s="101"/>
      <c r="E16" s="101"/>
      <c r="F16" s="112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>
      <c r="A17" s="101"/>
      <c r="B17" s="101"/>
      <c r="C17" s="101"/>
      <c r="D17" s="101"/>
      <c r="E17" s="101"/>
      <c r="F17" s="112">
        <f t="shared" ref="F17:G17" ca="1" si="1">SUM(F1:F15)</f>
        <v>47318.3688377</v>
      </c>
      <c r="G17" s="95">
        <f t="shared" ca="1" si="1"/>
        <v>1.0000000000000002</v>
      </c>
      <c r="H17" s="101">
        <f t="shared" ref="H17:O17" si="2">SUM(H2:H15)</f>
        <v>5684</v>
      </c>
      <c r="I17" s="101">
        <f t="shared" si="2"/>
        <v>10058</v>
      </c>
      <c r="J17" s="101">
        <f t="shared" si="2"/>
        <v>655</v>
      </c>
      <c r="K17" s="101">
        <f t="shared" si="2"/>
        <v>-1674</v>
      </c>
      <c r="L17" s="101">
        <f t="shared" si="2"/>
        <v>2085</v>
      </c>
      <c r="M17" s="101">
        <f t="shared" si="2"/>
        <v>2809</v>
      </c>
      <c r="N17" s="101">
        <f t="shared" si="2"/>
        <v>173</v>
      </c>
      <c r="O17" s="101">
        <f t="shared" si="2"/>
        <v>-1391</v>
      </c>
      <c r="P17" s="95">
        <f t="shared" ref="P17:Q17" si="3">J17/H17</f>
        <v>0.11523574947220268</v>
      </c>
      <c r="Q17" s="95">
        <f t="shared" si="3"/>
        <v>-0.16643467886259694</v>
      </c>
      <c r="R17" s="95">
        <f>P17-Q17</f>
        <v>0.28167042833479961</v>
      </c>
      <c r="S17" s="95">
        <f t="shared" ref="S17:T17" si="4">N17/L17</f>
        <v>8.2973621103117512E-2</v>
      </c>
      <c r="T17" s="95">
        <f t="shared" si="4"/>
        <v>-0.49519401922392309</v>
      </c>
      <c r="U17" s="95">
        <f>S17-T17</f>
        <v>0.5781676403270406</v>
      </c>
      <c r="V17" s="95">
        <f>(H17/I17)-1</f>
        <v>-0.43487770928614033</v>
      </c>
      <c r="W17" s="95">
        <f>(J17/K17)-1</f>
        <v>-1.3912783751493429</v>
      </c>
      <c r="X17" s="95">
        <f>(L17/M17)-1</f>
        <v>-0.25774296902812388</v>
      </c>
      <c r="Y17" s="95">
        <f>(N17/O17)-1</f>
        <v>-1.1243709561466571</v>
      </c>
    </row>
    <row r="18" spans="1:25">
      <c r="F18" s="94"/>
    </row>
    <row r="19" spans="1:25">
      <c r="F19" s="94"/>
    </row>
    <row r="20" spans="1:25">
      <c r="F20" s="94"/>
    </row>
    <row r="21" spans="1:25">
      <c r="F21" s="94"/>
    </row>
    <row r="22" spans="1:25">
      <c r="F22" s="94"/>
    </row>
    <row r="23" spans="1:25">
      <c r="F23" s="94"/>
    </row>
    <row r="24" spans="1:25">
      <c r="F24" s="94"/>
    </row>
    <row r="25" spans="1:25" ht="13.2">
      <c r="F25" s="94"/>
    </row>
    <row r="26" spans="1:25" ht="13.2">
      <c r="F26" s="94"/>
    </row>
    <row r="27" spans="1:25" ht="13.2">
      <c r="F27" s="94"/>
    </row>
    <row r="28" spans="1:25" ht="13.2">
      <c r="F28" s="94"/>
    </row>
    <row r="29" spans="1:25" ht="13.2">
      <c r="F29" s="94"/>
    </row>
    <row r="30" spans="1:25" ht="13.2">
      <c r="F30" s="94"/>
    </row>
    <row r="31" spans="1:25" ht="13.2">
      <c r="F31" s="94"/>
    </row>
    <row r="32" spans="1:25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5" xr:uid="{00000000-0009-0000-0000-000061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Y2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3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539276</v>
      </c>
      <c r="B2" s="98" t="s">
        <v>1526</v>
      </c>
      <c r="C2" s="334" t="e">
        <f>VLOOKUP(A2,'BSE ALL CAP'!$B$4:$Y$1038,2,)</f>
        <v>#N/A</v>
      </c>
      <c r="D2" s="334" t="e">
        <f>VLOOKUP(A2,'BSE ALL CAP'!$B$4:$Y$1038,3,)</f>
        <v>#N/A</v>
      </c>
      <c r="E2" s="101">
        <f ca="1">IFERROR(__xludf.DUMMYFUNCTION("GOOGLEFINANCE(""BOM:""&amp;A2,""PRICE"")"),256.7)</f>
        <v>256.7</v>
      </c>
      <c r="F2" s="101">
        <f ca="1">IFERROR(__xludf.DUMMYFUNCTION("GOOGLEFINANCE(""BOM:""&amp;A2,""MARKETCAP"")/10000000"),391.8552824)</f>
        <v>391.85528240000002</v>
      </c>
      <c r="G2" s="335">
        <v>1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523261</v>
      </c>
      <c r="B2" s="98" t="s">
        <v>3492</v>
      </c>
      <c r="C2" s="101" t="str">
        <f>VLOOKUP(A2,'BSE ALL CAP'!$B$4:$Y$1038,2,)</f>
        <v>Fast Moving Consumer Goods</v>
      </c>
      <c r="D2" s="101" t="str">
        <f>VLOOKUP(A2,'BSE ALL CAP'!$B$4:$Y$1038,3,)</f>
        <v>Meat Products including Poultry</v>
      </c>
      <c r="E2" s="101">
        <f ca="1">IFERROR(__xludf.DUMMYFUNCTION("GOOGLEFINANCE(""BOM:""&amp;A2,""PRICE"")"),1325.15)</f>
        <v>1325.15</v>
      </c>
      <c r="F2" s="112">
        <f ca="1">IFERROR(__xludf.DUMMYFUNCTION("GOOGLEFINANCE(""BOM:""&amp;A2,""MARKETCAP"")/10000000"),1866.020608)</f>
        <v>1866.020608</v>
      </c>
      <c r="G2" s="95">
        <f t="shared" ref="G2:G7" ca="1" si="0">F2/$F$9</f>
        <v>0.42752652732086138</v>
      </c>
      <c r="H2" s="101">
        <f>VLOOKUP(A2,'BSE ALL CAP'!$B$4:$Y$1038,7,)</f>
        <v>2626</v>
      </c>
      <c r="I2" s="101">
        <f>VLOOKUP(A2,'BSE ALL CAP'!$B$4:$Y$1038,8,)</f>
        <v>2463</v>
      </c>
      <c r="J2" s="101">
        <f>VLOOKUP(A2,'BSE ALL CAP'!$B$4:$Y$1038,9,)</f>
        <v>37</v>
      </c>
      <c r="K2" s="101">
        <f>VLOOKUP(A2,'BSE ALL CAP'!$B$4:$Y$1038,10,)</f>
        <v>103</v>
      </c>
      <c r="L2" s="101">
        <f>VLOOKUP(A2,'BSE ALL CAP'!$B$4:$Y$1038,11,)</f>
        <v>960</v>
      </c>
      <c r="M2" s="101">
        <f>VLOOKUP(A2,'BSE ALL CAP'!$B$4:$Y$1038,12,)</f>
        <v>881</v>
      </c>
      <c r="N2" s="101">
        <f>VLOOKUP(A2,'BSE ALL CAP'!$B$4:$Y$1038,13,)</f>
        <v>48</v>
      </c>
      <c r="O2" s="101">
        <f>VLOOKUP(A2,'BSE ALL CAP'!$B$4:$Y$1038,14,)</f>
        <v>20</v>
      </c>
      <c r="P2" s="95">
        <f>VLOOKUP(A2,'BSE ALL CAP'!$B$4:$Y$1038,15,)</f>
        <v>1.408987052551409E-2</v>
      </c>
      <c r="Q2" s="95">
        <f>VLOOKUP(A2,'BSE ALL CAP'!$B$4:$Y$1038,16,)</f>
        <v>4.1818920016240359E-2</v>
      </c>
      <c r="R2" s="95">
        <f>VLOOKUP(A2,'BSE ALL CAP'!$B$4:$Y$1038,17,)</f>
        <v>-2.7729049490726271E-2</v>
      </c>
      <c r="S2" s="95">
        <f>VLOOKUP(A2,'BSE ALL CAP'!$B$4:$Y$1038,18,)</f>
        <v>0.05</v>
      </c>
      <c r="T2" s="95">
        <f>VLOOKUP(A2,'BSE ALL CAP'!$B$4:$Y$1038,19,)</f>
        <v>2.2701475595913734E-2</v>
      </c>
      <c r="U2" s="95">
        <f>VLOOKUP(A2,'BSE ALL CAP'!$B$4:$Y$1038,20,)</f>
        <v>2.7298524404086269E-2</v>
      </c>
      <c r="V2" s="95">
        <f>VLOOKUP(A2,'BSE ALL CAP'!$B$4:$Y$1038,21,)</f>
        <v>6.6179455948030874E-2</v>
      </c>
      <c r="W2" s="95">
        <f>VLOOKUP(A2,'BSE ALL CAP'!$B$4:$Y$1038,22,)</f>
        <v>-0.64077669902912615</v>
      </c>
      <c r="X2" s="95">
        <f>VLOOKUP(A2,'BSE ALL CAP'!$B$4:$Y$1038,23,)</f>
        <v>8.9670828603859221E-2</v>
      </c>
      <c r="Y2" s="95">
        <f>VLOOKUP(A2,'BSE ALL CAP'!$B$4:$Y$1038,24,)</f>
        <v>1.4</v>
      </c>
    </row>
    <row r="3" spans="1:25" ht="15.75" customHeight="1">
      <c r="A3" s="99">
        <v>543929</v>
      </c>
      <c r="B3" s="98" t="s">
        <v>3493</v>
      </c>
      <c r="C3" s="101" t="str">
        <f>VLOOKUP(A3,'BSE ALL CAP'!$B$4:$Y$1038,2,)</f>
        <v>Fast Moving Consumer Goods</v>
      </c>
      <c r="D3" s="101" t="str">
        <f>VLOOKUP(A3,'BSE ALL CAP'!$B$4:$Y$1038,3,)</f>
        <v>Meat Products including Poultry</v>
      </c>
      <c r="E3" s="101">
        <f ca="1">IFERROR(__xludf.DUMMYFUNCTION("GOOGLEFINANCE(""BOM:""&amp;A3,""PRICE"")"),24.72)</f>
        <v>24.72</v>
      </c>
      <c r="F3" s="112">
        <f ca="1">IFERROR(__xludf.DUMMYFUNCTION("GOOGLEFINANCE(""BOM:""&amp;A3,""MARKETCAP"")/10000000"),1227.8878177)</f>
        <v>1227.8878176999999</v>
      </c>
      <c r="G3" s="95">
        <f t="shared" ca="1" si="0"/>
        <v>0.28132305312722028</v>
      </c>
      <c r="H3" s="101">
        <f>VLOOKUP(A3,'BSE ALL CAP'!$B$4:$Y$1038,7,)</f>
        <v>5337</v>
      </c>
      <c r="I3" s="101">
        <f>VLOOKUP(A3,'BSE ALL CAP'!$B$4:$Y$1038,8,)</f>
        <v>3633</v>
      </c>
      <c r="J3" s="101">
        <f>VLOOKUP(A3,'BSE ALL CAP'!$B$4:$Y$1038,9,)</f>
        <v>157</v>
      </c>
      <c r="K3" s="101">
        <f>VLOOKUP(A3,'BSE ALL CAP'!$B$4:$Y$1038,10,)</f>
        <v>75</v>
      </c>
      <c r="L3" s="101">
        <f>VLOOKUP(A3,'BSE ALL CAP'!$B$4:$Y$1038,11,)</f>
        <v>2059</v>
      </c>
      <c r="M3" s="101">
        <f>VLOOKUP(A3,'BSE ALL CAP'!$B$4:$Y$1038,12,)</f>
        <v>1455</v>
      </c>
      <c r="N3" s="101">
        <f>VLOOKUP(A3,'BSE ALL CAP'!$B$4:$Y$1038,13,)</f>
        <v>67</v>
      </c>
      <c r="O3" s="101">
        <f>VLOOKUP(A3,'BSE ALL CAP'!$B$4:$Y$1038,14,)</f>
        <v>21</v>
      </c>
      <c r="P3" s="95">
        <f>VLOOKUP(A3,'BSE ALL CAP'!$B$4:$Y$1038,15,)</f>
        <v>2.9417275623009182E-2</v>
      </c>
      <c r="Q3" s="95">
        <f>VLOOKUP(A3,'BSE ALL CAP'!$B$4:$Y$1038,16,)</f>
        <v>2.0644095788604461E-2</v>
      </c>
      <c r="R3" s="95">
        <f>VLOOKUP(A3,'BSE ALL CAP'!$B$4:$Y$1038,17,)</f>
        <v>8.7731798344047214E-3</v>
      </c>
      <c r="S3" s="95">
        <f>VLOOKUP(A3,'BSE ALL CAP'!$B$4:$Y$1038,18,)</f>
        <v>3.2540067994171931E-2</v>
      </c>
      <c r="T3" s="95">
        <f>VLOOKUP(A3,'BSE ALL CAP'!$B$4:$Y$1038,19,)</f>
        <v>1.443298969072165E-2</v>
      </c>
      <c r="U3" s="95">
        <f>VLOOKUP(A3,'BSE ALL CAP'!$B$4:$Y$1038,20,)</f>
        <v>1.8107078303450281E-2</v>
      </c>
      <c r="V3" s="95">
        <f>VLOOKUP(A3,'BSE ALL CAP'!$B$4:$Y$1038,21,)</f>
        <v>0.46903385631709327</v>
      </c>
      <c r="W3" s="95">
        <f>VLOOKUP(A3,'BSE ALL CAP'!$B$4:$Y$1038,22,)</f>
        <v>1.0933333333333333</v>
      </c>
      <c r="X3" s="95">
        <f>VLOOKUP(A3,'BSE ALL CAP'!$B$4:$Y$1038,23,)</f>
        <v>0.41512027491408943</v>
      </c>
      <c r="Y3" s="95">
        <f>VLOOKUP(A3,'BSE ALL CAP'!$B$4:$Y$1038,24,)</f>
        <v>2.1904761904761907</v>
      </c>
    </row>
    <row r="4" spans="1:25" ht="15.75" customHeight="1">
      <c r="A4" s="99">
        <v>532143</v>
      </c>
      <c r="B4" s="98" t="s">
        <v>3494</v>
      </c>
      <c r="C4" s="101" t="str">
        <f>VLOOKUP(A4,'BSE ALL CAP'!$B$4:$Y$1038,2,)</f>
        <v>Fast Moving Consumer Goods</v>
      </c>
      <c r="D4" s="101" t="str">
        <f>VLOOKUP(A4,'BSE ALL CAP'!$B$4:$Y$1038,3,)</f>
        <v>Meat Products including Poultry</v>
      </c>
      <c r="E4" s="101">
        <f ca="1">IFERROR(__xludf.DUMMYFUNCTION("GOOGLEFINANCE(""BOM:""&amp;A4,""PRICE"")"),163.55)</f>
        <v>163.55000000000001</v>
      </c>
      <c r="F4" s="112">
        <f ca="1">IFERROR(__xludf.DUMMYFUNCTION("GOOGLEFINANCE(""BOM:""&amp;A4,""MARKETCAP"")/10000000"),859.0952367)</f>
        <v>859.09523669999999</v>
      </c>
      <c r="G4" s="95">
        <f t="shared" ca="1" si="0"/>
        <v>0.19682848174860265</v>
      </c>
      <c r="H4" s="101">
        <f>VLOOKUP(A4,'BSE ALL CAP'!$B$4:$Y$1038,7,)</f>
        <v>581</v>
      </c>
      <c r="I4" s="101">
        <f>VLOOKUP(A4,'BSE ALL CAP'!$B$4:$Y$1038,8,)</f>
        <v>380</v>
      </c>
      <c r="J4" s="101">
        <f>VLOOKUP(A4,'BSE ALL CAP'!$B$4:$Y$1038,9,)</f>
        <v>71</v>
      </c>
      <c r="K4" s="101">
        <f>VLOOKUP(A4,'BSE ALL CAP'!$B$4:$Y$1038,10,)</f>
        <v>28</v>
      </c>
      <c r="L4" s="101">
        <f>VLOOKUP(A4,'BSE ALL CAP'!$B$4:$Y$1038,11,)</f>
        <v>204</v>
      </c>
      <c r="M4" s="101">
        <f>VLOOKUP(A4,'BSE ALL CAP'!$B$4:$Y$1038,12,)</f>
        <v>135</v>
      </c>
      <c r="N4" s="101">
        <f>VLOOKUP(A4,'BSE ALL CAP'!$B$4:$Y$1038,13,)</f>
        <v>30</v>
      </c>
      <c r="O4" s="101">
        <f>VLOOKUP(A4,'BSE ALL CAP'!$B$4:$Y$1038,14,)</f>
        <v>8</v>
      </c>
      <c r="P4" s="95">
        <f>VLOOKUP(A4,'BSE ALL CAP'!$B$4:$Y$1038,15,)</f>
        <v>0.12220309810671257</v>
      </c>
      <c r="Q4" s="95">
        <f>VLOOKUP(A4,'BSE ALL CAP'!$B$4:$Y$1038,16,)</f>
        <v>7.3684210526315783E-2</v>
      </c>
      <c r="R4" s="95">
        <f>VLOOKUP(A4,'BSE ALL CAP'!$B$4:$Y$1038,17,)</f>
        <v>4.8518887580396783E-2</v>
      </c>
      <c r="S4" s="95">
        <f>VLOOKUP(A4,'BSE ALL CAP'!$B$4:$Y$1038,18,)</f>
        <v>0.14705882352941177</v>
      </c>
      <c r="T4" s="95">
        <f>VLOOKUP(A4,'BSE ALL CAP'!$B$4:$Y$1038,19,)</f>
        <v>5.9259259259259262E-2</v>
      </c>
      <c r="U4" s="95">
        <f>VLOOKUP(A4,'BSE ALL CAP'!$B$4:$Y$1038,20,)</f>
        <v>8.7799564270152508E-2</v>
      </c>
      <c r="V4" s="95">
        <f>VLOOKUP(A4,'BSE ALL CAP'!$B$4:$Y$1038,21,)</f>
        <v>0.52894736842105261</v>
      </c>
      <c r="W4" s="95">
        <f>VLOOKUP(A4,'BSE ALL CAP'!$B$4:$Y$1038,22,)</f>
        <v>1.5357142857142856</v>
      </c>
      <c r="X4" s="95">
        <f>VLOOKUP(A4,'BSE ALL CAP'!$B$4:$Y$1038,23,)</f>
        <v>0.51111111111111107</v>
      </c>
      <c r="Y4" s="95">
        <f>VLOOKUP(A4,'BSE ALL CAP'!$B$4:$Y$1038,24,)</f>
        <v>2.75</v>
      </c>
    </row>
    <row r="5" spans="1:25" ht="15.75" customHeight="1">
      <c r="A5" s="99">
        <v>544568</v>
      </c>
      <c r="B5" s="98" t="s">
        <v>3495</v>
      </c>
      <c r="C5" s="101"/>
      <c r="D5" s="101"/>
      <c r="E5" s="101">
        <f ca="1">IFERROR(__xludf.DUMMYFUNCTION("GOOGLEFINANCE(""BOM:""&amp;A5,""PRICE"")"),100.48)</f>
        <v>100.48</v>
      </c>
      <c r="F5" s="112">
        <f ca="1">IFERROR(__xludf.DUMMYFUNCTION("GOOGLEFINANCE(""BOM:""&amp;A5,""MARKETCAP"")/10000000"),223.9410897)</f>
        <v>223.94108969999999</v>
      </c>
      <c r="G5" s="95">
        <f t="shared" ca="1" si="0"/>
        <v>5.1307448585203683E-2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530741</v>
      </c>
      <c r="B6" s="98" t="s">
        <v>3496</v>
      </c>
      <c r="C6" s="101"/>
      <c r="D6" s="101"/>
      <c r="E6" s="101">
        <f ca="1">IFERROR(__xludf.DUMMYFUNCTION("GOOGLEFINANCE(""BOM:""&amp;A6,""PRICE"")"),124.2)</f>
        <v>124.2</v>
      </c>
      <c r="F6" s="112">
        <f ca="1">IFERROR(__xludf.DUMMYFUNCTION("GOOGLEFINANCE(""BOM:""&amp;A6,""MARKETCAP"")/10000000"),117.9998958)</f>
        <v>117.9998958</v>
      </c>
      <c r="G6" s="95">
        <f t="shared" ca="1" si="0"/>
        <v>2.7035117114632367E-2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519566</v>
      </c>
      <c r="B7" s="98" t="s">
        <v>3497</v>
      </c>
      <c r="C7" s="101"/>
      <c r="D7" s="101"/>
      <c r="E7" s="101">
        <f ca="1">IFERROR(__xludf.DUMMYFUNCTION("GOOGLEFINANCE(""BOM:""&amp;A7,""PRICE"")"),145)</f>
        <v>145</v>
      </c>
      <c r="F7" s="112">
        <f ca="1">IFERROR(__xludf.DUMMYFUNCTION("GOOGLEFINANCE(""BOM:""&amp;A7,""MARKETCAP"")/10000000"),69.745)</f>
        <v>69.745000000000005</v>
      </c>
      <c r="G7" s="95">
        <f t="shared" ca="1" si="0"/>
        <v>1.5979372103479727E-2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12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A9" s="101"/>
      <c r="B9" s="101"/>
      <c r="C9" s="101"/>
      <c r="D9" s="101"/>
      <c r="E9" s="101"/>
      <c r="F9" s="112">
        <f t="shared" ref="F9:O9" ca="1" si="1">SUM(F2:F7)</f>
        <v>4364.6896478999997</v>
      </c>
      <c r="G9" s="95">
        <f t="shared" ca="1" si="1"/>
        <v>1</v>
      </c>
      <c r="H9" s="101">
        <f t="shared" si="1"/>
        <v>8544</v>
      </c>
      <c r="I9" s="101">
        <f t="shared" si="1"/>
        <v>6476</v>
      </c>
      <c r="J9" s="101">
        <f t="shared" si="1"/>
        <v>265</v>
      </c>
      <c r="K9" s="101">
        <f t="shared" si="1"/>
        <v>206</v>
      </c>
      <c r="L9" s="101">
        <f t="shared" si="1"/>
        <v>3223</v>
      </c>
      <c r="M9" s="101">
        <f t="shared" si="1"/>
        <v>2471</v>
      </c>
      <c r="N9" s="101">
        <f t="shared" si="1"/>
        <v>145</v>
      </c>
      <c r="O9" s="101">
        <f t="shared" si="1"/>
        <v>49</v>
      </c>
      <c r="P9" s="95">
        <f t="shared" ref="P9:Q9" si="2">J9/H9</f>
        <v>3.1015917602996254E-2</v>
      </c>
      <c r="Q9" s="95">
        <f t="shared" si="2"/>
        <v>3.1809759110562073E-2</v>
      </c>
      <c r="R9" s="95">
        <f>P9-Q9</f>
        <v>-7.9384150756581923E-4</v>
      </c>
      <c r="S9" s="95">
        <f t="shared" ref="S9:T9" si="3">N9/L9</f>
        <v>4.4989140552280482E-2</v>
      </c>
      <c r="T9" s="95">
        <f t="shared" si="3"/>
        <v>1.9830028328611898E-2</v>
      </c>
      <c r="U9" s="95">
        <f>S9-T9</f>
        <v>2.5159112223668584E-2</v>
      </c>
      <c r="V9" s="95">
        <f>(H9/I9)-1</f>
        <v>0.31933292155651638</v>
      </c>
      <c r="W9" s="95">
        <f>(J9/K9)-1</f>
        <v>0.28640776699029136</v>
      </c>
      <c r="X9" s="95">
        <f>(L9/M9)-1</f>
        <v>0.30433023067583975</v>
      </c>
      <c r="Y9" s="95">
        <f>(N9/O9)-1</f>
        <v>1.9591836734693877</v>
      </c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7" xr:uid="{00000000-0009-0000-0000-000062000000}"/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500870</v>
      </c>
      <c r="B2" s="98" t="s">
        <v>3498</v>
      </c>
      <c r="C2" s="101" t="str">
        <f>VLOOKUP(A2,'BSE ALL CAP'!$B$4:$Y$1038,2,)</f>
        <v>Energy</v>
      </c>
      <c r="D2" s="101" t="str">
        <f>VLOOKUP(A2,'BSE ALL CAP'!$B$4:$Y$1038,3,)</f>
        <v>Lubricants</v>
      </c>
      <c r="E2" s="101">
        <f ca="1">IFERROR(__xludf.DUMMYFUNCTION("GOOGLEFINANCE(""BOM:""&amp;A2,""PRICE"")"),178.65)</f>
        <v>178.65</v>
      </c>
      <c r="F2" s="112">
        <f ca="1">IFERROR(__xludf.DUMMYFUNCTION("GOOGLEFINANCE(""BOM:""&amp;A2,""MARKETCAP"")/10000000"),17672.653313)</f>
        <v>17672.653312999999</v>
      </c>
      <c r="G2" s="95">
        <f t="shared" ref="G2:G9" ca="1" si="0">F2/$F$11</f>
        <v>0.59744959424054989</v>
      </c>
      <c r="H2" s="101">
        <f>VLOOKUP(A2,'BSE ALL CAP'!$B$4:$Y$1038,7,)</f>
        <v>5721</v>
      </c>
      <c r="I2" s="101">
        <f>VLOOKUP(A2,'BSE ALL CAP'!$B$4:$Y$1038,8,)</f>
        <v>5365</v>
      </c>
      <c r="J2" s="101">
        <f>VLOOKUP(A2,'BSE ALL CAP'!$B$4:$Y$1038,9,)</f>
        <v>950</v>
      </c>
      <c r="K2" s="101">
        <f>VLOOKUP(A2,'BSE ALL CAP'!$B$4:$Y$1038,10,)</f>
        <v>927</v>
      </c>
      <c r="L2" s="101">
        <f>VLOOKUP(A2,'BSE ALL CAP'!$B$4:$Y$1038,11,)</f>
        <v>1440</v>
      </c>
      <c r="M2" s="101">
        <f>VLOOKUP(A2,'BSE ALL CAP'!$B$4:$Y$1038,12,)</f>
        <v>1354</v>
      </c>
      <c r="N2" s="101">
        <f>VLOOKUP(A2,'BSE ALL CAP'!$B$4:$Y$1038,13,)</f>
        <v>245</v>
      </c>
      <c r="O2" s="101">
        <f>VLOOKUP(A2,'BSE ALL CAP'!$B$4:$Y$1038,14,)</f>
        <v>271</v>
      </c>
      <c r="P2" s="95">
        <f>VLOOKUP(A2,'BSE ALL CAP'!$B$4:$Y$1038,15,)</f>
        <v>0.1660548855095263</v>
      </c>
      <c r="Q2" s="95">
        <f>VLOOKUP(A2,'BSE ALL CAP'!$B$4:$Y$1038,16,)</f>
        <v>0.17278657968313141</v>
      </c>
      <c r="R2" s="95">
        <f>VLOOKUP(A2,'BSE ALL CAP'!$B$4:$Y$1038,17,)</f>
        <v>-6.7316941736051128E-3</v>
      </c>
      <c r="S2" s="95">
        <f>VLOOKUP(A2,'BSE ALL CAP'!$B$4:$Y$1038,18,)</f>
        <v>0.1701388888888889</v>
      </c>
      <c r="T2" s="95">
        <f>VLOOKUP(A2,'BSE ALL CAP'!$B$4:$Y$1038,19,)</f>
        <v>0.20014771048744462</v>
      </c>
      <c r="U2" s="95">
        <f>VLOOKUP(A2,'BSE ALL CAP'!$B$4:$Y$1038,20,)</f>
        <v>-3.0008821598555724E-2</v>
      </c>
      <c r="V2" s="95">
        <f>VLOOKUP(A2,'BSE ALL CAP'!$B$4:$Y$1038,21,)</f>
        <v>6.6356011183597463E-2</v>
      </c>
      <c r="W2" s="95">
        <f>VLOOKUP(A2,'BSE ALL CAP'!$B$4:$Y$1038,22,)</f>
        <v>2.4811218985976158E-2</v>
      </c>
      <c r="X2" s="95">
        <f>VLOOKUP(A2,'BSE ALL CAP'!$B$4:$Y$1038,23,)</f>
        <v>6.3515509601181686E-2</v>
      </c>
      <c r="Y2" s="95">
        <f>VLOOKUP(A2,'BSE ALL CAP'!$B$4:$Y$1038,24,)</f>
        <v>-9.5940959409594129E-2</v>
      </c>
    </row>
    <row r="3" spans="1:25" ht="15.75" customHeight="1">
      <c r="A3" s="99">
        <v>538567</v>
      </c>
      <c r="B3" s="98" t="s">
        <v>3499</v>
      </c>
      <c r="C3" s="101" t="str">
        <f>VLOOKUP(A3,'BSE ALL CAP'!$B$4:$Y$1038,2,)</f>
        <v>Energy</v>
      </c>
      <c r="D3" s="101" t="str">
        <f>VLOOKUP(A3,'BSE ALL CAP'!$B$4:$Y$1038,3,)</f>
        <v>Lubricants</v>
      </c>
      <c r="E3" s="101">
        <f ca="1">IFERROR(__xludf.DUMMYFUNCTION("GOOGLEFINANCE(""BOM:""&amp;A3,""PRICE"")"),882.85)</f>
        <v>882.85</v>
      </c>
      <c r="F3" s="112">
        <f ca="1">IFERROR(__xludf.DUMMYFUNCTION("GOOGLEFINANCE(""BOM:""&amp;A3,""MARKETCAP"")/10000000"),4363.4939499)</f>
        <v>4363.4939499000002</v>
      </c>
      <c r="G3" s="95">
        <f t="shared" ca="1" si="0"/>
        <v>0.14751422119061006</v>
      </c>
      <c r="H3" s="101">
        <f>VLOOKUP(A3,'BSE ALL CAP'!$B$4:$Y$1038,7,)</f>
        <v>3000</v>
      </c>
      <c r="I3" s="101">
        <f>VLOOKUP(A3,'BSE ALL CAP'!$B$4:$Y$1038,8,)</f>
        <v>2678</v>
      </c>
      <c r="J3" s="101">
        <f>VLOOKUP(A3,'BSE ALL CAP'!$B$4:$Y$1038,9,)</f>
        <v>255</v>
      </c>
      <c r="K3" s="101">
        <f>VLOOKUP(A3,'BSE ALL CAP'!$B$4:$Y$1038,10,)</f>
        <v>264</v>
      </c>
      <c r="L3" s="101">
        <f>VLOOKUP(A3,'BSE ALL CAP'!$B$4:$Y$1038,11,)</f>
        <v>1017</v>
      </c>
      <c r="M3" s="101">
        <f>VLOOKUP(A3,'BSE ALL CAP'!$B$4:$Y$1038,12,)</f>
        <v>920</v>
      </c>
      <c r="N3" s="101">
        <f>VLOOKUP(A3,'BSE ALL CAP'!$B$4:$Y$1038,13,)</f>
        <v>76</v>
      </c>
      <c r="O3" s="101">
        <f>VLOOKUP(A3,'BSE ALL CAP'!$B$4:$Y$1038,14,)</f>
        <v>97</v>
      </c>
      <c r="P3" s="95">
        <f>VLOOKUP(A3,'BSE ALL CAP'!$B$4:$Y$1038,15,)</f>
        <v>8.5000000000000006E-2</v>
      </c>
      <c r="Q3" s="95">
        <f>VLOOKUP(A3,'BSE ALL CAP'!$B$4:$Y$1038,16,)</f>
        <v>9.8581030619865576E-2</v>
      </c>
      <c r="R3" s="95">
        <f>VLOOKUP(A3,'BSE ALL CAP'!$B$4:$Y$1038,17,)</f>
        <v>-1.3581030619865569E-2</v>
      </c>
      <c r="S3" s="95">
        <f>VLOOKUP(A3,'BSE ALL CAP'!$B$4:$Y$1038,18,)</f>
        <v>7.4729596853490662E-2</v>
      </c>
      <c r="T3" s="95">
        <f>VLOOKUP(A3,'BSE ALL CAP'!$B$4:$Y$1038,19,)</f>
        <v>0.10543478260869565</v>
      </c>
      <c r="U3" s="95">
        <f>VLOOKUP(A3,'BSE ALL CAP'!$B$4:$Y$1038,20,)</f>
        <v>-3.0705185755204992E-2</v>
      </c>
      <c r="V3" s="95">
        <f>VLOOKUP(A3,'BSE ALL CAP'!$B$4:$Y$1038,21,)</f>
        <v>0.12023898431665425</v>
      </c>
      <c r="W3" s="95">
        <f>VLOOKUP(A3,'BSE ALL CAP'!$B$4:$Y$1038,22,)</f>
        <v>-3.4090909090909061E-2</v>
      </c>
      <c r="X3" s="95">
        <f>VLOOKUP(A3,'BSE ALL CAP'!$B$4:$Y$1038,23,)</f>
        <v>0.10543478260869565</v>
      </c>
      <c r="Y3" s="95">
        <f>VLOOKUP(A3,'BSE ALL CAP'!$B$4:$Y$1038,24,)</f>
        <v>-0.21649484536082475</v>
      </c>
    </row>
    <row r="4" spans="1:25" ht="15.75" customHeight="1">
      <c r="A4" s="99">
        <v>524667</v>
      </c>
      <c r="B4" s="98" t="s">
        <v>3500</v>
      </c>
      <c r="C4" s="101" t="str">
        <f>VLOOKUP(A4,'BSE ALL CAP'!$B$4:$Y$1038,2,)</f>
        <v>Energy</v>
      </c>
      <c r="D4" s="101" t="str">
        <f>VLOOKUP(A4,'BSE ALL CAP'!$B$4:$Y$1038,3,)</f>
        <v>Lubricants</v>
      </c>
      <c r="E4" s="101">
        <f ca="1">IFERROR(__xludf.DUMMYFUNCTION("GOOGLEFINANCE(""BOM:""&amp;A4,""PRICE"")"),323)</f>
        <v>323</v>
      </c>
      <c r="F4" s="112">
        <f ca="1">IFERROR(__xludf.DUMMYFUNCTION("GOOGLEFINANCE(""BOM:""&amp;A4,""MARKETCAP"")/10000000"),2203.29605)</f>
        <v>2203.2960499999999</v>
      </c>
      <c r="G4" s="95">
        <f t="shared" ca="1" si="0"/>
        <v>7.448560823042874E-2</v>
      </c>
      <c r="H4" s="101">
        <f>VLOOKUP(A4,'BSE ALL CAP'!$B$4:$Y$1038,7,)</f>
        <v>3112</v>
      </c>
      <c r="I4" s="101">
        <f>VLOOKUP(A4,'BSE ALL CAP'!$B$4:$Y$1038,8,)</f>
        <v>2787</v>
      </c>
      <c r="J4" s="101">
        <f>VLOOKUP(A4,'BSE ALL CAP'!$B$4:$Y$1038,9,)</f>
        <v>134</v>
      </c>
      <c r="K4" s="101">
        <f>VLOOKUP(A4,'BSE ALL CAP'!$B$4:$Y$1038,10,)</f>
        <v>83</v>
      </c>
      <c r="L4" s="101">
        <f>VLOOKUP(A4,'BSE ALL CAP'!$B$4:$Y$1038,11,)</f>
        <v>1063</v>
      </c>
      <c r="M4" s="101">
        <f>VLOOKUP(A4,'BSE ALL CAP'!$B$4:$Y$1038,12,)</f>
        <v>939</v>
      </c>
      <c r="N4" s="101">
        <f>VLOOKUP(A4,'BSE ALL CAP'!$B$4:$Y$1038,13,)</f>
        <v>37</v>
      </c>
      <c r="O4" s="101">
        <f>VLOOKUP(A4,'BSE ALL CAP'!$B$4:$Y$1038,14,)</f>
        <v>12</v>
      </c>
      <c r="P4" s="95">
        <f>VLOOKUP(A4,'BSE ALL CAP'!$B$4:$Y$1038,15,)</f>
        <v>4.3059125964010285E-2</v>
      </c>
      <c r="Q4" s="95">
        <f>VLOOKUP(A4,'BSE ALL CAP'!$B$4:$Y$1038,16,)</f>
        <v>2.9781126659490492E-2</v>
      </c>
      <c r="R4" s="95">
        <f>VLOOKUP(A4,'BSE ALL CAP'!$B$4:$Y$1038,17,)</f>
        <v>1.3277999304519793E-2</v>
      </c>
      <c r="S4" s="95">
        <f>VLOOKUP(A4,'BSE ALL CAP'!$B$4:$Y$1038,18,)</f>
        <v>3.4807149576669805E-2</v>
      </c>
      <c r="T4" s="95">
        <f>VLOOKUP(A4,'BSE ALL CAP'!$B$4:$Y$1038,19,)</f>
        <v>1.2779552715654952E-2</v>
      </c>
      <c r="U4" s="95">
        <f>VLOOKUP(A4,'BSE ALL CAP'!$B$4:$Y$1038,20,)</f>
        <v>2.2027596861014853E-2</v>
      </c>
      <c r="V4" s="95">
        <f>VLOOKUP(A4,'BSE ALL CAP'!$B$4:$Y$1038,21,)</f>
        <v>0.11661284535342653</v>
      </c>
      <c r="W4" s="95">
        <f>VLOOKUP(A4,'BSE ALL CAP'!$B$4:$Y$1038,22,)</f>
        <v>0.6144578313253013</v>
      </c>
      <c r="X4" s="95">
        <f>VLOOKUP(A4,'BSE ALL CAP'!$B$4:$Y$1038,23,)</f>
        <v>0.13205537806176793</v>
      </c>
      <c r="Y4" s="95">
        <f>VLOOKUP(A4,'BSE ALL CAP'!$B$4:$Y$1038,24,)</f>
        <v>2.0833333333333335</v>
      </c>
    </row>
    <row r="5" spans="1:25" ht="15.75" customHeight="1">
      <c r="A5" s="99">
        <v>590005</v>
      </c>
      <c r="B5" s="98" t="s">
        <v>3501</v>
      </c>
      <c r="C5" s="101"/>
      <c r="D5" s="101"/>
      <c r="E5" s="101">
        <f ca="1">IFERROR(__xludf.DUMMYFUNCTION("GOOGLEFINANCE(""BOM:""&amp;A5,""PRICE"")"),1310.7)</f>
        <v>1310.7</v>
      </c>
      <c r="F5" s="112">
        <f ca="1">IFERROR(__xludf.DUMMYFUNCTION("GOOGLEFINANCE(""BOM:""&amp;A5,""MARKETCAP"")/10000000"),2227.176403)</f>
        <v>2227.1764029999999</v>
      </c>
      <c r="G5" s="95">
        <f t="shared" ca="1" si="0"/>
        <v>7.5292918086933197E-2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524820</v>
      </c>
      <c r="B6" s="98" t="s">
        <v>3502</v>
      </c>
      <c r="C6" s="101"/>
      <c r="D6" s="101"/>
      <c r="E6" s="101">
        <f ca="1">IFERROR(__xludf.DUMMYFUNCTION("GOOGLEFINANCE(""BOM:""&amp;A6,""PRICE"")"),266)</f>
        <v>266</v>
      </c>
      <c r="F6" s="112">
        <f ca="1">IFERROR(__xludf.DUMMYFUNCTION("GOOGLEFINANCE(""BOM:""&amp;A6,""MARKETCAP"")/10000000"),1604.8948688)</f>
        <v>1604.8948688</v>
      </c>
      <c r="G6" s="95">
        <f t="shared" ca="1" si="0"/>
        <v>5.4255791203575265E-2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544029</v>
      </c>
      <c r="B7" s="98" t="s">
        <v>3503</v>
      </c>
      <c r="C7" s="101"/>
      <c r="D7" s="101"/>
      <c r="E7" s="101">
        <f ca="1">IFERROR(__xludf.DUMMYFUNCTION("GOOGLEFINANCE(""BOM:""&amp;A7,""PRICE"")"),127.3)</f>
        <v>127.3</v>
      </c>
      <c r="F7" s="112">
        <f ca="1">IFERROR(__xludf.DUMMYFUNCTION("GOOGLEFINANCE(""BOM:""&amp;A7,""MARKETCAP"")/10000000"),1247.964135)</f>
        <v>1247.9641349999999</v>
      </c>
      <c r="G7" s="95">
        <f t="shared" ca="1" si="0"/>
        <v>4.2189231739981507E-2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532543</v>
      </c>
      <c r="B8" s="98" t="s">
        <v>3504</v>
      </c>
      <c r="C8" s="101"/>
      <c r="D8" s="101"/>
      <c r="E8" s="101">
        <f ca="1">IFERROR(__xludf.DUMMYFUNCTION("GOOGLEFINANCE(""BOM:""&amp;A8,""PRICE"")"),28.37)</f>
        <v>28.37</v>
      </c>
      <c r="F8" s="112">
        <f ca="1">IFERROR(__xludf.DUMMYFUNCTION("GOOGLEFINANCE(""BOM:""&amp;A8,""MARKETCAP"")/10000000"),143.7759836)</f>
        <v>143.77598359999999</v>
      </c>
      <c r="G8" s="95">
        <f t="shared" ca="1" si="0"/>
        <v>4.8605549796061891E-3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544163</v>
      </c>
      <c r="B9" s="98" t="s">
        <v>3505</v>
      </c>
      <c r="C9" s="101"/>
      <c r="D9" s="101"/>
      <c r="E9" s="101">
        <f ca="1">IFERROR(__xludf.DUMMYFUNCTION("GOOGLEFINANCE(""BOM:""&amp;A9,""PRICE"")"),90)</f>
        <v>90</v>
      </c>
      <c r="F9" s="112">
        <f ca="1">IFERROR(__xludf.DUMMYFUNCTION("GOOGLEFINANCE(""BOM:""&amp;A9,""MARKETCAP"")/10000000"),116.90316)</f>
        <v>116.90316</v>
      </c>
      <c r="G9" s="95">
        <f t="shared" ca="1" si="0"/>
        <v>3.9520803283149934E-3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>
      <c r="A10" s="101"/>
      <c r="B10" s="101"/>
      <c r="C10" s="101"/>
      <c r="D10" s="101"/>
      <c r="E10" s="101"/>
      <c r="F10" s="112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>
      <c r="A11" s="101"/>
      <c r="B11" s="101"/>
      <c r="C11" s="101"/>
      <c r="D11" s="101"/>
      <c r="E11" s="101"/>
      <c r="F11" s="112">
        <f t="shared" ref="F11:O11" ca="1" si="1">SUM(F2:F9)</f>
        <v>29580.157863300003</v>
      </c>
      <c r="G11" s="95">
        <f t="shared" ca="1" si="1"/>
        <v>0.99999999999999967</v>
      </c>
      <c r="H11" s="101">
        <f t="shared" si="1"/>
        <v>11833</v>
      </c>
      <c r="I11" s="101">
        <f t="shared" si="1"/>
        <v>10830</v>
      </c>
      <c r="J11" s="101">
        <f t="shared" si="1"/>
        <v>1339</v>
      </c>
      <c r="K11" s="101">
        <f t="shared" si="1"/>
        <v>1274</v>
      </c>
      <c r="L11" s="101">
        <f t="shared" si="1"/>
        <v>3520</v>
      </c>
      <c r="M11" s="101">
        <f t="shared" si="1"/>
        <v>3213</v>
      </c>
      <c r="N11" s="101">
        <f t="shared" si="1"/>
        <v>358</v>
      </c>
      <c r="O11" s="101">
        <f t="shared" si="1"/>
        <v>380</v>
      </c>
      <c r="P11" s="95">
        <f t="shared" ref="P11:Q11" si="2">J11/H11</f>
        <v>0.11315811713006001</v>
      </c>
      <c r="Q11" s="95">
        <f t="shared" si="2"/>
        <v>0.11763619575253924</v>
      </c>
      <c r="R11" s="95">
        <f>P11-Q11</f>
        <v>-4.4780786224792313E-3</v>
      </c>
      <c r="S11" s="95">
        <f t="shared" ref="S11:T11" si="3">N11/L11</f>
        <v>0.10170454545454545</v>
      </c>
      <c r="T11" s="95">
        <f t="shared" si="3"/>
        <v>0.11826953003423592</v>
      </c>
      <c r="U11" s="95">
        <f>S11-T11</f>
        <v>-1.6564984579690467E-2</v>
      </c>
      <c r="V11" s="95">
        <f>(H11/I11)-1</f>
        <v>9.2613111726685071E-2</v>
      </c>
      <c r="W11" s="95">
        <f>(J11/K11)-1</f>
        <v>5.1020408163265252E-2</v>
      </c>
      <c r="X11" s="95">
        <f>(L11/M11)-1</f>
        <v>9.5549330843448521E-2</v>
      </c>
      <c r="Y11" s="95">
        <f>(N11/O11)-1</f>
        <v>-5.7894736842105221E-2</v>
      </c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9" xr:uid="{00000000-0009-0000-0000-000063000000}"/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542066</v>
      </c>
      <c r="B2" s="98" t="s">
        <v>3506</v>
      </c>
      <c r="C2" s="101" t="str">
        <f>VLOOKUP(A2,'BSE ALL CAP'!$B$4:$Y$1038,2,)</f>
        <v>Energy</v>
      </c>
      <c r="D2" s="101" t="str">
        <f>VLOOKUP(A2,'BSE ALL CAP'!$B$4:$Y$1038,3,)</f>
        <v>LPG/CNG/PNG/LNG Supplier</v>
      </c>
      <c r="E2" s="101">
        <f ca="1">IFERROR(__xludf.DUMMYFUNCTION("GOOGLEFINANCE(""BOM:""&amp;A2,""PRICE"")"),525.05)</f>
        <v>525.04999999999995</v>
      </c>
      <c r="F2" s="112">
        <f ca="1">IFERROR(__xludf.DUMMYFUNCTION("GOOGLEFINANCE(""BOM:""&amp;A2,""MARKETCAP"")/10000000"),57762.0225425)</f>
        <v>57762.022542500003</v>
      </c>
      <c r="G2" s="95">
        <f t="shared" ref="G2:G8" ca="1" si="0">F2/$F$10</f>
        <v>0.38362783232655484</v>
      </c>
      <c r="H2" s="101">
        <f>VLOOKUP(A2,'BSE ALL CAP'!$B$4:$Y$1038,7,)</f>
        <v>4739</v>
      </c>
      <c r="I2" s="101">
        <f>VLOOKUP(A2,'BSE ALL CAP'!$B$4:$Y$1038,8,)</f>
        <v>3980</v>
      </c>
      <c r="J2" s="101">
        <f>VLOOKUP(A2,'BSE ALL CAP'!$B$4:$Y$1038,9,)</f>
        <v>487</v>
      </c>
      <c r="K2" s="101">
        <f>VLOOKUP(A2,'BSE ALL CAP'!$B$4:$Y$1038,10,)</f>
        <v>499</v>
      </c>
      <c r="L2" s="101">
        <f>VLOOKUP(A2,'BSE ALL CAP'!$B$4:$Y$1038,11,)</f>
        <v>1648</v>
      </c>
      <c r="M2" s="101">
        <f>VLOOKUP(A2,'BSE ALL CAP'!$B$4:$Y$1038,12,)</f>
        <v>1407</v>
      </c>
      <c r="N2" s="101">
        <f>VLOOKUP(A2,'BSE ALL CAP'!$B$4:$Y$1038,13,)</f>
        <v>158</v>
      </c>
      <c r="O2" s="101">
        <f>VLOOKUP(A2,'BSE ALL CAP'!$B$4:$Y$1038,14,)</f>
        <v>142</v>
      </c>
      <c r="P2" s="95">
        <f>VLOOKUP(A2,'BSE ALL CAP'!$B$4:$Y$1038,15,)</f>
        <v>0.10276429626503482</v>
      </c>
      <c r="Q2" s="95">
        <f>VLOOKUP(A2,'BSE ALL CAP'!$B$4:$Y$1038,16,)</f>
        <v>0.12537688442211056</v>
      </c>
      <c r="R2" s="95">
        <f>VLOOKUP(A2,'BSE ALL CAP'!$B$4:$Y$1038,17,)</f>
        <v>-2.2612588157075744E-2</v>
      </c>
      <c r="S2" s="95">
        <f>VLOOKUP(A2,'BSE ALL CAP'!$B$4:$Y$1038,18,)</f>
        <v>9.5873786407766989E-2</v>
      </c>
      <c r="T2" s="95">
        <f>VLOOKUP(A2,'BSE ALL CAP'!$B$4:$Y$1038,19,)</f>
        <v>0.10092395167022032</v>
      </c>
      <c r="U2" s="95">
        <f>VLOOKUP(A2,'BSE ALL CAP'!$B$4:$Y$1038,20,)</f>
        <v>-5.0501652624533322E-3</v>
      </c>
      <c r="V2" s="95">
        <f>VLOOKUP(A2,'BSE ALL CAP'!$B$4:$Y$1038,21,)</f>
        <v>0.19070351758793969</v>
      </c>
      <c r="W2" s="95">
        <f>VLOOKUP(A2,'BSE ALL CAP'!$B$4:$Y$1038,22,)</f>
        <v>-2.4048096192384794E-2</v>
      </c>
      <c r="X2" s="95">
        <f>VLOOKUP(A2,'BSE ALL CAP'!$B$4:$Y$1038,23,)</f>
        <v>0.17128642501776836</v>
      </c>
      <c r="Y2" s="95">
        <f>VLOOKUP(A2,'BSE ALL CAP'!$B$4:$Y$1038,24,)</f>
        <v>0.11267605633802824</v>
      </c>
    </row>
    <row r="3" spans="1:25" ht="15.75" customHeight="1">
      <c r="A3" s="99">
        <v>532522</v>
      </c>
      <c r="B3" s="98" t="s">
        <v>3507</v>
      </c>
      <c r="C3" s="101" t="str">
        <f>VLOOKUP(A3,'BSE ALL CAP'!$B$4:$Y$1038,2,)</f>
        <v>Energy</v>
      </c>
      <c r="D3" s="101" t="str">
        <f>VLOOKUP(A3,'BSE ALL CAP'!$B$4:$Y$1038,3,)</f>
        <v>LPG/CNG/PNG/LNG Supplier</v>
      </c>
      <c r="E3" s="101">
        <f ca="1">IFERROR(__xludf.DUMMYFUNCTION("GOOGLEFINANCE(""BOM:""&amp;A3,""PRICE"")"),254.4)</f>
        <v>254.4</v>
      </c>
      <c r="F3" s="112">
        <f ca="1">IFERROR(__xludf.DUMMYFUNCTION("GOOGLEFINANCE(""BOM:""&amp;A3,""MARKETCAP"")/10000000"),38150.9994506)</f>
        <v>38150.9994506</v>
      </c>
      <c r="G3" s="95">
        <f t="shared" ca="1" si="0"/>
        <v>0.25338076085470485</v>
      </c>
      <c r="H3" s="101">
        <f>VLOOKUP(A3,'BSE ALL CAP'!$B$4:$Y$1038,7,)</f>
        <v>34053</v>
      </c>
      <c r="I3" s="101">
        <f>VLOOKUP(A3,'BSE ALL CAP'!$B$4:$Y$1038,8,)</f>
        <v>38666</v>
      </c>
      <c r="J3" s="101">
        <f>VLOOKUP(A3,'BSE ALL CAP'!$B$4:$Y$1038,9,)</f>
        <v>2472</v>
      </c>
      <c r="K3" s="101">
        <f>VLOOKUP(A3,'BSE ALL CAP'!$B$4:$Y$1038,10,)</f>
        <v>2816</v>
      </c>
      <c r="L3" s="101">
        <f>VLOOKUP(A3,'BSE ALL CAP'!$B$4:$Y$1038,11,)</f>
        <v>11164</v>
      </c>
      <c r="M3" s="101">
        <f>VLOOKUP(A3,'BSE ALL CAP'!$B$4:$Y$1038,12,)</f>
        <v>12227</v>
      </c>
      <c r="N3" s="101">
        <f>VLOOKUP(A3,'BSE ALL CAP'!$B$4:$Y$1038,13,)</f>
        <v>845</v>
      </c>
      <c r="O3" s="101">
        <f>VLOOKUP(A3,'BSE ALL CAP'!$B$4:$Y$1038,14,)</f>
        <v>867</v>
      </c>
      <c r="P3" s="95">
        <f>VLOOKUP(A3,'BSE ALL CAP'!$B$4:$Y$1038,15,)</f>
        <v>7.2592723108096197E-2</v>
      </c>
      <c r="Q3" s="95">
        <f>VLOOKUP(A3,'BSE ALL CAP'!$B$4:$Y$1038,16,)</f>
        <v>7.2828841876584074E-2</v>
      </c>
      <c r="R3" s="95">
        <f>VLOOKUP(A3,'BSE ALL CAP'!$B$4:$Y$1038,17,)</f>
        <v>-2.3611876848787794E-4</v>
      </c>
      <c r="S3" s="95">
        <f>VLOOKUP(A3,'BSE ALL CAP'!$B$4:$Y$1038,18,)</f>
        <v>7.5689716947330704E-2</v>
      </c>
      <c r="T3" s="95">
        <f>VLOOKUP(A3,'BSE ALL CAP'!$B$4:$Y$1038,19,)</f>
        <v>7.0908644802486306E-2</v>
      </c>
      <c r="U3" s="95">
        <f>VLOOKUP(A3,'BSE ALL CAP'!$B$4:$Y$1038,20,)</f>
        <v>4.7810721448443977E-3</v>
      </c>
      <c r="V3" s="95">
        <f>VLOOKUP(A3,'BSE ALL CAP'!$B$4:$Y$1038,21,)</f>
        <v>-0.1193037810996741</v>
      </c>
      <c r="W3" s="95">
        <f>VLOOKUP(A3,'BSE ALL CAP'!$B$4:$Y$1038,22,)</f>
        <v>-0.12215909090909094</v>
      </c>
      <c r="X3" s="95">
        <f>VLOOKUP(A3,'BSE ALL CAP'!$B$4:$Y$1038,23,)</f>
        <v>-8.6938742128077173E-2</v>
      </c>
      <c r="Y3" s="95">
        <f>VLOOKUP(A3,'BSE ALL CAP'!$B$4:$Y$1038,24,)</f>
        <v>-2.5374855824682796E-2</v>
      </c>
    </row>
    <row r="4" spans="1:25" ht="15.75" customHeight="1">
      <c r="A4" s="99">
        <v>539336</v>
      </c>
      <c r="B4" s="98" t="s">
        <v>3508</v>
      </c>
      <c r="C4" s="101" t="str">
        <f>VLOOKUP(A4,'BSE ALL CAP'!$B$4:$Y$1038,2,)</f>
        <v>Energy</v>
      </c>
      <c r="D4" s="101" t="str">
        <f>VLOOKUP(A4,'BSE ALL CAP'!$B$4:$Y$1038,3,)</f>
        <v>LPG/CNG/PNG/LNG Supplier</v>
      </c>
      <c r="E4" s="101">
        <f ca="1">IFERROR(__xludf.DUMMYFUNCTION("GOOGLEFINANCE(""BOM:""&amp;A4,""PRICE"")"),316.25)</f>
        <v>316.25</v>
      </c>
      <c r="F4" s="112">
        <f ca="1">IFERROR(__xludf.DUMMYFUNCTION("GOOGLEFINANCE(""BOM:""&amp;A4,""MARKETCAP"")/10000000"),21787.546665)</f>
        <v>21787.546665000002</v>
      </c>
      <c r="G4" s="95">
        <f t="shared" ca="1" si="0"/>
        <v>0.14470250401390902</v>
      </c>
      <c r="H4" s="101">
        <f>VLOOKUP(A4,'BSE ALL CAP'!$B$4:$Y$1038,7,)</f>
        <v>11909</v>
      </c>
      <c r="I4" s="101">
        <f>VLOOKUP(A4,'BSE ALL CAP'!$B$4:$Y$1038,8,)</f>
        <v>12895</v>
      </c>
      <c r="J4" s="101">
        <f>VLOOKUP(A4,'BSE ALL CAP'!$B$4:$Y$1038,9,)</f>
        <v>874</v>
      </c>
      <c r="K4" s="101">
        <f>VLOOKUP(A4,'BSE ALL CAP'!$B$4:$Y$1038,10,)</f>
        <v>860</v>
      </c>
      <c r="L4" s="101">
        <f>VLOOKUP(A4,'BSE ALL CAP'!$B$4:$Y$1038,11,)</f>
        <v>3865</v>
      </c>
      <c r="M4" s="101">
        <f>VLOOKUP(A4,'BSE ALL CAP'!$B$4:$Y$1038,12,)</f>
        <v>4332</v>
      </c>
      <c r="N4" s="101">
        <f>VLOOKUP(A4,'BSE ALL CAP'!$B$4:$Y$1038,13,)</f>
        <v>267</v>
      </c>
      <c r="O4" s="101">
        <f>VLOOKUP(A4,'BSE ALL CAP'!$B$4:$Y$1038,14,)</f>
        <v>221</v>
      </c>
      <c r="P4" s="95">
        <f>VLOOKUP(A4,'BSE ALL CAP'!$B$4:$Y$1038,15,)</f>
        <v>7.338987320513897E-2</v>
      </c>
      <c r="Q4" s="95">
        <f>VLOOKUP(A4,'BSE ALL CAP'!$B$4:$Y$1038,16,)</f>
        <v>6.6692516479255531E-2</v>
      </c>
      <c r="R4" s="95">
        <f>VLOOKUP(A4,'BSE ALL CAP'!$B$4:$Y$1038,17,)</f>
        <v>6.6973567258834382E-3</v>
      </c>
      <c r="S4" s="95">
        <f>VLOOKUP(A4,'BSE ALL CAP'!$B$4:$Y$1038,18,)</f>
        <v>6.9081500646830524E-2</v>
      </c>
      <c r="T4" s="95">
        <f>VLOOKUP(A4,'BSE ALL CAP'!$B$4:$Y$1038,19,)</f>
        <v>5.1015697137580793E-2</v>
      </c>
      <c r="U4" s="95">
        <f>VLOOKUP(A4,'BSE ALL CAP'!$B$4:$Y$1038,20,)</f>
        <v>1.8065803509249731E-2</v>
      </c>
      <c r="V4" s="95">
        <f>VLOOKUP(A4,'BSE ALL CAP'!$B$4:$Y$1038,21,)</f>
        <v>-7.6463745637844083E-2</v>
      </c>
      <c r="W4" s="95">
        <f>VLOOKUP(A4,'BSE ALL CAP'!$B$4:$Y$1038,22,)</f>
        <v>1.6279069767441756E-2</v>
      </c>
      <c r="X4" s="95">
        <f>VLOOKUP(A4,'BSE ALL CAP'!$B$4:$Y$1038,23,)</f>
        <v>-0.10780240073868885</v>
      </c>
      <c r="Y4" s="95">
        <f>VLOOKUP(A4,'BSE ALL CAP'!$B$4:$Y$1038,24,)</f>
        <v>0.20814479638009042</v>
      </c>
    </row>
    <row r="5" spans="1:25" ht="15.75" customHeight="1">
      <c r="A5" s="99">
        <v>532514</v>
      </c>
      <c r="B5" s="98" t="s">
        <v>3509</v>
      </c>
      <c r="C5" s="101" t="str">
        <f>VLOOKUP(A5,'BSE ALL CAP'!$B$4:$Y$1038,2,)</f>
        <v>Energy</v>
      </c>
      <c r="D5" s="101" t="str">
        <f>VLOOKUP(A5,'BSE ALL CAP'!$B$4:$Y$1038,3,)</f>
        <v>LPG/CNG/PNG/LNG Supplier</v>
      </c>
      <c r="E5" s="101">
        <f ca="1">IFERROR(__xludf.DUMMYFUNCTION("GOOGLEFINANCE(""BOM:""&amp;A5,""PRICE"")"),148.05)</f>
        <v>148.05000000000001</v>
      </c>
      <c r="F5" s="112">
        <f ca="1">IFERROR(__xludf.DUMMYFUNCTION("GOOGLEFINANCE(""BOM:""&amp;A5,""MARKETCAP"")/10000000"),20716.414852)</f>
        <v>20716.414852000002</v>
      </c>
      <c r="G5" s="95">
        <f t="shared" ca="1" si="0"/>
        <v>0.13758855686541954</v>
      </c>
      <c r="H5" s="101">
        <f>VLOOKUP(A5,'BSE ALL CAP'!$B$4:$Y$1038,7,)</f>
        <v>13262</v>
      </c>
      <c r="I5" s="101">
        <f>VLOOKUP(A5,'BSE ALL CAP'!$B$4:$Y$1038,8,)</f>
        <v>12114</v>
      </c>
      <c r="J5" s="101">
        <f>VLOOKUP(A5,'BSE ALL CAP'!$B$4:$Y$1038,9,)</f>
        <v>1205</v>
      </c>
      <c r="K5" s="101">
        <f>VLOOKUP(A5,'BSE ALL CAP'!$B$4:$Y$1038,10,)</f>
        <v>1260</v>
      </c>
      <c r="L5" s="101">
        <f>VLOOKUP(A5,'BSE ALL CAP'!$B$4:$Y$1038,11,)</f>
        <v>4489</v>
      </c>
      <c r="M5" s="101">
        <f>VLOOKUP(A5,'BSE ALL CAP'!$B$4:$Y$1038,12,)</f>
        <v>4142</v>
      </c>
      <c r="N5" s="101">
        <f>VLOOKUP(A5,'BSE ALL CAP'!$B$4:$Y$1038,13,)</f>
        <v>392</v>
      </c>
      <c r="O5" s="101">
        <f>VLOOKUP(A5,'BSE ALL CAP'!$B$4:$Y$1038,14,)</f>
        <v>325</v>
      </c>
      <c r="P5" s="95">
        <f>VLOOKUP(A5,'BSE ALL CAP'!$B$4:$Y$1038,15,)</f>
        <v>9.0861106922032878E-2</v>
      </c>
      <c r="Q5" s="95">
        <f>VLOOKUP(A5,'BSE ALL CAP'!$B$4:$Y$1038,16,)</f>
        <v>0.10401188707280833</v>
      </c>
      <c r="R5" s="95">
        <f>VLOOKUP(A5,'BSE ALL CAP'!$B$4:$Y$1038,17,)</f>
        <v>-1.3150780150775448E-2</v>
      </c>
      <c r="S5" s="95">
        <f>VLOOKUP(A5,'BSE ALL CAP'!$B$4:$Y$1038,18,)</f>
        <v>8.7324571173980847E-2</v>
      </c>
      <c r="T5" s="95">
        <f>VLOOKUP(A5,'BSE ALL CAP'!$B$4:$Y$1038,19,)</f>
        <v>7.846450989859971E-2</v>
      </c>
      <c r="U5" s="95">
        <f>VLOOKUP(A5,'BSE ALL CAP'!$B$4:$Y$1038,20,)</f>
        <v>8.860061275381137E-3</v>
      </c>
      <c r="V5" s="95">
        <f>VLOOKUP(A5,'BSE ALL CAP'!$B$4:$Y$1038,21,)</f>
        <v>9.4766385999669911E-2</v>
      </c>
      <c r="W5" s="95">
        <f>VLOOKUP(A5,'BSE ALL CAP'!$B$4:$Y$1038,22,)</f>
        <v>-4.3650793650793607E-2</v>
      </c>
      <c r="X5" s="95">
        <f>VLOOKUP(A5,'BSE ALL CAP'!$B$4:$Y$1038,23,)</f>
        <v>8.3775953645581769E-2</v>
      </c>
      <c r="Y5" s="95">
        <f>VLOOKUP(A5,'BSE ALL CAP'!$B$4:$Y$1038,24,)</f>
        <v>0.20615384615384613</v>
      </c>
    </row>
    <row r="6" spans="1:25" ht="15.75" customHeight="1">
      <c r="A6" s="99">
        <v>539957</v>
      </c>
      <c r="B6" s="98" t="s">
        <v>3510</v>
      </c>
      <c r="C6" s="101" t="str">
        <f>VLOOKUP(A6,'BSE ALL CAP'!$B$4:$Y$1038,2,)</f>
        <v>Energy</v>
      </c>
      <c r="D6" s="101" t="str">
        <f>VLOOKUP(A6,'BSE ALL CAP'!$B$4:$Y$1038,3,)</f>
        <v>LPG/CNG/PNG/LNG Supplier</v>
      </c>
      <c r="E6" s="101">
        <f ca="1">IFERROR(__xludf.DUMMYFUNCTION("GOOGLEFINANCE(""BOM:""&amp;A6,""PRICE"")"),960.8)</f>
        <v>960.8</v>
      </c>
      <c r="F6" s="112">
        <f ca="1">IFERROR(__xludf.DUMMYFUNCTION("GOOGLEFINANCE(""BOM:""&amp;A6,""MARKETCAP"")/10000000"),9493.5312335)</f>
        <v>9493.5312334999999</v>
      </c>
      <c r="G6" s="95">
        <f t="shared" ca="1" si="0"/>
        <v>6.3051511147352218E-2</v>
      </c>
      <c r="H6" s="101">
        <f>VLOOKUP(A6,'BSE ALL CAP'!$B$4:$Y$1038,7,)</f>
        <v>6806</v>
      </c>
      <c r="I6" s="101">
        <f>VLOOKUP(A6,'BSE ALL CAP'!$B$4:$Y$1038,8,)</f>
        <v>5826</v>
      </c>
      <c r="J6" s="101">
        <f>VLOOKUP(A6,'BSE ALL CAP'!$B$4:$Y$1038,9,)</f>
        <v>711</v>
      </c>
      <c r="K6" s="101">
        <f>VLOOKUP(A6,'BSE ALL CAP'!$B$4:$Y$1038,10,)</f>
        <v>799</v>
      </c>
      <c r="L6" s="101">
        <f>VLOOKUP(A6,'BSE ALL CAP'!$B$4:$Y$1038,11,)</f>
        <v>2268</v>
      </c>
      <c r="M6" s="101">
        <f>VLOOKUP(A6,'BSE ALL CAP'!$B$4:$Y$1038,12,)</f>
        <v>2031</v>
      </c>
      <c r="N6" s="101">
        <f>VLOOKUP(A6,'BSE ALL CAP'!$B$4:$Y$1038,13,)</f>
        <v>201</v>
      </c>
      <c r="O6" s="101">
        <f>VLOOKUP(A6,'BSE ALL CAP'!$B$4:$Y$1038,14,)</f>
        <v>223</v>
      </c>
      <c r="P6" s="95">
        <f>VLOOKUP(A6,'BSE ALL CAP'!$B$4:$Y$1038,15,)</f>
        <v>0.10446664707610931</v>
      </c>
      <c r="Q6" s="95">
        <f>VLOOKUP(A6,'BSE ALL CAP'!$B$4:$Y$1038,16,)</f>
        <v>0.13714383796773086</v>
      </c>
      <c r="R6" s="95">
        <f>VLOOKUP(A6,'BSE ALL CAP'!$B$4:$Y$1038,17,)</f>
        <v>-3.2677190891621549E-2</v>
      </c>
      <c r="S6" s="95">
        <f>VLOOKUP(A6,'BSE ALL CAP'!$B$4:$Y$1038,18,)</f>
        <v>8.8624338624338619E-2</v>
      </c>
      <c r="T6" s="95">
        <f>VLOOKUP(A6,'BSE ALL CAP'!$B$4:$Y$1038,19,)</f>
        <v>0.10979812900049236</v>
      </c>
      <c r="U6" s="95">
        <f>VLOOKUP(A6,'BSE ALL CAP'!$B$4:$Y$1038,20,)</f>
        <v>-2.1173790376153745E-2</v>
      </c>
      <c r="V6" s="95">
        <f>VLOOKUP(A6,'BSE ALL CAP'!$B$4:$Y$1038,21,)</f>
        <v>0.1682114658427738</v>
      </c>
      <c r="W6" s="95">
        <f>VLOOKUP(A6,'BSE ALL CAP'!$B$4:$Y$1038,22,)</f>
        <v>-0.1101376720901126</v>
      </c>
      <c r="X6" s="95">
        <f>VLOOKUP(A6,'BSE ALL CAP'!$B$4:$Y$1038,23,)</f>
        <v>0.11669128508124071</v>
      </c>
      <c r="Y6" s="95">
        <f>VLOOKUP(A6,'BSE ALL CAP'!$B$4:$Y$1038,24,)</f>
        <v>-9.8654708520179324E-2</v>
      </c>
    </row>
    <row r="7" spans="1:25" ht="15.75" customHeight="1">
      <c r="A7" s="99">
        <v>526829</v>
      </c>
      <c r="B7" s="98" t="s">
        <v>3511</v>
      </c>
      <c r="C7" s="101"/>
      <c r="D7" s="101"/>
      <c r="E7" s="101">
        <f ca="1">IFERROR(__xludf.DUMMYFUNCTION("GOOGLEFINANCE(""BOM:""&amp;A7,""PRICE"")"),57.64)</f>
        <v>57.64</v>
      </c>
      <c r="F7" s="112">
        <f ca="1">IFERROR(__xludf.DUMMYFUNCTION("GOOGLEFINANCE(""BOM:""&amp;A7,""MARKETCAP"")/10000000"),1914.3726065)</f>
        <v>1914.3726065000001</v>
      </c>
      <c r="G7" s="95">
        <f t="shared" ca="1" si="0"/>
        <v>1.2714350726839107E-2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544004</v>
      </c>
      <c r="B8" s="98" t="s">
        <v>3512</v>
      </c>
      <c r="C8" s="101"/>
      <c r="D8" s="101"/>
      <c r="E8" s="101">
        <f ca="1">IFERROR(__xludf.DUMMYFUNCTION("GOOGLEFINANCE(""BOM:""&amp;A8,""PRICE"")"),180.6)</f>
        <v>180.6</v>
      </c>
      <c r="F8" s="112">
        <f ca="1">IFERROR(__xludf.DUMMYFUNCTION("GOOGLEFINANCE(""BOM:""&amp;A8,""MARKETCAP"")/10000000"),742.9747161)</f>
        <v>742.97471610000002</v>
      </c>
      <c r="G8" s="95">
        <f t="shared" ca="1" si="0"/>
        <v>4.93448406522062E-3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A9" s="101"/>
      <c r="B9" s="101"/>
      <c r="C9" s="101"/>
      <c r="D9" s="101"/>
      <c r="E9" s="101"/>
      <c r="F9" s="112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>
      <c r="A10" s="101"/>
      <c r="B10" s="101"/>
      <c r="C10" s="101"/>
      <c r="D10" s="101"/>
      <c r="E10" s="101"/>
      <c r="F10" s="112">
        <f t="shared" ref="F10:O10" ca="1" si="1">SUM(F2:F8)</f>
        <v>150567.86206619997</v>
      </c>
      <c r="G10" s="95">
        <f t="shared" ca="1" si="1"/>
        <v>1.0000000000000002</v>
      </c>
      <c r="H10" s="101">
        <f t="shared" si="1"/>
        <v>70769</v>
      </c>
      <c r="I10" s="101">
        <f t="shared" si="1"/>
        <v>73481</v>
      </c>
      <c r="J10" s="101">
        <f t="shared" si="1"/>
        <v>5749</v>
      </c>
      <c r="K10" s="101">
        <f t="shared" si="1"/>
        <v>6234</v>
      </c>
      <c r="L10" s="101">
        <f t="shared" si="1"/>
        <v>23434</v>
      </c>
      <c r="M10" s="101">
        <f t="shared" si="1"/>
        <v>24139</v>
      </c>
      <c r="N10" s="101">
        <f t="shared" si="1"/>
        <v>1863</v>
      </c>
      <c r="O10" s="101">
        <f t="shared" si="1"/>
        <v>1778</v>
      </c>
      <c r="P10" s="95">
        <f t="shared" ref="P10:Q10" si="2">J10/H10</f>
        <v>8.1236134465655863E-2</v>
      </c>
      <c r="Q10" s="95">
        <f t="shared" si="2"/>
        <v>8.4838257508743756E-2</v>
      </c>
      <c r="R10" s="95">
        <f>P10-Q10</f>
        <v>-3.6021230430878931E-3</v>
      </c>
      <c r="S10" s="95">
        <f t="shared" ref="S10:T10" si="3">N10/L10</f>
        <v>7.9499871980882472E-2</v>
      </c>
      <c r="T10" s="95">
        <f t="shared" si="3"/>
        <v>7.3656738058743107E-2</v>
      </c>
      <c r="U10" s="95">
        <f>S10-T10</f>
        <v>5.8431339221393652E-3</v>
      </c>
      <c r="V10" s="95">
        <f>(H10/I10)-1</f>
        <v>-3.6907499897932849E-2</v>
      </c>
      <c r="W10" s="95">
        <f>(J10/K10)-1</f>
        <v>-7.779916586461344E-2</v>
      </c>
      <c r="X10" s="95">
        <f>(L10/M10)-1</f>
        <v>-2.9205849455238408E-2</v>
      </c>
      <c r="Y10" s="95">
        <f>(N10/O10)-1</f>
        <v>4.7806524184476951E-2</v>
      </c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8" xr:uid="{00000000-0009-0000-0000-000064000000}"/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531344</v>
      </c>
      <c r="B2" s="98" t="s">
        <v>3513</v>
      </c>
      <c r="C2" s="101" t="str">
        <f>VLOOKUP(A2,'BSE ALL CAP'!$B$4:$Y$1038,2,)</f>
        <v>Services</v>
      </c>
      <c r="D2" s="101" t="str">
        <f>VLOOKUP(A2,'BSE ALL CAP'!$B$4:$Y$1038,3,)</f>
        <v>Logistics Solution Provider</v>
      </c>
      <c r="E2" s="101">
        <f ca="1">IFERROR(__xludf.DUMMYFUNCTION("GOOGLEFINANCE(""BOM:""&amp;A2,""PRICE"")"),451.2)</f>
        <v>451.2</v>
      </c>
      <c r="F2" s="112">
        <f ca="1">IFERROR(__xludf.DUMMYFUNCTION("GOOGLEFINANCE(""BOM:""&amp;A2,""MARKETCAP"")/10000000"),34364.2005777)</f>
        <v>34364.200577700001</v>
      </c>
      <c r="G2" s="95">
        <f t="shared" ref="G2:G59" ca="1" si="0">F2/$F$61</f>
        <v>0.2672832297011446</v>
      </c>
      <c r="H2" s="101">
        <f>VLOOKUP(A2,'BSE ALL CAP'!$B$4:$Y$1038,7,)</f>
        <v>6816</v>
      </c>
      <c r="I2" s="101">
        <f>VLOOKUP(A2,'BSE ALL CAP'!$B$4:$Y$1038,8,)</f>
        <v>6599</v>
      </c>
      <c r="J2" s="101">
        <f>VLOOKUP(A2,'BSE ALL CAP'!$B$4:$Y$1038,9,)</f>
        <v>982</v>
      </c>
      <c r="K2" s="101">
        <f>VLOOKUP(A2,'BSE ALL CAP'!$B$4:$Y$1038,10,)</f>
        <v>993</v>
      </c>
      <c r="L2" s="101">
        <f>VLOOKUP(A2,'BSE ALL CAP'!$B$4:$Y$1038,11,)</f>
        <v>2308</v>
      </c>
      <c r="M2" s="101">
        <f>VLOOKUP(A2,'BSE ALL CAP'!$B$4:$Y$1038,12,)</f>
        <v>2208</v>
      </c>
      <c r="N2" s="101">
        <f>VLOOKUP(A2,'BSE ALL CAP'!$B$4:$Y$1038,13,)</f>
        <v>335</v>
      </c>
      <c r="O2" s="101">
        <f>VLOOKUP(A2,'BSE ALL CAP'!$B$4:$Y$1038,14,)</f>
        <v>367</v>
      </c>
      <c r="P2" s="95">
        <f>VLOOKUP(A2,'BSE ALL CAP'!$B$4:$Y$1038,15,)</f>
        <v>0.14407276995305165</v>
      </c>
      <c r="Q2" s="95">
        <f>VLOOKUP(A2,'BSE ALL CAP'!$B$4:$Y$1038,16,)</f>
        <v>0.15047734505228064</v>
      </c>
      <c r="R2" s="95">
        <f>VLOOKUP(A2,'BSE ALL CAP'!$B$4:$Y$1038,17,)</f>
        <v>-6.4045750992289818E-3</v>
      </c>
      <c r="S2" s="95">
        <f>VLOOKUP(A2,'BSE ALL CAP'!$B$4:$Y$1038,18,)</f>
        <v>0.1451473136915078</v>
      </c>
      <c r="T2" s="95">
        <f>VLOOKUP(A2,'BSE ALL CAP'!$B$4:$Y$1038,19,)</f>
        <v>0.16621376811594202</v>
      </c>
      <c r="U2" s="95">
        <f>VLOOKUP(A2,'BSE ALL CAP'!$B$4:$Y$1038,20,)</f>
        <v>-2.1066454424434222E-2</v>
      </c>
      <c r="V2" s="95">
        <f>VLOOKUP(A2,'BSE ALL CAP'!$B$4:$Y$1038,21,)</f>
        <v>3.2883770268222534E-2</v>
      </c>
      <c r="W2" s="95">
        <f>VLOOKUP(A2,'BSE ALL CAP'!$B$4:$Y$1038,22,)</f>
        <v>-1.1077542799597162E-2</v>
      </c>
      <c r="X2" s="95">
        <f>VLOOKUP(A2,'BSE ALL CAP'!$B$4:$Y$1038,23,)</f>
        <v>4.5289855072463858E-2</v>
      </c>
      <c r="Y2" s="95">
        <f>VLOOKUP(A2,'BSE ALL CAP'!$B$4:$Y$1038,24,)</f>
        <v>-8.719346049046317E-2</v>
      </c>
    </row>
    <row r="3" spans="1:25" ht="15.75" customHeight="1">
      <c r="A3" s="99">
        <v>543529</v>
      </c>
      <c r="B3" s="98" t="s">
        <v>3514</v>
      </c>
      <c r="C3" s="101" t="str">
        <f>VLOOKUP(A3,'BSE ALL CAP'!$B$4:$Y$1038,2,)</f>
        <v>Services</v>
      </c>
      <c r="D3" s="101" t="str">
        <f>VLOOKUP(A3,'BSE ALL CAP'!$B$4:$Y$1038,3,)</f>
        <v>Logistics Solution Provider</v>
      </c>
      <c r="E3" s="101">
        <f ca="1">IFERROR(__xludf.DUMMYFUNCTION("GOOGLEFINANCE(""BOM:""&amp;A3,""PRICE"")"),433.05)</f>
        <v>433.05</v>
      </c>
      <c r="F3" s="112">
        <f ca="1">IFERROR(__xludf.DUMMYFUNCTION("GOOGLEFINANCE(""BOM:""&amp;A3,""MARKETCAP"")/10000000"),32452.1568)</f>
        <v>32452.156800000001</v>
      </c>
      <c r="G3" s="95">
        <f t="shared" ca="1" si="0"/>
        <v>0.25241143790496717</v>
      </c>
      <c r="H3" s="101">
        <f>VLOOKUP(A3,'BSE ALL CAP'!$B$4:$Y$1038,7,)</f>
        <v>7658</v>
      </c>
      <c r="I3" s="101">
        <f>VLOOKUP(A3,'BSE ALL CAP'!$B$4:$Y$1038,8,)</f>
        <v>6740</v>
      </c>
      <c r="J3" s="101">
        <f>VLOOKUP(A3,'BSE ALL CAP'!$B$4:$Y$1038,9,)</f>
        <v>80</v>
      </c>
      <c r="K3" s="101">
        <f>VLOOKUP(A3,'BSE ALL CAP'!$B$4:$Y$1038,10,)</f>
        <v>89</v>
      </c>
      <c r="L3" s="101">
        <f>VLOOKUP(A3,'BSE ALL CAP'!$B$4:$Y$1038,11,)</f>
        <v>2804</v>
      </c>
      <c r="M3" s="101">
        <f>VLOOKUP(A3,'BSE ALL CAP'!$B$4:$Y$1038,12,)</f>
        <v>2378</v>
      </c>
      <c r="N3" s="101">
        <f>VLOOKUP(A3,'BSE ALL CAP'!$B$4:$Y$1038,13,)</f>
        <v>39</v>
      </c>
      <c r="O3" s="101">
        <f>VLOOKUP(A3,'BSE ALL CAP'!$B$4:$Y$1038,14,)</f>
        <v>24</v>
      </c>
      <c r="P3" s="95">
        <f>VLOOKUP(A3,'BSE ALL CAP'!$B$4:$Y$1038,15,)</f>
        <v>1.0446591799425437E-2</v>
      </c>
      <c r="Q3" s="95">
        <f>VLOOKUP(A3,'BSE ALL CAP'!$B$4:$Y$1038,16,)</f>
        <v>1.3204747774480712E-2</v>
      </c>
      <c r="R3" s="95">
        <f>VLOOKUP(A3,'BSE ALL CAP'!$B$4:$Y$1038,17,)</f>
        <v>-2.7581559750552744E-3</v>
      </c>
      <c r="S3" s="95">
        <f>VLOOKUP(A3,'BSE ALL CAP'!$B$4:$Y$1038,18,)</f>
        <v>1.3908701854493581E-2</v>
      </c>
      <c r="T3" s="95">
        <f>VLOOKUP(A3,'BSE ALL CAP'!$B$4:$Y$1038,19,)</f>
        <v>1.0092514718250631E-2</v>
      </c>
      <c r="U3" s="95">
        <f>VLOOKUP(A3,'BSE ALL CAP'!$B$4:$Y$1038,20,)</f>
        <v>3.8161871362429496E-3</v>
      </c>
      <c r="V3" s="95">
        <f>VLOOKUP(A3,'BSE ALL CAP'!$B$4:$Y$1038,21,)</f>
        <v>0.1362017804154303</v>
      </c>
      <c r="W3" s="95">
        <f>VLOOKUP(A3,'BSE ALL CAP'!$B$4:$Y$1038,22,)</f>
        <v>-0.101123595505618</v>
      </c>
      <c r="X3" s="95">
        <f>VLOOKUP(A3,'BSE ALL CAP'!$B$4:$Y$1038,23,)</f>
        <v>0.1791421362489487</v>
      </c>
      <c r="Y3" s="95">
        <f>VLOOKUP(A3,'BSE ALL CAP'!$B$4:$Y$1038,24,)</f>
        <v>0.625</v>
      </c>
    </row>
    <row r="4" spans="1:25" ht="15.75" customHeight="1">
      <c r="A4" s="99">
        <v>526612</v>
      </c>
      <c r="B4" s="98" t="s">
        <v>3515</v>
      </c>
      <c r="C4" s="101" t="str">
        <f>VLOOKUP(A4,'BSE ALL CAP'!$B$4:$Y$1038,2,)</f>
        <v>Services</v>
      </c>
      <c r="D4" s="101" t="str">
        <f>VLOOKUP(A4,'BSE ALL CAP'!$B$4:$Y$1038,3,)</f>
        <v>Logistics Solution Provider</v>
      </c>
      <c r="E4" s="101">
        <f ca="1">IFERROR(__xludf.DUMMYFUNCTION("GOOGLEFINANCE(""BOM:""&amp;A4,""PRICE"")"),4799)</f>
        <v>4799</v>
      </c>
      <c r="F4" s="112">
        <f ca="1">IFERROR(__xludf.DUMMYFUNCTION("GOOGLEFINANCE(""BOM:""&amp;A4,""MARKETCAP"")/10000000"),11368.288774)</f>
        <v>11368.288774000001</v>
      </c>
      <c r="G4" s="95">
        <f t="shared" ca="1" si="0"/>
        <v>8.8422046449752045E-2</v>
      </c>
      <c r="H4" s="101">
        <f>VLOOKUP(A4,'BSE ALL CAP'!$B$4:$Y$1038,7,)</f>
        <v>4607</v>
      </c>
      <c r="I4" s="101">
        <f>VLOOKUP(A4,'BSE ALL CAP'!$B$4:$Y$1038,8,)</f>
        <v>4302</v>
      </c>
      <c r="J4" s="101">
        <f>VLOOKUP(A4,'BSE ALL CAP'!$B$4:$Y$1038,9,)</f>
        <v>198</v>
      </c>
      <c r="K4" s="101">
        <f>VLOOKUP(A4,'BSE ALL CAP'!$B$4:$Y$1038,10,)</f>
        <v>197</v>
      </c>
      <c r="L4" s="101">
        <f>VLOOKUP(A4,'BSE ALL CAP'!$B$4:$Y$1038,11,)</f>
        <v>1616</v>
      </c>
      <c r="M4" s="101">
        <f>VLOOKUP(A4,'BSE ALL CAP'!$B$4:$Y$1038,12,)</f>
        <v>1511</v>
      </c>
      <c r="N4" s="101">
        <f>VLOOKUP(A4,'BSE ALL CAP'!$B$4:$Y$1038,13,)</f>
        <v>68</v>
      </c>
      <c r="O4" s="101">
        <f>VLOOKUP(A4,'BSE ALL CAP'!$B$4:$Y$1038,14,)</f>
        <v>81</v>
      </c>
      <c r="P4" s="95">
        <f>VLOOKUP(A4,'BSE ALL CAP'!$B$4:$Y$1038,15,)</f>
        <v>4.2978076839591928E-2</v>
      </c>
      <c r="Q4" s="95">
        <f>VLOOKUP(A4,'BSE ALL CAP'!$B$4:$Y$1038,16,)</f>
        <v>4.5792654579265457E-2</v>
      </c>
      <c r="R4" s="95">
        <f>VLOOKUP(A4,'BSE ALL CAP'!$B$4:$Y$1038,17,)</f>
        <v>-2.8145777396735294E-3</v>
      </c>
      <c r="S4" s="95">
        <f>VLOOKUP(A4,'BSE ALL CAP'!$B$4:$Y$1038,18,)</f>
        <v>4.2079207920792082E-2</v>
      </c>
      <c r="T4" s="95">
        <f>VLOOKUP(A4,'BSE ALL CAP'!$B$4:$Y$1038,19,)</f>
        <v>5.3606882859033755E-2</v>
      </c>
      <c r="U4" s="95">
        <f>VLOOKUP(A4,'BSE ALL CAP'!$B$4:$Y$1038,20,)</f>
        <v>-1.1527674938241673E-2</v>
      </c>
      <c r="V4" s="95">
        <f>VLOOKUP(A4,'BSE ALL CAP'!$B$4:$Y$1038,21,)</f>
        <v>7.0897257089725718E-2</v>
      </c>
      <c r="W4" s="95">
        <f>VLOOKUP(A4,'BSE ALL CAP'!$B$4:$Y$1038,22,)</f>
        <v>5.0761421319795996E-3</v>
      </c>
      <c r="X4" s="95">
        <f>VLOOKUP(A4,'BSE ALL CAP'!$B$4:$Y$1038,23,)</f>
        <v>6.949040370615478E-2</v>
      </c>
      <c r="Y4" s="95">
        <f>VLOOKUP(A4,'BSE ALL CAP'!$B$4:$Y$1038,24,)</f>
        <v>-0.16049382716049387</v>
      </c>
    </row>
    <row r="5" spans="1:25" ht="15.75" customHeight="1">
      <c r="A5" s="99">
        <v>532349</v>
      </c>
      <c r="B5" s="98" t="s">
        <v>3516</v>
      </c>
      <c r="C5" s="101" t="str">
        <f>VLOOKUP(A5,'BSE ALL CAP'!$B$4:$Y$1038,2,)</f>
        <v>Services</v>
      </c>
      <c r="D5" s="101" t="str">
        <f>VLOOKUP(A5,'BSE ALL CAP'!$B$4:$Y$1038,3,)</f>
        <v>Logistics Solution Provider</v>
      </c>
      <c r="E5" s="101">
        <f ca="1">IFERROR(__xludf.DUMMYFUNCTION("GOOGLEFINANCE(""BOM:""&amp;A5,""PRICE"")"),992.9)</f>
        <v>992.9</v>
      </c>
      <c r="F5" s="112">
        <f ca="1">IFERROR(__xludf.DUMMYFUNCTION("GOOGLEFINANCE(""BOM:""&amp;A5,""MARKETCAP"")/10000000"),7606.0778306)</f>
        <v>7606.0778306000002</v>
      </c>
      <c r="G5" s="95">
        <f t="shared" ca="1" si="0"/>
        <v>5.9159736404294685E-2</v>
      </c>
      <c r="H5" s="101">
        <f>VLOOKUP(A5,'BSE ALL CAP'!$B$4:$Y$1038,7,)</f>
        <v>3628</v>
      </c>
      <c r="I5" s="101">
        <f>VLOOKUP(A5,'BSE ALL CAP'!$B$4:$Y$1038,8,)</f>
        <v>3341</v>
      </c>
      <c r="J5" s="101">
        <f>VLOOKUP(A5,'BSE ALL CAP'!$B$4:$Y$1038,9,)</f>
        <v>33</v>
      </c>
      <c r="K5" s="101">
        <f>VLOOKUP(A5,'BSE ALL CAP'!$B$4:$Y$1038,10,)</f>
        <v>30</v>
      </c>
      <c r="L5" s="101">
        <f>VLOOKUP(A5,'BSE ALL CAP'!$B$4:$Y$1038,11,)</f>
        <v>1260</v>
      </c>
      <c r="M5" s="101">
        <f>VLOOKUP(A5,'BSE ALL CAP'!$B$4:$Y$1038,12,)</f>
        <v>1153</v>
      </c>
      <c r="N5" s="101">
        <f>VLOOKUP(A5,'BSE ALL CAP'!$B$4:$Y$1038,13,)</f>
        <v>115</v>
      </c>
      <c r="O5" s="101">
        <f>VLOOKUP(A5,'BSE ALL CAP'!$B$4:$Y$1038,14,)</f>
        <v>102</v>
      </c>
      <c r="P5" s="95">
        <f>VLOOKUP(A5,'BSE ALL CAP'!$B$4:$Y$1038,15,)</f>
        <v>9.0959206174200669E-3</v>
      </c>
      <c r="Q5" s="95">
        <f>VLOOKUP(A5,'BSE ALL CAP'!$B$4:$Y$1038,16,)</f>
        <v>8.9793475007482783E-3</v>
      </c>
      <c r="R5" s="95">
        <f>VLOOKUP(A5,'BSE ALL CAP'!$B$4:$Y$1038,17,)</f>
        <v>1.1657311667178857E-4</v>
      </c>
      <c r="S5" s="95">
        <f>VLOOKUP(A5,'BSE ALL CAP'!$B$4:$Y$1038,18,)</f>
        <v>9.1269841269841265E-2</v>
      </c>
      <c r="T5" s="95">
        <f>VLOOKUP(A5,'BSE ALL CAP'!$B$4:$Y$1038,19,)</f>
        <v>8.8464874241110145E-2</v>
      </c>
      <c r="U5" s="95">
        <f>VLOOKUP(A5,'BSE ALL CAP'!$B$4:$Y$1038,20,)</f>
        <v>2.8049670287311201E-3</v>
      </c>
      <c r="V5" s="95">
        <f>VLOOKUP(A5,'BSE ALL CAP'!$B$4:$Y$1038,21,)</f>
        <v>8.5902424423825119E-2</v>
      </c>
      <c r="W5" s="95">
        <f>VLOOKUP(A5,'BSE ALL CAP'!$B$4:$Y$1038,22,)</f>
        <v>0.10000000000000009</v>
      </c>
      <c r="X5" s="95">
        <f>VLOOKUP(A5,'BSE ALL CAP'!$B$4:$Y$1038,23,)</f>
        <v>9.2801387684301906E-2</v>
      </c>
      <c r="Y5" s="95">
        <f>VLOOKUP(A5,'BSE ALL CAP'!$B$4:$Y$1038,24,)</f>
        <v>0.12745098039215685</v>
      </c>
    </row>
    <row r="6" spans="1:25" ht="15.75" customHeight="1">
      <c r="A6" s="99">
        <v>544685</v>
      </c>
      <c r="B6" s="98" t="s">
        <v>3517</v>
      </c>
      <c r="C6" s="101" t="e">
        <f>VLOOKUP(A6,'BSE ALL CAP'!$B$4:$Y$1038,2,)</f>
        <v>#N/A</v>
      </c>
      <c r="D6" s="101" t="e">
        <f>VLOOKUP(A6,'BSE ALL CAP'!$B$4:$Y$1038,3,)</f>
        <v>#N/A</v>
      </c>
      <c r="E6" s="101">
        <f ca="1">IFERROR(__xludf.DUMMYFUNCTION("GOOGLEFINANCE(""BOM:""&amp;A6,""PRICE"")"),118.15)</f>
        <v>118.15</v>
      </c>
      <c r="F6" s="112">
        <f ca="1">IFERROR(__xludf.DUMMYFUNCTION("GOOGLEFINANCE(""BOM:""&amp;A6,""MARKETCAP"")/10000000"),6871.3849157)</f>
        <v>6871.3849157000004</v>
      </c>
      <c r="G6" s="95">
        <f t="shared" ca="1" si="0"/>
        <v>5.344532746034121E-2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543965</v>
      </c>
      <c r="B7" s="98" t="s">
        <v>3518</v>
      </c>
      <c r="C7" s="101" t="str">
        <f>VLOOKUP(A7,'BSE ALL CAP'!$B$4:$Y$1038,2,)</f>
        <v>Services</v>
      </c>
      <c r="D7" s="101" t="str">
        <f>VLOOKUP(A7,'BSE ALL CAP'!$B$4:$Y$1038,3,)</f>
        <v>Logistics Solution Provider</v>
      </c>
      <c r="E7" s="101">
        <f ca="1">IFERROR(__xludf.DUMMYFUNCTION("GOOGLEFINANCE(""BOM:""&amp;A7,""PRICE"")"),102)</f>
        <v>102</v>
      </c>
      <c r="F7" s="112">
        <f ca="1">IFERROR(__xludf.DUMMYFUNCTION("GOOGLEFINANCE(""BOM:""&amp;A7,""MARKETCAP"")/10000000"),4500.4772742)</f>
        <v>4500.4772741999996</v>
      </c>
      <c r="G7" s="95">
        <f t="shared" ca="1" si="0"/>
        <v>3.5004512859972657E-2</v>
      </c>
      <c r="H7" s="101">
        <f>VLOOKUP(A7,'BSE ALL CAP'!$B$4:$Y$1038,7,)</f>
        <v>7971</v>
      </c>
      <c r="I7" s="101">
        <f>VLOOKUP(A7,'BSE ALL CAP'!$B$4:$Y$1038,8,)</f>
        <v>7497</v>
      </c>
      <c r="J7" s="101">
        <f>VLOOKUP(A7,'BSE ALL CAP'!$B$4:$Y$1038,9,)</f>
        <v>99</v>
      </c>
      <c r="K7" s="101">
        <f>VLOOKUP(A7,'BSE ALL CAP'!$B$4:$Y$1038,10,)</f>
        <v>-6</v>
      </c>
      <c r="L7" s="101">
        <f>VLOOKUP(A7,'BSE ALL CAP'!$B$4:$Y$1038,11,)</f>
        <v>2716</v>
      </c>
      <c r="M7" s="101">
        <f>VLOOKUP(A7,'BSE ALL CAP'!$B$4:$Y$1038,12,)</f>
        <v>2445</v>
      </c>
      <c r="N7" s="101">
        <f>VLOOKUP(A7,'BSE ALL CAP'!$B$4:$Y$1038,13,)</f>
        <v>11</v>
      </c>
      <c r="O7" s="101">
        <f>VLOOKUP(A7,'BSE ALL CAP'!$B$4:$Y$1038,14,)</f>
        <v>-24</v>
      </c>
      <c r="P7" s="95">
        <f>VLOOKUP(A7,'BSE ALL CAP'!$B$4:$Y$1038,15,)</f>
        <v>1.2420022581859239E-2</v>
      </c>
      <c r="Q7" s="95">
        <f>VLOOKUP(A7,'BSE ALL CAP'!$B$4:$Y$1038,16,)</f>
        <v>-8.0032012805122054E-4</v>
      </c>
      <c r="R7" s="95">
        <f>VLOOKUP(A7,'BSE ALL CAP'!$B$4:$Y$1038,17,)</f>
        <v>1.322034270991046E-2</v>
      </c>
      <c r="S7" s="95">
        <f>VLOOKUP(A7,'BSE ALL CAP'!$B$4:$Y$1038,18,)</f>
        <v>4.050073637702504E-3</v>
      </c>
      <c r="T7" s="95">
        <f>VLOOKUP(A7,'BSE ALL CAP'!$B$4:$Y$1038,19,)</f>
        <v>-9.8159509202453993E-3</v>
      </c>
      <c r="U7" s="95">
        <f>VLOOKUP(A7,'BSE ALL CAP'!$B$4:$Y$1038,20,)</f>
        <v>1.3866024557947904E-2</v>
      </c>
      <c r="V7" s="95">
        <f>VLOOKUP(A7,'BSE ALL CAP'!$B$4:$Y$1038,21,)</f>
        <v>6.3225290116046384E-2</v>
      </c>
      <c r="W7" s="95">
        <f>VLOOKUP(A7,'BSE ALL CAP'!$B$4:$Y$1038,22,)</f>
        <v>-17.5</v>
      </c>
      <c r="X7" s="95">
        <f>VLOOKUP(A7,'BSE ALL CAP'!$B$4:$Y$1038,23,)</f>
        <v>0.11083844580777091</v>
      </c>
      <c r="Y7" s="95">
        <f>VLOOKUP(A7,'BSE ALL CAP'!$B$4:$Y$1038,24,)</f>
        <v>-1.4583333333333333</v>
      </c>
    </row>
    <row r="8" spans="1:25" ht="15.75" customHeight="1">
      <c r="A8" s="99">
        <v>539118</v>
      </c>
      <c r="B8" s="98" t="s">
        <v>3519</v>
      </c>
      <c r="C8" s="101" t="str">
        <f>VLOOKUP(A8,'BSE ALL CAP'!$B$4:$Y$1038,2,)</f>
        <v>Services</v>
      </c>
      <c r="D8" s="101" t="str">
        <f>VLOOKUP(A8,'BSE ALL CAP'!$B$4:$Y$1038,3,)</f>
        <v>Logistics Solution Provider</v>
      </c>
      <c r="E8" s="101">
        <f ca="1">IFERROR(__xludf.DUMMYFUNCTION("GOOGLEFINANCE(""BOM:""&amp;A8,""PRICE"")"),235.3)</f>
        <v>235.3</v>
      </c>
      <c r="F8" s="112">
        <f ca="1">IFERROR(__xludf.DUMMYFUNCTION("GOOGLEFINANCE(""BOM:""&amp;A8,""MARKETCAP"")/10000000"),4116.4401511)</f>
        <v>4116.4401510999996</v>
      </c>
      <c r="G8" s="95">
        <f t="shared" ca="1" si="0"/>
        <v>3.2017489129994935E-2</v>
      </c>
      <c r="H8" s="101">
        <f>VLOOKUP(A8,'BSE ALL CAP'!$B$4:$Y$1038,7,)</f>
        <v>2368</v>
      </c>
      <c r="I8" s="101">
        <f>VLOOKUP(A8,'BSE ALL CAP'!$B$4:$Y$1038,8,)</f>
        <v>2351</v>
      </c>
      <c r="J8" s="101">
        <f>VLOOKUP(A8,'BSE ALL CAP'!$B$4:$Y$1038,9,)</f>
        <v>164</v>
      </c>
      <c r="K8" s="101">
        <f>VLOOKUP(A8,'BSE ALL CAP'!$B$4:$Y$1038,10,)</f>
        <v>108</v>
      </c>
      <c r="L8" s="101">
        <f>VLOOKUP(A8,'BSE ALL CAP'!$B$4:$Y$1038,11,)</f>
        <v>826</v>
      </c>
      <c r="M8" s="101">
        <f>VLOOKUP(A8,'BSE ALL CAP'!$B$4:$Y$1038,12,)</f>
        <v>825</v>
      </c>
      <c r="N8" s="101">
        <f>VLOOKUP(A8,'BSE ALL CAP'!$B$4:$Y$1038,13,)</f>
        <v>64</v>
      </c>
      <c r="O8" s="101">
        <f>VLOOKUP(A8,'BSE ALL CAP'!$B$4:$Y$1038,14,)</f>
        <v>59</v>
      </c>
      <c r="P8" s="95">
        <f>VLOOKUP(A8,'BSE ALL CAP'!$B$4:$Y$1038,15,)</f>
        <v>6.9256756756756757E-2</v>
      </c>
      <c r="Q8" s="95">
        <f>VLOOKUP(A8,'BSE ALL CAP'!$B$4:$Y$1038,16,)</f>
        <v>4.5937898766482348E-2</v>
      </c>
      <c r="R8" s="95">
        <f>VLOOKUP(A8,'BSE ALL CAP'!$B$4:$Y$1038,17,)</f>
        <v>2.3318857990274409E-2</v>
      </c>
      <c r="S8" s="95">
        <f>VLOOKUP(A8,'BSE ALL CAP'!$B$4:$Y$1038,18,)</f>
        <v>7.7481840193704604E-2</v>
      </c>
      <c r="T8" s="95">
        <f>VLOOKUP(A8,'BSE ALL CAP'!$B$4:$Y$1038,19,)</f>
        <v>7.1515151515151518E-2</v>
      </c>
      <c r="U8" s="95">
        <f>VLOOKUP(A8,'BSE ALL CAP'!$B$4:$Y$1038,20,)</f>
        <v>5.9666886785530865E-3</v>
      </c>
      <c r="V8" s="95">
        <f>VLOOKUP(A8,'BSE ALL CAP'!$B$4:$Y$1038,21,)</f>
        <v>7.2309655465758738E-3</v>
      </c>
      <c r="W8" s="95">
        <f>VLOOKUP(A8,'BSE ALL CAP'!$B$4:$Y$1038,22,)</f>
        <v>0.5185185185185186</v>
      </c>
      <c r="X8" s="95">
        <f>VLOOKUP(A8,'BSE ALL CAP'!$B$4:$Y$1038,23,)</f>
        <v>1.2121212121212199E-3</v>
      </c>
      <c r="Y8" s="95">
        <f>VLOOKUP(A8,'BSE ALL CAP'!$B$4:$Y$1038,24,)</f>
        <v>8.4745762711864403E-2</v>
      </c>
    </row>
    <row r="9" spans="1:25" ht="15.75" customHeight="1">
      <c r="A9" s="99">
        <v>544005</v>
      </c>
      <c r="B9" s="98" t="s">
        <v>3520</v>
      </c>
      <c r="C9" s="101" t="e">
        <f>VLOOKUP(A9,'BSE ALL CAP'!$B$4:$Y$1038,2,)</f>
        <v>#N/A</v>
      </c>
      <c r="D9" s="101" t="e">
        <f>VLOOKUP(A9,'BSE ALL CAP'!$B$4:$Y$1038,3,)</f>
        <v>#N/A</v>
      </c>
      <c r="E9" s="101">
        <f ca="1">IFERROR(__xludf.DUMMYFUNCTION("GOOGLEFINANCE(""BOM:""&amp;A9,""PRICE"")"),125)</f>
        <v>125</v>
      </c>
      <c r="F9" s="112">
        <f ca="1">IFERROR(__xludf.DUMMYFUNCTION("GOOGLEFINANCE(""BOM:""&amp;A9,""MARKETCAP"")/10000000"),3810)</f>
        <v>3810</v>
      </c>
      <c r="G9" s="95">
        <f t="shared" ca="1" si="0"/>
        <v>2.9634011210556116E-2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540768</v>
      </c>
      <c r="B10" s="98" t="s">
        <v>3521</v>
      </c>
      <c r="C10" s="101" t="str">
        <f>VLOOKUP(A10,'BSE ALL CAP'!$B$4:$Y$1038,2,)</f>
        <v>Services</v>
      </c>
      <c r="D10" s="101" t="str">
        <f>VLOOKUP(A10,'BSE ALL CAP'!$B$4:$Y$1038,3,)</f>
        <v>Logistics Solution Provider</v>
      </c>
      <c r="E10" s="101">
        <f ca="1">IFERROR(__xludf.DUMMYFUNCTION("GOOGLEFINANCE(""BOM:""&amp;A10,""PRICE"")"),352.7)</f>
        <v>352.7</v>
      </c>
      <c r="F10" s="112">
        <f ca="1">IFERROR(__xludf.DUMMYFUNCTION("GOOGLEFINANCE(""BOM:""&amp;A10,""MARKETCAP"")/10000000"),3489.1580969)</f>
        <v>3489.1580969000001</v>
      </c>
      <c r="G10" s="95">
        <f t="shared" ca="1" si="0"/>
        <v>2.7138517102083266E-2</v>
      </c>
      <c r="H10" s="101">
        <f>VLOOKUP(A10,'BSE ALL CAP'!$B$4:$Y$1038,7,)</f>
        <v>5207</v>
      </c>
      <c r="I10" s="101">
        <f>VLOOKUP(A10,'BSE ALL CAP'!$B$4:$Y$1038,8,)</f>
        <v>4535</v>
      </c>
      <c r="J10" s="101">
        <f>VLOOKUP(A10,'BSE ALL CAP'!$B$4:$Y$1038,9,)</f>
        <v>-12</v>
      </c>
      <c r="K10" s="101">
        <f>VLOOKUP(A10,'BSE ALL CAP'!$B$4:$Y$1038,10,)</f>
        <v>-25</v>
      </c>
      <c r="L10" s="101">
        <f>VLOOKUP(A10,'BSE ALL CAP'!$B$4:$Y$1038,11,)</f>
        <v>1898</v>
      </c>
      <c r="M10" s="101">
        <f>VLOOKUP(A10,'BSE ALL CAP'!$B$4:$Y$1038,12,)</f>
        <v>1594</v>
      </c>
      <c r="N10" s="101">
        <f>VLOOKUP(A10,'BSE ALL CAP'!$B$4:$Y$1038,13,)</f>
        <v>6</v>
      </c>
      <c r="O10" s="101">
        <f>VLOOKUP(A10,'BSE ALL CAP'!$B$4:$Y$1038,14,)</f>
        <v>-7</v>
      </c>
      <c r="P10" s="95">
        <f>VLOOKUP(A10,'BSE ALL CAP'!$B$4:$Y$1038,15,)</f>
        <v>-2.3045899750336087E-3</v>
      </c>
      <c r="Q10" s="95">
        <f>VLOOKUP(A10,'BSE ALL CAP'!$B$4:$Y$1038,16,)</f>
        <v>-5.512679162072767E-3</v>
      </c>
      <c r="R10" s="95">
        <f>VLOOKUP(A10,'BSE ALL CAP'!$B$4:$Y$1038,17,)</f>
        <v>3.2080891870391584E-3</v>
      </c>
      <c r="S10" s="95">
        <f>VLOOKUP(A10,'BSE ALL CAP'!$B$4:$Y$1038,18,)</f>
        <v>3.1612223393045311E-3</v>
      </c>
      <c r="T10" s="95">
        <f>VLOOKUP(A10,'BSE ALL CAP'!$B$4:$Y$1038,19,)</f>
        <v>-4.3914680050188204E-3</v>
      </c>
      <c r="U10" s="95">
        <f>VLOOKUP(A10,'BSE ALL CAP'!$B$4:$Y$1038,20,)</f>
        <v>7.5526903443233519E-3</v>
      </c>
      <c r="V10" s="95">
        <f>VLOOKUP(A10,'BSE ALL CAP'!$B$4:$Y$1038,21,)</f>
        <v>0.14818081587651588</v>
      </c>
      <c r="W10" s="95">
        <f>VLOOKUP(A10,'BSE ALL CAP'!$B$4:$Y$1038,22,)</f>
        <v>-0.52</v>
      </c>
      <c r="X10" s="95">
        <f>VLOOKUP(A10,'BSE ALL CAP'!$B$4:$Y$1038,23,)</f>
        <v>0.1907151819322459</v>
      </c>
      <c r="Y10" s="95">
        <f>VLOOKUP(A10,'BSE ALL CAP'!$B$4:$Y$1038,24,)</f>
        <v>-1.8571428571428572</v>
      </c>
    </row>
    <row r="11" spans="1:25" ht="15.75" customHeight="1">
      <c r="A11" s="99">
        <v>532029</v>
      </c>
      <c r="B11" s="98" t="s">
        <v>3522</v>
      </c>
      <c r="C11" s="101" t="str">
        <f>VLOOKUP(A11,'BSE ALL CAP'!$B$4:$Y$1038,2,)</f>
        <v>Services</v>
      </c>
      <c r="D11" s="101" t="str">
        <f>VLOOKUP(A11,'BSE ALL CAP'!$B$4:$Y$1038,3,)</f>
        <v>Logistics Solution Provider</v>
      </c>
      <c r="E11" s="101">
        <f ca="1">IFERROR(__xludf.DUMMYFUNCTION("GOOGLEFINANCE(""BOM:""&amp;A11,""PRICE"")"),22.44)</f>
        <v>22.44</v>
      </c>
      <c r="F11" s="112">
        <f ca="1">IFERROR(__xludf.DUMMYFUNCTION("GOOGLEFINANCE(""BOM:""&amp;A11,""MARKETCAP"")/10000000"),3461.6284776)</f>
        <v>3461.6284776000002</v>
      </c>
      <c r="G11" s="95">
        <f t="shared" ca="1" si="0"/>
        <v>2.6924392942776564E-2</v>
      </c>
      <c r="H11" s="101">
        <f>VLOOKUP(A11,'BSE ALL CAP'!$B$4:$Y$1038,7,)</f>
        <v>322</v>
      </c>
      <c r="I11" s="101">
        <f>VLOOKUP(A11,'BSE ALL CAP'!$B$4:$Y$1038,8,)</f>
        <v>352</v>
      </c>
      <c r="J11" s="101">
        <f>VLOOKUP(A11,'BSE ALL CAP'!$B$4:$Y$1038,9,)</f>
        <v>16</v>
      </c>
      <c r="K11" s="101">
        <f>VLOOKUP(A11,'BSE ALL CAP'!$B$4:$Y$1038,10,)</f>
        <v>45</v>
      </c>
      <c r="L11" s="101">
        <f>VLOOKUP(A11,'BSE ALL CAP'!$B$4:$Y$1038,11,)</f>
        <v>95</v>
      </c>
      <c r="M11" s="101">
        <f>VLOOKUP(A11,'BSE ALL CAP'!$B$4:$Y$1038,12,)</f>
        <v>113</v>
      </c>
      <c r="N11" s="101">
        <f>VLOOKUP(A11,'BSE ALL CAP'!$B$4:$Y$1038,13,)</f>
        <v>5</v>
      </c>
      <c r="O11" s="101">
        <f>VLOOKUP(A11,'BSE ALL CAP'!$B$4:$Y$1038,14,)</f>
        <v>14</v>
      </c>
      <c r="P11" s="95">
        <f>VLOOKUP(A11,'BSE ALL CAP'!$B$4:$Y$1038,15,)</f>
        <v>4.9689440993788817E-2</v>
      </c>
      <c r="Q11" s="95">
        <f>VLOOKUP(A11,'BSE ALL CAP'!$B$4:$Y$1038,16,)</f>
        <v>0.12784090909090909</v>
      </c>
      <c r="R11" s="95">
        <f>VLOOKUP(A11,'BSE ALL CAP'!$B$4:$Y$1038,17,)</f>
        <v>-7.8151468097120272E-2</v>
      </c>
      <c r="S11" s="95">
        <f>VLOOKUP(A11,'BSE ALL CAP'!$B$4:$Y$1038,18,)</f>
        <v>5.2631578947368418E-2</v>
      </c>
      <c r="T11" s="95">
        <f>VLOOKUP(A11,'BSE ALL CAP'!$B$4:$Y$1038,19,)</f>
        <v>0.12389380530973451</v>
      </c>
      <c r="U11" s="95">
        <f>VLOOKUP(A11,'BSE ALL CAP'!$B$4:$Y$1038,20,)</f>
        <v>-7.1262226362366093E-2</v>
      </c>
      <c r="V11" s="95">
        <f>VLOOKUP(A11,'BSE ALL CAP'!$B$4:$Y$1038,21,)</f>
        <v>-8.5227272727272707E-2</v>
      </c>
      <c r="W11" s="95">
        <f>VLOOKUP(A11,'BSE ALL CAP'!$B$4:$Y$1038,22,)</f>
        <v>-0.64444444444444438</v>
      </c>
      <c r="X11" s="95">
        <f>VLOOKUP(A11,'BSE ALL CAP'!$B$4:$Y$1038,23,)</f>
        <v>-0.15929203539823011</v>
      </c>
      <c r="Y11" s="95">
        <f>VLOOKUP(A11,'BSE ALL CAP'!$B$4:$Y$1038,24,)</f>
        <v>-0.64285714285714279</v>
      </c>
    </row>
    <row r="12" spans="1:25" ht="15.75" customHeight="1">
      <c r="A12" s="99">
        <v>543489</v>
      </c>
      <c r="B12" s="98" t="s">
        <v>3523</v>
      </c>
      <c r="C12" s="101" t="str">
        <f>VLOOKUP(A12,'BSE ALL CAP'!$B$4:$Y$1038,2,)</f>
        <v>Services</v>
      </c>
      <c r="D12" s="101" t="str">
        <f>VLOOKUP(A12,'BSE ALL CAP'!$B$4:$Y$1038,3,)</f>
        <v>Logistics Solution Provider</v>
      </c>
      <c r="E12" s="101">
        <f ca="1">IFERROR(__xludf.DUMMYFUNCTION("GOOGLEFINANCE(""BOM:""&amp;A12,""PRICE"")"),54.32)</f>
        <v>54.32</v>
      </c>
      <c r="F12" s="112">
        <f ca="1">IFERROR(__xludf.DUMMYFUNCTION("GOOGLEFINANCE(""BOM:""&amp;A12,""MARKETCAP"")/10000000"),2714.0651063)</f>
        <v>2714.0651063</v>
      </c>
      <c r="G12" s="95">
        <f t="shared" ca="1" si="0"/>
        <v>2.110987815912687E-2</v>
      </c>
      <c r="H12" s="101">
        <f>VLOOKUP(A12,'BSE ALL CAP'!$B$4:$Y$1038,7,)</f>
        <v>1678</v>
      </c>
      <c r="I12" s="101">
        <f>VLOOKUP(A12,'BSE ALL CAP'!$B$4:$Y$1038,8,)</f>
        <v>1145</v>
      </c>
      <c r="J12" s="101">
        <f>VLOOKUP(A12,'BSE ALL CAP'!$B$4:$Y$1038,9,)</f>
        <v>195</v>
      </c>
      <c r="K12" s="101">
        <f>VLOOKUP(A12,'BSE ALL CAP'!$B$4:$Y$1038,10,)</f>
        <v>564</v>
      </c>
      <c r="L12" s="101">
        <f>VLOOKUP(A12,'BSE ALL CAP'!$B$4:$Y$1038,11,)</f>
        <v>560</v>
      </c>
      <c r="M12" s="101">
        <f>VLOOKUP(A12,'BSE ALL CAP'!$B$4:$Y$1038,12,)</f>
        <v>402</v>
      </c>
      <c r="N12" s="101">
        <f>VLOOKUP(A12,'BSE ALL CAP'!$B$4:$Y$1038,13,)</f>
        <v>67</v>
      </c>
      <c r="O12" s="101">
        <f>VLOOKUP(A12,'BSE ALL CAP'!$B$4:$Y$1038,14,)</f>
        <v>455</v>
      </c>
      <c r="P12" s="95">
        <f>VLOOKUP(A12,'BSE ALL CAP'!$B$4:$Y$1038,15,)</f>
        <v>0.11620977353992849</v>
      </c>
      <c r="Q12" s="95">
        <f>VLOOKUP(A12,'BSE ALL CAP'!$B$4:$Y$1038,16,)</f>
        <v>0.49257641921397383</v>
      </c>
      <c r="R12" s="95">
        <f>VLOOKUP(A12,'BSE ALL CAP'!$B$4:$Y$1038,17,)</f>
        <v>-0.37636664567404532</v>
      </c>
      <c r="S12" s="95">
        <f>VLOOKUP(A12,'BSE ALL CAP'!$B$4:$Y$1038,18,)</f>
        <v>0.11964285714285715</v>
      </c>
      <c r="T12" s="95">
        <f>VLOOKUP(A12,'BSE ALL CAP'!$B$4:$Y$1038,19,)</f>
        <v>1.1318407960199004</v>
      </c>
      <c r="U12" s="95">
        <f>VLOOKUP(A12,'BSE ALL CAP'!$B$4:$Y$1038,20,)</f>
        <v>-1.0121979388770432</v>
      </c>
      <c r="V12" s="95">
        <f>VLOOKUP(A12,'BSE ALL CAP'!$B$4:$Y$1038,21,)</f>
        <v>0.46550218340611349</v>
      </c>
      <c r="W12" s="95">
        <f>VLOOKUP(A12,'BSE ALL CAP'!$B$4:$Y$1038,22,)</f>
        <v>-0.6542553191489362</v>
      </c>
      <c r="X12" s="95">
        <f>VLOOKUP(A12,'BSE ALL CAP'!$B$4:$Y$1038,23,)</f>
        <v>0.39303482587064686</v>
      </c>
      <c r="Y12" s="95">
        <f>VLOOKUP(A12,'BSE ALL CAP'!$B$4:$Y$1038,24,)</f>
        <v>-0.85274725274725272</v>
      </c>
    </row>
    <row r="13" spans="1:25" ht="15.75" customHeight="1">
      <c r="A13" s="99">
        <v>544224</v>
      </c>
      <c r="B13" s="98" t="s">
        <v>3524</v>
      </c>
      <c r="C13" s="101" t="e">
        <f>VLOOKUP(A13,'BSE ALL CAP'!$B$4:$Y$1038,2,)</f>
        <v>#N/A</v>
      </c>
      <c r="D13" s="101" t="e">
        <f>VLOOKUP(A13,'BSE ALL CAP'!$B$4:$Y$1038,3,)</f>
        <v>#N/A</v>
      </c>
      <c r="E13" s="101">
        <f ca="1">IFERROR(__xludf.DUMMYFUNCTION("GOOGLEFINANCE(""BOM:""&amp;A13,""PRICE"")"),752.95)</f>
        <v>752.95</v>
      </c>
      <c r="F13" s="112">
        <f ca="1">IFERROR(__xludf.DUMMYFUNCTION("GOOGLEFINANCE(""BOM:""&amp;A13,""MARKETCAP"")/10000000"),1962.7968683)</f>
        <v>1962.7968682999999</v>
      </c>
      <c r="G13" s="95">
        <f t="shared" ca="1" si="0"/>
        <v>1.526654708641644E-2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 ht="15.75" customHeight="1">
      <c r="A14" s="99">
        <v>540212</v>
      </c>
      <c r="B14" s="98" t="s">
        <v>3525</v>
      </c>
      <c r="C14" s="101" t="str">
        <f>VLOOKUP(A14,'BSE ALL CAP'!$B$4:$Y$1038,2,)</f>
        <v>Services</v>
      </c>
      <c r="D14" s="101" t="str">
        <f>VLOOKUP(A14,'BSE ALL CAP'!$B$4:$Y$1038,3,)</f>
        <v>Logistics Solution Provider</v>
      </c>
      <c r="E14" s="101">
        <f ca="1">IFERROR(__xludf.DUMMYFUNCTION("GOOGLEFINANCE(""BOM:""&amp;A14,""PRICE"")"),495)</f>
        <v>495</v>
      </c>
      <c r="F14" s="112">
        <f ca="1">IFERROR(__xludf.DUMMYFUNCTION("GOOGLEFINANCE(""BOM:""&amp;A14,""MARKETCAP"")/10000000"),1900.9715783)</f>
        <v>1900.9715782999999</v>
      </c>
      <c r="G14" s="95">
        <f t="shared" ca="1" si="0"/>
        <v>1.4785672719761353E-2</v>
      </c>
      <c r="H14" s="101">
        <f>VLOOKUP(A14,'BSE ALL CAP'!$B$4:$Y$1038,7,)</f>
        <v>909</v>
      </c>
      <c r="I14" s="101">
        <f>VLOOKUP(A14,'BSE ALL CAP'!$B$4:$Y$1038,8,)</f>
        <v>900</v>
      </c>
      <c r="J14" s="101">
        <f>VLOOKUP(A14,'BSE ALL CAP'!$B$4:$Y$1038,9,)</f>
        <v>65</v>
      </c>
      <c r="K14" s="101">
        <f>VLOOKUP(A14,'BSE ALL CAP'!$B$4:$Y$1038,10,)</f>
        <v>66</v>
      </c>
      <c r="L14" s="101">
        <f>VLOOKUP(A14,'BSE ALL CAP'!$B$4:$Y$1038,11,)</f>
        <v>314</v>
      </c>
      <c r="M14" s="101">
        <f>VLOOKUP(A14,'BSE ALL CAP'!$B$4:$Y$1038,12,)</f>
        <v>296</v>
      </c>
      <c r="N14" s="101">
        <f>VLOOKUP(A14,'BSE ALL CAP'!$B$4:$Y$1038,13,)</f>
        <v>91</v>
      </c>
      <c r="O14" s="101">
        <f>VLOOKUP(A14,'BSE ALL CAP'!$B$4:$Y$1038,14,)</f>
        <v>24</v>
      </c>
      <c r="P14" s="95">
        <f>VLOOKUP(A14,'BSE ALL CAP'!$B$4:$Y$1038,15,)</f>
        <v>7.1507150715071507E-2</v>
      </c>
      <c r="Q14" s="95">
        <f>VLOOKUP(A14,'BSE ALL CAP'!$B$4:$Y$1038,16,)</f>
        <v>7.3333333333333334E-2</v>
      </c>
      <c r="R14" s="95">
        <f>VLOOKUP(A14,'BSE ALL CAP'!$B$4:$Y$1038,17,)</f>
        <v>-1.8261826182618263E-3</v>
      </c>
      <c r="S14" s="95">
        <f>VLOOKUP(A14,'BSE ALL CAP'!$B$4:$Y$1038,18,)</f>
        <v>0.28980891719745222</v>
      </c>
      <c r="T14" s="95">
        <f>VLOOKUP(A14,'BSE ALL CAP'!$B$4:$Y$1038,19,)</f>
        <v>8.1081081081081086E-2</v>
      </c>
      <c r="U14" s="95">
        <f>VLOOKUP(A14,'BSE ALL CAP'!$B$4:$Y$1038,20,)</f>
        <v>0.20872783611637113</v>
      </c>
      <c r="V14" s="95">
        <f>VLOOKUP(A14,'BSE ALL CAP'!$B$4:$Y$1038,21,)</f>
        <v>1.0000000000000009E-2</v>
      </c>
      <c r="W14" s="95">
        <f>VLOOKUP(A14,'BSE ALL CAP'!$B$4:$Y$1038,22,)</f>
        <v>-1.5151515151515138E-2</v>
      </c>
      <c r="X14" s="95">
        <f>VLOOKUP(A14,'BSE ALL CAP'!$B$4:$Y$1038,23,)</f>
        <v>6.0810810810810745E-2</v>
      </c>
      <c r="Y14" s="95">
        <f>VLOOKUP(A14,'BSE ALL CAP'!$B$4:$Y$1038,24,)</f>
        <v>2.7916666666666665</v>
      </c>
    </row>
    <row r="15" spans="1:25" ht="15.75" customHeight="1">
      <c r="A15" s="99">
        <v>539332</v>
      </c>
      <c r="B15" s="98" t="s">
        <v>3526</v>
      </c>
      <c r="C15" s="101" t="e">
        <f>VLOOKUP(A15,'BSE ALL CAP'!$B$4:$Y$1038,2,)</f>
        <v>#N/A</v>
      </c>
      <c r="D15" s="101" t="e">
        <f>VLOOKUP(A15,'BSE ALL CAP'!$B$4:$Y$1038,3,)</f>
        <v>#N/A</v>
      </c>
      <c r="E15" s="101">
        <f ca="1">IFERROR(__xludf.DUMMYFUNCTION("GOOGLEFINANCE(""BOM:""&amp;A15,""PRICE"")"),86.13)</f>
        <v>86.13</v>
      </c>
      <c r="F15" s="112">
        <f ca="1">IFERROR(__xludf.DUMMYFUNCTION("GOOGLEFINANCE(""BOM:""&amp;A15,""MARKETCAP"")/10000000"),1297.6251473)</f>
        <v>1297.6251473</v>
      </c>
      <c r="G15" s="95">
        <f t="shared" ca="1" si="0"/>
        <v>1.009287090871069E-2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ht="15.75" customHeight="1">
      <c r="A16" s="99">
        <v>532749</v>
      </c>
      <c r="B16" s="98" t="s">
        <v>3527</v>
      </c>
      <c r="C16" s="101" t="e">
        <f>VLOOKUP(A16,'BSE ALL CAP'!$B$4:$Y$1038,2,)</f>
        <v>#N/A</v>
      </c>
      <c r="D16" s="101" t="e">
        <f>VLOOKUP(A16,'BSE ALL CAP'!$B$4:$Y$1038,3,)</f>
        <v>#N/A</v>
      </c>
      <c r="E16" s="101">
        <f ca="1">IFERROR(__xludf.DUMMYFUNCTION("GOOGLEFINANCE(""BOM:""&amp;A16,""PRICE"")"),7.98)</f>
        <v>7.98</v>
      </c>
      <c r="F16" s="112">
        <f ca="1">IFERROR(__xludf.DUMMYFUNCTION("GOOGLEFINANCE(""BOM:""&amp;A16,""MARKETCAP"")/10000000"),1198.2224)</f>
        <v>1198.2224000000001</v>
      </c>
      <c r="G16" s="95">
        <f t="shared" ca="1" si="0"/>
        <v>9.3197207439211175E-3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ht="15.75" customHeight="1">
      <c r="A17" s="99">
        <v>523445</v>
      </c>
      <c r="B17" s="98" t="s">
        <v>3528</v>
      </c>
      <c r="C17" s="101" t="e">
        <f>VLOOKUP(A17,'BSE ALL CAP'!$B$4:$Y$1038,2,)</f>
        <v>#N/A</v>
      </c>
      <c r="D17" s="101" t="e">
        <f>VLOOKUP(A17,'BSE ALL CAP'!$B$4:$Y$1038,3,)</f>
        <v>#N/A</v>
      </c>
      <c r="E17" s="101">
        <f ca="1">IFERROR(__xludf.DUMMYFUNCTION("GOOGLEFINANCE(""BOM:""&amp;A17,""PRICE"")"),679.6)</f>
        <v>679.6</v>
      </c>
      <c r="F17" s="112">
        <f ca="1">IFERROR(__xludf.DUMMYFUNCTION("GOOGLEFINANCE(""BOM:""&amp;A17,""MARKETCAP"")/10000000"),1023.78)</f>
        <v>1023.78</v>
      </c>
      <c r="G17" s="95">
        <f t="shared" ca="1" si="0"/>
        <v>7.9629154848144725E-3</v>
      </c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5" ht="15.75" customHeight="1">
      <c r="A18" s="99">
        <v>544258</v>
      </c>
      <c r="B18" s="98" t="s">
        <v>3529</v>
      </c>
      <c r="C18" s="101" t="e">
        <f>VLOOKUP(A18,'BSE ALL CAP'!$B$4:$Y$1038,2,)</f>
        <v>#N/A</v>
      </c>
      <c r="D18" s="101" t="e">
        <f>VLOOKUP(A18,'BSE ALL CAP'!$B$4:$Y$1038,3,)</f>
        <v>#N/A</v>
      </c>
      <c r="E18" s="101">
        <f ca="1">IFERROR(__xludf.DUMMYFUNCTION("GOOGLEFINANCE(""BOM:""&amp;A18,""PRICE"")"),85.93)</f>
        <v>85.93</v>
      </c>
      <c r="F18" s="112">
        <f ca="1">IFERROR(__xludf.DUMMYFUNCTION("GOOGLEFINANCE(""BOM:""&amp;A18,""MARKETCAP"")/10000000"),868.1485435)</f>
        <v>868.14854349999996</v>
      </c>
      <c r="G18" s="95">
        <f t="shared" ca="1" si="0"/>
        <v>6.7524209108942163E-3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543955</v>
      </c>
      <c r="B19" s="98" t="s">
        <v>3530</v>
      </c>
      <c r="C19" s="101" t="e">
        <f>VLOOKUP(A19,'BSE ALL CAP'!$B$4:$Y$1038,2,)</f>
        <v>#N/A</v>
      </c>
      <c r="D19" s="101" t="e">
        <f>VLOOKUP(A19,'BSE ALL CAP'!$B$4:$Y$1038,3,)</f>
        <v>#N/A</v>
      </c>
      <c r="E19" s="101">
        <f ca="1">IFERROR(__xludf.DUMMYFUNCTION("GOOGLEFINANCE(""BOM:""&amp;A19,""PRICE"")"),25)</f>
        <v>25</v>
      </c>
      <c r="F19" s="112">
        <f ca="1">IFERROR(__xludf.DUMMYFUNCTION("GOOGLEFINANCE(""BOM:""&amp;A19,""MARKETCAP"")/10000000"),614.23875)</f>
        <v>614.23874999999998</v>
      </c>
      <c r="G19" s="95">
        <f t="shared" ca="1" si="0"/>
        <v>4.7775217856845078E-3</v>
      </c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5" ht="15.75" customHeight="1">
      <c r="A20" s="99">
        <v>538635</v>
      </c>
      <c r="B20" s="98" t="s">
        <v>3531</v>
      </c>
      <c r="C20" s="101" t="e">
        <f>VLOOKUP(A20,'BSE ALL CAP'!$B$4:$Y$1038,2,)</f>
        <v>#N/A</v>
      </c>
      <c r="D20" s="101" t="e">
        <f>VLOOKUP(A20,'BSE ALL CAP'!$B$4:$Y$1038,3,)</f>
        <v>#N/A</v>
      </c>
      <c r="E20" s="101">
        <f ca="1">IFERROR(__xludf.DUMMYFUNCTION("GOOGLEFINANCE(""BOM:""&amp;A20,""PRICE"")"),35.99)</f>
        <v>35.99</v>
      </c>
      <c r="F20" s="112">
        <f ca="1">IFERROR(__xludf.DUMMYFUNCTION("GOOGLEFINANCE(""BOM:""&amp;A20,""MARKETCAP"")/10000000"),600.6810132)</f>
        <v>600.68101320000005</v>
      </c>
      <c r="G20" s="95">
        <f t="shared" ca="1" si="0"/>
        <v>4.6720703094847793E-3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542383</v>
      </c>
      <c r="B21" s="98" t="s">
        <v>3532</v>
      </c>
      <c r="C21" s="101" t="e">
        <f>VLOOKUP(A21,'BSE ALL CAP'!$B$4:$Y$1038,2,)</f>
        <v>#N/A</v>
      </c>
      <c r="D21" s="101" t="e">
        <f>VLOOKUP(A21,'BSE ALL CAP'!$B$4:$Y$1038,3,)</f>
        <v>#N/A</v>
      </c>
      <c r="E21" s="101">
        <f ca="1">IFERROR(__xludf.DUMMYFUNCTION("GOOGLEFINANCE(""BOM:""&amp;A21,""PRICE"")"),182.25)</f>
        <v>182.25</v>
      </c>
      <c r="F21" s="112">
        <f ca="1">IFERROR(__xludf.DUMMYFUNCTION("GOOGLEFINANCE(""BOM:""&amp;A21,""MARKETCAP"")/10000000"),521.5225981)</f>
        <v>521.52259809999998</v>
      </c>
      <c r="G21" s="95">
        <f t="shared" ca="1" si="0"/>
        <v>4.0563796636886489E-3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520086</v>
      </c>
      <c r="B22" s="98" t="s">
        <v>3533</v>
      </c>
      <c r="C22" s="101" t="e">
        <f>VLOOKUP(A22,'BSE ALL CAP'!$B$4:$Y$1038,2,)</f>
        <v>#N/A</v>
      </c>
      <c r="D22" s="101" t="e">
        <f>VLOOKUP(A22,'BSE ALL CAP'!$B$4:$Y$1038,3,)</f>
        <v>#N/A</v>
      </c>
      <c r="E22" s="101">
        <f ca="1">IFERROR(__xludf.DUMMYFUNCTION("GOOGLEFINANCE(""BOM:""&amp;A22,""PRICE"")"),64)</f>
        <v>64</v>
      </c>
      <c r="F22" s="112">
        <f ca="1">IFERROR(__xludf.DUMMYFUNCTION("GOOGLEFINANCE(""BOM:""&amp;A22,""MARKETCAP"")/10000000"),510.623168)</f>
        <v>510.62316800000002</v>
      </c>
      <c r="G22" s="95">
        <f t="shared" ca="1" si="0"/>
        <v>3.9716043792340366E-3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543193</v>
      </c>
      <c r="B23" s="98" t="s">
        <v>3534</v>
      </c>
      <c r="C23" s="101" t="e">
        <f>VLOOKUP(A23,'BSE ALL CAP'!$B$4:$Y$1038,2,)</f>
        <v>#N/A</v>
      </c>
      <c r="D23" s="101" t="e">
        <f>VLOOKUP(A23,'BSE ALL CAP'!$B$4:$Y$1038,3,)</f>
        <v>#N/A</v>
      </c>
      <c r="E23" s="101">
        <f ca="1">IFERROR(__xludf.DUMMYFUNCTION("GOOGLEFINANCE(""BOM:""&amp;A23,""PRICE"")"),83.35)</f>
        <v>83.35</v>
      </c>
      <c r="F23" s="112">
        <f ca="1">IFERROR(__xludf.DUMMYFUNCTION("GOOGLEFINANCE(""BOM:""&amp;A23,""MARKETCAP"")/10000000"),278.4948891)</f>
        <v>278.49488910000002</v>
      </c>
      <c r="G23" s="95">
        <f t="shared" ca="1" si="0"/>
        <v>2.1661209096251926E-3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536264</v>
      </c>
      <c r="B24" s="98" t="s">
        <v>3535</v>
      </c>
      <c r="C24" s="101" t="e">
        <f>VLOOKUP(A24,'BSE ALL CAP'!$B$4:$Y$1038,2,)</f>
        <v>#N/A</v>
      </c>
      <c r="D24" s="101" t="e">
        <f>VLOOKUP(A24,'BSE ALL CAP'!$B$4:$Y$1038,3,)</f>
        <v>#N/A</v>
      </c>
      <c r="E24" s="101">
        <f ca="1">IFERROR(__xludf.DUMMYFUNCTION("GOOGLEFINANCE(""BOM:""&amp;A24,""PRICE"")"),26.14)</f>
        <v>26.14</v>
      </c>
      <c r="F24" s="112">
        <f ca="1">IFERROR(__xludf.DUMMYFUNCTION("GOOGLEFINANCE(""BOM:""&amp;A24,""MARKETCAP"")/10000000"),274.7792725)</f>
        <v>274.77927249999999</v>
      </c>
      <c r="G24" s="95">
        <f t="shared" ca="1" si="0"/>
        <v>2.1372210083184916E-3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539841</v>
      </c>
      <c r="B25" s="98" t="s">
        <v>3536</v>
      </c>
      <c r="C25" s="101" t="e">
        <f>VLOOKUP(A25,'BSE ALL CAP'!$B$4:$Y$1038,2,)</f>
        <v>#N/A</v>
      </c>
      <c r="D25" s="101" t="e">
        <f>VLOOKUP(A25,'BSE ALL CAP'!$B$4:$Y$1038,3,)</f>
        <v>#N/A</v>
      </c>
      <c r="E25" s="101">
        <f ca="1">IFERROR(__xludf.DUMMYFUNCTION("GOOGLEFINANCE(""BOM:""&amp;A25,""PRICE"")"),8.67)</f>
        <v>8.67</v>
      </c>
      <c r="F25" s="112">
        <f ca="1">IFERROR(__xludf.DUMMYFUNCTION("GOOGLEFINANCE(""BOM:""&amp;A25,""MARKETCAP"")/10000000"),306.2795438)</f>
        <v>306.2795438</v>
      </c>
      <c r="G25" s="95">
        <f t="shared" ca="1" si="0"/>
        <v>2.3822287229745965E-3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544383</v>
      </c>
      <c r="B26" s="98" t="s">
        <v>3537</v>
      </c>
      <c r="C26" s="101" t="e">
        <f>VLOOKUP(A26,'BSE ALL CAP'!$B$4:$Y$1038,2,)</f>
        <v>#N/A</v>
      </c>
      <c r="D26" s="101" t="e">
        <f>VLOOKUP(A26,'BSE ALL CAP'!$B$4:$Y$1038,3,)</f>
        <v>#N/A</v>
      </c>
      <c r="E26" s="101">
        <f ca="1">IFERROR(__xludf.DUMMYFUNCTION("GOOGLEFINANCE(""BOM:""&amp;A26,""PRICE"")"),142.9)</f>
        <v>142.9</v>
      </c>
      <c r="F26" s="112">
        <f ca="1">IFERROR(__xludf.DUMMYFUNCTION("GOOGLEFINANCE(""BOM:""&amp;A26,""MARKETCAP"")/10000000"),244.6162095)</f>
        <v>244.6162095</v>
      </c>
      <c r="G26" s="95">
        <f t="shared" ca="1" si="0"/>
        <v>1.9026140405791977E-3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543910</v>
      </c>
      <c r="B27" s="98" t="s">
        <v>3538</v>
      </c>
      <c r="C27" s="101" t="e">
        <f>VLOOKUP(A27,'BSE ALL CAP'!$B$4:$Y$1038,2,)</f>
        <v>#N/A</v>
      </c>
      <c r="D27" s="101" t="e">
        <f>VLOOKUP(A27,'BSE ALL CAP'!$B$4:$Y$1038,3,)</f>
        <v>#N/A</v>
      </c>
      <c r="E27" s="101">
        <f ca="1">IFERROR(__xludf.DUMMYFUNCTION("GOOGLEFINANCE(""BOM:""&amp;A27,""PRICE"")"),147.65)</f>
        <v>147.65</v>
      </c>
      <c r="F27" s="112">
        <f ca="1">IFERROR(__xludf.DUMMYFUNCTION("GOOGLEFINANCE(""BOM:""&amp;A27,""MARKETCAP"")/10000000"),218.4027377)</f>
        <v>218.40273769999999</v>
      </c>
      <c r="G27" s="95">
        <f t="shared" ca="1" si="0"/>
        <v>1.6987268182199334E-3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544564</v>
      </c>
      <c r="B28" s="98" t="s">
        <v>3539</v>
      </c>
      <c r="C28" s="101" t="e">
        <f>VLOOKUP(A28,'BSE ALL CAP'!$B$4:$Y$1038,2,)</f>
        <v>#N/A</v>
      </c>
      <c r="D28" s="101" t="e">
        <f>VLOOKUP(A28,'BSE ALL CAP'!$B$4:$Y$1038,3,)</f>
        <v>#N/A</v>
      </c>
      <c r="E28" s="101">
        <f ca="1">IFERROR(__xludf.DUMMYFUNCTION("GOOGLEFINANCE(""BOM:""&amp;A28,""PRICE"")"),71.08)</f>
        <v>71.08</v>
      </c>
      <c r="F28" s="112">
        <f ca="1">IFERROR(__xludf.DUMMYFUNCTION("GOOGLEFINANCE(""BOM:""&amp;A28,""MARKETCAP"")/10000000"),240.7456418)</f>
        <v>240.74564179999999</v>
      </c>
      <c r="G28" s="95">
        <f t="shared" ca="1" si="0"/>
        <v>1.8725089364812931E-3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512277</v>
      </c>
      <c r="B29" s="98" t="s">
        <v>3540</v>
      </c>
      <c r="C29" s="101" t="e">
        <f>VLOOKUP(A29,'BSE ALL CAP'!$B$4:$Y$1038,2,)</f>
        <v>#N/A</v>
      </c>
      <c r="D29" s="101" t="e">
        <f>VLOOKUP(A29,'BSE ALL CAP'!$B$4:$Y$1038,3,)</f>
        <v>#N/A</v>
      </c>
      <c r="E29" s="101">
        <f ca="1">IFERROR(__xludf.DUMMYFUNCTION("GOOGLEFINANCE(""BOM:""&amp;A29,""PRICE"")"),415.15)</f>
        <v>415.15</v>
      </c>
      <c r="F29" s="112">
        <f ca="1">IFERROR(__xludf.DUMMYFUNCTION("GOOGLEFINANCE(""BOM:""&amp;A29,""MARKETCAP"")/10000000"),144.5070289)</f>
        <v>144.50702889999999</v>
      </c>
      <c r="G29" s="95">
        <f t="shared" ca="1" si="0"/>
        <v>1.1239692688784137E-3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544665</v>
      </c>
      <c r="B30" s="98" t="s">
        <v>3541</v>
      </c>
      <c r="C30" s="101" t="e">
        <f>VLOOKUP(A30,'BSE ALL CAP'!$B$4:$Y$1038,2,)</f>
        <v>#N/A</v>
      </c>
      <c r="D30" s="101" t="e">
        <f>VLOOKUP(A30,'BSE ALL CAP'!$B$4:$Y$1038,3,)</f>
        <v>#N/A</v>
      </c>
      <c r="E30" s="101">
        <f ca="1">IFERROR(__xludf.DUMMYFUNCTION("GOOGLEFINANCE(""BOM:""&amp;A30,""PRICE"")"),111.4)</f>
        <v>111.4</v>
      </c>
      <c r="F30" s="112">
        <f ca="1">IFERROR(__xludf.DUMMYFUNCTION("GOOGLEFINANCE(""BOM:""&amp;A30,""MARKETCAP"")/10000000"),160.8915688)</f>
        <v>160.89156879999999</v>
      </c>
      <c r="G30" s="95">
        <f t="shared" ca="1" si="0"/>
        <v>1.2514074943577849E-3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523116</v>
      </c>
      <c r="B31" s="98" t="s">
        <v>3542</v>
      </c>
      <c r="C31" s="101" t="e">
        <f>VLOOKUP(A31,'BSE ALL CAP'!$B$4:$Y$1038,2,)</f>
        <v>#N/A</v>
      </c>
      <c r="D31" s="101" t="e">
        <f>VLOOKUP(A31,'BSE ALL CAP'!$B$4:$Y$1038,3,)</f>
        <v>#N/A</v>
      </c>
      <c r="E31" s="101">
        <f ca="1">IFERROR(__xludf.DUMMYFUNCTION("GOOGLEFINANCE(""BOM:""&amp;A31,""PRICE"")"),710)</f>
        <v>710</v>
      </c>
      <c r="F31" s="112">
        <f ca="1">IFERROR(__xludf.DUMMYFUNCTION("GOOGLEFINANCE(""BOM:""&amp;A31,""MARKETCAP"")/10000000"),127.8)</f>
        <v>127.8</v>
      </c>
      <c r="G31" s="95">
        <f t="shared" ca="1" si="0"/>
        <v>9.9402273824385082E-4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534615</v>
      </c>
      <c r="B32" s="98" t="s">
        <v>3543</v>
      </c>
      <c r="C32" s="101" t="e">
        <f>VLOOKUP(A32,'BSE ALL CAP'!$B$4:$Y$1038,2,)</f>
        <v>#N/A</v>
      </c>
      <c r="D32" s="101" t="e">
        <f>VLOOKUP(A32,'BSE ALL CAP'!$B$4:$Y$1038,3,)</f>
        <v>#N/A</v>
      </c>
      <c r="E32" s="101">
        <f ca="1">IFERROR(__xludf.DUMMYFUNCTION("GOOGLEFINANCE(""BOM:""&amp;A32,""PRICE"")"),14.05)</f>
        <v>14.05</v>
      </c>
      <c r="F32" s="112">
        <f ca="1">IFERROR(__xludf.DUMMYFUNCTION("GOOGLEFINANCE(""BOM:""&amp;A32,""MARKETCAP"")/10000000"),139.499998)</f>
        <v>139.49999800000001</v>
      </c>
      <c r="G32" s="95">
        <f t="shared" ca="1" si="0"/>
        <v>1.0850248043581512E-3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541206</v>
      </c>
      <c r="B33" s="98" t="s">
        <v>3544</v>
      </c>
      <c r="C33" s="101" t="e">
        <f>VLOOKUP(A33,'BSE ALL CAP'!$B$4:$Y$1038,2,)</f>
        <v>#N/A</v>
      </c>
      <c r="D33" s="101" t="e">
        <f>VLOOKUP(A33,'BSE ALL CAP'!$B$4:$Y$1038,3,)</f>
        <v>#N/A</v>
      </c>
      <c r="E33" s="101">
        <f ca="1">IFERROR(__xludf.DUMMYFUNCTION("GOOGLEFINANCE(""BOM:""&amp;A33,""PRICE"")"),56.13)</f>
        <v>56.13</v>
      </c>
      <c r="F33" s="112">
        <f ca="1">IFERROR(__xludf.DUMMYFUNCTION("GOOGLEFINANCE(""BOM:""&amp;A33,""MARKETCAP"")/10000000"),118.1268697)</f>
        <v>118.1268697</v>
      </c>
      <c r="G33" s="95">
        <f t="shared" ca="1" si="0"/>
        <v>9.1878555930648338E-4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543618</v>
      </c>
      <c r="B34" s="98" t="s">
        <v>3545</v>
      </c>
      <c r="C34" s="101" t="e">
        <f>VLOOKUP(A34,'BSE ALL CAP'!$B$4:$Y$1038,2,)</f>
        <v>#N/A</v>
      </c>
      <c r="D34" s="101" t="e">
        <f>VLOOKUP(A34,'BSE ALL CAP'!$B$4:$Y$1038,3,)</f>
        <v>#N/A</v>
      </c>
      <c r="E34" s="101">
        <f ca="1">IFERROR(__xludf.DUMMYFUNCTION("GOOGLEFINANCE(""BOM:""&amp;A34,""PRICE"")"),147.1)</f>
        <v>147.1</v>
      </c>
      <c r="F34" s="112">
        <f ca="1">IFERROR(__xludf.DUMMYFUNCTION("GOOGLEFINANCE(""BOM:""&amp;A34,""MARKETCAP"")/10000000"),87.1077104)</f>
        <v>87.107710400000002</v>
      </c>
      <c r="G34" s="95">
        <f t="shared" ca="1" si="0"/>
        <v>6.7751991247230335E-4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544566</v>
      </c>
      <c r="B35" s="98" t="s">
        <v>3546</v>
      </c>
      <c r="C35" s="101" t="e">
        <f>VLOOKUP(A35,'BSE ALL CAP'!$B$4:$Y$1038,2,)</f>
        <v>#N/A</v>
      </c>
      <c r="D35" s="101" t="e">
        <f>VLOOKUP(A35,'BSE ALL CAP'!$B$4:$Y$1038,3,)</f>
        <v>#N/A</v>
      </c>
      <c r="E35" s="101">
        <f ca="1">IFERROR(__xludf.DUMMYFUNCTION("GOOGLEFINANCE(""BOM:""&amp;A35,""PRICE"")"),60)</f>
        <v>60</v>
      </c>
      <c r="F35" s="112">
        <f ca="1">IFERROR(__xludf.DUMMYFUNCTION("GOOGLEFINANCE(""BOM:""&amp;A35,""MARKETCAP"")/10000000"),74.62244)</f>
        <v>74.622439999999997</v>
      </c>
      <c r="G35" s="95">
        <f t="shared" ca="1" si="0"/>
        <v>5.804100324196985E-4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543420</v>
      </c>
      <c r="B36" s="98" t="s">
        <v>3547</v>
      </c>
      <c r="C36" s="101" t="e">
        <f>VLOOKUP(A36,'BSE ALL CAP'!$B$4:$Y$1038,2,)</f>
        <v>#N/A</v>
      </c>
      <c r="D36" s="101" t="e">
        <f>VLOOKUP(A36,'BSE ALL CAP'!$B$4:$Y$1038,3,)</f>
        <v>#N/A</v>
      </c>
      <c r="E36" s="101">
        <f ca="1">IFERROR(__xludf.DUMMYFUNCTION("GOOGLEFINANCE(""BOM:""&amp;A36,""PRICE"")"),17.58)</f>
        <v>17.579999999999998</v>
      </c>
      <c r="F36" s="112">
        <f ca="1">IFERROR(__xludf.DUMMYFUNCTION("GOOGLEFINANCE(""BOM:""&amp;A36,""MARKETCAP"")/10000000"),80.9281947)</f>
        <v>80.928194700000006</v>
      </c>
      <c r="G36" s="95">
        <f t="shared" ca="1" si="0"/>
        <v>6.2945591312070037E-4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504380</v>
      </c>
      <c r="B37" s="98" t="s">
        <v>3548</v>
      </c>
      <c r="C37" s="101" t="e">
        <f>VLOOKUP(A37,'BSE ALL CAP'!$B$4:$Y$1038,2,)</f>
        <v>#N/A</v>
      </c>
      <c r="D37" s="101" t="e">
        <f>VLOOKUP(A37,'BSE ALL CAP'!$B$4:$Y$1038,3,)</f>
        <v>#N/A</v>
      </c>
      <c r="E37" s="101">
        <f ca="1">IFERROR(__xludf.DUMMYFUNCTION("GOOGLEFINANCE(""BOM:""&amp;A37,""PRICE"")"),40)</f>
        <v>40</v>
      </c>
      <c r="F37" s="112">
        <f ca="1">IFERROR(__xludf.DUMMYFUNCTION("GOOGLEFINANCE(""BOM:""&amp;A37,""MARKETCAP"")/10000000"),72.67344)</f>
        <v>72.673439999999999</v>
      </c>
      <c r="G37" s="95">
        <f t="shared" ca="1" si="0"/>
        <v>5.6525079676369484E-4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531977</v>
      </c>
      <c r="B38" s="98" t="s">
        <v>3549</v>
      </c>
      <c r="C38" s="101" t="e">
        <f>VLOOKUP(A38,'BSE ALL CAP'!$B$4:$Y$1038,2,)</f>
        <v>#N/A</v>
      </c>
      <c r="D38" s="101" t="e">
        <f>VLOOKUP(A38,'BSE ALL CAP'!$B$4:$Y$1038,3,)</f>
        <v>#N/A</v>
      </c>
      <c r="E38" s="101">
        <f ca="1">IFERROR(__xludf.DUMMYFUNCTION("GOOGLEFINANCE(""BOM:""&amp;A38,""PRICE"")"),6.23)</f>
        <v>6.23</v>
      </c>
      <c r="F38" s="112">
        <f ca="1">IFERROR(__xludf.DUMMYFUNCTION("GOOGLEFINANCE(""BOM:""&amp;A38,""MARKETCAP"")/10000000"),79.2082202)</f>
        <v>79.2082202</v>
      </c>
      <c r="G38" s="95">
        <f t="shared" ca="1" si="0"/>
        <v>6.1607802765747965E-4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533289</v>
      </c>
      <c r="B39" s="98" t="s">
        <v>3550</v>
      </c>
      <c r="C39" s="101" t="e">
        <f>VLOOKUP(A39,'BSE ALL CAP'!$B$4:$Y$1038,2,)</f>
        <v>#N/A</v>
      </c>
      <c r="D39" s="101" t="e">
        <f>VLOOKUP(A39,'BSE ALL CAP'!$B$4:$Y$1038,3,)</f>
        <v>#N/A</v>
      </c>
      <c r="E39" s="101">
        <f ca="1">IFERROR(__xludf.DUMMYFUNCTION("GOOGLEFINANCE(""BOM:""&amp;A39,""PRICE"")"),69)</f>
        <v>69</v>
      </c>
      <c r="F39" s="112">
        <f ca="1">IFERROR(__xludf.DUMMYFUNCTION("GOOGLEFINANCE(""BOM:""&amp;A39,""MARKETCAP"")/10000000"),75.392643)</f>
        <v>75.392643000000007</v>
      </c>
      <c r="G39" s="95">
        <f t="shared" ca="1" si="0"/>
        <v>5.8640063723240296E-4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544663</v>
      </c>
      <c r="B40" s="98" t="s">
        <v>3551</v>
      </c>
      <c r="C40" s="101" t="e">
        <f>VLOOKUP(A40,'BSE ALL CAP'!$B$4:$Y$1038,2,)</f>
        <v>#N/A</v>
      </c>
      <c r="D40" s="101" t="e">
        <f>VLOOKUP(A40,'BSE ALL CAP'!$B$4:$Y$1038,3,)</f>
        <v>#N/A</v>
      </c>
      <c r="E40" s="101">
        <f ca="1">IFERROR(__xludf.DUMMYFUNCTION("GOOGLEFINANCE(""BOM:""&amp;A40,""PRICE"")"),50)</f>
        <v>50</v>
      </c>
      <c r="F40" s="112">
        <f ca="1">IFERROR(__xludf.DUMMYFUNCTION("GOOGLEFINANCE(""BOM:""&amp;A40,""MARKETCAP"")/10000000"),68.5)</f>
        <v>68.5</v>
      </c>
      <c r="G40" s="95">
        <f t="shared" ca="1" si="0"/>
        <v>5.3278996533414539E-4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526381</v>
      </c>
      <c r="B41" s="98" t="s">
        <v>3552</v>
      </c>
      <c r="C41" s="101" t="e">
        <f>VLOOKUP(A41,'BSE ALL CAP'!$B$4:$Y$1038,2,)</f>
        <v>#N/A</v>
      </c>
      <c r="D41" s="101" t="e">
        <f>VLOOKUP(A41,'BSE ALL CAP'!$B$4:$Y$1038,3,)</f>
        <v>#N/A</v>
      </c>
      <c r="E41" s="101">
        <f ca="1">IFERROR(__xludf.DUMMYFUNCTION("GOOGLEFINANCE(""BOM:""&amp;A41,""PRICE"")"),10.33)</f>
        <v>10.33</v>
      </c>
      <c r="F41" s="112">
        <f ca="1">IFERROR(__xludf.DUMMYFUNCTION("GOOGLEFINANCE(""BOM:""&amp;A41,""MARKETCAP"")/10000000"),72.8562716)</f>
        <v>72.856271599999999</v>
      </c>
      <c r="G41" s="95">
        <f t="shared" ca="1" si="0"/>
        <v>5.6667285284874567E-4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544598</v>
      </c>
      <c r="B42" s="98" t="s">
        <v>3553</v>
      </c>
      <c r="C42" s="101" t="e">
        <f>VLOOKUP(A42,'BSE ALL CAP'!$B$4:$Y$1038,2,)</f>
        <v>#N/A</v>
      </c>
      <c r="D42" s="101" t="e">
        <f>VLOOKUP(A42,'BSE ALL CAP'!$B$4:$Y$1038,3,)</f>
        <v>#N/A</v>
      </c>
      <c r="E42" s="101">
        <f ca="1">IFERROR(__xludf.DUMMYFUNCTION("GOOGLEFINANCE(""BOM:""&amp;A42,""PRICE"")"),4.15)</f>
        <v>4.1500000000000004</v>
      </c>
      <c r="F42" s="112">
        <f ca="1">IFERROR(__xludf.DUMMYFUNCTION("GOOGLEFINANCE(""BOM:""&amp;A42,""MARKETCAP"")/10000000"),61.5790422)</f>
        <v>61.579042200000004</v>
      </c>
      <c r="G42" s="95">
        <f t="shared" ca="1" si="0"/>
        <v>4.7895906217588146E-4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4.4">
      <c r="A43" s="99">
        <v>544237</v>
      </c>
      <c r="B43" s="98" t="s">
        <v>3554</v>
      </c>
      <c r="C43" s="101" t="e">
        <f>VLOOKUP(A43,'BSE ALL CAP'!$B$4:$Y$1038,2,)</f>
        <v>#N/A</v>
      </c>
      <c r="D43" s="101" t="e">
        <f>VLOOKUP(A43,'BSE ALL CAP'!$B$4:$Y$1038,3,)</f>
        <v>#N/A</v>
      </c>
      <c r="E43" s="101">
        <f ca="1">IFERROR(__xludf.DUMMYFUNCTION("GOOGLEFINANCE(""BOM:""&amp;A43,""PRICE"")"),141)</f>
        <v>141</v>
      </c>
      <c r="F43" s="112">
        <f ca="1">IFERROR(__xludf.DUMMYFUNCTION("GOOGLEFINANCE(""BOM:""&amp;A43,""MARKETCAP"")/10000000"),53.73792)</f>
        <v>53.737920000000003</v>
      </c>
      <c r="G43" s="95">
        <f t="shared" ca="1" si="0"/>
        <v>4.1797116107925665E-4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4.4">
      <c r="A44" s="99">
        <v>544646</v>
      </c>
      <c r="B44" s="98" t="s">
        <v>3555</v>
      </c>
      <c r="C44" s="101" t="e">
        <f>VLOOKUP(A44,'BSE ALL CAP'!$B$4:$Y$1038,2,)</f>
        <v>#N/A</v>
      </c>
      <c r="D44" s="101" t="e">
        <f>VLOOKUP(A44,'BSE ALL CAP'!$B$4:$Y$1038,3,)</f>
        <v>#N/A</v>
      </c>
      <c r="E44" s="101">
        <f ca="1">IFERROR(__xludf.DUMMYFUNCTION("GOOGLEFINANCE(""BOM:""&amp;A44,""PRICE"")"),3.48)</f>
        <v>3.48</v>
      </c>
      <c r="F44" s="112">
        <f ca="1">IFERROR(__xludf.DUMMYFUNCTION("GOOGLEFINANCE(""BOM:""&amp;A44,""MARKETCAP"")/10000000"),49.2402602)</f>
        <v>49.240260200000002</v>
      </c>
      <c r="G44" s="95">
        <f t="shared" ca="1" si="0"/>
        <v>3.8298856240879273E-4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4.4">
      <c r="A45" s="99">
        <v>540738</v>
      </c>
      <c r="B45" s="98" t="s">
        <v>3556</v>
      </c>
      <c r="C45" s="101" t="e">
        <f>VLOOKUP(A45,'BSE ALL CAP'!$B$4:$Y$1038,2,)</f>
        <v>#N/A</v>
      </c>
      <c r="D45" s="101" t="e">
        <f>VLOOKUP(A45,'BSE ALL CAP'!$B$4:$Y$1038,3,)</f>
        <v>#N/A</v>
      </c>
      <c r="E45" s="101">
        <f ca="1">IFERROR(__xludf.DUMMYFUNCTION("GOOGLEFINANCE(""BOM:""&amp;A45,""PRICE"")"),7.11)</f>
        <v>7.11</v>
      </c>
      <c r="F45" s="112">
        <f ca="1">IFERROR(__xludf.DUMMYFUNCTION("GOOGLEFINANCE(""BOM:""&amp;A45,""MARKETCAP"")/10000000"),49.6871694)</f>
        <v>49.687169400000002</v>
      </c>
      <c r="G45" s="95">
        <f t="shared" ca="1" si="0"/>
        <v>3.8646460236755931E-4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506074</v>
      </c>
      <c r="B46" s="98" t="s">
        <v>3557</v>
      </c>
      <c r="C46" s="101" t="e">
        <f>VLOOKUP(A46,'BSE ALL CAP'!$B$4:$Y$1038,2,)</f>
        <v>#N/A</v>
      </c>
      <c r="D46" s="101" t="e">
        <f>VLOOKUP(A46,'BSE ALL CAP'!$B$4:$Y$1038,3,)</f>
        <v>#N/A</v>
      </c>
      <c r="E46" s="101">
        <f ca="1">IFERROR(__xludf.DUMMYFUNCTION("GOOGLEFINANCE(""BOM:""&amp;A46,""PRICE"")"),1.3)</f>
        <v>1.3</v>
      </c>
      <c r="F46" s="112">
        <f ca="1">IFERROR(__xludf.DUMMYFUNCTION("GOOGLEFINANCE(""BOM:""&amp;A46,""MARKETCAP"")/10000000"),33.2444567)</f>
        <v>33.244456700000001</v>
      </c>
      <c r="G46" s="95">
        <f t="shared" ca="1" si="0"/>
        <v>2.5857391142694157E-4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4.4">
      <c r="A47" s="99">
        <v>544348</v>
      </c>
      <c r="B47" s="98" t="s">
        <v>3558</v>
      </c>
      <c r="C47" s="101" t="e">
        <f>VLOOKUP(A47,'BSE ALL CAP'!$B$4:$Y$1038,2,)</f>
        <v>#N/A</v>
      </c>
      <c r="D47" s="101" t="e">
        <f>VLOOKUP(A47,'BSE ALL CAP'!$B$4:$Y$1038,3,)</f>
        <v>#N/A</v>
      </c>
      <c r="E47" s="101">
        <f ca="1">IFERROR(__xludf.DUMMYFUNCTION("GOOGLEFINANCE(""BOM:""&amp;A47,""PRICE"")"),37.25)</f>
        <v>37.25</v>
      </c>
      <c r="F47" s="112">
        <f ca="1">IFERROR(__xludf.DUMMYFUNCTION("GOOGLEFINANCE(""BOM:""&amp;A47,""MARKETCAP"")/10000000"),30.5243113)</f>
        <v>30.524311300000001</v>
      </c>
      <c r="G47" s="95">
        <f t="shared" ca="1" si="0"/>
        <v>2.3741674101278339E-4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4.4">
      <c r="A48" s="99">
        <v>540006</v>
      </c>
      <c r="B48" s="98" t="s">
        <v>3559</v>
      </c>
      <c r="C48" s="101" t="e">
        <f>VLOOKUP(A48,'BSE ALL CAP'!$B$4:$Y$1038,2,)</f>
        <v>#N/A</v>
      </c>
      <c r="D48" s="101" t="e">
        <f>VLOOKUP(A48,'BSE ALL CAP'!$B$4:$Y$1038,3,)</f>
        <v>#N/A</v>
      </c>
      <c r="E48" s="101">
        <f ca="1">IFERROR(__xludf.DUMMYFUNCTION("GOOGLEFINANCE(""BOM:""&amp;A48,""PRICE"")"),2.44)</f>
        <v>2.44</v>
      </c>
      <c r="F48" s="112">
        <f ca="1">IFERROR(__xludf.DUMMYFUNCTION("GOOGLEFINANCE(""BOM:""&amp;A48,""MARKETCAP"")/10000000"),29.46982)</f>
        <v>29.469819999999999</v>
      </c>
      <c r="G48" s="95">
        <f t="shared" ca="1" si="0"/>
        <v>2.2921495439713144E-4</v>
      </c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ht="14.4">
      <c r="A49" s="99">
        <v>543754</v>
      </c>
      <c r="B49" s="98" t="s">
        <v>3560</v>
      </c>
      <c r="C49" s="101" t="e">
        <f>VLOOKUP(A49,'BSE ALL CAP'!$B$4:$Y$1038,2,)</f>
        <v>#N/A</v>
      </c>
      <c r="D49" s="101" t="e">
        <f>VLOOKUP(A49,'BSE ALL CAP'!$B$4:$Y$1038,3,)</f>
        <v>#N/A</v>
      </c>
      <c r="E49" s="101">
        <f ca="1">IFERROR(__xludf.DUMMYFUNCTION("GOOGLEFINANCE(""BOM:""&amp;A49,""PRICE"")"),96)</f>
        <v>96</v>
      </c>
      <c r="F49" s="112">
        <f ca="1">IFERROR(__xludf.DUMMYFUNCTION("GOOGLEFINANCE(""BOM:""&amp;A49,""MARKETCAP"")/10000000"),25.2323)</f>
        <v>25.232299999999999</v>
      </c>
      <c r="G49" s="95">
        <f t="shared" ca="1" si="0"/>
        <v>1.9625571156643441E-4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4.4">
      <c r="A50" s="99">
        <v>543621</v>
      </c>
      <c r="B50" s="98" t="s">
        <v>3561</v>
      </c>
      <c r="C50" s="101" t="e">
        <f>VLOOKUP(A50,'BSE ALL CAP'!$B$4:$Y$1038,2,)</f>
        <v>#N/A</v>
      </c>
      <c r="D50" s="101" t="e">
        <f>VLOOKUP(A50,'BSE ALL CAP'!$B$4:$Y$1038,3,)</f>
        <v>#N/A</v>
      </c>
      <c r="E50" s="101">
        <f ca="1">IFERROR(__xludf.DUMMYFUNCTION("GOOGLEFINANCE(""BOM:""&amp;A50,""PRICE"")"),22.62)</f>
        <v>22.62</v>
      </c>
      <c r="F50" s="112">
        <f ca="1">IFERROR(__xludf.DUMMYFUNCTION("GOOGLEFINANCE(""BOM:""&amp;A50,""MARKETCAP"")/10000000"),23.0724)</f>
        <v>23.072399999999998</v>
      </c>
      <c r="G50" s="95">
        <f t="shared" ca="1" si="0"/>
        <v>1.7945610505365746E-4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4.4">
      <c r="A51" s="99">
        <v>544378</v>
      </c>
      <c r="B51" s="98" t="s">
        <v>3562</v>
      </c>
      <c r="C51" s="101" t="e">
        <f>VLOOKUP(A51,'BSE ALL CAP'!$B$4:$Y$1038,2,)</f>
        <v>#N/A</v>
      </c>
      <c r="D51" s="101" t="e">
        <f>VLOOKUP(A51,'BSE ALL CAP'!$B$4:$Y$1038,3,)</f>
        <v>#N/A</v>
      </c>
      <c r="E51" s="101">
        <f ca="1">IFERROR(__xludf.DUMMYFUNCTION("GOOGLEFINANCE(""BOM:""&amp;A51,""PRICE"")"),61)</f>
        <v>61</v>
      </c>
      <c r="F51" s="112">
        <f ca="1">IFERROR(__xludf.DUMMYFUNCTION("GOOGLEFINANCE(""BOM:""&amp;A51,""MARKETCAP"")/10000000"),18.14399)</f>
        <v>18.143989999999999</v>
      </c>
      <c r="G51" s="95">
        <f t="shared" ca="1" si="0"/>
        <v>1.4112315041055591E-4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4.4">
      <c r="A52" s="99">
        <v>540597</v>
      </c>
      <c r="B52" s="98" t="s">
        <v>3563</v>
      </c>
      <c r="C52" s="101" t="e">
        <f>VLOOKUP(A52,'BSE ALL CAP'!$B$4:$Y$1038,2,)</f>
        <v>#N/A</v>
      </c>
      <c r="D52" s="101" t="e">
        <f>VLOOKUP(A52,'BSE ALL CAP'!$B$4:$Y$1038,3,)</f>
        <v>#N/A</v>
      </c>
      <c r="E52" s="101">
        <f ca="1">IFERROR(__xludf.DUMMYFUNCTION("GOOGLEFINANCE(""BOM:""&amp;A52,""PRICE"")"),15.2)</f>
        <v>15.2</v>
      </c>
      <c r="F52" s="112">
        <f ca="1">IFERROR(__xludf.DUMMYFUNCTION("GOOGLEFINANCE(""BOM:""&amp;A52,""MARKETCAP"")/10000000"),17.5897437)</f>
        <v>17.5897437</v>
      </c>
      <c r="G52" s="95">
        <f t="shared" ca="1" si="0"/>
        <v>1.3681224724320442E-4</v>
      </c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ht="14.4">
      <c r="A53" s="99">
        <v>526622</v>
      </c>
      <c r="B53" s="98" t="s">
        <v>3564</v>
      </c>
      <c r="C53" s="101" t="e">
        <f>VLOOKUP(A53,'BSE ALL CAP'!$B$4:$Y$1038,2,)</f>
        <v>#N/A</v>
      </c>
      <c r="D53" s="101" t="e">
        <f>VLOOKUP(A53,'BSE ALL CAP'!$B$4:$Y$1038,3,)</f>
        <v>#N/A</v>
      </c>
      <c r="E53" s="101">
        <f ca="1">IFERROR(__xludf.DUMMYFUNCTION("GOOGLEFINANCE(""BOM:""&amp;A53,""PRICE"")"),0.39)</f>
        <v>0.39</v>
      </c>
      <c r="F53" s="112">
        <f ca="1">IFERROR(__xludf.DUMMYFUNCTION("GOOGLEFINANCE(""BOM:""&amp;A53,""MARKETCAP"")/10000000"),14.0513874)</f>
        <v>14.051387399999999</v>
      </c>
      <c r="G53" s="95">
        <f t="shared" ca="1" si="0"/>
        <v>1.0929106869697295E-4</v>
      </c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ht="14.4">
      <c r="A54" s="99">
        <v>544556</v>
      </c>
      <c r="B54" s="98" t="s">
        <v>3565</v>
      </c>
      <c r="C54" s="101" t="e">
        <f>VLOOKUP(A54,'BSE ALL CAP'!$B$4:$Y$1038,2,)</f>
        <v>#N/A</v>
      </c>
      <c r="D54" s="101" t="e">
        <f>VLOOKUP(A54,'BSE ALL CAP'!$B$4:$Y$1038,3,)</f>
        <v>#N/A</v>
      </c>
      <c r="E54" s="101">
        <f ca="1">IFERROR(__xludf.DUMMYFUNCTION("GOOGLEFINANCE(""BOM:""&amp;A54,""PRICE"")"),31.4)</f>
        <v>31.4</v>
      </c>
      <c r="F54" s="112">
        <f ca="1">IFERROR(__xludf.DUMMYFUNCTION("GOOGLEFINANCE(""BOM:""&amp;A54,""MARKETCAP"")/10000000"),12.3088)</f>
        <v>12.3088</v>
      </c>
      <c r="G54" s="95">
        <f t="shared" ca="1" si="0"/>
        <v>9.5737301099342028E-5</v>
      </c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ht="14.4">
      <c r="A55" s="99">
        <v>544474</v>
      </c>
      <c r="B55" s="98" t="s">
        <v>3566</v>
      </c>
      <c r="C55" s="101" t="e">
        <f>VLOOKUP(A55,'BSE ALL CAP'!$B$4:$Y$1038,2,)</f>
        <v>#N/A</v>
      </c>
      <c r="D55" s="101" t="e">
        <f>VLOOKUP(A55,'BSE ALL CAP'!$B$4:$Y$1038,3,)</f>
        <v>#N/A</v>
      </c>
      <c r="E55" s="101">
        <f ca="1">IFERROR(__xludf.DUMMYFUNCTION("GOOGLEFINANCE(""BOM:""&amp;A55,""PRICE"")"),30.05)</f>
        <v>30.05</v>
      </c>
      <c r="F55" s="112">
        <f ca="1">IFERROR(__xludf.DUMMYFUNCTION("GOOGLEFINANCE(""BOM:""&amp;A55,""MARKETCAP"")/10000000"),14.4119826)</f>
        <v>14.4119826</v>
      </c>
      <c r="G55" s="95">
        <f t="shared" ca="1" si="0"/>
        <v>1.1209576218759572E-4</v>
      </c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ht="14.4">
      <c r="A56" s="99">
        <v>511185</v>
      </c>
      <c r="B56" s="98" t="s">
        <v>3567</v>
      </c>
      <c r="C56" s="101" t="e">
        <f>VLOOKUP(A56,'BSE ALL CAP'!$B$4:$Y$1038,2,)</f>
        <v>#N/A</v>
      </c>
      <c r="D56" s="101" t="e">
        <f>VLOOKUP(A56,'BSE ALL CAP'!$B$4:$Y$1038,3,)</f>
        <v>#N/A</v>
      </c>
      <c r="E56" s="101">
        <f ca="1">IFERROR(__xludf.DUMMYFUNCTION("GOOGLEFINANCE(""BOM:""&amp;A56,""PRICE"")"),13.71)</f>
        <v>13.71</v>
      </c>
      <c r="F56" s="112">
        <f ca="1">IFERROR(__xludf.DUMMYFUNCTION("GOOGLEFINANCE(""BOM:""&amp;A56,""MARKETCAP"")/10000000"),8.672295)</f>
        <v>8.6722950000000001</v>
      </c>
      <c r="G56" s="95">
        <f t="shared" ca="1" si="0"/>
        <v>6.7452726312663974E-5</v>
      </c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ht="14.4">
      <c r="A57" s="99">
        <v>544056</v>
      </c>
      <c r="B57" s="98" t="s">
        <v>3568</v>
      </c>
      <c r="C57" s="101" t="e">
        <f>VLOOKUP(A57,'BSE ALL CAP'!$B$4:$Y$1038,2,)</f>
        <v>#N/A</v>
      </c>
      <c r="D57" s="101" t="e">
        <f>VLOOKUP(A57,'BSE ALL CAP'!$B$4:$Y$1038,3,)</f>
        <v>#N/A</v>
      </c>
      <c r="E57" s="101">
        <f ca="1">IFERROR(__xludf.DUMMYFUNCTION("GOOGLEFINANCE(""BOM:""&amp;A57,""PRICE"")"),16.44)</f>
        <v>16.440000000000001</v>
      </c>
      <c r="F57" s="112">
        <f ca="1">IFERROR(__xludf.DUMMYFUNCTION("GOOGLEFINANCE(""BOM:""&amp;A57,""MARKETCAP"")/10000000"),5.048149)</f>
        <v>5.0481490000000004</v>
      </c>
      <c r="G57" s="95">
        <f t="shared" ca="1" si="0"/>
        <v>3.9264279280461329E-5</v>
      </c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ht="14.4">
      <c r="A58" s="99">
        <v>544156</v>
      </c>
      <c r="B58" s="98" t="s">
        <v>3569</v>
      </c>
      <c r="C58" s="101" t="e">
        <f>VLOOKUP(A58,'BSE ALL CAP'!$B$4:$Y$1038,2,)</f>
        <v>#N/A</v>
      </c>
      <c r="D58" s="101" t="e">
        <f>VLOOKUP(A58,'BSE ALL CAP'!$B$4:$Y$1038,3,)</f>
        <v>#N/A</v>
      </c>
      <c r="E58" s="101">
        <f ca="1">IFERROR(__xludf.DUMMYFUNCTION("GOOGLEFINANCE(""BOM:""&amp;A58,""PRICE"")"),12.24)</f>
        <v>12.24</v>
      </c>
      <c r="F58" s="112">
        <f ca="1">IFERROR(__xludf.DUMMYFUNCTION("GOOGLEFINANCE(""BOM:""&amp;A58,""MARKETCAP"")/10000000"),4.5527254)</f>
        <v>4.5527253999999999</v>
      </c>
      <c r="G58" s="95">
        <f t="shared" ca="1" si="0"/>
        <v>3.5410896467764722E-5</v>
      </c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ht="14.4">
      <c r="A59" s="99">
        <v>544557</v>
      </c>
      <c r="B59" s="98" t="s">
        <v>3570</v>
      </c>
      <c r="C59" s="101" t="e">
        <f>VLOOKUP(A59,'BSE ALL CAP'!$B$4:$Y$1038,2,)</f>
        <v>#N/A</v>
      </c>
      <c r="D59" s="101" t="e">
        <f>VLOOKUP(A59,'BSE ALL CAP'!$B$4:$Y$1038,3,)</f>
        <v>#N/A</v>
      </c>
      <c r="E59" s="101">
        <f ca="1">IFERROR(__xludf.DUMMYFUNCTION("GOOGLEFINANCE(""BOM:""&amp;A59,""PRICE"")"),44.45)</f>
        <v>44.45</v>
      </c>
      <c r="F59" s="112"/>
      <c r="G59" s="95">
        <f t="shared" ca="1" si="0"/>
        <v>0</v>
      </c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ht="13.2">
      <c r="A60" s="101"/>
      <c r="B60" s="101"/>
      <c r="C60" s="101"/>
      <c r="D60" s="101"/>
      <c r="E60" s="101"/>
      <c r="F60" s="112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ht="13.2">
      <c r="A61" s="101"/>
      <c r="B61" s="101"/>
      <c r="C61" s="101"/>
      <c r="D61" s="101"/>
      <c r="E61" s="101"/>
      <c r="F61" s="112">
        <f t="shared" ref="F61:O61" ca="1" si="1">SUM(F2:F59)</f>
        <v>128568.48750340001</v>
      </c>
      <c r="G61" s="95">
        <f t="shared" ca="1" si="1"/>
        <v>0.99999999999999989</v>
      </c>
      <c r="H61" s="101">
        <f t="shared" si="1"/>
        <v>41164</v>
      </c>
      <c r="I61" s="101">
        <f t="shared" si="1"/>
        <v>37762</v>
      </c>
      <c r="J61" s="101">
        <f t="shared" si="1"/>
        <v>1820</v>
      </c>
      <c r="K61" s="101">
        <f t="shared" si="1"/>
        <v>2061</v>
      </c>
      <c r="L61" s="101">
        <f t="shared" si="1"/>
        <v>14397</v>
      </c>
      <c r="M61" s="101">
        <f t="shared" si="1"/>
        <v>12925</v>
      </c>
      <c r="N61" s="101">
        <f t="shared" si="1"/>
        <v>801</v>
      </c>
      <c r="O61" s="101">
        <f t="shared" si="1"/>
        <v>1095</v>
      </c>
      <c r="P61" s="95">
        <f t="shared" ref="P61:Q61" si="2">J61/H61</f>
        <v>4.4213390341074722E-2</v>
      </c>
      <c r="Q61" s="95">
        <f t="shared" si="2"/>
        <v>5.4578676976855041E-2</v>
      </c>
      <c r="R61" s="95">
        <f>P61-Q61</f>
        <v>-1.0365286635780319E-2</v>
      </c>
      <c r="S61" s="95">
        <f t="shared" ref="S61:T61" si="3">N61/L61</f>
        <v>5.563659095644926E-2</v>
      </c>
      <c r="T61" s="95">
        <f t="shared" si="3"/>
        <v>8.4719535783365565E-2</v>
      </c>
      <c r="U61" s="95">
        <f>S61-T61</f>
        <v>-2.9082944826916306E-2</v>
      </c>
      <c r="V61" s="95">
        <f>(H61/I61)-1</f>
        <v>9.0090567236904784E-2</v>
      </c>
      <c r="W61" s="95">
        <f>(J61/K61)-1</f>
        <v>-0.11693352741387675</v>
      </c>
      <c r="X61" s="95">
        <f>(L61/M61)-1</f>
        <v>0.11388781431334616</v>
      </c>
      <c r="Y61" s="95">
        <f>(N61/O61)-1</f>
        <v>-0.26849315068493151</v>
      </c>
    </row>
    <row r="62" spans="1:25" ht="13.2">
      <c r="F62" s="94"/>
    </row>
    <row r="63" spans="1:25" ht="13.2">
      <c r="F63" s="94"/>
    </row>
    <row r="64" spans="1:25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59" xr:uid="{00000000-0009-0000-0000-000065000000}"/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543526</v>
      </c>
      <c r="B2" s="98" t="s">
        <v>3571</v>
      </c>
      <c r="C2" s="101" t="str">
        <f>VLOOKUP(A2,'BSE ALL CAP'!$B$4:$Y$1038,2,)</f>
        <v>Financial Services</v>
      </c>
      <c r="D2" s="101" t="str">
        <f>VLOOKUP(A2,'BSE ALL CAP'!$B$4:$Y$1038,3,)</f>
        <v>Life Insurance</v>
      </c>
      <c r="E2" s="101">
        <f ca="1">IFERROR(__xludf.DUMMYFUNCTION("GOOGLEFINANCE(""BOM:""&amp;A2,""PRICE"")"),744)</f>
        <v>744</v>
      </c>
      <c r="F2" s="112">
        <f ca="1">IFERROR(__xludf.DUMMYFUNCTION("GOOGLEFINANCE(""BOM:""&amp;A2,""MARKETCAP"")/10000000"),470959.3356381)</f>
        <v>470959.33563809999</v>
      </c>
      <c r="G2" s="95">
        <f t="shared" ref="G2:G7" ca="1" si="0">F2/$F$9</f>
        <v>0.51173382756535202</v>
      </c>
      <c r="H2" s="101">
        <f>VLOOKUP(A2,'BSE ALL CAP'!$B$4:$Y$1038,7,)</f>
        <v>697403</v>
      </c>
      <c r="I2" s="101">
        <f>VLOOKUP(A2,'BSE ALL CAP'!$B$4:$Y$1038,8,)</f>
        <v>645069</v>
      </c>
      <c r="J2" s="101">
        <f>VLOOKUP(A2,'BSE ALL CAP'!$B$4:$Y$1038,9,)</f>
        <v>33986</v>
      </c>
      <c r="K2" s="101">
        <f>VLOOKUP(A2,'BSE ALL CAP'!$B$4:$Y$1038,10,)</f>
        <v>29282</v>
      </c>
      <c r="L2" s="101">
        <f>VLOOKUP(A2,'BSE ALL CAP'!$B$4:$Y$1038,11,)</f>
        <v>234466</v>
      </c>
      <c r="M2" s="101">
        <f>VLOOKUP(A2,'BSE ALL CAP'!$B$4:$Y$1038,12,)</f>
        <v>202930</v>
      </c>
      <c r="N2" s="101">
        <f>VLOOKUP(A2,'BSE ALL CAP'!$B$4:$Y$1038,13,)</f>
        <v>12930</v>
      </c>
      <c r="O2" s="101">
        <f>VLOOKUP(A2,'BSE ALL CAP'!$B$4:$Y$1038,14,)</f>
        <v>11009</v>
      </c>
      <c r="P2" s="95">
        <f>VLOOKUP(A2,'BSE ALL CAP'!$B$4:$Y$1038,15,)</f>
        <v>4.8732225126648439E-2</v>
      </c>
      <c r="Q2" s="95">
        <f>VLOOKUP(A2,'BSE ALL CAP'!$B$4:$Y$1038,16,)</f>
        <v>4.5393593553557834E-2</v>
      </c>
      <c r="R2" s="95">
        <f>VLOOKUP(A2,'BSE ALL CAP'!$B$4:$Y$1038,17,)</f>
        <v>3.3386315730906044E-3</v>
      </c>
      <c r="S2" s="95">
        <f>VLOOKUP(A2,'BSE ALL CAP'!$B$4:$Y$1038,18,)</f>
        <v>5.5146588417936931E-2</v>
      </c>
      <c r="T2" s="95">
        <f>VLOOKUP(A2,'BSE ALL CAP'!$B$4:$Y$1038,19,)</f>
        <v>5.4250234070861873E-2</v>
      </c>
      <c r="U2" s="95">
        <f>VLOOKUP(A2,'BSE ALL CAP'!$B$4:$Y$1038,20,)</f>
        <v>8.9635434707505818E-4</v>
      </c>
      <c r="V2" s="95">
        <f>VLOOKUP(A2,'BSE ALL CAP'!$B$4:$Y$1038,21,)</f>
        <v>8.112930554715847E-2</v>
      </c>
      <c r="W2" s="95">
        <f>VLOOKUP(A2,'BSE ALL CAP'!$B$4:$Y$1038,22,)</f>
        <v>0.16064476470186473</v>
      </c>
      <c r="X2" s="95">
        <f>VLOOKUP(A2,'BSE ALL CAP'!$B$4:$Y$1038,23,)</f>
        <v>0.15540334105356535</v>
      </c>
      <c r="Y2" s="95">
        <f>VLOOKUP(A2,'BSE ALL CAP'!$B$4:$Y$1038,24,)</f>
        <v>0.1744935961486056</v>
      </c>
    </row>
    <row r="3" spans="1:25" ht="15.75" customHeight="1">
      <c r="A3" s="99">
        <v>540719</v>
      </c>
      <c r="B3" s="98" t="s">
        <v>3572</v>
      </c>
      <c r="C3" s="101" t="str">
        <f>VLOOKUP(A3,'BSE ALL CAP'!$B$4:$Y$1038,2,)</f>
        <v>Financial Services</v>
      </c>
      <c r="D3" s="101" t="str">
        <f>VLOOKUP(A3,'BSE ALL CAP'!$B$4:$Y$1038,3,)</f>
        <v>Life Insurance</v>
      </c>
      <c r="E3" s="101">
        <f ca="1">IFERROR(__xludf.DUMMYFUNCTION("GOOGLEFINANCE(""BOM:""&amp;A3,""PRICE"")"),1840)</f>
        <v>1840</v>
      </c>
      <c r="F3" s="112">
        <f ca="1">IFERROR(__xludf.DUMMYFUNCTION("GOOGLEFINANCE(""BOM:""&amp;A3,""MARKETCAP"")/10000000"),184335.984)</f>
        <v>184335.984</v>
      </c>
      <c r="G3" s="95">
        <f t="shared" ca="1" si="0"/>
        <v>0.20029533658683513</v>
      </c>
      <c r="H3" s="101">
        <f>VLOOKUP(A3,'BSE ALL CAP'!$B$4:$Y$1038,7,)</f>
        <v>107308</v>
      </c>
      <c r="I3" s="101">
        <f>VLOOKUP(A3,'BSE ALL CAP'!$B$4:$Y$1038,8,)</f>
        <v>92949</v>
      </c>
      <c r="J3" s="101">
        <f>VLOOKUP(A3,'BSE ALL CAP'!$B$4:$Y$1038,9,)</f>
        <v>1665</v>
      </c>
      <c r="K3" s="101">
        <f>VLOOKUP(A3,'BSE ALL CAP'!$B$4:$Y$1038,10,)</f>
        <v>1599</v>
      </c>
      <c r="L3" s="101">
        <f>VLOOKUP(A3,'BSE ALL CAP'!$B$4:$Y$1038,11,)</f>
        <v>45803</v>
      </c>
      <c r="M3" s="101">
        <f>VLOOKUP(A3,'BSE ALL CAP'!$B$4:$Y$1038,12,)</f>
        <v>18542</v>
      </c>
      <c r="N3" s="101">
        <f>VLOOKUP(A3,'BSE ALL CAP'!$B$4:$Y$1038,13,)</f>
        <v>576</v>
      </c>
      <c r="O3" s="101">
        <f>VLOOKUP(A3,'BSE ALL CAP'!$B$4:$Y$1038,14,)</f>
        <v>550</v>
      </c>
      <c r="P3" s="95">
        <f>VLOOKUP(A3,'BSE ALL CAP'!$B$4:$Y$1038,15,)</f>
        <v>1.551608454169307E-2</v>
      </c>
      <c r="Q3" s="95">
        <f>VLOOKUP(A3,'BSE ALL CAP'!$B$4:$Y$1038,16,)</f>
        <v>1.7202982280605492E-2</v>
      </c>
      <c r="R3" s="95">
        <f>VLOOKUP(A3,'BSE ALL CAP'!$B$4:$Y$1038,17,)</f>
        <v>-1.6868977389124223E-3</v>
      </c>
      <c r="S3" s="95">
        <f>VLOOKUP(A3,'BSE ALL CAP'!$B$4:$Y$1038,18,)</f>
        <v>1.2575595485011899E-2</v>
      </c>
      <c r="T3" s="95">
        <f>VLOOKUP(A3,'BSE ALL CAP'!$B$4:$Y$1038,19,)</f>
        <v>2.9662388091899472E-2</v>
      </c>
      <c r="U3" s="95">
        <f>VLOOKUP(A3,'BSE ALL CAP'!$B$4:$Y$1038,20,)</f>
        <v>-1.7086792606887571E-2</v>
      </c>
      <c r="V3" s="95">
        <f>VLOOKUP(A3,'BSE ALL CAP'!$B$4:$Y$1038,21,)</f>
        <v>0.15448256570807639</v>
      </c>
      <c r="W3" s="95">
        <f>VLOOKUP(A3,'BSE ALL CAP'!$B$4:$Y$1038,22,)</f>
        <v>4.1275797373358403E-2</v>
      </c>
      <c r="X3" s="95">
        <f>VLOOKUP(A3,'BSE ALL CAP'!$B$4:$Y$1038,23,)</f>
        <v>1.4702297486786753</v>
      </c>
      <c r="Y3" s="95">
        <f>VLOOKUP(A3,'BSE ALL CAP'!$B$4:$Y$1038,24,)</f>
        <v>4.7272727272727355E-2</v>
      </c>
    </row>
    <row r="4" spans="1:25" ht="15.75" customHeight="1">
      <c r="A4" s="99">
        <v>540777</v>
      </c>
      <c r="B4" s="98" t="s">
        <v>138</v>
      </c>
      <c r="C4" s="101" t="str">
        <f>VLOOKUP(A4,'BSE ALL CAP'!$B$4:$Y$1038,2,)</f>
        <v>Financial Services</v>
      </c>
      <c r="D4" s="101" t="str">
        <f>VLOOKUP(A4,'BSE ALL CAP'!$B$4:$Y$1038,3,)</f>
        <v>Life Insurance</v>
      </c>
      <c r="E4" s="101">
        <f ca="1">IFERROR(__xludf.DUMMYFUNCTION("GOOGLEFINANCE(""BOM:""&amp;A4,""PRICE"")"),580.7)</f>
        <v>580.70000000000005</v>
      </c>
      <c r="F4" s="112">
        <f ca="1">IFERROR(__xludf.DUMMYFUNCTION("GOOGLEFINANCE(""BOM:""&amp;A4,""MARKETCAP"")/10000000"),125273.1941633)</f>
        <v>125273.1941633</v>
      </c>
      <c r="G4" s="95">
        <f t="shared" ca="1" si="0"/>
        <v>0.13611903680317849</v>
      </c>
      <c r="H4" s="101">
        <f>VLOOKUP(A4,'BSE ALL CAP'!$B$4:$Y$1038,7,)</f>
        <v>78864</v>
      </c>
      <c r="I4" s="101">
        <f>VLOOKUP(A4,'BSE ALL CAP'!$B$4:$Y$1038,8,)</f>
        <v>72218</v>
      </c>
      <c r="J4" s="101">
        <f>VLOOKUP(A4,'BSE ALL CAP'!$B$4:$Y$1038,9,)</f>
        <v>1414</v>
      </c>
      <c r="K4" s="101">
        <f>VLOOKUP(A4,'BSE ALL CAP'!$B$4:$Y$1038,10,)</f>
        <v>1335</v>
      </c>
      <c r="L4" s="101">
        <f>VLOOKUP(A4,'BSE ALL CAP'!$B$4:$Y$1038,11,)</f>
        <v>29157</v>
      </c>
      <c r="M4" s="101">
        <f>VLOOKUP(A4,'BSE ALL CAP'!$B$4:$Y$1038,12,)</f>
        <v>16979</v>
      </c>
      <c r="N4" s="101">
        <f>VLOOKUP(A4,'BSE ALL CAP'!$B$4:$Y$1038,13,)</f>
        <v>418</v>
      </c>
      <c r="O4" s="101">
        <f>VLOOKUP(A4,'BSE ALL CAP'!$B$4:$Y$1038,14,)</f>
        <v>421</v>
      </c>
      <c r="P4" s="95">
        <f>VLOOKUP(A4,'BSE ALL CAP'!$B$4:$Y$1038,15,)</f>
        <v>1.7929600324609454E-2</v>
      </c>
      <c r="Q4" s="95">
        <f>VLOOKUP(A4,'BSE ALL CAP'!$B$4:$Y$1038,16,)</f>
        <v>1.8485696086848153E-2</v>
      </c>
      <c r="R4" s="95">
        <f>VLOOKUP(A4,'BSE ALL CAP'!$B$4:$Y$1038,17,)</f>
        <v>-5.5609576223869875E-4</v>
      </c>
      <c r="S4" s="95">
        <f>VLOOKUP(A4,'BSE ALL CAP'!$B$4:$Y$1038,18,)</f>
        <v>1.4336179991082759E-2</v>
      </c>
      <c r="T4" s="95">
        <f>VLOOKUP(A4,'BSE ALL CAP'!$B$4:$Y$1038,19,)</f>
        <v>2.4795335414335356E-2</v>
      </c>
      <c r="U4" s="95">
        <f>VLOOKUP(A4,'BSE ALL CAP'!$B$4:$Y$1038,20,)</f>
        <v>-1.0459155423252597E-2</v>
      </c>
      <c r="V4" s="95">
        <f>VLOOKUP(A4,'BSE ALL CAP'!$B$4:$Y$1038,21,)</f>
        <v>9.2026918496773691E-2</v>
      </c>
      <c r="W4" s="95">
        <f>VLOOKUP(A4,'BSE ALL CAP'!$B$4:$Y$1038,22,)</f>
        <v>5.9176029962546783E-2</v>
      </c>
      <c r="X4" s="95">
        <f>VLOOKUP(A4,'BSE ALL CAP'!$B$4:$Y$1038,23,)</f>
        <v>0.71723894222274565</v>
      </c>
      <c r="Y4" s="95">
        <f>VLOOKUP(A4,'BSE ALL CAP'!$B$4:$Y$1038,24,)</f>
        <v>-7.1258907363420665E-3</v>
      </c>
    </row>
    <row r="5" spans="1:25" ht="15.75" customHeight="1">
      <c r="A5" s="99">
        <v>540133</v>
      </c>
      <c r="B5" s="98" t="s">
        <v>3573</v>
      </c>
      <c r="C5" s="101" t="str">
        <f>VLOOKUP(A5,'BSE ALL CAP'!$B$4:$Y$1038,2,)</f>
        <v>Financial Services</v>
      </c>
      <c r="D5" s="101" t="str">
        <f>VLOOKUP(A5,'BSE ALL CAP'!$B$4:$Y$1038,3,)</f>
        <v>Life Insurance</v>
      </c>
      <c r="E5" s="101">
        <f ca="1">IFERROR(__xludf.DUMMYFUNCTION("GOOGLEFINANCE(""BOM:""&amp;A5,""PRICE"")"),512)</f>
        <v>512</v>
      </c>
      <c r="F5" s="112">
        <f ca="1">IFERROR(__xludf.DUMMYFUNCTION("GOOGLEFINANCE(""BOM:""&amp;A5,""MARKETCAP"")/10000000"),74173.7711194)</f>
        <v>74173.7711194</v>
      </c>
      <c r="G5" s="95">
        <f t="shared" ca="1" si="0"/>
        <v>8.0595552370692283E-2</v>
      </c>
      <c r="H5" s="101">
        <f>VLOOKUP(A5,'BSE ALL CAP'!$B$4:$Y$1038,7,)</f>
        <v>59637</v>
      </c>
      <c r="I5" s="101">
        <f>VLOOKUP(A5,'BSE ALL CAP'!$B$4:$Y$1038,8,)</f>
        <v>54982</v>
      </c>
      <c r="J5" s="101">
        <f>VLOOKUP(A5,'BSE ALL CAP'!$B$4:$Y$1038,9,)</f>
        <v>983</v>
      </c>
      <c r="K5" s="101">
        <f>VLOOKUP(A5,'BSE ALL CAP'!$B$4:$Y$1038,10,)</f>
        <v>800</v>
      </c>
      <c r="L5" s="101">
        <f>VLOOKUP(A5,'BSE ALL CAP'!$B$4:$Y$1038,11,)</f>
        <v>22302</v>
      </c>
      <c r="M5" s="101">
        <f>VLOOKUP(A5,'BSE ALL CAP'!$B$4:$Y$1038,12,)</f>
        <v>4516</v>
      </c>
      <c r="N5" s="101">
        <f>VLOOKUP(A5,'BSE ALL CAP'!$B$4:$Y$1038,13,)</f>
        <v>387</v>
      </c>
      <c r="O5" s="101">
        <f>VLOOKUP(A5,'BSE ALL CAP'!$B$4:$Y$1038,14,)</f>
        <v>324</v>
      </c>
      <c r="P5" s="95">
        <f>VLOOKUP(A5,'BSE ALL CAP'!$B$4:$Y$1038,15,)</f>
        <v>1.6483055821050689E-2</v>
      </c>
      <c r="Q5" s="95">
        <f>VLOOKUP(A5,'BSE ALL CAP'!$B$4:$Y$1038,16,)</f>
        <v>1.4550216434469463E-2</v>
      </c>
      <c r="R5" s="95">
        <f>VLOOKUP(A5,'BSE ALL CAP'!$B$4:$Y$1038,17,)</f>
        <v>1.9328393865812258E-3</v>
      </c>
      <c r="S5" s="95">
        <f>VLOOKUP(A5,'BSE ALL CAP'!$B$4:$Y$1038,18,)</f>
        <v>1.735270379338176E-2</v>
      </c>
      <c r="T5" s="95">
        <f>VLOOKUP(A5,'BSE ALL CAP'!$B$4:$Y$1038,19,)</f>
        <v>7.1744906997342775E-2</v>
      </c>
      <c r="U5" s="95">
        <f>VLOOKUP(A5,'BSE ALL CAP'!$B$4:$Y$1038,20,)</f>
        <v>-5.4392203203961015E-2</v>
      </c>
      <c r="V5" s="95">
        <f>VLOOKUP(A5,'BSE ALL CAP'!$B$4:$Y$1038,21,)</f>
        <v>8.4664071878069125E-2</v>
      </c>
      <c r="W5" s="95">
        <f>VLOOKUP(A5,'BSE ALL CAP'!$B$4:$Y$1038,22,)</f>
        <v>0.22875000000000001</v>
      </c>
      <c r="X5" s="95">
        <f>VLOOKUP(A5,'BSE ALL CAP'!$B$4:$Y$1038,23,)</f>
        <v>3.938441098317095</v>
      </c>
      <c r="Y5" s="95">
        <f>VLOOKUP(A5,'BSE ALL CAP'!$B$4:$Y$1038,24,)</f>
        <v>0.19444444444444442</v>
      </c>
    </row>
    <row r="6" spans="1:25" ht="15.75" customHeight="1">
      <c r="A6" s="99">
        <v>500271</v>
      </c>
      <c r="B6" s="98" t="s">
        <v>3574</v>
      </c>
      <c r="C6" s="101" t="str">
        <f>VLOOKUP(A6,'BSE ALL CAP'!$B$4:$Y$1038,2,)</f>
        <v>Financial Services</v>
      </c>
      <c r="D6" s="101" t="str">
        <f>VLOOKUP(A6,'BSE ALL CAP'!$B$4:$Y$1038,3,)</f>
        <v>Life Insurance</v>
      </c>
      <c r="E6" s="101">
        <f ca="1">IFERROR(__xludf.DUMMYFUNCTION("GOOGLEFINANCE(""BOM:""&amp;A6,""PRICE"")"),1501.5)</f>
        <v>1501.5</v>
      </c>
      <c r="F6" s="112">
        <f ca="1">IFERROR(__xludf.DUMMYFUNCTION("GOOGLEFINANCE(""BOM:""&amp;A6,""MARKETCAP"")/10000000"),51839.6932654)</f>
        <v>51839.693265399997</v>
      </c>
      <c r="G6" s="95">
        <f t="shared" ca="1" si="0"/>
        <v>5.6327845414878862E-2</v>
      </c>
      <c r="H6" s="101">
        <f>VLOOKUP(A6,'BSE ALL CAP'!$B$4:$Y$1038,7,)</f>
        <v>36891</v>
      </c>
      <c r="I6" s="101">
        <f>VLOOKUP(A6,'BSE ALL CAP'!$B$4:$Y$1038,8,)</f>
        <v>34101</v>
      </c>
      <c r="J6" s="101">
        <f>VLOOKUP(A6,'BSE ALL CAP'!$B$4:$Y$1038,9,)</f>
        <v>137</v>
      </c>
      <c r="K6" s="101">
        <f>VLOOKUP(A6,'BSE ALL CAP'!$B$4:$Y$1038,10,)</f>
        <v>365</v>
      </c>
      <c r="L6" s="101">
        <f>VLOOKUP(A6,'BSE ALL CAP'!$B$4:$Y$1038,11,)</f>
        <v>14267</v>
      </c>
      <c r="M6" s="101">
        <f>VLOOKUP(A6,'BSE ALL CAP'!$B$4:$Y$1038,12,)</f>
        <v>8923</v>
      </c>
      <c r="N6" s="101">
        <f>VLOOKUP(A6,'BSE ALL CAP'!$B$4:$Y$1038,13,)</f>
        <v>45</v>
      </c>
      <c r="O6" s="101">
        <f>VLOOKUP(A6,'BSE ALL CAP'!$B$4:$Y$1038,14,)</f>
        <v>70</v>
      </c>
      <c r="P6" s="95">
        <f>VLOOKUP(A6,'BSE ALL CAP'!$B$4:$Y$1038,15,)</f>
        <v>3.7136428939307689E-3</v>
      </c>
      <c r="Q6" s="95">
        <f>VLOOKUP(A6,'BSE ALL CAP'!$B$4:$Y$1038,16,)</f>
        <v>1.0703498431131052E-2</v>
      </c>
      <c r="R6" s="95">
        <f>VLOOKUP(A6,'BSE ALL CAP'!$B$4:$Y$1038,17,)</f>
        <v>-6.9898555372002822E-3</v>
      </c>
      <c r="S6" s="95">
        <f>VLOOKUP(A6,'BSE ALL CAP'!$B$4:$Y$1038,18,)</f>
        <v>3.1541319128057755E-3</v>
      </c>
      <c r="T6" s="95">
        <f>VLOOKUP(A6,'BSE ALL CAP'!$B$4:$Y$1038,19,)</f>
        <v>7.8448952146139197E-3</v>
      </c>
      <c r="U6" s="95">
        <f>VLOOKUP(A6,'BSE ALL CAP'!$B$4:$Y$1038,20,)</f>
        <v>-4.6907633018081442E-3</v>
      </c>
      <c r="V6" s="95">
        <f>VLOOKUP(A6,'BSE ALL CAP'!$B$4:$Y$1038,21,)</f>
        <v>8.1815782528371628E-2</v>
      </c>
      <c r="W6" s="95">
        <f>VLOOKUP(A6,'BSE ALL CAP'!$B$4:$Y$1038,22,)</f>
        <v>-0.62465753424657533</v>
      </c>
      <c r="X6" s="95">
        <f>VLOOKUP(A6,'BSE ALL CAP'!$B$4:$Y$1038,23,)</f>
        <v>0.59890171466995401</v>
      </c>
      <c r="Y6" s="95">
        <f>VLOOKUP(A6,'BSE ALL CAP'!$B$4:$Y$1038,24,)</f>
        <v>-0.3571428571428571</v>
      </c>
    </row>
    <row r="7" spans="1:25" ht="15.75" customHeight="1">
      <c r="A7" s="99">
        <v>544583</v>
      </c>
      <c r="B7" s="98" t="s">
        <v>3575</v>
      </c>
      <c r="C7" s="101"/>
      <c r="D7" s="101"/>
      <c r="E7" s="101">
        <f ca="1">IFERROR(__xludf.DUMMYFUNCTION("GOOGLEFINANCE(""BOM:""&amp;A7,""PRICE"")"),145.05)</f>
        <v>145.05000000000001</v>
      </c>
      <c r="F7" s="112">
        <f ca="1">IFERROR(__xludf.DUMMYFUNCTION("GOOGLEFINANCE(""BOM:""&amp;A7,""MARKETCAP"")/10000000"),13738.91965)</f>
        <v>13738.91965</v>
      </c>
      <c r="G7" s="95">
        <f t="shared" ca="1" si="0"/>
        <v>1.4928401259063086E-2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12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A9" s="101"/>
      <c r="B9" s="101"/>
      <c r="C9" s="101"/>
      <c r="D9" s="101"/>
      <c r="E9" s="101"/>
      <c r="F9" s="112">
        <f t="shared" ref="F9:O9" ca="1" si="1">SUM(F2:F7)</f>
        <v>920320.89783620008</v>
      </c>
      <c r="G9" s="95">
        <f t="shared" ca="1" si="1"/>
        <v>1</v>
      </c>
      <c r="H9" s="101">
        <f t="shared" si="1"/>
        <v>980103</v>
      </c>
      <c r="I9" s="101">
        <f t="shared" si="1"/>
        <v>899319</v>
      </c>
      <c r="J9" s="101">
        <f t="shared" si="1"/>
        <v>38185</v>
      </c>
      <c r="K9" s="101">
        <f t="shared" si="1"/>
        <v>33381</v>
      </c>
      <c r="L9" s="101">
        <f t="shared" si="1"/>
        <v>345995</v>
      </c>
      <c r="M9" s="101">
        <f t="shared" si="1"/>
        <v>251890</v>
      </c>
      <c r="N9" s="101">
        <f t="shared" si="1"/>
        <v>14356</v>
      </c>
      <c r="O9" s="101">
        <f t="shared" si="1"/>
        <v>12374</v>
      </c>
      <c r="P9" s="95">
        <f t="shared" ref="P9:Q9" si="2">J9/H9</f>
        <v>3.8960190918709565E-2</v>
      </c>
      <c r="Q9" s="95">
        <f t="shared" si="2"/>
        <v>3.7118086018420607E-2</v>
      </c>
      <c r="R9" s="95">
        <f>P9-Q9</f>
        <v>1.8421049002889586E-3</v>
      </c>
      <c r="S9" s="95">
        <f t="shared" ref="S9:T9" si="3">N9/L9</f>
        <v>4.1491929074119568E-2</v>
      </c>
      <c r="T9" s="95">
        <f t="shared" si="3"/>
        <v>4.912461788876097E-2</v>
      </c>
      <c r="U9" s="95">
        <f>S9-T9</f>
        <v>-7.6326888146414015E-3</v>
      </c>
      <c r="V9" s="95">
        <f>(H9/I9)-1</f>
        <v>8.9827969830505117E-2</v>
      </c>
      <c r="W9" s="95">
        <f>(J9/K9)-1</f>
        <v>0.14391420269015298</v>
      </c>
      <c r="X9" s="95">
        <f>(L9/M9)-1</f>
        <v>0.37359561713446343</v>
      </c>
      <c r="Y9" s="95">
        <f>(N9/O9)-1</f>
        <v>0.16017455956036852</v>
      </c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7" xr:uid="{00000000-0009-0000-0000-000066000000}"/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526415</v>
      </c>
      <c r="B2" s="98" t="s">
        <v>3576</v>
      </c>
      <c r="C2" s="101" t="e">
        <f>VLOOKUP(A2,'BSE ALL CAP'!$B$4:$Y$1038,2,)</f>
        <v>#N/A</v>
      </c>
      <c r="D2" s="101" t="e">
        <f>VLOOKUP(A2,'BSE ALL CAP'!$B$4:$Y$1038,3,)</f>
        <v>#N/A</v>
      </c>
      <c r="E2" s="101">
        <f ca="1">IFERROR(__xludf.DUMMYFUNCTION("GOOGLEFINANCE(""BOM:""&amp;A2,""PRICE"")"),3.75)</f>
        <v>3.75</v>
      </c>
      <c r="F2" s="112">
        <f ca="1">IFERROR(__xludf.DUMMYFUNCTION("GOOGLEFINANCE(""BOM:""&amp;A2,""MARKETCAP"")/10000000"),136.099125)</f>
        <v>136.09912499999999</v>
      </c>
      <c r="G2" s="95">
        <f t="shared" ref="G2:G6" ca="1" si="0">F2/$F$8</f>
        <v>0.33472764386250564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.75" customHeight="1">
      <c r="A3" s="99">
        <v>544641</v>
      </c>
      <c r="B3" s="98" t="s">
        <v>3577</v>
      </c>
      <c r="C3" s="101" t="e">
        <f>VLOOKUP(A3,'BSE ALL CAP'!$B$4:$Y$1038,2,)</f>
        <v>#N/A</v>
      </c>
      <c r="D3" s="101" t="e">
        <f>VLOOKUP(A3,'BSE ALL CAP'!$B$4:$Y$1038,3,)</f>
        <v>#N/A</v>
      </c>
      <c r="E3" s="101">
        <f ca="1">IFERROR(__xludf.DUMMYFUNCTION("GOOGLEFINANCE(""BOM:""&amp;A3,""PRICE"")"),223)</f>
        <v>223</v>
      </c>
      <c r="F3" s="112">
        <f ca="1">IFERROR(__xludf.DUMMYFUNCTION("GOOGLEFINANCE(""BOM:""&amp;A3,""MARKETCAP"")/10000000"),140.044)</f>
        <v>140.04400000000001</v>
      </c>
      <c r="G3" s="95">
        <f t="shared" ca="1" si="0"/>
        <v>0.34442982757663393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530545</v>
      </c>
      <c r="B4" s="98" t="s">
        <v>3578</v>
      </c>
      <c r="C4" s="101" t="e">
        <f>VLOOKUP(A4,'BSE ALL CAP'!$B$4:$Y$1038,2,)</f>
        <v>#N/A</v>
      </c>
      <c r="D4" s="101" t="e">
        <f>VLOOKUP(A4,'BSE ALL CAP'!$B$4:$Y$1038,3,)</f>
        <v>#N/A</v>
      </c>
      <c r="E4" s="101">
        <f ca="1">IFERROR(__xludf.DUMMYFUNCTION("GOOGLEFINANCE(""BOM:""&amp;A4,""PRICE"")"),187.8)</f>
        <v>187.8</v>
      </c>
      <c r="F4" s="112">
        <f ca="1">IFERROR(__xludf.DUMMYFUNCTION("GOOGLEFINANCE(""BOM:""&amp;A4,""MARKETCAP"")/10000000"),78.1435812)</f>
        <v>78.1435812</v>
      </c>
      <c r="G4" s="95">
        <f t="shared" ca="1" si="0"/>
        <v>0.19218945616332503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532212</v>
      </c>
      <c r="B5" s="98" t="s">
        <v>3579</v>
      </c>
      <c r="C5" s="101" t="e">
        <f>VLOOKUP(A5,'BSE ALL CAP'!$B$4:$Y$1038,2,)</f>
        <v>#N/A</v>
      </c>
      <c r="D5" s="101" t="e">
        <f>VLOOKUP(A5,'BSE ALL CAP'!$B$4:$Y$1038,3,)</f>
        <v>#N/A</v>
      </c>
      <c r="E5" s="101">
        <f ca="1">IFERROR(__xludf.DUMMYFUNCTION("GOOGLEFINANCE(""BOM:""&amp;A5,""PRICE"")"),13.97)</f>
        <v>13.97</v>
      </c>
      <c r="F5" s="112">
        <f ca="1">IFERROR(__xludf.DUMMYFUNCTION("GOOGLEFINANCE(""BOM:""&amp;A5,""MARKETCAP"")/10000000"),47.4662191)</f>
        <v>47.466219100000004</v>
      </c>
      <c r="G5" s="95">
        <f t="shared" ca="1" si="0"/>
        <v>0.11674032204398424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534190</v>
      </c>
      <c r="B6" s="98" t="s">
        <v>3580</v>
      </c>
      <c r="C6" s="101" t="e">
        <f>VLOOKUP(A6,'BSE ALL CAP'!$B$4:$Y$1038,2,)</f>
        <v>#N/A</v>
      </c>
      <c r="D6" s="101" t="e">
        <f>VLOOKUP(A6,'BSE ALL CAP'!$B$4:$Y$1038,3,)</f>
        <v>#N/A</v>
      </c>
      <c r="E6" s="101">
        <f ca="1">IFERROR(__xludf.DUMMYFUNCTION("GOOGLEFINANCE(""BOM:""&amp;A6,""PRICE"")"),2.97)</f>
        <v>2.97</v>
      </c>
      <c r="F6" s="112">
        <f ca="1">IFERROR(__xludf.DUMMYFUNCTION("GOOGLEFINANCE(""BOM:""&amp;A6,""MARKETCAP"")/10000000"),4.8436839)</f>
        <v>4.8436839000000003</v>
      </c>
      <c r="G6" s="95">
        <f t="shared" ca="1" si="0"/>
        <v>1.1912750353551153E-2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>
      <c r="A7" s="101"/>
      <c r="B7" s="101"/>
      <c r="C7" s="101"/>
      <c r="D7" s="101"/>
      <c r="E7" s="101"/>
      <c r="F7" s="112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12">
        <f t="shared" ref="F8:G8" ca="1" si="1">SUM(F2:F6)</f>
        <v>406.59660919999999</v>
      </c>
      <c r="G8" s="95">
        <f t="shared" ca="1" si="1"/>
        <v>0.99999999999999989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6" xr:uid="{00000000-0009-0000-0000-000067000000}"/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542020</v>
      </c>
      <c r="B2" s="98" t="s">
        <v>3581</v>
      </c>
      <c r="C2" s="101" t="e">
        <f>VLOOKUP(A2,'BSE ALL CAP'!$B$4:$Y$1038,2,)</f>
        <v>#N/A</v>
      </c>
      <c r="D2" s="101" t="e">
        <f>VLOOKUP(A2,'BSE ALL CAP'!$B$4:$Y$1038,3,)</f>
        <v>#N/A</v>
      </c>
      <c r="E2" s="101">
        <f ca="1">IFERROR(__xludf.DUMMYFUNCTION("GOOGLEFINANCE(""BOM:""&amp;A2,""PRICE"")"),4.71)</f>
        <v>4.71</v>
      </c>
      <c r="F2" s="112">
        <f ca="1">IFERROR(__xludf.DUMMYFUNCTION("GOOGLEFINANCE(""BOM:""&amp;A2,""MARKETCAP"")/10000000"),48.9195942)</f>
        <v>48.919594199999999</v>
      </c>
      <c r="G2" s="95">
        <f t="shared" ref="G2:G13" ca="1" si="0">F2/$F$15</f>
        <v>1.1433754906993948E-2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ht="15.75" customHeight="1">
      <c r="A3" s="99">
        <v>541771</v>
      </c>
      <c r="B3" s="98" t="s">
        <v>3582</v>
      </c>
      <c r="C3" s="101" t="e">
        <f>VLOOKUP(A3,'BSE ALL CAP'!$B$4:$Y$1038,2,)</f>
        <v>#N/A</v>
      </c>
      <c r="D3" s="101" t="e">
        <f>VLOOKUP(A3,'BSE ALL CAP'!$B$4:$Y$1038,3,)</f>
        <v>#N/A</v>
      </c>
      <c r="E3" s="101">
        <f ca="1">IFERROR(__xludf.DUMMYFUNCTION("GOOGLEFINANCE(""BOM:""&amp;A3,""PRICE"")"),1.54)</f>
        <v>1.54</v>
      </c>
      <c r="F3" s="112">
        <f ca="1">IFERROR(__xludf.DUMMYFUNCTION("GOOGLEFINANCE(""BOM:""&amp;A3,""MARKETCAP"")/10000000"),16.6278877)</f>
        <v>16.627887699999999</v>
      </c>
      <c r="G3" s="95">
        <f t="shared" ca="1" si="0"/>
        <v>3.886360786345593E-3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</row>
    <row r="4" spans="1:25" ht="15.75" customHeight="1">
      <c r="A4" s="99">
        <v>531673</v>
      </c>
      <c r="B4" s="98" t="s">
        <v>3583</v>
      </c>
      <c r="C4" s="101" t="e">
        <f>VLOOKUP(A4,'BSE ALL CAP'!$B$4:$Y$1038,2,)</f>
        <v>#N/A</v>
      </c>
      <c r="D4" s="101" t="e">
        <f>VLOOKUP(A4,'BSE ALL CAP'!$B$4:$Y$1038,3,)</f>
        <v>#N/A</v>
      </c>
      <c r="E4" s="101">
        <f ca="1">IFERROR(__xludf.DUMMYFUNCTION("GOOGLEFINANCE(""BOM:""&amp;A4,""PRICE"")"),21.89)</f>
        <v>21.89</v>
      </c>
      <c r="F4" s="112">
        <f ca="1">IFERROR(__xludf.DUMMYFUNCTION("GOOGLEFINANCE(""BOM:""&amp;A4,""MARKETCAP"")/10000000"),112.8265293)</f>
        <v>112.8265293</v>
      </c>
      <c r="G4" s="95">
        <f t="shared" ca="1" si="0"/>
        <v>2.6370433036481965E-2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15.75" customHeight="1">
      <c r="A5" s="99">
        <v>544683</v>
      </c>
      <c r="B5" s="98" t="s">
        <v>3584</v>
      </c>
      <c r="C5" s="101" t="e">
        <f>VLOOKUP(A5,'BSE ALL CAP'!$B$4:$Y$1038,2,)</f>
        <v>#N/A</v>
      </c>
      <c r="D5" s="101" t="e">
        <f>VLOOKUP(A5,'BSE ALL CAP'!$B$4:$Y$1038,3,)</f>
        <v>#N/A</v>
      </c>
      <c r="E5" s="101">
        <f ca="1">IFERROR(__xludf.DUMMYFUNCTION("GOOGLEFINANCE(""BOM:""&amp;A5,""PRICE"")"),15.71)</f>
        <v>15.71</v>
      </c>
      <c r="F5" s="112">
        <f ca="1">IFERROR(__xludf.DUMMYFUNCTION("GOOGLEFINANCE(""BOM:""&amp;A5,""MARKETCAP"")/10000000"),30.9309006)</f>
        <v>30.930900600000001</v>
      </c>
      <c r="G5" s="95">
        <f t="shared" ca="1" si="0"/>
        <v>7.2293391287573698E-3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</row>
    <row r="6" spans="1:25" ht="15.75" customHeight="1">
      <c r="A6" s="99">
        <v>526666</v>
      </c>
      <c r="B6" s="98" t="s">
        <v>3585</v>
      </c>
      <c r="C6" s="101" t="e">
        <f>VLOOKUP(A6,'BSE ALL CAP'!$B$4:$Y$1038,2,)</f>
        <v>#N/A</v>
      </c>
      <c r="D6" s="101" t="e">
        <f>VLOOKUP(A6,'BSE ALL CAP'!$B$4:$Y$1038,3,)</f>
        <v>#N/A</v>
      </c>
      <c r="E6" s="101">
        <f ca="1">IFERROR(__xludf.DUMMYFUNCTION("GOOGLEFINANCE(""BOM:""&amp;A6,""PRICE"")"),736.3)</f>
        <v>736.3</v>
      </c>
      <c r="F6" s="112">
        <f ca="1">IFERROR(__xludf.DUMMYFUNCTION("GOOGLEFINANCE(""BOM:""&amp;A6,""MARKETCAP"")/10000000"),996.3264273)</f>
        <v>996.32642729999998</v>
      </c>
      <c r="G6" s="95">
        <f t="shared" ca="1" si="0"/>
        <v>0.23286685761406262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5" ht="15.75" customHeight="1">
      <c r="A7" s="99">
        <v>522249</v>
      </c>
      <c r="B7" s="98" t="s">
        <v>3586</v>
      </c>
      <c r="C7" s="101" t="e">
        <f>VLOOKUP(A7,'BSE ALL CAP'!$B$4:$Y$1038,2,)</f>
        <v>#N/A</v>
      </c>
      <c r="D7" s="101" t="e">
        <f>VLOOKUP(A7,'BSE ALL CAP'!$B$4:$Y$1038,3,)</f>
        <v>#N/A</v>
      </c>
      <c r="E7" s="101">
        <f ca="1">IFERROR(__xludf.DUMMYFUNCTION("GOOGLEFINANCE(""BOM:""&amp;A7,""PRICE"")"),530.5)</f>
        <v>530.5</v>
      </c>
      <c r="F7" s="112">
        <f ca="1">IFERROR(__xludf.DUMMYFUNCTION("GOOGLEFINANCE(""BOM:""&amp;A7,""MARKETCAP"")/10000000"),2314.9367322)</f>
        <v>2314.9367321999998</v>
      </c>
      <c r="G7" s="95">
        <f t="shared" ca="1" si="0"/>
        <v>0.54105966441504705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 ht="15.75" customHeight="1">
      <c r="A8" s="99">
        <v>526642</v>
      </c>
      <c r="B8" s="98" t="s">
        <v>3587</v>
      </c>
      <c r="C8" s="101" t="e">
        <f>VLOOKUP(A8,'BSE ALL CAP'!$B$4:$Y$1038,2,)</f>
        <v>#N/A</v>
      </c>
      <c r="D8" s="101" t="e">
        <f>VLOOKUP(A8,'BSE ALL CAP'!$B$4:$Y$1038,3,)</f>
        <v>#N/A</v>
      </c>
      <c r="E8" s="101">
        <f ca="1">IFERROR(__xludf.DUMMYFUNCTION("GOOGLEFINANCE(""BOM:""&amp;A8,""PRICE"")"),29.82)</f>
        <v>29.82</v>
      </c>
      <c r="F8" s="112">
        <f ca="1">IFERROR(__xludf.DUMMYFUNCTION("GOOGLEFINANCE(""BOM:""&amp;A8,""MARKETCAP"")/10000000"),409.3537431)</f>
        <v>409.35374309999997</v>
      </c>
      <c r="G8" s="95">
        <f t="shared" ca="1" si="0"/>
        <v>9.5676393997274095E-2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 ht="15.75" customHeight="1">
      <c r="A9" s="99">
        <v>523242</v>
      </c>
      <c r="B9" s="98" t="s">
        <v>3588</v>
      </c>
      <c r="C9" s="101" t="e">
        <f>VLOOKUP(A9,'BSE ALL CAP'!$B$4:$Y$1038,2,)</f>
        <v>#N/A</v>
      </c>
      <c r="D9" s="101" t="e">
        <f>VLOOKUP(A9,'BSE ALL CAP'!$B$4:$Y$1038,3,)</f>
        <v>#N/A</v>
      </c>
      <c r="E9" s="101">
        <f ca="1">IFERROR(__xludf.DUMMYFUNCTION("GOOGLEFINANCE(""BOM:""&amp;A9,""PRICE"")"),6.67)</f>
        <v>6.67</v>
      </c>
      <c r="F9" s="112">
        <f ca="1">IFERROR(__xludf.DUMMYFUNCTION("GOOGLEFINANCE(""BOM:""&amp;A9,""MARKETCAP"")/10000000"),9.0045001)</f>
        <v>9.0045000999999996</v>
      </c>
      <c r="G9" s="95">
        <f t="shared" ca="1" si="0"/>
        <v>2.1045809738831091E-3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</row>
    <row r="10" spans="1:25" ht="15.75" customHeight="1">
      <c r="A10" s="99">
        <v>523283</v>
      </c>
      <c r="B10" s="98" t="s">
        <v>3589</v>
      </c>
      <c r="C10" s="101" t="e">
        <f>VLOOKUP(A10,'BSE ALL CAP'!$B$4:$Y$1038,2,)</f>
        <v>#N/A</v>
      </c>
      <c r="D10" s="101" t="e">
        <f>VLOOKUP(A10,'BSE ALL CAP'!$B$4:$Y$1038,3,)</f>
        <v>#N/A</v>
      </c>
      <c r="E10" s="101">
        <f ca="1">IFERROR(__xludf.DUMMYFUNCTION("GOOGLEFINANCE(""BOM:""&amp;A10,""PRICE"")"),141)</f>
        <v>141</v>
      </c>
      <c r="F10" s="112">
        <f ca="1">IFERROR(__xludf.DUMMYFUNCTION("GOOGLEFINANCE(""BOM:""&amp;A10,""MARKETCAP"")/10000000"),159.851481)</f>
        <v>159.85148100000001</v>
      </c>
      <c r="G10" s="95">
        <f t="shared" ca="1" si="0"/>
        <v>3.7361361743961478E-2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523842</v>
      </c>
      <c r="B11" s="98" t="s">
        <v>3590</v>
      </c>
      <c r="C11" s="101" t="e">
        <f>VLOOKUP(A11,'BSE ALL CAP'!$B$4:$Y$1038,2,)</f>
        <v>#N/A</v>
      </c>
      <c r="D11" s="101" t="e">
        <f>VLOOKUP(A11,'BSE ALL CAP'!$B$4:$Y$1038,3,)</f>
        <v>#N/A</v>
      </c>
      <c r="E11" s="101">
        <f ca="1">IFERROR(__xludf.DUMMYFUNCTION("GOOGLEFINANCE(""BOM:""&amp;A11,""PRICE"")"),6.37)</f>
        <v>6.37</v>
      </c>
      <c r="F11" s="112">
        <f ca="1">IFERROR(__xludf.DUMMYFUNCTION("GOOGLEFINANCE(""BOM:""&amp;A11,""MARKETCAP"")/10000000"),68.7789908)</f>
        <v>68.778990800000003</v>
      </c>
      <c r="G11" s="95">
        <f t="shared" ca="1" si="0"/>
        <v>1.6075401613973153E-2</v>
      </c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5" ht="15.75" customHeight="1">
      <c r="A12" s="99">
        <v>526431</v>
      </c>
      <c r="B12" s="98" t="s">
        <v>3591</v>
      </c>
      <c r="C12" s="101" t="e">
        <f>VLOOKUP(A12,'BSE ALL CAP'!$B$4:$Y$1038,2,)</f>
        <v>#N/A</v>
      </c>
      <c r="D12" s="101" t="e">
        <f>VLOOKUP(A12,'BSE ALL CAP'!$B$4:$Y$1038,3,)</f>
        <v>#N/A</v>
      </c>
      <c r="E12" s="101">
        <f ca="1">IFERROR(__xludf.DUMMYFUNCTION("GOOGLEFINANCE(""BOM:""&amp;A12,""PRICE"")"),19)</f>
        <v>19</v>
      </c>
      <c r="F12" s="112">
        <f ca="1">IFERROR(__xludf.DUMMYFUNCTION("GOOGLEFINANCE(""BOM:""&amp;A12,""MARKETCAP"")/10000000"),8.43847)</f>
        <v>8.4384700000000006</v>
      </c>
      <c r="G12" s="95">
        <f t="shared" ca="1" si="0"/>
        <v>1.9722853254989024E-3</v>
      </c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</row>
    <row r="13" spans="1:25" ht="15.75" customHeight="1">
      <c r="A13" s="99">
        <v>512553</v>
      </c>
      <c r="B13" s="98" t="s">
        <v>3592</v>
      </c>
      <c r="C13" s="101" t="e">
        <f>VLOOKUP(A13,'BSE ALL CAP'!$B$4:$Y$1038,2,)</f>
        <v>#N/A</v>
      </c>
      <c r="D13" s="101" t="e">
        <f>VLOOKUP(A13,'BSE ALL CAP'!$B$4:$Y$1038,3,)</f>
        <v>#N/A</v>
      </c>
      <c r="E13" s="101">
        <f ca="1">IFERROR(__xludf.DUMMYFUNCTION("GOOGLEFINANCE(""BOM:""&amp;A13,""PRICE"")"),189)</f>
        <v>189</v>
      </c>
      <c r="F13" s="112">
        <f ca="1">IFERROR(__xludf.DUMMYFUNCTION("GOOGLEFINANCE(""BOM:""&amp;A13,""MARKETCAP"")/10000000"),102.528693)</f>
        <v>102.528693</v>
      </c>
      <c r="G13" s="95">
        <f t="shared" ca="1" si="0"/>
        <v>2.3963566457720659E-2</v>
      </c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</row>
    <row r="14" spans="1:25">
      <c r="A14" s="101"/>
      <c r="B14" s="101"/>
      <c r="C14" s="101"/>
      <c r="D14" s="101"/>
      <c r="E14" s="101"/>
      <c r="F14" s="112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>
      <c r="A15" s="101"/>
      <c r="B15" s="101"/>
      <c r="C15" s="101"/>
      <c r="D15" s="101"/>
      <c r="E15" s="101"/>
      <c r="F15" s="112">
        <f ca="1">SUM(F2:F13)</f>
        <v>4278.5239492999999</v>
      </c>
      <c r="G15" s="95">
        <f ca="1">F15/$F$15</f>
        <v>1</v>
      </c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3" xr:uid="{00000000-0009-0000-0000-000068000000}"/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532806</v>
      </c>
      <c r="B2" s="98" t="s">
        <v>3593</v>
      </c>
      <c r="C2" s="101" t="e">
        <f>VLOOKUP(A2,'BSE ALL CAP'!$B$4:$Y$1038,2,)</f>
        <v>#N/A</v>
      </c>
      <c r="D2" s="101" t="e">
        <f>VLOOKUP(A2,'BSE ALL CAP'!$B$4:$Y$1038,3,)</f>
        <v>#N/A</v>
      </c>
      <c r="E2" s="101">
        <f ca="1">IFERROR(__xludf.DUMMYFUNCTION("GOOGLEFINANCE(""BOM:""&amp;A2,""PRICE"")"),24.6)</f>
        <v>24.6</v>
      </c>
      <c r="F2" s="112">
        <f ca="1">IFERROR(__xludf.DUMMYFUNCTION("GOOGLEFINANCE(""BOM:""&amp;A2,""MARKETCAP"")/10000000"),75.6544229)</f>
        <v>75.6544229</v>
      </c>
      <c r="G2" s="95">
        <f t="shared" ref="G2:G6" ca="1" si="0">F2/$F$8</f>
        <v>4.9037367862606825E-2</v>
      </c>
      <c r="H2" s="101" t="e">
        <f>VLOOKUP(A2,'BSE ALL CAP'!$B$4:$Y$1038,7,)</f>
        <v>#N/A</v>
      </c>
      <c r="I2" s="101" t="e">
        <f>VLOOKUP(A2,'BSE ALL CAP'!$B$4:$Y$1038,8,)</f>
        <v>#N/A</v>
      </c>
      <c r="J2" s="101" t="e">
        <f>VLOOKUP(A2,'BSE ALL CAP'!$B$4:$Y$1038,9,)</f>
        <v>#N/A</v>
      </c>
      <c r="K2" s="101" t="e">
        <f>VLOOKUP(A2,'BSE ALL CAP'!$B$4:$Y$1038,10,)</f>
        <v>#N/A</v>
      </c>
      <c r="L2" s="101" t="e">
        <f>VLOOKUP(A2,'BSE ALL CAP'!$B$4:$Y$1038,11,)</f>
        <v>#N/A</v>
      </c>
      <c r="M2" s="101" t="e">
        <f>VLOOKUP(A2,'BSE ALL CAP'!$B$4:$Y$1038,12,)</f>
        <v>#N/A</v>
      </c>
      <c r="N2" s="101" t="e">
        <f>VLOOKUP(A2,'BSE ALL CAP'!$B$4:$Y$1038,13,)</f>
        <v>#N/A</v>
      </c>
      <c r="O2" s="101" t="e">
        <f>VLOOKUP(A2,'BSE ALL CAP'!$B$4:$Y$1038,14,)</f>
        <v>#N/A</v>
      </c>
      <c r="P2" s="101" t="e">
        <f>VLOOKUP(A2,'BSE ALL CAP'!$B$4:$Y$1038,15,)</f>
        <v>#N/A</v>
      </c>
      <c r="Q2" s="101" t="e">
        <f>VLOOKUP(A2,'BSE ALL CAP'!$B$4:$Y$1038,16,)</f>
        <v>#N/A</v>
      </c>
      <c r="R2" s="101" t="e">
        <f>VLOOKUP(A2,'BSE ALL CAP'!$B$4:$Y$1038,17,)</f>
        <v>#N/A</v>
      </c>
      <c r="S2" s="101" t="e">
        <f>VLOOKUP(A2,'BSE ALL CAP'!$B$4:$Y$1038,18,)</f>
        <v>#N/A</v>
      </c>
      <c r="T2" s="101" t="e">
        <f>VLOOKUP(A2,'BSE ALL CAP'!$B$4:$Y$1038,19,)</f>
        <v>#N/A</v>
      </c>
      <c r="U2" s="101" t="e">
        <f>VLOOKUP(A2,'BSE ALL CAP'!$B$4:$Y$1038,20,)</f>
        <v>#N/A</v>
      </c>
      <c r="V2" s="101" t="e">
        <f>VLOOKUP(A2,'BSE ALL CAP'!$B$4:$Y$1038,21,)</f>
        <v>#N/A</v>
      </c>
      <c r="W2" s="101" t="e">
        <f>VLOOKUP(A2,'BSE ALL CAP'!$B$4:$Y$1038,22,)</f>
        <v>#N/A</v>
      </c>
      <c r="X2" s="101" t="e">
        <f>VLOOKUP(A2,'BSE ALL CAP'!$B$4:$Y$1038,23,)</f>
        <v>#N/A</v>
      </c>
      <c r="Y2" s="101" t="e">
        <f>VLOOKUP(A2,'BSE ALL CAP'!$B$4:$Y$1038,24,)</f>
        <v>#N/A</v>
      </c>
    </row>
    <row r="3" spans="1:25" ht="15.75" customHeight="1">
      <c r="A3" s="99">
        <v>526817</v>
      </c>
      <c r="B3" s="98" t="s">
        <v>3594</v>
      </c>
      <c r="C3" s="101" t="e">
        <f>VLOOKUP(A3,'BSE ALL CAP'!$B$4:$Y$1038,2,)</f>
        <v>#N/A</v>
      </c>
      <c r="D3" s="101" t="e">
        <f>VLOOKUP(A3,'BSE ALL CAP'!$B$4:$Y$1038,3,)</f>
        <v>#N/A</v>
      </c>
      <c r="E3" s="101">
        <f ca="1">IFERROR(__xludf.DUMMYFUNCTION("GOOGLEFINANCE(""BOM:""&amp;A3,""PRICE"")"),987)</f>
        <v>987</v>
      </c>
      <c r="F3" s="112">
        <f ca="1">IFERROR(__xludf.DUMMYFUNCTION("GOOGLEFINANCE(""BOM:""&amp;A3,""MARKETCAP"")/10000000"),574.8713397)</f>
        <v>574.87133970000002</v>
      </c>
      <c r="G3" s="95">
        <f t="shared" ca="1" si="0"/>
        <v>0.37261770400126221</v>
      </c>
      <c r="H3" s="101" t="e">
        <f>VLOOKUP(A3,'BSE ALL CAP'!$B$4:$Y$1038,7,)</f>
        <v>#N/A</v>
      </c>
      <c r="I3" s="101" t="e">
        <f>VLOOKUP(A3,'BSE ALL CAP'!$B$4:$Y$1038,8,)</f>
        <v>#N/A</v>
      </c>
      <c r="J3" s="101" t="e">
        <f>VLOOKUP(A3,'BSE ALL CAP'!$B$4:$Y$1038,9,)</f>
        <v>#N/A</v>
      </c>
      <c r="K3" s="101" t="e">
        <f>VLOOKUP(A3,'BSE ALL CAP'!$B$4:$Y$1038,10,)</f>
        <v>#N/A</v>
      </c>
      <c r="L3" s="101" t="e">
        <f>VLOOKUP(A3,'BSE ALL CAP'!$B$4:$Y$1038,11,)</f>
        <v>#N/A</v>
      </c>
      <c r="M3" s="101" t="e">
        <f>VLOOKUP(A3,'BSE ALL CAP'!$B$4:$Y$1038,12,)</f>
        <v>#N/A</v>
      </c>
      <c r="N3" s="101" t="e">
        <f>VLOOKUP(A3,'BSE ALL CAP'!$B$4:$Y$1038,13,)</f>
        <v>#N/A</v>
      </c>
      <c r="O3" s="101" t="e">
        <f>VLOOKUP(A3,'BSE ALL CAP'!$B$4:$Y$1038,14,)</f>
        <v>#N/A</v>
      </c>
      <c r="P3" s="101" t="e">
        <f>VLOOKUP(A3,'BSE ALL CAP'!$B$4:$Y$1038,15,)</f>
        <v>#N/A</v>
      </c>
      <c r="Q3" s="101" t="e">
        <f>VLOOKUP(A3,'BSE ALL CAP'!$B$4:$Y$1038,16,)</f>
        <v>#N/A</v>
      </c>
      <c r="R3" s="101" t="e">
        <f>VLOOKUP(A3,'BSE ALL CAP'!$B$4:$Y$1038,17,)</f>
        <v>#N/A</v>
      </c>
      <c r="S3" s="101" t="e">
        <f>VLOOKUP(A3,'BSE ALL CAP'!$B$4:$Y$1038,18,)</f>
        <v>#N/A</v>
      </c>
      <c r="T3" s="101" t="e">
        <f>VLOOKUP(A3,'BSE ALL CAP'!$B$4:$Y$1038,19,)</f>
        <v>#N/A</v>
      </c>
      <c r="U3" s="101" t="e">
        <f>VLOOKUP(A3,'BSE ALL CAP'!$B$4:$Y$1038,20,)</f>
        <v>#N/A</v>
      </c>
      <c r="V3" s="101" t="e">
        <f>VLOOKUP(A3,'BSE ALL CAP'!$B$4:$Y$1038,21,)</f>
        <v>#N/A</v>
      </c>
      <c r="W3" s="101" t="e">
        <f>VLOOKUP(A3,'BSE ALL CAP'!$B$4:$Y$1038,22,)</f>
        <v>#N/A</v>
      </c>
      <c r="X3" s="101" t="e">
        <f>VLOOKUP(A3,'BSE ALL CAP'!$B$4:$Y$1038,23,)</f>
        <v>#N/A</v>
      </c>
      <c r="Y3" s="101" t="e">
        <f>VLOOKUP(A3,'BSE ALL CAP'!$B$4:$Y$1038,24,)</f>
        <v>#N/A</v>
      </c>
    </row>
    <row r="4" spans="1:25" ht="15.75" customHeight="1">
      <c r="A4" s="99">
        <v>542351</v>
      </c>
      <c r="B4" s="98" t="s">
        <v>3595</v>
      </c>
      <c r="C4" s="101" t="e">
        <f>VLOOKUP(A4,'BSE ALL CAP'!$B$4:$Y$1038,2,)</f>
        <v>#N/A</v>
      </c>
      <c r="D4" s="101" t="e">
        <f>VLOOKUP(A4,'BSE ALL CAP'!$B$4:$Y$1038,3,)</f>
        <v>#N/A</v>
      </c>
      <c r="E4" s="101">
        <f ca="1">IFERROR(__xludf.DUMMYFUNCTION("GOOGLEFINANCE(""BOM:""&amp;A4,""PRICE"")"),576.15)</f>
        <v>576.15</v>
      </c>
      <c r="F4" s="112">
        <f ca="1">IFERROR(__xludf.DUMMYFUNCTION("GOOGLEFINANCE(""BOM:""&amp;A4,""MARKETCAP"")/10000000"),629.23745)</f>
        <v>629.23744999999997</v>
      </c>
      <c r="G4" s="95">
        <f t="shared" ca="1" si="0"/>
        <v>0.40785650231400639</v>
      </c>
      <c r="H4" s="101" t="e">
        <f>VLOOKUP(A4,'BSE ALL CAP'!$B$4:$Y$1038,7,)</f>
        <v>#N/A</v>
      </c>
      <c r="I4" s="101" t="e">
        <f>VLOOKUP(A4,'BSE ALL CAP'!$B$4:$Y$1038,8,)</f>
        <v>#N/A</v>
      </c>
      <c r="J4" s="101" t="e">
        <f>VLOOKUP(A4,'BSE ALL CAP'!$B$4:$Y$1038,9,)</f>
        <v>#N/A</v>
      </c>
      <c r="K4" s="101" t="e">
        <f>VLOOKUP(A4,'BSE ALL CAP'!$B$4:$Y$1038,10,)</f>
        <v>#N/A</v>
      </c>
      <c r="L4" s="101" t="e">
        <f>VLOOKUP(A4,'BSE ALL CAP'!$B$4:$Y$1038,11,)</f>
        <v>#N/A</v>
      </c>
      <c r="M4" s="101" t="e">
        <f>VLOOKUP(A4,'BSE ALL CAP'!$B$4:$Y$1038,12,)</f>
        <v>#N/A</v>
      </c>
      <c r="N4" s="101" t="e">
        <f>VLOOKUP(A4,'BSE ALL CAP'!$B$4:$Y$1038,13,)</f>
        <v>#N/A</v>
      </c>
      <c r="O4" s="101" t="e">
        <f>VLOOKUP(A4,'BSE ALL CAP'!$B$4:$Y$1038,14,)</f>
        <v>#N/A</v>
      </c>
      <c r="P4" s="101" t="e">
        <f>VLOOKUP(A4,'BSE ALL CAP'!$B$4:$Y$1038,15,)</f>
        <v>#N/A</v>
      </c>
      <c r="Q4" s="101" t="e">
        <f>VLOOKUP(A4,'BSE ALL CAP'!$B$4:$Y$1038,16,)</f>
        <v>#N/A</v>
      </c>
      <c r="R4" s="101" t="e">
        <f>VLOOKUP(A4,'BSE ALL CAP'!$B$4:$Y$1038,17,)</f>
        <v>#N/A</v>
      </c>
      <c r="S4" s="101" t="e">
        <f>VLOOKUP(A4,'BSE ALL CAP'!$B$4:$Y$1038,18,)</f>
        <v>#N/A</v>
      </c>
      <c r="T4" s="101" t="e">
        <f>VLOOKUP(A4,'BSE ALL CAP'!$B$4:$Y$1038,19,)</f>
        <v>#N/A</v>
      </c>
      <c r="U4" s="101" t="e">
        <f>VLOOKUP(A4,'BSE ALL CAP'!$B$4:$Y$1038,20,)</f>
        <v>#N/A</v>
      </c>
      <c r="V4" s="101" t="e">
        <f>VLOOKUP(A4,'BSE ALL CAP'!$B$4:$Y$1038,21,)</f>
        <v>#N/A</v>
      </c>
      <c r="W4" s="101" t="e">
        <f>VLOOKUP(A4,'BSE ALL CAP'!$B$4:$Y$1038,22,)</f>
        <v>#N/A</v>
      </c>
      <c r="X4" s="101" t="e">
        <f>VLOOKUP(A4,'BSE ALL CAP'!$B$4:$Y$1038,23,)</f>
        <v>#N/A</v>
      </c>
      <c r="Y4" s="101" t="e">
        <f>VLOOKUP(A4,'BSE ALL CAP'!$B$4:$Y$1038,24,)</f>
        <v>#N/A</v>
      </c>
    </row>
    <row r="5" spans="1:25" ht="15.75" customHeight="1">
      <c r="A5" s="99">
        <v>539120</v>
      </c>
      <c r="B5" s="98" t="s">
        <v>3596</v>
      </c>
      <c r="C5" s="101" t="e">
        <f>VLOOKUP(A5,'BSE ALL CAP'!$B$4:$Y$1038,2,)</f>
        <v>#N/A</v>
      </c>
      <c r="D5" s="101" t="e">
        <f>VLOOKUP(A5,'BSE ALL CAP'!$B$4:$Y$1038,3,)</f>
        <v>#N/A</v>
      </c>
      <c r="E5" s="101">
        <f ca="1">IFERROR(__xludf.DUMMYFUNCTION("GOOGLEFINANCE(""BOM:""&amp;A5,""PRICE"")"),52.25)</f>
        <v>52.25</v>
      </c>
      <c r="F5" s="112">
        <f ca="1">IFERROR(__xludf.DUMMYFUNCTION("GOOGLEFINANCE(""BOM:""&amp;A5,""MARKETCAP"")/10000000"),26.3967)</f>
        <v>26.396699999999999</v>
      </c>
      <c r="G5" s="95">
        <f t="shared" ca="1" si="0"/>
        <v>1.710970275947837E-2</v>
      </c>
      <c r="H5" s="101" t="e">
        <f>VLOOKUP(A5,'BSE ALL CAP'!$B$4:$Y$1038,7,)</f>
        <v>#N/A</v>
      </c>
      <c r="I5" s="101" t="e">
        <f>VLOOKUP(A5,'BSE ALL CAP'!$B$4:$Y$1038,8,)</f>
        <v>#N/A</v>
      </c>
      <c r="J5" s="101" t="e">
        <f>VLOOKUP(A5,'BSE ALL CAP'!$B$4:$Y$1038,9,)</f>
        <v>#N/A</v>
      </c>
      <c r="K5" s="101" t="e">
        <f>VLOOKUP(A5,'BSE ALL CAP'!$B$4:$Y$1038,10,)</f>
        <v>#N/A</v>
      </c>
      <c r="L5" s="101" t="e">
        <f>VLOOKUP(A5,'BSE ALL CAP'!$B$4:$Y$1038,11,)</f>
        <v>#N/A</v>
      </c>
      <c r="M5" s="101" t="e">
        <f>VLOOKUP(A5,'BSE ALL CAP'!$B$4:$Y$1038,12,)</f>
        <v>#N/A</v>
      </c>
      <c r="N5" s="101" t="e">
        <f>VLOOKUP(A5,'BSE ALL CAP'!$B$4:$Y$1038,13,)</f>
        <v>#N/A</v>
      </c>
      <c r="O5" s="101" t="e">
        <f>VLOOKUP(A5,'BSE ALL CAP'!$B$4:$Y$1038,14,)</f>
        <v>#N/A</v>
      </c>
      <c r="P5" s="101" t="e">
        <f>VLOOKUP(A5,'BSE ALL CAP'!$B$4:$Y$1038,15,)</f>
        <v>#N/A</v>
      </c>
      <c r="Q5" s="101" t="e">
        <f>VLOOKUP(A5,'BSE ALL CAP'!$B$4:$Y$1038,16,)</f>
        <v>#N/A</v>
      </c>
      <c r="R5" s="101" t="e">
        <f>VLOOKUP(A5,'BSE ALL CAP'!$B$4:$Y$1038,17,)</f>
        <v>#N/A</v>
      </c>
      <c r="S5" s="101" t="e">
        <f>VLOOKUP(A5,'BSE ALL CAP'!$B$4:$Y$1038,18,)</f>
        <v>#N/A</v>
      </c>
      <c r="T5" s="101" t="e">
        <f>VLOOKUP(A5,'BSE ALL CAP'!$B$4:$Y$1038,19,)</f>
        <v>#N/A</v>
      </c>
      <c r="U5" s="101" t="e">
        <f>VLOOKUP(A5,'BSE ALL CAP'!$B$4:$Y$1038,20,)</f>
        <v>#N/A</v>
      </c>
      <c r="V5" s="101" t="e">
        <f>VLOOKUP(A5,'BSE ALL CAP'!$B$4:$Y$1038,21,)</f>
        <v>#N/A</v>
      </c>
      <c r="W5" s="101" t="e">
        <f>VLOOKUP(A5,'BSE ALL CAP'!$B$4:$Y$1038,22,)</f>
        <v>#N/A</v>
      </c>
      <c r="X5" s="101" t="e">
        <f>VLOOKUP(A5,'BSE ALL CAP'!$B$4:$Y$1038,23,)</f>
        <v>#N/A</v>
      </c>
      <c r="Y5" s="101" t="e">
        <f>VLOOKUP(A5,'BSE ALL CAP'!$B$4:$Y$1038,24,)</f>
        <v>#N/A</v>
      </c>
    </row>
    <row r="6" spans="1:25" ht="15.75" customHeight="1">
      <c r="A6" s="99">
        <v>526179</v>
      </c>
      <c r="B6" s="98" t="s">
        <v>3597</v>
      </c>
      <c r="C6" s="101" t="e">
        <f>VLOOKUP(A6,'BSE ALL CAP'!$B$4:$Y$1038,2,)</f>
        <v>#N/A</v>
      </c>
      <c r="D6" s="101" t="e">
        <f>VLOOKUP(A6,'BSE ALL CAP'!$B$4:$Y$1038,3,)</f>
        <v>#N/A</v>
      </c>
      <c r="E6" s="101">
        <f ca="1">IFERROR(__xludf.DUMMYFUNCTION("GOOGLEFINANCE(""BOM:""&amp;A6,""PRICE"")"),219.65)</f>
        <v>219.65</v>
      </c>
      <c r="F6" s="112">
        <f ca="1">IFERROR(__xludf.DUMMYFUNCTION("GOOGLEFINANCE(""BOM:""&amp;A6,""MARKETCAP"")/10000000"),236.6313545)</f>
        <v>236.63135449999999</v>
      </c>
      <c r="G6" s="95">
        <f t="shared" ca="1" si="0"/>
        <v>0.15337872306264624</v>
      </c>
      <c r="H6" s="101" t="e">
        <f>VLOOKUP(A6,'BSE ALL CAP'!$B$4:$Y$1038,7,)</f>
        <v>#N/A</v>
      </c>
      <c r="I6" s="101" t="e">
        <f>VLOOKUP(A6,'BSE ALL CAP'!$B$4:$Y$1038,8,)</f>
        <v>#N/A</v>
      </c>
      <c r="J6" s="101" t="e">
        <f>VLOOKUP(A6,'BSE ALL CAP'!$B$4:$Y$1038,9,)</f>
        <v>#N/A</v>
      </c>
      <c r="K6" s="101" t="e">
        <f>VLOOKUP(A6,'BSE ALL CAP'!$B$4:$Y$1038,10,)</f>
        <v>#N/A</v>
      </c>
      <c r="L6" s="101" t="e">
        <f>VLOOKUP(A6,'BSE ALL CAP'!$B$4:$Y$1038,11,)</f>
        <v>#N/A</v>
      </c>
      <c r="M6" s="101" t="e">
        <f>VLOOKUP(A6,'BSE ALL CAP'!$B$4:$Y$1038,12,)</f>
        <v>#N/A</v>
      </c>
      <c r="N6" s="101" t="e">
        <f>VLOOKUP(A6,'BSE ALL CAP'!$B$4:$Y$1038,13,)</f>
        <v>#N/A</v>
      </c>
      <c r="O6" s="101" t="e">
        <f>VLOOKUP(A6,'BSE ALL CAP'!$B$4:$Y$1038,14,)</f>
        <v>#N/A</v>
      </c>
      <c r="P6" s="101" t="e">
        <f>VLOOKUP(A6,'BSE ALL CAP'!$B$4:$Y$1038,15,)</f>
        <v>#N/A</v>
      </c>
      <c r="Q6" s="101" t="e">
        <f>VLOOKUP(A6,'BSE ALL CAP'!$B$4:$Y$1038,16,)</f>
        <v>#N/A</v>
      </c>
      <c r="R6" s="101" t="e">
        <f>VLOOKUP(A6,'BSE ALL CAP'!$B$4:$Y$1038,17,)</f>
        <v>#N/A</v>
      </c>
      <c r="S6" s="101" t="e">
        <f>VLOOKUP(A6,'BSE ALL CAP'!$B$4:$Y$1038,18,)</f>
        <v>#N/A</v>
      </c>
      <c r="T6" s="101" t="e">
        <f>VLOOKUP(A6,'BSE ALL CAP'!$B$4:$Y$1038,19,)</f>
        <v>#N/A</v>
      </c>
      <c r="U6" s="101" t="e">
        <f>VLOOKUP(A6,'BSE ALL CAP'!$B$4:$Y$1038,20,)</f>
        <v>#N/A</v>
      </c>
      <c r="V6" s="101" t="e">
        <f>VLOOKUP(A6,'BSE ALL CAP'!$B$4:$Y$1038,21,)</f>
        <v>#N/A</v>
      </c>
      <c r="W6" s="101" t="e">
        <f>VLOOKUP(A6,'BSE ALL CAP'!$B$4:$Y$1038,22,)</f>
        <v>#N/A</v>
      </c>
      <c r="X6" s="101" t="e">
        <f>VLOOKUP(A6,'BSE ALL CAP'!$B$4:$Y$1038,23,)</f>
        <v>#N/A</v>
      </c>
      <c r="Y6" s="101" t="e">
        <f>VLOOKUP(A6,'BSE ALL CAP'!$B$4:$Y$1038,24,)</f>
        <v>#N/A</v>
      </c>
    </row>
    <row r="7" spans="1:25">
      <c r="A7" s="101"/>
      <c r="B7" s="101"/>
      <c r="C7" s="101"/>
      <c r="D7" s="101"/>
      <c r="E7" s="101"/>
      <c r="F7" s="112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</row>
    <row r="8" spans="1:25">
      <c r="A8" s="101"/>
      <c r="B8" s="101"/>
      <c r="C8" s="101"/>
      <c r="D8" s="101"/>
      <c r="E8" s="101"/>
      <c r="F8" s="112">
        <f t="shared" ref="F8:G8" ca="1" si="1">SUM(F2:F6)</f>
        <v>1542.7912670999999</v>
      </c>
      <c r="G8" s="95">
        <f t="shared" ca="1" si="1"/>
        <v>0.99999999999999989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</row>
    <row r="9" spans="1:25">
      <c r="F9" s="94"/>
    </row>
    <row r="10" spans="1:25">
      <c r="F10" s="94"/>
    </row>
    <row r="11" spans="1:25">
      <c r="F11" s="94"/>
    </row>
    <row r="12" spans="1:25">
      <c r="F12" s="94"/>
    </row>
    <row r="13" spans="1:25">
      <c r="F13" s="94"/>
    </row>
    <row r="14" spans="1:25">
      <c r="F14" s="94"/>
    </row>
    <row r="15" spans="1:25">
      <c r="F15" s="94"/>
    </row>
    <row r="16" spans="1:25">
      <c r="F16" s="94"/>
    </row>
    <row r="17" spans="6:6">
      <c r="F17" s="94"/>
    </row>
    <row r="18" spans="6:6">
      <c r="F18" s="94"/>
    </row>
    <row r="19" spans="6:6">
      <c r="F19" s="94"/>
    </row>
    <row r="20" spans="6:6">
      <c r="F20" s="94"/>
    </row>
    <row r="21" spans="6:6">
      <c r="F21" s="94"/>
    </row>
    <row r="22" spans="6:6">
      <c r="F22" s="94"/>
    </row>
    <row r="23" spans="6:6">
      <c r="F23" s="94"/>
    </row>
    <row r="24" spans="6:6">
      <c r="F24" s="94"/>
    </row>
    <row r="25" spans="6:6" ht="13.2">
      <c r="F25" s="94"/>
    </row>
    <row r="26" spans="6:6" ht="13.2">
      <c r="F26" s="94"/>
    </row>
    <row r="27" spans="6:6" ht="13.2">
      <c r="F27" s="94"/>
    </row>
    <row r="28" spans="6:6" ht="13.2">
      <c r="F28" s="94"/>
    </row>
    <row r="29" spans="6:6" ht="13.2">
      <c r="F29" s="94"/>
    </row>
    <row r="30" spans="6:6" ht="13.2">
      <c r="F30" s="94"/>
    </row>
    <row r="31" spans="6:6" ht="13.2">
      <c r="F31" s="94"/>
    </row>
    <row r="32" spans="6:6" ht="13.2">
      <c r="F32" s="94"/>
    </row>
    <row r="33" spans="6:6" ht="13.2">
      <c r="F33" s="94"/>
    </row>
    <row r="34" spans="6:6" ht="13.2">
      <c r="F34" s="94"/>
    </row>
    <row r="35" spans="6:6" ht="13.2">
      <c r="F35" s="94"/>
    </row>
    <row r="36" spans="6:6" ht="13.2">
      <c r="F36" s="94"/>
    </row>
    <row r="37" spans="6:6" ht="13.2">
      <c r="F37" s="94"/>
    </row>
    <row r="38" spans="6:6" ht="13.2">
      <c r="F38" s="94"/>
    </row>
    <row r="39" spans="6:6" ht="13.2">
      <c r="F39" s="94"/>
    </row>
    <row r="40" spans="6:6" ht="13.2">
      <c r="F40" s="94"/>
    </row>
    <row r="41" spans="6:6" ht="13.2">
      <c r="F41" s="94"/>
    </row>
    <row r="42" spans="6:6" ht="13.2">
      <c r="F42" s="94"/>
    </row>
    <row r="43" spans="6:6" ht="13.2">
      <c r="F43" s="94"/>
    </row>
    <row r="44" spans="6:6" ht="13.2">
      <c r="F44" s="94"/>
    </row>
    <row r="45" spans="6:6" ht="13.2">
      <c r="F45" s="94"/>
    </row>
    <row r="46" spans="6:6" ht="13.2">
      <c r="F46" s="94"/>
    </row>
    <row r="47" spans="6:6" ht="13.2">
      <c r="F47" s="94"/>
    </row>
    <row r="48" spans="6:6" ht="13.2">
      <c r="F48" s="94"/>
    </row>
    <row r="49" spans="6:6" ht="13.2">
      <c r="F49" s="94"/>
    </row>
    <row r="50" spans="6:6" ht="13.2">
      <c r="F50" s="94"/>
    </row>
    <row r="51" spans="6:6" ht="13.2">
      <c r="F51" s="94"/>
    </row>
    <row r="52" spans="6:6" ht="13.2">
      <c r="F52" s="94"/>
    </row>
    <row r="53" spans="6:6" ht="13.2">
      <c r="F53" s="94"/>
    </row>
    <row r="54" spans="6:6" ht="13.2">
      <c r="F54" s="94"/>
    </row>
    <row r="55" spans="6:6" ht="13.2">
      <c r="F55" s="94"/>
    </row>
    <row r="56" spans="6:6" ht="13.2">
      <c r="F56" s="94"/>
    </row>
    <row r="57" spans="6:6" ht="13.2">
      <c r="F57" s="94"/>
    </row>
    <row r="58" spans="6:6" ht="13.2">
      <c r="F58" s="94"/>
    </row>
    <row r="59" spans="6:6" ht="13.2">
      <c r="F59" s="94"/>
    </row>
    <row r="60" spans="6:6" ht="13.2">
      <c r="F60" s="94"/>
    </row>
    <row r="61" spans="6:6" ht="13.2">
      <c r="F61" s="94"/>
    </row>
    <row r="62" spans="6:6" ht="13.2">
      <c r="F62" s="94"/>
    </row>
    <row r="63" spans="6:6" ht="13.2">
      <c r="F63" s="94"/>
    </row>
    <row r="64" spans="6:6" ht="13.2">
      <c r="F64" s="94"/>
    </row>
    <row r="65" spans="6:6" ht="13.2">
      <c r="F65" s="94"/>
    </row>
    <row r="66" spans="6:6" ht="13.2">
      <c r="F66" s="94"/>
    </row>
    <row r="67" spans="6:6" ht="13.2">
      <c r="F67" s="94"/>
    </row>
    <row r="68" spans="6:6" ht="13.2">
      <c r="F68" s="94"/>
    </row>
    <row r="69" spans="6:6" ht="13.2">
      <c r="F69" s="94"/>
    </row>
    <row r="70" spans="6:6" ht="13.2">
      <c r="F70" s="94"/>
    </row>
    <row r="71" spans="6:6" ht="13.2">
      <c r="F71" s="94"/>
    </row>
    <row r="72" spans="6:6" ht="13.2">
      <c r="F72" s="94"/>
    </row>
    <row r="73" spans="6:6" ht="13.2">
      <c r="F73" s="94"/>
    </row>
    <row r="74" spans="6:6" ht="13.2">
      <c r="F74" s="94"/>
    </row>
    <row r="75" spans="6:6" ht="13.2">
      <c r="F75" s="94"/>
    </row>
    <row r="76" spans="6:6" ht="13.2">
      <c r="F76" s="94"/>
    </row>
    <row r="77" spans="6:6" ht="13.2">
      <c r="F77" s="94"/>
    </row>
    <row r="78" spans="6:6" ht="13.2">
      <c r="F78" s="94"/>
    </row>
    <row r="79" spans="6:6" ht="13.2">
      <c r="F79" s="94"/>
    </row>
    <row r="80" spans="6:6" ht="13.2">
      <c r="F80" s="94"/>
    </row>
    <row r="81" spans="6:6" ht="13.2">
      <c r="F81" s="94"/>
    </row>
    <row r="82" spans="6:6" ht="13.2">
      <c r="F82" s="94"/>
    </row>
    <row r="83" spans="6:6" ht="13.2">
      <c r="F83" s="94"/>
    </row>
    <row r="84" spans="6:6" ht="13.2">
      <c r="F84" s="94"/>
    </row>
    <row r="85" spans="6:6" ht="13.2">
      <c r="F85" s="94"/>
    </row>
    <row r="86" spans="6:6" ht="13.2">
      <c r="F86" s="94"/>
    </row>
    <row r="87" spans="6:6" ht="13.2">
      <c r="F87" s="94"/>
    </row>
    <row r="88" spans="6:6" ht="13.2">
      <c r="F88" s="94"/>
    </row>
    <row r="89" spans="6:6" ht="13.2">
      <c r="F89" s="94"/>
    </row>
    <row r="90" spans="6:6" ht="13.2">
      <c r="F90" s="94"/>
    </row>
    <row r="91" spans="6:6" ht="13.2">
      <c r="F91" s="94"/>
    </row>
    <row r="92" spans="6:6" ht="13.2">
      <c r="F92" s="94"/>
    </row>
    <row r="93" spans="6:6" ht="13.2">
      <c r="F93" s="94"/>
    </row>
    <row r="94" spans="6:6" ht="13.2">
      <c r="F94" s="94"/>
    </row>
    <row r="95" spans="6:6" ht="13.2">
      <c r="F95" s="94"/>
    </row>
    <row r="96" spans="6:6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6" xr:uid="{00000000-0009-0000-0000-000069000000}"/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540115</v>
      </c>
      <c r="B2" s="98" t="s">
        <v>1414</v>
      </c>
      <c r="C2" s="101" t="str">
        <f>VLOOKUP(A2,'BSE ALL CAP'!$B$4:$Y$1038,2,)</f>
        <v>Information Technology</v>
      </c>
      <c r="D2" s="101" t="str">
        <f>VLOOKUP(A2,'BSE ALL CAP'!$B$4:$Y$1038,3,)</f>
        <v>IT Enabled Services</v>
      </c>
      <c r="E2" s="101">
        <f ca="1">IFERROR(__xludf.DUMMYFUNCTION("GOOGLEFINANCE(""bom:""&amp;A2,""PRICE"")"),3349.1)</f>
        <v>3349.1</v>
      </c>
      <c r="F2" s="112">
        <f ca="1">IFERROR(__xludf.DUMMYFUNCTION("GOOGLEFINANCE(""BOM:""&amp;A2,""MARKETCAP"")/10000000"),35519.96331)</f>
        <v>35519.963309999999</v>
      </c>
      <c r="G2" s="95">
        <f t="shared" ref="G2:G88" ca="1" si="0">F2/$F$90</f>
        <v>0.17012862590872568</v>
      </c>
      <c r="H2" s="101">
        <f>VLOOKUP(A2,'BSE ALL CAP'!$B$4:$Y$1038,7,)</f>
        <v>8769</v>
      </c>
      <c r="I2" s="101">
        <f>VLOOKUP(A2,'BSE ALL CAP'!$B$4:$Y$1038,8,)</f>
        <v>7687</v>
      </c>
      <c r="J2" s="101">
        <f>VLOOKUP(A2,'BSE ALL CAP'!$B$4:$Y$1038,9,)</f>
        <v>948</v>
      </c>
      <c r="K2" s="101">
        <f>VLOOKUP(A2,'BSE ALL CAP'!$B$4:$Y$1038,10,)</f>
        <v>953</v>
      </c>
      <c r="L2" s="101">
        <f>VLOOKUP(A2,'BSE ALL CAP'!$B$4:$Y$1038,11,)</f>
        <v>2923</v>
      </c>
      <c r="M2" s="101">
        <f>VLOOKUP(A2,'BSE ALL CAP'!$B$4:$Y$1038,12,)</f>
        <v>2653</v>
      </c>
      <c r="N2" s="101">
        <f>VLOOKUP(A2,'BSE ALL CAP'!$B$4:$Y$1038,13,)</f>
        <v>303</v>
      </c>
      <c r="O2" s="101">
        <f>VLOOKUP(A2,'BSE ALL CAP'!$B$4:$Y$1038,14,)</f>
        <v>319</v>
      </c>
      <c r="P2" s="95">
        <f>VLOOKUP(A2,'BSE ALL CAP'!$B$4:$Y$1038,15,)</f>
        <v>0.10810810810810811</v>
      </c>
      <c r="Q2" s="95">
        <f>VLOOKUP(A2,'BSE ALL CAP'!$B$4:$Y$1038,16,)</f>
        <v>0.12397554312475609</v>
      </c>
      <c r="R2" s="95">
        <f>VLOOKUP(A2,'BSE ALL CAP'!$B$4:$Y$1038,17,)</f>
        <v>-1.5867435016647974E-2</v>
      </c>
      <c r="S2" s="95">
        <f>VLOOKUP(A2,'BSE ALL CAP'!$B$4:$Y$1038,18,)</f>
        <v>0.10366062264796443</v>
      </c>
      <c r="T2" s="95">
        <f>VLOOKUP(A2,'BSE ALL CAP'!$B$4:$Y$1038,19,)</f>
        <v>0.12024123633622315</v>
      </c>
      <c r="U2" s="95">
        <f>VLOOKUP(A2,'BSE ALL CAP'!$B$4:$Y$1038,20,)</f>
        <v>-1.6580613688258722E-2</v>
      </c>
      <c r="V2" s="95">
        <f>VLOOKUP(A2,'BSE ALL CAP'!$B$4:$Y$1038,21,)</f>
        <v>0.14075712241446592</v>
      </c>
      <c r="W2" s="95">
        <f>VLOOKUP(A2,'BSE ALL CAP'!$B$4:$Y$1038,22,)</f>
        <v>-5.2465897166841247E-3</v>
      </c>
      <c r="X2" s="95">
        <f>VLOOKUP(A2,'BSE ALL CAP'!$B$4:$Y$1038,23,)</f>
        <v>0.10177157934413872</v>
      </c>
      <c r="Y2" s="95">
        <f>VLOOKUP(A2,'BSE ALL CAP'!$B$4:$Y$1038,24,)</f>
        <v>-5.0156739811912265E-2</v>
      </c>
    </row>
    <row r="3" spans="1:25" ht="15.75" customHeight="1">
      <c r="A3" s="99">
        <v>544309</v>
      </c>
      <c r="B3" s="98" t="s">
        <v>3598</v>
      </c>
      <c r="C3" s="101" t="str">
        <f>VLOOKUP(A3,'BSE ALL CAP'!$B$4:$Y$1038,2,)</f>
        <v>Information Technology</v>
      </c>
      <c r="D3" s="101" t="str">
        <f>VLOOKUP(A3,'BSE ALL CAP'!$B$4:$Y$1038,3,)</f>
        <v>IT Enabled Services</v>
      </c>
      <c r="E3" s="101">
        <f ca="1">IFERROR(__xludf.DUMMYFUNCTION("GOOGLEFINANCE(""bom:""&amp;A3,""PRICE"")"),1358.9)</f>
        <v>1358.9</v>
      </c>
      <c r="F3" s="112">
        <f ca="1">IFERROR(__xludf.DUMMYFUNCTION("GOOGLEFINANCE(""BOM:""&amp;A3,""MARKETCAP"")/10000000"),22743.089845)</f>
        <v>22743.089844999999</v>
      </c>
      <c r="G3" s="95">
        <f t="shared" ca="1" si="0"/>
        <v>0.10893171793224307</v>
      </c>
      <c r="H3" s="101">
        <f>VLOOKUP(A3,'BSE ALL CAP'!$B$4:$Y$1038,7,)</f>
        <v>2336</v>
      </c>
      <c r="I3" s="101">
        <f>VLOOKUP(A3,'BSE ALL CAP'!$B$4:$Y$1038,8,)</f>
        <v>1940</v>
      </c>
      <c r="J3" s="101">
        <f>VLOOKUP(A3,'BSE ALL CAP'!$B$4:$Y$1038,9,)</f>
        <v>515</v>
      </c>
      <c r="K3" s="101">
        <f>VLOOKUP(A3,'BSE ALL CAP'!$B$4:$Y$1038,10,)</f>
        <v>338</v>
      </c>
      <c r="L3" s="101">
        <f>VLOOKUP(A3,'BSE ALL CAP'!$B$4:$Y$1038,11,)</f>
        <v>814</v>
      </c>
      <c r="M3" s="101">
        <f>VLOOKUP(A3,'BSE ALL CAP'!$B$4:$Y$1038,12,)</f>
        <v>657</v>
      </c>
      <c r="N3" s="101">
        <f>VLOOKUP(A3,'BSE ALL CAP'!$B$4:$Y$1038,13,)</f>
        <v>183</v>
      </c>
      <c r="O3" s="101">
        <f>VLOOKUP(A3,'BSE ALL CAP'!$B$4:$Y$1038,14,)</f>
        <v>129</v>
      </c>
      <c r="P3" s="95">
        <f>VLOOKUP(A3,'BSE ALL CAP'!$B$4:$Y$1038,15,)</f>
        <v>0.22046232876712329</v>
      </c>
      <c r="Q3" s="95">
        <f>VLOOKUP(A3,'BSE ALL CAP'!$B$4:$Y$1038,16,)</f>
        <v>0.17422680412371133</v>
      </c>
      <c r="R3" s="95">
        <f>VLOOKUP(A3,'BSE ALL CAP'!$B$4:$Y$1038,17,)</f>
        <v>4.6235524643411963E-2</v>
      </c>
      <c r="S3" s="95">
        <f>VLOOKUP(A3,'BSE ALL CAP'!$B$4:$Y$1038,18,)</f>
        <v>0.22481572481572482</v>
      </c>
      <c r="T3" s="95">
        <f>VLOOKUP(A3,'BSE ALL CAP'!$B$4:$Y$1038,19,)</f>
        <v>0.19634703196347031</v>
      </c>
      <c r="U3" s="95">
        <f>VLOOKUP(A3,'BSE ALL CAP'!$B$4:$Y$1038,20,)</f>
        <v>2.8468692852254507E-2</v>
      </c>
      <c r="V3" s="95">
        <f>VLOOKUP(A3,'BSE ALL CAP'!$B$4:$Y$1038,21,)</f>
        <v>0.20412371134020613</v>
      </c>
      <c r="W3" s="95">
        <f>VLOOKUP(A3,'BSE ALL CAP'!$B$4:$Y$1038,22,)</f>
        <v>0.52366863905325434</v>
      </c>
      <c r="X3" s="95">
        <f>VLOOKUP(A3,'BSE ALL CAP'!$B$4:$Y$1038,23,)</f>
        <v>0.23896499238964997</v>
      </c>
      <c r="Y3" s="95">
        <f>VLOOKUP(A3,'BSE ALL CAP'!$B$4:$Y$1038,24,)</f>
        <v>0.41860465116279078</v>
      </c>
    </row>
    <row r="4" spans="1:25" ht="15.75" customHeight="1">
      <c r="A4" s="99">
        <v>544028</v>
      </c>
      <c r="B4" s="98" t="s">
        <v>3599</v>
      </c>
      <c r="C4" s="101" t="str">
        <f>VLOOKUP(A4,'BSE ALL CAP'!$B$4:$Y$1038,2,)</f>
        <v>Information Technology</v>
      </c>
      <c r="D4" s="101" t="str">
        <f>VLOOKUP(A4,'BSE ALL CAP'!$B$4:$Y$1038,3,)</f>
        <v>IT Enabled Services</v>
      </c>
      <c r="E4" s="101">
        <f ca="1">IFERROR(__xludf.DUMMYFUNCTION("GOOGLEFINANCE(""bom:""&amp;A4,""PRICE"")"),543.45)</f>
        <v>543.45000000000005</v>
      </c>
      <c r="F4" s="112">
        <f ca="1">IFERROR(__xludf.DUMMYFUNCTION("GOOGLEFINANCE(""BOM:""&amp;A4,""MARKETCAP"")/10000000"),22052.7960715)</f>
        <v>22052.796071500001</v>
      </c>
      <c r="G4" s="95">
        <f t="shared" ca="1" si="0"/>
        <v>0.10562544393263448</v>
      </c>
      <c r="H4" s="101">
        <f>VLOOKUP(A4,'BSE ALL CAP'!$B$4:$Y$1038,7,)</f>
        <v>3933</v>
      </c>
      <c r="I4" s="101">
        <f>VLOOKUP(A4,'BSE ALL CAP'!$B$4:$Y$1038,8,)</f>
        <v>3882</v>
      </c>
      <c r="J4" s="101">
        <f>VLOOKUP(A4,'BSE ALL CAP'!$B$4:$Y$1038,9,)</f>
        <v>342</v>
      </c>
      <c r="K4" s="101">
        <f>VLOOKUP(A4,'BSE ALL CAP'!$B$4:$Y$1038,10,)</f>
        <v>448</v>
      </c>
      <c r="L4" s="101">
        <f>VLOOKUP(A4,'BSE ALL CAP'!$B$4:$Y$1038,11,)</f>
        <v>1365</v>
      </c>
      <c r="M4" s="101">
        <f>VLOOKUP(A4,'BSE ALL CAP'!$B$4:$Y$1038,12,)</f>
        <v>1317</v>
      </c>
      <c r="N4" s="101">
        <f>VLOOKUP(A4,'BSE ALL CAP'!$B$4:$Y$1038,13,)</f>
        <v>7</v>
      </c>
      <c r="O4" s="101">
        <f>VLOOKUP(A4,'BSE ALL CAP'!$B$4:$Y$1038,14,)</f>
        <v>169</v>
      </c>
      <c r="P4" s="95">
        <f>VLOOKUP(A4,'BSE ALL CAP'!$B$4:$Y$1038,15,)</f>
        <v>8.6956521739130432E-2</v>
      </c>
      <c r="Q4" s="95">
        <f>VLOOKUP(A4,'BSE ALL CAP'!$B$4:$Y$1038,16,)</f>
        <v>0.11540443070582174</v>
      </c>
      <c r="R4" s="95">
        <f>VLOOKUP(A4,'BSE ALL CAP'!$B$4:$Y$1038,17,)</f>
        <v>-2.8447908966691304E-2</v>
      </c>
      <c r="S4" s="95">
        <f>VLOOKUP(A4,'BSE ALL CAP'!$B$4:$Y$1038,18,)</f>
        <v>5.1282051282051282E-3</v>
      </c>
      <c r="T4" s="95">
        <f>VLOOKUP(A4,'BSE ALL CAP'!$B$4:$Y$1038,19,)</f>
        <v>0.12832194381169323</v>
      </c>
      <c r="U4" s="95">
        <f>VLOOKUP(A4,'BSE ALL CAP'!$B$4:$Y$1038,20,)</f>
        <v>-0.12319373868348811</v>
      </c>
      <c r="V4" s="95">
        <f>VLOOKUP(A4,'BSE ALL CAP'!$B$4:$Y$1038,21,)</f>
        <v>1.3137557959814528E-2</v>
      </c>
      <c r="W4" s="95">
        <f>VLOOKUP(A4,'BSE ALL CAP'!$B$4:$Y$1038,22,)</f>
        <v>-0.2366071428571429</v>
      </c>
      <c r="X4" s="95">
        <f>VLOOKUP(A4,'BSE ALL CAP'!$B$4:$Y$1038,23,)</f>
        <v>3.6446469248291535E-2</v>
      </c>
      <c r="Y4" s="95">
        <f>VLOOKUP(A4,'BSE ALL CAP'!$B$4:$Y$1038,24,)</f>
        <v>-0.95857988165680474</v>
      </c>
    </row>
    <row r="5" spans="1:25" ht="15.75" customHeight="1">
      <c r="A5" s="99">
        <v>542752</v>
      </c>
      <c r="B5" s="98" t="s">
        <v>1415</v>
      </c>
      <c r="C5" s="101" t="str">
        <f>VLOOKUP(A5,'BSE ALL CAP'!$B$4:$Y$1038,2,)</f>
        <v>Information Technology</v>
      </c>
      <c r="D5" s="101" t="str">
        <f>VLOOKUP(A5,'BSE ALL CAP'!$B$4:$Y$1038,3,)</f>
        <v>IT Enabled Services</v>
      </c>
      <c r="E5" s="101">
        <f ca="1">IFERROR(__xludf.DUMMYFUNCTION("GOOGLEFINANCE(""bom:""&amp;A5,""PRICE"")"),1418.8)</f>
        <v>1418.8</v>
      </c>
      <c r="F5" s="112">
        <f ca="1">IFERROR(__xludf.DUMMYFUNCTION("GOOGLEFINANCE(""BOM:""&amp;A5,""MARKETCAP"")/10000000"),19947.3327364)</f>
        <v>19947.3327364</v>
      </c>
      <c r="G5" s="95">
        <f t="shared" ca="1" si="0"/>
        <v>9.5540985765389663E-2</v>
      </c>
      <c r="H5" s="101">
        <f>VLOOKUP(A5,'BSE ALL CAP'!$B$4:$Y$1038,7,)</f>
        <v>1984</v>
      </c>
      <c r="I5" s="101">
        <f>VLOOKUP(A5,'BSE ALL CAP'!$B$4:$Y$1038,8,)</f>
        <v>1664</v>
      </c>
      <c r="J5" s="101">
        <f>VLOOKUP(A5,'BSE ALL CAP'!$B$4:$Y$1038,9,)</f>
        <v>335</v>
      </c>
      <c r="K5" s="101">
        <f>VLOOKUP(A5,'BSE ALL CAP'!$B$4:$Y$1038,10,)</f>
        <v>278</v>
      </c>
      <c r="L5" s="101">
        <f>VLOOKUP(A5,'BSE ALL CAP'!$B$4:$Y$1038,11,)</f>
        <v>717</v>
      </c>
      <c r="M5" s="101">
        <f>VLOOKUP(A5,'BSE ALL CAP'!$B$4:$Y$1038,12,)</f>
        <v>601</v>
      </c>
      <c r="N5" s="101">
        <f>VLOOKUP(A5,'BSE ALL CAP'!$B$4:$Y$1038,13,)</f>
        <v>119</v>
      </c>
      <c r="O5" s="101">
        <f>VLOOKUP(A5,'BSE ALL CAP'!$B$4:$Y$1038,14,)</f>
        <v>100</v>
      </c>
      <c r="P5" s="95">
        <f>VLOOKUP(A5,'BSE ALL CAP'!$B$4:$Y$1038,15,)</f>
        <v>0.16885080645161291</v>
      </c>
      <c r="Q5" s="95">
        <f>VLOOKUP(A5,'BSE ALL CAP'!$B$4:$Y$1038,16,)</f>
        <v>0.16706730769230768</v>
      </c>
      <c r="R5" s="95">
        <f>VLOOKUP(A5,'BSE ALL CAP'!$B$4:$Y$1038,17,)</f>
        <v>1.7834987593052243E-3</v>
      </c>
      <c r="S5" s="95">
        <f>VLOOKUP(A5,'BSE ALL CAP'!$B$4:$Y$1038,18,)</f>
        <v>0.16596931659693165</v>
      </c>
      <c r="T5" s="95">
        <f>VLOOKUP(A5,'BSE ALL CAP'!$B$4:$Y$1038,19,)</f>
        <v>0.16638935108153077</v>
      </c>
      <c r="U5" s="95">
        <f>VLOOKUP(A5,'BSE ALL CAP'!$B$4:$Y$1038,20,)</f>
        <v>-4.200344845991244E-4</v>
      </c>
      <c r="V5" s="95">
        <f>VLOOKUP(A5,'BSE ALL CAP'!$B$4:$Y$1038,21,)</f>
        <v>0.19230769230769229</v>
      </c>
      <c r="W5" s="95">
        <f>VLOOKUP(A5,'BSE ALL CAP'!$B$4:$Y$1038,22,)</f>
        <v>0.20503597122302164</v>
      </c>
      <c r="X5" s="95">
        <f>VLOOKUP(A5,'BSE ALL CAP'!$B$4:$Y$1038,23,)</f>
        <v>0.19301164725457576</v>
      </c>
      <c r="Y5" s="95">
        <f>VLOOKUP(A5,'BSE ALL CAP'!$B$4:$Y$1038,24,)</f>
        <v>0.18999999999999995</v>
      </c>
    </row>
    <row r="6" spans="1:25" ht="15.75" customHeight="1">
      <c r="A6" s="99">
        <v>544282</v>
      </c>
      <c r="B6" s="98" t="s">
        <v>3600</v>
      </c>
      <c r="C6" s="101" t="str">
        <f>VLOOKUP(A6,'BSE ALL CAP'!$B$4:$Y$1038,2,)</f>
        <v>Information Technology</v>
      </c>
      <c r="D6" s="101" t="str">
        <f>VLOOKUP(A6,'BSE ALL CAP'!$B$4:$Y$1038,3,)</f>
        <v>IT Enabled Services</v>
      </c>
      <c r="E6" s="101">
        <f ca="1">IFERROR(__xludf.DUMMYFUNCTION("GOOGLEFINANCE(""bom:""&amp;A6,""PRICE"")"),42.44)</f>
        <v>42.44</v>
      </c>
      <c r="F6" s="112">
        <f ca="1">IFERROR(__xludf.DUMMYFUNCTION("GOOGLEFINANCE(""BOM:""&amp;A6,""MARKETCAP"")/10000000"),19951.6035623)</f>
        <v>19951.603562299999</v>
      </c>
      <c r="G6" s="95">
        <f t="shared" ca="1" si="0"/>
        <v>9.5561441578801434E-2</v>
      </c>
      <c r="H6" s="101">
        <f>VLOOKUP(A6,'BSE ALL CAP'!$B$4:$Y$1038,7,)</f>
        <v>5168</v>
      </c>
      <c r="I6" s="101">
        <f>VLOOKUP(A6,'BSE ALL CAP'!$B$4:$Y$1038,8,)</f>
        <v>4001</v>
      </c>
      <c r="J6" s="101">
        <f>VLOOKUP(A6,'BSE ALL CAP'!$B$4:$Y$1038,9,)</f>
        <v>667</v>
      </c>
      <c r="K6" s="101">
        <f>VLOOKUP(A6,'BSE ALL CAP'!$B$4:$Y$1038,10,)</f>
        <v>356</v>
      </c>
      <c r="L6" s="101">
        <f>VLOOKUP(A6,'BSE ALL CAP'!$B$4:$Y$1038,11,)</f>
        <v>1971</v>
      </c>
      <c r="M6" s="101">
        <f>VLOOKUP(A6,'BSE ALL CAP'!$B$4:$Y$1038,12,)</f>
        <v>1453</v>
      </c>
      <c r="N6" s="101">
        <f>VLOOKUP(A6,'BSE ALL CAP'!$B$4:$Y$1038,13,)</f>
        <v>267</v>
      </c>
      <c r="O6" s="101">
        <f>VLOOKUP(A6,'BSE ALL CAP'!$B$4:$Y$1038,14,)</f>
        <v>216</v>
      </c>
      <c r="P6" s="95">
        <f>VLOOKUP(A6,'BSE ALL CAP'!$B$4:$Y$1038,15,)</f>
        <v>0.12906346749226005</v>
      </c>
      <c r="Q6" s="95">
        <f>VLOOKUP(A6,'BSE ALL CAP'!$B$4:$Y$1038,16,)</f>
        <v>8.897775556110972E-2</v>
      </c>
      <c r="R6" s="95">
        <f>VLOOKUP(A6,'BSE ALL CAP'!$B$4:$Y$1038,17,)</f>
        <v>4.0085711931150333E-2</v>
      </c>
      <c r="S6" s="95">
        <f>VLOOKUP(A6,'BSE ALL CAP'!$B$4:$Y$1038,18,)</f>
        <v>0.13546423135464231</v>
      </c>
      <c r="T6" s="95">
        <f>VLOOKUP(A6,'BSE ALL CAP'!$B$4:$Y$1038,19,)</f>
        <v>0.14865794907088781</v>
      </c>
      <c r="U6" s="95">
        <f>VLOOKUP(A6,'BSE ALL CAP'!$B$4:$Y$1038,20,)</f>
        <v>-1.3193717716245501E-2</v>
      </c>
      <c r="V6" s="95">
        <f>VLOOKUP(A6,'BSE ALL CAP'!$B$4:$Y$1038,21,)</f>
        <v>0.29167708072981746</v>
      </c>
      <c r="W6" s="95">
        <f>VLOOKUP(A6,'BSE ALL CAP'!$B$4:$Y$1038,22,)</f>
        <v>0.87359550561797761</v>
      </c>
      <c r="X6" s="95">
        <f>VLOOKUP(A6,'BSE ALL CAP'!$B$4:$Y$1038,23,)</f>
        <v>0.35650378527185134</v>
      </c>
      <c r="Y6" s="95">
        <f>VLOOKUP(A6,'BSE ALL CAP'!$B$4:$Y$1038,24,)</f>
        <v>0.23611111111111116</v>
      </c>
    </row>
    <row r="7" spans="1:25" ht="15.75" customHeight="1">
      <c r="A7" s="99">
        <v>543945</v>
      </c>
      <c r="B7" s="98" t="s">
        <v>1517</v>
      </c>
      <c r="C7" s="101" t="str">
        <f>VLOOKUP(A7,'BSE ALL CAP'!$B$4:$Y$1038,2,)</f>
        <v>Information Technology</v>
      </c>
      <c r="D7" s="101" t="str">
        <f>VLOOKUP(A7,'BSE ALL CAP'!$B$4:$Y$1038,3,)</f>
        <v>IT Enabled Services</v>
      </c>
      <c r="E7" s="101">
        <f ca="1">IFERROR(__xludf.DUMMYFUNCTION("GOOGLEFINANCE(""bom:""&amp;A7,""PRICE"")"),3214.6)</f>
        <v>3214.6</v>
      </c>
      <c r="F7" s="112">
        <f ca="1">IFERROR(__xludf.DUMMYFUNCTION("GOOGLEFINANCE(""BOM:""&amp;A7,""MARKETCAP"")/10000000"),18300.737766)</f>
        <v>18300.737765999998</v>
      </c>
      <c r="G7" s="95">
        <f t="shared" ca="1" si="0"/>
        <v>8.7654352063166643E-2</v>
      </c>
      <c r="H7" s="101">
        <f>VLOOKUP(A7,'BSE ALL CAP'!$B$4:$Y$1038,7,)</f>
        <v>1409</v>
      </c>
      <c r="I7" s="101">
        <f>VLOOKUP(A7,'BSE ALL CAP'!$B$4:$Y$1038,8,)</f>
        <v>734</v>
      </c>
      <c r="J7" s="101">
        <f>VLOOKUP(A7,'BSE ALL CAP'!$B$4:$Y$1038,9,)</f>
        <v>135</v>
      </c>
      <c r="K7" s="101">
        <f>VLOOKUP(A7,'BSE ALL CAP'!$B$4:$Y$1038,10,)</f>
        <v>71</v>
      </c>
      <c r="L7" s="101">
        <f>VLOOKUP(A7,'BSE ALL CAP'!$B$4:$Y$1038,11,)</f>
        <v>804</v>
      </c>
      <c r="M7" s="101">
        <f>VLOOKUP(A7,'BSE ALL CAP'!$B$4:$Y$1038,12,)</f>
        <v>333</v>
      </c>
      <c r="N7" s="101">
        <f>VLOOKUP(A7,'BSE ALL CAP'!$B$4:$Y$1038,13,)</f>
        <v>73</v>
      </c>
      <c r="O7" s="101">
        <f>VLOOKUP(A7,'BSE ALL CAP'!$B$4:$Y$1038,14,)</f>
        <v>29</v>
      </c>
      <c r="P7" s="95">
        <f>VLOOKUP(A7,'BSE ALL CAP'!$B$4:$Y$1038,15,)</f>
        <v>9.5812633073101491E-2</v>
      </c>
      <c r="Q7" s="95">
        <f>VLOOKUP(A7,'BSE ALL CAP'!$B$4:$Y$1038,16,)</f>
        <v>9.6730245231607628E-2</v>
      </c>
      <c r="R7" s="95">
        <f>VLOOKUP(A7,'BSE ALL CAP'!$B$4:$Y$1038,17,)</f>
        <v>-9.1761215850613698E-4</v>
      </c>
      <c r="S7" s="95">
        <f>VLOOKUP(A7,'BSE ALL CAP'!$B$4:$Y$1038,18,)</f>
        <v>9.0796019900497515E-2</v>
      </c>
      <c r="T7" s="95">
        <f>VLOOKUP(A7,'BSE ALL CAP'!$B$4:$Y$1038,19,)</f>
        <v>8.7087087087087081E-2</v>
      </c>
      <c r="U7" s="95">
        <f>VLOOKUP(A7,'BSE ALL CAP'!$B$4:$Y$1038,20,)</f>
        <v>3.7089328134104343E-3</v>
      </c>
      <c r="V7" s="95">
        <f>VLOOKUP(A7,'BSE ALL CAP'!$B$4:$Y$1038,21,)</f>
        <v>0.9196185286103542</v>
      </c>
      <c r="W7" s="95">
        <f>VLOOKUP(A7,'BSE ALL CAP'!$B$4:$Y$1038,22,)</f>
        <v>0.90140845070422526</v>
      </c>
      <c r="X7" s="95">
        <f>VLOOKUP(A7,'BSE ALL CAP'!$B$4:$Y$1038,23,)</f>
        <v>1.4144144144144146</v>
      </c>
      <c r="Y7" s="95">
        <f>VLOOKUP(A7,'BSE ALL CAP'!$B$4:$Y$1038,24,)</f>
        <v>1.5172413793103448</v>
      </c>
    </row>
    <row r="8" spans="1:25" ht="15.75" customHeight="1">
      <c r="A8" s="99">
        <v>532175</v>
      </c>
      <c r="B8" s="98" t="s">
        <v>3601</v>
      </c>
      <c r="C8" s="101" t="str">
        <f>VLOOKUP(A8,'BSE ALL CAP'!$B$4:$Y$1038,2,)</f>
        <v>Information Technology</v>
      </c>
      <c r="D8" s="101" t="str">
        <f>VLOOKUP(A8,'BSE ALL CAP'!$B$4:$Y$1038,3,)</f>
        <v>IT Enabled Services</v>
      </c>
      <c r="E8" s="101">
        <f ca="1">IFERROR(__xludf.DUMMYFUNCTION("GOOGLEFINANCE(""bom:""&amp;A8,""PRICE"")"),812.1)</f>
        <v>812.1</v>
      </c>
      <c r="F8" s="112">
        <f ca="1">IFERROR(__xludf.DUMMYFUNCTION("GOOGLEFINANCE(""BOM:""&amp;A8,""MARKETCAP"")/10000000"),8969.4417201)</f>
        <v>8969.4417200999997</v>
      </c>
      <c r="G8" s="95">
        <f t="shared" ca="1" si="0"/>
        <v>4.2960596036972928E-2</v>
      </c>
      <c r="H8" s="101">
        <f>VLOOKUP(A8,'BSE ALL CAP'!$B$4:$Y$1038,7,)</f>
        <v>5341</v>
      </c>
      <c r="I8" s="101">
        <f>VLOOKUP(A8,'BSE ALL CAP'!$B$4:$Y$1038,8,)</f>
        <v>5451</v>
      </c>
      <c r="J8" s="101">
        <f>VLOOKUP(A8,'BSE ALL CAP'!$B$4:$Y$1038,9,)</f>
        <v>397</v>
      </c>
      <c r="K8" s="101">
        <f>VLOOKUP(A8,'BSE ALL CAP'!$B$4:$Y$1038,10,)</f>
        <v>461</v>
      </c>
      <c r="L8" s="101">
        <f>VLOOKUP(A8,'BSE ALL CAP'!$B$4:$Y$1038,11,)</f>
        <v>1848</v>
      </c>
      <c r="M8" s="101">
        <f>VLOOKUP(A8,'BSE ALL CAP'!$B$4:$Y$1038,12,)</f>
        <v>1926</v>
      </c>
      <c r="N8" s="101">
        <f>VLOOKUP(A8,'BSE ALL CAP'!$B$4:$Y$1038,13,)</f>
        <v>97</v>
      </c>
      <c r="O8" s="101">
        <f>VLOOKUP(A8,'BSE ALL CAP'!$B$4:$Y$1038,14,)</f>
        <v>127</v>
      </c>
      <c r="P8" s="95">
        <f>VLOOKUP(A8,'BSE ALL CAP'!$B$4:$Y$1038,15,)</f>
        <v>7.4330649691069089E-2</v>
      </c>
      <c r="Q8" s="95">
        <f>VLOOKUP(A8,'BSE ALL CAP'!$B$4:$Y$1038,16,)</f>
        <v>8.4571638231517157E-2</v>
      </c>
      <c r="R8" s="95">
        <f>VLOOKUP(A8,'BSE ALL CAP'!$B$4:$Y$1038,17,)</f>
        <v>-1.0240988540448068E-2</v>
      </c>
      <c r="S8" s="95">
        <f>VLOOKUP(A8,'BSE ALL CAP'!$B$4:$Y$1038,18,)</f>
        <v>5.2489177489177488E-2</v>
      </c>
      <c r="T8" s="95">
        <f>VLOOKUP(A8,'BSE ALL CAP'!$B$4:$Y$1038,19,)</f>
        <v>6.5939771547248185E-2</v>
      </c>
      <c r="U8" s="95">
        <f>VLOOKUP(A8,'BSE ALL CAP'!$B$4:$Y$1038,20,)</f>
        <v>-1.3450594058070697E-2</v>
      </c>
      <c r="V8" s="95">
        <f>VLOOKUP(A8,'BSE ALL CAP'!$B$4:$Y$1038,21,)</f>
        <v>-2.0179783525958506E-2</v>
      </c>
      <c r="W8" s="95">
        <f>VLOOKUP(A8,'BSE ALL CAP'!$B$4:$Y$1038,22,)</f>
        <v>-0.13882863340563989</v>
      </c>
      <c r="X8" s="95">
        <f>VLOOKUP(A8,'BSE ALL CAP'!$B$4:$Y$1038,23,)</f>
        <v>-4.0498442367601251E-2</v>
      </c>
      <c r="Y8" s="95">
        <f>VLOOKUP(A8,'BSE ALL CAP'!$B$4:$Y$1038,24,)</f>
        <v>-0.23622047244094491</v>
      </c>
    </row>
    <row r="9" spans="1:25" ht="15.75" customHeight="1">
      <c r="A9" s="99">
        <v>500463</v>
      </c>
      <c r="B9" s="98" t="s">
        <v>3602</v>
      </c>
      <c r="C9" s="101" t="str">
        <f>VLOOKUP(A9,'BSE ALL CAP'!$B$4:$Y$1038,2,)</f>
        <v>Information Technology</v>
      </c>
      <c r="D9" s="101" t="str">
        <f>VLOOKUP(A9,'BSE ALL CAP'!$B$4:$Y$1038,3,)</f>
        <v>IT Enabled Services</v>
      </c>
      <c r="E9" s="101">
        <f ca="1">IFERROR(__xludf.DUMMYFUNCTION("GOOGLEFINANCE(""bom:""&amp;A9,""PRICE"")"),475.95)</f>
        <v>475.95</v>
      </c>
      <c r="F9" s="112">
        <f ca="1">IFERROR(__xludf.DUMMYFUNCTION("GOOGLEFINANCE(""BOM:""&amp;A9,""MARKETCAP"")/10000000"),8437.2344403)</f>
        <v>8437.2344403000006</v>
      </c>
      <c r="G9" s="95">
        <f t="shared" ca="1" si="0"/>
        <v>4.041150294189353E-2</v>
      </c>
      <c r="H9" s="101">
        <f>VLOOKUP(A9,'BSE ALL CAP'!$B$4:$Y$1038,7,)</f>
        <v>4631</v>
      </c>
      <c r="I9" s="101">
        <f>VLOOKUP(A9,'BSE ALL CAP'!$B$4:$Y$1038,8,)</f>
        <v>4422</v>
      </c>
      <c r="J9" s="101">
        <f>VLOOKUP(A9,'BSE ALL CAP'!$B$4:$Y$1038,9,)</f>
        <v>153</v>
      </c>
      <c r="K9" s="101">
        <f>VLOOKUP(A9,'BSE ALL CAP'!$B$4:$Y$1038,10,)</f>
        <v>144</v>
      </c>
      <c r="L9" s="101">
        <f>VLOOKUP(A9,'BSE ALL CAP'!$B$4:$Y$1038,11,)</f>
        <v>1659</v>
      </c>
      <c r="M9" s="101">
        <f>VLOOKUP(A9,'BSE ALL CAP'!$B$4:$Y$1038,12,)</f>
        <v>1502</v>
      </c>
      <c r="N9" s="101">
        <f>VLOOKUP(A9,'BSE ALL CAP'!$B$4:$Y$1038,13,)</f>
        <v>50</v>
      </c>
      <c r="O9" s="101">
        <f>VLOOKUP(A9,'BSE ALL CAP'!$B$4:$Y$1038,14,)</f>
        <v>56</v>
      </c>
      <c r="P9" s="95">
        <f>VLOOKUP(A9,'BSE ALL CAP'!$B$4:$Y$1038,15,)</f>
        <v>3.3038220686676743E-2</v>
      </c>
      <c r="Q9" s="95">
        <f>VLOOKUP(A9,'BSE ALL CAP'!$B$4:$Y$1038,16,)</f>
        <v>3.2564450474898234E-2</v>
      </c>
      <c r="R9" s="95">
        <f>VLOOKUP(A9,'BSE ALL CAP'!$B$4:$Y$1038,17,)</f>
        <v>4.7377021177850975E-4</v>
      </c>
      <c r="S9" s="95">
        <f>VLOOKUP(A9,'BSE ALL CAP'!$B$4:$Y$1038,18,)</f>
        <v>3.0138637733574444E-2</v>
      </c>
      <c r="T9" s="95">
        <f>VLOOKUP(A9,'BSE ALL CAP'!$B$4:$Y$1038,19,)</f>
        <v>3.7283621837549935E-2</v>
      </c>
      <c r="U9" s="95">
        <f>VLOOKUP(A9,'BSE ALL CAP'!$B$4:$Y$1038,20,)</f>
        <v>-7.1449841039754915E-3</v>
      </c>
      <c r="V9" s="95">
        <f>VLOOKUP(A9,'BSE ALL CAP'!$B$4:$Y$1038,21,)</f>
        <v>4.7263681592039752E-2</v>
      </c>
      <c r="W9" s="95">
        <f>VLOOKUP(A9,'BSE ALL CAP'!$B$4:$Y$1038,22,)</f>
        <v>6.25E-2</v>
      </c>
      <c r="X9" s="95">
        <f>VLOOKUP(A9,'BSE ALL CAP'!$B$4:$Y$1038,23,)</f>
        <v>0.10452729693741669</v>
      </c>
      <c r="Y9" s="95">
        <f>VLOOKUP(A9,'BSE ALL CAP'!$B$4:$Y$1038,24,)</f>
        <v>-0.1071428571428571</v>
      </c>
    </row>
    <row r="10" spans="1:25" ht="15.75" customHeight="1">
      <c r="A10" s="99">
        <v>544679</v>
      </c>
      <c r="B10" s="98" t="s">
        <v>3603</v>
      </c>
      <c r="C10" s="101" t="e">
        <f>VLOOKUP(A10,'BSE ALL CAP'!$B$4:$Y$1038,2,)</f>
        <v>#N/A</v>
      </c>
      <c r="D10" s="101" t="e">
        <f>VLOOKUP(A10,'BSE ALL CAP'!$B$4:$Y$1038,3,)</f>
        <v>#N/A</v>
      </c>
      <c r="E10" s="101">
        <f ca="1">IFERROR(__xludf.DUMMYFUNCTION("GOOGLEFINANCE(""bom:""&amp;A10,""PRICE"")"),316.35)</f>
        <v>316.35000000000002</v>
      </c>
      <c r="F10" s="112">
        <f ca="1">IFERROR(__xludf.DUMMYFUNCTION("GOOGLEFINANCE(""BOM:""&amp;A10,""MARKETCAP"")/10000000"),6849.289706)</f>
        <v>6849.2897059999996</v>
      </c>
      <c r="G10" s="95">
        <f t="shared" ca="1" si="0"/>
        <v>3.2805784059030882E-2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</row>
    <row r="11" spans="1:25" ht="15.75" customHeight="1">
      <c r="A11" s="99">
        <v>532528</v>
      </c>
      <c r="B11" s="98" t="s">
        <v>3604</v>
      </c>
      <c r="C11" s="101" t="str">
        <f>VLOOKUP(A11,'BSE ALL CAP'!$B$4:$Y$1038,2,)</f>
        <v>Information Technology</v>
      </c>
      <c r="D11" s="101" t="str">
        <f>VLOOKUP(A11,'BSE ALL CAP'!$B$4:$Y$1038,3,)</f>
        <v>IT Enabled Services</v>
      </c>
      <c r="E11" s="101">
        <f ca="1">IFERROR(__xludf.DUMMYFUNCTION("GOOGLEFINANCE(""bom:""&amp;A11,""PRICE"")"),700.85)</f>
        <v>700.85</v>
      </c>
      <c r="F11" s="112">
        <f ca="1">IFERROR(__xludf.DUMMYFUNCTION("GOOGLEFINANCE(""BOM:""&amp;A11,""MARKETCAP"")/10000000"),4156.9523365)</f>
        <v>4156.9523364999995</v>
      </c>
      <c r="G11" s="95">
        <f t="shared" ca="1" si="0"/>
        <v>1.9910397508144599E-2</v>
      </c>
      <c r="H11" s="101">
        <f>VLOOKUP(A11,'BSE ALL CAP'!$B$4:$Y$1038,7,)</f>
        <v>1467</v>
      </c>
      <c r="I11" s="101">
        <f>VLOOKUP(A11,'BSE ALL CAP'!$B$4:$Y$1038,8,)</f>
        <v>1226</v>
      </c>
      <c r="J11" s="101">
        <f>VLOOKUP(A11,'BSE ALL CAP'!$B$4:$Y$1038,9,)</f>
        <v>150</v>
      </c>
      <c r="K11" s="101">
        <f>VLOOKUP(A11,'BSE ALL CAP'!$B$4:$Y$1038,10,)</f>
        <v>160</v>
      </c>
      <c r="L11" s="101">
        <f>VLOOKUP(A11,'BSE ALL CAP'!$B$4:$Y$1038,11,)</f>
        <v>510</v>
      </c>
      <c r="M11" s="101">
        <f>VLOOKUP(A11,'BSE ALL CAP'!$B$4:$Y$1038,12,)</f>
        <v>425</v>
      </c>
      <c r="N11" s="101">
        <f>VLOOKUP(A11,'BSE ALL CAP'!$B$4:$Y$1038,13,)</f>
        <v>36</v>
      </c>
      <c r="O11" s="101">
        <f>VLOOKUP(A11,'BSE ALL CAP'!$B$4:$Y$1038,14,)</f>
        <v>74</v>
      </c>
      <c r="P11" s="95">
        <f>VLOOKUP(A11,'BSE ALL CAP'!$B$4:$Y$1038,15,)</f>
        <v>0.10224948875255624</v>
      </c>
      <c r="Q11" s="95">
        <f>VLOOKUP(A11,'BSE ALL CAP'!$B$4:$Y$1038,16,)</f>
        <v>0.13050570962479607</v>
      </c>
      <c r="R11" s="95">
        <f>VLOOKUP(A11,'BSE ALL CAP'!$B$4:$Y$1038,17,)</f>
        <v>-2.8256220872239834E-2</v>
      </c>
      <c r="S11" s="95">
        <f>VLOOKUP(A11,'BSE ALL CAP'!$B$4:$Y$1038,18,)</f>
        <v>7.0588235294117646E-2</v>
      </c>
      <c r="T11" s="95">
        <f>VLOOKUP(A11,'BSE ALL CAP'!$B$4:$Y$1038,19,)</f>
        <v>0.17411764705882352</v>
      </c>
      <c r="U11" s="95">
        <f>VLOOKUP(A11,'BSE ALL CAP'!$B$4:$Y$1038,20,)</f>
        <v>-0.10352941176470587</v>
      </c>
      <c r="V11" s="95">
        <f>VLOOKUP(A11,'BSE ALL CAP'!$B$4:$Y$1038,21,)</f>
        <v>0.19657422512234901</v>
      </c>
      <c r="W11" s="95">
        <f>VLOOKUP(A11,'BSE ALL CAP'!$B$4:$Y$1038,22,)</f>
        <v>-6.25E-2</v>
      </c>
      <c r="X11" s="95">
        <f>VLOOKUP(A11,'BSE ALL CAP'!$B$4:$Y$1038,23,)</f>
        <v>0.19999999999999996</v>
      </c>
      <c r="Y11" s="95">
        <f>VLOOKUP(A11,'BSE ALL CAP'!$B$4:$Y$1038,24,)</f>
        <v>-0.51351351351351349</v>
      </c>
    </row>
    <row r="12" spans="1:25" ht="15.75" customHeight="1">
      <c r="A12" s="99">
        <v>543533</v>
      </c>
      <c r="B12" s="98" t="s">
        <v>3605</v>
      </c>
      <c r="C12" s="101" t="str">
        <f>VLOOKUP(A12,'BSE ALL CAP'!$B$4:$Y$1038,2,)</f>
        <v>Information Technology</v>
      </c>
      <c r="D12" s="101" t="str">
        <f>VLOOKUP(A12,'BSE ALL CAP'!$B$4:$Y$1038,3,)</f>
        <v>IT Enabled Services</v>
      </c>
      <c r="E12" s="101">
        <f ca="1">IFERROR(__xludf.DUMMYFUNCTION("GOOGLEFINANCE(""bom:""&amp;A12,""PRICE"")"),422.45)</f>
        <v>422.45</v>
      </c>
      <c r="F12" s="112">
        <f ca="1">IFERROR(__xludf.DUMMYFUNCTION("GOOGLEFINANCE(""BOM:""&amp;A12,""MARKETCAP"")/10000000"),3460.1208519)</f>
        <v>3460.1208519000002</v>
      </c>
      <c r="G12" s="95">
        <f t="shared" ca="1" si="0"/>
        <v>1.6572810080751076E-2</v>
      </c>
      <c r="H12" s="101">
        <f>VLOOKUP(A12,'BSE ALL CAP'!$B$4:$Y$1038,7,)</f>
        <v>516</v>
      </c>
      <c r="I12" s="101">
        <f>VLOOKUP(A12,'BSE ALL CAP'!$B$4:$Y$1038,8,)</f>
        <v>378</v>
      </c>
      <c r="J12" s="101">
        <f>VLOOKUP(A12,'BSE ALL CAP'!$B$4:$Y$1038,9,)</f>
        <v>80</v>
      </c>
      <c r="K12" s="101">
        <f>VLOOKUP(A12,'BSE ALL CAP'!$B$4:$Y$1038,10,)</f>
        <v>62</v>
      </c>
      <c r="L12" s="101">
        <f>VLOOKUP(A12,'BSE ALL CAP'!$B$4:$Y$1038,11,)</f>
        <v>191</v>
      </c>
      <c r="M12" s="101">
        <f>VLOOKUP(A12,'BSE ALL CAP'!$B$4:$Y$1038,12,)</f>
        <v>140</v>
      </c>
      <c r="N12" s="101">
        <f>VLOOKUP(A12,'BSE ALL CAP'!$B$4:$Y$1038,13,)</f>
        <v>28</v>
      </c>
      <c r="O12" s="101">
        <f>VLOOKUP(A12,'BSE ALL CAP'!$B$4:$Y$1038,14,)</f>
        <v>22</v>
      </c>
      <c r="P12" s="95">
        <f>VLOOKUP(A12,'BSE ALL CAP'!$B$4:$Y$1038,15,)</f>
        <v>0.15503875968992248</v>
      </c>
      <c r="Q12" s="95">
        <f>VLOOKUP(A12,'BSE ALL CAP'!$B$4:$Y$1038,16,)</f>
        <v>0.16402116402116401</v>
      </c>
      <c r="R12" s="95">
        <f>VLOOKUP(A12,'BSE ALL CAP'!$B$4:$Y$1038,17,)</f>
        <v>-8.9824043312415336E-3</v>
      </c>
      <c r="S12" s="95">
        <f>VLOOKUP(A12,'BSE ALL CAP'!$B$4:$Y$1038,18,)</f>
        <v>0.14659685863874344</v>
      </c>
      <c r="T12" s="95">
        <f>VLOOKUP(A12,'BSE ALL CAP'!$B$4:$Y$1038,19,)</f>
        <v>0.15714285714285714</v>
      </c>
      <c r="U12" s="95">
        <f>VLOOKUP(A12,'BSE ALL CAP'!$B$4:$Y$1038,20,)</f>
        <v>-1.0545998504113696E-2</v>
      </c>
      <c r="V12" s="95">
        <f>VLOOKUP(A12,'BSE ALL CAP'!$B$4:$Y$1038,21,)</f>
        <v>0.36507936507936511</v>
      </c>
      <c r="W12" s="95">
        <f>VLOOKUP(A12,'BSE ALL CAP'!$B$4:$Y$1038,22,)</f>
        <v>0.29032258064516125</v>
      </c>
      <c r="X12" s="95">
        <f>VLOOKUP(A12,'BSE ALL CAP'!$B$4:$Y$1038,23,)</f>
        <v>0.36428571428571432</v>
      </c>
      <c r="Y12" s="95">
        <f>VLOOKUP(A12,'BSE ALL CAP'!$B$4:$Y$1038,24,)</f>
        <v>0.27272727272727271</v>
      </c>
    </row>
    <row r="13" spans="1:25" ht="15.75" customHeight="1">
      <c r="A13" s="99">
        <v>534758</v>
      </c>
      <c r="B13" s="98" t="s">
        <v>3606</v>
      </c>
      <c r="C13" s="101" t="str">
        <f>VLOOKUP(A13,'BSE ALL CAP'!$B$4:$Y$1038,2,)</f>
        <v>Information Technology</v>
      </c>
      <c r="D13" s="101" t="str">
        <f>VLOOKUP(A13,'BSE ALL CAP'!$B$4:$Y$1038,3,)</f>
        <v>IT Enabled Services</v>
      </c>
      <c r="E13" s="101">
        <f ca="1">IFERROR(__xludf.DUMMYFUNCTION("GOOGLEFINANCE(""bom:""&amp;A13,""PRICE"")"),1201.1)</f>
        <v>1201.0999999999999</v>
      </c>
      <c r="F13" s="112">
        <f ca="1">IFERROR(__xludf.DUMMYFUNCTION("GOOGLEFINANCE(""BOM:""&amp;A13,""MARKETCAP"")/10000000"),3299.8492077)</f>
        <v>3299.8492077000001</v>
      </c>
      <c r="G13" s="95">
        <f t="shared" ca="1" si="0"/>
        <v>1.5805163043452426E-2</v>
      </c>
      <c r="H13" s="101">
        <f>VLOOKUP(A13,'BSE ALL CAP'!$B$4:$Y$1038,7,)</f>
        <v>1680</v>
      </c>
      <c r="I13" s="101">
        <f>VLOOKUP(A13,'BSE ALL CAP'!$B$4:$Y$1038,8,)</f>
        <v>1484</v>
      </c>
      <c r="J13" s="101">
        <f>VLOOKUP(A13,'BSE ALL CAP'!$B$4:$Y$1038,9,)</f>
        <v>228</v>
      </c>
      <c r="K13" s="101">
        <f>VLOOKUP(A13,'BSE ALL CAP'!$B$4:$Y$1038,10,)</f>
        <v>127</v>
      </c>
      <c r="L13" s="101">
        <f>VLOOKUP(A13,'BSE ALL CAP'!$B$4:$Y$1038,11,)</f>
        <v>579</v>
      </c>
      <c r="M13" s="101">
        <f>VLOOKUP(A13,'BSE ALL CAP'!$B$4:$Y$1038,12,)</f>
        <v>516</v>
      </c>
      <c r="N13" s="101">
        <f>VLOOKUP(A13,'BSE ALL CAP'!$B$4:$Y$1038,13,)</f>
        <v>80</v>
      </c>
      <c r="O13" s="101">
        <f>VLOOKUP(A13,'BSE ALL CAP'!$B$4:$Y$1038,14,)</f>
        <v>63</v>
      </c>
      <c r="P13" s="95">
        <f>VLOOKUP(A13,'BSE ALL CAP'!$B$4:$Y$1038,15,)</f>
        <v>0.1357142857142857</v>
      </c>
      <c r="Q13" s="95">
        <f>VLOOKUP(A13,'BSE ALL CAP'!$B$4:$Y$1038,16,)</f>
        <v>8.557951482479785E-2</v>
      </c>
      <c r="R13" s="95">
        <f>VLOOKUP(A13,'BSE ALL CAP'!$B$4:$Y$1038,17,)</f>
        <v>5.0134770889487854E-2</v>
      </c>
      <c r="S13" s="95">
        <f>VLOOKUP(A13,'BSE ALL CAP'!$B$4:$Y$1038,18,)</f>
        <v>0.1381692573402418</v>
      </c>
      <c r="T13" s="95">
        <f>VLOOKUP(A13,'BSE ALL CAP'!$B$4:$Y$1038,19,)</f>
        <v>0.12209302325581395</v>
      </c>
      <c r="U13" s="95">
        <f>VLOOKUP(A13,'BSE ALL CAP'!$B$4:$Y$1038,20,)</f>
        <v>1.6076234084427848E-2</v>
      </c>
      <c r="V13" s="95">
        <f>VLOOKUP(A13,'BSE ALL CAP'!$B$4:$Y$1038,21,)</f>
        <v>0.13207547169811318</v>
      </c>
      <c r="W13" s="95">
        <f>VLOOKUP(A13,'BSE ALL CAP'!$B$4:$Y$1038,22,)</f>
        <v>0.79527559055118102</v>
      </c>
      <c r="X13" s="95">
        <f>VLOOKUP(A13,'BSE ALL CAP'!$B$4:$Y$1038,23,)</f>
        <v>0.12209302325581395</v>
      </c>
      <c r="Y13" s="95">
        <f>VLOOKUP(A13,'BSE ALL CAP'!$B$4:$Y$1038,24,)</f>
        <v>0.26984126984126977</v>
      </c>
    </row>
    <row r="14" spans="1:25" ht="15.75" customHeight="1">
      <c r="A14" s="99">
        <v>532735</v>
      </c>
      <c r="B14" s="98" t="s">
        <v>3607</v>
      </c>
      <c r="C14" s="101" t="str">
        <f>VLOOKUP(A14,'BSE ALL CAP'!$B$4:$Y$1038,2,)</f>
        <v>Information Technology</v>
      </c>
      <c r="D14" s="101" t="str">
        <f>VLOOKUP(A14,'BSE ALL CAP'!$B$4:$Y$1038,3,)</f>
        <v>IT Enabled Services</v>
      </c>
      <c r="E14" s="101">
        <f ca="1">IFERROR(__xludf.DUMMYFUNCTION("GOOGLEFINANCE(""bom:""&amp;A14,""PRICE"")"),262.85)</f>
        <v>262.85000000000002</v>
      </c>
      <c r="F14" s="112">
        <f ca="1">IFERROR(__xludf.DUMMYFUNCTION("GOOGLEFINANCE(""BOM:""&amp;A14,""MARKETCAP"")/10000000"),3110.2710977)</f>
        <v>3110.2710977000002</v>
      </c>
      <c r="G14" s="95">
        <f t="shared" ca="1" si="0"/>
        <v>1.4897147934450525E-2</v>
      </c>
      <c r="H14" s="101">
        <f>VLOOKUP(A14,'BSE ALL CAP'!$B$4:$Y$1038,7,)</f>
        <v>1958</v>
      </c>
      <c r="I14" s="101">
        <f>VLOOKUP(A14,'BSE ALL CAP'!$B$4:$Y$1038,8,)</f>
        <v>1741</v>
      </c>
      <c r="J14" s="101">
        <f>VLOOKUP(A14,'BSE ALL CAP'!$B$4:$Y$1038,9,)</f>
        <v>186</v>
      </c>
      <c r="K14" s="101">
        <f>VLOOKUP(A14,'BSE ALL CAP'!$B$4:$Y$1038,10,)</f>
        <v>131</v>
      </c>
      <c r="L14" s="101">
        <f>VLOOKUP(A14,'BSE ALL CAP'!$B$4:$Y$1038,11,)</f>
        <v>555</v>
      </c>
      <c r="M14" s="101">
        <f>VLOOKUP(A14,'BSE ALL CAP'!$B$4:$Y$1038,12,)</f>
        <v>448</v>
      </c>
      <c r="N14" s="101">
        <f>VLOOKUP(A14,'BSE ALL CAP'!$B$4:$Y$1038,13,)</f>
        <v>36</v>
      </c>
      <c r="O14" s="101">
        <f>VLOOKUP(A14,'BSE ALL CAP'!$B$4:$Y$1038,14,)</f>
        <v>38</v>
      </c>
      <c r="P14" s="95">
        <f>VLOOKUP(A14,'BSE ALL CAP'!$B$4:$Y$1038,15,)</f>
        <v>9.4994892747701731E-2</v>
      </c>
      <c r="Q14" s="95">
        <f>VLOOKUP(A14,'BSE ALL CAP'!$B$4:$Y$1038,16,)</f>
        <v>7.5244112578977604E-2</v>
      </c>
      <c r="R14" s="95">
        <f>VLOOKUP(A14,'BSE ALL CAP'!$B$4:$Y$1038,17,)</f>
        <v>1.9750780168724127E-2</v>
      </c>
      <c r="S14" s="95">
        <f>VLOOKUP(A14,'BSE ALL CAP'!$B$4:$Y$1038,18,)</f>
        <v>6.4864864864864868E-2</v>
      </c>
      <c r="T14" s="95">
        <f>VLOOKUP(A14,'BSE ALL CAP'!$B$4:$Y$1038,19,)</f>
        <v>8.4821428571428575E-2</v>
      </c>
      <c r="U14" s="95">
        <f>VLOOKUP(A14,'BSE ALL CAP'!$B$4:$Y$1038,20,)</f>
        <v>-1.9956563706563707E-2</v>
      </c>
      <c r="V14" s="95">
        <f>VLOOKUP(A14,'BSE ALL CAP'!$B$4:$Y$1038,21,)</f>
        <v>0.12464101091326829</v>
      </c>
      <c r="W14" s="95">
        <f>VLOOKUP(A14,'BSE ALL CAP'!$B$4:$Y$1038,22,)</f>
        <v>0.41984732824427473</v>
      </c>
      <c r="X14" s="95">
        <f>VLOOKUP(A14,'BSE ALL CAP'!$B$4:$Y$1038,23,)</f>
        <v>0.23883928571428581</v>
      </c>
      <c r="Y14" s="95">
        <f>VLOOKUP(A14,'BSE ALL CAP'!$B$4:$Y$1038,24,)</f>
        <v>-5.2631578947368474E-2</v>
      </c>
    </row>
    <row r="15" spans="1:25" ht="15.75" customHeight="1">
      <c r="A15" s="99">
        <v>543985</v>
      </c>
      <c r="B15" s="98" t="s">
        <v>3608</v>
      </c>
      <c r="C15" s="101" t="str">
        <f>VLOOKUP(A15,'BSE ALL CAP'!$B$4:$Y$1038,2,)</f>
        <v>Information Technology</v>
      </c>
      <c r="D15" s="101" t="str">
        <f>VLOOKUP(A15,'BSE ALL CAP'!$B$4:$Y$1038,3,)</f>
        <v>IT Enabled Services</v>
      </c>
      <c r="E15" s="101">
        <f ca="1">IFERROR(__xludf.DUMMYFUNCTION("GOOGLEFINANCE(""bom:""&amp;A15,""PRICE"")"),225.35)</f>
        <v>225.35</v>
      </c>
      <c r="F15" s="112">
        <f ca="1">IFERROR(__xludf.DUMMYFUNCTION("GOOGLEFINANCE(""BOM:""&amp;A15,""MARKETCAP"")/10000000"),3034.5916624)</f>
        <v>3034.5916624000001</v>
      </c>
      <c r="G15" s="95">
        <f t="shared" ca="1" si="0"/>
        <v>1.4534669003243055E-2</v>
      </c>
      <c r="H15" s="101">
        <f>VLOOKUP(A15,'BSE ALL CAP'!$B$4:$Y$1038,7,)</f>
        <v>1289</v>
      </c>
      <c r="I15" s="101">
        <f>VLOOKUP(A15,'BSE ALL CAP'!$B$4:$Y$1038,8,)</f>
        <v>891</v>
      </c>
      <c r="J15" s="101">
        <f>VLOOKUP(A15,'BSE ALL CAP'!$B$4:$Y$1038,9,)</f>
        <v>98</v>
      </c>
      <c r="K15" s="101">
        <f>VLOOKUP(A15,'BSE ALL CAP'!$B$4:$Y$1038,10,)</f>
        <v>56</v>
      </c>
      <c r="L15" s="101">
        <f>VLOOKUP(A15,'BSE ALL CAP'!$B$4:$Y$1038,11,)</f>
        <v>525</v>
      </c>
      <c r="M15" s="101">
        <f>VLOOKUP(A15,'BSE ALL CAP'!$B$4:$Y$1038,12,)</f>
        <v>336</v>
      </c>
      <c r="N15" s="101">
        <f>VLOOKUP(A15,'BSE ALL CAP'!$B$4:$Y$1038,13,)</f>
        <v>37</v>
      </c>
      <c r="O15" s="101">
        <f>VLOOKUP(A15,'BSE ALL CAP'!$B$4:$Y$1038,14,)</f>
        <v>19</v>
      </c>
      <c r="P15" s="95">
        <f>VLOOKUP(A15,'BSE ALL CAP'!$B$4:$Y$1038,15,)</f>
        <v>7.6027928626842517E-2</v>
      </c>
      <c r="Q15" s="95">
        <f>VLOOKUP(A15,'BSE ALL CAP'!$B$4:$Y$1038,16,)</f>
        <v>6.2850729517396189E-2</v>
      </c>
      <c r="R15" s="95">
        <f>VLOOKUP(A15,'BSE ALL CAP'!$B$4:$Y$1038,17,)</f>
        <v>1.3177199109446328E-2</v>
      </c>
      <c r="S15" s="95">
        <f>VLOOKUP(A15,'BSE ALL CAP'!$B$4:$Y$1038,18,)</f>
        <v>7.047619047619047E-2</v>
      </c>
      <c r="T15" s="95">
        <f>VLOOKUP(A15,'BSE ALL CAP'!$B$4:$Y$1038,19,)</f>
        <v>5.6547619047619048E-2</v>
      </c>
      <c r="U15" s="95">
        <f>VLOOKUP(A15,'BSE ALL CAP'!$B$4:$Y$1038,20,)</f>
        <v>1.3928571428571422E-2</v>
      </c>
      <c r="V15" s="95">
        <f>VLOOKUP(A15,'BSE ALL CAP'!$B$4:$Y$1038,21,)</f>
        <v>0.44668911335577999</v>
      </c>
      <c r="W15" s="95">
        <f>VLOOKUP(A15,'BSE ALL CAP'!$B$4:$Y$1038,22,)</f>
        <v>0.75</v>
      </c>
      <c r="X15" s="95">
        <f>VLOOKUP(A15,'BSE ALL CAP'!$B$4:$Y$1038,23,)</f>
        <v>0.5625</v>
      </c>
      <c r="Y15" s="95">
        <f>VLOOKUP(A15,'BSE ALL CAP'!$B$4:$Y$1038,24,)</f>
        <v>0.94736842105263164</v>
      </c>
    </row>
    <row r="16" spans="1:25" ht="15.75" customHeight="1">
      <c r="A16" s="99">
        <v>544396</v>
      </c>
      <c r="B16" s="98" t="s">
        <v>3609</v>
      </c>
      <c r="C16" s="101" t="str">
        <f>VLOOKUP(A16,'BSE ALL CAP'!$B$4:$Y$1038,2,)</f>
        <v>Information Technology</v>
      </c>
      <c r="D16" s="101" t="str">
        <f>VLOOKUP(A16,'BSE ALL CAP'!$B$4:$Y$1038,3,)</f>
        <v>IT Enabled Services</v>
      </c>
      <c r="E16" s="101">
        <f ca="1">IFERROR(__xludf.DUMMYFUNCTION("GOOGLEFINANCE(""bom:""&amp;A16,""PRICE"")"),1125)</f>
        <v>1125</v>
      </c>
      <c r="F16" s="112">
        <f ca="1">IFERROR(__xludf.DUMMYFUNCTION("GOOGLEFINANCE(""BOM:""&amp;A16,""MARKETCAP"")/10000000"),2343.1961488)</f>
        <v>2343.1961488000002</v>
      </c>
      <c r="G16" s="95">
        <f t="shared" ca="1" si="0"/>
        <v>1.1223118040714046E-2</v>
      </c>
      <c r="H16" s="101">
        <f>VLOOKUP(A16,'BSE ALL CAP'!$B$4:$Y$1038,7,)</f>
        <v>132</v>
      </c>
      <c r="I16" s="101">
        <f>VLOOKUP(A16,'BSE ALL CAP'!$B$4:$Y$1038,8,)</f>
        <v>146</v>
      </c>
      <c r="J16" s="101">
        <f>VLOOKUP(A16,'BSE ALL CAP'!$B$4:$Y$1038,9,)</f>
        <v>28</v>
      </c>
      <c r="K16" s="101">
        <f>VLOOKUP(A16,'BSE ALL CAP'!$B$4:$Y$1038,10,)</f>
        <v>39</v>
      </c>
      <c r="L16" s="101">
        <f>VLOOKUP(A16,'BSE ALL CAP'!$B$4:$Y$1038,11,)</f>
        <v>52</v>
      </c>
      <c r="M16" s="101">
        <f>VLOOKUP(A16,'BSE ALL CAP'!$B$4:$Y$1038,12,)</f>
        <v>21</v>
      </c>
      <c r="N16" s="101">
        <f>VLOOKUP(A16,'BSE ALL CAP'!$B$4:$Y$1038,13,)</f>
        <v>11</v>
      </c>
      <c r="O16" s="101">
        <f>VLOOKUP(A16,'BSE ALL CAP'!$B$4:$Y$1038,14,)</f>
        <v>5</v>
      </c>
      <c r="P16" s="95">
        <f>VLOOKUP(A16,'BSE ALL CAP'!$B$4:$Y$1038,15,)</f>
        <v>0.21212121212121213</v>
      </c>
      <c r="Q16" s="95">
        <f>VLOOKUP(A16,'BSE ALL CAP'!$B$4:$Y$1038,16,)</f>
        <v>0.26712328767123289</v>
      </c>
      <c r="R16" s="95">
        <f>VLOOKUP(A16,'BSE ALL CAP'!$B$4:$Y$1038,17,)</f>
        <v>-5.5002075550020763E-2</v>
      </c>
      <c r="S16" s="95">
        <f>VLOOKUP(A16,'BSE ALL CAP'!$B$4:$Y$1038,18,)</f>
        <v>0.21153846153846154</v>
      </c>
      <c r="T16" s="95">
        <f>VLOOKUP(A16,'BSE ALL CAP'!$B$4:$Y$1038,19,)</f>
        <v>0.23809523809523808</v>
      </c>
      <c r="U16" s="95">
        <f>VLOOKUP(A16,'BSE ALL CAP'!$B$4:$Y$1038,20,)</f>
        <v>-2.6556776556776546E-2</v>
      </c>
      <c r="V16" s="95">
        <f>VLOOKUP(A16,'BSE ALL CAP'!$B$4:$Y$1038,21,)</f>
        <v>-9.589041095890416E-2</v>
      </c>
      <c r="W16" s="95">
        <f>VLOOKUP(A16,'BSE ALL CAP'!$B$4:$Y$1038,22,)</f>
        <v>-0.28205128205128205</v>
      </c>
      <c r="X16" s="95">
        <f>VLOOKUP(A16,'BSE ALL CAP'!$B$4:$Y$1038,23,)</f>
        <v>1.4761904761904763</v>
      </c>
      <c r="Y16" s="95">
        <f>VLOOKUP(A16,'BSE ALL CAP'!$B$4:$Y$1038,24,)</f>
        <v>1.2000000000000002</v>
      </c>
    </row>
    <row r="17" spans="1:25" ht="15.75" customHeight="1">
      <c r="A17" s="99">
        <v>544021</v>
      </c>
      <c r="B17" s="98" t="s">
        <v>3610</v>
      </c>
      <c r="C17" s="101" t="str">
        <f>VLOOKUP(A17,'BSE ALL CAP'!$B$4:$Y$1038,2,)</f>
        <v>Information Technology</v>
      </c>
      <c r="D17" s="101" t="str">
        <f>VLOOKUP(A17,'BSE ALL CAP'!$B$4:$Y$1038,3,)</f>
        <v>IT Enabled Services</v>
      </c>
      <c r="E17" s="101">
        <f ca="1">IFERROR(__xludf.DUMMYFUNCTION("GOOGLEFINANCE(""bom:""&amp;A17,""PRICE"")"),498)</f>
        <v>498</v>
      </c>
      <c r="F17" s="112">
        <f ca="1">IFERROR(__xludf.DUMMYFUNCTION("GOOGLEFINANCE(""BOM:""&amp;A17,""MARKETCAP"")/10000000"),2024.5404579)</f>
        <v>2024.5404579000001</v>
      </c>
      <c r="G17" s="95">
        <f t="shared" ca="1" si="0"/>
        <v>9.6968649205271193E-3</v>
      </c>
      <c r="H17" s="101">
        <f>VLOOKUP(A17,'BSE ALL CAP'!$B$4:$Y$1038,7,)</f>
        <v>690</v>
      </c>
      <c r="I17" s="101">
        <f>VLOOKUP(A17,'BSE ALL CAP'!$B$4:$Y$1038,8,)</f>
        <v>618</v>
      </c>
      <c r="J17" s="101">
        <f>VLOOKUP(A17,'BSE ALL CAP'!$B$4:$Y$1038,9,)</f>
        <v>70</v>
      </c>
      <c r="K17" s="101">
        <f>VLOOKUP(A17,'BSE ALL CAP'!$B$4:$Y$1038,10,)</f>
        <v>72</v>
      </c>
      <c r="L17" s="101">
        <f>VLOOKUP(A17,'BSE ALL CAP'!$B$4:$Y$1038,11,)</f>
        <v>229</v>
      </c>
      <c r="M17" s="101">
        <f>VLOOKUP(A17,'BSE ALL CAP'!$B$4:$Y$1038,12,)</f>
        <v>228</v>
      </c>
      <c r="N17" s="101">
        <f>VLOOKUP(A17,'BSE ALL CAP'!$B$4:$Y$1038,13,)</f>
        <v>22</v>
      </c>
      <c r="O17" s="101">
        <f>VLOOKUP(A17,'BSE ALL CAP'!$B$4:$Y$1038,14,)</f>
        <v>23</v>
      </c>
      <c r="P17" s="95">
        <f>VLOOKUP(A17,'BSE ALL CAP'!$B$4:$Y$1038,15,)</f>
        <v>0.10144927536231885</v>
      </c>
      <c r="Q17" s="95">
        <f>VLOOKUP(A17,'BSE ALL CAP'!$B$4:$Y$1038,16,)</f>
        <v>0.11650485436893204</v>
      </c>
      <c r="R17" s="95">
        <f>VLOOKUP(A17,'BSE ALL CAP'!$B$4:$Y$1038,17,)</f>
        <v>-1.5055579006613196E-2</v>
      </c>
      <c r="S17" s="95">
        <f>VLOOKUP(A17,'BSE ALL CAP'!$B$4:$Y$1038,18,)</f>
        <v>9.606986899563319E-2</v>
      </c>
      <c r="T17" s="95">
        <f>VLOOKUP(A17,'BSE ALL CAP'!$B$4:$Y$1038,19,)</f>
        <v>0.10087719298245613</v>
      </c>
      <c r="U17" s="95">
        <f>VLOOKUP(A17,'BSE ALL CAP'!$B$4:$Y$1038,20,)</f>
        <v>-4.807323986822945E-3</v>
      </c>
      <c r="V17" s="95">
        <f>VLOOKUP(A17,'BSE ALL CAP'!$B$4:$Y$1038,21,)</f>
        <v>0.11650485436893199</v>
      </c>
      <c r="W17" s="95">
        <f>VLOOKUP(A17,'BSE ALL CAP'!$B$4:$Y$1038,22,)</f>
        <v>-2.777777777777779E-2</v>
      </c>
      <c r="X17" s="95">
        <f>VLOOKUP(A17,'BSE ALL CAP'!$B$4:$Y$1038,23,)</f>
        <v>4.3859649122806044E-3</v>
      </c>
      <c r="Y17" s="95">
        <f>VLOOKUP(A17,'BSE ALL CAP'!$B$4:$Y$1038,24,)</f>
        <v>-4.3478260869565188E-2</v>
      </c>
    </row>
    <row r="18" spans="1:25" ht="15.75" customHeight="1">
      <c r="A18" s="99">
        <v>539289</v>
      </c>
      <c r="B18" s="98" t="s">
        <v>3611</v>
      </c>
      <c r="C18" s="101" t="e">
        <f>VLOOKUP(A18,'BSE ALL CAP'!$B$4:$Y$1038,2,)</f>
        <v>#N/A</v>
      </c>
      <c r="D18" s="101" t="e">
        <f>VLOOKUP(A18,'BSE ALL CAP'!$B$4:$Y$1038,3,)</f>
        <v>#N/A</v>
      </c>
      <c r="E18" s="101">
        <f ca="1">IFERROR(__xludf.DUMMYFUNCTION("GOOGLEFINANCE(""bom:""&amp;A18,""PRICE"")"),172)</f>
        <v>172</v>
      </c>
      <c r="F18" s="112">
        <f ca="1">IFERROR(__xludf.DUMMYFUNCTION("GOOGLEFINANCE(""BOM:""&amp;A18,""MARKETCAP"")/10000000"),1872.6298148)</f>
        <v>1872.6298148000001</v>
      </c>
      <c r="G18" s="95">
        <f t="shared" ca="1" si="0"/>
        <v>8.9692642542213118E-3</v>
      </c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25" ht="15.75" customHeight="1">
      <c r="A19" s="99">
        <v>532663</v>
      </c>
      <c r="B19" s="98" t="s">
        <v>3612</v>
      </c>
      <c r="C19" s="101" t="str">
        <f>VLOOKUP(A19,'BSE ALL CAP'!$B$4:$Y$1038,2,)</f>
        <v>Information Technology</v>
      </c>
      <c r="D19" s="101" t="str">
        <f>VLOOKUP(A19,'BSE ALL CAP'!$B$4:$Y$1038,3,)</f>
        <v>IT Enabled Services</v>
      </c>
      <c r="E19" s="101">
        <f ca="1">IFERROR(__xludf.DUMMYFUNCTION("GOOGLEFINANCE(""bom:""&amp;A19,""PRICE"")"),1197)</f>
        <v>1197</v>
      </c>
      <c r="F19" s="112">
        <f ca="1">IFERROR(__xludf.DUMMYFUNCTION("GOOGLEFINANCE(""BOM:""&amp;A19,""MARKETCAP"")/10000000"),1816.300616)</f>
        <v>1816.300616</v>
      </c>
      <c r="G19" s="95">
        <f t="shared" ca="1" si="0"/>
        <v>8.6994664195009837E-3</v>
      </c>
      <c r="H19" s="101">
        <f>VLOOKUP(A19,'BSE ALL CAP'!$B$4:$Y$1038,7,)</f>
        <v>779</v>
      </c>
      <c r="I19" s="101">
        <f>VLOOKUP(A19,'BSE ALL CAP'!$B$4:$Y$1038,8,)</f>
        <v>402</v>
      </c>
      <c r="J19" s="101">
        <f>VLOOKUP(A19,'BSE ALL CAP'!$B$4:$Y$1038,9,)</f>
        <v>29</v>
      </c>
      <c r="K19" s="101">
        <f>VLOOKUP(A19,'BSE ALL CAP'!$B$4:$Y$1038,10,)</f>
        <v>39</v>
      </c>
      <c r="L19" s="101">
        <f>VLOOKUP(A19,'BSE ALL CAP'!$B$4:$Y$1038,11,)</f>
        <v>250</v>
      </c>
      <c r="M19" s="101">
        <f>VLOOKUP(A19,'BSE ALL CAP'!$B$4:$Y$1038,12,)</f>
        <v>144</v>
      </c>
      <c r="N19" s="101">
        <f>VLOOKUP(A19,'BSE ALL CAP'!$B$4:$Y$1038,13,)</f>
        <v>9</v>
      </c>
      <c r="O19" s="101">
        <f>VLOOKUP(A19,'BSE ALL CAP'!$B$4:$Y$1038,14,)</f>
        <v>9</v>
      </c>
      <c r="P19" s="95">
        <f>VLOOKUP(A19,'BSE ALL CAP'!$B$4:$Y$1038,15,)</f>
        <v>3.7227214377406934E-2</v>
      </c>
      <c r="Q19" s="95">
        <f>VLOOKUP(A19,'BSE ALL CAP'!$B$4:$Y$1038,16,)</f>
        <v>9.7014925373134331E-2</v>
      </c>
      <c r="R19" s="95">
        <f>VLOOKUP(A19,'BSE ALL CAP'!$B$4:$Y$1038,17,)</f>
        <v>-5.9787710995727397E-2</v>
      </c>
      <c r="S19" s="95">
        <f>VLOOKUP(A19,'BSE ALL CAP'!$B$4:$Y$1038,18,)</f>
        <v>3.5999999999999997E-2</v>
      </c>
      <c r="T19" s="95">
        <f>VLOOKUP(A19,'BSE ALL CAP'!$B$4:$Y$1038,19,)</f>
        <v>6.25E-2</v>
      </c>
      <c r="U19" s="95">
        <f>VLOOKUP(A19,'BSE ALL CAP'!$B$4:$Y$1038,20,)</f>
        <v>-2.6500000000000003E-2</v>
      </c>
      <c r="V19" s="95">
        <f>VLOOKUP(A19,'BSE ALL CAP'!$B$4:$Y$1038,21,)</f>
        <v>0.93781094527363185</v>
      </c>
      <c r="W19" s="95">
        <f>VLOOKUP(A19,'BSE ALL CAP'!$B$4:$Y$1038,22,)</f>
        <v>-0.25641025641025639</v>
      </c>
      <c r="X19" s="95">
        <f>VLOOKUP(A19,'BSE ALL CAP'!$B$4:$Y$1038,23,)</f>
        <v>0.73611111111111116</v>
      </c>
      <c r="Y19" s="95">
        <f>VLOOKUP(A19,'BSE ALL CAP'!$B$4:$Y$1038,24,)</f>
        <v>0</v>
      </c>
    </row>
    <row r="20" spans="1:25" ht="15.75" customHeight="1">
      <c r="A20" s="99">
        <v>532368</v>
      </c>
      <c r="B20" s="98" t="s">
        <v>3613</v>
      </c>
      <c r="C20" s="101" t="e">
        <f>VLOOKUP(A20,'BSE ALL CAP'!$B$4:$Y$1038,2,)</f>
        <v>#N/A</v>
      </c>
      <c r="D20" s="101" t="e">
        <f>VLOOKUP(A20,'BSE ALL CAP'!$B$4:$Y$1038,3,)</f>
        <v>#N/A</v>
      </c>
      <c r="E20" s="101">
        <f ca="1">IFERROR(__xludf.DUMMYFUNCTION("GOOGLEFINANCE(""bom:""&amp;A20,""PRICE"")"),9.15)</f>
        <v>9.15</v>
      </c>
      <c r="F20" s="112">
        <f ca="1">IFERROR(__xludf.DUMMYFUNCTION("GOOGLEFINANCE(""BOM:""&amp;A20,""MARKETCAP"")/10000000"),1836.854187)</f>
        <v>1836.8541869999999</v>
      </c>
      <c r="G20" s="95">
        <f t="shared" ca="1" si="0"/>
        <v>8.7979110817668089E-3</v>
      </c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</row>
    <row r="21" spans="1:25" ht="15.75" customHeight="1">
      <c r="A21" s="99">
        <v>544107</v>
      </c>
      <c r="B21" s="98" t="s">
        <v>3614</v>
      </c>
      <c r="C21" s="101" t="e">
        <f>VLOOKUP(A21,'BSE ALL CAP'!$B$4:$Y$1038,2,)</f>
        <v>#N/A</v>
      </c>
      <c r="D21" s="101" t="e">
        <f>VLOOKUP(A21,'BSE ALL CAP'!$B$4:$Y$1038,3,)</f>
        <v>#N/A</v>
      </c>
      <c r="E21" s="101">
        <f ca="1">IFERROR(__xludf.DUMMYFUNCTION("GOOGLEFINANCE(""bom:""&amp;A21,""PRICE"")"),160)</f>
        <v>160</v>
      </c>
      <c r="F21" s="112">
        <f ca="1">IFERROR(__xludf.DUMMYFUNCTION("GOOGLEFINANCE(""BOM:""&amp;A21,""MARKETCAP"")/10000000"),1448.8332533)</f>
        <v>1448.8332533</v>
      </c>
      <c r="G21" s="95">
        <f t="shared" ca="1" si="0"/>
        <v>6.9394218795660609E-3</v>
      </c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</row>
    <row r="22" spans="1:25" ht="15.75" customHeight="1">
      <c r="A22" s="99">
        <v>544413</v>
      </c>
      <c r="B22" s="98" t="s">
        <v>3615</v>
      </c>
      <c r="C22" s="101" t="e">
        <f>VLOOKUP(A22,'BSE ALL CAP'!$B$4:$Y$1038,2,)</f>
        <v>#N/A</v>
      </c>
      <c r="D22" s="101" t="e">
        <f>VLOOKUP(A22,'BSE ALL CAP'!$B$4:$Y$1038,3,)</f>
        <v>#N/A</v>
      </c>
      <c r="E22" s="101">
        <f ca="1">IFERROR(__xludf.DUMMYFUNCTION("GOOGLEFINANCE(""bom:""&amp;A22,""PRICE"")"),81.64)</f>
        <v>81.64</v>
      </c>
      <c r="F22" s="112">
        <f ca="1">IFERROR(__xludf.DUMMYFUNCTION("GOOGLEFINANCE(""BOM:""&amp;A22,""MARKETCAP"")/10000000"),1215.9362652)</f>
        <v>1215.9362652</v>
      </c>
      <c r="G22" s="95">
        <f t="shared" ca="1" si="0"/>
        <v>5.8239239772194425E-3</v>
      </c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</row>
    <row r="23" spans="1:25" ht="15.75" customHeight="1">
      <c r="A23" s="99">
        <v>544235</v>
      </c>
      <c r="B23" s="98" t="s">
        <v>3616</v>
      </c>
      <c r="C23" s="101" t="e">
        <f>VLOOKUP(A23,'BSE ALL CAP'!$B$4:$Y$1038,2,)</f>
        <v>#N/A</v>
      </c>
      <c r="D23" s="101" t="e">
        <f>VLOOKUP(A23,'BSE ALL CAP'!$B$4:$Y$1038,3,)</f>
        <v>#N/A</v>
      </c>
      <c r="E23" s="101">
        <f ca="1">IFERROR(__xludf.DUMMYFUNCTION("GOOGLEFINANCE(""bom:""&amp;A23,""PRICE"")"),253.05)</f>
        <v>253.05</v>
      </c>
      <c r="F23" s="112">
        <f ca="1">IFERROR(__xludf.DUMMYFUNCTION("GOOGLEFINANCE(""BOM:""&amp;A23,""MARKETCAP"")/10000000"),1157.3419024)</f>
        <v>1157.3419024</v>
      </c>
      <c r="G23" s="95">
        <f t="shared" ca="1" si="0"/>
        <v>5.5432767720925476E-3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</row>
    <row r="24" spans="1:25" ht="15.75" customHeight="1">
      <c r="A24" s="99">
        <v>533121</v>
      </c>
      <c r="B24" s="98" t="s">
        <v>3617</v>
      </c>
      <c r="C24" s="101" t="e">
        <f>VLOOKUP(A24,'BSE ALL CAP'!$B$4:$Y$1038,2,)</f>
        <v>#N/A</v>
      </c>
      <c r="D24" s="101" t="e">
        <f>VLOOKUP(A24,'BSE ALL CAP'!$B$4:$Y$1038,3,)</f>
        <v>#N/A</v>
      </c>
      <c r="E24" s="101">
        <f ca="1">IFERROR(__xludf.DUMMYFUNCTION("GOOGLEFINANCE(""bom:""&amp;A24,""PRICE"")"),717.1)</f>
        <v>717.1</v>
      </c>
      <c r="F24" s="112">
        <f ca="1">IFERROR(__xludf.DUMMYFUNCTION("GOOGLEFINANCE(""BOM:""&amp;A24,""MARKETCAP"")/10000000"),1114.316614)</f>
        <v>1114.3166140000001</v>
      </c>
      <c r="G24" s="95">
        <f t="shared" ca="1" si="0"/>
        <v>5.3372001742386906E-3</v>
      </c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</row>
    <row r="25" spans="1:25" ht="14.4">
      <c r="A25" s="99">
        <v>532365</v>
      </c>
      <c r="B25" s="98" t="s">
        <v>3618</v>
      </c>
      <c r="C25" s="101" t="e">
        <f>VLOOKUP(A25,'BSE ALL CAP'!$B$4:$Y$1038,2,)</f>
        <v>#N/A</v>
      </c>
      <c r="D25" s="101" t="e">
        <f>VLOOKUP(A25,'BSE ALL CAP'!$B$4:$Y$1038,3,)</f>
        <v>#N/A</v>
      </c>
      <c r="E25" s="101">
        <f ca="1">IFERROR(__xludf.DUMMYFUNCTION("GOOGLEFINANCE(""bom:""&amp;A25,""PRICE"")"),883.65)</f>
        <v>883.65</v>
      </c>
      <c r="F25" s="112">
        <f ca="1">IFERROR(__xludf.DUMMYFUNCTION("GOOGLEFINANCE(""BOM:""&amp;A25,""MARKETCAP"")/10000000"),1124.5568242)</f>
        <v>1124.5568241999999</v>
      </c>
      <c r="G25" s="95">
        <f t="shared" ca="1" si="0"/>
        <v>5.3862473220394327E-3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</row>
    <row r="26" spans="1:25" ht="14.4">
      <c r="A26" s="99">
        <v>506109</v>
      </c>
      <c r="B26" s="98" t="s">
        <v>3619</v>
      </c>
      <c r="C26" s="101" t="e">
        <f>VLOOKUP(A26,'BSE ALL CAP'!$B$4:$Y$1038,2,)</f>
        <v>#N/A</v>
      </c>
      <c r="D26" s="101" t="e">
        <f>VLOOKUP(A26,'BSE ALL CAP'!$B$4:$Y$1038,3,)</f>
        <v>#N/A</v>
      </c>
      <c r="E26" s="101">
        <f ca="1">IFERROR(__xludf.DUMMYFUNCTION("GOOGLEFINANCE(""bom:""&amp;A26,""PRICE"")"),236.2)</f>
        <v>236.2</v>
      </c>
      <c r="F26" s="112">
        <f ca="1">IFERROR(__xludf.DUMMYFUNCTION("GOOGLEFINANCE(""BOM:""&amp;A26,""MARKETCAP"")/10000000"),985.0828424)</f>
        <v>985.0828424</v>
      </c>
      <c r="G26" s="95">
        <f t="shared" ca="1" si="0"/>
        <v>4.7182140623605777E-3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</row>
    <row r="27" spans="1:25" ht="14.4">
      <c r="A27" s="99">
        <v>532341</v>
      </c>
      <c r="B27" s="98" t="s">
        <v>3620</v>
      </c>
      <c r="C27" s="101" t="e">
        <f>VLOOKUP(A27,'BSE ALL CAP'!$B$4:$Y$1038,2,)</f>
        <v>#N/A</v>
      </c>
      <c r="D27" s="101" t="e">
        <f>VLOOKUP(A27,'BSE ALL CAP'!$B$4:$Y$1038,3,)</f>
        <v>#N/A</v>
      </c>
      <c r="E27" s="101">
        <f ca="1">IFERROR(__xludf.DUMMYFUNCTION("GOOGLEFINANCE(""bom:""&amp;A27,""PRICE"")"),695)</f>
        <v>695</v>
      </c>
      <c r="F27" s="112">
        <f ca="1">IFERROR(__xludf.DUMMYFUNCTION("GOOGLEFINANCE(""BOM:""&amp;A27,""MARKETCAP"")/10000000"),1039.5993453)</f>
        <v>1039.5993453000001</v>
      </c>
      <c r="G27" s="95">
        <f t="shared" ca="1" si="0"/>
        <v>4.9793296960334013E-3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544617</v>
      </c>
      <c r="B28" s="98" t="s">
        <v>3621</v>
      </c>
      <c r="C28" s="101" t="e">
        <f>VLOOKUP(A28,'BSE ALL CAP'!$B$4:$Y$1038,2,)</f>
        <v>#N/A</v>
      </c>
      <c r="D28" s="101" t="e">
        <f>VLOOKUP(A28,'BSE ALL CAP'!$B$4:$Y$1038,3,)</f>
        <v>#N/A</v>
      </c>
      <c r="E28" s="101">
        <f ca="1">IFERROR(__xludf.DUMMYFUNCTION("GOOGLEFINANCE(""bom:""&amp;A28,""PRICE"")"),76.44)</f>
        <v>76.44</v>
      </c>
      <c r="F28" s="112">
        <f ca="1">IFERROR(__xludf.DUMMYFUNCTION("GOOGLEFINANCE(""BOM:""&amp;A28,""MARKETCAP"")/10000000"),880.7386032)</f>
        <v>880.73860319999994</v>
      </c>
      <c r="G28" s="95">
        <f t="shared" ca="1" si="0"/>
        <v>4.218440403202837E-3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519602</v>
      </c>
      <c r="B29" s="98" t="s">
        <v>3622</v>
      </c>
      <c r="C29" s="101" t="e">
        <f>VLOOKUP(A29,'BSE ALL CAP'!$B$4:$Y$1038,2,)</f>
        <v>#N/A</v>
      </c>
      <c r="D29" s="101" t="e">
        <f>VLOOKUP(A29,'BSE ALL CAP'!$B$4:$Y$1038,3,)</f>
        <v>#N/A</v>
      </c>
      <c r="E29" s="101">
        <f ca="1">IFERROR(__xludf.DUMMYFUNCTION("GOOGLEFINANCE(""bom:""&amp;A29,""PRICE"")"),15.13)</f>
        <v>15.13</v>
      </c>
      <c r="F29" s="112">
        <f ca="1">IFERROR(__xludf.DUMMYFUNCTION("GOOGLEFINANCE(""BOM:""&amp;A29,""MARKETCAP"")/10000000"),806.0636864)</f>
        <v>806.06368640000005</v>
      </c>
      <c r="G29" s="95">
        <f t="shared" ca="1" si="0"/>
        <v>3.8607727762924311E-3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544406</v>
      </c>
      <c r="B30" s="98" t="s">
        <v>3623</v>
      </c>
      <c r="C30" s="101" t="e">
        <f>VLOOKUP(A30,'BSE ALL CAP'!$B$4:$Y$1038,2,)</f>
        <v>#N/A</v>
      </c>
      <c r="D30" s="101" t="e">
        <f>VLOOKUP(A30,'BSE ALL CAP'!$B$4:$Y$1038,3,)</f>
        <v>#N/A</v>
      </c>
      <c r="E30" s="101">
        <f ca="1">IFERROR(__xludf.DUMMYFUNCTION("GOOGLEFINANCE(""bom:""&amp;A30,""PRICE"")"),325)</f>
        <v>325</v>
      </c>
      <c r="F30" s="112">
        <f ca="1">IFERROR(__xludf.DUMMYFUNCTION("GOOGLEFINANCE(""BOM:""&amp;A30,""MARKETCAP"")/10000000"),652.92825)</f>
        <v>652.92825000000005</v>
      </c>
      <c r="G30" s="95">
        <f t="shared" ca="1" si="0"/>
        <v>3.1273057638045443E-3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543931</v>
      </c>
      <c r="B31" s="98" t="s">
        <v>3624</v>
      </c>
      <c r="C31" s="101" t="e">
        <f>VLOOKUP(A31,'BSE ALL CAP'!$B$4:$Y$1038,2,)</f>
        <v>#N/A</v>
      </c>
      <c r="D31" s="101" t="e">
        <f>VLOOKUP(A31,'BSE ALL CAP'!$B$4:$Y$1038,3,)</f>
        <v>#N/A</v>
      </c>
      <c r="E31" s="101">
        <f ca="1">IFERROR(__xludf.DUMMYFUNCTION("GOOGLEFINANCE(""bom:""&amp;A31,""PRICE"")"),268)</f>
        <v>268</v>
      </c>
      <c r="F31" s="112">
        <f ca="1">IFERROR(__xludf.DUMMYFUNCTION("GOOGLEFINANCE(""BOM:""&amp;A31,""MARKETCAP"")/10000000"),676.221888)</f>
        <v>676.22188800000004</v>
      </c>
      <c r="G31" s="95">
        <f t="shared" ca="1" si="0"/>
        <v>3.2388744214286802E-3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511431</v>
      </c>
      <c r="B32" s="98" t="s">
        <v>3625</v>
      </c>
      <c r="C32" s="101" t="e">
        <f>VLOOKUP(A32,'BSE ALL CAP'!$B$4:$Y$1038,2,)</f>
        <v>#N/A</v>
      </c>
      <c r="D32" s="101" t="e">
        <f>VLOOKUP(A32,'BSE ALL CAP'!$B$4:$Y$1038,3,)</f>
        <v>#N/A</v>
      </c>
      <c r="E32" s="101">
        <f ca="1">IFERROR(__xludf.DUMMYFUNCTION("GOOGLEFINANCE(""bom:""&amp;A32,""PRICE"")"),6.06)</f>
        <v>6.06</v>
      </c>
      <c r="F32" s="112">
        <f ca="1">IFERROR(__xludf.DUMMYFUNCTION("GOOGLEFINANCE(""BOM:""&amp;A32,""MARKETCAP"")/10000000"),657.4969555)</f>
        <v>657.49695550000001</v>
      </c>
      <c r="G32" s="95">
        <f t="shared" ca="1" si="0"/>
        <v>3.1491883198790827E-3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532875</v>
      </c>
      <c r="B33" s="98" t="s">
        <v>3626</v>
      </c>
      <c r="C33" s="101" t="e">
        <f>VLOOKUP(A33,'BSE ALL CAP'!$B$4:$Y$1038,2,)</f>
        <v>#N/A</v>
      </c>
      <c r="D33" s="101" t="e">
        <f>VLOOKUP(A33,'BSE ALL CAP'!$B$4:$Y$1038,3,)</f>
        <v>#N/A</v>
      </c>
      <c r="E33" s="101">
        <f ca="1">IFERROR(__xludf.DUMMYFUNCTION("GOOGLEFINANCE(""bom:""&amp;A33,""PRICE"")"),102.87)</f>
        <v>102.87</v>
      </c>
      <c r="F33" s="112">
        <f ca="1">IFERROR(__xludf.DUMMYFUNCTION("GOOGLEFINANCE(""BOM:""&amp;A33,""MARKETCAP"")/10000000"),581.9259005)</f>
        <v>581.92590050000001</v>
      </c>
      <c r="G33" s="95">
        <f t="shared" ca="1" si="0"/>
        <v>2.7872284936986558E-3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517536</v>
      </c>
      <c r="B34" s="98" t="s">
        <v>3627</v>
      </c>
      <c r="C34" s="101" t="e">
        <f>VLOOKUP(A34,'BSE ALL CAP'!$B$4:$Y$1038,2,)</f>
        <v>#N/A</v>
      </c>
      <c r="D34" s="101" t="e">
        <f>VLOOKUP(A34,'BSE ALL CAP'!$B$4:$Y$1038,3,)</f>
        <v>#N/A</v>
      </c>
      <c r="E34" s="101">
        <f ca="1">IFERROR(__xludf.DUMMYFUNCTION("GOOGLEFINANCE(""bom:""&amp;A34,""PRICE"")"),234.5)</f>
        <v>234.5</v>
      </c>
      <c r="F34" s="112">
        <f ca="1">IFERROR(__xludf.DUMMYFUNCTION("GOOGLEFINANCE(""BOM:""&amp;A34,""MARKETCAP"")/10000000"),522.2313964)</f>
        <v>522.23139639999999</v>
      </c>
      <c r="G34" s="95">
        <f t="shared" ca="1" si="0"/>
        <v>2.5013119833632801E-3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544189</v>
      </c>
      <c r="B35" s="98" t="s">
        <v>3628</v>
      </c>
      <c r="C35" s="101" t="e">
        <f>VLOOKUP(A35,'BSE ALL CAP'!$B$4:$Y$1038,2,)</f>
        <v>#N/A</v>
      </c>
      <c r="D35" s="101" t="e">
        <f>VLOOKUP(A35,'BSE ALL CAP'!$B$4:$Y$1038,3,)</f>
        <v>#N/A</v>
      </c>
      <c r="E35" s="101">
        <f ca="1">IFERROR(__xludf.DUMMYFUNCTION("GOOGLEFINANCE(""bom:""&amp;A35,""PRICE"")"),415.5)</f>
        <v>415.5</v>
      </c>
      <c r="F35" s="112">
        <f ca="1">IFERROR(__xludf.DUMMYFUNCTION("GOOGLEFINANCE(""BOM:""&amp;A35,""MARKETCAP"")/10000000"),471.5247735)</f>
        <v>471.52477349999998</v>
      </c>
      <c r="G35" s="95">
        <f t="shared" ca="1" si="0"/>
        <v>2.2584443879448959E-3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533982</v>
      </c>
      <c r="B36" s="98" t="s">
        <v>3629</v>
      </c>
      <c r="C36" s="101" t="e">
        <f>VLOOKUP(A36,'BSE ALL CAP'!$B$4:$Y$1038,2,)</f>
        <v>#N/A</v>
      </c>
      <c r="D36" s="101" t="e">
        <f>VLOOKUP(A36,'BSE ALL CAP'!$B$4:$Y$1038,3,)</f>
        <v>#N/A</v>
      </c>
      <c r="E36" s="101">
        <f ca="1">IFERROR(__xludf.DUMMYFUNCTION("GOOGLEFINANCE(""bom:""&amp;A36,""PRICE"")"),318.1)</f>
        <v>318.10000000000002</v>
      </c>
      <c r="F36" s="112">
        <f ca="1">IFERROR(__xludf.DUMMYFUNCTION("GOOGLEFINANCE(""BOM:""&amp;A36,""MARKETCAP"")/10000000"),399.8793728)</f>
        <v>399.8793728</v>
      </c>
      <c r="G36" s="95">
        <f t="shared" ca="1" si="0"/>
        <v>1.9152871198083188E-3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543917</v>
      </c>
      <c r="B37" s="98" t="s">
        <v>3630</v>
      </c>
      <c r="C37" s="101" t="e">
        <f>VLOOKUP(A37,'BSE ALL CAP'!$B$4:$Y$1038,2,)</f>
        <v>#N/A</v>
      </c>
      <c r="D37" s="101" t="e">
        <f>VLOOKUP(A37,'BSE ALL CAP'!$B$4:$Y$1038,3,)</f>
        <v>#N/A</v>
      </c>
      <c r="E37" s="101">
        <f ca="1">IFERROR(__xludf.DUMMYFUNCTION("GOOGLEFINANCE(""bom:""&amp;A37,""PRICE"")"),40.5)</f>
        <v>40.5</v>
      </c>
      <c r="F37" s="112">
        <f ca="1">IFERROR(__xludf.DUMMYFUNCTION("GOOGLEFINANCE(""BOM:""&amp;A37,""MARKETCAP"")/10000000"),406.1664095)</f>
        <v>406.16640949999999</v>
      </c>
      <c r="G37" s="95">
        <f t="shared" ca="1" si="0"/>
        <v>1.945399901892967E-3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517214</v>
      </c>
      <c r="B38" s="98" t="s">
        <v>3631</v>
      </c>
      <c r="C38" s="101" t="e">
        <f>VLOOKUP(A38,'BSE ALL CAP'!$B$4:$Y$1038,2,)</f>
        <v>#N/A</v>
      </c>
      <c r="D38" s="101" t="e">
        <f>VLOOKUP(A38,'BSE ALL CAP'!$B$4:$Y$1038,3,)</f>
        <v>#N/A</v>
      </c>
      <c r="E38" s="101">
        <f ca="1">IFERROR(__xludf.DUMMYFUNCTION("GOOGLEFINANCE(""bom:""&amp;A38,""PRICE"")"),16.22)</f>
        <v>16.22</v>
      </c>
      <c r="F38" s="112">
        <f ca="1">IFERROR(__xludf.DUMMYFUNCTION("GOOGLEFINANCE(""BOM:""&amp;A38,""MARKETCAP"")/10000000"),376.3259371)</f>
        <v>376.32593709999998</v>
      </c>
      <c r="G38" s="95">
        <f t="shared" ca="1" si="0"/>
        <v>1.8024741189586698E-3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544626</v>
      </c>
      <c r="B39" s="98" t="s">
        <v>3632</v>
      </c>
      <c r="C39" s="101" t="e">
        <f>VLOOKUP(A39,'BSE ALL CAP'!$B$4:$Y$1038,2,)</f>
        <v>#N/A</v>
      </c>
      <c r="D39" s="101" t="e">
        <f>VLOOKUP(A39,'BSE ALL CAP'!$B$4:$Y$1038,3,)</f>
        <v>#N/A</v>
      </c>
      <c r="E39" s="101">
        <f ca="1">IFERROR(__xludf.DUMMYFUNCTION("GOOGLEFINANCE(""bom:""&amp;A39,""PRICE"")"),357)</f>
        <v>357</v>
      </c>
      <c r="F39" s="112">
        <f ca="1">IFERROR(__xludf.DUMMYFUNCTION("GOOGLEFINANCE(""BOM:""&amp;A39,""MARKETCAP"")/10000000"),359.333709)</f>
        <v>359.333709</v>
      </c>
      <c r="G39" s="95">
        <f t="shared" ca="1" si="0"/>
        <v>1.7210870861920351E-3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532774</v>
      </c>
      <c r="B40" s="98" t="s">
        <v>3633</v>
      </c>
      <c r="C40" s="101" t="e">
        <f>VLOOKUP(A40,'BSE ALL CAP'!$B$4:$Y$1038,2,)</f>
        <v>#N/A</v>
      </c>
      <c r="D40" s="101" t="e">
        <f>VLOOKUP(A40,'BSE ALL CAP'!$B$4:$Y$1038,3,)</f>
        <v>#N/A</v>
      </c>
      <c r="E40" s="101">
        <f ca="1">IFERROR(__xludf.DUMMYFUNCTION("GOOGLEFINANCE(""bom:""&amp;A40,""PRICE"")"),79.87)</f>
        <v>79.87</v>
      </c>
      <c r="F40" s="112">
        <f ca="1">IFERROR(__xludf.DUMMYFUNCTION("GOOGLEFINANCE(""BOM:""&amp;A40,""MARKETCAP"")/10000000"),308.0607895)</f>
        <v>308.0607895</v>
      </c>
      <c r="G40" s="95">
        <f t="shared" ca="1" si="0"/>
        <v>1.4755071213499006E-3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532694</v>
      </c>
      <c r="B41" s="98" t="s">
        <v>3634</v>
      </c>
      <c r="C41" s="101" t="e">
        <f>VLOOKUP(A41,'BSE ALL CAP'!$B$4:$Y$1038,2,)</f>
        <v>#N/A</v>
      </c>
      <c r="D41" s="101" t="e">
        <f>VLOOKUP(A41,'BSE ALL CAP'!$B$4:$Y$1038,3,)</f>
        <v>#N/A</v>
      </c>
      <c r="E41" s="101">
        <f ca="1">IFERROR(__xludf.DUMMYFUNCTION("GOOGLEFINANCE(""bom:""&amp;A41,""PRICE"")"),8.32)</f>
        <v>8.32</v>
      </c>
      <c r="F41" s="112">
        <f ca="1">IFERROR(__xludf.DUMMYFUNCTION("GOOGLEFINANCE(""BOM:""&amp;A41,""MARKETCAP"")/10000000"),252.4940002)</f>
        <v>252.49400019999999</v>
      </c>
      <c r="G41" s="95">
        <f t="shared" ca="1" si="0"/>
        <v>1.2093609705990291E-3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532666</v>
      </c>
      <c r="B42" s="98" t="s">
        <v>3635</v>
      </c>
      <c r="C42" s="101" t="e">
        <f>VLOOKUP(A42,'BSE ALL CAP'!$B$4:$Y$1038,2,)</f>
        <v>#N/A</v>
      </c>
      <c r="D42" s="101" t="e">
        <f>VLOOKUP(A42,'BSE ALL CAP'!$B$4:$Y$1038,3,)</f>
        <v>#N/A</v>
      </c>
      <c r="E42" s="101">
        <f ca="1">IFERROR(__xludf.DUMMYFUNCTION("GOOGLEFINANCE(""bom:""&amp;A42,""PRICE"")"),1.54)</f>
        <v>1.54</v>
      </c>
      <c r="F42" s="112">
        <f ca="1">IFERROR(__xludf.DUMMYFUNCTION("GOOGLEFINANCE(""BOM:""&amp;A42,""MARKETCAP"")/10000000"),263.2710014)</f>
        <v>263.27100139999999</v>
      </c>
      <c r="G42" s="95">
        <f t="shared" ca="1" si="0"/>
        <v>1.2609791659662667E-3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4.4">
      <c r="A43" s="99">
        <v>530745</v>
      </c>
      <c r="B43" s="98" t="s">
        <v>3636</v>
      </c>
      <c r="C43" s="101" t="e">
        <f>VLOOKUP(A43,'BSE ALL CAP'!$B$4:$Y$1038,2,)</f>
        <v>#N/A</v>
      </c>
      <c r="D43" s="101" t="e">
        <f>VLOOKUP(A43,'BSE ALL CAP'!$B$4:$Y$1038,3,)</f>
        <v>#N/A</v>
      </c>
      <c r="E43" s="101">
        <f ca="1">IFERROR(__xludf.DUMMYFUNCTION("GOOGLEFINANCE(""bom:""&amp;A43,""PRICE"")"),37.08)</f>
        <v>37.08</v>
      </c>
      <c r="F43" s="112">
        <f ca="1">IFERROR(__xludf.DUMMYFUNCTION("GOOGLEFINANCE(""BOM:""&amp;A43,""MARKETCAP"")/10000000"),225.2311246)</f>
        <v>225.23112459999999</v>
      </c>
      <c r="G43" s="95">
        <f t="shared" ca="1" si="0"/>
        <v>1.078781005646117E-3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4.4">
      <c r="A44" s="99">
        <v>532326</v>
      </c>
      <c r="B44" s="98" t="s">
        <v>3637</v>
      </c>
      <c r="C44" s="101" t="e">
        <f>VLOOKUP(A44,'BSE ALL CAP'!$B$4:$Y$1038,2,)</f>
        <v>#N/A</v>
      </c>
      <c r="D44" s="101" t="e">
        <f>VLOOKUP(A44,'BSE ALL CAP'!$B$4:$Y$1038,3,)</f>
        <v>#N/A</v>
      </c>
      <c r="E44" s="101">
        <f ca="1">IFERROR(__xludf.DUMMYFUNCTION("GOOGLEFINANCE(""bom:""&amp;A44,""PRICE"")"),96.9)</f>
        <v>96.9</v>
      </c>
      <c r="F44" s="112">
        <f ca="1">IFERROR(__xludf.DUMMYFUNCTION("GOOGLEFINANCE(""BOM:""&amp;A44,""MARKETCAP"")/10000000"),226.93761)</f>
        <v>226.93761000000001</v>
      </c>
      <c r="G44" s="95">
        <f t="shared" ca="1" si="0"/>
        <v>1.0869544942756386E-3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4.4">
      <c r="A45" s="99">
        <v>544567</v>
      </c>
      <c r="B45" s="98" t="s">
        <v>3638</v>
      </c>
      <c r="C45" s="101" t="e">
        <f>VLOOKUP(A45,'BSE ALL CAP'!$B$4:$Y$1038,2,)</f>
        <v>#N/A</v>
      </c>
      <c r="D45" s="101" t="e">
        <f>VLOOKUP(A45,'BSE ALL CAP'!$B$4:$Y$1038,3,)</f>
        <v>#N/A</v>
      </c>
      <c r="E45" s="101">
        <f ca="1">IFERROR(__xludf.DUMMYFUNCTION("GOOGLEFINANCE(""bom:""&amp;A45,""PRICE"")"),349.8)</f>
        <v>349.8</v>
      </c>
      <c r="F45" s="112">
        <f ca="1">IFERROR(__xludf.DUMMYFUNCTION("GOOGLEFINANCE(""BOM:""&amp;A45,""MARKETCAP"")/10000000"),190.7459)</f>
        <v>190.74590000000001</v>
      </c>
      <c r="G45" s="95">
        <f t="shared" ca="1" si="0"/>
        <v>9.1360842863221978E-4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543811</v>
      </c>
      <c r="B46" s="98" t="s">
        <v>3639</v>
      </c>
      <c r="C46" s="101" t="e">
        <f>VLOOKUP(A46,'BSE ALL CAP'!$B$4:$Y$1038,2,)</f>
        <v>#N/A</v>
      </c>
      <c r="D46" s="101" t="e">
        <f>VLOOKUP(A46,'BSE ALL CAP'!$B$4:$Y$1038,3,)</f>
        <v>#N/A</v>
      </c>
      <c r="E46" s="101">
        <f ca="1">IFERROR(__xludf.DUMMYFUNCTION("GOOGLEFINANCE(""bom:""&amp;A46,""PRICE"")"),16.13)</f>
        <v>16.13</v>
      </c>
      <c r="F46" s="112">
        <f ca="1">IFERROR(__xludf.DUMMYFUNCTION("GOOGLEFINANCE(""BOM:""&amp;A46,""MARKETCAP"")/10000000"),193.780845)</f>
        <v>193.780845</v>
      </c>
      <c r="G46" s="95">
        <f t="shared" ca="1" si="0"/>
        <v>9.2814479000321237E-4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4.4">
      <c r="A47" s="99">
        <v>543462</v>
      </c>
      <c r="B47" s="98" t="s">
        <v>3640</v>
      </c>
      <c r="C47" s="101" t="e">
        <f>VLOOKUP(A47,'BSE ALL CAP'!$B$4:$Y$1038,2,)</f>
        <v>#N/A</v>
      </c>
      <c r="D47" s="101" t="e">
        <f>VLOOKUP(A47,'BSE ALL CAP'!$B$4:$Y$1038,3,)</f>
        <v>#N/A</v>
      </c>
      <c r="E47" s="101">
        <f ca="1">IFERROR(__xludf.DUMMYFUNCTION("GOOGLEFINANCE(""bom:""&amp;A47,""PRICE"")"),25.7)</f>
        <v>25.7</v>
      </c>
      <c r="F47" s="112">
        <f ca="1">IFERROR(__xludf.DUMMYFUNCTION("GOOGLEFINANCE(""BOM:""&amp;A47,""MARKETCAP"")/10000000"),144.1783953)</f>
        <v>144.17839530000001</v>
      </c>
      <c r="G47" s="95">
        <f t="shared" ca="1" si="0"/>
        <v>6.9056581123236739E-4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4.4">
      <c r="A48" s="99">
        <v>544643</v>
      </c>
      <c r="B48" s="98" t="s">
        <v>3641</v>
      </c>
      <c r="C48" s="101" t="e">
        <f>VLOOKUP(A48,'BSE ALL CAP'!$B$4:$Y$1038,2,)</f>
        <v>#N/A</v>
      </c>
      <c r="D48" s="101" t="e">
        <f>VLOOKUP(A48,'BSE ALL CAP'!$B$4:$Y$1038,3,)</f>
        <v>#N/A</v>
      </c>
      <c r="E48" s="101">
        <f ca="1">IFERROR(__xludf.DUMMYFUNCTION("GOOGLEFINANCE(""bom:""&amp;A48,""PRICE"")"),189)</f>
        <v>189</v>
      </c>
      <c r="F48" s="112">
        <f ca="1">IFERROR(__xludf.DUMMYFUNCTION("GOOGLEFINANCE(""BOM:""&amp;A48,""MARKETCAP"")/10000000"),133.245)</f>
        <v>133.245</v>
      </c>
      <c r="G48" s="95">
        <f t="shared" ca="1" si="0"/>
        <v>6.3819854095474723E-4</v>
      </c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ht="14.4">
      <c r="A49" s="99">
        <v>517477</v>
      </c>
      <c r="B49" s="98" t="s">
        <v>3642</v>
      </c>
      <c r="C49" s="101" t="e">
        <f>VLOOKUP(A49,'BSE ALL CAP'!$B$4:$Y$1038,2,)</f>
        <v>#N/A</v>
      </c>
      <c r="D49" s="101" t="e">
        <f>VLOOKUP(A49,'BSE ALL CAP'!$B$4:$Y$1038,3,)</f>
        <v>#N/A</v>
      </c>
      <c r="E49" s="101">
        <f ca="1">IFERROR(__xludf.DUMMYFUNCTION("GOOGLEFINANCE(""bom:""&amp;A49,""PRICE"")"),310.95)</f>
        <v>310.95</v>
      </c>
      <c r="F49" s="112">
        <f ca="1">IFERROR(__xludf.DUMMYFUNCTION("GOOGLEFINANCE(""BOM:""&amp;A49,""MARKETCAP"")/10000000"),124.3801914)</f>
        <v>124.3801914</v>
      </c>
      <c r="G49" s="95">
        <f t="shared" ca="1" si="0"/>
        <v>5.9573910221886149E-4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4.4">
      <c r="A50" s="99">
        <v>544441</v>
      </c>
      <c r="B50" s="98" t="s">
        <v>3643</v>
      </c>
      <c r="C50" s="101" t="e">
        <f>VLOOKUP(A50,'BSE ALL CAP'!$B$4:$Y$1038,2,)</f>
        <v>#N/A</v>
      </c>
      <c r="D50" s="101" t="e">
        <f>VLOOKUP(A50,'BSE ALL CAP'!$B$4:$Y$1038,3,)</f>
        <v>#N/A</v>
      </c>
      <c r="E50" s="101">
        <f ca="1">IFERROR(__xludf.DUMMYFUNCTION("GOOGLEFINANCE(""bom:""&amp;A50,""PRICE"")"),71.51)</f>
        <v>71.510000000000005</v>
      </c>
      <c r="F50" s="112">
        <f ca="1">IFERROR(__xludf.DUMMYFUNCTION("GOOGLEFINANCE(""BOM:""&amp;A50,""MARKETCAP"")/10000000"),135.0208954)</f>
        <v>135.0208954</v>
      </c>
      <c r="G50" s="95">
        <f t="shared" ca="1" si="0"/>
        <v>6.4670448003815181E-4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4.4">
      <c r="A51" s="99">
        <v>543897</v>
      </c>
      <c r="B51" s="98" t="s">
        <v>3644</v>
      </c>
      <c r="C51" s="101" t="e">
        <f>VLOOKUP(A51,'BSE ALL CAP'!$B$4:$Y$1038,2,)</f>
        <v>#N/A</v>
      </c>
      <c r="D51" s="101" t="e">
        <f>VLOOKUP(A51,'BSE ALL CAP'!$B$4:$Y$1038,3,)</f>
        <v>#N/A</v>
      </c>
      <c r="E51" s="101">
        <f ca="1">IFERROR(__xludf.DUMMYFUNCTION("GOOGLEFINANCE(""bom:""&amp;A51,""PRICE"")"),265.6)</f>
        <v>265.60000000000002</v>
      </c>
      <c r="F51" s="112">
        <f ca="1">IFERROR(__xludf.DUMMYFUNCTION("GOOGLEFINANCE(""BOM:""&amp;A51,""MARKETCAP"")/10000000"),108.0691)</f>
        <v>108.06910000000001</v>
      </c>
      <c r="G51" s="95">
        <f t="shared" ca="1" si="0"/>
        <v>5.1761448416295301E-4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4.4">
      <c r="A52" s="99">
        <v>502820</v>
      </c>
      <c r="B52" s="98" t="s">
        <v>3645</v>
      </c>
      <c r="C52" s="101" t="e">
        <f>VLOOKUP(A52,'BSE ALL CAP'!$B$4:$Y$1038,2,)</f>
        <v>#N/A</v>
      </c>
      <c r="D52" s="101" t="e">
        <f>VLOOKUP(A52,'BSE ALL CAP'!$B$4:$Y$1038,3,)</f>
        <v>#N/A</v>
      </c>
      <c r="E52" s="101">
        <f ca="1">IFERROR(__xludf.DUMMYFUNCTION("GOOGLEFINANCE(""bom:""&amp;A52,""PRICE"")"),61.55)</f>
        <v>61.55</v>
      </c>
      <c r="F52" s="112">
        <f ca="1">IFERROR(__xludf.DUMMYFUNCTION("GOOGLEFINANCE(""BOM:""&amp;A52,""MARKETCAP"")/10000000"),121.405375)</f>
        <v>121.40537500000001</v>
      </c>
      <c r="G52" s="95">
        <f t="shared" ca="1" si="0"/>
        <v>5.8149073653093134E-4</v>
      </c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ht="14.4">
      <c r="A53" s="99">
        <v>543958</v>
      </c>
      <c r="B53" s="98" t="s">
        <v>3646</v>
      </c>
      <c r="C53" s="101" t="e">
        <f>VLOOKUP(A53,'BSE ALL CAP'!$B$4:$Y$1038,2,)</f>
        <v>#N/A</v>
      </c>
      <c r="D53" s="101" t="e">
        <f>VLOOKUP(A53,'BSE ALL CAP'!$B$4:$Y$1038,3,)</f>
        <v>#N/A</v>
      </c>
      <c r="E53" s="101">
        <f ca="1">IFERROR(__xludf.DUMMYFUNCTION("GOOGLEFINANCE(""bom:""&amp;A53,""PRICE"")"),11.44)</f>
        <v>11.44</v>
      </c>
      <c r="F53" s="112">
        <f ca="1">IFERROR(__xludf.DUMMYFUNCTION("GOOGLEFINANCE(""BOM:""&amp;A53,""MARKETCAP"")/10000000"),123.8303306)</f>
        <v>123.8303306</v>
      </c>
      <c r="G53" s="95">
        <f t="shared" ca="1" si="0"/>
        <v>5.9310545472523535E-4</v>
      </c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ht="14.4">
      <c r="A54" s="99">
        <v>530601</v>
      </c>
      <c r="B54" s="98" t="s">
        <v>3647</v>
      </c>
      <c r="C54" s="101" t="e">
        <f>VLOOKUP(A54,'BSE ALL CAP'!$B$4:$Y$1038,2,)</f>
        <v>#N/A</v>
      </c>
      <c r="D54" s="101" t="e">
        <f>VLOOKUP(A54,'BSE ALL CAP'!$B$4:$Y$1038,3,)</f>
        <v>#N/A</v>
      </c>
      <c r="E54" s="101">
        <f ca="1">IFERROR(__xludf.DUMMYFUNCTION("GOOGLEFINANCE(""bom:""&amp;A54,""PRICE"")"),56.4)</f>
        <v>56.4</v>
      </c>
      <c r="F54" s="112">
        <f ca="1">IFERROR(__xludf.DUMMYFUNCTION("GOOGLEFINANCE(""BOM:""&amp;A54,""MARKETCAP"")/10000000"),102.6785)</f>
        <v>102.6785</v>
      </c>
      <c r="G54" s="95">
        <f t="shared" ca="1" si="0"/>
        <v>4.9179533106249399E-4</v>
      </c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ht="14.4">
      <c r="A55" s="99">
        <v>524622</v>
      </c>
      <c r="B55" s="98" t="s">
        <v>3648</v>
      </c>
      <c r="C55" s="101" t="e">
        <f>VLOOKUP(A55,'BSE ALL CAP'!$B$4:$Y$1038,2,)</f>
        <v>#N/A</v>
      </c>
      <c r="D55" s="101" t="e">
        <f>VLOOKUP(A55,'BSE ALL CAP'!$B$4:$Y$1038,3,)</f>
        <v>#N/A</v>
      </c>
      <c r="E55" s="101">
        <f ca="1">IFERROR(__xludf.DUMMYFUNCTION("GOOGLEFINANCE(""bom:""&amp;A55,""PRICE"")"),40.91)</f>
        <v>40.909999999999997</v>
      </c>
      <c r="F55" s="112">
        <f ca="1">IFERROR(__xludf.DUMMYFUNCTION("GOOGLEFINANCE(""BOM:""&amp;A55,""MARKETCAP"")/10000000"),99.2067496)</f>
        <v>99.206749599999995</v>
      </c>
      <c r="G55" s="95">
        <f t="shared" ca="1" si="0"/>
        <v>4.7516681937470791E-4</v>
      </c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ht="14.4">
      <c r="A56" s="99">
        <v>511447</v>
      </c>
      <c r="B56" s="98" t="s">
        <v>3649</v>
      </c>
      <c r="C56" s="101" t="e">
        <f>VLOOKUP(A56,'BSE ALL CAP'!$B$4:$Y$1038,2,)</f>
        <v>#N/A</v>
      </c>
      <c r="D56" s="101" t="e">
        <f>VLOOKUP(A56,'BSE ALL CAP'!$B$4:$Y$1038,3,)</f>
        <v>#N/A</v>
      </c>
      <c r="E56" s="101">
        <f ca="1">IFERROR(__xludf.DUMMYFUNCTION("GOOGLEFINANCE(""bom:""&amp;A56,""PRICE"")"),0.58)</f>
        <v>0.57999999999999996</v>
      </c>
      <c r="F56" s="112">
        <f ca="1">IFERROR(__xludf.DUMMYFUNCTION("GOOGLEFINANCE(""BOM:""&amp;A56,""MARKETCAP"")/10000000"),71.5185799)</f>
        <v>71.518579900000006</v>
      </c>
      <c r="G56" s="95">
        <f t="shared" ca="1" si="0"/>
        <v>3.425498393435815E-4</v>
      </c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ht="14.4">
      <c r="A57" s="99">
        <v>544538</v>
      </c>
      <c r="B57" s="98" t="s">
        <v>3650</v>
      </c>
      <c r="C57" s="101" t="e">
        <f>VLOOKUP(A57,'BSE ALL CAP'!$B$4:$Y$1038,2,)</f>
        <v>#N/A</v>
      </c>
      <c r="D57" s="101" t="e">
        <f>VLOOKUP(A57,'BSE ALL CAP'!$B$4:$Y$1038,3,)</f>
        <v>#N/A</v>
      </c>
      <c r="E57" s="101">
        <f ca="1">IFERROR(__xludf.DUMMYFUNCTION("GOOGLEFINANCE(""bom:""&amp;A57,""PRICE"")"),50.03)</f>
        <v>50.03</v>
      </c>
      <c r="F57" s="112">
        <f ca="1">IFERROR(__xludf.DUMMYFUNCTION("GOOGLEFINANCE(""BOM:""&amp;A57,""MARKETCAP"")/10000000"),69.6917882)</f>
        <v>69.691788200000005</v>
      </c>
      <c r="G57" s="95">
        <f t="shared" ca="1" si="0"/>
        <v>3.3380012417552081E-4</v>
      </c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ht="14.4">
      <c r="A58" s="99">
        <v>512379</v>
      </c>
      <c r="B58" s="98" t="s">
        <v>3651</v>
      </c>
      <c r="C58" s="101" t="e">
        <f>VLOOKUP(A58,'BSE ALL CAP'!$B$4:$Y$1038,2,)</f>
        <v>#N/A</v>
      </c>
      <c r="D58" s="101" t="e">
        <f>VLOOKUP(A58,'BSE ALL CAP'!$B$4:$Y$1038,3,)</f>
        <v>#N/A</v>
      </c>
      <c r="E58" s="101">
        <f ca="1">IFERROR(__xludf.DUMMYFUNCTION("GOOGLEFINANCE(""bom:""&amp;A58,""PRICE"")"),2.07)</f>
        <v>2.0699999999999998</v>
      </c>
      <c r="F58" s="112">
        <f ca="1">IFERROR(__xludf.DUMMYFUNCTION("GOOGLEFINANCE(""BOM:""&amp;A58,""MARKETCAP"")/10000000"),83.78265)</f>
        <v>83.782650000000004</v>
      </c>
      <c r="G58" s="95">
        <f t="shared" ca="1" si="0"/>
        <v>4.0129059242239679E-4</v>
      </c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ht="14.4">
      <c r="A59" s="99">
        <v>532373</v>
      </c>
      <c r="B59" s="98" t="s">
        <v>3652</v>
      </c>
      <c r="C59" s="101" t="e">
        <f>VLOOKUP(A59,'BSE ALL CAP'!$B$4:$Y$1038,2,)</f>
        <v>#N/A</v>
      </c>
      <c r="D59" s="101" t="e">
        <f>VLOOKUP(A59,'BSE ALL CAP'!$B$4:$Y$1038,3,)</f>
        <v>#N/A</v>
      </c>
      <c r="E59" s="101">
        <f ca="1">IFERROR(__xludf.DUMMYFUNCTION("GOOGLEFINANCE(""bom:""&amp;A59,""PRICE"")"),21.02)</f>
        <v>21.02</v>
      </c>
      <c r="F59" s="112">
        <f ca="1">IFERROR(__xludf.DUMMYFUNCTION("GOOGLEFINANCE(""BOM:""&amp;A59,""MARKETCAP"")/10000000"),77.4147909)</f>
        <v>77.4147909</v>
      </c>
      <c r="G59" s="95">
        <f t="shared" ca="1" si="0"/>
        <v>3.707906983428785E-4</v>
      </c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ht="14.4">
      <c r="A60" s="99">
        <v>532172</v>
      </c>
      <c r="B60" s="98" t="s">
        <v>3653</v>
      </c>
      <c r="C60" s="101" t="e">
        <f>VLOOKUP(A60,'BSE ALL CAP'!$B$4:$Y$1038,2,)</f>
        <v>#N/A</v>
      </c>
      <c r="D60" s="101" t="e">
        <f>VLOOKUP(A60,'BSE ALL CAP'!$B$4:$Y$1038,3,)</f>
        <v>#N/A</v>
      </c>
      <c r="E60" s="101">
        <f ca="1">IFERROR(__xludf.DUMMYFUNCTION("GOOGLEFINANCE(""bom:""&amp;A60,""PRICE"")"),9.25)</f>
        <v>9.25</v>
      </c>
      <c r="F60" s="112">
        <f ca="1">IFERROR(__xludf.DUMMYFUNCTION("GOOGLEFINANCE(""BOM:""&amp;A60,""MARKETCAP"")/10000000"),73.809339)</f>
        <v>73.809338999999994</v>
      </c>
      <c r="G60" s="95">
        <f t="shared" ca="1" si="0"/>
        <v>3.5352180163333949E-4</v>
      </c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ht="14.4">
      <c r="A61" s="99">
        <v>544301</v>
      </c>
      <c r="B61" s="98" t="s">
        <v>3654</v>
      </c>
      <c r="C61" s="101" t="e">
        <f>VLOOKUP(A61,'BSE ALL CAP'!$B$4:$Y$1038,2,)</f>
        <v>#N/A</v>
      </c>
      <c r="D61" s="101" t="e">
        <f>VLOOKUP(A61,'BSE ALL CAP'!$B$4:$Y$1038,3,)</f>
        <v>#N/A</v>
      </c>
      <c r="E61" s="101">
        <f ca="1">IFERROR(__xludf.DUMMYFUNCTION("GOOGLEFINANCE(""bom:""&amp;A61,""PRICE"")"),22.89)</f>
        <v>22.89</v>
      </c>
      <c r="F61" s="112">
        <f ca="1">IFERROR(__xludf.DUMMYFUNCTION("GOOGLEFINANCE(""BOM:""&amp;A61,""MARKETCAP"")/10000000"),71.2692408)</f>
        <v>71.269240800000006</v>
      </c>
      <c r="G61" s="95">
        <f t="shared" ca="1" si="0"/>
        <v>3.4135558927924161E-4</v>
      </c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</row>
    <row r="62" spans="1:25" ht="14.4">
      <c r="A62" s="99">
        <v>540590</v>
      </c>
      <c r="B62" s="98" t="s">
        <v>3655</v>
      </c>
      <c r="C62" s="101" t="e">
        <f>VLOOKUP(A62,'BSE ALL CAP'!$B$4:$Y$1038,2,)</f>
        <v>#N/A</v>
      </c>
      <c r="D62" s="101" t="e">
        <f>VLOOKUP(A62,'BSE ALL CAP'!$B$4:$Y$1038,3,)</f>
        <v>#N/A</v>
      </c>
      <c r="E62" s="101">
        <f ca="1">IFERROR(__xludf.DUMMYFUNCTION("GOOGLEFINANCE(""bom:""&amp;A62,""PRICE"")"),57.01)</f>
        <v>57.01</v>
      </c>
      <c r="F62" s="112">
        <f ca="1">IFERROR(__xludf.DUMMYFUNCTION("GOOGLEFINANCE(""BOM:""&amp;A62,""MARKETCAP"")/10000000"),67.653765)</f>
        <v>67.653765000000007</v>
      </c>
      <c r="G62" s="95">
        <f t="shared" ca="1" si="0"/>
        <v>3.2403868147469212E-4</v>
      </c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</row>
    <row r="63" spans="1:25" ht="14.4">
      <c r="A63" s="99">
        <v>532761</v>
      </c>
      <c r="B63" s="98" t="s">
        <v>3656</v>
      </c>
      <c r="C63" s="101" t="e">
        <f>VLOOKUP(A63,'BSE ALL CAP'!$B$4:$Y$1038,2,)</f>
        <v>#N/A</v>
      </c>
      <c r="D63" s="101" t="e">
        <f>VLOOKUP(A63,'BSE ALL CAP'!$B$4:$Y$1038,3,)</f>
        <v>#N/A</v>
      </c>
      <c r="E63" s="101">
        <f ca="1">IFERROR(__xludf.DUMMYFUNCTION("GOOGLEFINANCE(""bom:""&amp;A63,""PRICE"")"),47.5)</f>
        <v>47.5</v>
      </c>
      <c r="F63" s="112">
        <f ca="1">IFERROR(__xludf.DUMMYFUNCTION("GOOGLEFINANCE(""BOM:""&amp;A63,""MARKETCAP"")/10000000"),60.1661722)</f>
        <v>60.166172199999998</v>
      </c>
      <c r="G63" s="95">
        <f t="shared" ca="1" si="0"/>
        <v>2.8817564120884139E-4</v>
      </c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</row>
    <row r="64" spans="1:25" ht="14.4">
      <c r="A64" s="99">
        <v>512161</v>
      </c>
      <c r="B64" s="98" t="s">
        <v>3657</v>
      </c>
      <c r="C64" s="101" t="e">
        <f>VLOOKUP(A64,'BSE ALL CAP'!$B$4:$Y$1038,2,)</f>
        <v>#N/A</v>
      </c>
      <c r="D64" s="101" t="e">
        <f>VLOOKUP(A64,'BSE ALL CAP'!$B$4:$Y$1038,3,)</f>
        <v>#N/A</v>
      </c>
      <c r="E64" s="101">
        <f ca="1">IFERROR(__xludf.DUMMYFUNCTION("GOOGLEFINANCE(""bom:""&amp;A64,""PRICE"")"),20.31)</f>
        <v>20.309999999999999</v>
      </c>
      <c r="F64" s="112">
        <f ca="1">IFERROR(__xludf.DUMMYFUNCTION("GOOGLEFINANCE(""BOM:""&amp;A64,""MARKETCAP"")/10000000"),64.74975)</f>
        <v>64.749750000000006</v>
      </c>
      <c r="G64" s="95">
        <f t="shared" ca="1" si="0"/>
        <v>3.1012943057664191E-4</v>
      </c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</row>
    <row r="65" spans="1:25" ht="14.4">
      <c r="A65" s="99">
        <v>521005</v>
      </c>
      <c r="B65" s="98" t="s">
        <v>3658</v>
      </c>
      <c r="C65" s="101" t="e">
        <f>VLOOKUP(A65,'BSE ALL CAP'!$B$4:$Y$1038,2,)</f>
        <v>#N/A</v>
      </c>
      <c r="D65" s="101" t="e">
        <f>VLOOKUP(A65,'BSE ALL CAP'!$B$4:$Y$1038,3,)</f>
        <v>#N/A</v>
      </c>
      <c r="E65" s="101">
        <f ca="1">IFERROR(__xludf.DUMMYFUNCTION("GOOGLEFINANCE(""bom:""&amp;A65,""PRICE"")"),0.76)</f>
        <v>0.76</v>
      </c>
      <c r="F65" s="112">
        <f ca="1">IFERROR(__xludf.DUMMYFUNCTION("GOOGLEFINANCE(""BOM:""&amp;A65,""MARKETCAP"")/10000000"),60.92411)</f>
        <v>60.924109999999999</v>
      </c>
      <c r="G65" s="95">
        <f t="shared" ca="1" si="0"/>
        <v>2.9180590724579928E-4</v>
      </c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</row>
    <row r="66" spans="1:25" ht="14.4">
      <c r="A66" s="99">
        <v>524594</v>
      </c>
      <c r="B66" s="98" t="s">
        <v>3659</v>
      </c>
      <c r="C66" s="101" t="e">
        <f>VLOOKUP(A66,'BSE ALL CAP'!$B$4:$Y$1038,2,)</f>
        <v>#N/A</v>
      </c>
      <c r="D66" s="101" t="e">
        <f>VLOOKUP(A66,'BSE ALL CAP'!$B$4:$Y$1038,3,)</f>
        <v>#N/A</v>
      </c>
      <c r="E66" s="101">
        <f ca="1">IFERROR(__xludf.DUMMYFUNCTION("GOOGLEFINANCE(""bom:""&amp;A66,""PRICE"")"),119)</f>
        <v>119</v>
      </c>
      <c r="F66" s="112">
        <f ca="1">IFERROR(__xludf.DUMMYFUNCTION("GOOGLEFINANCE(""BOM:""&amp;A66,""MARKETCAP"")/10000000"),54.7440698)</f>
        <v>54.744069799999998</v>
      </c>
      <c r="G66" s="95">
        <f t="shared" ca="1" si="0"/>
        <v>2.6220560225362935E-4</v>
      </c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</row>
    <row r="67" spans="1:25" ht="14.4">
      <c r="A67" s="99">
        <v>544483</v>
      </c>
      <c r="B67" s="98" t="s">
        <v>3660</v>
      </c>
      <c r="C67" s="101" t="e">
        <f>VLOOKUP(A67,'BSE ALL CAP'!$B$4:$Y$1038,2,)</f>
        <v>#N/A</v>
      </c>
      <c r="D67" s="101" t="e">
        <f>VLOOKUP(A67,'BSE ALL CAP'!$B$4:$Y$1038,3,)</f>
        <v>#N/A</v>
      </c>
      <c r="E67" s="101">
        <f ca="1">IFERROR(__xludf.DUMMYFUNCTION("GOOGLEFINANCE(""bom:""&amp;A67,""PRICE"")"),44.51)</f>
        <v>44.51</v>
      </c>
      <c r="F67" s="112">
        <f ca="1">IFERROR(__xludf.DUMMYFUNCTION("GOOGLEFINANCE(""BOM:""&amp;A67,""MARKETCAP"")/10000000"),69.6003288)</f>
        <v>69.6003288</v>
      </c>
      <c r="G67" s="95">
        <f t="shared" ca="1" si="0"/>
        <v>3.3336206454374028E-4</v>
      </c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</row>
    <row r="68" spans="1:25" ht="14.4">
      <c r="A68" s="99">
        <v>526544</v>
      </c>
      <c r="B68" s="98" t="s">
        <v>3661</v>
      </c>
      <c r="C68" s="101" t="e">
        <f>VLOOKUP(A68,'BSE ALL CAP'!$B$4:$Y$1038,2,)</f>
        <v>#N/A</v>
      </c>
      <c r="D68" s="101" t="e">
        <f>VLOOKUP(A68,'BSE ALL CAP'!$B$4:$Y$1038,3,)</f>
        <v>#N/A</v>
      </c>
      <c r="E68" s="101">
        <f ca="1">IFERROR(__xludf.DUMMYFUNCTION("GOOGLEFINANCE(""bom:""&amp;A68,""PRICE"")"),2.24)</f>
        <v>2.2400000000000002</v>
      </c>
      <c r="F68" s="112">
        <f ca="1">IFERROR(__xludf.DUMMYFUNCTION("GOOGLEFINANCE(""BOM:""&amp;A68,""MARKETCAP"")/10000000"),52.60076)</f>
        <v>52.600760000000001</v>
      </c>
      <c r="G68" s="95">
        <f t="shared" ca="1" si="0"/>
        <v>2.5193987230373246E-4</v>
      </c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</row>
    <row r="69" spans="1:25" ht="14.4">
      <c r="A69" s="99">
        <v>530951</v>
      </c>
      <c r="B69" s="98" t="s">
        <v>3662</v>
      </c>
      <c r="C69" s="101" t="e">
        <f>VLOOKUP(A69,'BSE ALL CAP'!$B$4:$Y$1038,2,)</f>
        <v>#N/A</v>
      </c>
      <c r="D69" s="101" t="e">
        <f>VLOOKUP(A69,'BSE ALL CAP'!$B$4:$Y$1038,3,)</f>
        <v>#N/A</v>
      </c>
      <c r="E69" s="101">
        <f ca="1">IFERROR(__xludf.DUMMYFUNCTION("GOOGLEFINANCE(""bom:""&amp;A69,""PRICE"")"),59)</f>
        <v>59</v>
      </c>
      <c r="F69" s="112">
        <f ca="1">IFERROR(__xludf.DUMMYFUNCTION("GOOGLEFINANCE(""BOM:""&amp;A69,""MARKETCAP"")/10000000"),48.3204926)</f>
        <v>48.320492600000001</v>
      </c>
      <c r="G69" s="95">
        <f t="shared" ca="1" si="0"/>
        <v>2.314388372962187E-4</v>
      </c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</row>
    <row r="70" spans="1:25" ht="14.4">
      <c r="A70" s="99">
        <v>517415</v>
      </c>
      <c r="B70" s="98" t="s">
        <v>3663</v>
      </c>
      <c r="C70" s="101" t="e">
        <f>VLOOKUP(A70,'BSE ALL CAP'!$B$4:$Y$1038,2,)</f>
        <v>#N/A</v>
      </c>
      <c r="D70" s="101" t="e">
        <f>VLOOKUP(A70,'BSE ALL CAP'!$B$4:$Y$1038,3,)</f>
        <v>#N/A</v>
      </c>
      <c r="E70" s="101">
        <f ca="1">IFERROR(__xludf.DUMMYFUNCTION("GOOGLEFINANCE(""bom:""&amp;A70,""PRICE"")"),7.78)</f>
        <v>7.78</v>
      </c>
      <c r="F70" s="112">
        <f ca="1">IFERROR(__xludf.DUMMYFUNCTION("GOOGLEFINANCE(""BOM:""&amp;A70,""MARKETCAP"")/10000000"),43.3921653)</f>
        <v>43.392165300000002</v>
      </c>
      <c r="G70" s="95">
        <f t="shared" ca="1" si="0"/>
        <v>2.0783381427691257E-4</v>
      </c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</row>
    <row r="71" spans="1:25" ht="14.4">
      <c r="A71" s="99">
        <v>533056</v>
      </c>
      <c r="B71" s="98" t="s">
        <v>3664</v>
      </c>
      <c r="C71" s="101" t="e">
        <f>VLOOKUP(A71,'BSE ALL CAP'!$B$4:$Y$1038,2,)</f>
        <v>#N/A</v>
      </c>
      <c r="D71" s="101" t="e">
        <f>VLOOKUP(A71,'BSE ALL CAP'!$B$4:$Y$1038,3,)</f>
        <v>#N/A</v>
      </c>
      <c r="E71" s="101">
        <f ca="1">IFERROR(__xludf.DUMMYFUNCTION("GOOGLEFINANCE(""bom:""&amp;A71,""PRICE"")"),18.06)</f>
        <v>18.059999999999999</v>
      </c>
      <c r="F71" s="112">
        <f ca="1">IFERROR(__xludf.DUMMYFUNCTION("GOOGLEFINANCE(""BOM:""&amp;A71,""MARKETCAP"")/10000000"),42.3763439)</f>
        <v>42.376343900000002</v>
      </c>
      <c r="G71" s="95">
        <f t="shared" ca="1" si="0"/>
        <v>2.0296837290687534E-4</v>
      </c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</row>
    <row r="72" spans="1:25" ht="14.4">
      <c r="A72" s="99">
        <v>517119</v>
      </c>
      <c r="B72" s="98" t="s">
        <v>3665</v>
      </c>
      <c r="C72" s="101" t="e">
        <f>VLOOKUP(A72,'BSE ALL CAP'!$B$4:$Y$1038,2,)</f>
        <v>#N/A</v>
      </c>
      <c r="D72" s="101" t="e">
        <f>VLOOKUP(A72,'BSE ALL CAP'!$B$4:$Y$1038,3,)</f>
        <v>#N/A</v>
      </c>
      <c r="E72" s="101">
        <f ca="1">IFERROR(__xludf.DUMMYFUNCTION("GOOGLEFINANCE(""bom:""&amp;A72,""PRICE"")"),19.2)</f>
        <v>19.2</v>
      </c>
      <c r="F72" s="112">
        <f ca="1">IFERROR(__xludf.DUMMYFUNCTION("GOOGLEFINANCE(""BOM:""&amp;A72,""MARKETCAP"")/10000000"),40.2252879)</f>
        <v>40.225287899999998</v>
      </c>
      <c r="G72" s="95">
        <f t="shared" ca="1" si="0"/>
        <v>1.9266554127557993E-4</v>
      </c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</row>
    <row r="73" spans="1:25" ht="14.4">
      <c r="A73" s="99">
        <v>532404</v>
      </c>
      <c r="B73" s="98" t="s">
        <v>3666</v>
      </c>
      <c r="C73" s="101" t="e">
        <f>VLOOKUP(A73,'BSE ALL CAP'!$B$4:$Y$1038,2,)</f>
        <v>#N/A</v>
      </c>
      <c r="D73" s="101" t="e">
        <f>VLOOKUP(A73,'BSE ALL CAP'!$B$4:$Y$1038,3,)</f>
        <v>#N/A</v>
      </c>
      <c r="E73" s="101">
        <f ca="1">IFERROR(__xludf.DUMMYFUNCTION("GOOGLEFINANCE(""bom:""&amp;A73,""PRICE"")"),35)</f>
        <v>35</v>
      </c>
      <c r="F73" s="112">
        <f ca="1">IFERROR(__xludf.DUMMYFUNCTION("GOOGLEFINANCE(""BOM:""&amp;A73,""MARKETCAP"")/10000000"),38.07559)</f>
        <v>38.075589999999998</v>
      </c>
      <c r="G73" s="95">
        <f t="shared" ca="1" si="0"/>
        <v>1.8236921448452973E-4</v>
      </c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</row>
    <row r="74" spans="1:25" ht="14.4">
      <c r="A74" s="99">
        <v>544471</v>
      </c>
      <c r="B74" s="98" t="s">
        <v>3667</v>
      </c>
      <c r="C74" s="101" t="e">
        <f>VLOOKUP(A74,'BSE ALL CAP'!$B$4:$Y$1038,2,)</f>
        <v>#N/A</v>
      </c>
      <c r="D74" s="101" t="e">
        <f>VLOOKUP(A74,'BSE ALL CAP'!$B$4:$Y$1038,3,)</f>
        <v>#N/A</v>
      </c>
      <c r="E74" s="101">
        <f ca="1">IFERROR(__xludf.DUMMYFUNCTION("GOOGLEFINANCE(""bom:""&amp;A74,""PRICE"")"),25.4)</f>
        <v>25.4</v>
      </c>
      <c r="F74" s="112">
        <f ca="1">IFERROR(__xludf.DUMMYFUNCTION("GOOGLEFINANCE(""BOM:""&amp;A74,""MARKETCAP"")/10000000"),36.3778794)</f>
        <v>36.377879399999998</v>
      </c>
      <c r="G74" s="95">
        <f t="shared" ca="1" si="0"/>
        <v>1.7423775418295436E-4</v>
      </c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</row>
    <row r="75" spans="1:25" ht="14.4">
      <c r="A75" s="99">
        <v>532521</v>
      </c>
      <c r="B75" s="98" t="s">
        <v>3668</v>
      </c>
      <c r="C75" s="101" t="e">
        <f>VLOOKUP(A75,'BSE ALL CAP'!$B$4:$Y$1038,2,)</f>
        <v>#N/A</v>
      </c>
      <c r="D75" s="101" t="e">
        <f>VLOOKUP(A75,'BSE ALL CAP'!$B$4:$Y$1038,3,)</f>
        <v>#N/A</v>
      </c>
      <c r="E75" s="101">
        <f ca="1">IFERROR(__xludf.DUMMYFUNCTION("GOOGLEFINANCE(""bom:""&amp;A75,""PRICE"")"),26.35)</f>
        <v>26.35</v>
      </c>
      <c r="F75" s="112">
        <f ca="1">IFERROR(__xludf.DUMMYFUNCTION("GOOGLEFINANCE(""BOM:""&amp;A75,""MARKETCAP"")/10000000"),37.0401925)</f>
        <v>37.040192500000003</v>
      </c>
      <c r="G75" s="95">
        <f t="shared" ca="1" si="0"/>
        <v>1.774100102081352E-4</v>
      </c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</row>
    <row r="76" spans="1:25" ht="14.4">
      <c r="A76" s="99">
        <v>544393</v>
      </c>
      <c r="B76" s="98" t="s">
        <v>3669</v>
      </c>
      <c r="C76" s="101" t="e">
        <f>VLOOKUP(A76,'BSE ALL CAP'!$B$4:$Y$1038,2,)</f>
        <v>#N/A</v>
      </c>
      <c r="D76" s="101" t="e">
        <f>VLOOKUP(A76,'BSE ALL CAP'!$B$4:$Y$1038,3,)</f>
        <v>#N/A</v>
      </c>
      <c r="E76" s="101">
        <f ca="1">IFERROR(__xludf.DUMMYFUNCTION("GOOGLEFINANCE(""bom:""&amp;A76,""PRICE"")"),30)</f>
        <v>30</v>
      </c>
      <c r="F76" s="112">
        <f ca="1">IFERROR(__xludf.DUMMYFUNCTION("GOOGLEFINANCE(""BOM:""&amp;A76,""MARKETCAP"")/10000000"),35.5434)</f>
        <v>35.543399999999998</v>
      </c>
      <c r="G76" s="95">
        <f t="shared" ca="1" si="0"/>
        <v>1.7024087973710805E-4</v>
      </c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</row>
    <row r="77" spans="1:25" ht="14.4">
      <c r="A77" s="99">
        <v>539122</v>
      </c>
      <c r="B77" s="98" t="s">
        <v>3670</v>
      </c>
      <c r="C77" s="101" t="e">
        <f>VLOOKUP(A77,'BSE ALL CAP'!$B$4:$Y$1038,2,)</f>
        <v>#N/A</v>
      </c>
      <c r="D77" s="101" t="e">
        <f>VLOOKUP(A77,'BSE ALL CAP'!$B$4:$Y$1038,3,)</f>
        <v>#N/A</v>
      </c>
      <c r="E77" s="101">
        <f ca="1">IFERROR(__xludf.DUMMYFUNCTION("GOOGLEFINANCE(""bom:""&amp;A77,""PRICE"")"),15.09)</f>
        <v>15.09</v>
      </c>
      <c r="F77" s="112">
        <f ca="1">IFERROR(__xludf.DUMMYFUNCTION("GOOGLEFINANCE(""BOM:""&amp;A77,""MARKETCAP"")/10000000"),32.9951454)</f>
        <v>32.995145399999998</v>
      </c>
      <c r="G77" s="95">
        <f t="shared" ca="1" si="0"/>
        <v>1.5803560098217372E-4</v>
      </c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ht="14.4">
      <c r="A78" s="99">
        <v>532402</v>
      </c>
      <c r="B78" s="98" t="s">
        <v>3671</v>
      </c>
      <c r="C78" s="101" t="e">
        <f>VLOOKUP(A78,'BSE ALL CAP'!$B$4:$Y$1038,2,)</f>
        <v>#N/A</v>
      </c>
      <c r="D78" s="101" t="e">
        <f>VLOOKUP(A78,'BSE ALL CAP'!$B$4:$Y$1038,3,)</f>
        <v>#N/A</v>
      </c>
      <c r="E78" s="101">
        <f ca="1">IFERROR(__xludf.DUMMYFUNCTION("GOOGLEFINANCE(""bom:""&amp;A78,""PRICE"")"),7.61)</f>
        <v>7.61</v>
      </c>
      <c r="F78" s="112">
        <f ca="1">IFERROR(__xludf.DUMMYFUNCTION("GOOGLEFINANCE(""BOM:""&amp;A78,""MARKETCAP"")/10000000"),29.9942067)</f>
        <v>29.994206699999999</v>
      </c>
      <c r="G78" s="95">
        <f t="shared" ca="1" si="0"/>
        <v>1.4366211830113779E-4</v>
      </c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ht="14.4">
      <c r="A79" s="99">
        <v>532951</v>
      </c>
      <c r="B79" s="98" t="s">
        <v>3672</v>
      </c>
      <c r="C79" s="101" t="e">
        <f>VLOOKUP(A79,'BSE ALL CAP'!$B$4:$Y$1038,2,)</f>
        <v>#N/A</v>
      </c>
      <c r="D79" s="101" t="e">
        <f>VLOOKUP(A79,'BSE ALL CAP'!$B$4:$Y$1038,3,)</f>
        <v>#N/A</v>
      </c>
      <c r="E79" s="101">
        <f ca="1">IFERROR(__xludf.DUMMYFUNCTION("GOOGLEFINANCE(""bom:""&amp;A79,""PRICE"")"),12.53)</f>
        <v>12.53</v>
      </c>
      <c r="F79" s="112">
        <f ca="1">IFERROR(__xludf.DUMMYFUNCTION("GOOGLEFINANCE(""BOM:""&amp;A79,""MARKETCAP"")/10000000"),32.7230739)</f>
        <v>32.723073900000003</v>
      </c>
      <c r="G79" s="95">
        <f t="shared" ca="1" si="0"/>
        <v>1.5673247040064823E-4</v>
      </c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</row>
    <row r="80" spans="1:25" ht="14.4">
      <c r="A80" s="99">
        <v>544494</v>
      </c>
      <c r="B80" s="98" t="s">
        <v>3673</v>
      </c>
      <c r="C80" s="101" t="e">
        <f>VLOOKUP(A80,'BSE ALL CAP'!$B$4:$Y$1038,2,)</f>
        <v>#N/A</v>
      </c>
      <c r="D80" s="101" t="e">
        <f>VLOOKUP(A80,'BSE ALL CAP'!$B$4:$Y$1038,3,)</f>
        <v>#N/A</v>
      </c>
      <c r="E80" s="101">
        <f ca="1">IFERROR(__xludf.DUMMYFUNCTION("GOOGLEFINANCE(""bom:""&amp;A80,""PRICE"")"),17.5)</f>
        <v>17.5</v>
      </c>
      <c r="F80" s="112">
        <f ca="1">IFERROR(__xludf.DUMMYFUNCTION("GOOGLEFINANCE(""BOM:""&amp;A80,""MARKETCAP"")/10000000"),26.4621)</f>
        <v>26.4621</v>
      </c>
      <c r="G80" s="95">
        <f t="shared" ca="1" si="0"/>
        <v>1.2674452032420441E-4</v>
      </c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5" ht="14.4">
      <c r="A81" s="99">
        <v>540416</v>
      </c>
      <c r="B81" s="98" t="s">
        <v>3674</v>
      </c>
      <c r="C81" s="101" t="e">
        <f>VLOOKUP(A81,'BSE ALL CAP'!$B$4:$Y$1038,2,)</f>
        <v>#N/A</v>
      </c>
      <c r="D81" s="101" t="e">
        <f>VLOOKUP(A81,'BSE ALL CAP'!$B$4:$Y$1038,3,)</f>
        <v>#N/A</v>
      </c>
      <c r="E81" s="101">
        <f ca="1">IFERROR(__xludf.DUMMYFUNCTION("GOOGLEFINANCE(""bom:""&amp;A81,""PRICE"")"),63.76)</f>
        <v>63.76</v>
      </c>
      <c r="F81" s="112">
        <f ca="1">IFERROR(__xludf.DUMMYFUNCTION("GOOGLEFINANCE(""BOM:""&amp;A81,""MARKETCAP"")/10000000"),22.89347)</f>
        <v>22.893470000000001</v>
      </c>
      <c r="G81" s="95">
        <f t="shared" ca="1" si="0"/>
        <v>1.0965198807753595E-4</v>
      </c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5" ht="14.4">
      <c r="A82" s="99">
        <v>543475</v>
      </c>
      <c r="B82" s="98" t="s">
        <v>3675</v>
      </c>
      <c r="C82" s="101" t="e">
        <f>VLOOKUP(A82,'BSE ALL CAP'!$B$4:$Y$1038,2,)</f>
        <v>#N/A</v>
      </c>
      <c r="D82" s="101" t="e">
        <f>VLOOKUP(A82,'BSE ALL CAP'!$B$4:$Y$1038,3,)</f>
        <v>#N/A</v>
      </c>
      <c r="E82" s="101">
        <f ca="1">IFERROR(__xludf.DUMMYFUNCTION("GOOGLEFINANCE(""bom:""&amp;A82,""PRICE"")"),150.25)</f>
        <v>150.25</v>
      </c>
      <c r="F82" s="112">
        <f ca="1">IFERROR(__xludf.DUMMYFUNCTION("GOOGLEFINANCE(""BOM:""&amp;A82,""MARKETCAP"")/10000000"),21.035)</f>
        <v>21.035</v>
      </c>
      <c r="G82" s="95">
        <f t="shared" ca="1" si="0"/>
        <v>1.0075054455313977E-4</v>
      </c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</row>
    <row r="83" spans="1:25" ht="14.4">
      <c r="A83" s="99">
        <v>538742</v>
      </c>
      <c r="B83" s="98" t="s">
        <v>3676</v>
      </c>
      <c r="C83" s="101" t="e">
        <f>VLOOKUP(A83,'BSE ALL CAP'!$B$4:$Y$1038,2,)</f>
        <v>#N/A</v>
      </c>
      <c r="D83" s="101" t="e">
        <f>VLOOKUP(A83,'BSE ALL CAP'!$B$4:$Y$1038,3,)</f>
        <v>#N/A</v>
      </c>
      <c r="E83" s="101">
        <f ca="1">IFERROR(__xludf.DUMMYFUNCTION("GOOGLEFINANCE(""bom:""&amp;A83,""PRICE"")"),25.9)</f>
        <v>25.9</v>
      </c>
      <c r="F83" s="112">
        <f ca="1">IFERROR(__xludf.DUMMYFUNCTION("GOOGLEFINANCE(""BOM:""&amp;A83,""MARKETCAP"")/10000000"),17.3270997)</f>
        <v>17.327099700000002</v>
      </c>
      <c r="G83" s="95">
        <f t="shared" ca="1" si="0"/>
        <v>8.2990954613812454E-5</v>
      </c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5" ht="14.4">
      <c r="A84" s="99">
        <v>502893</v>
      </c>
      <c r="B84" s="98" t="s">
        <v>3677</v>
      </c>
      <c r="C84" s="101" t="e">
        <f>VLOOKUP(A84,'BSE ALL CAP'!$B$4:$Y$1038,2,)</f>
        <v>#N/A</v>
      </c>
      <c r="D84" s="101" t="e">
        <f>VLOOKUP(A84,'BSE ALL CAP'!$B$4:$Y$1038,3,)</f>
        <v>#N/A</v>
      </c>
      <c r="E84" s="101">
        <f ca="1">IFERROR(__xludf.DUMMYFUNCTION("GOOGLEFINANCE(""bom:""&amp;A84,""PRICE"")"),75.9)</f>
        <v>75.900000000000006</v>
      </c>
      <c r="F84" s="112">
        <f ca="1">IFERROR(__xludf.DUMMYFUNCTION("GOOGLEFINANCE(""BOM:""&amp;A84,""MARKETCAP"")/10000000"),13.8972902)</f>
        <v>13.8972902</v>
      </c>
      <c r="G84" s="95">
        <f t="shared" ca="1" si="0"/>
        <v>6.6563325669741506E-5</v>
      </c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</row>
    <row r="85" spans="1:25" ht="14.4">
      <c r="A85" s="99">
        <v>544052</v>
      </c>
      <c r="B85" s="98" t="s">
        <v>3678</v>
      </c>
      <c r="C85" s="101" t="e">
        <f>VLOOKUP(A85,'BSE ALL CAP'!$B$4:$Y$1038,2,)</f>
        <v>#N/A</v>
      </c>
      <c r="D85" s="101" t="e">
        <f>VLOOKUP(A85,'BSE ALL CAP'!$B$4:$Y$1038,3,)</f>
        <v>#N/A</v>
      </c>
      <c r="E85" s="101">
        <f ca="1">IFERROR(__xludf.DUMMYFUNCTION("GOOGLEFINANCE(""bom:""&amp;A85,""PRICE"")"),20)</f>
        <v>20</v>
      </c>
      <c r="F85" s="112">
        <f ca="1">IFERROR(__xludf.DUMMYFUNCTION("GOOGLEFINANCE(""BOM:""&amp;A85,""MARKETCAP"")/10000000"),13.728)</f>
        <v>13.728</v>
      </c>
      <c r="G85" s="95">
        <f t="shared" ca="1" si="0"/>
        <v>6.5752482796553485E-5</v>
      </c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</row>
    <row r="86" spans="1:25" ht="14.4">
      <c r="A86" s="99">
        <v>544190</v>
      </c>
      <c r="B86" s="98" t="s">
        <v>3679</v>
      </c>
      <c r="C86" s="101" t="e">
        <f>VLOOKUP(A86,'BSE ALL CAP'!$B$4:$Y$1038,2,)</f>
        <v>#N/A</v>
      </c>
      <c r="D86" s="101" t="e">
        <f>VLOOKUP(A86,'BSE ALL CAP'!$B$4:$Y$1038,3,)</f>
        <v>#N/A</v>
      </c>
      <c r="E86" s="101">
        <f ca="1">IFERROR(__xludf.DUMMYFUNCTION("GOOGLEFINANCE(""bom:""&amp;A86,""PRICE"")"),14.68)</f>
        <v>14.68</v>
      </c>
      <c r="F86" s="112">
        <f ca="1">IFERROR(__xludf.DUMMYFUNCTION("GOOGLEFINANCE(""BOM:""&amp;A86,""MARKETCAP"")/10000000"),8.83736)</f>
        <v>8.8373600000000003</v>
      </c>
      <c r="G86" s="95">
        <f t="shared" ca="1" si="0"/>
        <v>4.232796921379298E-5</v>
      </c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</row>
    <row r="87" spans="1:25" ht="14.4">
      <c r="A87" s="99">
        <v>544094</v>
      </c>
      <c r="B87" s="98" t="s">
        <v>3680</v>
      </c>
      <c r="C87" s="101" t="e">
        <f>VLOOKUP(A87,'BSE ALL CAP'!$B$4:$Y$1038,2,)</f>
        <v>#N/A</v>
      </c>
      <c r="D87" s="101" t="e">
        <f>VLOOKUP(A87,'BSE ALL CAP'!$B$4:$Y$1038,3,)</f>
        <v>#N/A</v>
      </c>
      <c r="E87" s="101">
        <f ca="1">IFERROR(__xludf.DUMMYFUNCTION("GOOGLEFINANCE(""bom:""&amp;A87,""PRICE"")"),27.52)</f>
        <v>27.52</v>
      </c>
      <c r="F87" s="112">
        <f ca="1">IFERROR(__xludf.DUMMYFUNCTION("GOOGLEFINANCE(""BOM:""&amp;A87,""MARKETCAP"")/10000000"),7.9859188)</f>
        <v>7.9859188000000003</v>
      </c>
      <c r="G87" s="95">
        <f t="shared" ca="1" si="0"/>
        <v>3.8249853475500667E-5</v>
      </c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</row>
    <row r="88" spans="1:25" ht="14.4">
      <c r="A88" s="99">
        <v>540189</v>
      </c>
      <c r="B88" s="98" t="s">
        <v>3681</v>
      </c>
      <c r="C88" s="101" t="e">
        <f>VLOOKUP(A88,'BSE ALL CAP'!$B$4:$Y$1038,2,)</f>
        <v>#N/A</v>
      </c>
      <c r="D88" s="101" t="e">
        <f>VLOOKUP(A88,'BSE ALL CAP'!$B$4:$Y$1038,3,)</f>
        <v>#N/A</v>
      </c>
      <c r="E88" s="101">
        <f ca="1">IFERROR(__xludf.DUMMYFUNCTION("GOOGLEFINANCE(""bom:""&amp;A88,""PRICE"")"),32.69)</f>
        <v>32.69</v>
      </c>
      <c r="F88" s="112"/>
      <c r="G88" s="95">
        <f t="shared" ca="1" si="0"/>
        <v>0</v>
      </c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</row>
    <row r="89" spans="1:25" ht="13.2">
      <c r="A89" s="101"/>
      <c r="B89" s="101"/>
      <c r="C89" s="101"/>
      <c r="D89" s="101"/>
      <c r="E89" s="101"/>
      <c r="F89" s="112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</row>
    <row r="90" spans="1:25" ht="13.2">
      <c r="A90" s="101"/>
      <c r="B90" s="101"/>
      <c r="C90" s="101"/>
      <c r="D90" s="101"/>
      <c r="E90" s="101"/>
      <c r="F90" s="112">
        <f t="shared" ref="F90:O90" ca="1" si="1">SUM(F2:F88)</f>
        <v>208782.99063589994</v>
      </c>
      <c r="G90" s="95">
        <f t="shared" ca="1" si="1"/>
        <v>1.0000000000000007</v>
      </c>
      <c r="H90" s="101">
        <f t="shared" si="1"/>
        <v>42082</v>
      </c>
      <c r="I90" s="101">
        <f t="shared" si="1"/>
        <v>36667</v>
      </c>
      <c r="J90" s="101">
        <f t="shared" si="1"/>
        <v>4361</v>
      </c>
      <c r="K90" s="101">
        <f t="shared" si="1"/>
        <v>3735</v>
      </c>
      <c r="L90" s="101">
        <f t="shared" si="1"/>
        <v>14992</v>
      </c>
      <c r="M90" s="101">
        <f t="shared" si="1"/>
        <v>12700</v>
      </c>
      <c r="N90" s="101">
        <f t="shared" si="1"/>
        <v>1358</v>
      </c>
      <c r="O90" s="101">
        <f t="shared" si="1"/>
        <v>1398</v>
      </c>
      <c r="P90" s="95">
        <f t="shared" ref="P90:Q90" si="2">J90/H90</f>
        <v>0.10363100613088731</v>
      </c>
      <c r="Q90" s="95">
        <f t="shared" si="2"/>
        <v>0.10186271033899692</v>
      </c>
      <c r="R90" s="95">
        <f>P90-Q90</f>
        <v>1.7682957918903897E-3</v>
      </c>
      <c r="S90" s="95">
        <f t="shared" ref="S90:T90" si="3">N90/L90</f>
        <v>9.0581643543223053E-2</v>
      </c>
      <c r="T90" s="95">
        <f t="shared" si="3"/>
        <v>0.11007874015748031</v>
      </c>
      <c r="U90" s="95">
        <f>S90-T90</f>
        <v>-1.9497096614257262E-2</v>
      </c>
      <c r="V90" s="95">
        <f>(H90/I90)-1</f>
        <v>0.14768047563203979</v>
      </c>
      <c r="W90" s="95">
        <f>(J90/K90)-1</f>
        <v>0.16760374832663993</v>
      </c>
      <c r="X90" s="95">
        <f>(L90/M90)-1</f>
        <v>0.18047244094488191</v>
      </c>
      <c r="Y90" s="95">
        <f>(N90/O90)-1</f>
        <v>-2.8612303290414864E-2</v>
      </c>
    </row>
    <row r="91" spans="1:25" ht="13.2">
      <c r="F91" s="94"/>
    </row>
    <row r="92" spans="1:25" ht="13.2">
      <c r="F92" s="94"/>
    </row>
    <row r="93" spans="1:25" ht="13.2">
      <c r="F93" s="94"/>
    </row>
    <row r="94" spans="1:25" ht="13.2">
      <c r="F94" s="94"/>
    </row>
    <row r="95" spans="1:25" ht="13.2">
      <c r="F95" s="94"/>
    </row>
    <row r="96" spans="1:25" ht="13.2">
      <c r="F96" s="94"/>
    </row>
    <row r="97" spans="6:6" ht="13.2">
      <c r="F97" s="94"/>
    </row>
    <row r="98" spans="6:6" ht="13.2">
      <c r="F98" s="94"/>
    </row>
    <row r="99" spans="6:6" ht="13.2">
      <c r="F99" s="94"/>
    </row>
    <row r="100" spans="6:6" ht="13.2">
      <c r="F100" s="94"/>
    </row>
    <row r="101" spans="6:6" ht="13.2">
      <c r="F101" s="94"/>
    </row>
    <row r="102" spans="6:6" ht="13.2">
      <c r="F102" s="94"/>
    </row>
    <row r="103" spans="6:6" ht="13.2">
      <c r="F103" s="94"/>
    </row>
    <row r="104" spans="6:6" ht="13.2">
      <c r="F104" s="94"/>
    </row>
    <row r="105" spans="6:6" ht="13.2">
      <c r="F105" s="94"/>
    </row>
    <row r="106" spans="6:6" ht="13.2">
      <c r="F106" s="94"/>
    </row>
    <row r="107" spans="6:6" ht="13.2">
      <c r="F107" s="94"/>
    </row>
    <row r="108" spans="6:6" ht="13.2">
      <c r="F108" s="94"/>
    </row>
    <row r="109" spans="6:6" ht="13.2">
      <c r="F109" s="94"/>
    </row>
    <row r="110" spans="6:6" ht="13.2">
      <c r="F110" s="94"/>
    </row>
    <row r="111" spans="6:6" ht="13.2">
      <c r="F111" s="94"/>
    </row>
    <row r="112" spans="6:6" ht="13.2">
      <c r="F112" s="94"/>
    </row>
    <row r="113" spans="6:6" ht="13.2">
      <c r="F113" s="94"/>
    </row>
    <row r="114" spans="6:6" ht="13.2">
      <c r="F114" s="94"/>
    </row>
    <row r="115" spans="6:6" ht="13.2">
      <c r="F115" s="94"/>
    </row>
    <row r="116" spans="6:6" ht="13.2">
      <c r="F116" s="94"/>
    </row>
    <row r="117" spans="6:6" ht="13.2">
      <c r="F117" s="94"/>
    </row>
    <row r="118" spans="6:6" ht="13.2">
      <c r="F118" s="94"/>
    </row>
    <row r="119" spans="6:6" ht="13.2">
      <c r="F119" s="94"/>
    </row>
    <row r="120" spans="6:6" ht="13.2">
      <c r="F120" s="94"/>
    </row>
    <row r="121" spans="6:6" ht="13.2">
      <c r="F121" s="94"/>
    </row>
    <row r="122" spans="6:6" ht="13.2">
      <c r="F122" s="94"/>
    </row>
    <row r="123" spans="6:6" ht="13.2">
      <c r="F123" s="94"/>
    </row>
    <row r="124" spans="6:6" ht="13.2">
      <c r="F124" s="94"/>
    </row>
    <row r="125" spans="6:6" ht="13.2">
      <c r="F125" s="94"/>
    </row>
    <row r="126" spans="6:6" ht="13.2">
      <c r="F126" s="94"/>
    </row>
    <row r="127" spans="6:6" ht="13.2">
      <c r="F127" s="94"/>
    </row>
    <row r="128" spans="6:6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88" xr:uid="{00000000-0009-0000-0000-00006A000000}"/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outlinePr summaryBelow="0" summaryRight="0"/>
  </sheetPr>
  <dimension ref="A1:Y1000"/>
  <sheetViews>
    <sheetView workbookViewId="0"/>
  </sheetViews>
  <sheetFormatPr defaultColWidth="12.6640625" defaultRowHeight="15.75" customHeight="1"/>
  <sheetData>
    <row r="1" spans="1:25" ht="15.75" customHeight="1">
      <c r="A1" s="140" t="s">
        <v>1387</v>
      </c>
      <c r="B1" s="140" t="s">
        <v>143</v>
      </c>
      <c r="C1" s="140" t="s">
        <v>144</v>
      </c>
      <c r="D1" s="140" t="s">
        <v>145</v>
      </c>
      <c r="E1" s="141" t="s">
        <v>146</v>
      </c>
      <c r="F1" s="142" t="s">
        <v>147</v>
      </c>
      <c r="G1" s="144" t="s">
        <v>148</v>
      </c>
      <c r="H1" s="144" t="s">
        <v>149</v>
      </c>
      <c r="I1" s="144" t="s">
        <v>150</v>
      </c>
      <c r="J1" s="144" t="s">
        <v>151</v>
      </c>
      <c r="K1" s="144" t="s">
        <v>152</v>
      </c>
      <c r="L1" s="145" t="s">
        <v>153</v>
      </c>
      <c r="M1" s="145" t="s">
        <v>154</v>
      </c>
      <c r="N1" s="144" t="s">
        <v>155</v>
      </c>
      <c r="O1" s="144" t="s">
        <v>156</v>
      </c>
      <c r="P1" s="144" t="s">
        <v>157</v>
      </c>
      <c r="Q1" s="144" t="s">
        <v>158</v>
      </c>
      <c r="R1" s="146" t="s">
        <v>159</v>
      </c>
      <c r="S1" s="144" t="s">
        <v>160</v>
      </c>
      <c r="T1" s="144" t="s">
        <v>161</v>
      </c>
      <c r="U1" s="146" t="s">
        <v>162</v>
      </c>
      <c r="V1" s="145" t="s">
        <v>163</v>
      </c>
      <c r="W1" s="145" t="s">
        <v>164</v>
      </c>
      <c r="X1" s="145" t="s">
        <v>165</v>
      </c>
      <c r="Y1" s="145" t="s">
        <v>166</v>
      </c>
    </row>
    <row r="2" spans="1:25" ht="15.75" customHeight="1">
      <c r="A2" s="99">
        <v>533758</v>
      </c>
      <c r="B2" s="98" t="s">
        <v>3682</v>
      </c>
      <c r="C2" s="101" t="str">
        <f>VLOOKUP(A2,'BSE ALL CAP'!$B$4:$Y$1038,2,)</f>
        <v>Industrials</v>
      </c>
      <c r="D2" s="101" t="str">
        <f>VLOOKUP(A2,'BSE ALL CAP'!$B$4:$Y$1038,3,)</f>
        <v>Iron &amp; Steel Products</v>
      </c>
      <c r="E2" s="101">
        <f ca="1">IFERROR(__xludf.DUMMYFUNCTION("GOOGLEFINANCE(""BOM:""&amp;A2,""PRICE"")"),1919.7)</f>
        <v>1919.7</v>
      </c>
      <c r="F2" s="112">
        <f ca="1">IFERROR(__xludf.DUMMYFUNCTION("GOOGLEFINANCE(""BOM:""&amp;A2,""MARKETCAP"")/10000000"),53257.6378451)</f>
        <v>53257.637845099998</v>
      </c>
      <c r="G2" s="95">
        <f t="shared" ref="G2:G123" ca="1" si="0">F2/$F$125</f>
        <v>0.20303574080201117</v>
      </c>
      <c r="H2" s="101">
        <f>VLOOKUP(A2,'BSE ALL CAP'!$B$4:$Y$1038,7,)</f>
        <v>16191</v>
      </c>
      <c r="I2" s="101">
        <f>VLOOKUP(A2,'BSE ALL CAP'!$B$4:$Y$1038,8,)</f>
        <v>15180</v>
      </c>
      <c r="J2" s="101">
        <f>VLOOKUP(A2,'BSE ALL CAP'!$B$4:$Y$1038,9,)</f>
        <v>848</v>
      </c>
      <c r="K2" s="101">
        <f>VLOOKUP(A2,'BSE ALL CAP'!$B$4:$Y$1038,10,)</f>
        <v>463</v>
      </c>
      <c r="L2" s="101">
        <f>VLOOKUP(A2,'BSE ALL CAP'!$B$4:$Y$1038,11,)</f>
        <v>5815</v>
      </c>
      <c r="M2" s="101">
        <f>VLOOKUP(A2,'BSE ALL CAP'!$B$4:$Y$1038,12,)</f>
        <v>5432</v>
      </c>
      <c r="N2" s="101">
        <f>VLOOKUP(A2,'BSE ALL CAP'!$B$4:$Y$1038,13,)</f>
        <v>310</v>
      </c>
      <c r="O2" s="101">
        <f>VLOOKUP(A2,'BSE ALL CAP'!$B$4:$Y$1038,14,)</f>
        <v>216</v>
      </c>
      <c r="P2" s="95">
        <f>VLOOKUP(A2,'BSE ALL CAP'!$B$4:$Y$1038,15,)</f>
        <v>5.2374776110184672E-2</v>
      </c>
      <c r="Q2" s="95">
        <f>VLOOKUP(A2,'BSE ALL CAP'!$B$4:$Y$1038,16,)</f>
        <v>3.0500658761528326E-2</v>
      </c>
      <c r="R2" s="95">
        <f>VLOOKUP(A2,'BSE ALL CAP'!$B$4:$Y$1038,17,)</f>
        <v>2.1874117348656345E-2</v>
      </c>
      <c r="S2" s="95">
        <f>VLOOKUP(A2,'BSE ALL CAP'!$B$4:$Y$1038,18,)</f>
        <v>5.3310404127257092E-2</v>
      </c>
      <c r="T2" s="95">
        <f>VLOOKUP(A2,'BSE ALL CAP'!$B$4:$Y$1038,19,)</f>
        <v>3.9764359351988215E-2</v>
      </c>
      <c r="U2" s="95">
        <f>VLOOKUP(A2,'BSE ALL CAP'!$B$4:$Y$1038,20,)</f>
        <v>1.3546044775268877E-2</v>
      </c>
      <c r="V2" s="95">
        <f>VLOOKUP(A2,'BSE ALL CAP'!$B$4:$Y$1038,21,)</f>
        <v>6.6600790513833941E-2</v>
      </c>
      <c r="W2" s="95">
        <f>VLOOKUP(A2,'BSE ALL CAP'!$B$4:$Y$1038,22,)</f>
        <v>0.83153347732181415</v>
      </c>
      <c r="X2" s="95">
        <f>VLOOKUP(A2,'BSE ALL CAP'!$B$4:$Y$1038,23,)</f>
        <v>7.0508100147275377E-2</v>
      </c>
      <c r="Y2" s="95">
        <f>VLOOKUP(A2,'BSE ALL CAP'!$B$4:$Y$1038,24,)</f>
        <v>0.43518518518518512</v>
      </c>
    </row>
    <row r="3" spans="1:25" ht="15.75" customHeight="1">
      <c r="A3" s="99">
        <v>543299</v>
      </c>
      <c r="B3" s="98" t="s">
        <v>3683</v>
      </c>
      <c r="C3" s="101" t="str">
        <f>VLOOKUP(A3,'BSE ALL CAP'!$B$4:$Y$1038,2,)</f>
        <v>Industrials</v>
      </c>
      <c r="D3" s="101" t="str">
        <f>VLOOKUP(A3,'BSE ALL CAP'!$B$4:$Y$1038,3,)</f>
        <v>Iron &amp; Steel Products</v>
      </c>
      <c r="E3" s="101">
        <f ca="1">IFERROR(__xludf.DUMMYFUNCTION("GOOGLEFINANCE(""BOM:""&amp;A3,""PRICE"")"),791.85)</f>
        <v>791.85</v>
      </c>
      <c r="F3" s="112">
        <f ca="1">IFERROR(__xludf.DUMMYFUNCTION("GOOGLEFINANCE(""BOM:""&amp;A3,""MARKETCAP"")/10000000"),22031.5151747)</f>
        <v>22031.515174700002</v>
      </c>
      <c r="G3" s="95">
        <f t="shared" ca="1" si="0"/>
        <v>8.3991427060588708E-2</v>
      </c>
      <c r="H3" s="101">
        <f>VLOOKUP(A3,'BSE ALL CAP'!$B$4:$Y$1038,7,)</f>
        <v>13311</v>
      </c>
      <c r="I3" s="101">
        <f>VLOOKUP(A3,'BSE ALL CAP'!$B$4:$Y$1038,8,)</f>
        <v>11010</v>
      </c>
      <c r="J3" s="101">
        <f>VLOOKUP(A3,'BSE ALL CAP'!$B$4:$Y$1038,9,)</f>
        <v>748</v>
      </c>
      <c r="K3" s="101">
        <f>VLOOKUP(A3,'BSE ALL CAP'!$B$4:$Y$1038,10,)</f>
        <v>689</v>
      </c>
      <c r="L3" s="101">
        <f>VLOOKUP(A3,'BSE ALL CAP'!$B$4:$Y$1038,11,)</f>
        <v>4421</v>
      </c>
      <c r="M3" s="101">
        <f>VLOOKUP(A3,'BSE ALL CAP'!$B$4:$Y$1038,12,)</f>
        <v>3756</v>
      </c>
      <c r="N3" s="101">
        <f>VLOOKUP(A3,'BSE ALL CAP'!$B$4:$Y$1038,13,)</f>
        <v>197</v>
      </c>
      <c r="O3" s="101">
        <f>VLOOKUP(A3,'BSE ALL CAP'!$B$4:$Y$1038,14,)</f>
        <v>197</v>
      </c>
      <c r="P3" s="95">
        <f>VLOOKUP(A3,'BSE ALL CAP'!$B$4:$Y$1038,15,)</f>
        <v>5.6194125159642401E-2</v>
      </c>
      <c r="Q3" s="95">
        <f>VLOOKUP(A3,'BSE ALL CAP'!$B$4:$Y$1038,16,)</f>
        <v>6.2579473206176198E-2</v>
      </c>
      <c r="R3" s="95">
        <f>VLOOKUP(A3,'BSE ALL CAP'!$B$4:$Y$1038,17,)</f>
        <v>-6.3853480465337967E-3</v>
      </c>
      <c r="S3" s="95">
        <f>VLOOKUP(A3,'BSE ALL CAP'!$B$4:$Y$1038,18,)</f>
        <v>4.4560054286360555E-2</v>
      </c>
      <c r="T3" s="95">
        <f>VLOOKUP(A3,'BSE ALL CAP'!$B$4:$Y$1038,19,)</f>
        <v>5.2449414270500531E-2</v>
      </c>
      <c r="U3" s="95">
        <f>VLOOKUP(A3,'BSE ALL CAP'!$B$4:$Y$1038,20,)</f>
        <v>-7.8893599841399764E-3</v>
      </c>
      <c r="V3" s="95">
        <f>VLOOKUP(A3,'BSE ALL CAP'!$B$4:$Y$1038,21,)</f>
        <v>0.20899182561307894</v>
      </c>
      <c r="W3" s="95">
        <f>VLOOKUP(A3,'BSE ALL CAP'!$B$4:$Y$1038,22,)</f>
        <v>8.5631349782293142E-2</v>
      </c>
      <c r="X3" s="95">
        <f>VLOOKUP(A3,'BSE ALL CAP'!$B$4:$Y$1038,23,)</f>
        <v>0.17705005324813627</v>
      </c>
      <c r="Y3" s="95">
        <f>VLOOKUP(A3,'BSE ALL CAP'!$B$4:$Y$1038,24,)</f>
        <v>0</v>
      </c>
    </row>
    <row r="4" spans="1:25" ht="15.75" customHeight="1">
      <c r="A4" s="99">
        <v>532144</v>
      </c>
      <c r="B4" s="98" t="s">
        <v>3684</v>
      </c>
      <c r="C4" s="101" t="str">
        <f>VLOOKUP(A4,'BSE ALL CAP'!$B$4:$Y$1038,2,)</f>
        <v>Industrials</v>
      </c>
      <c r="D4" s="101" t="str">
        <f>VLOOKUP(A4,'BSE ALL CAP'!$B$4:$Y$1038,3,)</f>
        <v>Iron &amp; Steel Products</v>
      </c>
      <c r="E4" s="101">
        <f ca="1">IFERROR(__xludf.DUMMYFUNCTION("GOOGLEFINANCE(""BOM:""&amp;A4,""PRICE"")"),853.6)</f>
        <v>853.6</v>
      </c>
      <c r="F4" s="112">
        <f ca="1">IFERROR(__xludf.DUMMYFUNCTION("GOOGLEFINANCE(""BOM:""&amp;A4,""MARKETCAP"")/10000000"),22501.853465)</f>
        <v>22501.853465</v>
      </c>
      <c r="G4" s="95">
        <f t="shared" ca="1" si="0"/>
        <v>8.5784512279207692E-2</v>
      </c>
      <c r="H4" s="101">
        <f>VLOOKUP(A4,'BSE ALL CAP'!$B$4:$Y$1038,7,)</f>
        <v>12458</v>
      </c>
      <c r="I4" s="101">
        <f>VLOOKUP(A4,'BSE ALL CAP'!$B$4:$Y$1038,8,)</f>
        <v>10053</v>
      </c>
      <c r="J4" s="101">
        <f>VLOOKUP(A4,'BSE ALL CAP'!$B$4:$Y$1038,9,)</f>
        <v>1249</v>
      </c>
      <c r="K4" s="101">
        <f>VLOOKUP(A4,'BSE ALL CAP'!$B$4:$Y$1038,10,)</f>
        <v>1203</v>
      </c>
      <c r="L4" s="101">
        <f>VLOOKUP(A4,'BSE ALL CAP'!$B$4:$Y$1038,11,)</f>
        <v>4532</v>
      </c>
      <c r="M4" s="101">
        <f>VLOOKUP(A4,'BSE ALL CAP'!$B$4:$Y$1038,12,)</f>
        <v>3614</v>
      </c>
      <c r="N4" s="101">
        <f>VLOOKUP(A4,'BSE ALL CAP'!$B$4:$Y$1038,13,)</f>
        <v>456</v>
      </c>
      <c r="O4" s="101">
        <f>VLOOKUP(A4,'BSE ALL CAP'!$B$4:$Y$1038,14,)</f>
        <v>672</v>
      </c>
      <c r="P4" s="95">
        <f>VLOOKUP(A4,'BSE ALL CAP'!$B$4:$Y$1038,15,)</f>
        <v>0.1002568630598812</v>
      </c>
      <c r="Q4" s="95">
        <f>VLOOKUP(A4,'BSE ALL CAP'!$B$4:$Y$1038,16,)</f>
        <v>0.11966577141151895</v>
      </c>
      <c r="R4" s="95">
        <f>VLOOKUP(A4,'BSE ALL CAP'!$B$4:$Y$1038,17,)</f>
        <v>-1.9408908351637749E-2</v>
      </c>
      <c r="S4" s="95">
        <f>VLOOKUP(A4,'BSE ALL CAP'!$B$4:$Y$1038,18,)</f>
        <v>0.10061782877316858</v>
      </c>
      <c r="T4" s="95">
        <f>VLOOKUP(A4,'BSE ALL CAP'!$B$4:$Y$1038,19,)</f>
        <v>0.18594355285002767</v>
      </c>
      <c r="U4" s="95">
        <f>VLOOKUP(A4,'BSE ALL CAP'!$B$4:$Y$1038,20,)</f>
        <v>-8.5325724076859094E-2</v>
      </c>
      <c r="V4" s="95">
        <f>VLOOKUP(A4,'BSE ALL CAP'!$B$4:$Y$1038,21,)</f>
        <v>0.23923207002884705</v>
      </c>
      <c r="W4" s="95">
        <f>VLOOKUP(A4,'BSE ALL CAP'!$B$4:$Y$1038,22,)</f>
        <v>3.8237738985868575E-2</v>
      </c>
      <c r="X4" s="95">
        <f>VLOOKUP(A4,'BSE ALL CAP'!$B$4:$Y$1038,23,)</f>
        <v>0.25401217487548422</v>
      </c>
      <c r="Y4" s="95">
        <f>VLOOKUP(A4,'BSE ALL CAP'!$B$4:$Y$1038,24,)</f>
        <v>-0.3214285714285714</v>
      </c>
    </row>
    <row r="5" spans="1:25" ht="15.75" customHeight="1">
      <c r="A5" s="99">
        <v>532734</v>
      </c>
      <c r="B5" s="98" t="s">
        <v>3685</v>
      </c>
      <c r="C5" s="101" t="str">
        <f>VLOOKUP(A5,'BSE ALL CAP'!$B$4:$Y$1038,2,)</f>
        <v>Industrials</v>
      </c>
      <c r="D5" s="101" t="str">
        <f>VLOOKUP(A5,'BSE ALL CAP'!$B$4:$Y$1038,3,)</f>
        <v>Iron &amp; Steel Products</v>
      </c>
      <c r="E5" s="101">
        <f ca="1">IFERROR(__xludf.DUMMYFUNCTION("GOOGLEFINANCE(""BOM:""&amp;A5,""PRICE"")"),275.55)</f>
        <v>275.55</v>
      </c>
      <c r="F5" s="112">
        <f ca="1">IFERROR(__xludf.DUMMYFUNCTION("GOOGLEFINANCE(""BOM:""&amp;A5,""MARKETCAP"")/10000000"),18496.097485)</f>
        <v>18496.097484999998</v>
      </c>
      <c r="G5" s="95">
        <f t="shared" ca="1" si="0"/>
        <v>7.051324479947256E-2</v>
      </c>
      <c r="H5" s="101">
        <f>VLOOKUP(A5,'BSE ALL CAP'!$B$4:$Y$1038,7,)</f>
        <v>3770</v>
      </c>
      <c r="I5" s="101">
        <f>VLOOKUP(A5,'BSE ALL CAP'!$B$4:$Y$1038,8,)</f>
        <v>3908</v>
      </c>
      <c r="J5" s="101">
        <f>VLOOKUP(A5,'BSE ALL CAP'!$B$4:$Y$1038,9,)</f>
        <v>521</v>
      </c>
      <c r="K5" s="101">
        <f>VLOOKUP(A5,'BSE ALL CAP'!$B$4:$Y$1038,10,)</f>
        <v>591</v>
      </c>
      <c r="L5" s="101">
        <f>VLOOKUP(A5,'BSE ALL CAP'!$B$4:$Y$1038,11,)</f>
        <v>1139</v>
      </c>
      <c r="M5" s="101">
        <f>VLOOKUP(A5,'BSE ALL CAP'!$B$4:$Y$1038,12,)</f>
        <v>1298</v>
      </c>
      <c r="N5" s="101">
        <f>VLOOKUP(A5,'BSE ALL CAP'!$B$4:$Y$1038,13,)</f>
        <v>143</v>
      </c>
      <c r="O5" s="101">
        <f>VLOOKUP(A5,'BSE ALL CAP'!$B$4:$Y$1038,14,)</f>
        <v>145</v>
      </c>
      <c r="P5" s="95">
        <f>VLOOKUP(A5,'BSE ALL CAP'!$B$4:$Y$1038,15,)</f>
        <v>0.13819628647214854</v>
      </c>
      <c r="Q5" s="95">
        <f>VLOOKUP(A5,'BSE ALL CAP'!$B$4:$Y$1038,16,)</f>
        <v>0.15122824974411464</v>
      </c>
      <c r="R5" s="95">
        <f>VLOOKUP(A5,'BSE ALL CAP'!$B$4:$Y$1038,17,)</f>
        <v>-1.3031963271966096E-2</v>
      </c>
      <c r="S5" s="95">
        <f>VLOOKUP(A5,'BSE ALL CAP'!$B$4:$Y$1038,18,)</f>
        <v>0.12554872695346794</v>
      </c>
      <c r="T5" s="95">
        <f>VLOOKUP(A5,'BSE ALL CAP'!$B$4:$Y$1038,19,)</f>
        <v>0.11171032357473036</v>
      </c>
      <c r="U5" s="95">
        <f>VLOOKUP(A5,'BSE ALL CAP'!$B$4:$Y$1038,20,)</f>
        <v>1.3838403378737582E-2</v>
      </c>
      <c r="V5" s="95">
        <f>VLOOKUP(A5,'BSE ALL CAP'!$B$4:$Y$1038,21,)</f>
        <v>-3.5312180143295846E-2</v>
      </c>
      <c r="W5" s="95">
        <f>VLOOKUP(A5,'BSE ALL CAP'!$B$4:$Y$1038,22,)</f>
        <v>-0.11844331641285955</v>
      </c>
      <c r="X5" s="95">
        <f>VLOOKUP(A5,'BSE ALL CAP'!$B$4:$Y$1038,23,)</f>
        <v>-0.12249614791987673</v>
      </c>
      <c r="Y5" s="95">
        <f>VLOOKUP(A5,'BSE ALL CAP'!$B$4:$Y$1038,24,)</f>
        <v>-1.379310344827589E-2</v>
      </c>
    </row>
    <row r="6" spans="1:25" ht="15.75" customHeight="1">
      <c r="A6" s="99">
        <v>520111</v>
      </c>
      <c r="B6" s="98" t="s">
        <v>3686</v>
      </c>
      <c r="C6" s="101" t="str">
        <f>VLOOKUP(A6,'BSE ALL CAP'!$B$4:$Y$1038,2,)</f>
        <v>Industrials</v>
      </c>
      <c r="D6" s="101" t="str">
        <f>VLOOKUP(A6,'BSE ALL CAP'!$B$4:$Y$1038,3,)</f>
        <v>Iron &amp; Steel Products</v>
      </c>
      <c r="E6" s="101">
        <f ca="1">IFERROR(__xludf.DUMMYFUNCTION("GOOGLEFINANCE(""BOM:""&amp;A6,""PRICE"")"),2223)</f>
        <v>2223</v>
      </c>
      <c r="F6" s="112">
        <f ca="1">IFERROR(__xludf.DUMMYFUNCTION("GOOGLEFINANCE(""BOM:""&amp;A6,""MARKETCAP"")/10000000"),15594.7683955)</f>
        <v>15594.768395499999</v>
      </c>
      <c r="G6" s="95">
        <f t="shared" ca="1" si="0"/>
        <v>5.9452418130622187E-2</v>
      </c>
      <c r="H6" s="101">
        <f>VLOOKUP(A6,'BSE ALL CAP'!$B$4:$Y$1038,7,)</f>
        <v>3409</v>
      </c>
      <c r="I6" s="101">
        <f>VLOOKUP(A6,'BSE ALL CAP'!$B$4:$Y$1038,8,)</f>
        <v>3471</v>
      </c>
      <c r="J6" s="101">
        <f>VLOOKUP(A6,'BSE ALL CAP'!$B$4:$Y$1038,9,)</f>
        <v>418</v>
      </c>
      <c r="K6" s="101">
        <f>VLOOKUP(A6,'BSE ALL CAP'!$B$4:$Y$1038,10,)</f>
        <v>338</v>
      </c>
      <c r="L6" s="101">
        <f>VLOOKUP(A6,'BSE ALL CAP'!$B$4:$Y$1038,11,)</f>
        <v>1065</v>
      </c>
      <c r="M6" s="101">
        <f>VLOOKUP(A6,'BSE ALL CAP'!$B$4:$Y$1038,12,)</f>
        <v>1316</v>
      </c>
      <c r="N6" s="101">
        <f>VLOOKUP(A6,'BSE ALL CAP'!$B$4:$Y$1038,13,)</f>
        <v>135</v>
      </c>
      <c r="O6" s="101">
        <f>VLOOKUP(A6,'BSE ALL CAP'!$B$4:$Y$1038,14,)</f>
        <v>133</v>
      </c>
      <c r="P6" s="95">
        <f>VLOOKUP(A6,'BSE ALL CAP'!$B$4:$Y$1038,15,)</f>
        <v>0.12261660310941624</v>
      </c>
      <c r="Q6" s="95">
        <f>VLOOKUP(A6,'BSE ALL CAP'!$B$4:$Y$1038,16,)</f>
        <v>9.7378277153558054E-2</v>
      </c>
      <c r="R6" s="95">
        <f>VLOOKUP(A6,'BSE ALL CAP'!$B$4:$Y$1038,17,)</f>
        <v>2.523832595585819E-2</v>
      </c>
      <c r="S6" s="95">
        <f>VLOOKUP(A6,'BSE ALL CAP'!$B$4:$Y$1038,18,)</f>
        <v>0.12676056338028169</v>
      </c>
      <c r="T6" s="95">
        <f>VLOOKUP(A6,'BSE ALL CAP'!$B$4:$Y$1038,19,)</f>
        <v>0.10106382978723404</v>
      </c>
      <c r="U6" s="95">
        <f>VLOOKUP(A6,'BSE ALL CAP'!$B$4:$Y$1038,20,)</f>
        <v>2.5696733593047652E-2</v>
      </c>
      <c r="V6" s="95">
        <f>VLOOKUP(A6,'BSE ALL CAP'!$B$4:$Y$1038,21,)</f>
        <v>-1.7862287525208909E-2</v>
      </c>
      <c r="W6" s="95">
        <f>VLOOKUP(A6,'BSE ALL CAP'!$B$4:$Y$1038,22,)</f>
        <v>0.23668639053254448</v>
      </c>
      <c r="X6" s="95">
        <f>VLOOKUP(A6,'BSE ALL CAP'!$B$4:$Y$1038,23,)</f>
        <v>-0.19072948328267481</v>
      </c>
      <c r="Y6" s="95">
        <f>VLOOKUP(A6,'BSE ALL CAP'!$B$4:$Y$1038,24,)</f>
        <v>1.5037593984962516E-2</v>
      </c>
    </row>
    <row r="7" spans="1:25" ht="15.75" customHeight="1">
      <c r="A7" s="99">
        <v>532726</v>
      </c>
      <c r="B7" s="98" t="s">
        <v>3687</v>
      </c>
      <c r="C7" s="101" t="str">
        <f>VLOOKUP(A7,'BSE ALL CAP'!$B$4:$Y$1038,2,)</f>
        <v>Industrials</v>
      </c>
      <c r="D7" s="101" t="str">
        <f>VLOOKUP(A7,'BSE ALL CAP'!$B$4:$Y$1038,3,)</f>
        <v>Iron &amp; Steel Products</v>
      </c>
      <c r="E7" s="101">
        <f ca="1">IFERROR(__xludf.DUMMYFUNCTION("GOOGLEFINANCE(""BOM:""&amp;A7,""PRICE"")"),566.95)</f>
        <v>566.95000000000005</v>
      </c>
      <c r="F7" s="112">
        <f ca="1">IFERROR(__xludf.DUMMYFUNCTION("GOOGLEFINANCE(""BOM:""&amp;A7,""MARKETCAP"")/10000000"),13656.0852575)</f>
        <v>13656.085257500001</v>
      </c>
      <c r="G7" s="95">
        <f t="shared" ca="1" si="0"/>
        <v>5.2061516411528896E-2</v>
      </c>
      <c r="H7" s="101">
        <f>VLOOKUP(A7,'BSE ALL CAP'!$B$4:$Y$1038,7,)</f>
        <v>3214</v>
      </c>
      <c r="I7" s="101">
        <f>VLOOKUP(A7,'BSE ALL CAP'!$B$4:$Y$1038,8,)</f>
        <v>3220</v>
      </c>
      <c r="J7" s="101">
        <f>VLOOKUP(A7,'BSE ALL CAP'!$B$4:$Y$1038,9,)</f>
        <v>361</v>
      </c>
      <c r="K7" s="101">
        <f>VLOOKUP(A7,'BSE ALL CAP'!$B$4:$Y$1038,10,)</f>
        <v>284</v>
      </c>
      <c r="L7" s="101">
        <f>VLOOKUP(A7,'BSE ALL CAP'!$B$4:$Y$1038,11,)</f>
        <v>1073</v>
      </c>
      <c r="M7" s="101">
        <f>VLOOKUP(A7,'BSE ALL CAP'!$B$4:$Y$1038,12,)</f>
        <v>1118</v>
      </c>
      <c r="N7" s="101">
        <f>VLOOKUP(A7,'BSE ALL CAP'!$B$4:$Y$1038,13,)</f>
        <v>100</v>
      </c>
      <c r="O7" s="101">
        <f>VLOOKUP(A7,'BSE ALL CAP'!$B$4:$Y$1038,14,)</f>
        <v>113</v>
      </c>
      <c r="P7" s="95">
        <f>VLOOKUP(A7,'BSE ALL CAP'!$B$4:$Y$1038,15,)</f>
        <v>0.11232109520846298</v>
      </c>
      <c r="Q7" s="95">
        <f>VLOOKUP(A7,'BSE ALL CAP'!$B$4:$Y$1038,16,)</f>
        <v>8.819875776397515E-2</v>
      </c>
      <c r="R7" s="95">
        <f>VLOOKUP(A7,'BSE ALL CAP'!$B$4:$Y$1038,17,)</f>
        <v>2.4122337444487829E-2</v>
      </c>
      <c r="S7" s="95">
        <f>VLOOKUP(A7,'BSE ALL CAP'!$B$4:$Y$1038,18,)</f>
        <v>9.3196644920782848E-2</v>
      </c>
      <c r="T7" s="95">
        <f>VLOOKUP(A7,'BSE ALL CAP'!$B$4:$Y$1038,19,)</f>
        <v>0.10107334525939177</v>
      </c>
      <c r="U7" s="95">
        <f>VLOOKUP(A7,'BSE ALL CAP'!$B$4:$Y$1038,20,)</f>
        <v>-7.876700338608919E-3</v>
      </c>
      <c r="V7" s="95">
        <f>VLOOKUP(A7,'BSE ALL CAP'!$B$4:$Y$1038,21,)</f>
        <v>-1.8633540372671176E-3</v>
      </c>
      <c r="W7" s="95">
        <f>VLOOKUP(A7,'BSE ALL CAP'!$B$4:$Y$1038,22,)</f>
        <v>0.27112676056338025</v>
      </c>
      <c r="X7" s="95">
        <f>VLOOKUP(A7,'BSE ALL CAP'!$B$4:$Y$1038,23,)</f>
        <v>-4.0250447227191399E-2</v>
      </c>
      <c r="Y7" s="95">
        <f>VLOOKUP(A7,'BSE ALL CAP'!$B$4:$Y$1038,24,)</f>
        <v>-0.11504424778761058</v>
      </c>
    </row>
    <row r="8" spans="1:25" ht="15.75" customHeight="1">
      <c r="A8" s="99">
        <v>517146</v>
      </c>
      <c r="B8" s="98" t="s">
        <v>3688</v>
      </c>
      <c r="C8" s="101" t="str">
        <f>VLOOKUP(A8,'BSE ALL CAP'!$B$4:$Y$1038,2,)</f>
        <v>Industrials</v>
      </c>
      <c r="D8" s="101" t="str">
        <f>VLOOKUP(A8,'BSE ALL CAP'!$B$4:$Y$1038,3,)</f>
        <v>Iron &amp; Steel Products</v>
      </c>
      <c r="E8" s="101">
        <f ca="1">IFERROR(__xludf.DUMMYFUNCTION("GOOGLEFINANCE(""BOM:""&amp;A8,""PRICE"")"),407.55)</f>
        <v>407.55</v>
      </c>
      <c r="F8" s="112">
        <f ca="1">IFERROR(__xludf.DUMMYFUNCTION("GOOGLEFINANCE(""BOM:""&amp;A8,""MARKETCAP"")/10000000"),12422.5805097)</f>
        <v>12422.580509699999</v>
      </c>
      <c r="G8" s="95">
        <f t="shared" ca="1" si="0"/>
        <v>4.7358988090975274E-2</v>
      </c>
      <c r="H8" s="101">
        <f>VLOOKUP(A8,'BSE ALL CAP'!$B$4:$Y$1038,7,)</f>
        <v>2711</v>
      </c>
      <c r="I8" s="101">
        <f>VLOOKUP(A8,'BSE ALL CAP'!$B$4:$Y$1038,8,)</f>
        <v>2578</v>
      </c>
      <c r="J8" s="101">
        <f>VLOOKUP(A8,'BSE ALL CAP'!$B$4:$Y$1038,9,)</f>
        <v>318</v>
      </c>
      <c r="K8" s="101">
        <f>VLOOKUP(A8,'BSE ALL CAP'!$B$4:$Y$1038,10,)</f>
        <v>305</v>
      </c>
      <c r="L8" s="101">
        <f>VLOOKUP(A8,'BSE ALL CAP'!$B$4:$Y$1038,11,)</f>
        <v>917</v>
      </c>
      <c r="M8" s="101">
        <f>VLOOKUP(A8,'BSE ALL CAP'!$B$4:$Y$1038,12,)</f>
        <v>860</v>
      </c>
      <c r="N8" s="101">
        <f>VLOOKUP(A8,'BSE ALL CAP'!$B$4:$Y$1038,13,)</f>
        <v>107</v>
      </c>
      <c r="O8" s="101">
        <f>VLOOKUP(A8,'BSE ALL CAP'!$B$4:$Y$1038,14,)</f>
        <v>92</v>
      </c>
      <c r="P8" s="95">
        <f>VLOOKUP(A8,'BSE ALL CAP'!$B$4:$Y$1038,15,)</f>
        <v>0.11729988933972704</v>
      </c>
      <c r="Q8" s="95">
        <f>VLOOKUP(A8,'BSE ALL CAP'!$B$4:$Y$1038,16,)</f>
        <v>0.1183087664856478</v>
      </c>
      <c r="R8" s="95">
        <f>VLOOKUP(A8,'BSE ALL CAP'!$B$4:$Y$1038,17,)</f>
        <v>-1.0088771459207529E-3</v>
      </c>
      <c r="S8" s="95">
        <f>VLOOKUP(A8,'BSE ALL CAP'!$B$4:$Y$1038,18,)</f>
        <v>0.11668484187568157</v>
      </c>
      <c r="T8" s="95">
        <f>VLOOKUP(A8,'BSE ALL CAP'!$B$4:$Y$1038,19,)</f>
        <v>0.10697674418604651</v>
      </c>
      <c r="U8" s="95">
        <f>VLOOKUP(A8,'BSE ALL CAP'!$B$4:$Y$1038,20,)</f>
        <v>9.7080976896350563E-3</v>
      </c>
      <c r="V8" s="95">
        <f>VLOOKUP(A8,'BSE ALL CAP'!$B$4:$Y$1038,21,)</f>
        <v>5.1590380139643122E-2</v>
      </c>
      <c r="W8" s="95">
        <f>VLOOKUP(A8,'BSE ALL CAP'!$B$4:$Y$1038,22,)</f>
        <v>4.2622950819672045E-2</v>
      </c>
      <c r="X8" s="95">
        <f>VLOOKUP(A8,'BSE ALL CAP'!$B$4:$Y$1038,23,)</f>
        <v>6.6279069767441801E-2</v>
      </c>
      <c r="Y8" s="95">
        <f>VLOOKUP(A8,'BSE ALL CAP'!$B$4:$Y$1038,24,)</f>
        <v>0.16304347826086962</v>
      </c>
    </row>
    <row r="9" spans="1:25" ht="15.75" customHeight="1">
      <c r="A9" s="99">
        <v>500378</v>
      </c>
      <c r="B9" s="98" t="s">
        <v>3689</v>
      </c>
      <c r="C9" s="101" t="str">
        <f>VLOOKUP(A9,'BSE ALL CAP'!$B$4:$Y$1038,2,)</f>
        <v>Industrials</v>
      </c>
      <c r="D9" s="101" t="str">
        <f>VLOOKUP(A9,'BSE ALL CAP'!$B$4:$Y$1038,3,)</f>
        <v>Iron &amp; Steel Products</v>
      </c>
      <c r="E9" s="101">
        <f ca="1">IFERROR(__xludf.DUMMYFUNCTION("GOOGLEFINANCE(""BOM:""&amp;A9,""PRICE"")"),195.1)</f>
        <v>195.1</v>
      </c>
      <c r="F9" s="112">
        <f ca="1">IFERROR(__xludf.DUMMYFUNCTION("GOOGLEFINANCE(""BOM:""&amp;A9,""MARKETCAP"")/10000000"),12435.1172913)</f>
        <v>12435.117291299999</v>
      </c>
      <c r="G9" s="95">
        <f t="shared" ca="1" si="0"/>
        <v>4.7406782451416725E-2</v>
      </c>
      <c r="H9" s="101">
        <f>VLOOKUP(A9,'BSE ALL CAP'!$B$4:$Y$1038,7,)</f>
        <v>13261</v>
      </c>
      <c r="I9" s="101">
        <f>VLOOKUP(A9,'BSE ALL CAP'!$B$4:$Y$1038,8,)</f>
        <v>15782</v>
      </c>
      <c r="J9" s="101">
        <f>VLOOKUP(A9,'BSE ALL CAP'!$B$4:$Y$1038,9,)</f>
        <v>801</v>
      </c>
      <c r="K9" s="101">
        <f>VLOOKUP(A9,'BSE ALL CAP'!$B$4:$Y$1038,10,)</f>
        <v>1371</v>
      </c>
      <c r="L9" s="101">
        <f>VLOOKUP(A9,'BSE ALL CAP'!$B$4:$Y$1038,11,)</f>
        <v>4943</v>
      </c>
      <c r="M9" s="101">
        <f>VLOOKUP(A9,'BSE ALL CAP'!$B$4:$Y$1038,12,)</f>
        <v>5271</v>
      </c>
      <c r="N9" s="101">
        <f>VLOOKUP(A9,'BSE ALL CAP'!$B$4:$Y$1038,13,)</f>
        <v>247</v>
      </c>
      <c r="O9" s="101">
        <f>VLOOKUP(A9,'BSE ALL CAP'!$B$4:$Y$1038,14,)</f>
        <v>479</v>
      </c>
      <c r="P9" s="95">
        <f>VLOOKUP(A9,'BSE ALL CAP'!$B$4:$Y$1038,15,)</f>
        <v>6.0402684563758392E-2</v>
      </c>
      <c r="Q9" s="95">
        <f>VLOOKUP(A9,'BSE ALL CAP'!$B$4:$Y$1038,16,)</f>
        <v>8.6871118996324923E-2</v>
      </c>
      <c r="R9" s="95">
        <f>VLOOKUP(A9,'BSE ALL CAP'!$B$4:$Y$1038,17,)</f>
        <v>-2.646843443256653E-2</v>
      </c>
      <c r="S9" s="95">
        <f>VLOOKUP(A9,'BSE ALL CAP'!$B$4:$Y$1038,18,)</f>
        <v>4.9969654056241146E-2</v>
      </c>
      <c r="T9" s="95">
        <f>VLOOKUP(A9,'BSE ALL CAP'!$B$4:$Y$1038,19,)</f>
        <v>9.0874596850692463E-2</v>
      </c>
      <c r="U9" s="95">
        <f>VLOOKUP(A9,'BSE ALL CAP'!$B$4:$Y$1038,20,)</f>
        <v>-4.0904942794451317E-2</v>
      </c>
      <c r="V9" s="95">
        <f>VLOOKUP(A9,'BSE ALL CAP'!$B$4:$Y$1038,21,)</f>
        <v>-0.15973894309973391</v>
      </c>
      <c r="W9" s="95">
        <f>VLOOKUP(A9,'BSE ALL CAP'!$B$4:$Y$1038,22,)</f>
        <v>-0.41575492341356679</v>
      </c>
      <c r="X9" s="95">
        <f>VLOOKUP(A9,'BSE ALL CAP'!$B$4:$Y$1038,23,)</f>
        <v>-6.2227281350787367E-2</v>
      </c>
      <c r="Y9" s="95">
        <f>VLOOKUP(A9,'BSE ALL CAP'!$B$4:$Y$1038,24,)</f>
        <v>-0.48434237995824636</v>
      </c>
    </row>
    <row r="10" spans="1:25" ht="15.75" customHeight="1">
      <c r="A10" s="99">
        <v>500265</v>
      </c>
      <c r="B10" s="98" t="s">
        <v>3690</v>
      </c>
      <c r="C10" s="101" t="str">
        <f>VLOOKUP(A10,'BSE ALL CAP'!$B$4:$Y$1038,2,)</f>
        <v>Industrials</v>
      </c>
      <c r="D10" s="101" t="str">
        <f>VLOOKUP(A10,'BSE ALL CAP'!$B$4:$Y$1038,3,)</f>
        <v>Iron &amp; Steel Products</v>
      </c>
      <c r="E10" s="101">
        <f ca="1">IFERROR(__xludf.DUMMYFUNCTION("GOOGLEFINANCE(""BOM:""&amp;A10,""PRICE"")"),595.75)</f>
        <v>595.75</v>
      </c>
      <c r="F10" s="112">
        <f ca="1">IFERROR(__xludf.DUMMYFUNCTION("GOOGLEFINANCE(""BOM:""&amp;A10,""MARKETCAP"")/10000000"),7980.2916775)</f>
        <v>7980.2916775000003</v>
      </c>
      <c r="G10" s="95">
        <f t="shared" ca="1" si="0"/>
        <v>3.0423512910391165E-2</v>
      </c>
      <c r="H10" s="101">
        <f>VLOOKUP(A10,'BSE ALL CAP'!$B$4:$Y$1038,7,)</f>
        <v>3394</v>
      </c>
      <c r="I10" s="101">
        <f>VLOOKUP(A10,'BSE ALL CAP'!$B$4:$Y$1038,8,)</f>
        <v>3851</v>
      </c>
      <c r="J10" s="101">
        <f>VLOOKUP(A10,'BSE ALL CAP'!$B$4:$Y$1038,9,)</f>
        <v>598</v>
      </c>
      <c r="K10" s="101">
        <f>VLOOKUP(A10,'BSE ALL CAP'!$B$4:$Y$1038,10,)</f>
        <v>535</v>
      </c>
      <c r="L10" s="101">
        <f>VLOOKUP(A10,'BSE ALL CAP'!$B$4:$Y$1038,11,)</f>
        <v>1190</v>
      </c>
      <c r="M10" s="101">
        <f>VLOOKUP(A10,'BSE ALL CAP'!$B$4:$Y$1038,12,)</f>
        <v>1408</v>
      </c>
      <c r="N10" s="101">
        <f>VLOOKUP(A10,'BSE ALL CAP'!$B$4:$Y$1038,13,)</f>
        <v>243</v>
      </c>
      <c r="O10" s="101">
        <f>VLOOKUP(A10,'BSE ALL CAP'!$B$4:$Y$1038,14,)</f>
        <v>186</v>
      </c>
      <c r="P10" s="95">
        <f>VLOOKUP(A10,'BSE ALL CAP'!$B$4:$Y$1038,15,)</f>
        <v>0.17619328226281675</v>
      </c>
      <c r="Q10" s="95">
        <f>VLOOKUP(A10,'BSE ALL CAP'!$B$4:$Y$1038,16,)</f>
        <v>0.13892495455725787</v>
      </c>
      <c r="R10" s="95">
        <f>VLOOKUP(A10,'BSE ALL CAP'!$B$4:$Y$1038,17,)</f>
        <v>3.7268327705558879E-2</v>
      </c>
      <c r="S10" s="95">
        <f>VLOOKUP(A10,'BSE ALL CAP'!$B$4:$Y$1038,18,)</f>
        <v>0.2042016806722689</v>
      </c>
      <c r="T10" s="95">
        <f>VLOOKUP(A10,'BSE ALL CAP'!$B$4:$Y$1038,19,)</f>
        <v>0.13210227272727273</v>
      </c>
      <c r="U10" s="95">
        <f>VLOOKUP(A10,'BSE ALL CAP'!$B$4:$Y$1038,20,)</f>
        <v>7.2099407944996169E-2</v>
      </c>
      <c r="V10" s="95">
        <f>VLOOKUP(A10,'BSE ALL CAP'!$B$4:$Y$1038,21,)</f>
        <v>-0.11867047520124641</v>
      </c>
      <c r="W10" s="95">
        <f>VLOOKUP(A10,'BSE ALL CAP'!$B$4:$Y$1038,22,)</f>
        <v>0.11775700934579447</v>
      </c>
      <c r="X10" s="95">
        <f>VLOOKUP(A10,'BSE ALL CAP'!$B$4:$Y$1038,23,)</f>
        <v>-0.15482954545454541</v>
      </c>
      <c r="Y10" s="95">
        <f>VLOOKUP(A10,'BSE ALL CAP'!$B$4:$Y$1038,24,)</f>
        <v>0.30645161290322576</v>
      </c>
    </row>
    <row r="11" spans="1:25" ht="15.75" customHeight="1">
      <c r="A11" s="99">
        <v>522285</v>
      </c>
      <c r="B11" s="98" t="s">
        <v>3691</v>
      </c>
      <c r="C11" s="101" t="str">
        <f>VLOOKUP(A11,'BSE ALL CAP'!$B$4:$Y$1038,2,)</f>
        <v>Industrials</v>
      </c>
      <c r="D11" s="101" t="str">
        <f>VLOOKUP(A11,'BSE ALL CAP'!$B$4:$Y$1038,3,)</f>
        <v>Iron &amp; Steel Products</v>
      </c>
      <c r="E11" s="101">
        <f ca="1">IFERROR(__xludf.DUMMYFUNCTION("GOOGLEFINANCE(""BOM:""&amp;A11,""PRICE"")"),79.06)</f>
        <v>79.06</v>
      </c>
      <c r="F11" s="112">
        <f ca="1">IFERROR(__xludf.DUMMYFUNCTION("GOOGLEFINANCE(""BOM:""&amp;A11,""MARKETCAP"")/10000000"),7680.5956138)</f>
        <v>7680.5956138000001</v>
      </c>
      <c r="G11" s="95">
        <f t="shared" ca="1" si="0"/>
        <v>2.9280972332723119E-2</v>
      </c>
      <c r="H11" s="101">
        <f>VLOOKUP(A11,'BSE ALL CAP'!$B$4:$Y$1038,7,)</f>
        <v>5157</v>
      </c>
      <c r="I11" s="101">
        <f>VLOOKUP(A11,'BSE ALL CAP'!$B$4:$Y$1038,8,)</f>
        <v>4324</v>
      </c>
      <c r="J11" s="101">
        <f>VLOOKUP(A11,'BSE ALL CAP'!$B$4:$Y$1038,9,)</f>
        <v>272</v>
      </c>
      <c r="K11" s="101">
        <f>VLOOKUP(A11,'BSE ALL CAP'!$B$4:$Y$1038,10,)</f>
        <v>11</v>
      </c>
      <c r="L11" s="101">
        <f>VLOOKUP(A11,'BSE ALL CAP'!$B$4:$Y$1038,11,)</f>
        <v>1727</v>
      </c>
      <c r="M11" s="101">
        <f>VLOOKUP(A11,'BSE ALL CAP'!$B$4:$Y$1038,12,)</f>
        <v>1656</v>
      </c>
      <c r="N11" s="101">
        <f>VLOOKUP(A11,'BSE ALL CAP'!$B$4:$Y$1038,13,)</f>
        <v>74</v>
      </c>
      <c r="O11" s="101">
        <f>VLOOKUP(A11,'BSE ALL CAP'!$B$4:$Y$1038,14,)</f>
        <v>76</v>
      </c>
      <c r="P11" s="95">
        <f>VLOOKUP(A11,'BSE ALL CAP'!$B$4:$Y$1038,15,)</f>
        <v>5.2743843319759551E-2</v>
      </c>
      <c r="Q11" s="95">
        <f>VLOOKUP(A11,'BSE ALL CAP'!$B$4:$Y$1038,16,)</f>
        <v>2.5439407955596669E-3</v>
      </c>
      <c r="R11" s="95">
        <f>VLOOKUP(A11,'BSE ALL CAP'!$B$4:$Y$1038,17,)</f>
        <v>5.0199902524199883E-2</v>
      </c>
      <c r="S11" s="95">
        <f>VLOOKUP(A11,'BSE ALL CAP'!$B$4:$Y$1038,18,)</f>
        <v>4.2848870874348584E-2</v>
      </c>
      <c r="T11" s="95">
        <f>VLOOKUP(A11,'BSE ALL CAP'!$B$4:$Y$1038,19,)</f>
        <v>4.5893719806763288E-2</v>
      </c>
      <c r="U11" s="95">
        <f>VLOOKUP(A11,'BSE ALL CAP'!$B$4:$Y$1038,20,)</f>
        <v>-3.0448489324147038E-3</v>
      </c>
      <c r="V11" s="95">
        <f>VLOOKUP(A11,'BSE ALL CAP'!$B$4:$Y$1038,21,)</f>
        <v>0.19264569842738211</v>
      </c>
      <c r="W11" s="95">
        <f>VLOOKUP(A11,'BSE ALL CAP'!$B$4:$Y$1038,22,)</f>
        <v>23.727272727272727</v>
      </c>
      <c r="X11" s="95">
        <f>VLOOKUP(A11,'BSE ALL CAP'!$B$4:$Y$1038,23,)</f>
        <v>4.287439613526578E-2</v>
      </c>
      <c r="Y11" s="95">
        <f>VLOOKUP(A11,'BSE ALL CAP'!$B$4:$Y$1038,24,)</f>
        <v>-2.6315789473684181E-2</v>
      </c>
    </row>
    <row r="12" spans="1:25" ht="15.75" customHeight="1">
      <c r="A12" s="99">
        <v>532804</v>
      </c>
      <c r="B12" s="98" t="s">
        <v>3692</v>
      </c>
      <c r="C12" s="101" t="str">
        <f>VLOOKUP(A12,'BSE ALL CAP'!$B$4:$Y$1038,2,)</f>
        <v>Industrials</v>
      </c>
      <c r="D12" s="101" t="str">
        <f>VLOOKUP(A12,'BSE ALL CAP'!$B$4:$Y$1038,3,)</f>
        <v>Iron &amp; Steel Products</v>
      </c>
      <c r="E12" s="101">
        <f ca="1">IFERROR(__xludf.DUMMYFUNCTION("GOOGLEFINANCE(""BOM:""&amp;A12,""PRICE"")"),2252.25)</f>
        <v>2252.25</v>
      </c>
      <c r="F12" s="112">
        <f ca="1">IFERROR(__xludf.DUMMYFUNCTION("GOOGLEFINANCE(""BOM:""&amp;A12,""MARKETCAP"")/10000000"),5099.563816)</f>
        <v>5099.5638159999999</v>
      </c>
      <c r="G12" s="95">
        <f t="shared" ca="1" si="0"/>
        <v>1.9441224940545367E-2</v>
      </c>
      <c r="H12" s="101">
        <f>VLOOKUP(A12,'BSE ALL CAP'!$B$4:$Y$1038,7,)</f>
        <v>2047</v>
      </c>
      <c r="I12" s="101">
        <f>VLOOKUP(A12,'BSE ALL CAP'!$B$4:$Y$1038,8,)</f>
        <v>1893</v>
      </c>
      <c r="J12" s="101">
        <f>VLOOKUP(A12,'BSE ALL CAP'!$B$4:$Y$1038,9,)</f>
        <v>215</v>
      </c>
      <c r="K12" s="101">
        <f>VLOOKUP(A12,'BSE ALL CAP'!$B$4:$Y$1038,10,)</f>
        <v>196</v>
      </c>
      <c r="L12" s="101">
        <f>VLOOKUP(A12,'BSE ALL CAP'!$B$4:$Y$1038,11,)</f>
        <v>662</v>
      </c>
      <c r="M12" s="101">
        <f>VLOOKUP(A12,'BSE ALL CAP'!$B$4:$Y$1038,12,)</f>
        <v>644</v>
      </c>
      <c r="N12" s="101">
        <f>VLOOKUP(A12,'BSE ALL CAP'!$B$4:$Y$1038,13,)</f>
        <v>53</v>
      </c>
      <c r="O12" s="101">
        <f>VLOOKUP(A12,'BSE ALL CAP'!$B$4:$Y$1038,14,)</f>
        <v>41</v>
      </c>
      <c r="P12" s="95">
        <f>VLOOKUP(A12,'BSE ALL CAP'!$B$4:$Y$1038,15,)</f>
        <v>0.10503175378602833</v>
      </c>
      <c r="Q12" s="95">
        <f>VLOOKUP(A12,'BSE ALL CAP'!$B$4:$Y$1038,16,)</f>
        <v>0.10353935552033809</v>
      </c>
      <c r="R12" s="95">
        <f>VLOOKUP(A12,'BSE ALL CAP'!$B$4:$Y$1038,17,)</f>
        <v>1.4923982656902396E-3</v>
      </c>
      <c r="S12" s="95">
        <f>VLOOKUP(A12,'BSE ALL CAP'!$B$4:$Y$1038,18,)</f>
        <v>8.0060422960725075E-2</v>
      </c>
      <c r="T12" s="95">
        <f>VLOOKUP(A12,'BSE ALL CAP'!$B$4:$Y$1038,19,)</f>
        <v>6.3664596273291921E-2</v>
      </c>
      <c r="U12" s="95">
        <f>VLOOKUP(A12,'BSE ALL CAP'!$B$4:$Y$1038,20,)</f>
        <v>1.6395826687433154E-2</v>
      </c>
      <c r="V12" s="95">
        <f>VLOOKUP(A12,'BSE ALL CAP'!$B$4:$Y$1038,21,)</f>
        <v>8.1352350765979908E-2</v>
      </c>
      <c r="W12" s="95">
        <f>VLOOKUP(A12,'BSE ALL CAP'!$B$4:$Y$1038,22,)</f>
        <v>9.6938775510204023E-2</v>
      </c>
      <c r="X12" s="95">
        <f>VLOOKUP(A12,'BSE ALL CAP'!$B$4:$Y$1038,23,)</f>
        <v>2.7950310559006208E-2</v>
      </c>
      <c r="Y12" s="95">
        <f>VLOOKUP(A12,'BSE ALL CAP'!$B$4:$Y$1038,24,)</f>
        <v>0.29268292682926833</v>
      </c>
    </row>
    <row r="13" spans="1:25" ht="15.75" customHeight="1">
      <c r="A13" s="99">
        <v>500336</v>
      </c>
      <c r="B13" s="98" t="s">
        <v>3693</v>
      </c>
      <c r="C13" s="101" t="str">
        <f>VLOOKUP(A13,'BSE ALL CAP'!$B$4:$Y$1038,2,)</f>
        <v>Industrials</v>
      </c>
      <c r="D13" s="101" t="str">
        <f>VLOOKUP(A13,'BSE ALL CAP'!$B$4:$Y$1038,3,)</f>
        <v>Iron &amp; Steel Products</v>
      </c>
      <c r="E13" s="101">
        <f ca="1">IFERROR(__xludf.DUMMYFUNCTION("GOOGLEFINANCE(""BOM:""&amp;A13,""PRICE"")"),210)</f>
        <v>210</v>
      </c>
      <c r="F13" s="112">
        <f ca="1">IFERROR(__xludf.DUMMYFUNCTION("GOOGLEFINANCE(""BOM:""&amp;A13,""MARKETCAP"")/10000000"),4567.3551)</f>
        <v>4567.3550999999998</v>
      </c>
      <c r="G13" s="95">
        <f t="shared" ca="1" si="0"/>
        <v>1.7412269183464432E-2</v>
      </c>
      <c r="H13" s="101">
        <f>VLOOKUP(A13,'BSE ALL CAP'!$B$4:$Y$1038,7,)</f>
        <v>5377</v>
      </c>
      <c r="I13" s="101">
        <f>VLOOKUP(A13,'BSE ALL CAP'!$B$4:$Y$1038,8,)</f>
        <v>5290</v>
      </c>
      <c r="J13" s="101">
        <f>VLOOKUP(A13,'BSE ALL CAP'!$B$4:$Y$1038,9,)</f>
        <v>187</v>
      </c>
      <c r="K13" s="101">
        <f>VLOOKUP(A13,'BSE ALL CAP'!$B$4:$Y$1038,10,)</f>
        <v>216</v>
      </c>
      <c r="L13" s="101">
        <f>VLOOKUP(A13,'BSE ALL CAP'!$B$4:$Y$1038,11,)</f>
        <v>1927</v>
      </c>
      <c r="M13" s="101">
        <f>VLOOKUP(A13,'BSE ALL CAP'!$B$4:$Y$1038,12,)</f>
        <v>1867</v>
      </c>
      <c r="N13" s="101">
        <f>VLOOKUP(A13,'BSE ALL CAP'!$B$4:$Y$1038,13,)</f>
        <v>79</v>
      </c>
      <c r="O13" s="101">
        <f>VLOOKUP(A13,'BSE ALL CAP'!$B$4:$Y$1038,14,)</f>
        <v>89</v>
      </c>
      <c r="P13" s="95">
        <f>VLOOKUP(A13,'BSE ALL CAP'!$B$4:$Y$1038,15,)</f>
        <v>3.4777757113632138E-2</v>
      </c>
      <c r="Q13" s="95">
        <f>VLOOKUP(A13,'BSE ALL CAP'!$B$4:$Y$1038,16,)</f>
        <v>4.0831758034026465E-2</v>
      </c>
      <c r="R13" s="95">
        <f>VLOOKUP(A13,'BSE ALL CAP'!$B$4:$Y$1038,17,)</f>
        <v>-6.0540009203943271E-3</v>
      </c>
      <c r="S13" s="95">
        <f>VLOOKUP(A13,'BSE ALL CAP'!$B$4:$Y$1038,18,)</f>
        <v>4.0996367410482612E-2</v>
      </c>
      <c r="T13" s="95">
        <f>VLOOKUP(A13,'BSE ALL CAP'!$B$4:$Y$1038,19,)</f>
        <v>4.7670058918050345E-2</v>
      </c>
      <c r="U13" s="95">
        <f>VLOOKUP(A13,'BSE ALL CAP'!$B$4:$Y$1038,20,)</f>
        <v>-6.6736915075677333E-3</v>
      </c>
      <c r="V13" s="95">
        <f>VLOOKUP(A13,'BSE ALL CAP'!$B$4:$Y$1038,21,)</f>
        <v>1.6446124763705106E-2</v>
      </c>
      <c r="W13" s="95">
        <f>VLOOKUP(A13,'BSE ALL CAP'!$B$4:$Y$1038,22,)</f>
        <v>-0.1342592592592593</v>
      </c>
      <c r="X13" s="95">
        <f>VLOOKUP(A13,'BSE ALL CAP'!$B$4:$Y$1038,23,)</f>
        <v>3.2137118371719398E-2</v>
      </c>
      <c r="Y13" s="95">
        <f>VLOOKUP(A13,'BSE ALL CAP'!$B$4:$Y$1038,24,)</f>
        <v>-0.11235955056179781</v>
      </c>
    </row>
    <row r="14" spans="1:25" ht="15.75" customHeight="1">
      <c r="A14" s="99">
        <v>500404</v>
      </c>
      <c r="B14" s="98" t="s">
        <v>3694</v>
      </c>
      <c r="C14" s="101" t="str">
        <f>VLOOKUP(A14,'BSE ALL CAP'!$B$4:$Y$1038,2,)</f>
        <v>Industrials</v>
      </c>
      <c r="D14" s="101" t="str">
        <f>VLOOKUP(A14,'BSE ALL CAP'!$B$4:$Y$1038,3,)</f>
        <v>Iron &amp; Steel Products</v>
      </c>
      <c r="E14" s="101">
        <f ca="1">IFERROR(__xludf.DUMMYFUNCTION("GOOGLEFINANCE(""BOM:""&amp;A14,""PRICE"")"),224.75)</f>
        <v>224.75</v>
      </c>
      <c r="F14" s="112">
        <f ca="1">IFERROR(__xludf.DUMMYFUNCTION("GOOGLEFINANCE(""BOM:""&amp;A14,""MARKETCAP"")/10000000"),4050.9716512)</f>
        <v>4050.9716512</v>
      </c>
      <c r="G14" s="95">
        <f t="shared" ca="1" si="0"/>
        <v>1.5443644582239246E-2</v>
      </c>
      <c r="H14" s="101">
        <f>VLOOKUP(A14,'BSE ALL CAP'!$B$4:$Y$1038,7,)</f>
        <v>2938</v>
      </c>
      <c r="I14" s="101">
        <f>VLOOKUP(A14,'BSE ALL CAP'!$B$4:$Y$1038,8,)</f>
        <v>2652</v>
      </c>
      <c r="J14" s="101">
        <f>VLOOKUP(A14,'BSE ALL CAP'!$B$4:$Y$1038,9,)</f>
        <v>168</v>
      </c>
      <c r="K14" s="101">
        <f>VLOOKUP(A14,'BSE ALL CAP'!$B$4:$Y$1038,10,)</f>
        <v>118</v>
      </c>
      <c r="L14" s="101">
        <f>VLOOKUP(A14,'BSE ALL CAP'!$B$4:$Y$1038,11,)</f>
        <v>942</v>
      </c>
      <c r="M14" s="101">
        <f>VLOOKUP(A14,'BSE ALL CAP'!$B$4:$Y$1038,12,)</f>
        <v>892</v>
      </c>
      <c r="N14" s="101">
        <f>VLOOKUP(A14,'BSE ALL CAP'!$B$4:$Y$1038,13,)</f>
        <v>59</v>
      </c>
      <c r="O14" s="101">
        <f>VLOOKUP(A14,'BSE ALL CAP'!$B$4:$Y$1038,14,)</f>
        <v>50</v>
      </c>
      <c r="P14" s="95">
        <f>VLOOKUP(A14,'BSE ALL CAP'!$B$4:$Y$1038,15,)</f>
        <v>5.7181756296800543E-2</v>
      </c>
      <c r="Q14" s="95">
        <f>VLOOKUP(A14,'BSE ALL CAP'!$B$4:$Y$1038,16,)</f>
        <v>4.4494720965309202E-2</v>
      </c>
      <c r="R14" s="95">
        <f>VLOOKUP(A14,'BSE ALL CAP'!$B$4:$Y$1038,17,)</f>
        <v>1.2687035331491341E-2</v>
      </c>
      <c r="S14" s="95">
        <f>VLOOKUP(A14,'BSE ALL CAP'!$B$4:$Y$1038,18,)</f>
        <v>6.2632696390658174E-2</v>
      </c>
      <c r="T14" s="95">
        <f>VLOOKUP(A14,'BSE ALL CAP'!$B$4:$Y$1038,19,)</f>
        <v>5.6053811659192827E-2</v>
      </c>
      <c r="U14" s="95">
        <f>VLOOKUP(A14,'BSE ALL CAP'!$B$4:$Y$1038,20,)</f>
        <v>6.5788847314653467E-3</v>
      </c>
      <c r="V14" s="95">
        <f>VLOOKUP(A14,'BSE ALL CAP'!$B$4:$Y$1038,21,)</f>
        <v>0.10784313725490202</v>
      </c>
      <c r="W14" s="95">
        <f>VLOOKUP(A14,'BSE ALL CAP'!$B$4:$Y$1038,22,)</f>
        <v>0.42372881355932202</v>
      </c>
      <c r="X14" s="95">
        <f>VLOOKUP(A14,'BSE ALL CAP'!$B$4:$Y$1038,23,)</f>
        <v>5.6053811659192876E-2</v>
      </c>
      <c r="Y14" s="95">
        <f>VLOOKUP(A14,'BSE ALL CAP'!$B$4:$Y$1038,24,)</f>
        <v>0.17999999999999994</v>
      </c>
    </row>
    <row r="15" spans="1:25" ht="15.75" customHeight="1">
      <c r="A15" s="99">
        <v>500128</v>
      </c>
      <c r="B15" s="98" t="s">
        <v>3695</v>
      </c>
      <c r="C15" s="101" t="str">
        <f>VLOOKUP(A15,'BSE ALL CAP'!$B$4:$Y$1038,2,)</f>
        <v>Industrials</v>
      </c>
      <c r="D15" s="101" t="str">
        <f>VLOOKUP(A15,'BSE ALL CAP'!$B$4:$Y$1038,3,)</f>
        <v>Iron &amp; Steel Products</v>
      </c>
      <c r="E15" s="101">
        <f ca="1">IFERROR(__xludf.DUMMYFUNCTION("GOOGLEFINANCE(""BOM:""&amp;A15,""PRICE"")"),78.63)</f>
        <v>78.63</v>
      </c>
      <c r="F15" s="112">
        <f ca="1">IFERROR(__xludf.DUMMYFUNCTION("GOOGLEFINANCE(""BOM:""&amp;A15,""MARKETCAP"")/10000000"),4858.3117591)</f>
        <v>4858.3117591</v>
      </c>
      <c r="G15" s="95">
        <f t="shared" ca="1" si="0"/>
        <v>1.8521492258537071E-2</v>
      </c>
      <c r="H15" s="101">
        <f>VLOOKUP(A15,'BSE ALL CAP'!$B$4:$Y$1038,7,)</f>
        <v>4425</v>
      </c>
      <c r="I15" s="101">
        <f>VLOOKUP(A15,'BSE ALL CAP'!$B$4:$Y$1038,8,)</f>
        <v>5619</v>
      </c>
      <c r="J15" s="101">
        <f>VLOOKUP(A15,'BSE ALL CAP'!$B$4:$Y$1038,9,)</f>
        <v>145</v>
      </c>
      <c r="K15" s="101">
        <f>VLOOKUP(A15,'BSE ALL CAP'!$B$4:$Y$1038,10,)</f>
        <v>541</v>
      </c>
      <c r="L15" s="101">
        <f>VLOOKUP(A15,'BSE ALL CAP'!$B$4:$Y$1038,11,)</f>
        <v>1471</v>
      </c>
      <c r="M15" s="101">
        <f>VLOOKUP(A15,'BSE ALL CAP'!$B$4:$Y$1038,12,)</f>
        <v>1779</v>
      </c>
      <c r="N15" s="101">
        <f>VLOOKUP(A15,'BSE ALL CAP'!$B$4:$Y$1038,13,)</f>
        <v>-21</v>
      </c>
      <c r="O15" s="101">
        <f>VLOOKUP(A15,'BSE ALL CAP'!$B$4:$Y$1038,14,)</f>
        <v>160</v>
      </c>
      <c r="P15" s="95">
        <f>VLOOKUP(A15,'BSE ALL CAP'!$B$4:$Y$1038,15,)</f>
        <v>3.2768361581920903E-2</v>
      </c>
      <c r="Q15" s="95">
        <f>VLOOKUP(A15,'BSE ALL CAP'!$B$4:$Y$1038,16,)</f>
        <v>9.6280476953194513E-2</v>
      </c>
      <c r="R15" s="95">
        <f>VLOOKUP(A15,'BSE ALL CAP'!$B$4:$Y$1038,17,)</f>
        <v>-6.3512115371273603E-2</v>
      </c>
      <c r="S15" s="95">
        <f>VLOOKUP(A15,'BSE ALL CAP'!$B$4:$Y$1038,18,)</f>
        <v>-1.4276002719238613E-2</v>
      </c>
      <c r="T15" s="95">
        <f>VLOOKUP(A15,'BSE ALL CAP'!$B$4:$Y$1038,19,)</f>
        <v>8.9938167509836991E-2</v>
      </c>
      <c r="U15" s="95">
        <f>VLOOKUP(A15,'BSE ALL CAP'!$B$4:$Y$1038,20,)</f>
        <v>-0.1042141702290756</v>
      </c>
      <c r="V15" s="95">
        <f>VLOOKUP(A15,'BSE ALL CAP'!$B$4:$Y$1038,21,)</f>
        <v>-0.21249332621462891</v>
      </c>
      <c r="W15" s="95">
        <f>VLOOKUP(A15,'BSE ALL CAP'!$B$4:$Y$1038,22,)</f>
        <v>-0.73197781885397406</v>
      </c>
      <c r="X15" s="95">
        <f>VLOOKUP(A15,'BSE ALL CAP'!$B$4:$Y$1038,23,)</f>
        <v>-0.17313097245643616</v>
      </c>
      <c r="Y15" s="95">
        <f>VLOOKUP(A15,'BSE ALL CAP'!$B$4:$Y$1038,24,)</f>
        <v>-1.1312500000000001</v>
      </c>
    </row>
    <row r="16" spans="1:25" ht="15.75" customHeight="1">
      <c r="A16" s="99">
        <v>544209</v>
      </c>
      <c r="B16" s="98" t="s">
        <v>3696</v>
      </c>
      <c r="C16" s="101" t="str">
        <f>VLOOKUP(A16,'BSE ALL CAP'!$B$4:$Y$1038,2,)</f>
        <v>Industrials</v>
      </c>
      <c r="D16" s="101" t="str">
        <f>VLOOKUP(A16,'BSE ALL CAP'!$B$4:$Y$1038,3,)</f>
        <v>Iron &amp; Steel Products</v>
      </c>
      <c r="E16" s="101">
        <f ca="1">IFERROR(__xludf.DUMMYFUNCTION("GOOGLEFINANCE(""BOM:""&amp;A16,""PRICE"")"),252.8)</f>
        <v>252.8</v>
      </c>
      <c r="F16" s="112">
        <f ca="1">IFERROR(__xludf.DUMMYFUNCTION("GOOGLEFINANCE(""BOM:""&amp;A16,""MARKETCAP"")/10000000"),3956.9503725)</f>
        <v>3956.9503725</v>
      </c>
      <c r="G16" s="95">
        <f t="shared" ca="1" si="0"/>
        <v>1.5085204351984774E-2</v>
      </c>
      <c r="H16" s="101">
        <f>VLOOKUP(A16,'BSE ALL CAP'!$B$4:$Y$1038,7,)</f>
        <v>3023</v>
      </c>
      <c r="I16" s="101">
        <f>VLOOKUP(A16,'BSE ALL CAP'!$B$4:$Y$1038,8,)</f>
        <v>2566</v>
      </c>
      <c r="J16" s="101">
        <f>VLOOKUP(A16,'BSE ALL CAP'!$B$4:$Y$1038,9,)</f>
        <v>120</v>
      </c>
      <c r="K16" s="101">
        <f>VLOOKUP(A16,'BSE ALL CAP'!$B$4:$Y$1038,10,)</f>
        <v>113</v>
      </c>
      <c r="L16" s="101">
        <f>VLOOKUP(A16,'BSE ALL CAP'!$B$4:$Y$1038,11,)</f>
        <v>1029</v>
      </c>
      <c r="M16" s="101">
        <f>VLOOKUP(A16,'BSE ALL CAP'!$B$4:$Y$1038,12,)</f>
        <v>924</v>
      </c>
      <c r="N16" s="101">
        <f>VLOOKUP(A16,'BSE ALL CAP'!$B$4:$Y$1038,13,)</f>
        <v>43</v>
      </c>
      <c r="O16" s="101">
        <f>VLOOKUP(A16,'BSE ALL CAP'!$B$4:$Y$1038,14,)</f>
        <v>41</v>
      </c>
      <c r="P16" s="95">
        <f>VLOOKUP(A16,'BSE ALL CAP'!$B$4:$Y$1038,15,)</f>
        <v>3.9695666556400923E-2</v>
      </c>
      <c r="Q16" s="95">
        <f>VLOOKUP(A16,'BSE ALL CAP'!$B$4:$Y$1038,16,)</f>
        <v>4.4037412314886983E-2</v>
      </c>
      <c r="R16" s="95">
        <f>VLOOKUP(A16,'BSE ALL CAP'!$B$4:$Y$1038,17,)</f>
        <v>-4.3417457584860597E-3</v>
      </c>
      <c r="S16" s="95">
        <f>VLOOKUP(A16,'BSE ALL CAP'!$B$4:$Y$1038,18,)</f>
        <v>4.1788143828960157E-2</v>
      </c>
      <c r="T16" s="95">
        <f>VLOOKUP(A16,'BSE ALL CAP'!$B$4:$Y$1038,19,)</f>
        <v>4.4372294372294376E-2</v>
      </c>
      <c r="U16" s="95">
        <f>VLOOKUP(A16,'BSE ALL CAP'!$B$4:$Y$1038,20,)</f>
        <v>-2.5841505433342182E-3</v>
      </c>
      <c r="V16" s="95">
        <f>VLOOKUP(A16,'BSE ALL CAP'!$B$4:$Y$1038,21,)</f>
        <v>0.17809820732657844</v>
      </c>
      <c r="W16" s="95">
        <f>VLOOKUP(A16,'BSE ALL CAP'!$B$4:$Y$1038,22,)</f>
        <v>6.1946902654867353E-2</v>
      </c>
      <c r="X16" s="95">
        <f>VLOOKUP(A16,'BSE ALL CAP'!$B$4:$Y$1038,23,)</f>
        <v>0.11363636363636354</v>
      </c>
      <c r="Y16" s="95">
        <f>VLOOKUP(A16,'BSE ALL CAP'!$B$4:$Y$1038,24,)</f>
        <v>4.8780487804878092E-2</v>
      </c>
    </row>
    <row r="17" spans="1:25" ht="15.75" customHeight="1">
      <c r="A17" s="99">
        <v>530655</v>
      </c>
      <c r="B17" s="98" t="s">
        <v>3697</v>
      </c>
      <c r="C17" s="101" t="str">
        <f>VLOOKUP(A17,'BSE ALL CAP'!$B$4:$Y$1038,2,)</f>
        <v>Industrials</v>
      </c>
      <c r="D17" s="101" t="str">
        <f>VLOOKUP(A17,'BSE ALL CAP'!$B$4:$Y$1038,3,)</f>
        <v>Iron &amp; Steel Products</v>
      </c>
      <c r="E17" s="101">
        <f ca="1">IFERROR(__xludf.DUMMYFUNCTION("GOOGLEFINANCE(""BOM:""&amp;A17,""PRICE"")"),1049.55)</f>
        <v>1049.55</v>
      </c>
      <c r="F17" s="112">
        <f ca="1">IFERROR(__xludf.DUMMYFUNCTION("GOOGLEFINANCE(""BOM:""&amp;A17,""MARKETCAP"")/10000000"),3483.2284452)</f>
        <v>3483.2284451999999</v>
      </c>
      <c r="G17" s="95">
        <f t="shared" ca="1" si="0"/>
        <v>1.3279219589324834E-2</v>
      </c>
      <c r="H17" s="101">
        <f>VLOOKUP(A17,'BSE ALL CAP'!$B$4:$Y$1038,7,)</f>
        <v>3011</v>
      </c>
      <c r="I17" s="101">
        <f>VLOOKUP(A17,'BSE ALL CAP'!$B$4:$Y$1038,8,)</f>
        <v>2831</v>
      </c>
      <c r="J17" s="101">
        <f>VLOOKUP(A17,'BSE ALL CAP'!$B$4:$Y$1038,9,)</f>
        <v>126</v>
      </c>
      <c r="K17" s="101">
        <f>VLOOKUP(A17,'BSE ALL CAP'!$B$4:$Y$1038,10,)</f>
        <v>123</v>
      </c>
      <c r="L17" s="101">
        <f>VLOOKUP(A17,'BSE ALL CAP'!$B$4:$Y$1038,11,)</f>
        <v>1037</v>
      </c>
      <c r="M17" s="101">
        <f>VLOOKUP(A17,'BSE ALL CAP'!$B$4:$Y$1038,12,)</f>
        <v>941</v>
      </c>
      <c r="N17" s="101">
        <f>VLOOKUP(A17,'BSE ALL CAP'!$B$4:$Y$1038,13,)</f>
        <v>43</v>
      </c>
      <c r="O17" s="101">
        <f>VLOOKUP(A17,'BSE ALL CAP'!$B$4:$Y$1038,14,)</f>
        <v>41</v>
      </c>
      <c r="P17" s="95">
        <f>VLOOKUP(A17,'BSE ALL CAP'!$B$4:$Y$1038,15,)</f>
        <v>4.1846562603786115E-2</v>
      </c>
      <c r="Q17" s="95">
        <f>VLOOKUP(A17,'BSE ALL CAP'!$B$4:$Y$1038,16,)</f>
        <v>4.344754503708937E-2</v>
      </c>
      <c r="R17" s="95">
        <f>VLOOKUP(A17,'BSE ALL CAP'!$B$4:$Y$1038,17,)</f>
        <v>-1.6009824333032552E-3</v>
      </c>
      <c r="S17" s="95">
        <f>VLOOKUP(A17,'BSE ALL CAP'!$B$4:$Y$1038,18,)</f>
        <v>4.1465766634522665E-2</v>
      </c>
      <c r="T17" s="95">
        <f>VLOOKUP(A17,'BSE ALL CAP'!$B$4:$Y$1038,19,)</f>
        <v>4.3570669500531352E-2</v>
      </c>
      <c r="U17" s="95">
        <f>VLOOKUP(A17,'BSE ALL CAP'!$B$4:$Y$1038,20,)</f>
        <v>-2.1049028660086871E-3</v>
      </c>
      <c r="V17" s="95">
        <f>VLOOKUP(A17,'BSE ALL CAP'!$B$4:$Y$1038,21,)</f>
        <v>6.3581773225008797E-2</v>
      </c>
      <c r="W17" s="95">
        <f>VLOOKUP(A17,'BSE ALL CAP'!$B$4:$Y$1038,22,)</f>
        <v>2.4390243902439046E-2</v>
      </c>
      <c r="X17" s="95">
        <f>VLOOKUP(A17,'BSE ALL CAP'!$B$4:$Y$1038,23,)</f>
        <v>0.10201912858660989</v>
      </c>
      <c r="Y17" s="95">
        <f>VLOOKUP(A17,'BSE ALL CAP'!$B$4:$Y$1038,24,)</f>
        <v>4.8780487804878092E-2</v>
      </c>
    </row>
    <row r="18" spans="1:25" ht="15.75" customHeight="1">
      <c r="A18" s="99">
        <v>513269</v>
      </c>
      <c r="B18" s="98" t="s">
        <v>3698</v>
      </c>
      <c r="C18" s="101" t="str">
        <f>VLOOKUP(A18,'BSE ALL CAP'!$B$4:$Y$1038,2,)</f>
        <v>Industrials</v>
      </c>
      <c r="D18" s="101" t="str">
        <f>VLOOKUP(A18,'BSE ALL CAP'!$B$4:$Y$1038,3,)</f>
        <v>Iron &amp; Steel Products</v>
      </c>
      <c r="E18" s="101">
        <f ca="1">IFERROR(__xludf.DUMMYFUNCTION("GOOGLEFINANCE(""BOM:""&amp;A18,""PRICE"")"),359)</f>
        <v>359</v>
      </c>
      <c r="F18" s="112">
        <f ca="1">IFERROR(__xludf.DUMMYFUNCTION("GOOGLEFINANCE(""BOM:""&amp;A18,""MARKETCAP"")/10000000"),2696.2194446)</f>
        <v>2696.2194445999999</v>
      </c>
      <c r="G18" s="95">
        <f t="shared" ca="1" si="0"/>
        <v>1.0278880822528156E-2</v>
      </c>
      <c r="H18" s="101">
        <f>VLOOKUP(A18,'BSE ALL CAP'!$B$4:$Y$1038,7,)</f>
        <v>2406</v>
      </c>
      <c r="I18" s="101">
        <f>VLOOKUP(A18,'BSE ALL CAP'!$B$4:$Y$1038,8,)</f>
        <v>2286</v>
      </c>
      <c r="J18" s="101">
        <f>VLOOKUP(A18,'BSE ALL CAP'!$B$4:$Y$1038,9,)</f>
        <v>119</v>
      </c>
      <c r="K18" s="101">
        <f>VLOOKUP(A18,'BSE ALL CAP'!$B$4:$Y$1038,10,)</f>
        <v>85</v>
      </c>
      <c r="L18" s="101">
        <f>VLOOKUP(A18,'BSE ALL CAP'!$B$4:$Y$1038,11,)</f>
        <v>830</v>
      </c>
      <c r="M18" s="101">
        <f>VLOOKUP(A18,'BSE ALL CAP'!$B$4:$Y$1038,12,)</f>
        <v>731</v>
      </c>
      <c r="N18" s="101">
        <f>VLOOKUP(A18,'BSE ALL CAP'!$B$4:$Y$1038,13,)</f>
        <v>55</v>
      </c>
      <c r="O18" s="101">
        <f>VLOOKUP(A18,'BSE ALL CAP'!$B$4:$Y$1038,14,)</f>
        <v>34</v>
      </c>
      <c r="P18" s="95">
        <f>VLOOKUP(A18,'BSE ALL CAP'!$B$4:$Y$1038,15,)</f>
        <v>4.9459684123025767E-2</v>
      </c>
      <c r="Q18" s="95">
        <f>VLOOKUP(A18,'BSE ALL CAP'!$B$4:$Y$1038,16,)</f>
        <v>3.7182852143482062E-2</v>
      </c>
      <c r="R18" s="95">
        <f>VLOOKUP(A18,'BSE ALL CAP'!$B$4:$Y$1038,17,)</f>
        <v>1.2276831979543705E-2</v>
      </c>
      <c r="S18" s="95">
        <f>VLOOKUP(A18,'BSE ALL CAP'!$B$4:$Y$1038,18,)</f>
        <v>6.6265060240963861E-2</v>
      </c>
      <c r="T18" s="95">
        <f>VLOOKUP(A18,'BSE ALL CAP'!$B$4:$Y$1038,19,)</f>
        <v>4.6511627906976744E-2</v>
      </c>
      <c r="U18" s="95">
        <f>VLOOKUP(A18,'BSE ALL CAP'!$B$4:$Y$1038,20,)</f>
        <v>1.9753432333987117E-2</v>
      </c>
      <c r="V18" s="95">
        <f>VLOOKUP(A18,'BSE ALL CAP'!$B$4:$Y$1038,21,)</f>
        <v>5.2493438320210029E-2</v>
      </c>
      <c r="W18" s="95">
        <f>VLOOKUP(A18,'BSE ALL CAP'!$B$4:$Y$1038,22,)</f>
        <v>0.39999999999999991</v>
      </c>
      <c r="X18" s="95">
        <f>VLOOKUP(A18,'BSE ALL CAP'!$B$4:$Y$1038,23,)</f>
        <v>0.13543091655266748</v>
      </c>
      <c r="Y18" s="95">
        <f>VLOOKUP(A18,'BSE ALL CAP'!$B$4:$Y$1038,24,)</f>
        <v>0.61764705882352944</v>
      </c>
    </row>
    <row r="19" spans="1:25" ht="15.75" customHeight="1">
      <c r="A19" s="99">
        <v>500235</v>
      </c>
      <c r="B19" s="98" t="s">
        <v>3699</v>
      </c>
      <c r="C19" s="101" t="str">
        <f>VLOOKUP(A19,'BSE ALL CAP'!$B$4:$Y$1038,2,)</f>
        <v>Industrials</v>
      </c>
      <c r="D19" s="101" t="str">
        <f>VLOOKUP(A19,'BSE ALL CAP'!$B$4:$Y$1038,3,)</f>
        <v>Iron &amp; Steel Products</v>
      </c>
      <c r="E19" s="101">
        <f ca="1">IFERROR(__xludf.DUMMYFUNCTION("GOOGLEFINANCE(""BOM:""&amp;A19,""PRICE"")"),635.9)</f>
        <v>635.9</v>
      </c>
      <c r="F19" s="112">
        <f ca="1">IFERROR(__xludf.DUMMYFUNCTION("GOOGLEFINANCE(""BOM:""&amp;A19,""MARKETCAP"")/10000000"),2776.0177566)</f>
        <v>2776.0177566000002</v>
      </c>
      <c r="G19" s="95">
        <f t="shared" ca="1" si="0"/>
        <v>1.0583098396705843E-2</v>
      </c>
      <c r="H19" s="101">
        <f>VLOOKUP(A19,'BSE ALL CAP'!$B$4:$Y$1038,7,)</f>
        <v>1361</v>
      </c>
      <c r="I19" s="101">
        <f>VLOOKUP(A19,'BSE ALL CAP'!$B$4:$Y$1038,8,)</f>
        <v>1437</v>
      </c>
      <c r="J19" s="101">
        <f>VLOOKUP(A19,'BSE ALL CAP'!$B$4:$Y$1038,9,)</f>
        <v>186</v>
      </c>
      <c r="K19" s="101">
        <f>VLOOKUP(A19,'BSE ALL CAP'!$B$4:$Y$1038,10,)</f>
        <v>176</v>
      </c>
      <c r="L19" s="101">
        <f>VLOOKUP(A19,'BSE ALL CAP'!$B$4:$Y$1038,11,)</f>
        <v>462</v>
      </c>
      <c r="M19" s="101">
        <f>VLOOKUP(A19,'BSE ALL CAP'!$B$4:$Y$1038,12,)</f>
        <v>484</v>
      </c>
      <c r="N19" s="101">
        <f>VLOOKUP(A19,'BSE ALL CAP'!$B$4:$Y$1038,13,)</f>
        <v>21</v>
      </c>
      <c r="O19" s="101">
        <f>VLOOKUP(A19,'BSE ALL CAP'!$B$4:$Y$1038,14,)</f>
        <v>19</v>
      </c>
      <c r="P19" s="95">
        <f>VLOOKUP(A19,'BSE ALL CAP'!$B$4:$Y$1038,15,)</f>
        <v>0.1366642174871418</v>
      </c>
      <c r="Q19" s="95">
        <f>VLOOKUP(A19,'BSE ALL CAP'!$B$4:$Y$1038,16,)</f>
        <v>0.12247738343771747</v>
      </c>
      <c r="R19" s="95">
        <f>VLOOKUP(A19,'BSE ALL CAP'!$B$4:$Y$1038,17,)</f>
        <v>1.4186834049424335E-2</v>
      </c>
      <c r="S19" s="95">
        <f>VLOOKUP(A19,'BSE ALL CAP'!$B$4:$Y$1038,18,)</f>
        <v>4.5454545454545456E-2</v>
      </c>
      <c r="T19" s="95">
        <f>VLOOKUP(A19,'BSE ALL CAP'!$B$4:$Y$1038,19,)</f>
        <v>3.9256198347107439E-2</v>
      </c>
      <c r="U19" s="95">
        <f>VLOOKUP(A19,'BSE ALL CAP'!$B$4:$Y$1038,20,)</f>
        <v>6.1983471074380167E-3</v>
      </c>
      <c r="V19" s="95">
        <f>VLOOKUP(A19,'BSE ALL CAP'!$B$4:$Y$1038,21,)</f>
        <v>-5.2887961029923436E-2</v>
      </c>
      <c r="W19" s="95">
        <f>VLOOKUP(A19,'BSE ALL CAP'!$B$4:$Y$1038,22,)</f>
        <v>5.6818181818181879E-2</v>
      </c>
      <c r="X19" s="95">
        <f>VLOOKUP(A19,'BSE ALL CAP'!$B$4:$Y$1038,23,)</f>
        <v>-4.5454545454545414E-2</v>
      </c>
      <c r="Y19" s="95">
        <f>VLOOKUP(A19,'BSE ALL CAP'!$B$4:$Y$1038,24,)</f>
        <v>0.10526315789473695</v>
      </c>
    </row>
    <row r="20" spans="1:25" ht="15.75" customHeight="1">
      <c r="A20" s="99">
        <v>543972</v>
      </c>
      <c r="B20" s="98" t="s">
        <v>3700</v>
      </c>
      <c r="C20" s="101" t="str">
        <f>VLOOKUP(A20,'BSE ALL CAP'!$B$4:$Y$1038,2,)</f>
        <v>Industrials</v>
      </c>
      <c r="D20" s="101" t="str">
        <f>VLOOKUP(A20,'BSE ALL CAP'!$B$4:$Y$1038,3,)</f>
        <v>Iron &amp; Steel Products</v>
      </c>
      <c r="E20" s="101">
        <f ca="1">IFERROR(__xludf.DUMMYFUNCTION("GOOGLEFINANCE(""BOM:""&amp;A20,""PRICE"")"),252.55)</f>
        <v>252.55</v>
      </c>
      <c r="F20" s="112">
        <f ca="1">IFERROR(__xludf.DUMMYFUNCTION("GOOGLEFINANCE(""BOM:""&amp;A20,""MARKETCAP"")/10000000"),3341.350175)</f>
        <v>3341.350175</v>
      </c>
      <c r="G20" s="95">
        <f t="shared" ca="1" si="0"/>
        <v>1.2738332669451515E-2</v>
      </c>
      <c r="H20" s="101">
        <f>VLOOKUP(A20,'BSE ALL CAP'!$B$4:$Y$1038,7,)</f>
        <v>316</v>
      </c>
      <c r="I20" s="101">
        <f>VLOOKUP(A20,'BSE ALL CAP'!$B$4:$Y$1038,8,)</f>
        <v>286</v>
      </c>
      <c r="J20" s="101">
        <f>VLOOKUP(A20,'BSE ALL CAP'!$B$4:$Y$1038,9,)</f>
        <v>37</v>
      </c>
      <c r="K20" s="101">
        <f>VLOOKUP(A20,'BSE ALL CAP'!$B$4:$Y$1038,10,)</f>
        <v>41</v>
      </c>
      <c r="L20" s="101">
        <f>VLOOKUP(A20,'BSE ALL CAP'!$B$4:$Y$1038,11,)</f>
        <v>121</v>
      </c>
      <c r="M20" s="101">
        <f>VLOOKUP(A20,'BSE ALL CAP'!$B$4:$Y$1038,12,)</f>
        <v>100</v>
      </c>
      <c r="N20" s="101">
        <f>VLOOKUP(A20,'BSE ALL CAP'!$B$4:$Y$1038,13,)</f>
        <v>16</v>
      </c>
      <c r="O20" s="101">
        <f>VLOOKUP(A20,'BSE ALL CAP'!$B$4:$Y$1038,14,)</f>
        <v>15</v>
      </c>
      <c r="P20" s="95">
        <f>VLOOKUP(A20,'BSE ALL CAP'!$B$4:$Y$1038,15,)</f>
        <v>0.11708860759493671</v>
      </c>
      <c r="Q20" s="95">
        <f>VLOOKUP(A20,'BSE ALL CAP'!$B$4:$Y$1038,16,)</f>
        <v>0.14335664335664336</v>
      </c>
      <c r="R20" s="95">
        <f>VLOOKUP(A20,'BSE ALL CAP'!$B$4:$Y$1038,17,)</f>
        <v>-2.6268035761706651E-2</v>
      </c>
      <c r="S20" s="95">
        <f>VLOOKUP(A20,'BSE ALL CAP'!$B$4:$Y$1038,18,)</f>
        <v>0.13223140495867769</v>
      </c>
      <c r="T20" s="95">
        <f>VLOOKUP(A20,'BSE ALL CAP'!$B$4:$Y$1038,19,)</f>
        <v>0.15</v>
      </c>
      <c r="U20" s="95">
        <f>VLOOKUP(A20,'BSE ALL CAP'!$B$4:$Y$1038,20,)</f>
        <v>-1.7768595041322305E-2</v>
      </c>
      <c r="V20" s="95">
        <f>VLOOKUP(A20,'BSE ALL CAP'!$B$4:$Y$1038,21,)</f>
        <v>0.10489510489510478</v>
      </c>
      <c r="W20" s="95">
        <f>VLOOKUP(A20,'BSE ALL CAP'!$B$4:$Y$1038,22,)</f>
        <v>-9.7560975609756073E-2</v>
      </c>
      <c r="X20" s="95">
        <f>VLOOKUP(A20,'BSE ALL CAP'!$B$4:$Y$1038,23,)</f>
        <v>0.20999999999999996</v>
      </c>
      <c r="Y20" s="95">
        <f>VLOOKUP(A20,'BSE ALL CAP'!$B$4:$Y$1038,24,)</f>
        <v>6.6666666666666652E-2</v>
      </c>
    </row>
    <row r="21" spans="1:25" ht="15.75" customHeight="1">
      <c r="A21" s="99">
        <v>544430</v>
      </c>
      <c r="B21" s="98" t="s">
        <v>3701</v>
      </c>
      <c r="C21" s="101" t="str">
        <f>VLOOKUP(A21,'BSE ALL CAP'!$B$4:$Y$1038,2,)</f>
        <v>Iron &amp; Steel Products</v>
      </c>
      <c r="D21" s="101" t="str">
        <f>VLOOKUP(A21,'BSE ALL CAP'!$B$4:$Y$1038,3,)</f>
        <v>Industrials</v>
      </c>
      <c r="E21" s="101">
        <f ca="1">IFERROR(__xludf.DUMMYFUNCTION("GOOGLEFINANCE(""BOM:""&amp;A21,""PRICE"")"),105)</f>
        <v>105</v>
      </c>
      <c r="F21" s="112">
        <f ca="1">IFERROR(__xludf.DUMMYFUNCTION("GOOGLEFINANCE(""BOM:""&amp;A21,""MARKETCAP"")/10000000"),3099.943038)</f>
        <v>3099.9430379999999</v>
      </c>
      <c r="G21" s="95">
        <f t="shared" ca="1" si="0"/>
        <v>1.1818008770779069E-2</v>
      </c>
      <c r="H21" s="101">
        <f>VLOOKUP(A21,'BSE ALL CAP'!$B$4:$Y$1038,7,)</f>
        <v>1727</v>
      </c>
      <c r="I21" s="101">
        <f>VLOOKUP(A21,'BSE ALL CAP'!$B$4:$Y$1038,8,)</f>
        <v>1016</v>
      </c>
      <c r="J21" s="101">
        <f>VLOOKUP(A21,'BSE ALL CAP'!$B$4:$Y$1038,9,)</f>
        <v>88</v>
      </c>
      <c r="K21" s="101">
        <f>VLOOKUP(A21,'BSE ALL CAP'!$B$4:$Y$1038,10,)</f>
        <v>40</v>
      </c>
      <c r="L21" s="101">
        <f>VLOOKUP(A21,'BSE ALL CAP'!$B$4:$Y$1038,11,)</f>
        <v>589</v>
      </c>
      <c r="M21" s="101">
        <f>VLOOKUP(A21,'BSE ALL CAP'!$B$4:$Y$1038,12,)</f>
        <v>369</v>
      </c>
      <c r="N21" s="101">
        <f>VLOOKUP(A21,'BSE ALL CAP'!$B$4:$Y$1038,13,)</f>
        <v>24</v>
      </c>
      <c r="O21" s="101">
        <f>VLOOKUP(A21,'BSE ALL CAP'!$B$4:$Y$1038,14,)</f>
        <v>10</v>
      </c>
      <c r="P21" s="95">
        <f>VLOOKUP(A21,'BSE ALL CAP'!$B$4:$Y$1038,15,)</f>
        <v>5.0955414012738856E-2</v>
      </c>
      <c r="Q21" s="95">
        <f>VLOOKUP(A21,'BSE ALL CAP'!$B$4:$Y$1038,16,)</f>
        <v>3.937007874015748E-2</v>
      </c>
      <c r="R21" s="95">
        <f>VLOOKUP(A21,'BSE ALL CAP'!$B$4:$Y$1038,17,)</f>
        <v>1.1585335272581376E-2</v>
      </c>
      <c r="S21" s="95">
        <f>VLOOKUP(A21,'BSE ALL CAP'!$B$4:$Y$1038,18,)</f>
        <v>4.074702886247878E-2</v>
      </c>
      <c r="T21" s="95">
        <f>VLOOKUP(A21,'BSE ALL CAP'!$B$4:$Y$1038,19,)</f>
        <v>2.7100271002710029E-2</v>
      </c>
      <c r="U21" s="95">
        <f>VLOOKUP(A21,'BSE ALL CAP'!$B$4:$Y$1038,20,)</f>
        <v>1.3646757859768752E-2</v>
      </c>
      <c r="V21" s="95">
        <f>VLOOKUP(A21,'BSE ALL CAP'!$B$4:$Y$1038,21,)</f>
        <v>0.6998031496062993</v>
      </c>
      <c r="W21" s="95">
        <f>VLOOKUP(A21,'BSE ALL CAP'!$B$4:$Y$1038,22,)</f>
        <v>1.2000000000000002</v>
      </c>
      <c r="X21" s="95">
        <f>VLOOKUP(A21,'BSE ALL CAP'!$B$4:$Y$1038,23,)</f>
        <v>0.59620596205962051</v>
      </c>
      <c r="Y21" s="95">
        <f>VLOOKUP(A21,'BSE ALL CAP'!$B$4:$Y$1038,24,)</f>
        <v>1.4</v>
      </c>
    </row>
    <row r="22" spans="1:25" ht="15.75" customHeight="1">
      <c r="A22" s="99">
        <v>513097</v>
      </c>
      <c r="B22" s="98" t="s">
        <v>3702</v>
      </c>
      <c r="C22" s="101" t="str">
        <f>VLOOKUP(A22,'BSE ALL CAP'!$B$4:$Y$1038,2,)</f>
        <v>Industrials</v>
      </c>
      <c r="D22" s="101" t="str">
        <f>VLOOKUP(A22,'BSE ALL CAP'!$B$4:$Y$1038,3,)</f>
        <v>Iron &amp; Steel Products</v>
      </c>
      <c r="E22" s="101">
        <f ca="1">IFERROR(__xludf.DUMMYFUNCTION("GOOGLEFINANCE(""BOM:""&amp;A22,""PRICE"")"),418.35)</f>
        <v>418.35</v>
      </c>
      <c r="F22" s="112">
        <f ca="1">IFERROR(__xludf.DUMMYFUNCTION("GOOGLEFINANCE(""BOM:""&amp;A22,""MARKETCAP"")/10000000"),2404.8875201)</f>
        <v>2404.8875201000001</v>
      </c>
      <c r="G22" s="95">
        <f t="shared" ca="1" si="0"/>
        <v>9.1682271115585984E-3</v>
      </c>
      <c r="H22" s="101">
        <f>VLOOKUP(A22,'BSE ALL CAP'!$B$4:$Y$1038,7,)</f>
        <v>408</v>
      </c>
      <c r="I22" s="101">
        <f>VLOOKUP(A22,'BSE ALL CAP'!$B$4:$Y$1038,8,)</f>
        <v>375</v>
      </c>
      <c r="J22" s="101">
        <f>VLOOKUP(A22,'BSE ALL CAP'!$B$4:$Y$1038,9,)</f>
        <v>69</v>
      </c>
      <c r="K22" s="101">
        <f>VLOOKUP(A22,'BSE ALL CAP'!$B$4:$Y$1038,10,)</f>
        <v>56</v>
      </c>
      <c r="L22" s="101">
        <f>VLOOKUP(A22,'BSE ALL CAP'!$B$4:$Y$1038,11,)</f>
        <v>134</v>
      </c>
      <c r="M22" s="101">
        <f>VLOOKUP(A22,'BSE ALL CAP'!$B$4:$Y$1038,12,)</f>
        <v>123</v>
      </c>
      <c r="N22" s="101">
        <f>VLOOKUP(A22,'BSE ALL CAP'!$B$4:$Y$1038,13,)</f>
        <v>22</v>
      </c>
      <c r="O22" s="101">
        <f>VLOOKUP(A22,'BSE ALL CAP'!$B$4:$Y$1038,14,)</f>
        <v>18</v>
      </c>
      <c r="P22" s="95">
        <f>VLOOKUP(A22,'BSE ALL CAP'!$B$4:$Y$1038,15,)</f>
        <v>0.16911764705882354</v>
      </c>
      <c r="Q22" s="95">
        <f>VLOOKUP(A22,'BSE ALL CAP'!$B$4:$Y$1038,16,)</f>
        <v>0.14933333333333335</v>
      </c>
      <c r="R22" s="95">
        <f>VLOOKUP(A22,'BSE ALL CAP'!$B$4:$Y$1038,17,)</f>
        <v>1.9784313725490194E-2</v>
      </c>
      <c r="S22" s="95">
        <f>VLOOKUP(A22,'BSE ALL CAP'!$B$4:$Y$1038,18,)</f>
        <v>0.16417910447761194</v>
      </c>
      <c r="T22" s="95">
        <f>VLOOKUP(A22,'BSE ALL CAP'!$B$4:$Y$1038,19,)</f>
        <v>0.14634146341463414</v>
      </c>
      <c r="U22" s="95">
        <f>VLOOKUP(A22,'BSE ALL CAP'!$B$4:$Y$1038,20,)</f>
        <v>1.7837641062977805E-2</v>
      </c>
      <c r="V22" s="95">
        <f>VLOOKUP(A22,'BSE ALL CAP'!$B$4:$Y$1038,21,)</f>
        <v>8.8000000000000078E-2</v>
      </c>
      <c r="W22" s="95">
        <f>VLOOKUP(A22,'BSE ALL CAP'!$B$4:$Y$1038,22,)</f>
        <v>0.23214285714285721</v>
      </c>
      <c r="X22" s="95">
        <f>VLOOKUP(A22,'BSE ALL CAP'!$B$4:$Y$1038,23,)</f>
        <v>8.9430894308943021E-2</v>
      </c>
      <c r="Y22" s="95">
        <f>VLOOKUP(A22,'BSE ALL CAP'!$B$4:$Y$1038,24,)</f>
        <v>0.22222222222222232</v>
      </c>
    </row>
    <row r="23" spans="1:25" ht="15.75" customHeight="1">
      <c r="A23" s="99">
        <v>534600</v>
      </c>
      <c r="B23" s="98" t="s">
        <v>3703</v>
      </c>
      <c r="C23" s="101" t="str">
        <f>VLOOKUP(A23,'BSE ALL CAP'!$B$4:$Y$1038,2,)</f>
        <v>Industrials</v>
      </c>
      <c r="D23" s="101" t="str">
        <f>VLOOKUP(A23,'BSE ALL CAP'!$B$4:$Y$1038,3,)</f>
        <v>Iron &amp; Steel Products</v>
      </c>
      <c r="E23" s="101">
        <f ca="1">IFERROR(__xludf.DUMMYFUNCTION("GOOGLEFINANCE(""BOM:""&amp;A23,""PRICE"")"),49.58)</f>
        <v>49.58</v>
      </c>
      <c r="F23" s="112">
        <f ca="1">IFERROR(__xludf.DUMMYFUNCTION("GOOGLEFINANCE(""BOM:""&amp;A23,""MARKETCAP"")/10000000"),1948.1119679)</f>
        <v>1948.1119679000001</v>
      </c>
      <c r="G23" s="95">
        <f t="shared" ca="1" si="0"/>
        <v>7.4268475390939981E-3</v>
      </c>
      <c r="H23" s="101">
        <f>VLOOKUP(A23,'BSE ALL CAP'!$B$4:$Y$1038,7,)</f>
        <v>1443</v>
      </c>
      <c r="I23" s="101">
        <f>VLOOKUP(A23,'BSE ALL CAP'!$B$4:$Y$1038,8,)</f>
        <v>1446</v>
      </c>
      <c r="J23" s="101">
        <f>VLOOKUP(A23,'BSE ALL CAP'!$B$4:$Y$1038,9,)</f>
        <v>65</v>
      </c>
      <c r="K23" s="101">
        <f>VLOOKUP(A23,'BSE ALL CAP'!$B$4:$Y$1038,10,)</f>
        <v>81</v>
      </c>
      <c r="L23" s="101">
        <f>VLOOKUP(A23,'BSE ALL CAP'!$B$4:$Y$1038,11,)</f>
        <v>470</v>
      </c>
      <c r="M23" s="101">
        <f>VLOOKUP(A23,'BSE ALL CAP'!$B$4:$Y$1038,12,)</f>
        <v>451</v>
      </c>
      <c r="N23" s="101">
        <f>VLOOKUP(A23,'BSE ALL CAP'!$B$4:$Y$1038,13,)</f>
        <v>26</v>
      </c>
      <c r="O23" s="101">
        <f>VLOOKUP(A23,'BSE ALL CAP'!$B$4:$Y$1038,14,)</f>
        <v>24</v>
      </c>
      <c r="P23" s="95">
        <f>VLOOKUP(A23,'BSE ALL CAP'!$B$4:$Y$1038,15,)</f>
        <v>4.5045045045045043E-2</v>
      </c>
      <c r="Q23" s="95">
        <f>VLOOKUP(A23,'BSE ALL CAP'!$B$4:$Y$1038,16,)</f>
        <v>5.6016597510373446E-2</v>
      </c>
      <c r="R23" s="95">
        <f>VLOOKUP(A23,'BSE ALL CAP'!$B$4:$Y$1038,17,)</f>
        <v>-1.0971552465328403E-2</v>
      </c>
      <c r="S23" s="95">
        <f>VLOOKUP(A23,'BSE ALL CAP'!$B$4:$Y$1038,18,)</f>
        <v>5.5319148936170209E-2</v>
      </c>
      <c r="T23" s="95">
        <f>VLOOKUP(A23,'BSE ALL CAP'!$B$4:$Y$1038,19,)</f>
        <v>5.3215077605321508E-2</v>
      </c>
      <c r="U23" s="95">
        <f>VLOOKUP(A23,'BSE ALL CAP'!$B$4:$Y$1038,20,)</f>
        <v>2.1040713308487016E-3</v>
      </c>
      <c r="V23" s="95">
        <f>VLOOKUP(A23,'BSE ALL CAP'!$B$4:$Y$1038,21,)</f>
        <v>-2.0746887966804906E-3</v>
      </c>
      <c r="W23" s="95">
        <f>VLOOKUP(A23,'BSE ALL CAP'!$B$4:$Y$1038,22,)</f>
        <v>-0.19753086419753085</v>
      </c>
      <c r="X23" s="95">
        <f>VLOOKUP(A23,'BSE ALL CAP'!$B$4:$Y$1038,23,)</f>
        <v>4.2128603104212958E-2</v>
      </c>
      <c r="Y23" s="95">
        <f>VLOOKUP(A23,'BSE ALL CAP'!$B$4:$Y$1038,24,)</f>
        <v>8.3333333333333259E-2</v>
      </c>
    </row>
    <row r="24" spans="1:25" ht="15.75" customHeight="1">
      <c r="A24" s="99">
        <v>500365</v>
      </c>
      <c r="B24" s="98" t="s">
        <v>3704</v>
      </c>
      <c r="C24" s="101" t="str">
        <f>VLOOKUP(A24,'BSE ALL CAP'!$B$4:$Y$1038,2,)</f>
        <v>Industrials</v>
      </c>
      <c r="D24" s="101" t="str">
        <f>VLOOKUP(A24,'BSE ALL CAP'!$B$4:$Y$1038,3,)</f>
        <v>Iron &amp; Steel Products</v>
      </c>
      <c r="E24" s="101">
        <f ca="1">IFERROR(__xludf.DUMMYFUNCTION("GOOGLEFINANCE(""BOM:""&amp;A24,""PRICE"")"),34.71)</f>
        <v>34.71</v>
      </c>
      <c r="F24" s="112">
        <f ca="1">IFERROR(__xludf.DUMMYFUNCTION("GOOGLEFINANCE(""BOM:""&amp;A24,""MARKETCAP"")/10000000"),2286.01)</f>
        <v>2286.0100000000002</v>
      </c>
      <c r="G24" s="95">
        <f t="shared" ca="1" si="0"/>
        <v>8.7150266630443354E-3</v>
      </c>
      <c r="H24" s="101">
        <f>VLOOKUP(A24,'BSE ALL CAP'!$B$4:$Y$1038,7,)</f>
        <v>666</v>
      </c>
      <c r="I24" s="101">
        <f>VLOOKUP(A24,'BSE ALL CAP'!$B$4:$Y$1038,8,)</f>
        <v>523</v>
      </c>
      <c r="J24" s="101">
        <f>VLOOKUP(A24,'BSE ALL CAP'!$B$4:$Y$1038,9,)</f>
        <v>18</v>
      </c>
      <c r="K24" s="101">
        <f>VLOOKUP(A24,'BSE ALL CAP'!$B$4:$Y$1038,10,)</f>
        <v>-8</v>
      </c>
      <c r="L24" s="101">
        <f>VLOOKUP(A24,'BSE ALL CAP'!$B$4:$Y$1038,11,)</f>
        <v>226</v>
      </c>
      <c r="M24" s="101">
        <f>VLOOKUP(A24,'BSE ALL CAP'!$B$4:$Y$1038,12,)</f>
        <v>194</v>
      </c>
      <c r="N24" s="101">
        <f>VLOOKUP(A24,'BSE ALL CAP'!$B$4:$Y$1038,13,)</f>
        <v>9</v>
      </c>
      <c r="O24" s="101">
        <f>VLOOKUP(A24,'BSE ALL CAP'!$B$4:$Y$1038,14,)</f>
        <v>-3</v>
      </c>
      <c r="P24" s="95">
        <f>VLOOKUP(A24,'BSE ALL CAP'!$B$4:$Y$1038,15,)</f>
        <v>2.7027027027027029E-2</v>
      </c>
      <c r="Q24" s="95">
        <f>VLOOKUP(A24,'BSE ALL CAP'!$B$4:$Y$1038,16,)</f>
        <v>-1.5296367112810707E-2</v>
      </c>
      <c r="R24" s="95">
        <f>VLOOKUP(A24,'BSE ALL CAP'!$B$4:$Y$1038,17,)</f>
        <v>4.2323394139837739E-2</v>
      </c>
      <c r="S24" s="95">
        <f>VLOOKUP(A24,'BSE ALL CAP'!$B$4:$Y$1038,18,)</f>
        <v>3.9823008849557522E-2</v>
      </c>
      <c r="T24" s="95">
        <f>VLOOKUP(A24,'BSE ALL CAP'!$B$4:$Y$1038,19,)</f>
        <v>-1.5463917525773196E-2</v>
      </c>
      <c r="U24" s="95">
        <f>VLOOKUP(A24,'BSE ALL CAP'!$B$4:$Y$1038,20,)</f>
        <v>5.5286926375330718E-2</v>
      </c>
      <c r="V24" s="95">
        <f>VLOOKUP(A24,'BSE ALL CAP'!$B$4:$Y$1038,21,)</f>
        <v>0.27342256214149141</v>
      </c>
      <c r="W24" s="95">
        <f>VLOOKUP(A24,'BSE ALL CAP'!$B$4:$Y$1038,22,)</f>
        <v>-3.25</v>
      </c>
      <c r="X24" s="95">
        <f>VLOOKUP(A24,'BSE ALL CAP'!$B$4:$Y$1038,23,)</f>
        <v>0.1649484536082475</v>
      </c>
      <c r="Y24" s="95">
        <f>VLOOKUP(A24,'BSE ALL CAP'!$B$4:$Y$1038,24,)</f>
        <v>-4</v>
      </c>
    </row>
    <row r="25" spans="1:25" ht="14.4">
      <c r="A25" s="99">
        <v>534392</v>
      </c>
      <c r="B25" s="98" t="s">
        <v>3705</v>
      </c>
      <c r="C25" s="101" t="str">
        <f>VLOOKUP(A25,'BSE ALL CAP'!$B$4:$Y$1038,2,)</f>
        <v>Industrials</v>
      </c>
      <c r="D25" s="101" t="str">
        <f>VLOOKUP(A25,'BSE ALL CAP'!$B$4:$Y$1038,3,)</f>
        <v>Iron &amp; Steel Products</v>
      </c>
      <c r="E25" s="101">
        <f ca="1">IFERROR(__xludf.DUMMYFUNCTION("GOOGLEFINANCE(""BOM:""&amp;A25,""PRICE"")"),229.55)</f>
        <v>229.55</v>
      </c>
      <c r="F25" s="112">
        <f ca="1">IFERROR(__xludf.DUMMYFUNCTION("GOOGLEFINANCE(""BOM:""&amp;A25,""MARKETCAP"")/10000000"),2216.9668425)</f>
        <v>2216.9668425</v>
      </c>
      <c r="G25" s="95">
        <f t="shared" ca="1" si="0"/>
        <v>8.4518112971827385E-3</v>
      </c>
      <c r="H25" s="101">
        <f>VLOOKUP(A25,'BSE ALL CAP'!$B$4:$Y$1038,7,)</f>
        <v>1296</v>
      </c>
      <c r="I25" s="101">
        <f>VLOOKUP(A25,'BSE ALL CAP'!$B$4:$Y$1038,8,)</f>
        <v>1336</v>
      </c>
      <c r="J25" s="101">
        <f>VLOOKUP(A25,'BSE ALL CAP'!$B$4:$Y$1038,9,)</f>
        <v>88</v>
      </c>
      <c r="K25" s="101">
        <f>VLOOKUP(A25,'BSE ALL CAP'!$B$4:$Y$1038,10,)</f>
        <v>73</v>
      </c>
      <c r="L25" s="101">
        <f>VLOOKUP(A25,'BSE ALL CAP'!$B$4:$Y$1038,11,)</f>
        <v>430</v>
      </c>
      <c r="M25" s="101">
        <f>VLOOKUP(A25,'BSE ALL CAP'!$B$4:$Y$1038,12,)</f>
        <v>426</v>
      </c>
      <c r="N25" s="101">
        <f>VLOOKUP(A25,'BSE ALL CAP'!$B$4:$Y$1038,13,)</f>
        <v>33</v>
      </c>
      <c r="O25" s="101">
        <f>VLOOKUP(A25,'BSE ALL CAP'!$B$4:$Y$1038,14,)</f>
        <v>21</v>
      </c>
      <c r="P25" s="95">
        <f>VLOOKUP(A25,'BSE ALL CAP'!$B$4:$Y$1038,15,)</f>
        <v>6.7901234567901231E-2</v>
      </c>
      <c r="Q25" s="95">
        <f>VLOOKUP(A25,'BSE ALL CAP'!$B$4:$Y$1038,16,)</f>
        <v>5.4640718562874252E-2</v>
      </c>
      <c r="R25" s="95">
        <f>VLOOKUP(A25,'BSE ALL CAP'!$B$4:$Y$1038,17,)</f>
        <v>1.3260516005026979E-2</v>
      </c>
      <c r="S25" s="95">
        <f>VLOOKUP(A25,'BSE ALL CAP'!$B$4:$Y$1038,18,)</f>
        <v>7.6744186046511634E-2</v>
      </c>
      <c r="T25" s="95">
        <f>VLOOKUP(A25,'BSE ALL CAP'!$B$4:$Y$1038,19,)</f>
        <v>4.9295774647887321E-2</v>
      </c>
      <c r="U25" s="95">
        <f>VLOOKUP(A25,'BSE ALL CAP'!$B$4:$Y$1038,20,)</f>
        <v>2.7448411398624313E-2</v>
      </c>
      <c r="V25" s="95">
        <f>VLOOKUP(A25,'BSE ALL CAP'!$B$4:$Y$1038,21,)</f>
        <v>-2.9940119760479056E-2</v>
      </c>
      <c r="W25" s="95">
        <f>VLOOKUP(A25,'BSE ALL CAP'!$B$4:$Y$1038,22,)</f>
        <v>0.20547945205479445</v>
      </c>
      <c r="X25" s="95">
        <f>VLOOKUP(A25,'BSE ALL CAP'!$B$4:$Y$1038,23,)</f>
        <v>9.3896713615022609E-3</v>
      </c>
      <c r="Y25" s="95">
        <f>VLOOKUP(A25,'BSE ALL CAP'!$B$4:$Y$1038,24,)</f>
        <v>0.5714285714285714</v>
      </c>
    </row>
    <row r="26" spans="1:25" ht="14.4">
      <c r="A26" s="99">
        <v>543528</v>
      </c>
      <c r="B26" s="98" t="s">
        <v>3706</v>
      </c>
      <c r="C26" s="101" t="str">
        <f>VLOOKUP(A26,'BSE ALL CAP'!$B$4:$Y$1038,2,)</f>
        <v>Industrials</v>
      </c>
      <c r="D26" s="101" t="str">
        <f>VLOOKUP(A26,'BSE ALL CAP'!$B$4:$Y$1038,3,)</f>
        <v>Iron &amp; Steel Products</v>
      </c>
      <c r="E26" s="101">
        <f ca="1">IFERROR(__xludf.DUMMYFUNCTION("GOOGLEFINANCE(""BOM:""&amp;A26,""PRICE"")"),1010.15)</f>
        <v>1010.15</v>
      </c>
      <c r="F26" s="112">
        <f ca="1">IFERROR(__xludf.DUMMYFUNCTION("GOOGLEFINANCE(""BOM:""&amp;A26,""MARKETCAP"")/10000000"),2050.8661663)</f>
        <v>2050.8661662999998</v>
      </c>
      <c r="G26" s="95">
        <f t="shared" ca="1" si="0"/>
        <v>7.8185805493589337E-3</v>
      </c>
      <c r="H26" s="101">
        <f>VLOOKUP(A26,'BSE ALL CAP'!$B$4:$Y$1038,7,)</f>
        <v>864</v>
      </c>
      <c r="I26" s="101">
        <f>VLOOKUP(A26,'BSE ALL CAP'!$B$4:$Y$1038,8,)</f>
        <v>700</v>
      </c>
      <c r="J26" s="101">
        <f>VLOOKUP(A26,'BSE ALL CAP'!$B$4:$Y$1038,9,)</f>
        <v>76</v>
      </c>
      <c r="K26" s="101">
        <f>VLOOKUP(A26,'BSE ALL CAP'!$B$4:$Y$1038,10,)</f>
        <v>69</v>
      </c>
      <c r="L26" s="101">
        <f>VLOOKUP(A26,'BSE ALL CAP'!$B$4:$Y$1038,11,)</f>
        <v>296</v>
      </c>
      <c r="M26" s="101">
        <f>VLOOKUP(A26,'BSE ALL CAP'!$B$4:$Y$1038,12,)</f>
        <v>231</v>
      </c>
      <c r="N26" s="101">
        <f>VLOOKUP(A26,'BSE ALL CAP'!$B$4:$Y$1038,13,)</f>
        <v>25</v>
      </c>
      <c r="O26" s="101">
        <f>VLOOKUP(A26,'BSE ALL CAP'!$B$4:$Y$1038,14,)</f>
        <v>17</v>
      </c>
      <c r="P26" s="95">
        <f>VLOOKUP(A26,'BSE ALL CAP'!$B$4:$Y$1038,15,)</f>
        <v>8.7962962962962965E-2</v>
      </c>
      <c r="Q26" s="95">
        <f>VLOOKUP(A26,'BSE ALL CAP'!$B$4:$Y$1038,16,)</f>
        <v>9.8571428571428574E-2</v>
      </c>
      <c r="R26" s="95">
        <f>VLOOKUP(A26,'BSE ALL CAP'!$B$4:$Y$1038,17,)</f>
        <v>-1.0608465608465609E-2</v>
      </c>
      <c r="S26" s="95">
        <f>VLOOKUP(A26,'BSE ALL CAP'!$B$4:$Y$1038,18,)</f>
        <v>8.4459459459459457E-2</v>
      </c>
      <c r="T26" s="95">
        <f>VLOOKUP(A26,'BSE ALL CAP'!$B$4:$Y$1038,19,)</f>
        <v>7.3593073593073599E-2</v>
      </c>
      <c r="U26" s="95">
        <f>VLOOKUP(A26,'BSE ALL CAP'!$B$4:$Y$1038,20,)</f>
        <v>1.0866385866385858E-2</v>
      </c>
      <c r="V26" s="95">
        <f>VLOOKUP(A26,'BSE ALL CAP'!$B$4:$Y$1038,21,)</f>
        <v>0.23428571428571421</v>
      </c>
      <c r="W26" s="95">
        <f>VLOOKUP(A26,'BSE ALL CAP'!$B$4:$Y$1038,22,)</f>
        <v>0.10144927536231885</v>
      </c>
      <c r="X26" s="95">
        <f>VLOOKUP(A26,'BSE ALL CAP'!$B$4:$Y$1038,23,)</f>
        <v>0.28138528138528129</v>
      </c>
      <c r="Y26" s="95">
        <f>VLOOKUP(A26,'BSE ALL CAP'!$B$4:$Y$1038,24,)</f>
        <v>0.47058823529411775</v>
      </c>
    </row>
    <row r="27" spans="1:25" ht="14.4">
      <c r="A27" s="99">
        <v>543590</v>
      </c>
      <c r="B27" s="98" t="s">
        <v>3707</v>
      </c>
      <c r="C27" s="101"/>
      <c r="D27" s="101"/>
      <c r="E27" s="101">
        <f ca="1">IFERROR(__xludf.DUMMYFUNCTION("GOOGLEFINANCE(""BOM:""&amp;A27,""PRICE"")"),24.94)</f>
        <v>24.94</v>
      </c>
      <c r="F27" s="112">
        <f ca="1">IFERROR(__xludf.DUMMYFUNCTION("GOOGLEFINANCE(""BOM:""&amp;A27,""MARKETCAP"")/10000000"),1980.2346538)</f>
        <v>1980.2346537999999</v>
      </c>
      <c r="G27" s="95">
        <f t="shared" ca="1" si="0"/>
        <v>7.549309848579564E-3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 ht="14.4">
      <c r="A28" s="99">
        <v>532650</v>
      </c>
      <c r="B28" s="98" t="s">
        <v>3708</v>
      </c>
      <c r="C28" s="101"/>
      <c r="D28" s="101"/>
      <c r="E28" s="101">
        <f ca="1">IFERROR(__xludf.DUMMYFUNCTION("GOOGLEFINANCE(""BOM:""&amp;A28,""PRICE"")"),33)</f>
        <v>33</v>
      </c>
      <c r="F28" s="112">
        <f ca="1">IFERROR(__xludf.DUMMYFUNCTION("GOOGLEFINANCE(""BOM:""&amp;A28,""MARKETCAP"")/10000000"),1873.2627197)</f>
        <v>1873.2627196999999</v>
      </c>
      <c r="G28" s="95">
        <f t="shared" ca="1" si="0"/>
        <v>7.1414974339886732E-3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</row>
    <row r="29" spans="1:25" ht="14.4">
      <c r="A29" s="99">
        <v>543411</v>
      </c>
      <c r="B29" s="98" t="s">
        <v>3709</v>
      </c>
      <c r="C29" s="101"/>
      <c r="D29" s="101"/>
      <c r="E29" s="101">
        <f ca="1">IFERROR(__xludf.DUMMYFUNCTION("GOOGLEFINANCE(""BOM:""&amp;A29,""PRICE"")"),80.14)</f>
        <v>80.14</v>
      </c>
      <c r="F29" s="112">
        <f ca="1">IFERROR(__xludf.DUMMYFUNCTION("GOOGLEFINANCE(""BOM:""&amp;A29,""MARKETCAP"")/10000000"),1617.6266598)</f>
        <v>1617.6266598</v>
      </c>
      <c r="G29" s="95">
        <f t="shared" ca="1" si="0"/>
        <v>6.1669281722338699E-3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</row>
    <row r="30" spans="1:25" ht="14.4">
      <c r="A30" s="99">
        <v>539046</v>
      </c>
      <c r="B30" s="98" t="s">
        <v>3710</v>
      </c>
      <c r="C30" s="101"/>
      <c r="D30" s="101"/>
      <c r="E30" s="101">
        <f ca="1">IFERROR(__xludf.DUMMYFUNCTION("GOOGLEFINANCE(""BOM:""&amp;A30,""PRICE"")"),104.74)</f>
        <v>104.74</v>
      </c>
      <c r="F30" s="112">
        <f ca="1">IFERROR(__xludf.DUMMYFUNCTION("GOOGLEFINANCE(""BOM:""&amp;A30,""MARKETCAP"")/10000000"),1106.058567)</f>
        <v>1106.058567</v>
      </c>
      <c r="G30" s="95">
        <f t="shared" ca="1" si="0"/>
        <v>4.2166613016975472E-3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</row>
    <row r="31" spans="1:25" ht="14.4">
      <c r="A31" s="99">
        <v>513554</v>
      </c>
      <c r="B31" s="98" t="s">
        <v>3711</v>
      </c>
      <c r="C31" s="101"/>
      <c r="D31" s="101"/>
      <c r="E31" s="101">
        <f ca="1">IFERROR(__xludf.DUMMYFUNCTION("GOOGLEFINANCE(""BOM:""&amp;A31,""PRICE"")"),959.8)</f>
        <v>959.8</v>
      </c>
      <c r="F31" s="112">
        <f ca="1">IFERROR(__xludf.DUMMYFUNCTION("GOOGLEFINANCE(""BOM:""&amp;A31,""MARKETCAP"")/10000000"),1530.1247919)</f>
        <v>1530.1247919</v>
      </c>
      <c r="G31" s="95">
        <f t="shared" ca="1" si="0"/>
        <v>5.8333420935138798E-3</v>
      </c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</row>
    <row r="32" spans="1:25" ht="14.4">
      <c r="A32" s="99">
        <v>539799</v>
      </c>
      <c r="B32" s="98" t="s">
        <v>3712</v>
      </c>
      <c r="C32" s="101"/>
      <c r="D32" s="101"/>
      <c r="E32" s="101">
        <f ca="1">IFERROR(__xludf.DUMMYFUNCTION("GOOGLEFINANCE(""BOM:""&amp;A32,""PRICE"")"),163.2)</f>
        <v>163.19999999999999</v>
      </c>
      <c r="F32" s="112">
        <f ca="1">IFERROR(__xludf.DUMMYFUNCTION("GOOGLEFINANCE(""BOM:""&amp;A32,""MARKETCAP"")/10000000"),1117.930121)</f>
        <v>1117.9301210000001</v>
      </c>
      <c r="G32" s="95">
        <f t="shared" ca="1" si="0"/>
        <v>4.2619195943742073E-3</v>
      </c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</row>
    <row r="33" spans="1:25" ht="14.4">
      <c r="A33" s="99">
        <v>539309</v>
      </c>
      <c r="B33" s="98" t="s">
        <v>3713</v>
      </c>
      <c r="C33" s="101"/>
      <c r="D33" s="101"/>
      <c r="E33" s="101">
        <f ca="1">IFERROR(__xludf.DUMMYFUNCTION("GOOGLEFINANCE(""BOM:""&amp;A33,""PRICE"")"),4.45)</f>
        <v>4.45</v>
      </c>
      <c r="F33" s="112">
        <f ca="1">IFERROR(__xludf.DUMMYFUNCTION("GOOGLEFINANCE(""BOM:""&amp;A33,""MARKETCAP"")/10000000"),729.8048637)</f>
        <v>729.80486370000006</v>
      </c>
      <c r="G33" s="95">
        <f t="shared" ca="1" si="0"/>
        <v>2.7822576655241829E-3</v>
      </c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 ht="14.4">
      <c r="A34" s="99">
        <v>543517</v>
      </c>
      <c r="B34" s="98" t="s">
        <v>3714</v>
      </c>
      <c r="C34" s="101"/>
      <c r="D34" s="101"/>
      <c r="E34" s="101">
        <f ca="1">IFERROR(__xludf.DUMMYFUNCTION("GOOGLEFINANCE(""BOM:""&amp;A34,""PRICE"")"),284.15)</f>
        <v>284.14999999999998</v>
      </c>
      <c r="F34" s="112">
        <f ca="1">IFERROR(__xludf.DUMMYFUNCTION("GOOGLEFINANCE(""BOM:""&amp;A34,""MARKETCAP"")/10000000"),879.1610602)</f>
        <v>879.16106019999995</v>
      </c>
      <c r="G34" s="95">
        <f t="shared" ca="1" si="0"/>
        <v>3.3516529152336715E-3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 ht="14.4">
      <c r="A35" s="99">
        <v>513108</v>
      </c>
      <c r="B35" s="98" t="s">
        <v>3715</v>
      </c>
      <c r="C35" s="101"/>
      <c r="D35" s="101"/>
      <c r="E35" s="101">
        <f ca="1">IFERROR(__xludf.DUMMYFUNCTION("GOOGLEFINANCE(""BOM:""&amp;A35,""PRICE"")"),807)</f>
        <v>807</v>
      </c>
      <c r="F35" s="112">
        <f ca="1">IFERROR(__xludf.DUMMYFUNCTION("GOOGLEFINANCE(""BOM:""&amp;A35,""MARKETCAP"")/10000000"),981.880792)</f>
        <v>981.88079200000004</v>
      </c>
      <c r="G35" s="95">
        <f t="shared" ca="1" si="0"/>
        <v>3.7432545274128678E-3</v>
      </c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</row>
    <row r="36" spans="1:25" ht="14.4">
      <c r="A36" s="99">
        <v>534748</v>
      </c>
      <c r="B36" s="98" t="s">
        <v>3716</v>
      </c>
      <c r="C36" s="101"/>
      <c r="D36" s="101"/>
      <c r="E36" s="101">
        <f ca="1">IFERROR(__xludf.DUMMYFUNCTION("GOOGLEFINANCE(""BOM:""&amp;A36,""PRICE"")"),7.61)</f>
        <v>7.61</v>
      </c>
      <c r="F36" s="112">
        <f ca="1">IFERROR(__xludf.DUMMYFUNCTION("GOOGLEFINANCE(""BOM:""&amp;A36,""MARKETCAP"")/10000000"),949.1344366)</f>
        <v>949.13443659999996</v>
      </c>
      <c r="G36" s="95">
        <f t="shared" ca="1" si="0"/>
        <v>3.6184145833931449E-3</v>
      </c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</row>
    <row r="37" spans="1:25" ht="14.4">
      <c r="A37" s="99">
        <v>543978</v>
      </c>
      <c r="B37" s="98" t="s">
        <v>3717</v>
      </c>
      <c r="C37" s="101"/>
      <c r="D37" s="101"/>
      <c r="E37" s="101">
        <f ca="1">IFERROR(__xludf.DUMMYFUNCTION("GOOGLEFINANCE(""BOM:""&amp;A37,""PRICE"")"),140.55)</f>
        <v>140.55000000000001</v>
      </c>
      <c r="F37" s="112">
        <f ca="1">IFERROR(__xludf.DUMMYFUNCTION("GOOGLEFINANCE(""BOM:""&amp;A37,""MARKETCAP"")/10000000"),954.7888667)</f>
        <v>954.78886669999997</v>
      </c>
      <c r="G37" s="95">
        <f t="shared" ca="1" si="0"/>
        <v>3.6399711422383909E-3</v>
      </c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</row>
    <row r="38" spans="1:25" ht="14.4">
      <c r="A38" s="99">
        <v>543928</v>
      </c>
      <c r="B38" s="98" t="s">
        <v>3718</v>
      </c>
      <c r="C38" s="101"/>
      <c r="D38" s="101"/>
      <c r="E38" s="101">
        <f ca="1">IFERROR(__xludf.DUMMYFUNCTION("GOOGLEFINANCE(""BOM:""&amp;A38,""PRICE"")"),748)</f>
        <v>748</v>
      </c>
      <c r="F38" s="112">
        <f ca="1">IFERROR(__xludf.DUMMYFUNCTION("GOOGLEFINANCE(""BOM:""&amp;A38,""MARKETCAP"")/10000000"),688.6269016)</f>
        <v>688.6269016</v>
      </c>
      <c r="G38" s="95">
        <f t="shared" ca="1" si="0"/>
        <v>2.6252736463679544E-3</v>
      </c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</row>
    <row r="39" spans="1:25" ht="14.4">
      <c r="A39" s="99">
        <v>526608</v>
      </c>
      <c r="B39" s="98" t="s">
        <v>3719</v>
      </c>
      <c r="C39" s="101"/>
      <c r="D39" s="101"/>
      <c r="E39" s="101">
        <f ca="1">IFERROR(__xludf.DUMMYFUNCTION("GOOGLEFINANCE(""BOM:""&amp;A39,""PRICE"")"),596.65)</f>
        <v>596.65</v>
      </c>
      <c r="F39" s="112">
        <f ca="1">IFERROR(__xludf.DUMMYFUNCTION("GOOGLEFINANCE(""BOM:""&amp;A39,""MARKETCAP"")/10000000"),761.319199)</f>
        <v>761.31919900000003</v>
      </c>
      <c r="G39" s="95">
        <f t="shared" ca="1" si="0"/>
        <v>2.9024007411921019E-3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</row>
    <row r="40" spans="1:25" ht="14.4">
      <c r="A40" s="99">
        <v>511076</v>
      </c>
      <c r="B40" s="98" t="s">
        <v>3720</v>
      </c>
      <c r="C40" s="101"/>
      <c r="D40" s="101"/>
      <c r="E40" s="101">
        <f ca="1">IFERROR(__xludf.DUMMYFUNCTION("GOOGLEFINANCE(""BOM:""&amp;A40,""PRICE"")"),73.9)</f>
        <v>73.900000000000006</v>
      </c>
      <c r="F40" s="112">
        <f ca="1">IFERROR(__xludf.DUMMYFUNCTION("GOOGLEFINANCE(""BOM:""&amp;A40,""MARKETCAP"")/10000000"),838.186051)</f>
        <v>838.18605100000002</v>
      </c>
      <c r="G40" s="95">
        <f t="shared" ca="1" si="0"/>
        <v>3.1954426196984438E-3</v>
      </c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</row>
    <row r="41" spans="1:25" ht="14.4">
      <c r="A41" s="99">
        <v>544411</v>
      </c>
      <c r="B41" s="98" t="s">
        <v>3721</v>
      </c>
      <c r="C41" s="101"/>
      <c r="D41" s="101"/>
      <c r="E41" s="101">
        <f ca="1">IFERROR(__xludf.DUMMYFUNCTION("GOOGLEFINANCE(""BOM:""&amp;A41,""PRICE"")"),137.25)</f>
        <v>137.25</v>
      </c>
      <c r="F41" s="112">
        <f ca="1">IFERROR(__xludf.DUMMYFUNCTION("GOOGLEFINANCE(""BOM:""&amp;A41,""MARKETCAP"")/10000000"),821.9499525)</f>
        <v>821.94995249999999</v>
      </c>
      <c r="G41" s="95">
        <f t="shared" ca="1" si="0"/>
        <v>3.133545238964626E-3</v>
      </c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</row>
    <row r="42" spans="1:25" ht="14.4">
      <c r="A42" s="99">
        <v>539018</v>
      </c>
      <c r="B42" s="98" t="s">
        <v>3722</v>
      </c>
      <c r="C42" s="101"/>
      <c r="D42" s="101"/>
      <c r="E42" s="101">
        <f ca="1">IFERROR(__xludf.DUMMYFUNCTION("GOOGLEFINANCE(""BOM:""&amp;A42,""PRICE"")"),379.45)</f>
        <v>379.45</v>
      </c>
      <c r="F42" s="112">
        <f ca="1">IFERROR(__xludf.DUMMYFUNCTION("GOOGLEFINANCE(""BOM:""&amp;A42,""MARKETCAP"")/10000000"),723.6889605)</f>
        <v>723.68896050000001</v>
      </c>
      <c r="G42" s="95">
        <f t="shared" ca="1" si="0"/>
        <v>2.75894181849963E-3</v>
      </c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</row>
    <row r="43" spans="1:25" ht="14.4">
      <c r="A43" s="99">
        <v>542669</v>
      </c>
      <c r="B43" s="98" t="s">
        <v>3723</v>
      </c>
      <c r="C43" s="101"/>
      <c r="D43" s="101"/>
      <c r="E43" s="101">
        <f ca="1">IFERROR(__xludf.DUMMYFUNCTION("GOOGLEFINANCE(""BOM:""&amp;A43,""PRICE"")"),32.4)</f>
        <v>32.4</v>
      </c>
      <c r="F43" s="112">
        <f ca="1">IFERROR(__xludf.DUMMYFUNCTION("GOOGLEFINANCE(""BOM:""&amp;A43,""MARKETCAP"")/10000000"),729.2799703)</f>
        <v>729.27997029999995</v>
      </c>
      <c r="G43" s="95">
        <f t="shared" ca="1" si="0"/>
        <v>2.780256598172659E-3</v>
      </c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</row>
    <row r="44" spans="1:25" ht="14.4">
      <c r="A44" s="99">
        <v>513511</v>
      </c>
      <c r="B44" s="98" t="s">
        <v>3724</v>
      </c>
      <c r="C44" s="101"/>
      <c r="D44" s="101"/>
      <c r="E44" s="101">
        <f ca="1">IFERROR(__xludf.DUMMYFUNCTION("GOOGLEFINANCE(""BOM:""&amp;A44,""PRICE"")"),326.15)</f>
        <v>326.14999999999998</v>
      </c>
      <c r="F44" s="112">
        <f ca="1">IFERROR(__xludf.DUMMYFUNCTION("GOOGLEFINANCE(""BOM:""&amp;A44,""MARKETCAP"")/10000000"),622.2393951)</f>
        <v>622.23939510000002</v>
      </c>
      <c r="G44" s="95">
        <f t="shared" ca="1" si="0"/>
        <v>2.3721825009921562E-3</v>
      </c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</row>
    <row r="45" spans="1:25" ht="14.4">
      <c r="A45" s="99">
        <v>532741</v>
      </c>
      <c r="B45" s="98" t="s">
        <v>3725</v>
      </c>
      <c r="C45" s="101"/>
      <c r="D45" s="101"/>
      <c r="E45" s="101">
        <f ca="1">IFERROR(__xludf.DUMMYFUNCTION("GOOGLEFINANCE(""BOM:""&amp;A45,""PRICE"")"),19.59)</f>
        <v>19.59</v>
      </c>
      <c r="F45" s="112">
        <f ca="1">IFERROR(__xludf.DUMMYFUNCTION("GOOGLEFINANCE(""BOM:""&amp;A45,""MARKETCAP"")/10000000"),551.3629373)</f>
        <v>551.3629373</v>
      </c>
      <c r="G45" s="95">
        <f t="shared" ca="1" si="0"/>
        <v>2.1019779876658203E-3</v>
      </c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</row>
    <row r="46" spans="1:25" ht="14.4">
      <c r="A46" s="99">
        <v>513361</v>
      </c>
      <c r="B46" s="98" t="s">
        <v>2062</v>
      </c>
      <c r="C46" s="101"/>
      <c r="D46" s="101"/>
      <c r="E46" s="101">
        <f ca="1">IFERROR(__xludf.DUMMYFUNCTION("GOOGLEFINANCE(""BOM:""&amp;A46,""PRICE"")"),14.15)</f>
        <v>14.15</v>
      </c>
      <c r="F46" s="112">
        <f ca="1">IFERROR(__xludf.DUMMYFUNCTION("GOOGLEFINANCE(""BOM:""&amp;A46,""MARKETCAP"")/10000000"),563.2844583)</f>
        <v>563.28445829999998</v>
      </c>
      <c r="G46" s="95">
        <f t="shared" ca="1" si="0"/>
        <v>2.147426771082797E-3</v>
      </c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</row>
    <row r="47" spans="1:25" ht="14.4">
      <c r="A47" s="99">
        <v>504605</v>
      </c>
      <c r="B47" s="98" t="s">
        <v>3726</v>
      </c>
      <c r="C47" s="101"/>
      <c r="D47" s="101"/>
      <c r="E47" s="101">
        <f ca="1">IFERROR(__xludf.DUMMYFUNCTION("GOOGLEFINANCE(""BOM:""&amp;A47,""PRICE"")"),2818)</f>
        <v>2818</v>
      </c>
      <c r="F47" s="112">
        <f ca="1">IFERROR(__xludf.DUMMYFUNCTION("GOOGLEFINANCE(""BOM:""&amp;A47,""MARKETCAP"")/10000000"),556.5547182)</f>
        <v>556.55471820000002</v>
      </c>
      <c r="G47" s="95">
        <f t="shared" ca="1" si="0"/>
        <v>2.1217707746493349E-3</v>
      </c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</row>
    <row r="48" spans="1:25" ht="14.4">
      <c r="A48" s="99">
        <v>504731</v>
      </c>
      <c r="B48" s="98" t="s">
        <v>3727</v>
      </c>
      <c r="C48" s="101"/>
      <c r="D48" s="101"/>
      <c r="E48" s="101">
        <f ca="1">IFERROR(__xludf.DUMMYFUNCTION("GOOGLEFINANCE(""BOM:""&amp;A48,""PRICE"")"),92.9)</f>
        <v>92.9</v>
      </c>
      <c r="F48" s="112">
        <f ca="1">IFERROR(__xludf.DUMMYFUNCTION("GOOGLEFINANCE(""BOM:""&amp;A48,""MARKETCAP"")/10000000"),505.7768718)</f>
        <v>505.77687179999998</v>
      </c>
      <c r="G48" s="95">
        <f t="shared" ca="1" si="0"/>
        <v>1.9281888195100444E-3</v>
      </c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</row>
    <row r="49" spans="1:25" ht="14.4">
      <c r="A49" s="99">
        <v>533270</v>
      </c>
      <c r="B49" s="98" t="s">
        <v>3728</v>
      </c>
      <c r="C49" s="101"/>
      <c r="D49" s="101"/>
      <c r="E49" s="101">
        <f ca="1">IFERROR(__xludf.DUMMYFUNCTION("GOOGLEFINANCE(""BOM:""&amp;A49,""PRICE"")"),113)</f>
        <v>113</v>
      </c>
      <c r="F49" s="112">
        <f ca="1">IFERROR(__xludf.DUMMYFUNCTION("GOOGLEFINANCE(""BOM:""&amp;A49,""MARKETCAP"")/10000000"),332.8019271)</f>
        <v>332.8019271</v>
      </c>
      <c r="G49" s="95">
        <f t="shared" ca="1" si="0"/>
        <v>1.268751085161061E-3</v>
      </c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</row>
    <row r="50" spans="1:25" ht="14.4">
      <c r="A50" s="99">
        <v>533275</v>
      </c>
      <c r="B50" s="98" t="s">
        <v>3729</v>
      </c>
      <c r="C50" s="101"/>
      <c r="D50" s="101"/>
      <c r="E50" s="101">
        <f ca="1">IFERROR(__xludf.DUMMYFUNCTION("GOOGLEFINANCE(""BOM:""&amp;A50,""PRICE"")"),4.93)</f>
        <v>4.93</v>
      </c>
      <c r="F50" s="112">
        <f ca="1">IFERROR(__xludf.DUMMYFUNCTION("GOOGLEFINANCE(""BOM:""&amp;A50,""MARKETCAP"")/10000000"),425.7864)</f>
        <v>425.78640000000001</v>
      </c>
      <c r="G50" s="95">
        <f t="shared" ca="1" si="0"/>
        <v>1.6232386685804789E-3</v>
      </c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</row>
    <row r="51" spans="1:25" ht="14.4">
      <c r="A51" s="99">
        <v>531638</v>
      </c>
      <c r="B51" s="98" t="s">
        <v>3730</v>
      </c>
      <c r="C51" s="101"/>
      <c r="D51" s="101"/>
      <c r="E51" s="101">
        <f ca="1">IFERROR(__xludf.DUMMYFUNCTION("GOOGLEFINANCE(""BOM:""&amp;A51,""PRICE"")"),264.85)</f>
        <v>264.85000000000002</v>
      </c>
      <c r="F51" s="112">
        <f ca="1">IFERROR(__xludf.DUMMYFUNCTION("GOOGLEFINANCE(""BOM:""&amp;A51,""MARKETCAP"")/10000000"),485.4917027)</f>
        <v>485.49170270000002</v>
      </c>
      <c r="G51" s="95">
        <f t="shared" ca="1" si="0"/>
        <v>1.8508550416303051E-3</v>
      </c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</row>
    <row r="52" spans="1:25" ht="14.4">
      <c r="A52" s="99">
        <v>532932</v>
      </c>
      <c r="B52" s="98" t="s">
        <v>3731</v>
      </c>
      <c r="C52" s="101"/>
      <c r="D52" s="101"/>
      <c r="E52" s="101">
        <f ca="1">IFERROR(__xludf.DUMMYFUNCTION("GOOGLEFINANCE(""BOM:""&amp;A52,""PRICE"")"),50.96)</f>
        <v>50.96</v>
      </c>
      <c r="F52" s="112">
        <f ca="1">IFERROR(__xludf.DUMMYFUNCTION("GOOGLEFINANCE(""BOM:""&amp;A52,""MARKETCAP"")/10000000"),327.9978652)</f>
        <v>327.99786519999998</v>
      </c>
      <c r="G52" s="95">
        <f t="shared" ca="1" si="0"/>
        <v>1.25043641131912E-3</v>
      </c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</row>
    <row r="53" spans="1:25" ht="14.4">
      <c r="A53" s="99">
        <v>534733</v>
      </c>
      <c r="B53" s="98" t="s">
        <v>3732</v>
      </c>
      <c r="C53" s="101"/>
      <c r="D53" s="101"/>
      <c r="E53" s="101">
        <f ca="1">IFERROR(__xludf.DUMMYFUNCTION("GOOGLEFINANCE(""BOM:""&amp;A53,""PRICE"")"),24.69)</f>
        <v>24.69</v>
      </c>
      <c r="F53" s="112">
        <f ca="1">IFERROR(__xludf.DUMMYFUNCTION("GOOGLEFINANCE(""BOM:""&amp;A53,""MARKETCAP"")/10000000"),379.8751633)</f>
        <v>379.8751633</v>
      </c>
      <c r="G53" s="95">
        <f t="shared" ca="1" si="0"/>
        <v>1.4482098401965963E-3</v>
      </c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</row>
    <row r="54" spans="1:25" ht="14.4">
      <c r="A54" s="99">
        <v>540082</v>
      </c>
      <c r="B54" s="98" t="s">
        <v>3733</v>
      </c>
      <c r="C54" s="101"/>
      <c r="D54" s="101"/>
      <c r="E54" s="101">
        <f ca="1">IFERROR(__xludf.DUMMYFUNCTION("GOOGLEFINANCE(""BOM:""&amp;A54,""PRICE"")"),178)</f>
        <v>178</v>
      </c>
      <c r="F54" s="112">
        <f ca="1">IFERROR(__xludf.DUMMYFUNCTION("GOOGLEFINANCE(""BOM:""&amp;A54,""MARKETCAP"")/10000000"),221.3497)</f>
        <v>221.34970000000001</v>
      </c>
      <c r="G54" s="95">
        <f t="shared" ca="1" si="0"/>
        <v>8.4385831092465252E-4</v>
      </c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</row>
    <row r="55" spans="1:25" ht="14.4">
      <c r="A55" s="99">
        <v>541701</v>
      </c>
      <c r="B55" s="98" t="s">
        <v>3734</v>
      </c>
      <c r="C55" s="101"/>
      <c r="D55" s="101"/>
      <c r="E55" s="101">
        <f ca="1">IFERROR(__xludf.DUMMYFUNCTION("GOOGLEFINANCE(""BOM:""&amp;A55,""PRICE"")"),200)</f>
        <v>200</v>
      </c>
      <c r="F55" s="112">
        <f ca="1">IFERROR(__xludf.DUMMYFUNCTION("GOOGLEFINANCE(""BOM:""&amp;A55,""MARKETCAP"")/10000000"),230.5056)</f>
        <v>230.50559999999999</v>
      </c>
      <c r="G55" s="95">
        <f t="shared" ca="1" si="0"/>
        <v>8.7876363182183461E-4</v>
      </c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</row>
    <row r="56" spans="1:25" ht="14.4">
      <c r="A56" s="99">
        <v>518075</v>
      </c>
      <c r="B56" s="98" t="s">
        <v>3735</v>
      </c>
      <c r="C56" s="101"/>
      <c r="D56" s="101"/>
      <c r="E56" s="101">
        <f ca="1">IFERROR(__xludf.DUMMYFUNCTION("GOOGLEFINANCE(""BOM:""&amp;A56,""PRICE"")"),200.65)</f>
        <v>200.65</v>
      </c>
      <c r="F56" s="112">
        <f ca="1">IFERROR(__xludf.DUMMYFUNCTION("GOOGLEFINANCE(""BOM:""&amp;A56,""MARKETCAP"")/10000000"),228.740993)</f>
        <v>228.740993</v>
      </c>
      <c r="G56" s="95">
        <f t="shared" ca="1" si="0"/>
        <v>8.7203636595038422E-4</v>
      </c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5" ht="14.4">
      <c r="A57" s="99">
        <v>522273</v>
      </c>
      <c r="B57" s="98" t="s">
        <v>3736</v>
      </c>
      <c r="C57" s="101"/>
      <c r="D57" s="101"/>
      <c r="E57" s="101">
        <f ca="1">IFERROR(__xludf.DUMMYFUNCTION("GOOGLEFINANCE(""BOM:""&amp;A57,""PRICE"")"),124.8)</f>
        <v>124.8</v>
      </c>
      <c r="F57" s="112">
        <f ca="1">IFERROR(__xludf.DUMMYFUNCTION("GOOGLEFINANCE(""BOM:""&amp;A57,""MARKETCAP"")/10000000"),188.3481646)</f>
        <v>188.34816459999999</v>
      </c>
      <c r="G57" s="95">
        <f t="shared" ca="1" si="0"/>
        <v>7.1804553629444456E-4</v>
      </c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</row>
    <row r="58" spans="1:25" ht="14.4">
      <c r="A58" s="99">
        <v>543962</v>
      </c>
      <c r="B58" s="98" t="s">
        <v>3737</v>
      </c>
      <c r="C58" s="101"/>
      <c r="D58" s="101"/>
      <c r="E58" s="101">
        <f ca="1">IFERROR(__xludf.DUMMYFUNCTION("GOOGLEFINANCE(""BOM:""&amp;A58,""PRICE"")"),143.2)</f>
        <v>143.19999999999999</v>
      </c>
      <c r="F58" s="112">
        <f ca="1">IFERROR(__xludf.DUMMYFUNCTION("GOOGLEFINANCE(""BOM:""&amp;A58,""MARKETCAP"")/10000000"),222.1213099)</f>
        <v>222.1213099</v>
      </c>
      <c r="G58" s="95">
        <f t="shared" ca="1" si="0"/>
        <v>8.4679994322371015E-4</v>
      </c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</row>
    <row r="59" spans="1:25" ht="14.4">
      <c r="A59" s="99">
        <v>544521</v>
      </c>
      <c r="B59" s="98" t="s">
        <v>3738</v>
      </c>
      <c r="C59" s="101"/>
      <c r="D59" s="101"/>
      <c r="E59" s="101">
        <f ca="1">IFERROR(__xludf.DUMMYFUNCTION("GOOGLEFINANCE(""BOM:""&amp;A59,""PRICE"")"),39)</f>
        <v>39</v>
      </c>
      <c r="F59" s="112">
        <f ca="1">IFERROR(__xludf.DUMMYFUNCTION("GOOGLEFINANCE(""BOM:""&amp;A59,""MARKETCAP"")/10000000"),193.3631506)</f>
        <v>193.36315060000001</v>
      </c>
      <c r="G59" s="95">
        <f t="shared" ca="1" si="0"/>
        <v>7.3716432260981246E-4</v>
      </c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</row>
    <row r="60" spans="1:25" ht="14.4">
      <c r="A60" s="99">
        <v>544124</v>
      </c>
      <c r="B60" s="98" t="s">
        <v>3739</v>
      </c>
      <c r="C60" s="101"/>
      <c r="D60" s="101"/>
      <c r="E60" s="101">
        <f ca="1">IFERROR(__xludf.DUMMYFUNCTION("GOOGLEFINANCE(""BOM:""&amp;A60,""PRICE"")"),109.6)</f>
        <v>109.6</v>
      </c>
      <c r="F60" s="112">
        <f ca="1">IFERROR(__xludf.DUMMYFUNCTION("GOOGLEFINANCE(""BOM:""&amp;A60,""MARKETCAP"")/10000000"),206.8802175)</f>
        <v>206.88021749999999</v>
      </c>
      <c r="G60" s="95">
        <f t="shared" ca="1" si="0"/>
        <v>7.8869585503515353E-4</v>
      </c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</row>
    <row r="61" spans="1:25" ht="14.4">
      <c r="A61" s="99">
        <v>539226</v>
      </c>
      <c r="B61" s="98" t="s">
        <v>3740</v>
      </c>
      <c r="C61" s="101"/>
      <c r="D61" s="101"/>
      <c r="E61" s="101">
        <f ca="1">IFERROR(__xludf.DUMMYFUNCTION("GOOGLEFINANCE(""BOM:""&amp;A61,""PRICE"")"),17.2)</f>
        <v>17.2</v>
      </c>
      <c r="F61" s="112">
        <f ca="1">IFERROR(__xludf.DUMMYFUNCTION("GOOGLEFINANCE(""BOM:""&amp;A61,""MARKETCAP"")/10000000"),171.2868635)</f>
        <v>171.28686350000001</v>
      </c>
      <c r="G61" s="95">
        <f t="shared" ca="1" si="0"/>
        <v>6.5300221015294579E-4</v>
      </c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</row>
    <row r="62" spans="1:25" ht="14.4">
      <c r="A62" s="99">
        <v>504903</v>
      </c>
      <c r="B62" s="98" t="s">
        <v>3741</v>
      </c>
      <c r="C62" s="101"/>
      <c r="D62" s="101"/>
      <c r="E62" s="101">
        <f ca="1">IFERROR(__xludf.DUMMYFUNCTION("GOOGLEFINANCE(""BOM:""&amp;A62,""PRICE"")"),20.3)</f>
        <v>20.3</v>
      </c>
      <c r="F62" s="112">
        <f ca="1">IFERROR(__xludf.DUMMYFUNCTION("GOOGLEFINANCE(""BOM:""&amp;A62,""MARKETCAP"")/10000000"),174.9714399)</f>
        <v>174.97143990000001</v>
      </c>
      <c r="G62" s="95">
        <f t="shared" ca="1" si="0"/>
        <v>6.6704903478102004E-4</v>
      </c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</row>
    <row r="63" spans="1:25" ht="14.4">
      <c r="A63" s="99">
        <v>538365</v>
      </c>
      <c r="B63" s="98" t="s">
        <v>3742</v>
      </c>
      <c r="C63" s="101"/>
      <c r="D63" s="101"/>
      <c r="E63" s="101">
        <f ca="1">IFERROR(__xludf.DUMMYFUNCTION("GOOGLEFINANCE(""BOM:""&amp;A63,""PRICE"")"),32.6)</f>
        <v>32.6</v>
      </c>
      <c r="F63" s="112">
        <f ca="1">IFERROR(__xludf.DUMMYFUNCTION("GOOGLEFINANCE(""BOM:""&amp;A63,""MARKETCAP"")/10000000"),144.687)</f>
        <v>144.68700000000001</v>
      </c>
      <c r="G63" s="95">
        <f t="shared" ca="1" si="0"/>
        <v>5.5159472740534633E-4</v>
      </c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</row>
    <row r="64" spans="1:25" ht="14.4">
      <c r="A64" s="99">
        <v>513043</v>
      </c>
      <c r="B64" s="98" t="s">
        <v>3743</v>
      </c>
      <c r="C64" s="101"/>
      <c r="D64" s="101"/>
      <c r="E64" s="101">
        <f ca="1">IFERROR(__xludf.DUMMYFUNCTION("GOOGLEFINANCE(""BOM:""&amp;A64,""PRICE"")"),140)</f>
        <v>140</v>
      </c>
      <c r="F64" s="112">
        <f ca="1">IFERROR(__xludf.DUMMYFUNCTION("GOOGLEFINANCE(""BOM:""&amp;A64,""MARKETCAP"")/10000000"),176.60314)</f>
        <v>176.60314</v>
      </c>
      <c r="G64" s="95">
        <f t="shared" ca="1" si="0"/>
        <v>6.7326961556482762E-4</v>
      </c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</row>
    <row r="65" spans="1:25" ht="14.4">
      <c r="A65" s="99">
        <v>513456</v>
      </c>
      <c r="B65" s="98" t="s">
        <v>3744</v>
      </c>
      <c r="C65" s="101"/>
      <c r="D65" s="101"/>
      <c r="E65" s="101">
        <f ca="1">IFERROR(__xludf.DUMMYFUNCTION("GOOGLEFINANCE(""BOM:""&amp;A65,""PRICE"")"),47.69)</f>
        <v>47.69</v>
      </c>
      <c r="F65" s="112">
        <f ca="1">IFERROR(__xludf.DUMMYFUNCTION("GOOGLEFINANCE(""BOM:""&amp;A65,""MARKETCAP"")/10000000"),135.6116139)</f>
        <v>135.61161390000001</v>
      </c>
      <c r="G65" s="95">
        <f t="shared" ca="1" si="0"/>
        <v>5.1699635214061792E-4</v>
      </c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</row>
    <row r="66" spans="1:25" ht="14.4">
      <c r="A66" s="99">
        <v>538546</v>
      </c>
      <c r="B66" s="98" t="s">
        <v>3745</v>
      </c>
      <c r="C66" s="101"/>
      <c r="D66" s="101"/>
      <c r="E66" s="101">
        <f ca="1">IFERROR(__xludf.DUMMYFUNCTION("GOOGLEFINANCE(""BOM:""&amp;A66,""PRICE"")"),125.35)</f>
        <v>125.35</v>
      </c>
      <c r="F66" s="112">
        <f ca="1">IFERROR(__xludf.DUMMYFUNCTION("GOOGLEFINANCE(""BOM:""&amp;A66,""MARKETCAP"")/10000000"),165.0535347)</f>
        <v>165.0535347</v>
      </c>
      <c r="G66" s="95">
        <f t="shared" ca="1" si="0"/>
        <v>6.2923869787980522E-4</v>
      </c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</row>
    <row r="67" spans="1:25" ht="14.4">
      <c r="A67" s="99">
        <v>531289</v>
      </c>
      <c r="B67" s="98" t="s">
        <v>3746</v>
      </c>
      <c r="C67" s="101"/>
      <c r="D67" s="101"/>
      <c r="E67" s="101">
        <f ca="1">IFERROR(__xludf.DUMMYFUNCTION("GOOGLEFINANCE(""BOM:""&amp;A67,""PRICE"")"),157)</f>
        <v>157</v>
      </c>
      <c r="F67" s="112">
        <f ca="1">IFERROR(__xludf.DUMMYFUNCTION("GOOGLEFINANCE(""BOM:""&amp;A67,""MARKETCAP"")/10000000"),142.6059731)</f>
        <v>142.6059731</v>
      </c>
      <c r="G67" s="95">
        <f t="shared" ca="1" si="0"/>
        <v>5.4366116415758604E-4</v>
      </c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</row>
    <row r="68" spans="1:25" ht="14.4">
      <c r="A68" s="99">
        <v>526981</v>
      </c>
      <c r="B68" s="98" t="s">
        <v>3747</v>
      </c>
      <c r="C68" s="101"/>
      <c r="D68" s="101"/>
      <c r="E68" s="101">
        <f ca="1">IFERROR(__xludf.DUMMYFUNCTION("GOOGLEFINANCE(""BOM:""&amp;A68,""PRICE"")"),149)</f>
        <v>149</v>
      </c>
      <c r="F68" s="112">
        <f ca="1">IFERROR(__xludf.DUMMYFUNCTION("GOOGLEFINANCE(""BOM:""&amp;A68,""MARKETCAP"")/10000000"),134.1)</f>
        <v>134.1</v>
      </c>
      <c r="G68" s="95">
        <f t="shared" ca="1" si="0"/>
        <v>5.1123357969310953E-4</v>
      </c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</row>
    <row r="69" spans="1:25" ht="14.4">
      <c r="A69" s="99">
        <v>544553</v>
      </c>
      <c r="B69" s="98" t="s">
        <v>3748</v>
      </c>
      <c r="C69" s="101"/>
      <c r="D69" s="101"/>
      <c r="E69" s="101">
        <f ca="1">IFERROR(__xludf.DUMMYFUNCTION("GOOGLEFINANCE(""BOM:""&amp;A69,""PRICE"")"),126)</f>
        <v>126</v>
      </c>
      <c r="F69" s="112">
        <f ca="1">IFERROR(__xludf.DUMMYFUNCTION("GOOGLEFINANCE(""BOM:""&amp;A69,""MARKETCAP"")/10000000"),128.280096)</f>
        <v>128.28009599999999</v>
      </c>
      <c r="G69" s="95">
        <f t="shared" ca="1" si="0"/>
        <v>4.8904617957834257E-4</v>
      </c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</row>
    <row r="70" spans="1:25" ht="14.4">
      <c r="A70" s="99">
        <v>513436</v>
      </c>
      <c r="B70" s="98" t="s">
        <v>3749</v>
      </c>
      <c r="C70" s="101"/>
      <c r="D70" s="101"/>
      <c r="E70" s="101">
        <f ca="1">IFERROR(__xludf.DUMMYFUNCTION("GOOGLEFINANCE(""BOM:""&amp;A70,""PRICE"")"),58)</f>
        <v>58</v>
      </c>
      <c r="F70" s="112">
        <f ca="1">IFERROR(__xludf.DUMMYFUNCTION("GOOGLEFINANCE(""BOM:""&amp;A70,""MARKETCAP"")/10000000"),116.8252212)</f>
        <v>116.8252212</v>
      </c>
      <c r="G70" s="95">
        <f t="shared" ca="1" si="0"/>
        <v>4.4537640590988333E-4</v>
      </c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</row>
    <row r="71" spans="1:25" ht="14.4">
      <c r="A71" s="99">
        <v>543874</v>
      </c>
      <c r="B71" s="98" t="s">
        <v>3750</v>
      </c>
      <c r="C71" s="101"/>
      <c r="D71" s="101"/>
      <c r="E71" s="101">
        <f ca="1">IFERROR(__xludf.DUMMYFUNCTION("GOOGLEFINANCE(""BOM:""&amp;A71,""PRICE"")"),75.5)</f>
        <v>75.5</v>
      </c>
      <c r="F71" s="112">
        <f ca="1">IFERROR(__xludf.DUMMYFUNCTION("GOOGLEFINANCE(""BOM:""&amp;A71,""MARKETCAP"")/10000000"),107.3006)</f>
        <v>107.3006</v>
      </c>
      <c r="G71" s="95">
        <f t="shared" ca="1" si="0"/>
        <v>4.0906539777194983E-4</v>
      </c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</row>
    <row r="72" spans="1:25" ht="14.4">
      <c r="A72" s="99">
        <v>540393</v>
      </c>
      <c r="B72" s="98" t="s">
        <v>3751</v>
      </c>
      <c r="C72" s="101"/>
      <c r="D72" s="101"/>
      <c r="E72" s="101">
        <f ca="1">IFERROR(__xludf.DUMMYFUNCTION("GOOGLEFINANCE(""BOM:""&amp;A72,""PRICE"")"),65.16)</f>
        <v>65.16</v>
      </c>
      <c r="F72" s="112">
        <f ca="1">IFERROR(__xludf.DUMMYFUNCTION("GOOGLEFINANCE(""BOM:""&amp;A72,""MARKETCAP"")/10000000"),88.6411312)</f>
        <v>88.641131200000004</v>
      </c>
      <c r="G72" s="95">
        <f t="shared" ca="1" si="0"/>
        <v>3.3792932745281567E-4</v>
      </c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</row>
    <row r="73" spans="1:25" ht="14.4">
      <c r="A73" s="99">
        <v>590018</v>
      </c>
      <c r="B73" s="98" t="s">
        <v>3752</v>
      </c>
      <c r="C73" s="101"/>
      <c r="D73" s="101"/>
      <c r="E73" s="101">
        <f ca="1">IFERROR(__xludf.DUMMYFUNCTION("GOOGLEFINANCE(""BOM:""&amp;A73,""PRICE"")"),145.45)</f>
        <v>145.44999999999999</v>
      </c>
      <c r="F73" s="112">
        <f ca="1">IFERROR(__xludf.DUMMYFUNCTION("GOOGLEFINANCE(""BOM:""&amp;A73,""MARKETCAP"")/10000000"),76.68)</f>
        <v>76.680000000000007</v>
      </c>
      <c r="G73" s="95">
        <f t="shared" ca="1" si="0"/>
        <v>2.9232953684465057E-4</v>
      </c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</row>
    <row r="74" spans="1:25" ht="14.4">
      <c r="A74" s="99">
        <v>513548</v>
      </c>
      <c r="B74" s="98" t="s">
        <v>3753</v>
      </c>
      <c r="C74" s="101"/>
      <c r="D74" s="101"/>
      <c r="E74" s="101">
        <f ca="1">IFERROR(__xludf.DUMMYFUNCTION("GOOGLEFINANCE(""BOM:""&amp;A74,""PRICE"")"),133.9)</f>
        <v>133.9</v>
      </c>
      <c r="F74" s="112">
        <f ca="1">IFERROR(__xludf.DUMMYFUNCTION("GOOGLEFINANCE(""BOM:""&amp;A74,""MARKETCAP"")/10000000"),67.9783489)</f>
        <v>67.9783489</v>
      </c>
      <c r="G74" s="95">
        <f t="shared" ca="1" si="0"/>
        <v>2.5915596308556416E-4</v>
      </c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</row>
    <row r="75" spans="1:25" ht="14.4">
      <c r="A75" s="99">
        <v>530615</v>
      </c>
      <c r="B75" s="98" t="s">
        <v>3754</v>
      </c>
      <c r="C75" s="101"/>
      <c r="D75" s="101"/>
      <c r="E75" s="101">
        <f ca="1">IFERROR(__xludf.DUMMYFUNCTION("GOOGLEFINANCE(""BOM:""&amp;A75,""PRICE"")"),136.8)</f>
        <v>136.80000000000001</v>
      </c>
      <c r="F75" s="112">
        <f ca="1">IFERROR(__xludf.DUMMYFUNCTION("GOOGLEFINANCE(""BOM:""&amp;A75,""MARKETCAP"")/10000000"),68.5190175)</f>
        <v>68.519017500000004</v>
      </c>
      <c r="G75" s="95">
        <f t="shared" ca="1" si="0"/>
        <v>2.6121717072020745E-4</v>
      </c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</row>
    <row r="76" spans="1:25" ht="14.4">
      <c r="A76" s="99">
        <v>533239</v>
      </c>
      <c r="B76" s="98" t="s">
        <v>3755</v>
      </c>
      <c r="C76" s="101"/>
      <c r="D76" s="101"/>
      <c r="E76" s="101">
        <f ca="1">IFERROR(__xludf.DUMMYFUNCTION("GOOGLEFINANCE(""BOM:""&amp;A76,""PRICE"")"),4.14)</f>
        <v>4.1399999999999997</v>
      </c>
      <c r="F76" s="112">
        <f ca="1">IFERROR(__xludf.DUMMYFUNCTION("GOOGLEFINANCE(""BOM:""&amp;A76,""MARKETCAP"")/10000000"),72.1001215)</f>
        <v>72.1001215</v>
      </c>
      <c r="G76" s="95">
        <f t="shared" ca="1" si="0"/>
        <v>2.7486952431583246E-4</v>
      </c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</row>
    <row r="77" spans="1:25" ht="14.4">
      <c r="A77" s="99">
        <v>531845</v>
      </c>
      <c r="B77" s="98" t="s">
        <v>3756</v>
      </c>
      <c r="C77" s="101"/>
      <c r="D77" s="101"/>
      <c r="E77" s="101">
        <f ca="1">IFERROR(__xludf.DUMMYFUNCTION("GOOGLEFINANCE(""BOM:""&amp;A77,""PRICE"")"),4.84)</f>
        <v>4.84</v>
      </c>
      <c r="F77" s="112">
        <f ca="1">IFERROR(__xludf.DUMMYFUNCTION("GOOGLEFINANCE(""BOM:""&amp;A77,""MARKETCAP"")/10000000"),66.87181)</f>
        <v>66.871809999999996</v>
      </c>
      <c r="G77" s="95">
        <f t="shared" ca="1" si="0"/>
        <v>2.549374705955069E-4</v>
      </c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ht="14.4">
      <c r="A78" s="99">
        <v>534064</v>
      </c>
      <c r="B78" s="98" t="s">
        <v>3757</v>
      </c>
      <c r="C78" s="101"/>
      <c r="D78" s="101"/>
      <c r="E78" s="101">
        <f ca="1">IFERROR(__xludf.DUMMYFUNCTION("GOOGLEFINANCE(""BOM:""&amp;A78,""PRICE"")"),1.56)</f>
        <v>1.56</v>
      </c>
      <c r="F78" s="112">
        <f ca="1">IFERROR(__xludf.DUMMYFUNCTION("GOOGLEFINANCE(""BOM:""&amp;A78,""MARKETCAP"")/10000000"),61.6121977)</f>
        <v>61.612197700000003</v>
      </c>
      <c r="G78" s="95">
        <f t="shared" ca="1" si="0"/>
        <v>2.3488608786674552E-4</v>
      </c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</row>
    <row r="79" spans="1:25" ht="14.4">
      <c r="A79" s="99">
        <v>513566</v>
      </c>
      <c r="B79" s="98" t="s">
        <v>3758</v>
      </c>
      <c r="C79" s="101"/>
      <c r="D79" s="101"/>
      <c r="E79" s="101">
        <f ca="1">IFERROR(__xludf.DUMMYFUNCTION("GOOGLEFINANCE(""BOM:""&amp;A79,""PRICE"")"),11.3)</f>
        <v>11.3</v>
      </c>
      <c r="F79" s="112">
        <f ca="1">IFERROR(__xludf.DUMMYFUNCTION("GOOGLEFINANCE(""BOM:""&amp;A79,""MARKETCAP"")/10000000"),40.837613)</f>
        <v>40.837612999999997</v>
      </c>
      <c r="G79" s="95">
        <f t="shared" ca="1" si="0"/>
        <v>1.5568649575027491E-4</v>
      </c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</row>
    <row r="80" spans="1:25" ht="14.4">
      <c r="A80" s="99">
        <v>540080</v>
      </c>
      <c r="B80" s="98" t="s">
        <v>3759</v>
      </c>
      <c r="C80" s="101"/>
      <c r="D80" s="101"/>
      <c r="E80" s="101">
        <f ca="1">IFERROR(__xludf.DUMMYFUNCTION("GOOGLEFINANCE(""BOM:""&amp;A80,""PRICE"")"),4.42)</f>
        <v>4.42</v>
      </c>
      <c r="F80" s="112">
        <f ca="1">IFERROR(__xludf.DUMMYFUNCTION("GOOGLEFINANCE(""BOM:""&amp;A80,""MARKETCAP"")/10000000"),48.1578898)</f>
        <v>48.1578898</v>
      </c>
      <c r="G80" s="95">
        <f t="shared" ca="1" si="0"/>
        <v>1.8359381351916695E-4</v>
      </c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</row>
    <row r="81" spans="1:25" ht="14.4">
      <c r="A81" s="99">
        <v>513149</v>
      </c>
      <c r="B81" s="98" t="s">
        <v>3760</v>
      </c>
      <c r="C81" s="101"/>
      <c r="D81" s="101"/>
      <c r="E81" s="101">
        <f ca="1">IFERROR(__xludf.DUMMYFUNCTION("GOOGLEFINANCE(""BOM:""&amp;A81,""PRICE"")"),700)</f>
        <v>700</v>
      </c>
      <c r="F81" s="112">
        <f ca="1">IFERROR(__xludf.DUMMYFUNCTION("GOOGLEFINANCE(""BOM:""&amp;A81,""MARKETCAP"")/10000000"),44.8)</f>
        <v>44.8</v>
      </c>
      <c r="G81" s="95">
        <f t="shared" ca="1" si="0"/>
        <v>1.707924263255131E-4</v>
      </c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</row>
    <row r="82" spans="1:25" ht="14.4">
      <c r="A82" s="99">
        <v>531810</v>
      </c>
      <c r="B82" s="98" t="s">
        <v>3761</v>
      </c>
      <c r="C82" s="101"/>
      <c r="D82" s="101"/>
      <c r="E82" s="101">
        <f ca="1">IFERROR(__xludf.DUMMYFUNCTION("GOOGLEFINANCE(""BOM:""&amp;A82,""PRICE"")"),52)</f>
        <v>52</v>
      </c>
      <c r="F82" s="112">
        <f ca="1">IFERROR(__xludf.DUMMYFUNCTION("GOOGLEFINANCE(""BOM:""&amp;A82,""MARKETCAP"")/10000000"),38.09936)</f>
        <v>38.099359999999997</v>
      </c>
      <c r="G82" s="95">
        <f t="shared" ca="1" si="0"/>
        <v>1.452473691037768E-4</v>
      </c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</row>
    <row r="83" spans="1:25" ht="14.4">
      <c r="A83" s="99">
        <v>532918</v>
      </c>
      <c r="B83" s="98" t="s">
        <v>3762</v>
      </c>
      <c r="C83" s="101"/>
      <c r="D83" s="101"/>
      <c r="E83" s="101">
        <f ca="1">IFERROR(__xludf.DUMMYFUNCTION("GOOGLEFINANCE(""BOM:""&amp;A83,""PRICE"")"),22.35)</f>
        <v>22.35</v>
      </c>
      <c r="F83" s="112">
        <f ca="1">IFERROR(__xludf.DUMMYFUNCTION("GOOGLEFINANCE(""BOM:""&amp;A83,""MARKETCAP"")/10000000"),36.4983328)</f>
        <v>36.4983328</v>
      </c>
      <c r="G83" s="95">
        <f t="shared" ca="1" si="0"/>
        <v>1.3914372356580489E-4</v>
      </c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</row>
    <row r="84" spans="1:25" ht="14.4">
      <c r="A84" s="99">
        <v>500399</v>
      </c>
      <c r="B84" s="98" t="s">
        <v>3763</v>
      </c>
      <c r="C84" s="101"/>
      <c r="D84" s="101"/>
      <c r="E84" s="101">
        <f ca="1">IFERROR(__xludf.DUMMYFUNCTION("GOOGLEFINANCE(""BOM:""&amp;A84,""PRICE"")"),115.75)</f>
        <v>115.75</v>
      </c>
      <c r="F84" s="112">
        <f ca="1">IFERROR(__xludf.DUMMYFUNCTION("GOOGLEFINANCE(""BOM:""&amp;A84,""MARKETCAP"")/10000000"),57.4815773)</f>
        <v>57.481577299999998</v>
      </c>
      <c r="G84" s="95">
        <f t="shared" ca="1" si="0"/>
        <v>2.1913879589474411E-4</v>
      </c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</row>
    <row r="85" spans="1:25" ht="14.4">
      <c r="A85" s="99">
        <v>539455</v>
      </c>
      <c r="B85" s="98" t="s">
        <v>3764</v>
      </c>
      <c r="C85" s="101"/>
      <c r="D85" s="101"/>
      <c r="E85" s="101">
        <f ca="1">IFERROR(__xludf.DUMMYFUNCTION("GOOGLEFINANCE(""BOM:""&amp;A85,""PRICE"")"),51)</f>
        <v>51</v>
      </c>
      <c r="F85" s="112">
        <f ca="1">IFERROR(__xludf.DUMMYFUNCTION("GOOGLEFINANCE(""BOM:""&amp;A85,""MARKETCAP"")/10000000"),35.5107849)</f>
        <v>35.510784899999997</v>
      </c>
      <c r="G85" s="95">
        <f t="shared" ca="1" si="0"/>
        <v>1.3537886414719628E-4</v>
      </c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</row>
    <row r="86" spans="1:25" ht="14.4">
      <c r="A86" s="99">
        <v>544575</v>
      </c>
      <c r="B86" s="98" t="s">
        <v>3765</v>
      </c>
      <c r="C86" s="101"/>
      <c r="D86" s="101"/>
      <c r="E86" s="101">
        <f ca="1">IFERROR(__xludf.DUMMYFUNCTION("GOOGLEFINANCE(""BOM:""&amp;A86,""PRICE"")"),26.18)</f>
        <v>26.18</v>
      </c>
      <c r="F86" s="112">
        <f ca="1">IFERROR(__xludf.DUMMYFUNCTION("GOOGLEFINANCE(""BOM:""&amp;A86,""MARKETCAP"")/10000000"),30.2836891)</f>
        <v>30.2836891</v>
      </c>
      <c r="G86" s="95">
        <f t="shared" ca="1" si="0"/>
        <v>1.1545144507760032E-4</v>
      </c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</row>
    <row r="87" spans="1:25" ht="14.4">
      <c r="A87" s="99">
        <v>539798</v>
      </c>
      <c r="B87" s="98" t="s">
        <v>3766</v>
      </c>
      <c r="C87" s="101"/>
      <c r="D87" s="101"/>
      <c r="E87" s="101">
        <f ca="1">IFERROR(__xludf.DUMMYFUNCTION("GOOGLEFINANCE(""BOM:""&amp;A87,""PRICE"")"),31.4)</f>
        <v>31.4</v>
      </c>
      <c r="F87" s="112">
        <f ca="1">IFERROR(__xludf.DUMMYFUNCTION("GOOGLEFINANCE(""BOM:""&amp;A87,""MARKETCAP"")/10000000"),31.420912)</f>
        <v>31.420912000000001</v>
      </c>
      <c r="G87" s="95">
        <f t="shared" ca="1" si="0"/>
        <v>1.1978691513036677E-4</v>
      </c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</row>
    <row r="88" spans="1:25" ht="14.4">
      <c r="A88" s="99">
        <v>538610</v>
      </c>
      <c r="B88" s="98" t="s">
        <v>3767</v>
      </c>
      <c r="C88" s="101"/>
      <c r="D88" s="101"/>
      <c r="E88" s="101">
        <f ca="1">IFERROR(__xludf.DUMMYFUNCTION("GOOGLEFINANCE(""BOM:""&amp;A88,""PRICE"")"),0.95)</f>
        <v>0.95</v>
      </c>
      <c r="F88" s="112">
        <f ca="1">IFERROR(__xludf.DUMMYFUNCTION("GOOGLEFINANCE(""BOM:""&amp;A88,""MARKETCAP"")/10000000"),28.1411656)</f>
        <v>28.141165600000001</v>
      </c>
      <c r="G88" s="95">
        <f t="shared" ca="1" si="0"/>
        <v>1.0728343643866214E-4</v>
      </c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</row>
    <row r="89" spans="1:25" ht="14.4">
      <c r="A89" s="99">
        <v>505685</v>
      </c>
      <c r="B89" s="98" t="s">
        <v>3768</v>
      </c>
      <c r="C89" s="101"/>
      <c r="D89" s="101"/>
      <c r="E89" s="101">
        <f ca="1">IFERROR(__xludf.DUMMYFUNCTION("GOOGLEFINANCE(""BOM:""&amp;A89,""PRICE"")"),23.94)</f>
        <v>23.94</v>
      </c>
      <c r="F89" s="112">
        <f ca="1">IFERROR(__xludf.DUMMYFUNCTION("GOOGLEFINANCE(""BOM:""&amp;A89,""MARKETCAP"")/10000000"),36.33793)</f>
        <v>36.33793</v>
      </c>
      <c r="G89" s="95">
        <f t="shared" ca="1" si="0"/>
        <v>1.3853221500773779E-4</v>
      </c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</row>
    <row r="90" spans="1:25" ht="14.4">
      <c r="A90" s="99">
        <v>526847</v>
      </c>
      <c r="B90" s="98" t="s">
        <v>3769</v>
      </c>
      <c r="C90" s="101"/>
      <c r="D90" s="101"/>
      <c r="E90" s="101">
        <f ca="1">IFERROR(__xludf.DUMMYFUNCTION("GOOGLEFINANCE(""BOM:""&amp;A90,""PRICE"")"),19.84)</f>
        <v>19.84</v>
      </c>
      <c r="F90" s="112">
        <f ca="1">IFERROR(__xludf.DUMMYFUNCTION("GOOGLEFINANCE(""BOM:""&amp;A90,""MARKETCAP"")/10000000"),24.8000001)</f>
        <v>24.800000099999998</v>
      </c>
      <c r="G90" s="95">
        <f t="shared" ca="1" si="0"/>
        <v>9.4545807811427841E-5</v>
      </c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</row>
    <row r="91" spans="1:25" ht="14.4">
      <c r="A91" s="99">
        <v>523832</v>
      </c>
      <c r="B91" s="98" t="s">
        <v>3770</v>
      </c>
      <c r="C91" s="101"/>
      <c r="D91" s="101"/>
      <c r="E91" s="101">
        <f ca="1">IFERROR(__xludf.DUMMYFUNCTION("GOOGLEFINANCE(""BOM:""&amp;A91,""PRICE"")"),15.68)</f>
        <v>15.68</v>
      </c>
      <c r="F91" s="112">
        <f ca="1">IFERROR(__xludf.DUMMYFUNCTION("GOOGLEFINANCE(""BOM:""&amp;A91,""MARKETCAP"")/10000000"),18.5494403)</f>
        <v>18.549440300000001</v>
      </c>
      <c r="G91" s="95">
        <f t="shared" ca="1" si="0"/>
        <v>7.0716605263777986E-5</v>
      </c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</row>
    <row r="92" spans="1:25" ht="14.4">
      <c r="A92" s="99">
        <v>531651</v>
      </c>
      <c r="B92" s="98" t="s">
        <v>3771</v>
      </c>
      <c r="C92" s="101"/>
      <c r="D92" s="101"/>
      <c r="E92" s="101">
        <f ca="1">IFERROR(__xludf.DUMMYFUNCTION("GOOGLEFINANCE(""BOM:""&amp;A92,""PRICE"")"),51.45)</f>
        <v>51.45</v>
      </c>
      <c r="F92" s="112">
        <f ca="1">IFERROR(__xludf.DUMMYFUNCTION("GOOGLEFINANCE(""BOM:""&amp;A92,""MARKETCAP"")/10000000"),28.4531829)</f>
        <v>28.453182900000002</v>
      </c>
      <c r="G92" s="95">
        <f t="shared" ca="1" si="0"/>
        <v>1.0847294964675446E-4</v>
      </c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</row>
    <row r="93" spans="1:25" ht="14.4">
      <c r="A93" s="99">
        <v>504648</v>
      </c>
      <c r="B93" s="98" t="s">
        <v>3772</v>
      </c>
      <c r="C93" s="101"/>
      <c r="D93" s="101"/>
      <c r="E93" s="101">
        <f ca="1">IFERROR(__xludf.DUMMYFUNCTION("GOOGLEFINANCE(""BOM:""&amp;A93,""PRICE"")"),43.02)</f>
        <v>43.02</v>
      </c>
      <c r="F93" s="112">
        <f ca="1">IFERROR(__xludf.DUMMYFUNCTION("GOOGLEFINANCE(""BOM:""&amp;A93,""MARKETCAP"")/10000000"),22.9705292)</f>
        <v>22.970529200000001</v>
      </c>
      <c r="G93" s="95">
        <f t="shared" ca="1" si="0"/>
        <v>8.7571259286809111E-5</v>
      </c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</row>
    <row r="94" spans="1:25" ht="14.4">
      <c r="A94" s="99">
        <v>526977</v>
      </c>
      <c r="B94" s="98" t="s">
        <v>3773</v>
      </c>
      <c r="C94" s="101"/>
      <c r="D94" s="101"/>
      <c r="E94" s="101">
        <f ca="1">IFERROR(__xludf.DUMMYFUNCTION("GOOGLEFINANCE(""BOM:""&amp;A94,""PRICE"")"),50.82)</f>
        <v>50.82</v>
      </c>
      <c r="F94" s="112">
        <f ca="1">IFERROR(__xludf.DUMMYFUNCTION("GOOGLEFINANCE(""BOM:""&amp;A94,""MARKETCAP"")/10000000"),22.50415)</f>
        <v>22.504149999999999</v>
      </c>
      <c r="G94" s="95">
        <f t="shared" ca="1" si="0"/>
        <v>8.5793267430653926E-5</v>
      </c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</row>
    <row r="95" spans="1:25" ht="14.4">
      <c r="A95" s="99">
        <v>513422</v>
      </c>
      <c r="B95" s="98" t="s">
        <v>3774</v>
      </c>
      <c r="C95" s="101"/>
      <c r="D95" s="101"/>
      <c r="E95" s="101">
        <f ca="1">IFERROR(__xludf.DUMMYFUNCTION("GOOGLEFINANCE(""BOM:""&amp;A95,""PRICE"")"),30.16)</f>
        <v>30.16</v>
      </c>
      <c r="F95" s="112">
        <f ca="1">IFERROR(__xludf.DUMMYFUNCTION("GOOGLEFINANCE(""BOM:""&amp;A95,""MARKETCAP"")/10000000"),20.0262398)</f>
        <v>20.026239799999999</v>
      </c>
      <c r="G95" s="95">
        <f t="shared" ca="1" si="0"/>
        <v>7.6346653696842822E-5</v>
      </c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</row>
    <row r="96" spans="1:25" ht="14.4">
      <c r="A96" s="99">
        <v>543765</v>
      </c>
      <c r="B96" s="98" t="s">
        <v>3775</v>
      </c>
      <c r="C96" s="101"/>
      <c r="D96" s="101"/>
      <c r="E96" s="101">
        <f ca="1">IFERROR(__xludf.DUMMYFUNCTION("GOOGLEFINANCE(""BOM:""&amp;A96,""PRICE"")"),18.44)</f>
        <v>18.440000000000001</v>
      </c>
      <c r="F96" s="112">
        <f ca="1">IFERROR(__xludf.DUMMYFUNCTION("GOOGLEFINANCE(""BOM:""&amp;A96,""MARKETCAP"")/10000000"),22.57056)</f>
        <v>22.57056</v>
      </c>
      <c r="G96" s="95">
        <f t="shared" ca="1" si="0"/>
        <v>8.6046444328695835E-5</v>
      </c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</row>
    <row r="97" spans="1:25" ht="14.4">
      <c r="A97" s="99">
        <v>544083</v>
      </c>
      <c r="B97" s="98" t="s">
        <v>3776</v>
      </c>
      <c r="C97" s="101"/>
      <c r="D97" s="101"/>
      <c r="E97" s="101">
        <f ca="1">IFERROR(__xludf.DUMMYFUNCTION("GOOGLEFINANCE(""BOM:""&amp;A97,""PRICE"")"),53)</f>
        <v>53</v>
      </c>
      <c r="F97" s="112">
        <f ca="1">IFERROR(__xludf.DUMMYFUNCTION("GOOGLEFINANCE(""BOM:""&amp;A97,""MARKETCAP"")/10000000"),18.338)</f>
        <v>18.338000000000001</v>
      </c>
      <c r="G97" s="95">
        <f t="shared" ca="1" si="0"/>
        <v>6.9910524865117405E-5</v>
      </c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</row>
    <row r="98" spans="1:25" ht="14.4">
      <c r="A98" s="99">
        <v>530095</v>
      </c>
      <c r="B98" s="98" t="s">
        <v>3777</v>
      </c>
      <c r="C98" s="101"/>
      <c r="D98" s="101"/>
      <c r="E98" s="101">
        <f ca="1">IFERROR(__xludf.DUMMYFUNCTION("GOOGLEFINANCE(""BOM:""&amp;A98,""PRICE"")"),0.2)</f>
        <v>0.2</v>
      </c>
      <c r="F98" s="112">
        <f ca="1">IFERROR(__xludf.DUMMYFUNCTION("GOOGLEFINANCE(""BOM:""&amp;A98,""MARKETCAP"")/10000000"),20.29646)</f>
        <v>20.29646</v>
      </c>
      <c r="G98" s="95">
        <f t="shared" ca="1" si="0"/>
        <v>7.7376822527203655E-5</v>
      </c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</row>
    <row r="99" spans="1:25" ht="14.4">
      <c r="A99" s="99">
        <v>532001</v>
      </c>
      <c r="B99" s="98" t="s">
        <v>3778</v>
      </c>
      <c r="C99" s="101"/>
      <c r="D99" s="101"/>
      <c r="E99" s="101">
        <f ca="1">IFERROR(__xludf.DUMMYFUNCTION("GOOGLEFINANCE(""BOM:""&amp;A99,""PRICE"")"),45.99)</f>
        <v>45.99</v>
      </c>
      <c r="F99" s="112">
        <f ca="1">IFERROR(__xludf.DUMMYFUNCTION("GOOGLEFINANCE(""BOM:""&amp;A99,""MARKETCAP"")/10000000"),18.4753472)</f>
        <v>18.475347200000002</v>
      </c>
      <c r="G99" s="95">
        <f t="shared" ca="1" si="0"/>
        <v>7.0434137845854357E-5</v>
      </c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</row>
    <row r="100" spans="1:25" ht="14.4">
      <c r="A100" s="99">
        <v>531539</v>
      </c>
      <c r="B100" s="98" t="s">
        <v>3779</v>
      </c>
      <c r="C100" s="101"/>
      <c r="D100" s="101"/>
      <c r="E100" s="101">
        <f ca="1">IFERROR(__xludf.DUMMYFUNCTION("GOOGLEFINANCE(""BOM:""&amp;A100,""PRICE"")"),36)</f>
        <v>36</v>
      </c>
      <c r="F100" s="112">
        <f ca="1">IFERROR(__xludf.DUMMYFUNCTION("GOOGLEFINANCE(""BOM:""&amp;A100,""MARKETCAP"")/10000000"),19.7510328)</f>
        <v>19.751032800000001</v>
      </c>
      <c r="G100" s="95">
        <f t="shared" ca="1" si="0"/>
        <v>7.5297473534526635E-5</v>
      </c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</row>
    <row r="101" spans="1:25" ht="14.4">
      <c r="A101" s="99">
        <v>543377</v>
      </c>
      <c r="B101" s="98" t="s">
        <v>3780</v>
      </c>
      <c r="C101" s="101"/>
      <c r="D101" s="101"/>
      <c r="E101" s="101">
        <f ca="1">IFERROR(__xludf.DUMMYFUNCTION("GOOGLEFINANCE(""BOM:""&amp;A101,""PRICE"")"),13.14)</f>
        <v>13.14</v>
      </c>
      <c r="F101" s="112">
        <f ca="1">IFERROR(__xludf.DUMMYFUNCTION("GOOGLEFINANCE(""BOM:""&amp;A101,""MARKETCAP"")/10000000"),16.50121)</f>
        <v>16.50121</v>
      </c>
      <c r="G101" s="95">
        <f t="shared" ca="1" si="0"/>
        <v>6.2908073509080809E-5</v>
      </c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</row>
    <row r="102" spans="1:25" ht="14.4">
      <c r="A102" s="99">
        <v>513303</v>
      </c>
      <c r="B102" s="98" t="s">
        <v>3781</v>
      </c>
      <c r="C102" s="101"/>
      <c r="D102" s="101"/>
      <c r="E102" s="101">
        <f ca="1">IFERROR(__xludf.DUMMYFUNCTION("GOOGLEFINANCE(""BOM:""&amp;A102,""PRICE"")"),11.39)</f>
        <v>11.39</v>
      </c>
      <c r="F102" s="112">
        <f ca="1">IFERROR(__xludf.DUMMYFUNCTION("GOOGLEFINANCE(""BOM:""&amp;A102,""MARKETCAP"")/10000000"),15.6890784)</f>
        <v>15.6890784</v>
      </c>
      <c r="G102" s="95">
        <f t="shared" ca="1" si="0"/>
        <v>5.981195907917855E-5</v>
      </c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</row>
    <row r="103" spans="1:25" ht="14.4">
      <c r="A103" s="99">
        <v>513063</v>
      </c>
      <c r="B103" s="98" t="s">
        <v>3782</v>
      </c>
      <c r="C103" s="101"/>
      <c r="D103" s="101"/>
      <c r="E103" s="101">
        <f ca="1">IFERROR(__xludf.DUMMYFUNCTION("GOOGLEFINANCE(""BOM:""&amp;A103,""PRICE"")"),24.3)</f>
        <v>24.3</v>
      </c>
      <c r="F103" s="112">
        <f ca="1">IFERROR(__xludf.DUMMYFUNCTION("GOOGLEFINANCE(""BOM:""&amp;A103,""MARKETCAP"")/10000000"),17.695845)</f>
        <v>17.695844999999998</v>
      </c>
      <c r="G103" s="95">
        <f t="shared" ca="1" si="0"/>
        <v>6.7462417487281235E-5</v>
      </c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</row>
    <row r="104" spans="1:25" ht="14.4">
      <c r="A104" s="99">
        <v>513540</v>
      </c>
      <c r="B104" s="98" t="s">
        <v>3783</v>
      </c>
      <c r="C104" s="101"/>
      <c r="D104" s="101"/>
      <c r="E104" s="101">
        <f ca="1">IFERROR(__xludf.DUMMYFUNCTION("GOOGLEFINANCE(""BOM:""&amp;A104,""PRICE"")"),19.58)</f>
        <v>19.579999999999998</v>
      </c>
      <c r="F104" s="112">
        <f ca="1">IFERROR(__xludf.DUMMYFUNCTION("GOOGLEFINANCE(""BOM:""&amp;A104,""MARKETCAP"")/10000000"),10.03436)</f>
        <v>10.03436</v>
      </c>
      <c r="G104" s="95">
        <f t="shared" ca="1" si="0"/>
        <v>3.8254301138921332E-5</v>
      </c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</row>
    <row r="105" spans="1:25" ht="14.4">
      <c r="A105" s="99">
        <v>520081</v>
      </c>
      <c r="B105" s="98" t="s">
        <v>3784</v>
      </c>
      <c r="C105" s="101"/>
      <c r="D105" s="101"/>
      <c r="E105" s="101">
        <f ca="1">IFERROR(__xludf.DUMMYFUNCTION("GOOGLEFINANCE(""BOM:""&amp;A105,""PRICE"")"),16.75)</f>
        <v>16.75</v>
      </c>
      <c r="F105" s="112">
        <f ca="1">IFERROR(__xludf.DUMMYFUNCTION("GOOGLEFINANCE(""BOM:""&amp;A105,""MARKETCAP"")/10000000"),9.039084)</f>
        <v>9.0390840000000008</v>
      </c>
      <c r="G105" s="95">
        <f t="shared" ca="1" si="0"/>
        <v>3.4459979645538495E-5</v>
      </c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</row>
    <row r="106" spans="1:25" ht="14.4">
      <c r="A106" s="99">
        <v>513721</v>
      </c>
      <c r="B106" s="98" t="s">
        <v>3785</v>
      </c>
      <c r="C106" s="101"/>
      <c r="D106" s="101"/>
      <c r="E106" s="101">
        <f ca="1">IFERROR(__xludf.DUMMYFUNCTION("GOOGLEFINANCE(""BOM:""&amp;A106,""PRICE"")"),13.5)</f>
        <v>13.5</v>
      </c>
      <c r="F106" s="112">
        <f ca="1">IFERROR(__xludf.DUMMYFUNCTION("GOOGLEFINANCE(""BOM:""&amp;A106,""MARKETCAP"")/10000000"),5.838615)</f>
        <v>5.8386149999999999</v>
      </c>
      <c r="G106" s="95">
        <f t="shared" ca="1" si="0"/>
        <v>2.2258732639074458E-5</v>
      </c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</row>
    <row r="107" spans="1:25" ht="14.4">
      <c r="A107" s="99">
        <v>513488</v>
      </c>
      <c r="B107" s="98" t="s">
        <v>3786</v>
      </c>
      <c r="C107" s="101"/>
      <c r="D107" s="101"/>
      <c r="E107" s="101">
        <f ca="1">IFERROR(__xludf.DUMMYFUNCTION("GOOGLEFINANCE(""BOM:""&amp;A107,""PRICE"")"),17.75)</f>
        <v>17.75</v>
      </c>
      <c r="F107" s="112">
        <f ca="1">IFERROR(__xludf.DUMMYFUNCTION("GOOGLEFINANCE(""BOM:""&amp;A107,""MARKETCAP"")/10000000"),5.8778947)</f>
        <v>5.8778946999999997</v>
      </c>
      <c r="G107" s="95">
        <f t="shared" ca="1" si="0"/>
        <v>2.240847985488558E-5</v>
      </c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</row>
    <row r="108" spans="1:25" ht="14.4">
      <c r="A108" s="99">
        <v>513397</v>
      </c>
      <c r="B108" s="98" t="s">
        <v>3787</v>
      </c>
      <c r="C108" s="101"/>
      <c r="D108" s="101"/>
      <c r="E108" s="101">
        <f ca="1">IFERROR(__xludf.DUMMYFUNCTION("GOOGLEFINANCE(""BOM:""&amp;A108,""PRICE"")"),13.95)</f>
        <v>13.95</v>
      </c>
      <c r="F108" s="112">
        <f ca="1">IFERROR(__xludf.DUMMYFUNCTION("GOOGLEFINANCE(""BOM:""&amp;A108,""MARKETCAP"")/10000000"),6.9052499)</f>
        <v>6.9052499000000003</v>
      </c>
      <c r="G108" s="95">
        <f t="shared" ca="1" si="0"/>
        <v>2.6325097875111759E-5</v>
      </c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</row>
    <row r="109" spans="1:25" ht="14.4">
      <c r="A109" s="99">
        <v>513513</v>
      </c>
      <c r="B109" s="98" t="s">
        <v>3788</v>
      </c>
      <c r="C109" s="101"/>
      <c r="D109" s="101"/>
      <c r="E109" s="101">
        <f ca="1">IFERROR(__xludf.DUMMYFUNCTION("GOOGLEFINANCE(""BOM:""&amp;A109,""PRICE"")"),10.6)</f>
        <v>10.6</v>
      </c>
      <c r="F109" s="112">
        <f ca="1">IFERROR(__xludf.DUMMYFUNCTION("GOOGLEFINANCE(""BOM:""&amp;A109,""MARKETCAP"")/10000000"),5.6710002)</f>
        <v>5.6710001999999999</v>
      </c>
      <c r="G109" s="95">
        <f t="shared" ca="1" si="0"/>
        <v>2.1619729550233709E-5</v>
      </c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</row>
    <row r="110" spans="1:25" ht="14.4">
      <c r="A110" s="99">
        <v>531913</v>
      </c>
      <c r="B110" s="98" t="s">
        <v>3789</v>
      </c>
      <c r="C110" s="101"/>
      <c r="D110" s="101"/>
      <c r="E110" s="101">
        <f ca="1">IFERROR(__xludf.DUMMYFUNCTION("GOOGLEFINANCE(""BOM:""&amp;A110,""PRICE"")"),14.6)</f>
        <v>14.6</v>
      </c>
      <c r="F110" s="112">
        <f ca="1">IFERROR(__xludf.DUMMYFUNCTION("GOOGLEFINANCE(""BOM:""&amp;A110,""MARKETCAP"")/10000000"),7.1789647)</f>
        <v>7.1789646999999999</v>
      </c>
      <c r="G110" s="95">
        <f t="shared" ca="1" si="0"/>
        <v>2.7368589277192173E-5</v>
      </c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</row>
    <row r="111" spans="1:25" ht="14.4">
      <c r="A111" s="99">
        <v>533110</v>
      </c>
      <c r="B111" s="98" t="s">
        <v>3790</v>
      </c>
      <c r="C111" s="101"/>
      <c r="D111" s="101"/>
      <c r="E111" s="101">
        <f ca="1">IFERROR(__xludf.DUMMYFUNCTION("GOOGLEFINANCE(""BOM:""&amp;A111,""PRICE"")"),11.17)</f>
        <v>11.17</v>
      </c>
      <c r="F111" s="112">
        <f ca="1">IFERROR(__xludf.DUMMYFUNCTION("GOOGLEFINANCE(""BOM:""&amp;A111,""MARKETCAP"")/10000000"),4.624271)</f>
        <v>4.6242710000000002</v>
      </c>
      <c r="G111" s="95">
        <f t="shared" ca="1" si="0"/>
        <v>1.7629251430283637E-5</v>
      </c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ht="14.4">
      <c r="A112" s="99">
        <v>538812</v>
      </c>
      <c r="B112" s="98" t="s">
        <v>3791</v>
      </c>
      <c r="C112" s="101"/>
      <c r="D112" s="101"/>
      <c r="E112" s="101">
        <f ca="1">IFERROR(__xludf.DUMMYFUNCTION("GOOGLEFINANCE(""BOM:""&amp;A112,""PRICE"")"),28.26)</f>
        <v>28.26</v>
      </c>
      <c r="F112" s="112">
        <f ca="1">IFERROR(__xludf.DUMMYFUNCTION("GOOGLEFINANCE(""BOM:""&amp;A112,""MARKETCAP"")/10000000"),8.0069906)</f>
        <v>8.0069906</v>
      </c>
      <c r="G112" s="95">
        <f t="shared" ca="1" si="0"/>
        <v>3.0525298038829825E-5</v>
      </c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</row>
    <row r="113" spans="1:25" ht="14.4">
      <c r="A113" s="99">
        <v>513460</v>
      </c>
      <c r="B113" s="98" t="s">
        <v>3792</v>
      </c>
      <c r="C113" s="101"/>
      <c r="D113" s="101"/>
      <c r="E113" s="101">
        <f ca="1">IFERROR(__xludf.DUMMYFUNCTION("GOOGLEFINANCE(""BOM:""&amp;A113,""PRICE"")"),7.76)</f>
        <v>7.76</v>
      </c>
      <c r="F113" s="112">
        <f ca="1">IFERROR(__xludf.DUMMYFUNCTION("GOOGLEFINANCE(""BOM:""&amp;A113,""MARKETCAP"")/10000000"),4.098366)</f>
        <v>4.0983660000000004</v>
      </c>
      <c r="G113" s="95">
        <f t="shared" ca="1" si="0"/>
        <v>1.5624327524776517E-5</v>
      </c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</row>
    <row r="114" spans="1:25" ht="14.4">
      <c r="A114" s="99">
        <v>526967</v>
      </c>
      <c r="B114" s="98" t="s">
        <v>3793</v>
      </c>
      <c r="C114" s="101"/>
      <c r="D114" s="101"/>
      <c r="E114" s="101">
        <f ca="1">IFERROR(__xludf.DUMMYFUNCTION("GOOGLEFINANCE(""BOM:""&amp;A114,""PRICE"")"),5.54)</f>
        <v>5.54</v>
      </c>
      <c r="F114" s="112">
        <f ca="1">IFERROR(__xludf.DUMMYFUNCTION("GOOGLEFINANCE(""BOM:""&amp;A114,""MARKETCAP"")/10000000"),3.2590706)</f>
        <v>3.2590705999999998</v>
      </c>
      <c r="G114" s="95">
        <f t="shared" ca="1" si="0"/>
        <v>1.2424655699556825E-5</v>
      </c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</row>
    <row r="115" spans="1:25" ht="14.4">
      <c r="A115" s="99">
        <v>513452</v>
      </c>
      <c r="B115" s="98" t="s">
        <v>3794</v>
      </c>
      <c r="C115" s="101"/>
      <c r="D115" s="101"/>
      <c r="E115" s="101">
        <f ca="1">IFERROR(__xludf.DUMMYFUNCTION("GOOGLEFINANCE(""BOM:""&amp;A115,""PRICE"")"),8.67)</f>
        <v>8.67</v>
      </c>
      <c r="F115" s="112">
        <f ca="1">IFERROR(__xludf.DUMMYFUNCTION("GOOGLEFINANCE(""BOM:""&amp;A115,""MARKETCAP"")/10000000"),3.308559)</f>
        <v>3.3085589999999998</v>
      </c>
      <c r="G115" s="95">
        <f t="shared" ca="1" si="0"/>
        <v>1.2613321858283778E-5</v>
      </c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</row>
    <row r="116" spans="1:25" ht="14.4">
      <c r="A116" s="99">
        <v>504998</v>
      </c>
      <c r="B116" s="98" t="s">
        <v>3795</v>
      </c>
      <c r="C116" s="101"/>
      <c r="D116" s="101"/>
      <c r="E116" s="101">
        <f ca="1">IFERROR(__xludf.DUMMYFUNCTION("GOOGLEFINANCE(""BOM:""&amp;A116,""PRICE"")"),0.54)</f>
        <v>0.54</v>
      </c>
      <c r="F116" s="112">
        <f ca="1">IFERROR(__xludf.DUMMYFUNCTION("GOOGLEFINANCE(""BOM:""&amp;A116,""MARKETCAP"")/10000000"),0.116488)</f>
        <v>0.11648799999999999</v>
      </c>
      <c r="G116" s="95">
        <f t="shared" ca="1" si="0"/>
        <v>4.4409080709389219E-7</v>
      </c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</row>
    <row r="117" spans="1:25" ht="14.4">
      <c r="A117" s="99">
        <v>512404</v>
      </c>
      <c r="B117" s="98" t="s">
        <v>3796</v>
      </c>
      <c r="C117" s="101"/>
      <c r="D117" s="101"/>
      <c r="E117" s="101">
        <f ca="1">IFERROR(__xludf.DUMMYFUNCTION("GOOGLEFINANCE(""BOM:""&amp;A117,""PRICE"")"),0.05)</f>
        <v>0.05</v>
      </c>
      <c r="F117" s="112"/>
      <c r="G117" s="95">
        <f t="shared" ca="1" si="0"/>
        <v>0</v>
      </c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</row>
    <row r="118" spans="1:25" ht="14.4">
      <c r="A118" s="99">
        <v>506024</v>
      </c>
      <c r="B118" s="98" t="s">
        <v>3797</v>
      </c>
      <c r="C118" s="101"/>
      <c r="D118" s="101"/>
      <c r="E118" s="101">
        <f ca="1">IFERROR(__xludf.DUMMYFUNCTION("GOOGLEFINANCE(""BOM:""&amp;A118,""PRICE"")"),0)</f>
        <v>0</v>
      </c>
      <c r="F118" s="112"/>
      <c r="G118" s="95">
        <f t="shared" ca="1" si="0"/>
        <v>0</v>
      </c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</row>
    <row r="119" spans="1:25" ht="14.4">
      <c r="A119" s="99">
        <v>544688</v>
      </c>
      <c r="B119" s="98" t="s">
        <v>3798</v>
      </c>
      <c r="C119" s="101"/>
      <c r="D119" s="101"/>
      <c r="E119" s="101"/>
      <c r="F119" s="112"/>
      <c r="G119" s="95">
        <f t="shared" ca="1" si="0"/>
        <v>0</v>
      </c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</row>
    <row r="120" spans="1:25" ht="14.4">
      <c r="A120" s="99">
        <v>512505</v>
      </c>
      <c r="B120" s="98" t="s">
        <v>3799</v>
      </c>
      <c r="C120" s="101"/>
      <c r="D120" s="101"/>
      <c r="E120" s="101">
        <f ca="1">IFERROR(__xludf.DUMMYFUNCTION("GOOGLEFINANCE(""BOM:""&amp;A120,""PRICE"")"),0)</f>
        <v>0</v>
      </c>
      <c r="F120" s="112"/>
      <c r="G120" s="95">
        <f t="shared" ca="1" si="0"/>
        <v>0</v>
      </c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</row>
    <row r="121" spans="1:25" ht="14.4">
      <c r="A121" s="99">
        <v>517336</v>
      </c>
      <c r="B121" s="98" t="s">
        <v>3800</v>
      </c>
      <c r="C121" s="101"/>
      <c r="D121" s="101"/>
      <c r="E121" s="101">
        <f ca="1">IFERROR(__xludf.DUMMYFUNCTION("GOOGLEFINANCE(""BOM:""&amp;A121,""PRICE"")"),22.87)</f>
        <v>22.87</v>
      </c>
      <c r="F121" s="112"/>
      <c r="G121" s="95">
        <f t="shared" ca="1" si="0"/>
        <v>0</v>
      </c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</row>
    <row r="122" spans="1:25" ht="14.4">
      <c r="A122" s="99">
        <v>513629</v>
      </c>
      <c r="B122" s="98" t="s">
        <v>3801</v>
      </c>
      <c r="C122" s="101"/>
      <c r="D122" s="101"/>
      <c r="E122" s="101">
        <f ca="1">IFERROR(__xludf.DUMMYFUNCTION("GOOGLEFINANCE(""BOM:""&amp;A122,""PRICE"")"),31.99)</f>
        <v>31.99</v>
      </c>
      <c r="F122" s="112"/>
      <c r="G122" s="95">
        <f t="shared" ca="1" si="0"/>
        <v>0</v>
      </c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</row>
    <row r="123" spans="1:25" ht="14.4">
      <c r="A123" s="99">
        <v>506042</v>
      </c>
      <c r="B123" s="98" t="s">
        <v>3802</v>
      </c>
      <c r="C123" s="101"/>
      <c r="D123" s="101"/>
      <c r="E123" s="101">
        <f ca="1">IFERROR(__xludf.DUMMYFUNCTION("GOOGLEFINANCE(""BOM:""&amp;A123,""PRICE"")"),179.25)</f>
        <v>179.25</v>
      </c>
      <c r="F123" s="112"/>
      <c r="G123" s="95">
        <f t="shared" ca="1" si="0"/>
        <v>0</v>
      </c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</row>
    <row r="124" spans="1:25" ht="13.2">
      <c r="A124" s="101"/>
      <c r="B124" s="101"/>
      <c r="C124" s="101"/>
      <c r="D124" s="101"/>
      <c r="E124" s="101"/>
      <c r="F124" s="112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</row>
    <row r="125" spans="1:25" ht="13.2">
      <c r="A125" s="101"/>
      <c r="B125" s="101"/>
      <c r="C125" s="101"/>
      <c r="D125" s="101"/>
      <c r="E125" s="101"/>
      <c r="F125" s="112">
        <f t="shared" ref="F125:O125" ca="1" si="1">SUM(F2:F123)</f>
        <v>262306.71326499997</v>
      </c>
      <c r="G125" s="95">
        <f t="shared" ca="1" si="1"/>
        <v>1</v>
      </c>
      <c r="H125" s="101">
        <f t="shared" si="1"/>
        <v>108184</v>
      </c>
      <c r="I125" s="101">
        <f t="shared" si="1"/>
        <v>103633</v>
      </c>
      <c r="J125" s="101">
        <f t="shared" si="1"/>
        <v>7841</v>
      </c>
      <c r="K125" s="101">
        <f t="shared" si="1"/>
        <v>7710</v>
      </c>
      <c r="L125" s="101">
        <f t="shared" si="1"/>
        <v>37448</v>
      </c>
      <c r="M125" s="101">
        <f t="shared" si="1"/>
        <v>35885</v>
      </c>
      <c r="N125" s="101">
        <f t="shared" si="1"/>
        <v>2499</v>
      </c>
      <c r="O125" s="101">
        <f t="shared" si="1"/>
        <v>2886</v>
      </c>
      <c r="P125" s="95">
        <f t="shared" ref="P125:Q125" si="2">J125/H125</f>
        <v>7.2478370184130739E-2</v>
      </c>
      <c r="Q125" s="95">
        <f t="shared" si="2"/>
        <v>7.4397151486495616E-2</v>
      </c>
      <c r="R125" s="95">
        <f>P125-Q125</f>
        <v>-1.9187813023648775E-3</v>
      </c>
      <c r="S125" s="95">
        <f t="shared" ref="S125:T125" si="3">N125/L125</f>
        <v>6.6732535782952365E-2</v>
      </c>
      <c r="T125" s="95">
        <f t="shared" si="3"/>
        <v>8.0423575310018119E-2</v>
      </c>
      <c r="U125" s="95">
        <f>S125-T125</f>
        <v>-1.3691039527065754E-2</v>
      </c>
      <c r="V125" s="95">
        <f>(H125/I125)-1</f>
        <v>4.3914583192612433E-2</v>
      </c>
      <c r="W125" s="95">
        <f>(J125/K125)-1</f>
        <v>1.6990920881971405E-2</v>
      </c>
      <c r="X125" s="95">
        <f>(L125/M125)-1</f>
        <v>4.3555803260415304E-2</v>
      </c>
      <c r="Y125" s="95">
        <f>(N125/O125)-1</f>
        <v>-0.13409563409563408</v>
      </c>
    </row>
    <row r="126" spans="1:25" ht="13.2">
      <c r="F126" s="94"/>
    </row>
    <row r="127" spans="1:25" ht="13.2">
      <c r="F127" s="94"/>
    </row>
    <row r="128" spans="1:25" ht="13.2">
      <c r="F128" s="94"/>
    </row>
    <row r="129" spans="6:6" ht="13.2">
      <c r="F129" s="94"/>
    </row>
    <row r="130" spans="6:6" ht="13.2">
      <c r="F130" s="94"/>
    </row>
    <row r="131" spans="6:6" ht="13.2">
      <c r="F131" s="94"/>
    </row>
    <row r="132" spans="6:6" ht="13.2">
      <c r="F132" s="94"/>
    </row>
    <row r="133" spans="6:6" ht="13.2">
      <c r="F133" s="94"/>
    </row>
    <row r="134" spans="6:6" ht="13.2">
      <c r="F134" s="94"/>
    </row>
    <row r="135" spans="6:6" ht="13.2">
      <c r="F135" s="94"/>
    </row>
    <row r="136" spans="6:6" ht="13.2">
      <c r="F136" s="94"/>
    </row>
    <row r="137" spans="6:6" ht="13.2">
      <c r="F137" s="94"/>
    </row>
    <row r="138" spans="6:6" ht="13.2">
      <c r="F138" s="94"/>
    </row>
    <row r="139" spans="6:6" ht="13.2">
      <c r="F139" s="94"/>
    </row>
    <row r="140" spans="6:6" ht="13.2">
      <c r="F140" s="94"/>
    </row>
    <row r="141" spans="6:6" ht="13.2">
      <c r="F141" s="94"/>
    </row>
    <row r="142" spans="6:6" ht="13.2">
      <c r="F142" s="94"/>
    </row>
    <row r="143" spans="6:6" ht="13.2">
      <c r="F143" s="94"/>
    </row>
    <row r="144" spans="6:6" ht="13.2">
      <c r="F144" s="94"/>
    </row>
    <row r="145" spans="6:6" ht="13.2">
      <c r="F145" s="94"/>
    </row>
    <row r="146" spans="6:6" ht="13.2">
      <c r="F146" s="94"/>
    </row>
    <row r="147" spans="6:6" ht="13.2">
      <c r="F147" s="94"/>
    </row>
    <row r="148" spans="6:6" ht="13.2">
      <c r="F148" s="94"/>
    </row>
    <row r="149" spans="6:6" ht="13.2">
      <c r="F149" s="94"/>
    </row>
    <row r="150" spans="6:6" ht="13.2">
      <c r="F150" s="94"/>
    </row>
    <row r="151" spans="6:6" ht="13.2">
      <c r="F151" s="94"/>
    </row>
    <row r="152" spans="6:6" ht="13.2">
      <c r="F152" s="94"/>
    </row>
    <row r="153" spans="6:6" ht="13.2">
      <c r="F153" s="94"/>
    </row>
    <row r="154" spans="6:6" ht="13.2">
      <c r="F154" s="94"/>
    </row>
    <row r="155" spans="6:6" ht="13.2">
      <c r="F155" s="94"/>
    </row>
    <row r="156" spans="6:6" ht="13.2">
      <c r="F156" s="94"/>
    </row>
    <row r="157" spans="6:6" ht="13.2">
      <c r="F157" s="94"/>
    </row>
    <row r="158" spans="6:6" ht="13.2">
      <c r="F158" s="94"/>
    </row>
    <row r="159" spans="6:6" ht="13.2">
      <c r="F159" s="94"/>
    </row>
    <row r="160" spans="6:6" ht="13.2">
      <c r="F160" s="94"/>
    </row>
    <row r="161" spans="6:6" ht="13.2">
      <c r="F161" s="94"/>
    </row>
    <row r="162" spans="6:6" ht="13.2">
      <c r="F162" s="94"/>
    </row>
    <row r="163" spans="6:6" ht="13.2">
      <c r="F163" s="94"/>
    </row>
    <row r="164" spans="6:6" ht="13.2">
      <c r="F164" s="94"/>
    </row>
    <row r="165" spans="6:6" ht="13.2">
      <c r="F165" s="94"/>
    </row>
    <row r="166" spans="6:6" ht="13.2">
      <c r="F166" s="94"/>
    </row>
    <row r="167" spans="6:6" ht="13.2">
      <c r="F167" s="94"/>
    </row>
    <row r="168" spans="6:6" ht="13.2">
      <c r="F168" s="94"/>
    </row>
    <row r="169" spans="6:6" ht="13.2">
      <c r="F169" s="94"/>
    </row>
    <row r="170" spans="6:6" ht="13.2">
      <c r="F170" s="94"/>
    </row>
    <row r="171" spans="6:6" ht="13.2">
      <c r="F171" s="94"/>
    </row>
    <row r="172" spans="6:6" ht="13.2">
      <c r="F172" s="94"/>
    </row>
    <row r="173" spans="6:6" ht="13.2">
      <c r="F173" s="94"/>
    </row>
    <row r="174" spans="6:6" ht="13.2">
      <c r="F174" s="94"/>
    </row>
    <row r="175" spans="6:6" ht="13.2">
      <c r="F175" s="94"/>
    </row>
    <row r="176" spans="6:6" ht="13.2">
      <c r="F176" s="94"/>
    </row>
    <row r="177" spans="6:6" ht="13.2">
      <c r="F177" s="94"/>
    </row>
    <row r="178" spans="6:6" ht="13.2">
      <c r="F178" s="94"/>
    </row>
    <row r="179" spans="6:6" ht="13.2">
      <c r="F179" s="94"/>
    </row>
    <row r="180" spans="6:6" ht="13.2">
      <c r="F180" s="94"/>
    </row>
    <row r="181" spans="6:6" ht="13.2">
      <c r="F181" s="94"/>
    </row>
    <row r="182" spans="6:6" ht="13.2">
      <c r="F182" s="94"/>
    </row>
    <row r="183" spans="6:6" ht="13.2">
      <c r="F183" s="94"/>
    </row>
    <row r="184" spans="6:6" ht="13.2">
      <c r="F184" s="94"/>
    </row>
    <row r="185" spans="6:6" ht="13.2">
      <c r="F185" s="94"/>
    </row>
    <row r="186" spans="6:6" ht="13.2">
      <c r="F186" s="94"/>
    </row>
    <row r="187" spans="6:6" ht="13.2">
      <c r="F187" s="94"/>
    </row>
    <row r="188" spans="6:6" ht="13.2">
      <c r="F188" s="94"/>
    </row>
    <row r="189" spans="6:6" ht="13.2">
      <c r="F189" s="94"/>
    </row>
    <row r="190" spans="6:6" ht="13.2">
      <c r="F190" s="94"/>
    </row>
    <row r="191" spans="6:6" ht="13.2">
      <c r="F191" s="94"/>
    </row>
    <row r="192" spans="6:6" ht="13.2">
      <c r="F192" s="94"/>
    </row>
    <row r="193" spans="6:6" ht="13.2">
      <c r="F193" s="94"/>
    </row>
    <row r="194" spans="6:6" ht="13.2">
      <c r="F194" s="94"/>
    </row>
    <row r="195" spans="6:6" ht="13.2">
      <c r="F195" s="94"/>
    </row>
    <row r="196" spans="6:6" ht="13.2">
      <c r="F196" s="94"/>
    </row>
    <row r="197" spans="6:6" ht="13.2">
      <c r="F197" s="94"/>
    </row>
    <row r="198" spans="6:6" ht="13.2">
      <c r="F198" s="94"/>
    </row>
    <row r="199" spans="6:6" ht="13.2">
      <c r="F199" s="94"/>
    </row>
    <row r="200" spans="6:6" ht="13.2">
      <c r="F200" s="94"/>
    </row>
    <row r="201" spans="6:6" ht="13.2">
      <c r="F201" s="94"/>
    </row>
    <row r="202" spans="6:6" ht="13.2">
      <c r="F202" s="94"/>
    </row>
    <row r="203" spans="6:6" ht="13.2">
      <c r="F203" s="94"/>
    </row>
    <row r="204" spans="6:6" ht="13.2">
      <c r="F204" s="94"/>
    </row>
    <row r="205" spans="6:6" ht="13.2">
      <c r="F205" s="94"/>
    </row>
    <row r="206" spans="6:6" ht="13.2">
      <c r="F206" s="94"/>
    </row>
    <row r="207" spans="6:6" ht="13.2">
      <c r="F207" s="94"/>
    </row>
    <row r="208" spans="6:6" ht="13.2">
      <c r="F208" s="94"/>
    </row>
    <row r="209" spans="6:6" ht="13.2">
      <c r="F209" s="94"/>
    </row>
    <row r="210" spans="6:6" ht="13.2">
      <c r="F210" s="94"/>
    </row>
    <row r="211" spans="6:6" ht="13.2">
      <c r="F211" s="94"/>
    </row>
    <row r="212" spans="6:6" ht="13.2">
      <c r="F212" s="94"/>
    </row>
    <row r="213" spans="6:6" ht="13.2">
      <c r="F213" s="94"/>
    </row>
    <row r="214" spans="6:6" ht="13.2">
      <c r="F214" s="94"/>
    </row>
    <row r="215" spans="6:6" ht="13.2">
      <c r="F215" s="94"/>
    </row>
    <row r="216" spans="6:6" ht="13.2">
      <c r="F216" s="94"/>
    </row>
    <row r="217" spans="6:6" ht="13.2">
      <c r="F217" s="94"/>
    </row>
    <row r="218" spans="6:6" ht="13.2">
      <c r="F218" s="94"/>
    </row>
    <row r="219" spans="6:6" ht="13.2">
      <c r="F219" s="94"/>
    </row>
    <row r="220" spans="6:6" ht="13.2">
      <c r="F220" s="94"/>
    </row>
    <row r="221" spans="6:6" ht="13.2">
      <c r="F221" s="94"/>
    </row>
    <row r="222" spans="6:6" ht="13.2">
      <c r="F222" s="94"/>
    </row>
    <row r="223" spans="6:6" ht="13.2">
      <c r="F223" s="94"/>
    </row>
    <row r="224" spans="6:6" ht="13.2">
      <c r="F224" s="94"/>
    </row>
    <row r="225" spans="6:6" ht="13.2">
      <c r="F225" s="94"/>
    </row>
    <row r="226" spans="6:6" ht="13.2">
      <c r="F226" s="94"/>
    </row>
    <row r="227" spans="6:6" ht="13.2">
      <c r="F227" s="94"/>
    </row>
    <row r="228" spans="6:6" ht="13.2">
      <c r="F228" s="94"/>
    </row>
    <row r="229" spans="6:6" ht="13.2">
      <c r="F229" s="94"/>
    </row>
    <row r="230" spans="6:6" ht="13.2">
      <c r="F230" s="94"/>
    </row>
    <row r="231" spans="6:6" ht="13.2">
      <c r="F231" s="94"/>
    </row>
    <row r="232" spans="6:6" ht="13.2">
      <c r="F232" s="94"/>
    </row>
    <row r="233" spans="6:6" ht="13.2">
      <c r="F233" s="94"/>
    </row>
    <row r="234" spans="6:6" ht="13.2">
      <c r="F234" s="94"/>
    </row>
    <row r="235" spans="6:6" ht="13.2">
      <c r="F235" s="94"/>
    </row>
    <row r="236" spans="6:6" ht="13.2">
      <c r="F236" s="94"/>
    </row>
    <row r="237" spans="6:6" ht="13.2">
      <c r="F237" s="94"/>
    </row>
    <row r="238" spans="6:6" ht="13.2">
      <c r="F238" s="94"/>
    </row>
    <row r="239" spans="6:6" ht="13.2">
      <c r="F239" s="94"/>
    </row>
    <row r="240" spans="6:6" ht="13.2">
      <c r="F240" s="94"/>
    </row>
    <row r="241" spans="6:6" ht="13.2">
      <c r="F241" s="94"/>
    </row>
    <row r="242" spans="6:6" ht="13.2">
      <c r="F242" s="94"/>
    </row>
    <row r="243" spans="6:6" ht="13.2">
      <c r="F243" s="94"/>
    </row>
    <row r="244" spans="6:6" ht="13.2">
      <c r="F244" s="94"/>
    </row>
    <row r="245" spans="6:6" ht="13.2">
      <c r="F245" s="94"/>
    </row>
    <row r="246" spans="6:6" ht="13.2">
      <c r="F246" s="94"/>
    </row>
    <row r="247" spans="6:6" ht="13.2">
      <c r="F247" s="94"/>
    </row>
    <row r="248" spans="6:6" ht="13.2">
      <c r="F248" s="94"/>
    </row>
    <row r="249" spans="6:6" ht="13.2">
      <c r="F249" s="94"/>
    </row>
    <row r="250" spans="6:6" ht="13.2">
      <c r="F250" s="94"/>
    </row>
    <row r="251" spans="6:6" ht="13.2">
      <c r="F251" s="94"/>
    </row>
    <row r="252" spans="6:6" ht="13.2">
      <c r="F252" s="94"/>
    </row>
    <row r="253" spans="6:6" ht="13.2">
      <c r="F253" s="94"/>
    </row>
    <row r="254" spans="6:6" ht="13.2">
      <c r="F254" s="94"/>
    </row>
    <row r="255" spans="6:6" ht="13.2">
      <c r="F255" s="94"/>
    </row>
    <row r="256" spans="6:6" ht="13.2">
      <c r="F256" s="94"/>
    </row>
    <row r="257" spans="6:6" ht="13.2">
      <c r="F257" s="94"/>
    </row>
    <row r="258" spans="6:6" ht="13.2">
      <c r="F258" s="94"/>
    </row>
    <row r="259" spans="6:6" ht="13.2">
      <c r="F259" s="94"/>
    </row>
    <row r="260" spans="6:6" ht="13.2">
      <c r="F260" s="94"/>
    </row>
    <row r="261" spans="6:6" ht="13.2">
      <c r="F261" s="94"/>
    </row>
    <row r="262" spans="6:6" ht="13.2">
      <c r="F262" s="94"/>
    </row>
    <row r="263" spans="6:6" ht="13.2">
      <c r="F263" s="94"/>
    </row>
    <row r="264" spans="6:6" ht="13.2">
      <c r="F264" s="94"/>
    </row>
    <row r="265" spans="6:6" ht="13.2">
      <c r="F265" s="94"/>
    </row>
    <row r="266" spans="6:6" ht="13.2">
      <c r="F266" s="94"/>
    </row>
    <row r="267" spans="6:6" ht="13.2">
      <c r="F267" s="94"/>
    </row>
    <row r="268" spans="6:6" ht="13.2">
      <c r="F268" s="94"/>
    </row>
    <row r="269" spans="6:6" ht="13.2">
      <c r="F269" s="94"/>
    </row>
    <row r="270" spans="6:6" ht="13.2">
      <c r="F270" s="94"/>
    </row>
    <row r="271" spans="6:6" ht="13.2">
      <c r="F271" s="94"/>
    </row>
    <row r="272" spans="6:6" ht="13.2">
      <c r="F272" s="94"/>
    </row>
    <row r="273" spans="6:6" ht="13.2">
      <c r="F273" s="94"/>
    </row>
    <row r="274" spans="6:6" ht="13.2">
      <c r="F274" s="94"/>
    </row>
    <row r="275" spans="6:6" ht="13.2">
      <c r="F275" s="94"/>
    </row>
    <row r="276" spans="6:6" ht="13.2">
      <c r="F276" s="94"/>
    </row>
    <row r="277" spans="6:6" ht="13.2">
      <c r="F277" s="94"/>
    </row>
    <row r="278" spans="6:6" ht="13.2">
      <c r="F278" s="94"/>
    </row>
    <row r="279" spans="6:6" ht="13.2">
      <c r="F279" s="94"/>
    </row>
    <row r="280" spans="6:6" ht="13.2">
      <c r="F280" s="94"/>
    </row>
    <row r="281" spans="6:6" ht="13.2">
      <c r="F281" s="94"/>
    </row>
    <row r="282" spans="6:6" ht="13.2">
      <c r="F282" s="94"/>
    </row>
    <row r="283" spans="6:6" ht="13.2">
      <c r="F283" s="94"/>
    </row>
    <row r="284" spans="6:6" ht="13.2">
      <c r="F284" s="94"/>
    </row>
    <row r="285" spans="6:6" ht="13.2">
      <c r="F285" s="94"/>
    </row>
    <row r="286" spans="6:6" ht="13.2">
      <c r="F286" s="94"/>
    </row>
    <row r="287" spans="6:6" ht="13.2">
      <c r="F287" s="94"/>
    </row>
    <row r="288" spans="6:6" ht="13.2">
      <c r="F288" s="94"/>
    </row>
    <row r="289" spans="6:6" ht="13.2">
      <c r="F289" s="94"/>
    </row>
    <row r="290" spans="6:6" ht="13.2">
      <c r="F290" s="94"/>
    </row>
    <row r="291" spans="6:6" ht="13.2">
      <c r="F291" s="94"/>
    </row>
    <row r="292" spans="6:6" ht="13.2">
      <c r="F292" s="94"/>
    </row>
    <row r="293" spans="6:6" ht="13.2">
      <c r="F293" s="94"/>
    </row>
    <row r="294" spans="6:6" ht="13.2">
      <c r="F294" s="94"/>
    </row>
    <row r="295" spans="6:6" ht="13.2">
      <c r="F295" s="94"/>
    </row>
    <row r="296" spans="6:6" ht="13.2">
      <c r="F296" s="94"/>
    </row>
    <row r="297" spans="6:6" ht="13.2">
      <c r="F297" s="94"/>
    </row>
    <row r="298" spans="6:6" ht="13.2">
      <c r="F298" s="94"/>
    </row>
    <row r="299" spans="6:6" ht="13.2">
      <c r="F299" s="94"/>
    </row>
    <row r="300" spans="6:6" ht="13.2">
      <c r="F300" s="94"/>
    </row>
    <row r="301" spans="6:6" ht="13.2">
      <c r="F301" s="94"/>
    </row>
    <row r="302" spans="6:6" ht="13.2">
      <c r="F302" s="94"/>
    </row>
    <row r="303" spans="6:6" ht="13.2">
      <c r="F303" s="94"/>
    </row>
    <row r="304" spans="6:6" ht="13.2">
      <c r="F304" s="94"/>
    </row>
    <row r="305" spans="6:6" ht="13.2">
      <c r="F305" s="94"/>
    </row>
    <row r="306" spans="6:6" ht="13.2">
      <c r="F306" s="94"/>
    </row>
    <row r="307" spans="6:6" ht="13.2">
      <c r="F307" s="94"/>
    </row>
    <row r="308" spans="6:6" ht="13.2">
      <c r="F308" s="94"/>
    </row>
    <row r="309" spans="6:6" ht="13.2">
      <c r="F309" s="94"/>
    </row>
    <row r="310" spans="6:6" ht="13.2">
      <c r="F310" s="94"/>
    </row>
    <row r="311" spans="6:6" ht="13.2">
      <c r="F311" s="94"/>
    </row>
    <row r="312" spans="6:6" ht="13.2">
      <c r="F312" s="94"/>
    </row>
    <row r="313" spans="6:6" ht="13.2">
      <c r="F313" s="94"/>
    </row>
    <row r="314" spans="6:6" ht="13.2">
      <c r="F314" s="94"/>
    </row>
    <row r="315" spans="6:6" ht="13.2">
      <c r="F315" s="94"/>
    </row>
    <row r="316" spans="6:6" ht="13.2">
      <c r="F316" s="94"/>
    </row>
    <row r="317" spans="6:6" ht="13.2">
      <c r="F317" s="94"/>
    </row>
    <row r="318" spans="6:6" ht="13.2">
      <c r="F318" s="94"/>
    </row>
    <row r="319" spans="6:6" ht="13.2">
      <c r="F319" s="94"/>
    </row>
    <row r="320" spans="6:6" ht="13.2">
      <c r="F320" s="94"/>
    </row>
    <row r="321" spans="6:6" ht="13.2">
      <c r="F321" s="94"/>
    </row>
    <row r="322" spans="6:6" ht="13.2">
      <c r="F322" s="94"/>
    </row>
    <row r="323" spans="6:6" ht="13.2">
      <c r="F323" s="94"/>
    </row>
    <row r="324" spans="6:6" ht="13.2">
      <c r="F324" s="94"/>
    </row>
    <row r="325" spans="6:6" ht="13.2">
      <c r="F325" s="94"/>
    </row>
    <row r="326" spans="6:6" ht="13.2">
      <c r="F326" s="94"/>
    </row>
    <row r="327" spans="6:6" ht="13.2">
      <c r="F327" s="94"/>
    </row>
    <row r="328" spans="6:6" ht="13.2">
      <c r="F328" s="94"/>
    </row>
    <row r="329" spans="6:6" ht="13.2">
      <c r="F329" s="94"/>
    </row>
    <row r="330" spans="6:6" ht="13.2">
      <c r="F330" s="94"/>
    </row>
    <row r="331" spans="6:6" ht="13.2">
      <c r="F331" s="94"/>
    </row>
    <row r="332" spans="6:6" ht="13.2">
      <c r="F332" s="94"/>
    </row>
    <row r="333" spans="6:6" ht="13.2">
      <c r="F333" s="94"/>
    </row>
    <row r="334" spans="6:6" ht="13.2">
      <c r="F334" s="94"/>
    </row>
    <row r="335" spans="6:6" ht="13.2">
      <c r="F335" s="94"/>
    </row>
    <row r="336" spans="6:6" ht="13.2">
      <c r="F336" s="94"/>
    </row>
    <row r="337" spans="6:6" ht="13.2">
      <c r="F337" s="94"/>
    </row>
    <row r="338" spans="6:6" ht="13.2">
      <c r="F338" s="94"/>
    </row>
    <row r="339" spans="6:6" ht="13.2">
      <c r="F339" s="94"/>
    </row>
    <row r="340" spans="6:6" ht="13.2">
      <c r="F340" s="94"/>
    </row>
    <row r="341" spans="6:6" ht="13.2">
      <c r="F341" s="94"/>
    </row>
    <row r="342" spans="6:6" ht="13.2">
      <c r="F342" s="94"/>
    </row>
    <row r="343" spans="6:6" ht="13.2">
      <c r="F343" s="94"/>
    </row>
    <row r="344" spans="6:6" ht="13.2">
      <c r="F344" s="94"/>
    </row>
    <row r="345" spans="6:6" ht="13.2">
      <c r="F345" s="94"/>
    </row>
    <row r="346" spans="6:6" ht="13.2">
      <c r="F346" s="94"/>
    </row>
    <row r="347" spans="6:6" ht="13.2">
      <c r="F347" s="94"/>
    </row>
    <row r="348" spans="6:6" ht="13.2">
      <c r="F348" s="94"/>
    </row>
    <row r="349" spans="6:6" ht="13.2">
      <c r="F349" s="94"/>
    </row>
    <row r="350" spans="6:6" ht="13.2">
      <c r="F350" s="94"/>
    </row>
    <row r="351" spans="6:6" ht="13.2">
      <c r="F351" s="94"/>
    </row>
    <row r="352" spans="6:6" ht="13.2">
      <c r="F352" s="94"/>
    </row>
    <row r="353" spans="6:6" ht="13.2">
      <c r="F353" s="94"/>
    </row>
    <row r="354" spans="6:6" ht="13.2">
      <c r="F354" s="94"/>
    </row>
    <row r="355" spans="6:6" ht="13.2">
      <c r="F355" s="94"/>
    </row>
    <row r="356" spans="6:6" ht="13.2">
      <c r="F356" s="94"/>
    </row>
    <row r="357" spans="6:6" ht="13.2">
      <c r="F357" s="94"/>
    </row>
    <row r="358" spans="6:6" ht="13.2">
      <c r="F358" s="94"/>
    </row>
    <row r="359" spans="6:6" ht="13.2">
      <c r="F359" s="94"/>
    </row>
    <row r="360" spans="6:6" ht="13.2">
      <c r="F360" s="94"/>
    </row>
    <row r="361" spans="6:6" ht="13.2">
      <c r="F361" s="94"/>
    </row>
    <row r="362" spans="6:6" ht="13.2">
      <c r="F362" s="94"/>
    </row>
    <row r="363" spans="6:6" ht="13.2">
      <c r="F363" s="94"/>
    </row>
    <row r="364" spans="6:6" ht="13.2">
      <c r="F364" s="94"/>
    </row>
    <row r="365" spans="6:6" ht="13.2">
      <c r="F365" s="94"/>
    </row>
    <row r="366" spans="6:6" ht="13.2">
      <c r="F366" s="94"/>
    </row>
    <row r="367" spans="6:6" ht="13.2">
      <c r="F367" s="94"/>
    </row>
    <row r="368" spans="6:6" ht="13.2">
      <c r="F368" s="94"/>
    </row>
    <row r="369" spans="6:6" ht="13.2">
      <c r="F369" s="94"/>
    </row>
    <row r="370" spans="6:6" ht="13.2">
      <c r="F370" s="94"/>
    </row>
    <row r="371" spans="6:6" ht="13.2">
      <c r="F371" s="94"/>
    </row>
    <row r="372" spans="6:6" ht="13.2">
      <c r="F372" s="94"/>
    </row>
    <row r="373" spans="6:6" ht="13.2">
      <c r="F373" s="94"/>
    </row>
    <row r="374" spans="6:6" ht="13.2">
      <c r="F374" s="94"/>
    </row>
    <row r="375" spans="6:6" ht="13.2">
      <c r="F375" s="94"/>
    </row>
    <row r="376" spans="6:6" ht="13.2">
      <c r="F376" s="94"/>
    </row>
    <row r="377" spans="6:6" ht="13.2">
      <c r="F377" s="94"/>
    </row>
    <row r="378" spans="6:6" ht="13.2">
      <c r="F378" s="94"/>
    </row>
    <row r="379" spans="6:6" ht="13.2">
      <c r="F379" s="94"/>
    </row>
    <row r="380" spans="6:6" ht="13.2">
      <c r="F380" s="94"/>
    </row>
    <row r="381" spans="6:6" ht="13.2">
      <c r="F381" s="94"/>
    </row>
    <row r="382" spans="6:6" ht="13.2">
      <c r="F382" s="94"/>
    </row>
    <row r="383" spans="6:6" ht="13.2">
      <c r="F383" s="94"/>
    </row>
    <row r="384" spans="6:6" ht="13.2">
      <c r="F384" s="94"/>
    </row>
    <row r="385" spans="6:6" ht="13.2">
      <c r="F385" s="94"/>
    </row>
    <row r="386" spans="6:6" ht="13.2">
      <c r="F386" s="94"/>
    </row>
    <row r="387" spans="6:6" ht="13.2">
      <c r="F387" s="94"/>
    </row>
    <row r="388" spans="6:6" ht="13.2">
      <c r="F388" s="94"/>
    </row>
    <row r="389" spans="6:6" ht="13.2">
      <c r="F389" s="94"/>
    </row>
    <row r="390" spans="6:6" ht="13.2">
      <c r="F390" s="94"/>
    </row>
    <row r="391" spans="6:6" ht="13.2">
      <c r="F391" s="94"/>
    </row>
    <row r="392" spans="6:6" ht="13.2">
      <c r="F392" s="94"/>
    </row>
    <row r="393" spans="6:6" ht="13.2">
      <c r="F393" s="94"/>
    </row>
    <row r="394" spans="6:6" ht="13.2">
      <c r="F394" s="94"/>
    </row>
    <row r="395" spans="6:6" ht="13.2">
      <c r="F395" s="94"/>
    </row>
    <row r="396" spans="6:6" ht="13.2">
      <c r="F396" s="94"/>
    </row>
    <row r="397" spans="6:6" ht="13.2">
      <c r="F397" s="94"/>
    </row>
    <row r="398" spans="6:6" ht="13.2">
      <c r="F398" s="94"/>
    </row>
    <row r="399" spans="6:6" ht="13.2">
      <c r="F399" s="94"/>
    </row>
    <row r="400" spans="6:6" ht="13.2">
      <c r="F400" s="94"/>
    </row>
    <row r="401" spans="6:6" ht="13.2">
      <c r="F401" s="94"/>
    </row>
    <row r="402" spans="6:6" ht="13.2">
      <c r="F402" s="94"/>
    </row>
    <row r="403" spans="6:6" ht="13.2">
      <c r="F403" s="94"/>
    </row>
    <row r="404" spans="6:6" ht="13.2">
      <c r="F404" s="94"/>
    </row>
    <row r="405" spans="6:6" ht="13.2">
      <c r="F405" s="94"/>
    </row>
    <row r="406" spans="6:6" ht="13.2">
      <c r="F406" s="94"/>
    </row>
    <row r="407" spans="6:6" ht="13.2">
      <c r="F407" s="94"/>
    </row>
    <row r="408" spans="6:6" ht="13.2">
      <c r="F408" s="94"/>
    </row>
    <row r="409" spans="6:6" ht="13.2">
      <c r="F409" s="94"/>
    </row>
    <row r="410" spans="6:6" ht="13.2">
      <c r="F410" s="94"/>
    </row>
    <row r="411" spans="6:6" ht="13.2">
      <c r="F411" s="94"/>
    </row>
    <row r="412" spans="6:6" ht="13.2">
      <c r="F412" s="94"/>
    </row>
    <row r="413" spans="6:6" ht="13.2">
      <c r="F413" s="94"/>
    </row>
    <row r="414" spans="6:6" ht="13.2">
      <c r="F414" s="94"/>
    </row>
    <row r="415" spans="6:6" ht="13.2">
      <c r="F415" s="94"/>
    </row>
    <row r="416" spans="6:6" ht="13.2">
      <c r="F416" s="94"/>
    </row>
    <row r="417" spans="6:6" ht="13.2">
      <c r="F417" s="94"/>
    </row>
    <row r="418" spans="6:6" ht="13.2">
      <c r="F418" s="94"/>
    </row>
    <row r="419" spans="6:6" ht="13.2">
      <c r="F419" s="94"/>
    </row>
    <row r="420" spans="6:6" ht="13.2">
      <c r="F420" s="94"/>
    </row>
    <row r="421" spans="6:6" ht="13.2">
      <c r="F421" s="94"/>
    </row>
    <row r="422" spans="6:6" ht="13.2">
      <c r="F422" s="94"/>
    </row>
    <row r="423" spans="6:6" ht="13.2">
      <c r="F423" s="94"/>
    </row>
    <row r="424" spans="6:6" ht="13.2">
      <c r="F424" s="94"/>
    </row>
    <row r="425" spans="6:6" ht="13.2">
      <c r="F425" s="94"/>
    </row>
    <row r="426" spans="6:6" ht="13.2">
      <c r="F426" s="94"/>
    </row>
    <row r="427" spans="6:6" ht="13.2">
      <c r="F427" s="94"/>
    </row>
    <row r="428" spans="6:6" ht="13.2">
      <c r="F428" s="94"/>
    </row>
    <row r="429" spans="6:6" ht="13.2">
      <c r="F429" s="94"/>
    </row>
    <row r="430" spans="6:6" ht="13.2">
      <c r="F430" s="94"/>
    </row>
    <row r="431" spans="6:6" ht="13.2">
      <c r="F431" s="94"/>
    </row>
    <row r="432" spans="6:6" ht="13.2">
      <c r="F432" s="94"/>
    </row>
    <row r="433" spans="6:6" ht="13.2">
      <c r="F433" s="94"/>
    </row>
    <row r="434" spans="6:6" ht="13.2">
      <c r="F434" s="94"/>
    </row>
    <row r="435" spans="6:6" ht="13.2">
      <c r="F435" s="94"/>
    </row>
    <row r="436" spans="6:6" ht="13.2">
      <c r="F436" s="94"/>
    </row>
    <row r="437" spans="6:6" ht="13.2">
      <c r="F437" s="94"/>
    </row>
    <row r="438" spans="6:6" ht="13.2">
      <c r="F438" s="94"/>
    </row>
    <row r="439" spans="6:6" ht="13.2">
      <c r="F439" s="94"/>
    </row>
    <row r="440" spans="6:6" ht="13.2">
      <c r="F440" s="94"/>
    </row>
    <row r="441" spans="6:6" ht="13.2">
      <c r="F441" s="94"/>
    </row>
    <row r="442" spans="6:6" ht="13.2">
      <c r="F442" s="94"/>
    </row>
    <row r="443" spans="6:6" ht="13.2">
      <c r="F443" s="94"/>
    </row>
    <row r="444" spans="6:6" ht="13.2">
      <c r="F444" s="94"/>
    </row>
    <row r="445" spans="6:6" ht="13.2">
      <c r="F445" s="94"/>
    </row>
    <row r="446" spans="6:6" ht="13.2">
      <c r="F446" s="94"/>
    </row>
    <row r="447" spans="6:6" ht="13.2">
      <c r="F447" s="94"/>
    </row>
    <row r="448" spans="6:6" ht="13.2">
      <c r="F448" s="94"/>
    </row>
    <row r="449" spans="6:6" ht="13.2">
      <c r="F449" s="94"/>
    </row>
    <row r="450" spans="6:6" ht="13.2">
      <c r="F450" s="94"/>
    </row>
    <row r="451" spans="6:6" ht="13.2">
      <c r="F451" s="94"/>
    </row>
    <row r="452" spans="6:6" ht="13.2">
      <c r="F452" s="94"/>
    </row>
    <row r="453" spans="6:6" ht="13.2">
      <c r="F453" s="94"/>
    </row>
    <row r="454" spans="6:6" ht="13.2">
      <c r="F454" s="94"/>
    </row>
    <row r="455" spans="6:6" ht="13.2">
      <c r="F455" s="94"/>
    </row>
    <row r="456" spans="6:6" ht="13.2">
      <c r="F456" s="94"/>
    </row>
    <row r="457" spans="6:6" ht="13.2">
      <c r="F457" s="94"/>
    </row>
    <row r="458" spans="6:6" ht="13.2">
      <c r="F458" s="94"/>
    </row>
    <row r="459" spans="6:6" ht="13.2">
      <c r="F459" s="94"/>
    </row>
    <row r="460" spans="6:6" ht="13.2">
      <c r="F460" s="94"/>
    </row>
    <row r="461" spans="6:6" ht="13.2">
      <c r="F461" s="94"/>
    </row>
    <row r="462" spans="6:6" ht="13.2">
      <c r="F462" s="94"/>
    </row>
    <row r="463" spans="6:6" ht="13.2">
      <c r="F463" s="94"/>
    </row>
    <row r="464" spans="6:6" ht="13.2">
      <c r="F464" s="94"/>
    </row>
    <row r="465" spans="6:6" ht="13.2">
      <c r="F465" s="94"/>
    </row>
    <row r="466" spans="6:6" ht="13.2">
      <c r="F466" s="94"/>
    </row>
    <row r="467" spans="6:6" ht="13.2">
      <c r="F467" s="94"/>
    </row>
    <row r="468" spans="6:6" ht="13.2">
      <c r="F468" s="94"/>
    </row>
    <row r="469" spans="6:6" ht="13.2">
      <c r="F469" s="94"/>
    </row>
    <row r="470" spans="6:6" ht="13.2">
      <c r="F470" s="94"/>
    </row>
    <row r="471" spans="6:6" ht="13.2">
      <c r="F471" s="94"/>
    </row>
    <row r="472" spans="6:6" ht="13.2">
      <c r="F472" s="94"/>
    </row>
    <row r="473" spans="6:6" ht="13.2">
      <c r="F473" s="94"/>
    </row>
    <row r="474" spans="6:6" ht="13.2">
      <c r="F474" s="94"/>
    </row>
    <row r="475" spans="6:6" ht="13.2">
      <c r="F475" s="94"/>
    </row>
    <row r="476" spans="6:6" ht="13.2">
      <c r="F476" s="94"/>
    </row>
    <row r="477" spans="6:6" ht="13.2">
      <c r="F477" s="94"/>
    </row>
    <row r="478" spans="6:6" ht="13.2">
      <c r="F478" s="94"/>
    </row>
    <row r="479" spans="6:6" ht="13.2">
      <c r="F479" s="94"/>
    </row>
    <row r="480" spans="6:6" ht="13.2">
      <c r="F480" s="94"/>
    </row>
    <row r="481" spans="6:6" ht="13.2">
      <c r="F481" s="94"/>
    </row>
    <row r="482" spans="6:6" ht="13.2">
      <c r="F482" s="94"/>
    </row>
    <row r="483" spans="6:6" ht="13.2">
      <c r="F483" s="94"/>
    </row>
    <row r="484" spans="6:6" ht="13.2">
      <c r="F484" s="94"/>
    </row>
    <row r="485" spans="6:6" ht="13.2">
      <c r="F485" s="94"/>
    </row>
    <row r="486" spans="6:6" ht="13.2">
      <c r="F486" s="94"/>
    </row>
    <row r="487" spans="6:6" ht="13.2">
      <c r="F487" s="94"/>
    </row>
    <row r="488" spans="6:6" ht="13.2">
      <c r="F488" s="94"/>
    </row>
    <row r="489" spans="6:6" ht="13.2">
      <c r="F489" s="94"/>
    </row>
    <row r="490" spans="6:6" ht="13.2">
      <c r="F490" s="94"/>
    </row>
    <row r="491" spans="6:6" ht="13.2">
      <c r="F491" s="94"/>
    </row>
    <row r="492" spans="6:6" ht="13.2">
      <c r="F492" s="94"/>
    </row>
    <row r="493" spans="6:6" ht="13.2">
      <c r="F493" s="94"/>
    </row>
    <row r="494" spans="6:6" ht="13.2">
      <c r="F494" s="94"/>
    </row>
    <row r="495" spans="6:6" ht="13.2">
      <c r="F495" s="94"/>
    </row>
    <row r="496" spans="6:6" ht="13.2">
      <c r="F496" s="94"/>
    </row>
    <row r="497" spans="6:6" ht="13.2">
      <c r="F497" s="94"/>
    </row>
    <row r="498" spans="6:6" ht="13.2">
      <c r="F498" s="94"/>
    </row>
    <row r="499" spans="6:6" ht="13.2">
      <c r="F499" s="94"/>
    </row>
    <row r="500" spans="6:6" ht="13.2">
      <c r="F500" s="94"/>
    </row>
    <row r="501" spans="6:6" ht="13.2">
      <c r="F501" s="94"/>
    </row>
    <row r="502" spans="6:6" ht="13.2">
      <c r="F502" s="94"/>
    </row>
    <row r="503" spans="6:6" ht="13.2">
      <c r="F503" s="94"/>
    </row>
    <row r="504" spans="6:6" ht="13.2">
      <c r="F504" s="94"/>
    </row>
    <row r="505" spans="6:6" ht="13.2">
      <c r="F505" s="94"/>
    </row>
    <row r="506" spans="6:6" ht="13.2">
      <c r="F506" s="94"/>
    </row>
    <row r="507" spans="6:6" ht="13.2">
      <c r="F507" s="94"/>
    </row>
    <row r="508" spans="6:6" ht="13.2">
      <c r="F508" s="94"/>
    </row>
    <row r="509" spans="6:6" ht="13.2">
      <c r="F509" s="94"/>
    </row>
    <row r="510" spans="6:6" ht="13.2">
      <c r="F510" s="94"/>
    </row>
    <row r="511" spans="6:6" ht="13.2">
      <c r="F511" s="94"/>
    </row>
    <row r="512" spans="6:6" ht="13.2">
      <c r="F512" s="94"/>
    </row>
    <row r="513" spans="6:6" ht="13.2">
      <c r="F513" s="94"/>
    </row>
    <row r="514" spans="6:6" ht="13.2">
      <c r="F514" s="94"/>
    </row>
    <row r="515" spans="6:6" ht="13.2">
      <c r="F515" s="94"/>
    </row>
    <row r="516" spans="6:6" ht="13.2">
      <c r="F516" s="94"/>
    </row>
    <row r="517" spans="6:6" ht="13.2">
      <c r="F517" s="94"/>
    </row>
    <row r="518" spans="6:6" ht="13.2">
      <c r="F518" s="94"/>
    </row>
    <row r="519" spans="6:6" ht="13.2">
      <c r="F519" s="94"/>
    </row>
    <row r="520" spans="6:6" ht="13.2">
      <c r="F520" s="94"/>
    </row>
    <row r="521" spans="6:6" ht="13.2">
      <c r="F521" s="94"/>
    </row>
    <row r="522" spans="6:6" ht="13.2">
      <c r="F522" s="94"/>
    </row>
    <row r="523" spans="6:6" ht="13.2">
      <c r="F523" s="94"/>
    </row>
    <row r="524" spans="6:6" ht="13.2">
      <c r="F524" s="94"/>
    </row>
    <row r="525" spans="6:6" ht="13.2">
      <c r="F525" s="94"/>
    </row>
    <row r="526" spans="6:6" ht="13.2">
      <c r="F526" s="94"/>
    </row>
    <row r="527" spans="6:6" ht="13.2">
      <c r="F527" s="94"/>
    </row>
    <row r="528" spans="6:6" ht="13.2">
      <c r="F528" s="94"/>
    </row>
    <row r="529" spans="6:6" ht="13.2">
      <c r="F529" s="94"/>
    </row>
    <row r="530" spans="6:6" ht="13.2">
      <c r="F530" s="94"/>
    </row>
    <row r="531" spans="6:6" ht="13.2">
      <c r="F531" s="94"/>
    </row>
    <row r="532" spans="6:6" ht="13.2">
      <c r="F532" s="94"/>
    </row>
    <row r="533" spans="6:6" ht="13.2">
      <c r="F533" s="94"/>
    </row>
    <row r="534" spans="6:6" ht="13.2">
      <c r="F534" s="94"/>
    </row>
    <row r="535" spans="6:6" ht="13.2">
      <c r="F535" s="94"/>
    </row>
    <row r="536" spans="6:6" ht="13.2">
      <c r="F536" s="94"/>
    </row>
    <row r="537" spans="6:6" ht="13.2">
      <c r="F537" s="94"/>
    </row>
    <row r="538" spans="6:6" ht="13.2">
      <c r="F538" s="94"/>
    </row>
    <row r="539" spans="6:6" ht="13.2">
      <c r="F539" s="94"/>
    </row>
    <row r="540" spans="6:6" ht="13.2">
      <c r="F540" s="94"/>
    </row>
    <row r="541" spans="6:6" ht="13.2">
      <c r="F541" s="94"/>
    </row>
    <row r="542" spans="6:6" ht="13.2">
      <c r="F542" s="94"/>
    </row>
    <row r="543" spans="6:6" ht="13.2">
      <c r="F543" s="94"/>
    </row>
    <row r="544" spans="6:6" ht="13.2">
      <c r="F544" s="94"/>
    </row>
    <row r="545" spans="6:6" ht="13.2">
      <c r="F545" s="94"/>
    </row>
    <row r="546" spans="6:6" ht="13.2">
      <c r="F546" s="94"/>
    </row>
    <row r="547" spans="6:6" ht="13.2">
      <c r="F547" s="94"/>
    </row>
    <row r="548" spans="6:6" ht="13.2">
      <c r="F548" s="94"/>
    </row>
    <row r="549" spans="6:6" ht="13.2">
      <c r="F549" s="94"/>
    </row>
    <row r="550" spans="6:6" ht="13.2">
      <c r="F550" s="94"/>
    </row>
    <row r="551" spans="6:6" ht="13.2">
      <c r="F551" s="94"/>
    </row>
    <row r="552" spans="6:6" ht="13.2">
      <c r="F552" s="94"/>
    </row>
    <row r="553" spans="6:6" ht="13.2">
      <c r="F553" s="94"/>
    </row>
    <row r="554" spans="6:6" ht="13.2">
      <c r="F554" s="94"/>
    </row>
    <row r="555" spans="6:6" ht="13.2">
      <c r="F555" s="94"/>
    </row>
    <row r="556" spans="6:6" ht="13.2">
      <c r="F556" s="94"/>
    </row>
    <row r="557" spans="6:6" ht="13.2">
      <c r="F557" s="94"/>
    </row>
    <row r="558" spans="6:6" ht="13.2">
      <c r="F558" s="94"/>
    </row>
    <row r="559" spans="6:6" ht="13.2">
      <c r="F559" s="94"/>
    </row>
    <row r="560" spans="6:6" ht="13.2">
      <c r="F560" s="94"/>
    </row>
    <row r="561" spans="6:6" ht="13.2">
      <c r="F561" s="94"/>
    </row>
    <row r="562" spans="6:6" ht="13.2">
      <c r="F562" s="94"/>
    </row>
    <row r="563" spans="6:6" ht="13.2">
      <c r="F563" s="94"/>
    </row>
    <row r="564" spans="6:6" ht="13.2">
      <c r="F564" s="94"/>
    </row>
    <row r="565" spans="6:6" ht="13.2">
      <c r="F565" s="94"/>
    </row>
    <row r="566" spans="6:6" ht="13.2">
      <c r="F566" s="94"/>
    </row>
    <row r="567" spans="6:6" ht="13.2">
      <c r="F567" s="94"/>
    </row>
    <row r="568" spans="6:6" ht="13.2">
      <c r="F568" s="94"/>
    </row>
    <row r="569" spans="6:6" ht="13.2">
      <c r="F569" s="94"/>
    </row>
    <row r="570" spans="6:6" ht="13.2">
      <c r="F570" s="94"/>
    </row>
    <row r="571" spans="6:6" ht="13.2">
      <c r="F571" s="94"/>
    </row>
    <row r="572" spans="6:6" ht="13.2">
      <c r="F572" s="94"/>
    </row>
    <row r="573" spans="6:6" ht="13.2">
      <c r="F573" s="94"/>
    </row>
    <row r="574" spans="6:6" ht="13.2">
      <c r="F574" s="94"/>
    </row>
    <row r="575" spans="6:6" ht="13.2">
      <c r="F575" s="94"/>
    </row>
    <row r="576" spans="6:6" ht="13.2">
      <c r="F576" s="94"/>
    </row>
    <row r="577" spans="6:6" ht="13.2">
      <c r="F577" s="94"/>
    </row>
    <row r="578" spans="6:6" ht="13.2">
      <c r="F578" s="94"/>
    </row>
    <row r="579" spans="6:6" ht="13.2">
      <c r="F579" s="94"/>
    </row>
    <row r="580" spans="6:6" ht="13.2">
      <c r="F580" s="94"/>
    </row>
    <row r="581" spans="6:6" ht="13.2">
      <c r="F581" s="94"/>
    </row>
    <row r="582" spans="6:6" ht="13.2">
      <c r="F582" s="94"/>
    </row>
    <row r="583" spans="6:6" ht="13.2">
      <c r="F583" s="94"/>
    </row>
    <row r="584" spans="6:6" ht="13.2">
      <c r="F584" s="94"/>
    </row>
    <row r="585" spans="6:6" ht="13.2">
      <c r="F585" s="94"/>
    </row>
    <row r="586" spans="6:6" ht="13.2">
      <c r="F586" s="94"/>
    </row>
    <row r="587" spans="6:6" ht="13.2">
      <c r="F587" s="94"/>
    </row>
    <row r="588" spans="6:6" ht="13.2">
      <c r="F588" s="94"/>
    </row>
    <row r="589" spans="6:6" ht="13.2">
      <c r="F589" s="94"/>
    </row>
    <row r="590" spans="6:6" ht="13.2">
      <c r="F590" s="94"/>
    </row>
    <row r="591" spans="6:6" ht="13.2">
      <c r="F591" s="94"/>
    </row>
    <row r="592" spans="6:6" ht="13.2">
      <c r="F592" s="94"/>
    </row>
    <row r="593" spans="6:6" ht="13.2">
      <c r="F593" s="94"/>
    </row>
    <row r="594" spans="6:6" ht="13.2">
      <c r="F594" s="94"/>
    </row>
    <row r="595" spans="6:6" ht="13.2">
      <c r="F595" s="94"/>
    </row>
    <row r="596" spans="6:6" ht="13.2">
      <c r="F596" s="94"/>
    </row>
    <row r="597" spans="6:6" ht="13.2">
      <c r="F597" s="94"/>
    </row>
    <row r="598" spans="6:6" ht="13.2">
      <c r="F598" s="94"/>
    </row>
    <row r="599" spans="6:6" ht="13.2">
      <c r="F599" s="94"/>
    </row>
    <row r="600" spans="6:6" ht="13.2">
      <c r="F600" s="94"/>
    </row>
    <row r="601" spans="6:6" ht="13.2">
      <c r="F601" s="94"/>
    </row>
    <row r="602" spans="6:6" ht="13.2">
      <c r="F602" s="94"/>
    </row>
    <row r="603" spans="6:6" ht="13.2">
      <c r="F603" s="94"/>
    </row>
    <row r="604" spans="6:6" ht="13.2">
      <c r="F604" s="94"/>
    </row>
    <row r="605" spans="6:6" ht="13.2">
      <c r="F605" s="94"/>
    </row>
    <row r="606" spans="6:6" ht="13.2">
      <c r="F606" s="94"/>
    </row>
    <row r="607" spans="6:6" ht="13.2">
      <c r="F607" s="94"/>
    </row>
    <row r="608" spans="6:6" ht="13.2">
      <c r="F608" s="94"/>
    </row>
    <row r="609" spans="6:6" ht="13.2">
      <c r="F609" s="94"/>
    </row>
    <row r="610" spans="6:6" ht="13.2">
      <c r="F610" s="94"/>
    </row>
    <row r="611" spans="6:6" ht="13.2">
      <c r="F611" s="94"/>
    </row>
    <row r="612" spans="6:6" ht="13.2">
      <c r="F612" s="94"/>
    </row>
    <row r="613" spans="6:6" ht="13.2">
      <c r="F613" s="94"/>
    </row>
    <row r="614" spans="6:6" ht="13.2">
      <c r="F614" s="94"/>
    </row>
    <row r="615" spans="6:6" ht="13.2">
      <c r="F615" s="94"/>
    </row>
    <row r="616" spans="6:6" ht="13.2">
      <c r="F616" s="94"/>
    </row>
    <row r="617" spans="6:6" ht="13.2">
      <c r="F617" s="94"/>
    </row>
    <row r="618" spans="6:6" ht="13.2">
      <c r="F618" s="94"/>
    </row>
    <row r="619" spans="6:6" ht="13.2">
      <c r="F619" s="94"/>
    </row>
    <row r="620" spans="6:6" ht="13.2">
      <c r="F620" s="94"/>
    </row>
    <row r="621" spans="6:6" ht="13.2">
      <c r="F621" s="94"/>
    </row>
    <row r="622" spans="6:6" ht="13.2">
      <c r="F622" s="94"/>
    </row>
    <row r="623" spans="6:6" ht="13.2">
      <c r="F623" s="94"/>
    </row>
    <row r="624" spans="6:6" ht="13.2">
      <c r="F624" s="94"/>
    </row>
    <row r="625" spans="6:6" ht="13.2">
      <c r="F625" s="94"/>
    </row>
    <row r="626" spans="6:6" ht="13.2">
      <c r="F626" s="94"/>
    </row>
    <row r="627" spans="6:6" ht="13.2">
      <c r="F627" s="94"/>
    </row>
    <row r="628" spans="6:6" ht="13.2">
      <c r="F628" s="94"/>
    </row>
    <row r="629" spans="6:6" ht="13.2">
      <c r="F629" s="94"/>
    </row>
    <row r="630" spans="6:6" ht="13.2">
      <c r="F630" s="94"/>
    </row>
    <row r="631" spans="6:6" ht="13.2">
      <c r="F631" s="94"/>
    </row>
    <row r="632" spans="6:6" ht="13.2">
      <c r="F632" s="94"/>
    </row>
    <row r="633" spans="6:6" ht="13.2">
      <c r="F633" s="94"/>
    </row>
    <row r="634" spans="6:6" ht="13.2">
      <c r="F634" s="94"/>
    </row>
    <row r="635" spans="6:6" ht="13.2">
      <c r="F635" s="94"/>
    </row>
    <row r="636" spans="6:6" ht="13.2">
      <c r="F636" s="94"/>
    </row>
    <row r="637" spans="6:6" ht="13.2">
      <c r="F637" s="94"/>
    </row>
    <row r="638" spans="6:6" ht="13.2">
      <c r="F638" s="94"/>
    </row>
    <row r="639" spans="6:6" ht="13.2">
      <c r="F639" s="94"/>
    </row>
    <row r="640" spans="6:6" ht="13.2">
      <c r="F640" s="94"/>
    </row>
    <row r="641" spans="6:6" ht="13.2">
      <c r="F641" s="94"/>
    </row>
    <row r="642" spans="6:6" ht="13.2">
      <c r="F642" s="94"/>
    </row>
    <row r="643" spans="6:6" ht="13.2">
      <c r="F643" s="94"/>
    </row>
    <row r="644" spans="6:6" ht="13.2">
      <c r="F644" s="94"/>
    </row>
    <row r="645" spans="6:6" ht="13.2">
      <c r="F645" s="94"/>
    </row>
    <row r="646" spans="6:6" ht="13.2">
      <c r="F646" s="94"/>
    </row>
    <row r="647" spans="6:6" ht="13.2">
      <c r="F647" s="94"/>
    </row>
    <row r="648" spans="6:6" ht="13.2">
      <c r="F648" s="94"/>
    </row>
    <row r="649" spans="6:6" ht="13.2">
      <c r="F649" s="94"/>
    </row>
    <row r="650" spans="6:6" ht="13.2">
      <c r="F650" s="94"/>
    </row>
    <row r="651" spans="6:6" ht="13.2">
      <c r="F651" s="94"/>
    </row>
    <row r="652" spans="6:6" ht="13.2">
      <c r="F652" s="94"/>
    </row>
    <row r="653" spans="6:6" ht="13.2">
      <c r="F653" s="94"/>
    </row>
    <row r="654" spans="6:6" ht="13.2">
      <c r="F654" s="94"/>
    </row>
    <row r="655" spans="6:6" ht="13.2">
      <c r="F655" s="94"/>
    </row>
    <row r="656" spans="6:6" ht="13.2">
      <c r="F656" s="94"/>
    </row>
    <row r="657" spans="6:6" ht="13.2">
      <c r="F657" s="94"/>
    </row>
    <row r="658" spans="6:6" ht="13.2">
      <c r="F658" s="94"/>
    </row>
    <row r="659" spans="6:6" ht="13.2">
      <c r="F659" s="94"/>
    </row>
    <row r="660" spans="6:6" ht="13.2">
      <c r="F660" s="94"/>
    </row>
    <row r="661" spans="6:6" ht="13.2">
      <c r="F661" s="94"/>
    </row>
    <row r="662" spans="6:6" ht="13.2">
      <c r="F662" s="94"/>
    </row>
    <row r="663" spans="6:6" ht="13.2">
      <c r="F663" s="94"/>
    </row>
    <row r="664" spans="6:6" ht="13.2">
      <c r="F664" s="94"/>
    </row>
    <row r="665" spans="6:6" ht="13.2">
      <c r="F665" s="94"/>
    </row>
    <row r="666" spans="6:6" ht="13.2">
      <c r="F666" s="94"/>
    </row>
    <row r="667" spans="6:6" ht="13.2">
      <c r="F667" s="94"/>
    </row>
    <row r="668" spans="6:6" ht="13.2">
      <c r="F668" s="94"/>
    </row>
    <row r="669" spans="6:6" ht="13.2">
      <c r="F669" s="94"/>
    </row>
    <row r="670" spans="6:6" ht="13.2">
      <c r="F670" s="94"/>
    </row>
    <row r="671" spans="6:6" ht="13.2">
      <c r="F671" s="94"/>
    </row>
    <row r="672" spans="6:6" ht="13.2">
      <c r="F672" s="94"/>
    </row>
    <row r="673" spans="6:6" ht="13.2">
      <c r="F673" s="94"/>
    </row>
    <row r="674" spans="6:6" ht="13.2">
      <c r="F674" s="94"/>
    </row>
    <row r="675" spans="6:6" ht="13.2">
      <c r="F675" s="94"/>
    </row>
    <row r="676" spans="6:6" ht="13.2">
      <c r="F676" s="94"/>
    </row>
    <row r="677" spans="6:6" ht="13.2">
      <c r="F677" s="94"/>
    </row>
    <row r="678" spans="6:6" ht="13.2">
      <c r="F678" s="94"/>
    </row>
    <row r="679" spans="6:6" ht="13.2">
      <c r="F679" s="94"/>
    </row>
    <row r="680" spans="6:6" ht="13.2">
      <c r="F680" s="94"/>
    </row>
    <row r="681" spans="6:6" ht="13.2">
      <c r="F681" s="94"/>
    </row>
    <row r="682" spans="6:6" ht="13.2">
      <c r="F682" s="94"/>
    </row>
    <row r="683" spans="6:6" ht="13.2">
      <c r="F683" s="94"/>
    </row>
    <row r="684" spans="6:6" ht="13.2">
      <c r="F684" s="94"/>
    </row>
    <row r="685" spans="6:6" ht="13.2">
      <c r="F685" s="94"/>
    </row>
    <row r="686" spans="6:6" ht="13.2">
      <c r="F686" s="94"/>
    </row>
    <row r="687" spans="6:6" ht="13.2">
      <c r="F687" s="94"/>
    </row>
    <row r="688" spans="6:6" ht="13.2">
      <c r="F688" s="94"/>
    </row>
    <row r="689" spans="6:6" ht="13.2">
      <c r="F689" s="94"/>
    </row>
    <row r="690" spans="6:6" ht="13.2">
      <c r="F690" s="94"/>
    </row>
    <row r="691" spans="6:6" ht="13.2">
      <c r="F691" s="94"/>
    </row>
    <row r="692" spans="6:6" ht="13.2">
      <c r="F692" s="94"/>
    </row>
    <row r="693" spans="6:6" ht="13.2">
      <c r="F693" s="94"/>
    </row>
    <row r="694" spans="6:6" ht="13.2">
      <c r="F694" s="94"/>
    </row>
    <row r="695" spans="6:6" ht="13.2">
      <c r="F695" s="94"/>
    </row>
    <row r="696" spans="6:6" ht="13.2">
      <c r="F696" s="94"/>
    </row>
    <row r="697" spans="6:6" ht="13.2">
      <c r="F697" s="94"/>
    </row>
    <row r="698" spans="6:6" ht="13.2">
      <c r="F698" s="94"/>
    </row>
    <row r="699" spans="6:6" ht="13.2">
      <c r="F699" s="94"/>
    </row>
    <row r="700" spans="6:6" ht="13.2">
      <c r="F700" s="94"/>
    </row>
    <row r="701" spans="6:6" ht="13.2">
      <c r="F701" s="94"/>
    </row>
    <row r="702" spans="6:6" ht="13.2">
      <c r="F702" s="94"/>
    </row>
    <row r="703" spans="6:6" ht="13.2">
      <c r="F703" s="94"/>
    </row>
    <row r="704" spans="6:6" ht="13.2">
      <c r="F704" s="94"/>
    </row>
    <row r="705" spans="6:6" ht="13.2">
      <c r="F705" s="94"/>
    </row>
    <row r="706" spans="6:6" ht="13.2">
      <c r="F706" s="94"/>
    </row>
    <row r="707" spans="6:6" ht="13.2">
      <c r="F707" s="94"/>
    </row>
    <row r="708" spans="6:6" ht="13.2">
      <c r="F708" s="94"/>
    </row>
    <row r="709" spans="6:6" ht="13.2">
      <c r="F709" s="94"/>
    </row>
    <row r="710" spans="6:6" ht="13.2">
      <c r="F710" s="94"/>
    </row>
    <row r="711" spans="6:6" ht="13.2">
      <c r="F711" s="94"/>
    </row>
    <row r="712" spans="6:6" ht="13.2">
      <c r="F712" s="94"/>
    </row>
    <row r="713" spans="6:6" ht="13.2">
      <c r="F713" s="94"/>
    </row>
    <row r="714" spans="6:6" ht="13.2">
      <c r="F714" s="94"/>
    </row>
    <row r="715" spans="6:6" ht="13.2">
      <c r="F715" s="94"/>
    </row>
    <row r="716" spans="6:6" ht="13.2">
      <c r="F716" s="94"/>
    </row>
    <row r="717" spans="6:6" ht="13.2">
      <c r="F717" s="94"/>
    </row>
    <row r="718" spans="6:6" ht="13.2">
      <c r="F718" s="94"/>
    </row>
    <row r="719" spans="6:6" ht="13.2">
      <c r="F719" s="94"/>
    </row>
    <row r="720" spans="6:6" ht="13.2">
      <c r="F720" s="94"/>
    </row>
    <row r="721" spans="6:6" ht="13.2">
      <c r="F721" s="94"/>
    </row>
    <row r="722" spans="6:6" ht="13.2">
      <c r="F722" s="94"/>
    </row>
    <row r="723" spans="6:6" ht="13.2">
      <c r="F723" s="94"/>
    </row>
    <row r="724" spans="6:6" ht="13.2">
      <c r="F724" s="94"/>
    </row>
    <row r="725" spans="6:6" ht="13.2">
      <c r="F725" s="94"/>
    </row>
    <row r="726" spans="6:6" ht="13.2">
      <c r="F726" s="94"/>
    </row>
    <row r="727" spans="6:6" ht="13.2">
      <c r="F727" s="94"/>
    </row>
    <row r="728" spans="6:6" ht="13.2">
      <c r="F728" s="94"/>
    </row>
    <row r="729" spans="6:6" ht="13.2">
      <c r="F729" s="94"/>
    </row>
    <row r="730" spans="6:6" ht="13.2">
      <c r="F730" s="94"/>
    </row>
    <row r="731" spans="6:6" ht="13.2">
      <c r="F731" s="94"/>
    </row>
    <row r="732" spans="6:6" ht="13.2">
      <c r="F732" s="94"/>
    </row>
    <row r="733" spans="6:6" ht="13.2">
      <c r="F733" s="94"/>
    </row>
    <row r="734" spans="6:6" ht="13.2">
      <c r="F734" s="94"/>
    </row>
    <row r="735" spans="6:6" ht="13.2">
      <c r="F735" s="94"/>
    </row>
    <row r="736" spans="6:6" ht="13.2">
      <c r="F736" s="94"/>
    </row>
    <row r="737" spans="6:6" ht="13.2">
      <c r="F737" s="94"/>
    </row>
    <row r="738" spans="6:6" ht="13.2">
      <c r="F738" s="94"/>
    </row>
    <row r="739" spans="6:6" ht="13.2">
      <c r="F739" s="94"/>
    </row>
    <row r="740" spans="6:6" ht="13.2">
      <c r="F740" s="94"/>
    </row>
    <row r="741" spans="6:6" ht="13.2">
      <c r="F741" s="94"/>
    </row>
    <row r="742" spans="6:6" ht="13.2">
      <c r="F742" s="94"/>
    </row>
    <row r="743" spans="6:6" ht="13.2">
      <c r="F743" s="94"/>
    </row>
    <row r="744" spans="6:6" ht="13.2">
      <c r="F744" s="94"/>
    </row>
    <row r="745" spans="6:6" ht="13.2">
      <c r="F745" s="94"/>
    </row>
    <row r="746" spans="6:6" ht="13.2">
      <c r="F746" s="94"/>
    </row>
    <row r="747" spans="6:6" ht="13.2">
      <c r="F747" s="94"/>
    </row>
    <row r="748" spans="6:6" ht="13.2">
      <c r="F748" s="94"/>
    </row>
    <row r="749" spans="6:6" ht="13.2">
      <c r="F749" s="94"/>
    </row>
    <row r="750" spans="6:6" ht="13.2">
      <c r="F750" s="94"/>
    </row>
    <row r="751" spans="6:6" ht="13.2">
      <c r="F751" s="94"/>
    </row>
    <row r="752" spans="6:6" ht="13.2">
      <c r="F752" s="94"/>
    </row>
    <row r="753" spans="6:6" ht="13.2">
      <c r="F753" s="94"/>
    </row>
    <row r="754" spans="6:6" ht="13.2">
      <c r="F754" s="94"/>
    </row>
    <row r="755" spans="6:6" ht="13.2">
      <c r="F755" s="94"/>
    </row>
    <row r="756" spans="6:6" ht="13.2">
      <c r="F756" s="94"/>
    </row>
    <row r="757" spans="6:6" ht="13.2">
      <c r="F757" s="94"/>
    </row>
    <row r="758" spans="6:6" ht="13.2">
      <c r="F758" s="94"/>
    </row>
    <row r="759" spans="6:6" ht="13.2">
      <c r="F759" s="94"/>
    </row>
    <row r="760" spans="6:6" ht="13.2">
      <c r="F760" s="94"/>
    </row>
    <row r="761" spans="6:6" ht="13.2">
      <c r="F761" s="94"/>
    </row>
    <row r="762" spans="6:6" ht="13.2">
      <c r="F762" s="94"/>
    </row>
    <row r="763" spans="6:6" ht="13.2">
      <c r="F763" s="94"/>
    </row>
    <row r="764" spans="6:6" ht="13.2">
      <c r="F764" s="94"/>
    </row>
    <row r="765" spans="6:6" ht="13.2">
      <c r="F765" s="94"/>
    </row>
    <row r="766" spans="6:6" ht="13.2">
      <c r="F766" s="94"/>
    </row>
    <row r="767" spans="6:6" ht="13.2">
      <c r="F767" s="94"/>
    </row>
    <row r="768" spans="6:6" ht="13.2">
      <c r="F768" s="94"/>
    </row>
    <row r="769" spans="6:6" ht="13.2">
      <c r="F769" s="94"/>
    </row>
    <row r="770" spans="6:6" ht="13.2">
      <c r="F770" s="94"/>
    </row>
    <row r="771" spans="6:6" ht="13.2">
      <c r="F771" s="94"/>
    </row>
    <row r="772" spans="6:6" ht="13.2">
      <c r="F772" s="94"/>
    </row>
    <row r="773" spans="6:6" ht="13.2">
      <c r="F773" s="94"/>
    </row>
    <row r="774" spans="6:6" ht="13.2">
      <c r="F774" s="94"/>
    </row>
    <row r="775" spans="6:6" ht="13.2">
      <c r="F775" s="94"/>
    </row>
    <row r="776" spans="6:6" ht="13.2">
      <c r="F776" s="94"/>
    </row>
    <row r="777" spans="6:6" ht="13.2">
      <c r="F777" s="94"/>
    </row>
    <row r="778" spans="6:6" ht="13.2">
      <c r="F778" s="94"/>
    </row>
    <row r="779" spans="6:6" ht="13.2">
      <c r="F779" s="94"/>
    </row>
    <row r="780" spans="6:6" ht="13.2">
      <c r="F780" s="94"/>
    </row>
    <row r="781" spans="6:6" ht="13.2">
      <c r="F781" s="94"/>
    </row>
    <row r="782" spans="6:6" ht="13.2">
      <c r="F782" s="94"/>
    </row>
    <row r="783" spans="6:6" ht="13.2">
      <c r="F783" s="94"/>
    </row>
    <row r="784" spans="6:6" ht="13.2">
      <c r="F784" s="94"/>
    </row>
    <row r="785" spans="6:6" ht="13.2">
      <c r="F785" s="94"/>
    </row>
    <row r="786" spans="6:6" ht="13.2">
      <c r="F786" s="94"/>
    </row>
    <row r="787" spans="6:6" ht="13.2">
      <c r="F787" s="94"/>
    </row>
    <row r="788" spans="6:6" ht="13.2">
      <c r="F788" s="94"/>
    </row>
    <row r="789" spans="6:6" ht="13.2">
      <c r="F789" s="94"/>
    </row>
    <row r="790" spans="6:6" ht="13.2">
      <c r="F790" s="94"/>
    </row>
    <row r="791" spans="6:6" ht="13.2">
      <c r="F791" s="94"/>
    </row>
    <row r="792" spans="6:6" ht="13.2">
      <c r="F792" s="94"/>
    </row>
    <row r="793" spans="6:6" ht="13.2">
      <c r="F793" s="94"/>
    </row>
    <row r="794" spans="6:6" ht="13.2">
      <c r="F794" s="94"/>
    </row>
    <row r="795" spans="6:6" ht="13.2">
      <c r="F795" s="94"/>
    </row>
    <row r="796" spans="6:6" ht="13.2">
      <c r="F796" s="94"/>
    </row>
    <row r="797" spans="6:6" ht="13.2">
      <c r="F797" s="94"/>
    </row>
    <row r="798" spans="6:6" ht="13.2">
      <c r="F798" s="94"/>
    </row>
    <row r="799" spans="6:6" ht="13.2">
      <c r="F799" s="94"/>
    </row>
    <row r="800" spans="6:6" ht="13.2">
      <c r="F800" s="94"/>
    </row>
    <row r="801" spans="6:6" ht="13.2">
      <c r="F801" s="94"/>
    </row>
    <row r="802" spans="6:6" ht="13.2">
      <c r="F802" s="94"/>
    </row>
    <row r="803" spans="6:6" ht="13.2">
      <c r="F803" s="94"/>
    </row>
    <row r="804" spans="6:6" ht="13.2">
      <c r="F804" s="94"/>
    </row>
    <row r="805" spans="6:6" ht="13.2">
      <c r="F805" s="94"/>
    </row>
    <row r="806" spans="6:6" ht="13.2">
      <c r="F806" s="94"/>
    </row>
    <row r="807" spans="6:6" ht="13.2">
      <c r="F807" s="94"/>
    </row>
    <row r="808" spans="6:6" ht="13.2">
      <c r="F808" s="94"/>
    </row>
    <row r="809" spans="6:6" ht="13.2">
      <c r="F809" s="94"/>
    </row>
    <row r="810" spans="6:6" ht="13.2">
      <c r="F810" s="94"/>
    </row>
    <row r="811" spans="6:6" ht="13.2">
      <c r="F811" s="94"/>
    </row>
    <row r="812" spans="6:6" ht="13.2">
      <c r="F812" s="94"/>
    </row>
    <row r="813" spans="6:6" ht="13.2">
      <c r="F813" s="94"/>
    </row>
    <row r="814" spans="6:6" ht="13.2">
      <c r="F814" s="94"/>
    </row>
    <row r="815" spans="6:6" ht="13.2">
      <c r="F815" s="94"/>
    </row>
    <row r="816" spans="6:6" ht="13.2">
      <c r="F816" s="94"/>
    </row>
    <row r="817" spans="6:6" ht="13.2">
      <c r="F817" s="94"/>
    </row>
    <row r="818" spans="6:6" ht="13.2">
      <c r="F818" s="94"/>
    </row>
    <row r="819" spans="6:6" ht="13.2">
      <c r="F819" s="94"/>
    </row>
    <row r="820" spans="6:6" ht="13.2">
      <c r="F820" s="94"/>
    </row>
    <row r="821" spans="6:6" ht="13.2">
      <c r="F821" s="94"/>
    </row>
    <row r="822" spans="6:6" ht="13.2">
      <c r="F822" s="94"/>
    </row>
    <row r="823" spans="6:6" ht="13.2">
      <c r="F823" s="94"/>
    </row>
    <row r="824" spans="6:6" ht="13.2">
      <c r="F824" s="94"/>
    </row>
    <row r="825" spans="6:6" ht="13.2">
      <c r="F825" s="94"/>
    </row>
    <row r="826" spans="6:6" ht="13.2">
      <c r="F826" s="94"/>
    </row>
    <row r="827" spans="6:6" ht="13.2">
      <c r="F827" s="94"/>
    </row>
    <row r="828" spans="6:6" ht="13.2">
      <c r="F828" s="94"/>
    </row>
    <row r="829" spans="6:6" ht="13.2">
      <c r="F829" s="94"/>
    </row>
    <row r="830" spans="6:6" ht="13.2">
      <c r="F830" s="94"/>
    </row>
    <row r="831" spans="6:6" ht="13.2">
      <c r="F831" s="94"/>
    </row>
    <row r="832" spans="6:6" ht="13.2">
      <c r="F832" s="94"/>
    </row>
    <row r="833" spans="6:6" ht="13.2">
      <c r="F833" s="94"/>
    </row>
    <row r="834" spans="6:6" ht="13.2">
      <c r="F834" s="94"/>
    </row>
    <row r="835" spans="6:6" ht="13.2">
      <c r="F835" s="94"/>
    </row>
    <row r="836" spans="6:6" ht="13.2">
      <c r="F836" s="94"/>
    </row>
    <row r="837" spans="6:6" ht="13.2">
      <c r="F837" s="94"/>
    </row>
    <row r="838" spans="6:6" ht="13.2">
      <c r="F838" s="94"/>
    </row>
    <row r="839" spans="6:6" ht="13.2">
      <c r="F839" s="94"/>
    </row>
    <row r="840" spans="6:6" ht="13.2">
      <c r="F840" s="94"/>
    </row>
    <row r="841" spans="6:6" ht="13.2">
      <c r="F841" s="94"/>
    </row>
    <row r="842" spans="6:6" ht="13.2">
      <c r="F842" s="94"/>
    </row>
    <row r="843" spans="6:6" ht="13.2">
      <c r="F843" s="94"/>
    </row>
    <row r="844" spans="6:6" ht="13.2">
      <c r="F844" s="94"/>
    </row>
    <row r="845" spans="6:6" ht="13.2">
      <c r="F845" s="94"/>
    </row>
    <row r="846" spans="6:6" ht="13.2">
      <c r="F846" s="94"/>
    </row>
    <row r="847" spans="6:6" ht="13.2">
      <c r="F847" s="94"/>
    </row>
    <row r="848" spans="6:6" ht="13.2">
      <c r="F848" s="94"/>
    </row>
    <row r="849" spans="6:6" ht="13.2">
      <c r="F849" s="94"/>
    </row>
    <row r="850" spans="6:6" ht="13.2">
      <c r="F850" s="94"/>
    </row>
    <row r="851" spans="6:6" ht="13.2">
      <c r="F851" s="94"/>
    </row>
    <row r="852" spans="6:6" ht="13.2">
      <c r="F852" s="94"/>
    </row>
    <row r="853" spans="6:6" ht="13.2">
      <c r="F853" s="94"/>
    </row>
    <row r="854" spans="6:6" ht="13.2">
      <c r="F854" s="94"/>
    </row>
    <row r="855" spans="6:6" ht="13.2">
      <c r="F855" s="94"/>
    </row>
    <row r="856" spans="6:6" ht="13.2">
      <c r="F856" s="94"/>
    </row>
    <row r="857" spans="6:6" ht="13.2">
      <c r="F857" s="94"/>
    </row>
    <row r="858" spans="6:6" ht="13.2">
      <c r="F858" s="94"/>
    </row>
    <row r="859" spans="6:6" ht="13.2">
      <c r="F859" s="94"/>
    </row>
    <row r="860" spans="6:6" ht="13.2">
      <c r="F860" s="94"/>
    </row>
    <row r="861" spans="6:6" ht="13.2">
      <c r="F861" s="94"/>
    </row>
    <row r="862" spans="6:6" ht="13.2">
      <c r="F862" s="94"/>
    </row>
    <row r="863" spans="6:6" ht="13.2">
      <c r="F863" s="94"/>
    </row>
    <row r="864" spans="6:6" ht="13.2">
      <c r="F864" s="94"/>
    </row>
    <row r="865" spans="6:6" ht="13.2">
      <c r="F865" s="94"/>
    </row>
    <row r="866" spans="6:6" ht="13.2">
      <c r="F866" s="94"/>
    </row>
    <row r="867" spans="6:6" ht="13.2">
      <c r="F867" s="94"/>
    </row>
    <row r="868" spans="6:6" ht="13.2">
      <c r="F868" s="94"/>
    </row>
    <row r="869" spans="6:6" ht="13.2">
      <c r="F869" s="94"/>
    </row>
    <row r="870" spans="6:6" ht="13.2">
      <c r="F870" s="94"/>
    </row>
    <row r="871" spans="6:6" ht="13.2">
      <c r="F871" s="94"/>
    </row>
    <row r="872" spans="6:6" ht="13.2">
      <c r="F872" s="94"/>
    </row>
    <row r="873" spans="6:6" ht="13.2">
      <c r="F873" s="94"/>
    </row>
    <row r="874" spans="6:6" ht="13.2">
      <c r="F874" s="94"/>
    </row>
    <row r="875" spans="6:6" ht="13.2">
      <c r="F875" s="94"/>
    </row>
    <row r="876" spans="6:6" ht="13.2">
      <c r="F876" s="94"/>
    </row>
    <row r="877" spans="6:6" ht="13.2">
      <c r="F877" s="94"/>
    </row>
    <row r="878" spans="6:6" ht="13.2">
      <c r="F878" s="94"/>
    </row>
    <row r="879" spans="6:6" ht="13.2">
      <c r="F879" s="94"/>
    </row>
    <row r="880" spans="6:6" ht="13.2">
      <c r="F880" s="94"/>
    </row>
    <row r="881" spans="6:6" ht="13.2">
      <c r="F881" s="94"/>
    </row>
    <row r="882" spans="6:6" ht="13.2">
      <c r="F882" s="94"/>
    </row>
    <row r="883" spans="6:6" ht="13.2">
      <c r="F883" s="94"/>
    </row>
    <row r="884" spans="6:6" ht="13.2">
      <c r="F884" s="94"/>
    </row>
    <row r="885" spans="6:6" ht="13.2">
      <c r="F885" s="94"/>
    </row>
    <row r="886" spans="6:6" ht="13.2">
      <c r="F886" s="94"/>
    </row>
    <row r="887" spans="6:6" ht="13.2">
      <c r="F887" s="94"/>
    </row>
    <row r="888" spans="6:6" ht="13.2">
      <c r="F888" s="94"/>
    </row>
    <row r="889" spans="6:6" ht="13.2">
      <c r="F889" s="94"/>
    </row>
    <row r="890" spans="6:6" ht="13.2">
      <c r="F890" s="94"/>
    </row>
    <row r="891" spans="6:6" ht="13.2">
      <c r="F891" s="94"/>
    </row>
    <row r="892" spans="6:6" ht="13.2">
      <c r="F892" s="94"/>
    </row>
    <row r="893" spans="6:6" ht="13.2">
      <c r="F893" s="94"/>
    </row>
    <row r="894" spans="6:6" ht="13.2">
      <c r="F894" s="94"/>
    </row>
    <row r="895" spans="6:6" ht="13.2">
      <c r="F895" s="94"/>
    </row>
    <row r="896" spans="6:6" ht="13.2">
      <c r="F896" s="94"/>
    </row>
    <row r="897" spans="6:6" ht="13.2">
      <c r="F897" s="94"/>
    </row>
    <row r="898" spans="6:6" ht="13.2">
      <c r="F898" s="94"/>
    </row>
    <row r="899" spans="6:6" ht="13.2">
      <c r="F899" s="94"/>
    </row>
    <row r="900" spans="6:6" ht="13.2">
      <c r="F900" s="94"/>
    </row>
    <row r="901" spans="6:6" ht="13.2">
      <c r="F901" s="94"/>
    </row>
    <row r="902" spans="6:6" ht="13.2">
      <c r="F902" s="94"/>
    </row>
    <row r="903" spans="6:6" ht="13.2">
      <c r="F903" s="94"/>
    </row>
    <row r="904" spans="6:6" ht="13.2">
      <c r="F904" s="94"/>
    </row>
    <row r="905" spans="6:6" ht="13.2">
      <c r="F905" s="94"/>
    </row>
    <row r="906" spans="6:6" ht="13.2">
      <c r="F906" s="94"/>
    </row>
    <row r="907" spans="6:6" ht="13.2">
      <c r="F907" s="94"/>
    </row>
    <row r="908" spans="6:6" ht="13.2">
      <c r="F908" s="94"/>
    </row>
    <row r="909" spans="6:6" ht="13.2">
      <c r="F909" s="94"/>
    </row>
    <row r="910" spans="6:6" ht="13.2">
      <c r="F910" s="94"/>
    </row>
    <row r="911" spans="6:6" ht="13.2">
      <c r="F911" s="94"/>
    </row>
    <row r="912" spans="6:6" ht="13.2">
      <c r="F912" s="94"/>
    </row>
    <row r="913" spans="6:6" ht="13.2">
      <c r="F913" s="94"/>
    </row>
    <row r="914" spans="6:6" ht="13.2">
      <c r="F914" s="94"/>
    </row>
    <row r="915" spans="6:6" ht="13.2">
      <c r="F915" s="94"/>
    </row>
    <row r="916" spans="6:6" ht="13.2">
      <c r="F916" s="94"/>
    </row>
    <row r="917" spans="6:6" ht="13.2">
      <c r="F917" s="94"/>
    </row>
    <row r="918" spans="6:6" ht="13.2">
      <c r="F918" s="94"/>
    </row>
    <row r="919" spans="6:6" ht="13.2">
      <c r="F919" s="94"/>
    </row>
    <row r="920" spans="6:6" ht="13.2">
      <c r="F920" s="94"/>
    </row>
    <row r="921" spans="6:6" ht="13.2">
      <c r="F921" s="94"/>
    </row>
    <row r="922" spans="6:6" ht="13.2">
      <c r="F922" s="94"/>
    </row>
    <row r="923" spans="6:6" ht="13.2">
      <c r="F923" s="94"/>
    </row>
    <row r="924" spans="6:6" ht="13.2">
      <c r="F924" s="94"/>
    </row>
    <row r="925" spans="6:6" ht="13.2">
      <c r="F925" s="94"/>
    </row>
    <row r="926" spans="6:6" ht="13.2">
      <c r="F926" s="94"/>
    </row>
    <row r="927" spans="6:6" ht="13.2">
      <c r="F927" s="94"/>
    </row>
    <row r="928" spans="6:6" ht="13.2">
      <c r="F928" s="94"/>
    </row>
    <row r="929" spans="6:6" ht="13.2">
      <c r="F929" s="94"/>
    </row>
    <row r="930" spans="6:6" ht="13.2">
      <c r="F930" s="94"/>
    </row>
    <row r="931" spans="6:6" ht="13.2">
      <c r="F931" s="94"/>
    </row>
    <row r="932" spans="6:6" ht="13.2">
      <c r="F932" s="94"/>
    </row>
    <row r="933" spans="6:6" ht="13.2">
      <c r="F933" s="94"/>
    </row>
    <row r="934" spans="6:6" ht="13.2">
      <c r="F934" s="94"/>
    </row>
    <row r="935" spans="6:6" ht="13.2">
      <c r="F935" s="94"/>
    </row>
    <row r="936" spans="6:6" ht="13.2">
      <c r="F936" s="94"/>
    </row>
    <row r="937" spans="6:6" ht="13.2">
      <c r="F937" s="94"/>
    </row>
    <row r="938" spans="6:6" ht="13.2">
      <c r="F938" s="94"/>
    </row>
    <row r="939" spans="6:6" ht="13.2">
      <c r="F939" s="94"/>
    </row>
    <row r="940" spans="6:6" ht="13.2">
      <c r="F940" s="94"/>
    </row>
    <row r="941" spans="6:6" ht="13.2">
      <c r="F941" s="94"/>
    </row>
    <row r="942" spans="6:6" ht="13.2">
      <c r="F942" s="94"/>
    </row>
    <row r="943" spans="6:6" ht="13.2">
      <c r="F943" s="94"/>
    </row>
    <row r="944" spans="6:6" ht="13.2">
      <c r="F944" s="94"/>
    </row>
    <row r="945" spans="6:6" ht="13.2">
      <c r="F945" s="94"/>
    </row>
    <row r="946" spans="6:6" ht="13.2">
      <c r="F946" s="94"/>
    </row>
    <row r="947" spans="6:6" ht="13.2">
      <c r="F947" s="94"/>
    </row>
    <row r="948" spans="6:6" ht="13.2">
      <c r="F948" s="94"/>
    </row>
    <row r="949" spans="6:6" ht="13.2">
      <c r="F949" s="94"/>
    </row>
    <row r="950" spans="6:6" ht="13.2">
      <c r="F950" s="94"/>
    </row>
    <row r="951" spans="6:6" ht="13.2">
      <c r="F951" s="94"/>
    </row>
    <row r="952" spans="6:6" ht="13.2">
      <c r="F952" s="94"/>
    </row>
    <row r="953" spans="6:6" ht="13.2">
      <c r="F953" s="94"/>
    </row>
    <row r="954" spans="6:6" ht="13.2">
      <c r="F954" s="94"/>
    </row>
    <row r="955" spans="6:6" ht="13.2">
      <c r="F955" s="94"/>
    </row>
    <row r="956" spans="6:6" ht="13.2">
      <c r="F956" s="94"/>
    </row>
    <row r="957" spans="6:6" ht="13.2">
      <c r="F957" s="94"/>
    </row>
    <row r="958" spans="6:6" ht="13.2">
      <c r="F958" s="94"/>
    </row>
    <row r="959" spans="6:6" ht="13.2">
      <c r="F959" s="94"/>
    </row>
    <row r="960" spans="6:6" ht="13.2">
      <c r="F960" s="94"/>
    </row>
    <row r="961" spans="6:6" ht="13.2">
      <c r="F961" s="94"/>
    </row>
    <row r="962" spans="6:6" ht="13.2">
      <c r="F962" s="94"/>
    </row>
    <row r="963" spans="6:6" ht="13.2">
      <c r="F963" s="94"/>
    </row>
    <row r="964" spans="6:6" ht="13.2">
      <c r="F964" s="94"/>
    </row>
    <row r="965" spans="6:6" ht="13.2">
      <c r="F965" s="94"/>
    </row>
    <row r="966" spans="6:6" ht="13.2">
      <c r="F966" s="94"/>
    </row>
    <row r="967" spans="6:6" ht="13.2">
      <c r="F967" s="94"/>
    </row>
    <row r="968" spans="6:6" ht="13.2">
      <c r="F968" s="94"/>
    </row>
    <row r="969" spans="6:6" ht="13.2">
      <c r="F969" s="94"/>
    </row>
    <row r="970" spans="6:6" ht="13.2">
      <c r="F970" s="94"/>
    </row>
    <row r="971" spans="6:6" ht="13.2">
      <c r="F971" s="94"/>
    </row>
    <row r="972" spans="6:6" ht="13.2">
      <c r="F972" s="94"/>
    </row>
    <row r="973" spans="6:6" ht="13.2">
      <c r="F973" s="94"/>
    </row>
    <row r="974" spans="6:6" ht="13.2">
      <c r="F974" s="94"/>
    </row>
    <row r="975" spans="6:6" ht="13.2">
      <c r="F975" s="94"/>
    </row>
    <row r="976" spans="6:6" ht="13.2">
      <c r="F976" s="94"/>
    </row>
    <row r="977" spans="6:6" ht="13.2">
      <c r="F977" s="94"/>
    </row>
    <row r="978" spans="6:6" ht="13.2">
      <c r="F978" s="94"/>
    </row>
    <row r="979" spans="6:6" ht="13.2">
      <c r="F979" s="94"/>
    </row>
    <row r="980" spans="6:6" ht="13.2">
      <c r="F980" s="94"/>
    </row>
    <row r="981" spans="6:6" ht="13.2">
      <c r="F981" s="94"/>
    </row>
    <row r="982" spans="6:6" ht="13.2">
      <c r="F982" s="94"/>
    </row>
    <row r="983" spans="6:6" ht="13.2">
      <c r="F983" s="94"/>
    </row>
    <row r="984" spans="6:6" ht="13.2">
      <c r="F984" s="94"/>
    </row>
    <row r="985" spans="6:6" ht="13.2">
      <c r="F985" s="94"/>
    </row>
    <row r="986" spans="6:6" ht="13.2">
      <c r="F986" s="94"/>
    </row>
    <row r="987" spans="6:6" ht="13.2">
      <c r="F987" s="94"/>
    </row>
    <row r="988" spans="6:6" ht="13.2">
      <c r="F988" s="94"/>
    </row>
    <row r="989" spans="6:6" ht="13.2">
      <c r="F989" s="94"/>
    </row>
    <row r="990" spans="6:6" ht="13.2">
      <c r="F990" s="94"/>
    </row>
    <row r="991" spans="6:6" ht="13.2">
      <c r="F991" s="94"/>
    </row>
    <row r="992" spans="6:6" ht="13.2">
      <c r="F992" s="94"/>
    </row>
    <row r="993" spans="6:6" ht="13.2">
      <c r="F993" s="94"/>
    </row>
    <row r="994" spans="6:6" ht="13.2">
      <c r="F994" s="94"/>
    </row>
    <row r="995" spans="6:6" ht="13.2">
      <c r="F995" s="94"/>
    </row>
    <row r="996" spans="6:6" ht="13.2">
      <c r="F996" s="94"/>
    </row>
    <row r="997" spans="6:6" ht="13.2">
      <c r="F997" s="94"/>
    </row>
    <row r="998" spans="6:6" ht="13.2">
      <c r="F998" s="94"/>
    </row>
    <row r="999" spans="6:6" ht="13.2">
      <c r="F999" s="94"/>
    </row>
    <row r="1000" spans="6:6" ht="13.2">
      <c r="F1000" s="94"/>
    </row>
  </sheetData>
  <autoFilter ref="A1:Y123" xr:uid="{00000000-0009-0000-0000-00006B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189</vt:i4>
      </vt:variant>
    </vt:vector>
  </HeadingPairs>
  <TitlesOfParts>
    <vt:vector size="189" baseType="lpstr">
      <vt:lpstr> Result Trend</vt:lpstr>
      <vt:lpstr>Industry Dashboard</vt:lpstr>
      <vt:lpstr>BSE ALL CAP</vt:lpstr>
      <vt:lpstr>BASIC INDUSTRY</vt:lpstr>
      <vt:lpstr>MacroEconomic Data</vt:lpstr>
      <vt:lpstr>IFRF FUND</vt:lpstr>
      <vt:lpstr>Plastic Products - Industrial</vt:lpstr>
      <vt:lpstr>Zinc</vt:lpstr>
      <vt:lpstr>Wellness</vt:lpstr>
      <vt:lpstr>Web based media and service</vt:lpstr>
      <vt:lpstr>Water Supply &amp; Management</vt:lpstr>
      <vt:lpstr>Waste Management</vt:lpstr>
      <vt:lpstr>Tyres &amp; Rubber Products</vt:lpstr>
      <vt:lpstr>TV Broadcasting &amp; Software Prod</vt:lpstr>
      <vt:lpstr>Trading Coal</vt:lpstr>
      <vt:lpstr>Trading - Textile Products</vt:lpstr>
      <vt:lpstr>Trading - Minerals</vt:lpstr>
      <vt:lpstr>Trading - Metals</vt:lpstr>
      <vt:lpstr>Trading - Chemicals</vt:lpstr>
      <vt:lpstr>Tractors</vt:lpstr>
      <vt:lpstr>Tour, Travel Related Services</vt:lpstr>
      <vt:lpstr>Telecom - Infrastructure</vt:lpstr>
      <vt:lpstr>Telecom - Equipment &amp; Accessori</vt:lpstr>
      <vt:lpstr>Tea &amp; Coffee</vt:lpstr>
      <vt:lpstr>Sugar</vt:lpstr>
      <vt:lpstr>Stockbroking &amp; Allied</vt:lpstr>
      <vt:lpstr>Stationary</vt:lpstr>
      <vt:lpstr>Sponge Iron</vt:lpstr>
      <vt:lpstr>Specialty Chemicals</vt:lpstr>
      <vt:lpstr>Speciality Retail</vt:lpstr>
      <vt:lpstr>Software Products</vt:lpstr>
      <vt:lpstr>Shipping</vt:lpstr>
      <vt:lpstr>Ship Building &amp; Allied Services</vt:lpstr>
      <vt:lpstr>Seafood</vt:lpstr>
      <vt:lpstr>Sanitary Ware</vt:lpstr>
      <vt:lpstr>Rubber</vt:lpstr>
      <vt:lpstr>Road Transport</vt:lpstr>
      <vt:lpstr>Road Assets–Toll, Annuity, Hybr</vt:lpstr>
      <vt:lpstr>Restaurants</vt:lpstr>
      <vt:lpstr>Residential, Commercial Project</vt:lpstr>
      <vt:lpstr>Refineries &amp; Marketing</vt:lpstr>
      <vt:lpstr>Real Estate related services</vt:lpstr>
      <vt:lpstr>Printing &amp; Publication</vt:lpstr>
      <vt:lpstr>Print Media</vt:lpstr>
      <vt:lpstr>Precious Metals</vt:lpstr>
      <vt:lpstr>Power Trading</vt:lpstr>
      <vt:lpstr>Power Generation</vt:lpstr>
      <vt:lpstr>Power Distribution</vt:lpstr>
      <vt:lpstr>Real Estate Investment Trusts (</vt:lpstr>
      <vt:lpstr>Railway Wagons</vt:lpstr>
      <vt:lpstr>Power - Transmission</vt:lpstr>
      <vt:lpstr>Port &amp; Port services</vt:lpstr>
      <vt:lpstr>Ratings</vt:lpstr>
      <vt:lpstr>Plywood Boards Laminates</vt:lpstr>
      <vt:lpstr>Plastic Products - Consumer</vt:lpstr>
      <vt:lpstr>Pig Iron</vt:lpstr>
      <vt:lpstr>Pharmacy Retail</vt:lpstr>
      <vt:lpstr>Petrochemicals</vt:lpstr>
      <vt:lpstr>Pesticides &amp; Agrochemicals</vt:lpstr>
      <vt:lpstr>Personal Care</vt:lpstr>
      <vt:lpstr>Passenger Cars &amp; Utility Vehicl</vt:lpstr>
      <vt:lpstr>Paper &amp; Paper Products</vt:lpstr>
      <vt:lpstr>Paints</vt:lpstr>
      <vt:lpstr>Packaging</vt:lpstr>
      <vt:lpstr>Packaged Foods</vt:lpstr>
      <vt:lpstr>Other Utilities</vt:lpstr>
      <vt:lpstr>Other Textile Products</vt:lpstr>
      <vt:lpstr>Other Telecom Services</vt:lpstr>
      <vt:lpstr>Other Industrial Products</vt:lpstr>
      <vt:lpstr>Other Food Products</vt:lpstr>
      <vt:lpstr>Other Electrical Equipment</vt:lpstr>
      <vt:lpstr>Other Consumer Services</vt:lpstr>
      <vt:lpstr>Other Construction Materials</vt:lpstr>
      <vt:lpstr>Other Capital Market related Se</vt:lpstr>
      <vt:lpstr>Other Beverages</vt:lpstr>
      <vt:lpstr>Other Bank</vt:lpstr>
      <vt:lpstr>Other Agricultural Products</vt:lpstr>
      <vt:lpstr>Oil Storage &amp; Transportation</vt:lpstr>
      <vt:lpstr>Oil Exploration &amp; Production</vt:lpstr>
      <vt:lpstr>Oil Equipment &amp; Services</vt:lpstr>
      <vt:lpstr>Trading &amp; Distributors</vt:lpstr>
      <vt:lpstr>Transport Related Services</vt:lpstr>
      <vt:lpstr>Pharmaceuticals</vt:lpstr>
      <vt:lpstr>Telecom - Cellular &amp; Fixed line</vt:lpstr>
      <vt:lpstr>Offshore Support Solution Drill</vt:lpstr>
      <vt:lpstr>Mutual Fund Scheme - ETF</vt:lpstr>
      <vt:lpstr>Microfinance Institutions</vt:lpstr>
      <vt:lpstr>Medical Equipment &amp; Supplies</vt:lpstr>
      <vt:lpstr>Media &amp; Entertainment</vt:lpstr>
      <vt:lpstr>Meat Products including Poultry</vt:lpstr>
      <vt:lpstr>Lubricants</vt:lpstr>
      <vt:lpstr>LPGCNGPNGLNG Supplier</vt:lpstr>
      <vt:lpstr>Logistics Solution Provider</vt:lpstr>
      <vt:lpstr>Life Insurance</vt:lpstr>
      <vt:lpstr>Leisure Products</vt:lpstr>
      <vt:lpstr>Leather And Leather Products</vt:lpstr>
      <vt:lpstr>Jute &amp; Jute Products</vt:lpstr>
      <vt:lpstr>IT Enabled Services</vt:lpstr>
      <vt:lpstr>Iron &amp; Steel Products</vt:lpstr>
      <vt:lpstr>Iron &amp; Steel</vt:lpstr>
      <vt:lpstr>Investment Company</vt:lpstr>
      <vt:lpstr>Internet &amp; Catalogue Retail</vt:lpstr>
      <vt:lpstr>Integrated Power Utilities</vt:lpstr>
      <vt:lpstr>Industrial Products</vt:lpstr>
      <vt:lpstr>Industrial Minerals</vt:lpstr>
      <vt:lpstr>Industrial Gases</vt:lpstr>
      <vt:lpstr>Housing Finance Company</vt:lpstr>
      <vt:lpstr>Houseware</vt:lpstr>
      <vt:lpstr>Household Products</vt:lpstr>
      <vt:lpstr>Hotels &amp; Resorts</vt:lpstr>
      <vt:lpstr>Hospital</vt:lpstr>
      <vt:lpstr>Holding Company</vt:lpstr>
      <vt:lpstr>Household Appliances</vt:lpstr>
      <vt:lpstr>Heavy Electrical Equipment</vt:lpstr>
      <vt:lpstr>Healthcare Service Provider</vt:lpstr>
      <vt:lpstr>Healthcare Research, Analytics </vt:lpstr>
      <vt:lpstr>Granites &amp; Marbles</vt:lpstr>
      <vt:lpstr>Glass - Industrial</vt:lpstr>
      <vt:lpstr>General Insurance</vt:lpstr>
      <vt:lpstr>Gems, Jewellery And Watches</vt:lpstr>
      <vt:lpstr>Gas TransmissionMarketing</vt:lpstr>
      <vt:lpstr>Garments &amp; Apparels</vt:lpstr>
      <vt:lpstr>Furniture, Home Furnishing</vt:lpstr>
      <vt:lpstr>Forest Products</vt:lpstr>
      <vt:lpstr>Footwear</vt:lpstr>
      <vt:lpstr>Financial Technology (Fintech)</vt:lpstr>
      <vt:lpstr>Financial Products Distributor</vt:lpstr>
      <vt:lpstr>Film Production, Distribution &amp;</vt:lpstr>
      <vt:lpstr>Financial Institution</vt:lpstr>
      <vt:lpstr>Fertilizers</vt:lpstr>
      <vt:lpstr>Ferro &amp; Silica Manganese</vt:lpstr>
      <vt:lpstr>Explosives</vt:lpstr>
      <vt:lpstr>Exchange and Data Platform</vt:lpstr>
      <vt:lpstr>E-Retail E-Commerce</vt:lpstr>
      <vt:lpstr>Electronic Media</vt:lpstr>
      <vt:lpstr>Electrodes &amp; Refractories</vt:lpstr>
      <vt:lpstr>E-Learning</vt:lpstr>
      <vt:lpstr>Education</vt:lpstr>
      <vt:lpstr>Edible Oil</vt:lpstr>
      <vt:lpstr>Dyes And Pigments</vt:lpstr>
      <vt:lpstr>Dredging</vt:lpstr>
      <vt:lpstr>Diversified Retail</vt:lpstr>
      <vt:lpstr>Diversified Metals</vt:lpstr>
      <vt:lpstr>Diversified FMCG</vt:lpstr>
      <vt:lpstr>Diversified consumer products</vt:lpstr>
      <vt:lpstr>Diversified Commercial Services</vt:lpstr>
      <vt:lpstr>Diversified</vt:lpstr>
      <vt:lpstr>Distributors</vt:lpstr>
      <vt:lpstr>Digital Entertainment</vt:lpstr>
      <vt:lpstr>Depositories, Clearing Houses a</vt:lpstr>
      <vt:lpstr>Data Processing Services</vt:lpstr>
      <vt:lpstr>Dairy Products</vt:lpstr>
      <vt:lpstr>Copper</vt:lpstr>
      <vt:lpstr>Consumer Electronics</vt:lpstr>
      <vt:lpstr>Consulting Services</vt:lpstr>
      <vt:lpstr>Construction Vehicles</vt:lpstr>
      <vt:lpstr>Computers Hardware &amp; Equipments</vt:lpstr>
      <vt:lpstr>Computers - Software &amp; Consulti</vt:lpstr>
      <vt:lpstr>Non Banking Financial Company (</vt:lpstr>
      <vt:lpstr>Compressors, Pumps &amp; Diesel Eng</vt:lpstr>
      <vt:lpstr>Other Financial Services</vt:lpstr>
      <vt:lpstr>Private Sector Bank</vt:lpstr>
      <vt:lpstr>Commodity Chemicals</vt:lpstr>
      <vt:lpstr>Public Sector Bank</vt:lpstr>
      <vt:lpstr>23 Wheelers</vt:lpstr>
      <vt:lpstr>Abrasives &amp; Bearings</vt:lpstr>
      <vt:lpstr>Advertising &amp; Media Agencies</vt:lpstr>
      <vt:lpstr>Aerospace &amp; Defense</vt:lpstr>
      <vt:lpstr>Airline</vt:lpstr>
      <vt:lpstr>Airport &amp; Airport services</vt:lpstr>
      <vt:lpstr>Aluminium</vt:lpstr>
      <vt:lpstr>Aluminium, Copper &amp; Zinc Produc</vt:lpstr>
      <vt:lpstr>Amusement Parks Other Recreatio</vt:lpstr>
      <vt:lpstr>Animal Feed</vt:lpstr>
      <vt:lpstr>Asset Management Company</vt:lpstr>
      <vt:lpstr>Auto Components &amp; Equipments</vt:lpstr>
      <vt:lpstr>Auto -Dealer</vt:lpstr>
      <vt:lpstr>Biotechnology</vt:lpstr>
      <vt:lpstr>Breweries &amp; Distilleries</vt:lpstr>
      <vt:lpstr>Business Process Outsourcing (B</vt:lpstr>
      <vt:lpstr>Cables - Electricals</vt:lpstr>
      <vt:lpstr>Carbon Black</vt:lpstr>
      <vt:lpstr>Castings &amp; Forgings</vt:lpstr>
      <vt:lpstr>Cement &amp; Cement Products</vt:lpstr>
      <vt:lpstr>Ceramics</vt:lpstr>
      <vt:lpstr>Cigarettes &amp; Tobacco Products</vt:lpstr>
      <vt:lpstr>Civil Construction</vt:lpstr>
      <vt:lpstr>Coal</vt:lpstr>
      <vt:lpstr>Commercial Vehicles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Piyush patel</cp:lastModifiedBy>
  <dcterms:modified xsi:type="dcterms:W3CDTF">2026-04-06T09:23:43Z</dcterms:modified>
</cp:coreProperties>
</file>